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1.AzureAD\Downloads\"/>
    </mc:Choice>
  </mc:AlternateContent>
  <xr:revisionPtr revIDLastSave="0" documentId="13_ncr:1_{92292C65-C978-4C42-AD4B-D17E0625F3B4}" xr6:coauthVersionLast="47" xr6:coauthVersionMax="47" xr10:uidLastSave="{00000000-0000-0000-0000-000000000000}"/>
  <bookViews>
    <workbookView xWindow="-28920" yWindow="-120" windowWidth="29040" windowHeight="15840" firstSheet="25" activeTab="32" xr2:uid="{00000000-000D-0000-FFFF-FFFF00000000}"/>
  </bookViews>
  <sheets>
    <sheet name="Adj Highlights" sheetId="2" r:id="rId1"/>
    <sheet name="GAAP Highlights" sheetId="3" r:id="rId2"/>
    <sheet name="Earnings" sheetId="4" r:id="rId3"/>
    <sheet name="Enterprise Value" sheetId="5" r:id="rId4"/>
    <sheet name="Multiples" sheetId="6" r:id="rId5"/>
    <sheet name="Per Share" sheetId="7" r:id="rId6"/>
    <sheet name="Stock Value" sheetId="8" r:id="rId7"/>
    <sheet name="EV Ex Operating Leases" sheetId="9" r:id="rId8"/>
    <sheet name="Income - Adjusted" sheetId="10" r:id="rId9"/>
    <sheet name="Income - GAAP" sheetId="11" r:id="rId10"/>
    <sheet name="Income - As Reported" sheetId="12" r:id="rId11"/>
    <sheet name="Reconciliation" sheetId="13" r:id="rId12"/>
    <sheet name="SBC &amp; Amort" sheetId="14" r:id="rId13"/>
    <sheet name="Adj %" sheetId="15" r:id="rId14"/>
    <sheet name="GAAP %" sheetId="16" r:id="rId15"/>
    <sheet name="Bal Sheet - Standardized" sheetId="17" r:id="rId16"/>
    <sheet name="Bal Sheet - As Reported" sheetId="18" r:id="rId17"/>
    <sheet name="Bal Sheet - Common Size" sheetId="19" r:id="rId18"/>
    <sheet name="Fair Value Analysis" sheetId="20" r:id="rId19"/>
    <sheet name="Cash Flow - Standardized" sheetId="21" r:id="rId20"/>
    <sheet name="Cash Flow - As Reported" sheetId="22" r:id="rId21"/>
    <sheet name="Profitability" sheetId="23" r:id="rId22"/>
    <sheet name="Growth" sheetId="24" r:id="rId23"/>
    <sheet name="Credit" sheetId="25" r:id="rId24"/>
    <sheet name="Credit Ex Operating Leases" sheetId="26" r:id="rId25"/>
    <sheet name="Liquidity" sheetId="27" r:id="rId26"/>
    <sheet name="Working Capital" sheetId="28" r:id="rId27"/>
    <sheet name="Yield Analysis" sheetId="29" r:id="rId28"/>
    <sheet name="DuPont Analysis" sheetId="30" r:id="rId29"/>
    <sheet name="By Measure" sheetId="31" r:id="rId30"/>
    <sheet name="By Geography" sheetId="32" r:id="rId31"/>
    <sheet name="By Segment" sheetId="33" r:id="rId32"/>
    <sheet name="ESG Ratios" sheetId="34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34" l="1"/>
  <c r="C17" i="34"/>
  <c r="C8" i="34"/>
  <c r="C42" i="34"/>
  <c r="C7" i="34"/>
  <c r="V14" i="34"/>
  <c r="V13" i="34"/>
  <c r="V15" i="34"/>
  <c r="V30" i="34"/>
  <c r="V37" i="34"/>
  <c r="W49" i="34"/>
  <c r="W9" i="34"/>
  <c r="W10" i="34"/>
  <c r="W41" i="34"/>
  <c r="W19" i="34"/>
  <c r="I36" i="34"/>
  <c r="I19" i="34"/>
  <c r="I46" i="34"/>
  <c r="I7" i="34"/>
  <c r="I16" i="34"/>
  <c r="P45" i="34"/>
  <c r="P7" i="34"/>
  <c r="P8" i="34"/>
  <c r="P53" i="34"/>
  <c r="P35" i="34"/>
  <c r="M48" i="34"/>
  <c r="M18" i="34"/>
  <c r="M9" i="34"/>
  <c r="M8" i="34"/>
  <c r="M38" i="34"/>
  <c r="D7" i="34"/>
  <c r="D47" i="34"/>
  <c r="D9" i="34"/>
  <c r="D10" i="34"/>
  <c r="D17" i="34"/>
  <c r="G19" i="34"/>
  <c r="G9" i="34"/>
  <c r="G41" i="34"/>
  <c r="G10" i="34"/>
  <c r="G49" i="34"/>
  <c r="U44" i="34"/>
  <c r="U47" i="34"/>
  <c r="U52" i="34"/>
  <c r="U17" i="34"/>
  <c r="U7" i="34"/>
  <c r="R45" i="34"/>
  <c r="R10" i="34"/>
  <c r="R28" i="34"/>
  <c r="R42" i="34"/>
  <c r="R50" i="34"/>
  <c r="O53" i="34"/>
  <c r="O45" i="34"/>
  <c r="O48" i="34"/>
  <c r="O8" i="34"/>
  <c r="O35" i="34"/>
  <c r="J36" i="34"/>
  <c r="J54" i="34"/>
  <c r="J16" i="34"/>
  <c r="J8" i="34"/>
  <c r="J46" i="34"/>
  <c r="S10" i="34"/>
  <c r="S47" i="34"/>
  <c r="S8" i="34"/>
  <c r="S7" i="34"/>
  <c r="S17" i="34"/>
  <c r="N38" i="34"/>
  <c r="N48" i="34"/>
  <c r="N18" i="34"/>
  <c r="N10" i="34"/>
  <c r="N8" i="34"/>
  <c r="E52" i="34"/>
  <c r="E47" i="34"/>
  <c r="E7" i="34"/>
  <c r="E17" i="34"/>
  <c r="E44" i="34"/>
  <c r="K29" i="34"/>
  <c r="K51" i="34"/>
  <c r="K43" i="34"/>
  <c r="K46" i="34"/>
  <c r="K16" i="34"/>
  <c r="Q10" i="34"/>
  <c r="Q42" i="34"/>
  <c r="Q50" i="34"/>
  <c r="Q28" i="34"/>
  <c r="Q35" i="34"/>
  <c r="X9" i="34"/>
  <c r="X41" i="34"/>
  <c r="X19" i="34"/>
  <c r="X49" i="34"/>
  <c r="X44" i="34"/>
  <c r="F7" i="34"/>
  <c r="F44" i="34"/>
  <c r="F17" i="34"/>
  <c r="F52" i="34"/>
  <c r="F47" i="34"/>
  <c r="T28" i="34"/>
  <c r="T9" i="34"/>
  <c r="T17" i="34"/>
  <c r="T47" i="34"/>
  <c r="T7" i="34"/>
  <c r="V7" i="34"/>
  <c r="V44" i="34"/>
  <c r="V17" i="34"/>
  <c r="V47" i="34"/>
  <c r="V52" i="34"/>
  <c r="H41" i="34"/>
  <c r="H44" i="34"/>
  <c r="H49" i="34"/>
  <c r="H9" i="34"/>
  <c r="H19" i="34"/>
  <c r="L29" i="34"/>
  <c r="L54" i="34"/>
  <c r="L51" i="34"/>
  <c r="L16" i="34"/>
  <c r="L43" i="34"/>
  <c r="E13" i="34"/>
  <c r="E14" i="34"/>
  <c r="E30" i="34"/>
  <c r="E37" i="34"/>
  <c r="E15" i="34"/>
  <c r="F13" i="34"/>
  <c r="F14" i="34"/>
  <c r="F15" i="34"/>
  <c r="F30" i="34"/>
  <c r="F37" i="34"/>
  <c r="W15" i="34"/>
  <c r="W30" i="34"/>
  <c r="W37" i="34"/>
  <c r="W13" i="34"/>
  <c r="W14" i="34"/>
  <c r="H13" i="34"/>
  <c r="H15" i="34"/>
  <c r="H37" i="34"/>
  <c r="H30" i="34"/>
  <c r="H14" i="34"/>
  <c r="U37" i="34"/>
  <c r="U14" i="34"/>
  <c r="U13" i="34"/>
  <c r="U15" i="34"/>
  <c r="U30" i="34"/>
  <c r="O14" i="34"/>
  <c r="O30" i="34"/>
  <c r="O15" i="34"/>
  <c r="X30" i="34"/>
  <c r="X15" i="34"/>
  <c r="O13" i="34"/>
  <c r="O37" i="34"/>
  <c r="X14" i="34"/>
  <c r="X37" i="34"/>
  <c r="X13" i="34"/>
  <c r="K30" i="34"/>
  <c r="K14" i="34"/>
  <c r="K13" i="34"/>
  <c r="K15" i="34"/>
  <c r="K37" i="34"/>
  <c r="P30" i="34"/>
  <c r="P15" i="34"/>
  <c r="P13" i="34"/>
  <c r="P14" i="34"/>
  <c r="P37" i="34"/>
  <c r="G15" i="34"/>
  <c r="G14" i="34"/>
  <c r="G13" i="34"/>
  <c r="G37" i="34"/>
  <c r="G30" i="34"/>
  <c r="L14" i="34"/>
  <c r="L37" i="34"/>
  <c r="L30" i="34"/>
  <c r="L13" i="34"/>
  <c r="L15" i="34"/>
  <c r="W45" i="34"/>
  <c r="W7" i="34"/>
  <c r="W50" i="34"/>
  <c r="W44" i="34"/>
  <c r="W8" i="34"/>
  <c r="W16" i="34"/>
  <c r="W43" i="34"/>
  <c r="W17" i="34"/>
  <c r="W46" i="34"/>
  <c r="W53" i="34"/>
  <c r="W51" i="34"/>
  <c r="W48" i="34"/>
  <c r="W35" i="34"/>
  <c r="W36" i="34"/>
  <c r="W38" i="34"/>
  <c r="W18" i="34"/>
  <c r="W54" i="34"/>
  <c r="W47" i="34"/>
  <c r="W42" i="34"/>
  <c r="W28" i="34"/>
  <c r="W52" i="34"/>
  <c r="W29" i="34"/>
  <c r="S18" i="34"/>
  <c r="S38" i="34"/>
  <c r="S42" i="34"/>
  <c r="S9" i="34"/>
  <c r="S52" i="34"/>
  <c r="S53" i="34"/>
  <c r="S41" i="34"/>
  <c r="S28" i="34"/>
  <c r="S19" i="34"/>
  <c r="S35" i="34"/>
  <c r="S44" i="34"/>
  <c r="S51" i="34"/>
  <c r="S49" i="34"/>
  <c r="S43" i="34"/>
  <c r="S29" i="34"/>
  <c r="S46" i="34"/>
  <c r="S50" i="34"/>
  <c r="S36" i="34"/>
  <c r="S45" i="34"/>
  <c r="S54" i="34"/>
  <c r="S16" i="34"/>
  <c r="S48" i="34"/>
  <c r="I17" i="34"/>
  <c r="I18" i="34"/>
  <c r="I51" i="34"/>
  <c r="I28" i="34"/>
  <c r="I29" i="34"/>
  <c r="I9" i="34"/>
  <c r="I44" i="34"/>
  <c r="I49" i="34"/>
  <c r="I54" i="34"/>
  <c r="I42" i="34"/>
  <c r="I35" i="34"/>
  <c r="I45" i="34"/>
  <c r="I41" i="34"/>
  <c r="I50" i="34"/>
  <c r="I8" i="34"/>
  <c r="I10" i="34"/>
  <c r="I53" i="34"/>
  <c r="I38" i="34"/>
  <c r="I47" i="34"/>
  <c r="I52" i="34"/>
  <c r="I43" i="34"/>
  <c r="I48" i="34"/>
  <c r="H36" i="34"/>
  <c r="H43" i="34"/>
  <c r="H18" i="34"/>
  <c r="H52" i="34"/>
  <c r="H17" i="34"/>
  <c r="H10" i="34"/>
  <c r="H16" i="34"/>
  <c r="H47" i="34"/>
  <c r="H46" i="34"/>
  <c r="H35" i="34"/>
  <c r="H7" i="34"/>
  <c r="H28" i="34"/>
  <c r="H42" i="34"/>
  <c r="H51" i="34"/>
  <c r="H29" i="34"/>
  <c r="H8" i="34"/>
  <c r="H53" i="34"/>
  <c r="H48" i="34"/>
  <c r="H38" i="34"/>
  <c r="H50" i="34"/>
  <c r="H54" i="34"/>
  <c r="H45" i="34"/>
  <c r="X53" i="34"/>
  <c r="X28" i="34"/>
  <c r="X18" i="34"/>
  <c r="X10" i="34"/>
  <c r="X45" i="34"/>
  <c r="X36" i="34"/>
  <c r="X52" i="34"/>
  <c r="X42" i="34"/>
  <c r="X29" i="34"/>
  <c r="X16" i="34"/>
  <c r="X17" i="34"/>
  <c r="X47" i="34"/>
  <c r="X38" i="34"/>
  <c r="X7" i="34"/>
  <c r="X35" i="34"/>
  <c r="X8" i="34"/>
  <c r="X50" i="34"/>
  <c r="X51" i="34"/>
  <c r="X54" i="34"/>
  <c r="X48" i="34"/>
  <c r="X43" i="34"/>
  <c r="X46" i="34"/>
  <c r="L18" i="34"/>
  <c r="L38" i="34"/>
  <c r="L53" i="34"/>
  <c r="L47" i="34"/>
  <c r="L45" i="34"/>
  <c r="L41" i="34"/>
  <c r="L7" i="34"/>
  <c r="L48" i="34"/>
  <c r="L9" i="34"/>
  <c r="L19" i="34"/>
  <c r="L46" i="34"/>
  <c r="L10" i="34"/>
  <c r="L52" i="34"/>
  <c r="L36" i="34"/>
  <c r="L49" i="34"/>
  <c r="L42" i="34"/>
  <c r="L8" i="34"/>
  <c r="L44" i="34"/>
  <c r="L17" i="34"/>
  <c r="L28" i="34"/>
  <c r="L35" i="34"/>
  <c r="L50" i="34"/>
  <c r="D50" i="34"/>
  <c r="D29" i="34"/>
  <c r="D38" i="34"/>
  <c r="D8" i="34"/>
  <c r="D35" i="34"/>
  <c r="K18" i="34"/>
  <c r="D18" i="34"/>
  <c r="D51" i="34"/>
  <c r="K49" i="34"/>
  <c r="D52" i="34"/>
  <c r="K44" i="34"/>
  <c r="D16" i="34"/>
  <c r="K50" i="34"/>
  <c r="K9" i="34"/>
  <c r="D41" i="34"/>
  <c r="K35" i="34"/>
  <c r="D54" i="34"/>
  <c r="D36" i="34"/>
  <c r="K7" i="34"/>
  <c r="K45" i="34"/>
  <c r="D53" i="34"/>
  <c r="D28" i="34"/>
  <c r="D44" i="34"/>
  <c r="K36" i="34"/>
  <c r="D19" i="34"/>
  <c r="K53" i="34"/>
  <c r="D46" i="34"/>
  <c r="D45" i="34"/>
  <c r="K28" i="34"/>
  <c r="D42" i="34"/>
  <c r="D48" i="34"/>
  <c r="K19" i="34"/>
  <c r="D43" i="34"/>
  <c r="K47" i="34"/>
  <c r="D49" i="34"/>
  <c r="K48" i="34"/>
  <c r="K10" i="34"/>
  <c r="K42" i="34"/>
  <c r="K38" i="34"/>
  <c r="K52" i="34"/>
  <c r="K54" i="34"/>
  <c r="K41" i="34"/>
  <c r="K17" i="34"/>
  <c r="K8" i="34"/>
  <c r="E29" i="34"/>
  <c r="E8" i="34"/>
  <c r="E36" i="34"/>
  <c r="E53" i="34"/>
  <c r="E16" i="34"/>
  <c r="E38" i="34"/>
  <c r="E41" i="34"/>
  <c r="E35" i="34"/>
  <c r="E46" i="34"/>
  <c r="E18" i="34"/>
  <c r="E9" i="34"/>
  <c r="E51" i="34"/>
  <c r="E54" i="34"/>
  <c r="E10" i="34"/>
  <c r="E48" i="34"/>
  <c r="E28" i="34"/>
  <c r="E49" i="34"/>
  <c r="E50" i="34"/>
  <c r="E45" i="34"/>
  <c r="E42" i="34"/>
  <c r="E43" i="34"/>
  <c r="E19" i="34"/>
  <c r="G53" i="34"/>
  <c r="G16" i="34"/>
  <c r="G47" i="34"/>
  <c r="G48" i="34"/>
  <c r="G42" i="34"/>
  <c r="G44" i="34"/>
  <c r="G51" i="34"/>
  <c r="G18" i="34"/>
  <c r="G50" i="34"/>
  <c r="G29" i="34"/>
  <c r="G45" i="34"/>
  <c r="G35" i="34"/>
  <c r="G54" i="34"/>
  <c r="G28" i="34"/>
  <c r="G52" i="34"/>
  <c r="G17" i="34"/>
  <c r="G7" i="34"/>
  <c r="G38" i="34"/>
  <c r="G36" i="34"/>
  <c r="G8" i="34"/>
  <c r="G43" i="34"/>
  <c r="G46" i="34"/>
  <c r="R36" i="34"/>
  <c r="R44" i="34"/>
  <c r="R43" i="34"/>
  <c r="R38" i="34"/>
  <c r="R17" i="34"/>
  <c r="R49" i="34"/>
  <c r="R18" i="34"/>
  <c r="R46" i="34"/>
  <c r="R7" i="34"/>
  <c r="R53" i="34"/>
  <c r="R54" i="34"/>
  <c r="R48" i="34"/>
  <c r="R16" i="34"/>
  <c r="R52" i="34"/>
  <c r="R9" i="34"/>
  <c r="R35" i="34"/>
  <c r="R41" i="34"/>
  <c r="R8" i="34"/>
  <c r="R47" i="34"/>
  <c r="R19" i="34"/>
  <c r="R29" i="34"/>
  <c r="R51" i="34"/>
  <c r="U50" i="34"/>
  <c r="U9" i="34"/>
  <c r="U49" i="34"/>
  <c r="U46" i="34"/>
  <c r="U38" i="34"/>
  <c r="U45" i="34"/>
  <c r="U35" i="34"/>
  <c r="U28" i="34"/>
  <c r="U54" i="34"/>
  <c r="U8" i="34"/>
  <c r="U18" i="34"/>
  <c r="U10" i="34"/>
  <c r="U43" i="34"/>
  <c r="U48" i="34"/>
  <c r="U53" i="34"/>
  <c r="U41" i="34"/>
  <c r="U19" i="34"/>
  <c r="U16" i="34"/>
  <c r="U42" i="34"/>
  <c r="U36" i="34"/>
  <c r="U29" i="34"/>
  <c r="U51" i="34"/>
  <c r="Q38" i="34"/>
  <c r="Q36" i="34"/>
  <c r="Q52" i="34"/>
  <c r="Q29" i="34"/>
  <c r="Q9" i="34"/>
  <c r="Q17" i="34"/>
  <c r="Q45" i="34"/>
  <c r="Q49" i="34"/>
  <c r="Q47" i="34"/>
  <c r="Q46" i="34"/>
  <c r="Q43" i="34"/>
  <c r="Q19" i="34"/>
  <c r="Q16" i="34"/>
  <c r="Q7" i="34"/>
  <c r="Q51" i="34"/>
  <c r="Q44" i="34"/>
  <c r="Q8" i="34"/>
  <c r="Q53" i="34"/>
  <c r="Q54" i="34"/>
  <c r="Q41" i="34"/>
  <c r="Q18" i="34"/>
  <c r="Q48" i="34"/>
  <c r="V29" i="34"/>
  <c r="V38" i="34"/>
  <c r="V9" i="34"/>
  <c r="V43" i="34"/>
  <c r="V49" i="34"/>
  <c r="V18" i="34"/>
  <c r="V28" i="34"/>
  <c r="V10" i="34"/>
  <c r="V50" i="34"/>
  <c r="V35" i="34"/>
  <c r="V41" i="34"/>
  <c r="V42" i="34"/>
  <c r="V8" i="34"/>
  <c r="V53" i="34"/>
  <c r="V19" i="34"/>
  <c r="V36" i="34"/>
  <c r="V51" i="34"/>
  <c r="V45" i="34"/>
  <c r="V48" i="34"/>
  <c r="V54" i="34"/>
  <c r="V46" i="34"/>
  <c r="V16" i="34"/>
  <c r="C49" i="34"/>
  <c r="C29" i="34"/>
  <c r="C44" i="34"/>
  <c r="C52" i="34"/>
  <c r="C38" i="34"/>
  <c r="C16" i="34"/>
  <c r="C43" i="34"/>
  <c r="C18" i="34"/>
  <c r="C53" i="34"/>
  <c r="C9" i="34"/>
  <c r="C10" i="34"/>
  <c r="C48" i="34"/>
  <c r="C19" i="34"/>
  <c r="C35" i="34"/>
  <c r="C46" i="34"/>
  <c r="C50" i="34"/>
  <c r="C28" i="34"/>
  <c r="C45" i="34"/>
  <c r="C54" i="34"/>
  <c r="C51" i="34"/>
  <c r="C41" i="34"/>
  <c r="C36" i="34"/>
  <c r="J37" i="34"/>
  <c r="J13" i="34"/>
  <c r="J14" i="34"/>
  <c r="J15" i="34"/>
  <c r="J30" i="34"/>
  <c r="F18" i="34"/>
  <c r="F54" i="34"/>
  <c r="F50" i="34"/>
  <c r="F36" i="34"/>
  <c r="F16" i="34"/>
  <c r="F35" i="34"/>
  <c r="F8" i="34"/>
  <c r="F49" i="34"/>
  <c r="F45" i="34"/>
  <c r="F9" i="34"/>
  <c r="F51" i="34"/>
  <c r="F53" i="34"/>
  <c r="F43" i="34"/>
  <c r="F48" i="34"/>
  <c r="F38" i="34"/>
  <c r="F29" i="34"/>
  <c r="F28" i="34"/>
  <c r="F10" i="34"/>
  <c r="F41" i="34"/>
  <c r="F19" i="34"/>
  <c r="F46" i="34"/>
  <c r="F42" i="34"/>
  <c r="O7" i="34"/>
  <c r="O41" i="34"/>
  <c r="O44" i="34"/>
  <c r="O36" i="34"/>
  <c r="O10" i="34"/>
  <c r="O29" i="34"/>
  <c r="O54" i="34"/>
  <c r="O43" i="34"/>
  <c r="O46" i="34"/>
  <c r="O28" i="34"/>
  <c r="O50" i="34"/>
  <c r="O19" i="34"/>
  <c r="O16" i="34"/>
  <c r="O17" i="34"/>
  <c r="O49" i="34"/>
  <c r="O42" i="34"/>
  <c r="O52" i="34"/>
  <c r="O51" i="34"/>
  <c r="O18" i="34"/>
  <c r="O38" i="34"/>
  <c r="O9" i="34"/>
  <c r="O47" i="34"/>
  <c r="J19" i="34"/>
  <c r="J18" i="34"/>
  <c r="J7" i="34"/>
  <c r="J47" i="34"/>
  <c r="J53" i="34"/>
  <c r="J51" i="34"/>
  <c r="J43" i="34"/>
  <c r="J10" i="34"/>
  <c r="J17" i="34"/>
  <c r="J29" i="34"/>
  <c r="J50" i="34"/>
  <c r="J44" i="34"/>
  <c r="J42" i="34"/>
  <c r="J45" i="34"/>
  <c r="J9" i="34"/>
  <c r="J41" i="34"/>
  <c r="J49" i="34"/>
  <c r="J28" i="34"/>
  <c r="J38" i="34"/>
  <c r="J35" i="34"/>
  <c r="J52" i="34"/>
  <c r="J48" i="34"/>
  <c r="N16" i="34"/>
  <c r="N52" i="34"/>
  <c r="N9" i="34"/>
  <c r="N49" i="34"/>
  <c r="N43" i="34"/>
  <c r="N19" i="34"/>
  <c r="N41" i="34"/>
  <c r="N44" i="34"/>
  <c r="N50" i="34"/>
  <c r="N17" i="34"/>
  <c r="N35" i="34"/>
  <c r="N47" i="34"/>
  <c r="N46" i="34"/>
  <c r="N51" i="34"/>
  <c r="N29" i="34"/>
  <c r="N28" i="34"/>
  <c r="N53" i="34"/>
  <c r="N42" i="34"/>
  <c r="N7" i="34"/>
  <c r="N36" i="34"/>
  <c r="N45" i="34"/>
  <c r="N54" i="34"/>
  <c r="N30" i="34"/>
  <c r="N15" i="34"/>
  <c r="N13" i="34"/>
  <c r="N14" i="34"/>
  <c r="N37" i="34"/>
  <c r="M17" i="34"/>
  <c r="M10" i="34"/>
  <c r="M7" i="34"/>
  <c r="M29" i="34"/>
  <c r="M45" i="34"/>
  <c r="M19" i="34"/>
  <c r="M47" i="34"/>
  <c r="M44" i="34"/>
  <c r="M54" i="34"/>
  <c r="M46" i="34"/>
  <c r="M51" i="34"/>
  <c r="M41" i="34"/>
  <c r="M16" i="34"/>
  <c r="M36" i="34"/>
  <c r="M50" i="34"/>
  <c r="M49" i="34"/>
  <c r="M28" i="34"/>
  <c r="M35" i="34"/>
  <c r="M52" i="34"/>
  <c r="M43" i="34"/>
  <c r="M53" i="34"/>
  <c r="M42" i="34"/>
  <c r="P10" i="34"/>
  <c r="P19" i="34"/>
  <c r="P46" i="34"/>
  <c r="P36" i="34"/>
  <c r="P44" i="34"/>
  <c r="P16" i="34"/>
  <c r="P49" i="34"/>
  <c r="P9" i="34"/>
  <c r="P54" i="34"/>
  <c r="P28" i="34"/>
  <c r="P47" i="34"/>
  <c r="P50" i="34"/>
  <c r="P17" i="34"/>
  <c r="P29" i="34"/>
  <c r="P52" i="34"/>
  <c r="P51" i="34"/>
  <c r="P18" i="34"/>
  <c r="P43" i="34"/>
  <c r="P38" i="34"/>
  <c r="P42" i="34"/>
  <c r="P41" i="34"/>
  <c r="P48" i="34"/>
  <c r="T35" i="34"/>
  <c r="T19" i="34"/>
  <c r="T53" i="34"/>
  <c r="T50" i="34"/>
  <c r="T54" i="34"/>
  <c r="T38" i="34"/>
  <c r="T41" i="34"/>
  <c r="T51" i="34"/>
  <c r="T36" i="34"/>
  <c r="T45" i="34"/>
  <c r="T49" i="34"/>
  <c r="T43" i="34"/>
  <c r="T48" i="34"/>
  <c r="T52" i="34"/>
  <c r="T18" i="34"/>
  <c r="T8" i="34"/>
  <c r="T46" i="34"/>
  <c r="T10" i="34"/>
  <c r="T16" i="34"/>
  <c r="T44" i="34"/>
  <c r="T42" i="34"/>
  <c r="T29" i="34"/>
  <c r="S13" i="34"/>
  <c r="S15" i="34"/>
  <c r="S37" i="34"/>
  <c r="S14" i="34"/>
  <c r="S30" i="34"/>
  <c r="R30" i="34"/>
  <c r="R15" i="34"/>
  <c r="R14" i="34"/>
  <c r="R13" i="34"/>
  <c r="R37" i="34"/>
  <c r="M37" i="34"/>
  <c r="M14" i="34"/>
  <c r="M30" i="34"/>
  <c r="M13" i="34"/>
  <c r="M15" i="34"/>
  <c r="C30" i="34"/>
  <c r="C13" i="34"/>
  <c r="C14" i="34"/>
  <c r="C15" i="34"/>
  <c r="C37" i="34"/>
  <c r="Q30" i="34"/>
  <c r="Q15" i="34"/>
  <c r="Q14" i="34"/>
  <c r="Q13" i="34"/>
  <c r="Q37" i="34"/>
  <c r="I14" i="34"/>
  <c r="I37" i="34"/>
  <c r="I30" i="34"/>
  <c r="I15" i="34"/>
  <c r="I13" i="34"/>
  <c r="D13" i="34"/>
  <c r="D15" i="34"/>
  <c r="D14" i="34"/>
  <c r="D30" i="34"/>
  <c r="D37" i="34"/>
  <c r="T14" i="34"/>
  <c r="T13" i="34"/>
  <c r="T37" i="34"/>
  <c r="T15" i="34"/>
  <c r="T30" i="34"/>
  <c r="AA23" i="30"/>
  <c r="K23" i="30"/>
  <c r="T22" i="30"/>
  <c r="D22" i="30"/>
  <c r="M21" i="30"/>
  <c r="V19" i="30"/>
  <c r="F19" i="30"/>
  <c r="O17" i="30"/>
  <c r="X15" i="30"/>
  <c r="H15" i="30"/>
  <c r="Q13" i="30"/>
  <c r="Z11" i="30"/>
  <c r="J11" i="30"/>
  <c r="S9" i="30"/>
  <c r="C9" i="30"/>
  <c r="L7" i="30"/>
  <c r="T43" i="29"/>
  <c r="D43" i="29"/>
  <c r="L42" i="29"/>
  <c r="T41" i="29"/>
  <c r="D41" i="29"/>
  <c r="L40" i="29"/>
  <c r="T39" i="29"/>
  <c r="D39" i="29"/>
  <c r="L38" i="29"/>
  <c r="T37" i="29"/>
  <c r="D37" i="29"/>
  <c r="L36" i="29"/>
  <c r="T34" i="29"/>
  <c r="D34" i="29"/>
  <c r="L33" i="29"/>
  <c r="T32" i="29"/>
  <c r="D32" i="29"/>
  <c r="L31" i="29"/>
  <c r="T30" i="29"/>
  <c r="Z23" i="30"/>
  <c r="J23" i="30"/>
  <c r="S22" i="30"/>
  <c r="C22" i="30"/>
  <c r="L21" i="30"/>
  <c r="U19" i="30"/>
  <c r="E19" i="30"/>
  <c r="N17" i="30"/>
  <c r="W15" i="30"/>
  <c r="G15" i="30"/>
  <c r="P13" i="30"/>
  <c r="Y11" i="30"/>
  <c r="I11" i="30"/>
  <c r="R9" i="30"/>
  <c r="AA7" i="30"/>
  <c r="K7" i="30"/>
  <c r="S43" i="29"/>
  <c r="C43" i="29"/>
  <c r="K42" i="29"/>
  <c r="S41" i="29"/>
  <c r="C41" i="29"/>
  <c r="K40" i="29"/>
  <c r="S39" i="29"/>
  <c r="C39" i="29"/>
  <c r="K38" i="29"/>
  <c r="S37" i="29"/>
  <c r="C37" i="29"/>
  <c r="K36" i="29"/>
  <c r="S34" i="29"/>
  <c r="C34" i="29"/>
  <c r="K33" i="29"/>
  <c r="S32" i="29"/>
  <c r="C32" i="29"/>
  <c r="K31" i="29"/>
  <c r="S30" i="29"/>
  <c r="C30" i="29"/>
  <c r="K29" i="29"/>
  <c r="S26" i="29"/>
  <c r="C26" i="29"/>
  <c r="K25" i="29"/>
  <c r="S24" i="29"/>
  <c r="C24" i="29"/>
  <c r="K23" i="29"/>
  <c r="S22" i="29"/>
  <c r="C22" i="29"/>
  <c r="K20" i="29"/>
  <c r="S19" i="29"/>
  <c r="C19" i="29"/>
  <c r="K18" i="29"/>
  <c r="X23" i="30"/>
  <c r="H23" i="30"/>
  <c r="Q22" i="30"/>
  <c r="W23" i="30"/>
  <c r="G23" i="30"/>
  <c r="P22" i="30"/>
  <c r="Y21" i="30"/>
  <c r="I21" i="30"/>
  <c r="R19" i="30"/>
  <c r="AA17" i="30"/>
  <c r="K17" i="30"/>
  <c r="T15" i="30"/>
  <c r="D15" i="30"/>
  <c r="M13" i="30"/>
  <c r="V11" i="30"/>
  <c r="F11" i="30"/>
  <c r="O9" i="30"/>
  <c r="X7" i="30"/>
  <c r="H7" i="30"/>
  <c r="P43" i="29"/>
  <c r="V23" i="30"/>
  <c r="F23" i="30"/>
  <c r="O22" i="30"/>
  <c r="X21" i="30"/>
  <c r="H21" i="30"/>
  <c r="Q19" i="30"/>
  <c r="Z17" i="30"/>
  <c r="J17" i="30"/>
  <c r="S15" i="30"/>
  <c r="C15" i="30"/>
  <c r="L13" i="30"/>
  <c r="U11" i="30"/>
  <c r="E11" i="30"/>
  <c r="N9" i="30"/>
  <c r="W7" i="30"/>
  <c r="G7" i="30"/>
  <c r="O43" i="29"/>
  <c r="W42" i="29"/>
  <c r="G42" i="29"/>
  <c r="O41" i="29"/>
  <c r="W40" i="29"/>
  <c r="G40" i="29"/>
  <c r="O39" i="29"/>
  <c r="W38" i="29"/>
  <c r="G38" i="29"/>
  <c r="O37" i="29"/>
  <c r="W36" i="29"/>
  <c r="G36" i="29"/>
  <c r="O34" i="29"/>
  <c r="W33" i="29"/>
  <c r="G33" i="29"/>
  <c r="O32" i="29"/>
  <c r="W31" i="29"/>
  <c r="G31" i="29"/>
  <c r="O30" i="29"/>
  <c r="W29" i="29"/>
  <c r="G29" i="29"/>
  <c r="O26" i="29"/>
  <c r="W25" i="29"/>
  <c r="G25" i="29"/>
  <c r="O24" i="29"/>
  <c r="W23" i="29"/>
  <c r="G23" i="29"/>
  <c r="O22" i="29"/>
  <c r="W20" i="29"/>
  <c r="G20" i="29"/>
  <c r="O19" i="29"/>
  <c r="W18" i="29"/>
  <c r="G18" i="29"/>
  <c r="O17" i="29"/>
  <c r="W16" i="29"/>
  <c r="G16" i="29"/>
  <c r="O15" i="29"/>
  <c r="W14" i="29"/>
  <c r="G14" i="29"/>
  <c r="O13" i="29"/>
  <c r="W11" i="29"/>
  <c r="G11" i="29"/>
  <c r="O10" i="29"/>
  <c r="W9" i="29"/>
  <c r="G9" i="29"/>
  <c r="O8" i="29"/>
  <c r="W7" i="29"/>
  <c r="G7" i="29"/>
  <c r="P20" i="28"/>
  <c r="Y19" i="28"/>
  <c r="I19" i="28"/>
  <c r="R18" i="28"/>
  <c r="AA17" i="28"/>
  <c r="K17" i="28"/>
  <c r="T16" i="28"/>
  <c r="D16" i="28"/>
  <c r="M14" i="28"/>
  <c r="V13" i="28"/>
  <c r="F13" i="28"/>
  <c r="O11" i="28"/>
  <c r="X10" i="28"/>
  <c r="H10" i="28"/>
  <c r="Q9" i="28"/>
  <c r="Z8" i="28"/>
  <c r="J8" i="28"/>
  <c r="S7" i="28"/>
  <c r="C7" i="28"/>
  <c r="U23" i="30"/>
  <c r="E23" i="30"/>
  <c r="N22" i="30"/>
  <c r="W21" i="30"/>
  <c r="G21" i="30"/>
  <c r="P19" i="30"/>
  <c r="Y17" i="30"/>
  <c r="I17" i="30"/>
  <c r="R15" i="30"/>
  <c r="AA13" i="30"/>
  <c r="K13" i="30"/>
  <c r="T11" i="30"/>
  <c r="D11" i="30"/>
  <c r="M9" i="30"/>
  <c r="V7" i="30"/>
  <c r="F7" i="30"/>
  <c r="N43" i="29"/>
  <c r="V42" i="29"/>
  <c r="F42" i="29"/>
  <c r="N41" i="29"/>
  <c r="V40" i="29"/>
  <c r="F40" i="29"/>
  <c r="N39" i="29"/>
  <c r="V38" i="29"/>
  <c r="F38" i="29"/>
  <c r="N37" i="29"/>
  <c r="V36" i="29"/>
  <c r="F36" i="29"/>
  <c r="N34" i="29"/>
  <c r="V33" i="29"/>
  <c r="F33" i="29"/>
  <c r="N32" i="29"/>
  <c r="V31" i="29"/>
  <c r="F31" i="29"/>
  <c r="N30" i="29"/>
  <c r="V29" i="29"/>
  <c r="F29" i="29"/>
  <c r="N26" i="29"/>
  <c r="V25" i="29"/>
  <c r="F25" i="29"/>
  <c r="N24" i="29"/>
  <c r="V23" i="29"/>
  <c r="F23" i="29"/>
  <c r="N22" i="29"/>
  <c r="V20" i="29"/>
  <c r="F20" i="29"/>
  <c r="T23" i="30"/>
  <c r="D23" i="30"/>
  <c r="M22" i="30"/>
  <c r="V21" i="30"/>
  <c r="F21" i="30"/>
  <c r="O19" i="30"/>
  <c r="X17" i="30"/>
  <c r="H17" i="30"/>
  <c r="Q15" i="30"/>
  <c r="Z13" i="30"/>
  <c r="J13" i="30"/>
  <c r="S11" i="30"/>
  <c r="C11" i="30"/>
  <c r="L9" i="30"/>
  <c r="U7" i="30"/>
  <c r="E7" i="30"/>
  <c r="M43" i="29"/>
  <c r="U42" i="29"/>
  <c r="E42" i="29"/>
  <c r="M41" i="29"/>
  <c r="U40" i="29"/>
  <c r="E40" i="29"/>
  <c r="M39" i="29"/>
  <c r="U38" i="29"/>
  <c r="E38" i="29"/>
  <c r="M37" i="29"/>
  <c r="U36" i="29"/>
  <c r="E36" i="29"/>
  <c r="M34" i="29"/>
  <c r="U33" i="29"/>
  <c r="E33" i="29"/>
  <c r="M32" i="29"/>
  <c r="U31" i="29"/>
  <c r="E31" i="29"/>
  <c r="M30" i="29"/>
  <c r="U29" i="29"/>
  <c r="E29" i="29"/>
  <c r="M26" i="29"/>
  <c r="U25" i="29"/>
  <c r="E25" i="29"/>
  <c r="M24" i="29"/>
  <c r="U23" i="29"/>
  <c r="E23" i="29"/>
  <c r="M22" i="29"/>
  <c r="U20" i="29"/>
  <c r="E20" i="29"/>
  <c r="M19" i="29"/>
  <c r="U18" i="29"/>
  <c r="E18" i="29"/>
  <c r="M17" i="29"/>
  <c r="U16" i="29"/>
  <c r="E16" i="29"/>
  <c r="M15" i="29"/>
  <c r="U14" i="29"/>
  <c r="E14" i="29"/>
  <c r="M13" i="29"/>
  <c r="U11" i="29"/>
  <c r="E11" i="29"/>
  <c r="M10" i="29"/>
  <c r="U9" i="29"/>
  <c r="E9" i="29"/>
  <c r="M8" i="29"/>
  <c r="U7" i="29"/>
  <c r="S23" i="30"/>
  <c r="C23" i="30"/>
  <c r="L22" i="30"/>
  <c r="U21" i="30"/>
  <c r="E21" i="30"/>
  <c r="N19" i="30"/>
  <c r="W17" i="30"/>
  <c r="G17" i="30"/>
  <c r="P15" i="30"/>
  <c r="Y13" i="30"/>
  <c r="I13" i="30"/>
  <c r="R11" i="30"/>
  <c r="AA9" i="30"/>
  <c r="K9" i="30"/>
  <c r="T7" i="30"/>
  <c r="D7" i="30"/>
  <c r="L43" i="29"/>
  <c r="T42" i="29"/>
  <c r="D42" i="29"/>
  <c r="L41" i="29"/>
  <c r="T40" i="29"/>
  <c r="D40" i="29"/>
  <c r="L39" i="29"/>
  <c r="T38" i="29"/>
  <c r="D38" i="29"/>
  <c r="L37" i="29"/>
  <c r="T36" i="29"/>
  <c r="D36" i="29"/>
  <c r="L34" i="29"/>
  <c r="T33" i="29"/>
  <c r="D33" i="29"/>
  <c r="Q23" i="30"/>
  <c r="Z22" i="30"/>
  <c r="J22" i="30"/>
  <c r="S21" i="30"/>
  <c r="C21" i="30"/>
  <c r="L19" i="30"/>
  <c r="U17" i="30"/>
  <c r="E17" i="30"/>
  <c r="N15" i="30"/>
  <c r="W13" i="30"/>
  <c r="G13" i="30"/>
  <c r="P11" i="30"/>
  <c r="Y9" i="30"/>
  <c r="I9" i="30"/>
  <c r="R7" i="30"/>
  <c r="Z43" i="29"/>
  <c r="J43" i="29"/>
  <c r="P23" i="30"/>
  <c r="Y22" i="30"/>
  <c r="I22" i="30"/>
  <c r="R21" i="30"/>
  <c r="AA19" i="30"/>
  <c r="K19" i="30"/>
  <c r="T17" i="30"/>
  <c r="D17" i="30"/>
  <c r="M15" i="30"/>
  <c r="V13" i="30"/>
  <c r="F13" i="30"/>
  <c r="O11" i="30"/>
  <c r="X9" i="30"/>
  <c r="H9" i="30"/>
  <c r="Q7" i="30"/>
  <c r="N23" i="30"/>
  <c r="W22" i="30"/>
  <c r="G22" i="30"/>
  <c r="P21" i="30"/>
  <c r="Y19" i="30"/>
  <c r="I19" i="30"/>
  <c r="R17" i="30"/>
  <c r="AA15" i="30"/>
  <c r="K15" i="30"/>
  <c r="T13" i="30"/>
  <c r="D13" i="30"/>
  <c r="M11" i="30"/>
  <c r="V9" i="30"/>
  <c r="F9" i="30"/>
  <c r="O7" i="30"/>
  <c r="W43" i="29"/>
  <c r="G43" i="29"/>
  <c r="O42" i="29"/>
  <c r="W41" i="29"/>
  <c r="G41" i="29"/>
  <c r="O40" i="29"/>
  <c r="W39" i="29"/>
  <c r="G39" i="29"/>
  <c r="O38" i="29"/>
  <c r="W37" i="29"/>
  <c r="G37" i="29"/>
  <c r="O36" i="29"/>
  <c r="W34" i="29"/>
  <c r="G34" i="29"/>
  <c r="O33" i="29"/>
  <c r="W32" i="29"/>
  <c r="G32" i="29"/>
  <c r="O31" i="29"/>
  <c r="W30" i="29"/>
  <c r="G30" i="29"/>
  <c r="O29" i="29"/>
  <c r="W26" i="29"/>
  <c r="G26" i="29"/>
  <c r="O25" i="29"/>
  <c r="W24" i="29"/>
  <c r="G24" i="29"/>
  <c r="O23" i="29"/>
  <c r="W22" i="29"/>
  <c r="G22" i="29"/>
  <c r="O20" i="29"/>
  <c r="W19" i="29"/>
  <c r="G19" i="29"/>
  <c r="V22" i="30"/>
  <c r="Z19" i="30"/>
  <c r="L17" i="30"/>
  <c r="R13" i="30"/>
  <c r="W9" i="30"/>
  <c r="I7" i="30"/>
  <c r="S42" i="29"/>
  <c r="Q41" i="29"/>
  <c r="M40" i="29"/>
  <c r="H39" i="29"/>
  <c r="Z37" i="29"/>
  <c r="X36" i="29"/>
  <c r="R34" i="29"/>
  <c r="N33" i="29"/>
  <c r="J32" i="29"/>
  <c r="I31" i="29"/>
  <c r="H30" i="29"/>
  <c r="I29" i="29"/>
  <c r="I26" i="29"/>
  <c r="J25" i="29"/>
  <c r="J24" i="29"/>
  <c r="L23" i="29"/>
  <c r="K22" i="29"/>
  <c r="M20" i="29"/>
  <c r="N19" i="29"/>
  <c r="Q18" i="29"/>
  <c r="V17" i="29"/>
  <c r="D17" i="29"/>
  <c r="J16" i="29"/>
  <c r="P15" i="29"/>
  <c r="T14" i="29"/>
  <c r="Z13" i="29"/>
  <c r="H13" i="29"/>
  <c r="N11" i="29"/>
  <c r="T10" i="29"/>
  <c r="Z9" i="29"/>
  <c r="H9" i="29"/>
  <c r="L8" i="29"/>
  <c r="R7" i="29"/>
  <c r="Z20" i="28"/>
  <c r="I20" i="28"/>
  <c r="Q19" i="28"/>
  <c r="Y18" i="28"/>
  <c r="H18" i="28"/>
  <c r="P17" i="28"/>
  <c r="X16" i="28"/>
  <c r="G16" i="28"/>
  <c r="O14" i="28"/>
  <c r="W13" i="28"/>
  <c r="E13" i="28"/>
  <c r="M11" i="28"/>
  <c r="U10" i="28"/>
  <c r="D10" i="28"/>
  <c r="L9" i="28"/>
  <c r="T8" i="28"/>
  <c r="C8" i="28"/>
  <c r="K7" i="28"/>
  <c r="S6" i="28"/>
  <c r="C6" i="28"/>
  <c r="L22" i="27"/>
  <c r="U21" i="27"/>
  <c r="E21" i="27"/>
  <c r="N20" i="27"/>
  <c r="W18" i="27"/>
  <c r="G18" i="27"/>
  <c r="P17" i="27"/>
  <c r="Y16" i="27"/>
  <c r="I16" i="27"/>
  <c r="R14" i="27"/>
  <c r="AA13" i="27"/>
  <c r="K13" i="27"/>
  <c r="T12" i="27"/>
  <c r="D12" i="27"/>
  <c r="M10" i="27"/>
  <c r="V9" i="27"/>
  <c r="F9" i="27"/>
  <c r="O8" i="27"/>
  <c r="X7" i="27"/>
  <c r="H7" i="27"/>
  <c r="U22" i="30"/>
  <c r="X19" i="30"/>
  <c r="F17" i="30"/>
  <c r="O13" i="30"/>
  <c r="U9" i="30"/>
  <c r="C7" i="30"/>
  <c r="R42" i="29"/>
  <c r="P41" i="29"/>
  <c r="J40" i="29"/>
  <c r="F39" i="29"/>
  <c r="Y37" i="29"/>
  <c r="S36" i="29"/>
  <c r="Q34" i="29"/>
  <c r="M33" i="29"/>
  <c r="I32" i="29"/>
  <c r="H31" i="29"/>
  <c r="F30" i="29"/>
  <c r="H29" i="29"/>
  <c r="H26" i="29"/>
  <c r="I25" i="29"/>
  <c r="I24" i="29"/>
  <c r="J23" i="29"/>
  <c r="J22" i="29"/>
  <c r="L20" i="29"/>
  <c r="L19" i="29"/>
  <c r="P18" i="29"/>
  <c r="U17" i="29"/>
  <c r="C17" i="29"/>
  <c r="I16" i="29"/>
  <c r="N15" i="29"/>
  <c r="S14" i="29"/>
  <c r="Y13" i="29"/>
  <c r="G13" i="29"/>
  <c r="M11" i="29"/>
  <c r="S10" i="29"/>
  <c r="Y9" i="29"/>
  <c r="F9" i="29"/>
  <c r="K8" i="29"/>
  <c r="Q7" i="29"/>
  <c r="Y20" i="28"/>
  <c r="H20" i="28"/>
  <c r="P19" i="28"/>
  <c r="X18" i="28"/>
  <c r="G18" i="28"/>
  <c r="O17" i="28"/>
  <c r="W16" i="28"/>
  <c r="F16" i="28"/>
  <c r="N14" i="28"/>
  <c r="U13" i="28"/>
  <c r="D13" i="28"/>
  <c r="L11" i="28"/>
  <c r="T10" i="28"/>
  <c r="C10" i="28"/>
  <c r="K9" i="28"/>
  <c r="S8" i="28"/>
  <c r="AA7" i="28"/>
  <c r="J7" i="28"/>
  <c r="R6" i="28"/>
  <c r="AA22" i="27"/>
  <c r="K22" i="27"/>
  <c r="T21" i="27"/>
  <c r="D21" i="27"/>
  <c r="M20" i="27"/>
  <c r="V18" i="27"/>
  <c r="F18" i="27"/>
  <c r="O17" i="27"/>
  <c r="X16" i="27"/>
  <c r="H16" i="27"/>
  <c r="Q14" i="27"/>
  <c r="Z13" i="27"/>
  <c r="J13" i="27"/>
  <c r="S12" i="27"/>
  <c r="C12" i="27"/>
  <c r="L10" i="27"/>
  <c r="U9" i="27"/>
  <c r="E9" i="27"/>
  <c r="N8" i="27"/>
  <c r="W7" i="27"/>
  <c r="G7" i="27"/>
  <c r="P6" i="27"/>
  <c r="Y43" i="26"/>
  <c r="I43" i="26"/>
  <c r="R42" i="26"/>
  <c r="AA41" i="26"/>
  <c r="K41" i="26"/>
  <c r="T39" i="26"/>
  <c r="D39" i="26"/>
  <c r="M38" i="26"/>
  <c r="V36" i="26"/>
  <c r="F36" i="26"/>
  <c r="O35" i="26"/>
  <c r="X34" i="26"/>
  <c r="H34" i="26"/>
  <c r="Q32" i="26"/>
  <c r="Z31" i="26"/>
  <c r="J31" i="26"/>
  <c r="S30" i="26"/>
  <c r="C30" i="26"/>
  <c r="L29" i="26"/>
  <c r="U27" i="26"/>
  <c r="E27" i="26"/>
  <c r="N26" i="26"/>
  <c r="W24" i="26"/>
  <c r="G24" i="26"/>
  <c r="P23" i="26"/>
  <c r="Y22" i="26"/>
  <c r="I22" i="26"/>
  <c r="R20" i="26"/>
  <c r="AA19" i="26"/>
  <c r="K19" i="26"/>
  <c r="T18" i="26"/>
  <c r="D18" i="26"/>
  <c r="M16" i="26"/>
  <c r="V15" i="26"/>
  <c r="F15" i="26"/>
  <c r="O13" i="26"/>
  <c r="X12" i="26"/>
  <c r="H12" i="26"/>
  <c r="Q10" i="26"/>
  <c r="Z9" i="26"/>
  <c r="R22" i="30"/>
  <c r="W19" i="30"/>
  <c r="C17" i="30"/>
  <c r="N13" i="30"/>
  <c r="T9" i="30"/>
  <c r="Y43" i="29"/>
  <c r="Q42" i="29"/>
  <c r="K41" i="29"/>
  <c r="I40" i="29"/>
  <c r="E39" i="29"/>
  <c r="X37" i="29"/>
  <c r="R36" i="29"/>
  <c r="P34" i="29"/>
  <c r="J33" i="29"/>
  <c r="H32" i="29"/>
  <c r="D31" i="29"/>
  <c r="E30" i="29"/>
  <c r="D29" i="29"/>
  <c r="F26" i="29"/>
  <c r="H25" i="29"/>
  <c r="H24" i="29"/>
  <c r="I23" i="29"/>
  <c r="I22" i="29"/>
  <c r="J20" i="29"/>
  <c r="K19" i="29"/>
  <c r="O18" i="29"/>
  <c r="T17" i="29"/>
  <c r="Z16" i="29"/>
  <c r="H16" i="29"/>
  <c r="L15" i="29"/>
  <c r="R14" i="29"/>
  <c r="X13" i="29"/>
  <c r="F13" i="29"/>
  <c r="L11" i="29"/>
  <c r="R10" i="29"/>
  <c r="X9" i="29"/>
  <c r="D9" i="29"/>
  <c r="J8" i="29"/>
  <c r="P7" i="29"/>
  <c r="X20" i="28"/>
  <c r="G20" i="28"/>
  <c r="O19" i="28"/>
  <c r="W18" i="28"/>
  <c r="F18" i="28"/>
  <c r="N17" i="28"/>
  <c r="V16" i="28"/>
  <c r="E16" i="28"/>
  <c r="L14" i="28"/>
  <c r="T13" i="28"/>
  <c r="C13" i="28"/>
  <c r="K11" i="28"/>
  <c r="S10" i="28"/>
  <c r="AA9" i="28"/>
  <c r="J9" i="28"/>
  <c r="R8" i="28"/>
  <c r="Z7" i="28"/>
  <c r="I7" i="28"/>
  <c r="Q6" i="28"/>
  <c r="Z22" i="27"/>
  <c r="J22" i="27"/>
  <c r="S21" i="27"/>
  <c r="C21" i="27"/>
  <c r="L20" i="27"/>
  <c r="U18" i="27"/>
  <c r="E18" i="27"/>
  <c r="N17" i="27"/>
  <c r="W16" i="27"/>
  <c r="G16" i="27"/>
  <c r="P14" i="27"/>
  <c r="Y13" i="27"/>
  <c r="I13" i="27"/>
  <c r="R12" i="27"/>
  <c r="AA10" i="27"/>
  <c r="K10" i="27"/>
  <c r="T9" i="27"/>
  <c r="D9" i="27"/>
  <c r="M8" i="27"/>
  <c r="V7" i="27"/>
  <c r="F7" i="27"/>
  <c r="O6" i="27"/>
  <c r="X43" i="26"/>
  <c r="H43" i="26"/>
  <c r="Q42" i="26"/>
  <c r="Z41" i="26"/>
  <c r="K22" i="30"/>
  <c r="T19" i="30"/>
  <c r="Z15" i="30"/>
  <c r="H13" i="30"/>
  <c r="Q9" i="30"/>
  <c r="X43" i="29"/>
  <c r="P42" i="29"/>
  <c r="J41" i="29"/>
  <c r="H40" i="29"/>
  <c r="Z38" i="29"/>
  <c r="V37" i="29"/>
  <c r="Q36" i="29"/>
  <c r="K34" i="29"/>
  <c r="I33" i="29"/>
  <c r="F32" i="29"/>
  <c r="C31" i="29"/>
  <c r="D30" i="29"/>
  <c r="C29" i="29"/>
  <c r="E26" i="29"/>
  <c r="D25" i="29"/>
  <c r="F24" i="29"/>
  <c r="H23" i="29"/>
  <c r="H22" i="29"/>
  <c r="I20" i="29"/>
  <c r="J19" i="29"/>
  <c r="N18" i="29"/>
  <c r="S17" i="29"/>
  <c r="Y16" i="29"/>
  <c r="F16" i="29"/>
  <c r="K15" i="29"/>
  <c r="Q14" i="29"/>
  <c r="W13" i="29"/>
  <c r="E13" i="29"/>
  <c r="K11" i="29"/>
  <c r="Q10" i="29"/>
  <c r="V9" i="29"/>
  <c r="C9" i="29"/>
  <c r="I8" i="29"/>
  <c r="O7" i="29"/>
  <c r="W20" i="28"/>
  <c r="F20" i="28"/>
  <c r="N19" i="28"/>
  <c r="V18" i="28"/>
  <c r="E18" i="28"/>
  <c r="M17" i="28"/>
  <c r="U16" i="28"/>
  <c r="C16" i="28"/>
  <c r="K14" i="28"/>
  <c r="S13" i="28"/>
  <c r="AA11" i="28"/>
  <c r="J11" i="28"/>
  <c r="R10" i="28"/>
  <c r="Z9" i="28"/>
  <c r="I9" i="28"/>
  <c r="Q8" i="28"/>
  <c r="Y7" i="28"/>
  <c r="H7" i="28"/>
  <c r="P6" i="28"/>
  <c r="Y22" i="27"/>
  <c r="I22" i="27"/>
  <c r="R21" i="27"/>
  <c r="AA20" i="27"/>
  <c r="K20" i="27"/>
  <c r="T18" i="27"/>
  <c r="D18" i="27"/>
  <c r="M17" i="27"/>
  <c r="V16" i="27"/>
  <c r="F16" i="27"/>
  <c r="H22" i="30"/>
  <c r="S19" i="30"/>
  <c r="Y15" i="30"/>
  <c r="E13" i="30"/>
  <c r="P9" i="30"/>
  <c r="V43" i="29"/>
  <c r="N42" i="29"/>
  <c r="I41" i="29"/>
  <c r="C40" i="29"/>
  <c r="Y38" i="29"/>
  <c r="U37" i="29"/>
  <c r="P36" i="29"/>
  <c r="J34" i="29"/>
  <c r="H33" i="29"/>
  <c r="E32" i="29"/>
  <c r="Z30" i="29"/>
  <c r="Z29" i="29"/>
  <c r="Z26" i="29"/>
  <c r="D26" i="29"/>
  <c r="C25" i="29"/>
  <c r="E24" i="29"/>
  <c r="D23" i="29"/>
  <c r="F22" i="29"/>
  <c r="H20" i="29"/>
  <c r="I19" i="29"/>
  <c r="M18" i="29"/>
  <c r="R17" i="29"/>
  <c r="X16" i="29"/>
  <c r="D16" i="29"/>
  <c r="J15" i="29"/>
  <c r="P14" i="29"/>
  <c r="V13" i="29"/>
  <c r="D13" i="29"/>
  <c r="J11" i="29"/>
  <c r="P10" i="29"/>
  <c r="T9" i="29"/>
  <c r="F22" i="30"/>
  <c r="M19" i="30"/>
  <c r="V15" i="30"/>
  <c r="C13" i="30"/>
  <c r="J9" i="30"/>
  <c r="U43" i="29"/>
  <c r="M42" i="29"/>
  <c r="H41" i="29"/>
  <c r="Z39" i="29"/>
  <c r="X38" i="29"/>
  <c r="R37" i="29"/>
  <c r="N36" i="29"/>
  <c r="I34" i="29"/>
  <c r="C33" i="29"/>
  <c r="Z31" i="29"/>
  <c r="Y30" i="29"/>
  <c r="Y29" i="29"/>
  <c r="Y26" i="29"/>
  <c r="Z25" i="29"/>
  <c r="Z24" i="29"/>
  <c r="D24" i="29"/>
  <c r="C23" i="29"/>
  <c r="E22" i="29"/>
  <c r="D20" i="29"/>
  <c r="H19" i="29"/>
  <c r="L18" i="29"/>
  <c r="Q17" i="29"/>
  <c r="V16" i="29"/>
  <c r="C16" i="29"/>
  <c r="I15" i="29"/>
  <c r="O14" i="29"/>
  <c r="U13" i="29"/>
  <c r="C13" i="29"/>
  <c r="I11" i="29"/>
  <c r="N10" i="29"/>
  <c r="S9" i="29"/>
  <c r="Y8" i="29"/>
  <c r="G8" i="29"/>
  <c r="M7" i="29"/>
  <c r="U20" i="28"/>
  <c r="D20" i="28"/>
  <c r="L19" i="28"/>
  <c r="T18" i="28"/>
  <c r="C18" i="28"/>
  <c r="J17" i="28"/>
  <c r="R16" i="28"/>
  <c r="Z14" i="28"/>
  <c r="I14" i="28"/>
  <c r="Q13" i="28"/>
  <c r="Y11" i="28"/>
  <c r="H11" i="28"/>
  <c r="P10" i="28"/>
  <c r="X9" i="28"/>
  <c r="G9" i="28"/>
  <c r="O8" i="28"/>
  <c r="W7" i="28"/>
  <c r="F7" i="28"/>
  <c r="N6" i="28"/>
  <c r="W22" i="27"/>
  <c r="G22" i="27"/>
  <c r="P21" i="27"/>
  <c r="Y20" i="27"/>
  <c r="I20" i="27"/>
  <c r="R18" i="27"/>
  <c r="AA17" i="27"/>
  <c r="K17" i="27"/>
  <c r="T16" i="27"/>
  <c r="D16" i="27"/>
  <c r="M14" i="27"/>
  <c r="V13" i="27"/>
  <c r="F13" i="27"/>
  <c r="O12" i="27"/>
  <c r="X10" i="27"/>
  <c r="H10" i="27"/>
  <c r="Q9" i="27"/>
  <c r="Z8" i="27"/>
  <c r="J8" i="27"/>
  <c r="S7" i="27"/>
  <c r="C7" i="27"/>
  <c r="L6" i="27"/>
  <c r="U43" i="26"/>
  <c r="E43" i="26"/>
  <c r="N42" i="26"/>
  <c r="W41" i="26"/>
  <c r="G41" i="26"/>
  <c r="P39" i="26"/>
  <c r="Y38" i="26"/>
  <c r="I38" i="26"/>
  <c r="R36" i="26"/>
  <c r="AA35" i="26"/>
  <c r="K35" i="26"/>
  <c r="T34" i="26"/>
  <c r="D34" i="26"/>
  <c r="M32" i="26"/>
  <c r="V31" i="26"/>
  <c r="F31" i="26"/>
  <c r="O30" i="26"/>
  <c r="E22" i="30"/>
  <c r="J19" i="30"/>
  <c r="U15" i="30"/>
  <c r="AA11" i="30"/>
  <c r="G9" i="30"/>
  <c r="R43" i="29"/>
  <c r="J42" i="29"/>
  <c r="F41" i="29"/>
  <c r="Y39" i="29"/>
  <c r="S38" i="29"/>
  <c r="Q37" i="29"/>
  <c r="M36" i="29"/>
  <c r="H34" i="29"/>
  <c r="Z32" i="29"/>
  <c r="Y31" i="29"/>
  <c r="X30" i="29"/>
  <c r="X29" i="29"/>
  <c r="X26" i="29"/>
  <c r="Y25" i="29"/>
  <c r="Y24" i="29"/>
  <c r="Z23" i="29"/>
  <c r="Z22" i="29"/>
  <c r="D22" i="29"/>
  <c r="C20" i="29"/>
  <c r="F19" i="29"/>
  <c r="J18" i="29"/>
  <c r="P17" i="29"/>
  <c r="T16" i="29"/>
  <c r="Z15" i="29"/>
  <c r="H15" i="29"/>
  <c r="N14" i="29"/>
  <c r="T13" i="29"/>
  <c r="Z11" i="29"/>
  <c r="H11" i="29"/>
  <c r="L10" i="29"/>
  <c r="R9" i="29"/>
  <c r="X8" i="29"/>
  <c r="F8" i="29"/>
  <c r="L7" i="29"/>
  <c r="T20" i="28"/>
  <c r="C20" i="28"/>
  <c r="K19" i="28"/>
  <c r="S18" i="28"/>
  <c r="Z17" i="28"/>
  <c r="I17" i="28"/>
  <c r="Q16" i="28"/>
  <c r="Y14" i="28"/>
  <c r="H14" i="28"/>
  <c r="P13" i="28"/>
  <c r="X11" i="28"/>
  <c r="G11" i="28"/>
  <c r="O10" i="28"/>
  <c r="W9" i="28"/>
  <c r="F9" i="28"/>
  <c r="N8" i="28"/>
  <c r="V7" i="28"/>
  <c r="E7" i="28"/>
  <c r="M6" i="28"/>
  <c r="V22" i="27"/>
  <c r="F22" i="27"/>
  <c r="O21" i="27"/>
  <c r="X20" i="27"/>
  <c r="H20" i="27"/>
  <c r="Q18" i="27"/>
  <c r="Z17" i="27"/>
  <c r="AA21" i="30"/>
  <c r="H19" i="30"/>
  <c r="O15" i="30"/>
  <c r="X11" i="30"/>
  <c r="E9" i="30"/>
  <c r="Q43" i="29"/>
  <c r="I42" i="29"/>
  <c r="E41" i="29"/>
  <c r="X39" i="29"/>
  <c r="R38" i="29"/>
  <c r="P37" i="29"/>
  <c r="J36" i="29"/>
  <c r="F34" i="29"/>
  <c r="Y32" i="29"/>
  <c r="X31" i="29"/>
  <c r="V30" i="29"/>
  <c r="T29" i="29"/>
  <c r="V26" i="29"/>
  <c r="X25" i="29"/>
  <c r="X24" i="29"/>
  <c r="Y23" i="29"/>
  <c r="Y22" i="29"/>
  <c r="Z20" i="29"/>
  <c r="Z19" i="29"/>
  <c r="E19" i="29"/>
  <c r="I18" i="29"/>
  <c r="N17" i="29"/>
  <c r="S16" i="29"/>
  <c r="Y15" i="29"/>
  <c r="G15" i="29"/>
  <c r="M14" i="29"/>
  <c r="S13" i="29"/>
  <c r="Y11" i="29"/>
  <c r="F11" i="29"/>
  <c r="K10" i="29"/>
  <c r="Q9" i="29"/>
  <c r="W8" i="29"/>
  <c r="E8" i="29"/>
  <c r="K7" i="29"/>
  <c r="S20" i="28"/>
  <c r="AA19" i="28"/>
  <c r="J19" i="28"/>
  <c r="Q18" i="28"/>
  <c r="Y17" i="28"/>
  <c r="H17" i="28"/>
  <c r="P16" i="28"/>
  <c r="X14" i="28"/>
  <c r="G14" i="28"/>
  <c r="O13" i="28"/>
  <c r="W11" i="28"/>
  <c r="F11" i="28"/>
  <c r="N10" i="28"/>
  <c r="V9" i="28"/>
  <c r="E9" i="28"/>
  <c r="M8" i="28"/>
  <c r="U7" i="28"/>
  <c r="D7" i="28"/>
  <c r="L6" i="28"/>
  <c r="U22" i="27"/>
  <c r="E22" i="27"/>
  <c r="N21" i="27"/>
  <c r="W20" i="27"/>
  <c r="G20" i="27"/>
  <c r="P18" i="27"/>
  <c r="Y17" i="27"/>
  <c r="I17" i="27"/>
  <c r="R16" i="27"/>
  <c r="AA14" i="27"/>
  <c r="K14" i="27"/>
  <c r="T13" i="27"/>
  <c r="D13" i="27"/>
  <c r="M12" i="27"/>
  <c r="V10" i="27"/>
  <c r="F10" i="27"/>
  <c r="O9" i="27"/>
  <c r="X8" i="27"/>
  <c r="H8" i="27"/>
  <c r="Q7" i="27"/>
  <c r="Z6" i="27"/>
  <c r="J6" i="27"/>
  <c r="S43" i="26"/>
  <c r="C43" i="26"/>
  <c r="L42" i="26"/>
  <c r="U41" i="26"/>
  <c r="E41" i="26"/>
  <c r="N39" i="26"/>
  <c r="W38" i="26"/>
  <c r="G38" i="26"/>
  <c r="P36" i="26"/>
  <c r="Y35" i="26"/>
  <c r="I35" i="26"/>
  <c r="R34" i="26"/>
  <c r="AA32" i="26"/>
  <c r="K32" i="26"/>
  <c r="T31" i="26"/>
  <c r="D31" i="26"/>
  <c r="M30" i="26"/>
  <c r="V29" i="26"/>
  <c r="F29" i="26"/>
  <c r="O27" i="26"/>
  <c r="X26" i="26"/>
  <c r="H26" i="26"/>
  <c r="Q24" i="26"/>
  <c r="Z23" i="26"/>
  <c r="J23" i="26"/>
  <c r="S22" i="26"/>
  <c r="C22" i="26"/>
  <c r="L20" i="26"/>
  <c r="U19" i="26"/>
  <c r="E19" i="26"/>
  <c r="N18" i="26"/>
  <c r="W16" i="26"/>
  <c r="Y23" i="30"/>
  <c r="Z21" i="30"/>
  <c r="G19" i="30"/>
  <c r="L15" i="30"/>
  <c r="W11" i="30"/>
  <c r="D9" i="30"/>
  <c r="K43" i="29"/>
  <c r="H42" i="29"/>
  <c r="Z40" i="29"/>
  <c r="V39" i="29"/>
  <c r="Q38" i="29"/>
  <c r="K37" i="29"/>
  <c r="I36" i="29"/>
  <c r="E34" i="29"/>
  <c r="X32" i="29"/>
  <c r="T31" i="29"/>
  <c r="U30" i="29"/>
  <c r="S29" i="29"/>
  <c r="U26" i="29"/>
  <c r="T25" i="29"/>
  <c r="V24" i="29"/>
  <c r="X23" i="29"/>
  <c r="X22" i="29"/>
  <c r="Y20" i="29"/>
  <c r="Y19" i="29"/>
  <c r="D19" i="29"/>
  <c r="H18" i="29"/>
  <c r="L17" i="29"/>
  <c r="R16" i="29"/>
  <c r="X15" i="29"/>
  <c r="F15" i="29"/>
  <c r="L14" i="29"/>
  <c r="R13" i="29"/>
  <c r="X11" i="29"/>
  <c r="D11" i="29"/>
  <c r="J10" i="29"/>
  <c r="P9" i="29"/>
  <c r="V8" i="29"/>
  <c r="D8" i="29"/>
  <c r="J7" i="29"/>
  <c r="R20" i="28"/>
  <c r="Z19" i="28"/>
  <c r="H19" i="28"/>
  <c r="P18" i="28"/>
  <c r="X17" i="28"/>
  <c r="G17" i="28"/>
  <c r="O16" i="28"/>
  <c r="W14" i="28"/>
  <c r="F14" i="28"/>
  <c r="N13" i="28"/>
  <c r="V11" i="28"/>
  <c r="E11" i="28"/>
  <c r="M10" i="28"/>
  <c r="U9" i="28"/>
  <c r="D9" i="28"/>
  <c r="L8" i="28"/>
  <c r="T7" i="28"/>
  <c r="AA6" i="28"/>
  <c r="K6" i="28"/>
  <c r="T22" i="27"/>
  <c r="D22" i="27"/>
  <c r="M21" i="27"/>
  <c r="V20" i="27"/>
  <c r="F20" i="27"/>
  <c r="O18" i="27"/>
  <c r="X17" i="27"/>
  <c r="H17" i="27"/>
  <c r="Q16" i="27"/>
  <c r="Z14" i="27"/>
  <c r="J14" i="27"/>
  <c r="S13" i="27"/>
  <c r="C13" i="27"/>
  <c r="L12" i="27"/>
  <c r="U10" i="27"/>
  <c r="R23" i="30"/>
  <c r="T21" i="30"/>
  <c r="D19" i="30"/>
  <c r="J15" i="30"/>
  <c r="Q11" i="30"/>
  <c r="Z7" i="30"/>
  <c r="I43" i="29"/>
  <c r="C42" i="29"/>
  <c r="Y40" i="29"/>
  <c r="U39" i="29"/>
  <c r="P38" i="29"/>
  <c r="J37" i="29"/>
  <c r="H36" i="29"/>
  <c r="Z33" i="29"/>
  <c r="V32" i="29"/>
  <c r="S31" i="29"/>
  <c r="R30" i="29"/>
  <c r="R29" i="29"/>
  <c r="T26" i="29"/>
  <c r="S25" i="29"/>
  <c r="U24" i="29"/>
  <c r="T23" i="29"/>
  <c r="V22" i="29"/>
  <c r="X20" i="29"/>
  <c r="X19" i="29"/>
  <c r="Z18" i="29"/>
  <c r="F18" i="29"/>
  <c r="K17" i="29"/>
  <c r="Q16" i="29"/>
  <c r="W15" i="29"/>
  <c r="E15" i="29"/>
  <c r="K14" i="29"/>
  <c r="Q13" i="29"/>
  <c r="V11" i="29"/>
  <c r="C11" i="29"/>
  <c r="I10" i="29"/>
  <c r="O9" i="29"/>
  <c r="U8" i="29"/>
  <c r="O23" i="30"/>
  <c r="Q21" i="30"/>
  <c r="C19" i="30"/>
  <c r="I15" i="30"/>
  <c r="N11" i="30"/>
  <c r="Y7" i="30"/>
  <c r="H43" i="29"/>
  <c r="Z41" i="29"/>
  <c r="X40" i="29"/>
  <c r="R39" i="29"/>
  <c r="N38" i="29"/>
  <c r="I37" i="29"/>
  <c r="C36" i="29"/>
  <c r="Y33" i="29"/>
  <c r="U32" i="29"/>
  <c r="R31" i="29"/>
  <c r="Q30" i="29"/>
  <c r="Q29" i="29"/>
  <c r="R26" i="29"/>
  <c r="R25" i="29"/>
  <c r="T24" i="29"/>
  <c r="S23" i="29"/>
  <c r="U22" i="29"/>
  <c r="T20" i="29"/>
  <c r="V19" i="29"/>
  <c r="Y18" i="29"/>
  <c r="D18" i="29"/>
  <c r="J17" i="29"/>
  <c r="P16" i="29"/>
  <c r="V15" i="29"/>
  <c r="D15" i="29"/>
  <c r="J14" i="29"/>
  <c r="P13" i="29"/>
  <c r="T11" i="29"/>
  <c r="Z10" i="29"/>
  <c r="H10" i="29"/>
  <c r="N9" i="29"/>
  <c r="T8" i="29"/>
  <c r="Z7" i="29"/>
  <c r="H7" i="29"/>
  <c r="O20" i="28"/>
  <c r="W19" i="28"/>
  <c r="F19" i="28"/>
  <c r="N18" i="28"/>
  <c r="V17" i="28"/>
  <c r="E17" i="28"/>
  <c r="M16" i="28"/>
  <c r="U14" i="28"/>
  <c r="D14" i="28"/>
  <c r="L13" i="28"/>
  <c r="T11" i="28"/>
  <c r="C11" i="28"/>
  <c r="K10" i="28"/>
  <c r="S9" i="28"/>
  <c r="AA8" i="28"/>
  <c r="I8" i="28"/>
  <c r="Q7" i="28"/>
  <c r="Y6" i="28"/>
  <c r="I6" i="28"/>
  <c r="R22" i="27"/>
  <c r="AA21" i="27"/>
  <c r="K21" i="27"/>
  <c r="T20" i="27"/>
  <c r="D20" i="27"/>
  <c r="M18" i="27"/>
  <c r="V17" i="27"/>
  <c r="F17" i="27"/>
  <c r="O16" i="27"/>
  <c r="X14" i="27"/>
  <c r="H14" i="27"/>
  <c r="Q13" i="27"/>
  <c r="Z12" i="27"/>
  <c r="J12" i="27"/>
  <c r="S10" i="27"/>
  <c r="C10" i="27"/>
  <c r="L9" i="27"/>
  <c r="U8" i="27"/>
  <c r="E8" i="27"/>
  <c r="N7" i="27"/>
  <c r="W6" i="27"/>
  <c r="G6" i="27"/>
  <c r="P43" i="26"/>
  <c r="Y42" i="26"/>
  <c r="I42" i="26"/>
  <c r="R41" i="26"/>
  <c r="AA39" i="26"/>
  <c r="K39" i="26"/>
  <c r="T38" i="26"/>
  <c r="D38" i="26"/>
  <c r="M36" i="26"/>
  <c r="V35" i="26"/>
  <c r="F35" i="26"/>
  <c r="O34" i="26"/>
  <c r="X32" i="26"/>
  <c r="H32" i="26"/>
  <c r="Q31" i="26"/>
  <c r="Z30" i="26"/>
  <c r="J30" i="26"/>
  <c r="S29" i="26"/>
  <c r="C29" i="26"/>
  <c r="L27" i="26"/>
  <c r="U26" i="26"/>
  <c r="E26" i="26"/>
  <c r="N24" i="26"/>
  <c r="W23" i="26"/>
  <c r="M23" i="30"/>
  <c r="O21" i="30"/>
  <c r="V17" i="30"/>
  <c r="F15" i="30"/>
  <c r="L11" i="30"/>
  <c r="S7" i="30"/>
  <c r="F43" i="29"/>
  <c r="Y41" i="29"/>
  <c r="S40" i="29"/>
  <c r="Q39" i="29"/>
  <c r="M38" i="29"/>
  <c r="H37" i="29"/>
  <c r="Z34" i="29"/>
  <c r="X33" i="29"/>
  <c r="R32" i="29"/>
  <c r="Q31" i="29"/>
  <c r="P30" i="29"/>
  <c r="P29" i="29"/>
  <c r="Q26" i="29"/>
  <c r="Q25" i="29"/>
  <c r="R24" i="29"/>
  <c r="R23" i="29"/>
  <c r="T22" i="29"/>
  <c r="S20" i="29"/>
  <c r="U19" i="29"/>
  <c r="X18" i="29"/>
  <c r="C18" i="29"/>
  <c r="I17" i="29"/>
  <c r="O16" i="29"/>
  <c r="U15" i="29"/>
  <c r="C15" i="29"/>
  <c r="I14" i="29"/>
  <c r="N13" i="29"/>
  <c r="S11" i="29"/>
  <c r="Y10" i="29"/>
  <c r="G10" i="29"/>
  <c r="M9" i="29"/>
  <c r="S8" i="29"/>
  <c r="Y7" i="29"/>
  <c r="F7" i="29"/>
  <c r="N20" i="28"/>
  <c r="V19" i="28"/>
  <c r="E19" i="28"/>
  <c r="M18" i="28"/>
  <c r="U17" i="28"/>
  <c r="D17" i="28"/>
  <c r="L16" i="28"/>
  <c r="T14" i="28"/>
  <c r="C14" i="28"/>
  <c r="K13" i="28"/>
  <c r="S11" i="28"/>
  <c r="AA10" i="28"/>
  <c r="J10" i="28"/>
  <c r="R9" i="28"/>
  <c r="Y8" i="28"/>
  <c r="H8" i="28"/>
  <c r="P7" i="28"/>
  <c r="X6" i="28"/>
  <c r="H6" i="28"/>
  <c r="Q22" i="27"/>
  <c r="Z21" i="27"/>
  <c r="J21" i="27"/>
  <c r="S20" i="27"/>
  <c r="C20" i="27"/>
  <c r="L18" i="27"/>
  <c r="U17" i="27"/>
  <c r="E17" i="27"/>
  <c r="N16" i="27"/>
  <c r="W14" i="27"/>
  <c r="G14" i="27"/>
  <c r="P13" i="27"/>
  <c r="Y12" i="27"/>
  <c r="I12" i="27"/>
  <c r="R10" i="27"/>
  <c r="AA9" i="27"/>
  <c r="K9" i="27"/>
  <c r="T8" i="27"/>
  <c r="D8" i="27"/>
  <c r="M7" i="27"/>
  <c r="V6" i="27"/>
  <c r="F6" i="27"/>
  <c r="O43" i="26"/>
  <c r="X42" i="26"/>
  <c r="H42" i="26"/>
  <c r="Q41" i="26"/>
  <c r="Z39" i="26"/>
  <c r="J39" i="26"/>
  <c r="S38" i="26"/>
  <c r="C38" i="26"/>
  <c r="L36" i="26"/>
  <c r="U35" i="26"/>
  <c r="E35" i="26"/>
  <c r="N34" i="26"/>
  <c r="W32" i="26"/>
  <c r="G32" i="26"/>
  <c r="P31" i="26"/>
  <c r="Y30" i="26"/>
  <c r="I30" i="26"/>
  <c r="R29" i="26"/>
  <c r="AA27" i="26"/>
  <c r="K27" i="26"/>
  <c r="T26" i="26"/>
  <c r="D26" i="26"/>
  <c r="M24" i="26"/>
  <c r="V23" i="26"/>
  <c r="F23" i="26"/>
  <c r="L23" i="30"/>
  <c r="N21" i="30"/>
  <c r="S17" i="30"/>
  <c r="E15" i="30"/>
  <c r="K11" i="30"/>
  <c r="P7" i="30"/>
  <c r="E43" i="29"/>
  <c r="X41" i="29"/>
  <c r="R40" i="29"/>
  <c r="P39" i="29"/>
  <c r="J38" i="29"/>
  <c r="F37" i="29"/>
  <c r="Y34" i="29"/>
  <c r="S33" i="29"/>
  <c r="Q32" i="29"/>
  <c r="P31" i="29"/>
  <c r="L30" i="29"/>
  <c r="N29" i="29"/>
  <c r="P26" i="29"/>
  <c r="P25" i="29"/>
  <c r="Q24" i="29"/>
  <c r="Q23" i="29"/>
  <c r="R22" i="29"/>
  <c r="R20" i="29"/>
  <c r="T19" i="29"/>
  <c r="V18" i="29"/>
  <c r="Z17" i="29"/>
  <c r="H17" i="29"/>
  <c r="N16" i="29"/>
  <c r="T15" i="29"/>
  <c r="Z14" i="29"/>
  <c r="H14" i="29"/>
  <c r="L13" i="29"/>
  <c r="R11" i="29"/>
  <c r="X10" i="29"/>
  <c r="F10" i="29"/>
  <c r="L9" i="29"/>
  <c r="R8" i="29"/>
  <c r="X7" i="29"/>
  <c r="E7" i="29"/>
  <c r="M20" i="28"/>
  <c r="U19" i="28"/>
  <c r="D19" i="28"/>
  <c r="L18" i="28"/>
  <c r="T17" i="28"/>
  <c r="C17" i="28"/>
  <c r="K16" i="28"/>
  <c r="S14" i="28"/>
  <c r="AA13" i="28"/>
  <c r="J13" i="28"/>
  <c r="R11" i="28"/>
  <c r="Z10" i="28"/>
  <c r="I10" i="28"/>
  <c r="P9" i="28"/>
  <c r="X8" i="28"/>
  <c r="G8" i="28"/>
  <c r="O7" i="28"/>
  <c r="W6" i="28"/>
  <c r="G6" i="28"/>
  <c r="P22" i="27"/>
  <c r="Y21" i="27"/>
  <c r="I21" i="27"/>
  <c r="R20" i="27"/>
  <c r="AA18" i="27"/>
  <c r="K18" i="27"/>
  <c r="T17" i="27"/>
  <c r="D17" i="27"/>
  <c r="M16" i="27"/>
  <c r="V14" i="27"/>
  <c r="X22" i="30"/>
  <c r="D21" i="30"/>
  <c r="M17" i="30"/>
  <c r="S13" i="30"/>
  <c r="Z9" i="30"/>
  <c r="J7" i="30"/>
  <c r="X42" i="29"/>
  <c r="R41" i="29"/>
  <c r="N40" i="29"/>
  <c r="I39" i="29"/>
  <c r="C38" i="29"/>
  <c r="Y36" i="29"/>
  <c r="U34" i="29"/>
  <c r="P33" i="29"/>
  <c r="K32" i="29"/>
  <c r="J31" i="29"/>
  <c r="I30" i="29"/>
  <c r="J29" i="29"/>
  <c r="J26" i="29"/>
  <c r="L25" i="29"/>
  <c r="K24" i="29"/>
  <c r="M23" i="29"/>
  <c r="L22" i="29"/>
  <c r="N20" i="29"/>
  <c r="P19" i="29"/>
  <c r="R18" i="29"/>
  <c r="W17" i="29"/>
  <c r="E17" i="29"/>
  <c r="K16" i="29"/>
  <c r="Q15" i="29"/>
  <c r="V14" i="29"/>
  <c r="C14" i="29"/>
  <c r="I13" i="29"/>
  <c r="O11" i="29"/>
  <c r="U10" i="29"/>
  <c r="C10" i="29"/>
  <c r="I9" i="29"/>
  <c r="N8" i="29"/>
  <c r="S7" i="29"/>
  <c r="AA20" i="28"/>
  <c r="J20" i="28"/>
  <c r="R19" i="28"/>
  <c r="Z18" i="28"/>
  <c r="I18" i="28"/>
  <c r="Q17" i="28"/>
  <c r="Y16" i="28"/>
  <c r="H16" i="28"/>
  <c r="P14" i="28"/>
  <c r="X13" i="28"/>
  <c r="G13" i="28"/>
  <c r="N11" i="28"/>
  <c r="V10" i="28"/>
  <c r="E10" i="28"/>
  <c r="M9" i="28"/>
  <c r="U8" i="28"/>
  <c r="D8" i="28"/>
  <c r="L7" i="28"/>
  <c r="T6" i="28"/>
  <c r="D6" i="28"/>
  <c r="M22" i="27"/>
  <c r="V21" i="27"/>
  <c r="F21" i="27"/>
  <c r="O20" i="27"/>
  <c r="X18" i="27"/>
  <c r="H18" i="27"/>
  <c r="Q17" i="27"/>
  <c r="Z16" i="27"/>
  <c r="J16" i="27"/>
  <c r="S14" i="27"/>
  <c r="C14" i="27"/>
  <c r="L13" i="27"/>
  <c r="U12" i="27"/>
  <c r="E12" i="27"/>
  <c r="N10" i="27"/>
  <c r="W9" i="27"/>
  <c r="G9" i="27"/>
  <c r="P8" i="27"/>
  <c r="Y7" i="27"/>
  <c r="I7" i="27"/>
  <c r="R6" i="27"/>
  <c r="AA43" i="26"/>
  <c r="Q17" i="30"/>
  <c r="I38" i="29"/>
  <c r="P17" i="30"/>
  <c r="H38" i="29"/>
  <c r="K26" i="29"/>
  <c r="X17" i="29"/>
  <c r="V10" i="29"/>
  <c r="V20" i="28"/>
  <c r="D18" i="28"/>
  <c r="J14" i="28"/>
  <c r="Q10" i="28"/>
  <c r="X7" i="28"/>
  <c r="H22" i="27"/>
  <c r="S18" i="27"/>
  <c r="L16" i="27"/>
  <c r="U13" i="27"/>
  <c r="H12" i="27"/>
  <c r="Y9" i="27"/>
  <c r="R8" i="27"/>
  <c r="K7" i="27"/>
  <c r="E6" i="27"/>
  <c r="D43" i="26"/>
  <c r="D42" i="26"/>
  <c r="D41" i="26"/>
  <c r="F39" i="26"/>
  <c r="H38" i="26"/>
  <c r="I36" i="26"/>
  <c r="L35" i="26"/>
  <c r="L34" i="26"/>
  <c r="O32" i="26"/>
  <c r="O31" i="26"/>
  <c r="R30" i="26"/>
  <c r="U29" i="26"/>
  <c r="X27" i="26"/>
  <c r="C27" i="26"/>
  <c r="G26" i="26"/>
  <c r="J24" i="26"/>
  <c r="N23" i="26"/>
  <c r="T22" i="26"/>
  <c r="Z20" i="26"/>
  <c r="H20" i="26"/>
  <c r="O19" i="26"/>
  <c r="V18" i="26"/>
  <c r="C18" i="26"/>
  <c r="J16" i="26"/>
  <c r="R15" i="26"/>
  <c r="Z13" i="26"/>
  <c r="I13" i="26"/>
  <c r="Q12" i="26"/>
  <c r="Y10" i="26"/>
  <c r="H10" i="26"/>
  <c r="P9" i="26"/>
  <c r="Y8" i="26"/>
  <c r="I8" i="26"/>
  <c r="R43" i="25"/>
  <c r="AA42" i="25"/>
  <c r="K42" i="25"/>
  <c r="T41" i="25"/>
  <c r="D41" i="25"/>
  <c r="M39" i="25"/>
  <c r="V38" i="25"/>
  <c r="F38" i="25"/>
  <c r="O36" i="25"/>
  <c r="X35" i="25"/>
  <c r="H35" i="25"/>
  <c r="Q34" i="25"/>
  <c r="Z32" i="25"/>
  <c r="J32" i="25"/>
  <c r="S31" i="25"/>
  <c r="C31" i="25"/>
  <c r="L30" i="25"/>
  <c r="U29" i="25"/>
  <c r="E29" i="25"/>
  <c r="N27" i="25"/>
  <c r="W26" i="25"/>
  <c r="G26" i="25"/>
  <c r="P24" i="25"/>
  <c r="Y23" i="25"/>
  <c r="I23" i="25"/>
  <c r="X13" i="30"/>
  <c r="E37" i="29"/>
  <c r="N25" i="29"/>
  <c r="G17" i="29"/>
  <c r="E10" i="29"/>
  <c r="Q20" i="28"/>
  <c r="W17" i="28"/>
  <c r="E14" i="28"/>
  <c r="L10" i="28"/>
  <c r="R7" i="28"/>
  <c r="C22" i="27"/>
  <c r="N18" i="27"/>
  <c r="K16" i="27"/>
  <c r="R13" i="27"/>
  <c r="G12" i="27"/>
  <c r="X9" i="27"/>
  <c r="Q8" i="27"/>
  <c r="J7" i="27"/>
  <c r="D6" i="27"/>
  <c r="AA42" i="26"/>
  <c r="C42" i="26"/>
  <c r="C41" i="26"/>
  <c r="E39" i="26"/>
  <c r="F38" i="26"/>
  <c r="H36" i="26"/>
  <c r="J35" i="26"/>
  <c r="K34" i="26"/>
  <c r="N32" i="26"/>
  <c r="N31" i="26"/>
  <c r="Q30" i="26"/>
  <c r="T29" i="26"/>
  <c r="W27" i="26"/>
  <c r="AA26" i="26"/>
  <c r="F26" i="26"/>
  <c r="I24" i="26"/>
  <c r="M23" i="26"/>
  <c r="R22" i="26"/>
  <c r="Y20" i="26"/>
  <c r="G20" i="26"/>
  <c r="N19" i="26"/>
  <c r="U18" i="26"/>
  <c r="AA16" i="26"/>
  <c r="I16" i="26"/>
  <c r="Q15" i="26"/>
  <c r="Y13" i="26"/>
  <c r="H13" i="26"/>
  <c r="P12" i="26"/>
  <c r="X10" i="26"/>
  <c r="G10" i="26"/>
  <c r="O9" i="26"/>
  <c r="X8" i="26"/>
  <c r="H8" i="26"/>
  <c r="Q43" i="25"/>
  <c r="Z42" i="25"/>
  <c r="J42" i="25"/>
  <c r="S41" i="25"/>
  <c r="C41" i="25"/>
  <c r="L39" i="25"/>
  <c r="U38" i="25"/>
  <c r="E38" i="25"/>
  <c r="N36" i="25"/>
  <c r="W35" i="25"/>
  <c r="G35" i="25"/>
  <c r="P34" i="25"/>
  <c r="Y32" i="25"/>
  <c r="I32" i="25"/>
  <c r="R31" i="25"/>
  <c r="AA30" i="25"/>
  <c r="K30" i="25"/>
  <c r="T29" i="25"/>
  <c r="D29" i="25"/>
  <c r="M27" i="25"/>
  <c r="V26" i="25"/>
  <c r="F26" i="25"/>
  <c r="O24" i="25"/>
  <c r="X23" i="25"/>
  <c r="H23" i="25"/>
  <c r="Q22" i="25"/>
  <c r="Z20" i="25"/>
  <c r="J20" i="25"/>
  <c r="S19" i="25"/>
  <c r="C19" i="25"/>
  <c r="L18" i="25"/>
  <c r="U16" i="25"/>
  <c r="E16" i="25"/>
  <c r="N15" i="25"/>
  <c r="W13" i="25"/>
  <c r="G13" i="25"/>
  <c r="P12" i="25"/>
  <c r="Y10" i="25"/>
  <c r="I10" i="25"/>
  <c r="R9" i="25"/>
  <c r="AA8" i="25"/>
  <c r="K8" i="25"/>
  <c r="T78" i="24"/>
  <c r="D78" i="24"/>
  <c r="M77" i="24"/>
  <c r="V76" i="24"/>
  <c r="F76" i="24"/>
  <c r="O75" i="24"/>
  <c r="X74" i="24"/>
  <c r="H74" i="24"/>
  <c r="Q72" i="24"/>
  <c r="Z71" i="24"/>
  <c r="J71" i="24"/>
  <c r="S70" i="24"/>
  <c r="C70" i="24"/>
  <c r="L69" i="24"/>
  <c r="U68" i="24"/>
  <c r="E68" i="24"/>
  <c r="N67" i="24"/>
  <c r="W66" i="24"/>
  <c r="G66" i="24"/>
  <c r="P65" i="24"/>
  <c r="Y64" i="24"/>
  <c r="I64" i="24"/>
  <c r="R63" i="24"/>
  <c r="U13" i="30"/>
  <c r="Z36" i="29"/>
  <c r="M25" i="29"/>
  <c r="F17" i="29"/>
  <c r="D10" i="29"/>
  <c r="L20" i="28"/>
  <c r="S17" i="28"/>
  <c r="Z13" i="28"/>
  <c r="G10" i="28"/>
  <c r="N7" i="28"/>
  <c r="X21" i="27"/>
  <c r="J18" i="27"/>
  <c r="E16" i="27"/>
  <c r="O13" i="27"/>
  <c r="F12" i="27"/>
  <c r="S9" i="27"/>
  <c r="L8" i="27"/>
  <c r="E7" i="27"/>
  <c r="C6" i="27"/>
  <c r="Z42" i="26"/>
  <c r="Y41" i="26"/>
  <c r="Y39" i="26"/>
  <c r="C39" i="26"/>
  <c r="E38" i="26"/>
  <c r="G36" i="26"/>
  <c r="H35" i="26"/>
  <c r="J34" i="26"/>
  <c r="L32" i="26"/>
  <c r="M31" i="26"/>
  <c r="P30" i="26"/>
  <c r="Q29" i="26"/>
  <c r="V27" i="26"/>
  <c r="Z26" i="26"/>
  <c r="C26" i="26"/>
  <c r="H24" i="26"/>
  <c r="L23" i="26"/>
  <c r="Q22" i="26"/>
  <c r="X20" i="26"/>
  <c r="F20" i="26"/>
  <c r="M19" i="26"/>
  <c r="S18" i="26"/>
  <c r="Z16" i="26"/>
  <c r="H16" i="26"/>
  <c r="P15" i="26"/>
  <c r="X13" i="26"/>
  <c r="G13" i="26"/>
  <c r="O12" i="26"/>
  <c r="W10" i="26"/>
  <c r="F10" i="26"/>
  <c r="N9" i="26"/>
  <c r="W8" i="26"/>
  <c r="G8" i="26"/>
  <c r="P43" i="25"/>
  <c r="Y42" i="25"/>
  <c r="I42" i="25"/>
  <c r="R41" i="25"/>
  <c r="AA39" i="25"/>
  <c r="K39" i="25"/>
  <c r="T38" i="25"/>
  <c r="D38" i="25"/>
  <c r="M36" i="25"/>
  <c r="V35" i="25"/>
  <c r="F35" i="25"/>
  <c r="O34" i="25"/>
  <c r="X32" i="25"/>
  <c r="H32" i="25"/>
  <c r="Q31" i="25"/>
  <c r="Z30" i="25"/>
  <c r="J30" i="25"/>
  <c r="S29" i="25"/>
  <c r="C29" i="25"/>
  <c r="L27" i="25"/>
  <c r="U26" i="25"/>
  <c r="E26" i="25"/>
  <c r="N24" i="25"/>
  <c r="W23" i="25"/>
  <c r="G23" i="25"/>
  <c r="P22" i="25"/>
  <c r="Y20" i="25"/>
  <c r="I20" i="25"/>
  <c r="R19" i="25"/>
  <c r="AA18" i="25"/>
  <c r="K18" i="25"/>
  <c r="T16" i="25"/>
  <c r="D16" i="25"/>
  <c r="M15" i="25"/>
  <c r="V13" i="25"/>
  <c r="F13" i="25"/>
  <c r="O12" i="25"/>
  <c r="X10" i="25"/>
  <c r="H10" i="25"/>
  <c r="Q9" i="25"/>
  <c r="Z8" i="25"/>
  <c r="J8" i="25"/>
  <c r="S78" i="24"/>
  <c r="C78" i="24"/>
  <c r="L77" i="24"/>
  <c r="U76" i="24"/>
  <c r="E76" i="24"/>
  <c r="N75" i="24"/>
  <c r="W74" i="24"/>
  <c r="G74" i="24"/>
  <c r="P72" i="24"/>
  <c r="Y71" i="24"/>
  <c r="I71" i="24"/>
  <c r="R70" i="24"/>
  <c r="AA69" i="24"/>
  <c r="K69" i="24"/>
  <c r="T68" i="24"/>
  <c r="D68" i="24"/>
  <c r="M67" i="24"/>
  <c r="V66" i="24"/>
  <c r="F66" i="24"/>
  <c r="O65" i="24"/>
  <c r="X64" i="24"/>
  <c r="H64" i="24"/>
  <c r="Q63" i="24"/>
  <c r="Z62" i="24"/>
  <c r="J62" i="24"/>
  <c r="S61" i="24"/>
  <c r="C61" i="24"/>
  <c r="H11" i="30"/>
  <c r="X34" i="29"/>
  <c r="P24" i="29"/>
  <c r="M16" i="29"/>
  <c r="K9" i="29"/>
  <c r="K20" i="28"/>
  <c r="R17" i="28"/>
  <c r="Y13" i="28"/>
  <c r="F10" i="28"/>
  <c r="M7" i="28"/>
  <c r="W21" i="27"/>
  <c r="I18" i="27"/>
  <c r="C16" i="27"/>
  <c r="N13" i="27"/>
  <c r="Z10" i="27"/>
  <c r="R9" i="27"/>
  <c r="K8" i="27"/>
  <c r="D7" i="27"/>
  <c r="Z43" i="26"/>
  <c r="W42" i="26"/>
  <c r="X41" i="26"/>
  <c r="X39" i="26"/>
  <c r="AA38" i="26"/>
  <c r="AA36" i="26"/>
  <c r="E36" i="26"/>
  <c r="G35" i="26"/>
  <c r="I34" i="26"/>
  <c r="J32" i="26"/>
  <c r="L31" i="26"/>
  <c r="N30" i="26"/>
  <c r="P29" i="26"/>
  <c r="T27" i="26"/>
  <c r="Y26" i="26"/>
  <c r="AA24" i="26"/>
  <c r="F24" i="26"/>
  <c r="K23" i="26"/>
  <c r="P22" i="26"/>
  <c r="W20" i="26"/>
  <c r="E20" i="26"/>
  <c r="L19" i="26"/>
  <c r="R18" i="26"/>
  <c r="Y16" i="26"/>
  <c r="G16" i="26"/>
  <c r="O15" i="26"/>
  <c r="W13" i="26"/>
  <c r="F13" i="26"/>
  <c r="N12" i="26"/>
  <c r="V10" i="26"/>
  <c r="E10" i="26"/>
  <c r="M9" i="26"/>
  <c r="V8" i="26"/>
  <c r="F8" i="26"/>
  <c r="O43" i="25"/>
  <c r="X42" i="25"/>
  <c r="H42" i="25"/>
  <c r="Q41" i="25"/>
  <c r="Z39" i="25"/>
  <c r="J39" i="25"/>
  <c r="S38" i="25"/>
  <c r="C38" i="25"/>
  <c r="L36" i="25"/>
  <c r="U35" i="25"/>
  <c r="E35" i="25"/>
  <c r="N34" i="25"/>
  <c r="W32" i="25"/>
  <c r="G32" i="25"/>
  <c r="P31" i="25"/>
  <c r="Y30" i="25"/>
  <c r="I30" i="25"/>
  <c r="R29" i="25"/>
  <c r="AA27" i="25"/>
  <c r="K27" i="25"/>
  <c r="T26" i="25"/>
  <c r="D26" i="25"/>
  <c r="M24" i="25"/>
  <c r="V23" i="25"/>
  <c r="F23" i="25"/>
  <c r="O22" i="25"/>
  <c r="X20" i="25"/>
  <c r="H20" i="25"/>
  <c r="Q19" i="25"/>
  <c r="G11" i="30"/>
  <c r="V34" i="29"/>
  <c r="L24" i="29"/>
  <c r="L16" i="29"/>
  <c r="J9" i="29"/>
  <c r="E20" i="28"/>
  <c r="L17" i="28"/>
  <c r="R13" i="28"/>
  <c r="Y9" i="28"/>
  <c r="G7" i="28"/>
  <c r="Q21" i="27"/>
  <c r="C18" i="27"/>
  <c r="Y14" i="27"/>
  <c r="M13" i="27"/>
  <c r="Y10" i="27"/>
  <c r="P9" i="27"/>
  <c r="I8" i="27"/>
  <c r="AA6" i="27"/>
  <c r="W43" i="26"/>
  <c r="V42" i="26"/>
  <c r="V41" i="26"/>
  <c r="W39" i="26"/>
  <c r="Z38" i="26"/>
  <c r="Z36" i="26"/>
  <c r="D36" i="26"/>
  <c r="D35" i="26"/>
  <c r="G34" i="26"/>
  <c r="I32" i="26"/>
  <c r="K31" i="26"/>
  <c r="L30" i="26"/>
  <c r="O29" i="26"/>
  <c r="S27" i="26"/>
  <c r="W26" i="26"/>
  <c r="Z24" i="26"/>
  <c r="E24" i="26"/>
  <c r="I23" i="26"/>
  <c r="O22" i="26"/>
  <c r="V20" i="26"/>
  <c r="D20" i="26"/>
  <c r="J19" i="26"/>
  <c r="Q18" i="26"/>
  <c r="X16" i="26"/>
  <c r="F16" i="26"/>
  <c r="N15" i="26"/>
  <c r="V13" i="26"/>
  <c r="E13" i="26"/>
  <c r="M12" i="26"/>
  <c r="U10" i="26"/>
  <c r="D10" i="26"/>
  <c r="L9" i="26"/>
  <c r="U8" i="26"/>
  <c r="E8" i="26"/>
  <c r="N43" i="25"/>
  <c r="W42" i="25"/>
  <c r="G42" i="25"/>
  <c r="P41" i="25"/>
  <c r="Y39" i="25"/>
  <c r="I39" i="25"/>
  <c r="R38" i="25"/>
  <c r="AA36" i="25"/>
  <c r="K36" i="25"/>
  <c r="T35" i="25"/>
  <c r="D35" i="25"/>
  <c r="M34" i="25"/>
  <c r="V32" i="25"/>
  <c r="F32" i="25"/>
  <c r="O31" i="25"/>
  <c r="X30" i="25"/>
  <c r="H30" i="25"/>
  <c r="Q29" i="25"/>
  <c r="Z27" i="25"/>
  <c r="J27" i="25"/>
  <c r="S26" i="25"/>
  <c r="C26" i="25"/>
  <c r="L24" i="25"/>
  <c r="U23" i="25"/>
  <c r="E23" i="25"/>
  <c r="N22" i="25"/>
  <c r="W20" i="25"/>
  <c r="G20" i="25"/>
  <c r="P19" i="25"/>
  <c r="Y18" i="25"/>
  <c r="I18" i="25"/>
  <c r="R16" i="25"/>
  <c r="AA15" i="25"/>
  <c r="K15" i="25"/>
  <c r="T13" i="25"/>
  <c r="D13" i="25"/>
  <c r="M12" i="25"/>
  <c r="V10" i="25"/>
  <c r="F10" i="25"/>
  <c r="O9" i="25"/>
  <c r="N7" i="30"/>
  <c r="R33" i="29"/>
  <c r="P23" i="29"/>
  <c r="S15" i="29"/>
  <c r="Z8" i="29"/>
  <c r="X19" i="28"/>
  <c r="F17" i="28"/>
  <c r="M13" i="28"/>
  <c r="T9" i="28"/>
  <c r="Z6" i="28"/>
  <c r="L21" i="27"/>
  <c r="W17" i="27"/>
  <c r="U14" i="27"/>
  <c r="H13" i="27"/>
  <c r="W10" i="27"/>
  <c r="N9" i="27"/>
  <c r="G8" i="27"/>
  <c r="Y6" i="27"/>
  <c r="V43" i="26"/>
  <c r="U42" i="26"/>
  <c r="T41" i="26"/>
  <c r="V39" i="26"/>
  <c r="X38" i="26"/>
  <c r="Y36" i="26"/>
  <c r="C36" i="26"/>
  <c r="C35" i="26"/>
  <c r="F34" i="26"/>
  <c r="F32" i="26"/>
  <c r="I31" i="26"/>
  <c r="K30" i="26"/>
  <c r="N29" i="26"/>
  <c r="R27" i="26"/>
  <c r="V26" i="26"/>
  <c r="Y24" i="26"/>
  <c r="D24" i="26"/>
  <c r="H23" i="26"/>
  <c r="N22" i="26"/>
  <c r="U20" i="26"/>
  <c r="C20" i="26"/>
  <c r="I19" i="26"/>
  <c r="P18" i="26"/>
  <c r="V16" i="26"/>
  <c r="E16" i="26"/>
  <c r="M15" i="26"/>
  <c r="U13" i="26"/>
  <c r="D13" i="26"/>
  <c r="L12" i="26"/>
  <c r="T10" i="26"/>
  <c r="C10" i="26"/>
  <c r="K9" i="26"/>
  <c r="T8" i="26"/>
  <c r="D8" i="26"/>
  <c r="M43" i="25"/>
  <c r="V42" i="25"/>
  <c r="F42" i="25"/>
  <c r="O41" i="25"/>
  <c r="X39" i="25"/>
  <c r="H39" i="25"/>
  <c r="Q38" i="25"/>
  <c r="Z36" i="25"/>
  <c r="J36" i="25"/>
  <c r="S35" i="25"/>
  <c r="C35" i="25"/>
  <c r="L34" i="25"/>
  <c r="U32" i="25"/>
  <c r="E32" i="25"/>
  <c r="N31" i="25"/>
  <c r="W30" i="25"/>
  <c r="G30" i="25"/>
  <c r="P29" i="25"/>
  <c r="Y27" i="25"/>
  <c r="I27" i="25"/>
  <c r="R26" i="25"/>
  <c r="AA24" i="25"/>
  <c r="K24" i="25"/>
  <c r="T23" i="25"/>
  <c r="D23" i="25"/>
  <c r="M22" i="25"/>
  <c r="V20" i="25"/>
  <c r="F20" i="25"/>
  <c r="O19" i="25"/>
  <c r="X18" i="25"/>
  <c r="H18" i="25"/>
  <c r="Q16" i="25"/>
  <c r="Z15" i="25"/>
  <c r="J15" i="25"/>
  <c r="S13" i="25"/>
  <c r="C13" i="25"/>
  <c r="M7" i="30"/>
  <c r="Q33" i="29"/>
  <c r="N23" i="29"/>
  <c r="R15" i="29"/>
  <c r="Q8" i="29"/>
  <c r="T19" i="28"/>
  <c r="AA16" i="28"/>
  <c r="I13" i="28"/>
  <c r="O9" i="28"/>
  <c r="V6" i="28"/>
  <c r="H21" i="27"/>
  <c r="S17" i="27"/>
  <c r="T14" i="27"/>
  <c r="G13" i="27"/>
  <c r="T10" i="27"/>
  <c r="M9" i="27"/>
  <c r="F8" i="27"/>
  <c r="X6" i="27"/>
  <c r="T43" i="26"/>
  <c r="T42" i="26"/>
  <c r="S41" i="26"/>
  <c r="U39" i="26"/>
  <c r="V38" i="26"/>
  <c r="X36" i="26"/>
  <c r="Z35" i="26"/>
  <c r="AA34" i="26"/>
  <c r="E34" i="26"/>
  <c r="E32" i="26"/>
  <c r="H31" i="26"/>
  <c r="H30" i="26"/>
  <c r="M29" i="26"/>
  <c r="Q27" i="26"/>
  <c r="S26" i="26"/>
  <c r="X24" i="26"/>
  <c r="C24" i="26"/>
  <c r="G23" i="26"/>
  <c r="M22" i="26"/>
  <c r="T20" i="26"/>
  <c r="Z19" i="26"/>
  <c r="H19" i="26"/>
  <c r="O18" i="26"/>
  <c r="U16" i="26"/>
  <c r="D16" i="26"/>
  <c r="L15" i="26"/>
  <c r="T13" i="26"/>
  <c r="C13" i="26"/>
  <c r="K12" i="26"/>
  <c r="S10" i="26"/>
  <c r="AA9" i="26"/>
  <c r="J9" i="26"/>
  <c r="S8" i="26"/>
  <c r="C8" i="26"/>
  <c r="L43" i="25"/>
  <c r="U42" i="25"/>
  <c r="E42" i="25"/>
  <c r="N41" i="25"/>
  <c r="W39" i="25"/>
  <c r="G39" i="25"/>
  <c r="P38" i="25"/>
  <c r="Y36" i="25"/>
  <c r="I36" i="25"/>
  <c r="R35" i="25"/>
  <c r="AA34" i="25"/>
  <c r="K34" i="25"/>
  <c r="T32" i="25"/>
  <c r="D32" i="25"/>
  <c r="M31" i="25"/>
  <c r="V30" i="25"/>
  <c r="F30" i="25"/>
  <c r="O29" i="25"/>
  <c r="X27" i="25"/>
  <c r="H27" i="25"/>
  <c r="Q26" i="25"/>
  <c r="Z24" i="25"/>
  <c r="J24" i="25"/>
  <c r="S23" i="25"/>
  <c r="C23" i="25"/>
  <c r="L22" i="25"/>
  <c r="U20" i="25"/>
  <c r="E20" i="25"/>
  <c r="N19" i="25"/>
  <c r="W18" i="25"/>
  <c r="G18" i="25"/>
  <c r="P16" i="25"/>
  <c r="Y15" i="25"/>
  <c r="I15" i="25"/>
  <c r="R13" i="25"/>
  <c r="AA12" i="25"/>
  <c r="K12" i="25"/>
  <c r="T10" i="25"/>
  <c r="D10" i="25"/>
  <c r="M9" i="25"/>
  <c r="V8" i="25"/>
  <c r="F8" i="25"/>
  <c r="O78" i="24"/>
  <c r="X77" i="24"/>
  <c r="H77" i="24"/>
  <c r="Q76" i="24"/>
  <c r="Z75" i="24"/>
  <c r="J75" i="24"/>
  <c r="S74" i="24"/>
  <c r="C74" i="24"/>
  <c r="L72" i="24"/>
  <c r="U71" i="24"/>
  <c r="E71" i="24"/>
  <c r="N70" i="24"/>
  <c r="W69" i="24"/>
  <c r="G69" i="24"/>
  <c r="P68" i="24"/>
  <c r="Y67" i="24"/>
  <c r="I67" i="24"/>
  <c r="R66" i="24"/>
  <c r="AA65" i="24"/>
  <c r="K65" i="24"/>
  <c r="T64" i="24"/>
  <c r="D64" i="24"/>
  <c r="M63" i="24"/>
  <c r="V62" i="24"/>
  <c r="F62" i="24"/>
  <c r="O61" i="24"/>
  <c r="X59" i="24"/>
  <c r="H59" i="24"/>
  <c r="Q58" i="24"/>
  <c r="Z57" i="24"/>
  <c r="J57" i="24"/>
  <c r="S56" i="24"/>
  <c r="Z42" i="29"/>
  <c r="P32" i="29"/>
  <c r="Q22" i="29"/>
  <c r="Y14" i="29"/>
  <c r="P8" i="29"/>
  <c r="S19" i="28"/>
  <c r="Z16" i="28"/>
  <c r="H13" i="28"/>
  <c r="N9" i="28"/>
  <c r="U6" i="28"/>
  <c r="G21" i="27"/>
  <c r="R17" i="27"/>
  <c r="O14" i="27"/>
  <c r="E13" i="27"/>
  <c r="Q10" i="27"/>
  <c r="J9" i="27"/>
  <c r="C8" i="27"/>
  <c r="U6" i="27"/>
  <c r="R43" i="26"/>
  <c r="S42" i="26"/>
  <c r="P41" i="26"/>
  <c r="S39" i="26"/>
  <c r="U38" i="26"/>
  <c r="W36" i="26"/>
  <c r="X35" i="26"/>
  <c r="Z34" i="26"/>
  <c r="C34" i="26"/>
  <c r="D32" i="26"/>
  <c r="G31" i="26"/>
  <c r="G30" i="26"/>
  <c r="K29" i="26"/>
  <c r="P27" i="26"/>
  <c r="R26" i="26"/>
  <c r="V24" i="26"/>
  <c r="AA23" i="26"/>
  <c r="E23" i="26"/>
  <c r="L22" i="26"/>
  <c r="S20" i="26"/>
  <c r="Y19" i="26"/>
  <c r="G19" i="26"/>
  <c r="M18" i="26"/>
  <c r="T16" i="26"/>
  <c r="C16" i="26"/>
  <c r="K15" i="26"/>
  <c r="S13" i="26"/>
  <c r="AA12" i="26"/>
  <c r="J12" i="26"/>
  <c r="R10" i="26"/>
  <c r="Y9" i="26"/>
  <c r="I9" i="26"/>
  <c r="R8" i="26"/>
  <c r="AA43" i="25"/>
  <c r="K43" i="25"/>
  <c r="T42" i="25"/>
  <c r="D42" i="25"/>
  <c r="M41" i="25"/>
  <c r="V39" i="25"/>
  <c r="F39" i="25"/>
  <c r="O38" i="25"/>
  <c r="X36" i="25"/>
  <c r="H36" i="25"/>
  <c r="Q35" i="25"/>
  <c r="Z34" i="25"/>
  <c r="J34" i="25"/>
  <c r="S32" i="25"/>
  <c r="C32" i="25"/>
  <c r="L31" i="25"/>
  <c r="U30" i="25"/>
  <c r="E30" i="25"/>
  <c r="N29" i="25"/>
  <c r="W27" i="25"/>
  <c r="G27" i="25"/>
  <c r="P26" i="25"/>
  <c r="Y24" i="25"/>
  <c r="I24" i="25"/>
  <c r="R23" i="25"/>
  <c r="AA22" i="25"/>
  <c r="K22" i="25"/>
  <c r="T20" i="25"/>
  <c r="D20" i="25"/>
  <c r="M19" i="25"/>
  <c r="V18" i="25"/>
  <c r="F18" i="25"/>
  <c r="O16" i="25"/>
  <c r="X15" i="25"/>
  <c r="H15" i="25"/>
  <c r="Q13" i="25"/>
  <c r="Z12" i="25"/>
  <c r="J12" i="25"/>
  <c r="S10" i="25"/>
  <c r="C10" i="25"/>
  <c r="L9" i="25"/>
  <c r="U8" i="25"/>
  <c r="E8" i="25"/>
  <c r="N78" i="24"/>
  <c r="W77" i="24"/>
  <c r="G77" i="24"/>
  <c r="P76" i="24"/>
  <c r="Y75" i="24"/>
  <c r="I75" i="24"/>
  <c r="R74" i="24"/>
  <c r="AA72" i="24"/>
  <c r="K72" i="24"/>
  <c r="T71" i="24"/>
  <c r="D71" i="24"/>
  <c r="M70" i="24"/>
  <c r="V69" i="24"/>
  <c r="F69" i="24"/>
  <c r="O68" i="24"/>
  <c r="X67" i="24"/>
  <c r="H67" i="24"/>
  <c r="Q66" i="24"/>
  <c r="Z65" i="24"/>
  <c r="J65" i="24"/>
  <c r="S64" i="24"/>
  <c r="C64" i="24"/>
  <c r="L63" i="24"/>
  <c r="Y42" i="29"/>
  <c r="L32" i="29"/>
  <c r="P22" i="29"/>
  <c r="X14" i="29"/>
  <c r="H8" i="29"/>
  <c r="M19" i="28"/>
  <c r="S16" i="28"/>
  <c r="Z11" i="28"/>
  <c r="H9" i="28"/>
  <c r="O6" i="28"/>
  <c r="Z20" i="27"/>
  <c r="L17" i="27"/>
  <c r="N14" i="27"/>
  <c r="AA12" i="27"/>
  <c r="P10" i="27"/>
  <c r="I9" i="27"/>
  <c r="AA7" i="27"/>
  <c r="T6" i="27"/>
  <c r="Q43" i="26"/>
  <c r="P42" i="26"/>
  <c r="O41" i="26"/>
  <c r="R39" i="26"/>
  <c r="R38" i="26"/>
  <c r="U36" i="26"/>
  <c r="W35" i="26"/>
  <c r="Y34" i="26"/>
  <c r="Z32" i="26"/>
  <c r="C32" i="26"/>
  <c r="E31" i="26"/>
  <c r="F30" i="26"/>
  <c r="J29" i="26"/>
  <c r="N27" i="26"/>
  <c r="Q26" i="26"/>
  <c r="U24" i="26"/>
  <c r="Y23" i="26"/>
  <c r="D23" i="26"/>
  <c r="K22" i="26"/>
  <c r="Q20" i="26"/>
  <c r="X19" i="26"/>
  <c r="F19" i="26"/>
  <c r="L18" i="26"/>
  <c r="S16" i="26"/>
  <c r="AA15" i="26"/>
  <c r="J15" i="26"/>
  <c r="R13" i="26"/>
  <c r="Z12" i="26"/>
  <c r="I12" i="26"/>
  <c r="P10" i="26"/>
  <c r="X9" i="26"/>
  <c r="H9" i="26"/>
  <c r="Q8" i="26"/>
  <c r="Z43" i="25"/>
  <c r="J43" i="25"/>
  <c r="S42" i="25"/>
  <c r="C42" i="25"/>
  <c r="L41" i="25"/>
  <c r="U39" i="25"/>
  <c r="E39" i="25"/>
  <c r="N38" i="25"/>
  <c r="W36" i="25"/>
  <c r="G36" i="25"/>
  <c r="P35" i="25"/>
  <c r="Y34" i="25"/>
  <c r="I34" i="25"/>
  <c r="R32" i="25"/>
  <c r="AA31" i="25"/>
  <c r="K31" i="25"/>
  <c r="T30" i="25"/>
  <c r="D30" i="25"/>
  <c r="M29" i="25"/>
  <c r="V41" i="29"/>
  <c r="N31" i="29"/>
  <c r="Q20" i="29"/>
  <c r="F14" i="29"/>
  <c r="C8" i="29"/>
  <c r="G19" i="28"/>
  <c r="N16" i="28"/>
  <c r="U11" i="28"/>
  <c r="C9" i="28"/>
  <c r="J6" i="28"/>
  <c r="U20" i="27"/>
  <c r="J17" i="27"/>
  <c r="L14" i="27"/>
  <c r="X12" i="27"/>
  <c r="O10" i="27"/>
  <c r="H9" i="27"/>
  <c r="Z7" i="27"/>
  <c r="S6" i="27"/>
  <c r="N43" i="26"/>
  <c r="O42" i="26"/>
  <c r="N41" i="26"/>
  <c r="Q39" i="26"/>
  <c r="Q38" i="26"/>
  <c r="T36" i="26"/>
  <c r="T35" i="26"/>
  <c r="W34" i="26"/>
  <c r="Y32" i="26"/>
  <c r="AA31" i="26"/>
  <c r="C31" i="26"/>
  <c r="E30" i="26"/>
  <c r="I29" i="26"/>
  <c r="M27" i="26"/>
  <c r="P26" i="26"/>
  <c r="T24" i="26"/>
  <c r="X23" i="26"/>
  <c r="C23" i="26"/>
  <c r="J22" i="26"/>
  <c r="P20" i="26"/>
  <c r="W19" i="26"/>
  <c r="D19" i="26"/>
  <c r="K18" i="26"/>
  <c r="R16" i="26"/>
  <c r="Z15" i="26"/>
  <c r="I15" i="26"/>
  <c r="Q13" i="26"/>
  <c r="Y12" i="26"/>
  <c r="G12" i="26"/>
  <c r="O10" i="26"/>
  <c r="W9" i="26"/>
  <c r="G9" i="26"/>
  <c r="P8" i="26"/>
  <c r="Y43" i="25"/>
  <c r="U41" i="29"/>
  <c r="M31" i="29"/>
  <c r="P20" i="29"/>
  <c r="D14" i="29"/>
  <c r="V7" i="29"/>
  <c r="C19" i="28"/>
  <c r="J16" i="28"/>
  <c r="Q11" i="28"/>
  <c r="W8" i="28"/>
  <c r="F6" i="28"/>
  <c r="Q20" i="27"/>
  <c r="G17" i="27"/>
  <c r="I14" i="27"/>
  <c r="W12" i="27"/>
  <c r="J10" i="27"/>
  <c r="C9" i="27"/>
  <c r="U7" i="27"/>
  <c r="Q6" i="27"/>
  <c r="M43" i="26"/>
  <c r="M42" i="26"/>
  <c r="M41" i="26"/>
  <c r="O39" i="26"/>
  <c r="P38" i="26"/>
  <c r="S36" i="26"/>
  <c r="S35" i="26"/>
  <c r="V34" i="26"/>
  <c r="V32" i="26"/>
  <c r="Y31" i="26"/>
  <c r="AA30" i="26"/>
  <c r="D30" i="26"/>
  <c r="H29" i="26"/>
  <c r="J27" i="26"/>
  <c r="O26" i="26"/>
  <c r="S24" i="26"/>
  <c r="U23" i="26"/>
  <c r="AA22" i="26"/>
  <c r="H22" i="26"/>
  <c r="O20" i="26"/>
  <c r="V19" i="26"/>
  <c r="C19" i="26"/>
  <c r="J18" i="26"/>
  <c r="Q16" i="26"/>
  <c r="Y15" i="26"/>
  <c r="H15" i="26"/>
  <c r="P13" i="26"/>
  <c r="W12" i="26"/>
  <c r="F12" i="26"/>
  <c r="N10" i="26"/>
  <c r="V9" i="26"/>
  <c r="F9" i="26"/>
  <c r="O8" i="26"/>
  <c r="X43" i="25"/>
  <c r="H43" i="25"/>
  <c r="Q42" i="25"/>
  <c r="Z41" i="25"/>
  <c r="J41" i="25"/>
  <c r="S39" i="25"/>
  <c r="C39" i="25"/>
  <c r="L38" i="25"/>
  <c r="U36" i="25"/>
  <c r="E36" i="25"/>
  <c r="N35" i="25"/>
  <c r="W34" i="25"/>
  <c r="G34" i="25"/>
  <c r="P32" i="25"/>
  <c r="Y31" i="25"/>
  <c r="I31" i="25"/>
  <c r="R30" i="25"/>
  <c r="AA29" i="25"/>
  <c r="K29" i="25"/>
  <c r="T27" i="25"/>
  <c r="D27" i="25"/>
  <c r="M26" i="25"/>
  <c r="V24" i="25"/>
  <c r="F24" i="25"/>
  <c r="O23" i="25"/>
  <c r="X22" i="25"/>
  <c r="I23" i="30"/>
  <c r="Q40" i="29"/>
  <c r="K30" i="29"/>
  <c r="R19" i="29"/>
  <c r="K13" i="29"/>
  <c r="T7" i="29"/>
  <c r="AA18" i="28"/>
  <c r="I16" i="28"/>
  <c r="P11" i="28"/>
  <c r="V8" i="28"/>
  <c r="E6" i="28"/>
  <c r="P20" i="27"/>
  <c r="C17" i="27"/>
  <c r="F14" i="27"/>
  <c r="V12" i="27"/>
  <c r="I10" i="27"/>
  <c r="AA8" i="27"/>
  <c r="T7" i="27"/>
  <c r="N6" i="27"/>
  <c r="L43" i="26"/>
  <c r="K42" i="26"/>
  <c r="L41" i="26"/>
  <c r="M39" i="26"/>
  <c r="O38" i="26"/>
  <c r="Q36" i="26"/>
  <c r="R35" i="26"/>
  <c r="U34" i="26"/>
  <c r="U32" i="26"/>
  <c r="X31" i="26"/>
  <c r="X30" i="26"/>
  <c r="AA29" i="26"/>
  <c r="G29" i="26"/>
  <c r="I27" i="26"/>
  <c r="M26" i="26"/>
  <c r="R24" i="26"/>
  <c r="T23" i="26"/>
  <c r="Z22" i="26"/>
  <c r="G22" i="26"/>
  <c r="N20" i="26"/>
  <c r="T19" i="26"/>
  <c r="AA18" i="26"/>
  <c r="I18" i="26"/>
  <c r="AA22" i="30"/>
  <c r="P40" i="29"/>
  <c r="J30" i="29"/>
  <c r="Q19" i="29"/>
  <c r="J13" i="29"/>
  <c r="N7" i="29"/>
  <c r="U18" i="28"/>
  <c r="AA14" i="28"/>
  <c r="I11" i="28"/>
  <c r="P8" i="28"/>
  <c r="X22" i="27"/>
  <c r="J20" i="27"/>
  <c r="AA16" i="27"/>
  <c r="E14" i="27"/>
  <c r="Q12" i="27"/>
  <c r="G10" i="27"/>
  <c r="Y8" i="27"/>
  <c r="R7" i="27"/>
  <c r="M6" i="27"/>
  <c r="K43" i="26"/>
  <c r="J42" i="26"/>
  <c r="J41" i="26"/>
  <c r="L39" i="26"/>
  <c r="N38" i="26"/>
  <c r="O36" i="26"/>
  <c r="Q35" i="26"/>
  <c r="S34" i="26"/>
  <c r="T32" i="26"/>
  <c r="W31" i="26"/>
  <c r="W30" i="26"/>
  <c r="Z29" i="26"/>
  <c r="E29" i="26"/>
  <c r="H27" i="26"/>
  <c r="L26" i="26"/>
  <c r="P24" i="26"/>
  <c r="S23" i="26"/>
  <c r="X22" i="26"/>
  <c r="F22" i="26"/>
  <c r="M20" i="26"/>
  <c r="S19" i="26"/>
  <c r="Z18" i="26"/>
  <c r="H18" i="26"/>
  <c r="O16" i="26"/>
  <c r="W15" i="26"/>
  <c r="E15" i="26"/>
  <c r="M13" i="26"/>
  <c r="U12" i="26"/>
  <c r="D12" i="26"/>
  <c r="L10" i="26"/>
  <c r="T9" i="26"/>
  <c r="D9" i="26"/>
  <c r="M8" i="26"/>
  <c r="V43" i="25"/>
  <c r="F43" i="25"/>
  <c r="O42" i="25"/>
  <c r="X41" i="25"/>
  <c r="H41" i="25"/>
  <c r="Q39" i="25"/>
  <c r="Z38" i="25"/>
  <c r="J38" i="25"/>
  <c r="S36" i="25"/>
  <c r="C36" i="25"/>
  <c r="L35" i="25"/>
  <c r="U34" i="25"/>
  <c r="E34" i="25"/>
  <c r="N32" i="25"/>
  <c r="W31" i="25"/>
  <c r="G31" i="25"/>
  <c r="P30" i="25"/>
  <c r="Y29" i="25"/>
  <c r="I29" i="25"/>
  <c r="R27" i="25"/>
  <c r="AA26" i="25"/>
  <c r="K26" i="25"/>
  <c r="T24" i="25"/>
  <c r="D24" i="25"/>
  <c r="M23" i="25"/>
  <c r="V22" i="25"/>
  <c r="F22" i="25"/>
  <c r="O20" i="25"/>
  <c r="X19" i="25"/>
  <c r="H19" i="25"/>
  <c r="Q18" i="25"/>
  <c r="K21" i="30"/>
  <c r="J21" i="30"/>
  <c r="J39" i="29"/>
  <c r="L29" i="29"/>
  <c r="S18" i="29"/>
  <c r="P11" i="29"/>
  <c r="D7" i="29"/>
  <c r="K18" i="28"/>
  <c r="R14" i="28"/>
  <c r="Y10" i="28"/>
  <c r="F8" i="28"/>
  <c r="O22" i="27"/>
  <c r="Z18" i="27"/>
  <c r="S16" i="27"/>
  <c r="X13" i="27"/>
  <c r="N12" i="27"/>
  <c r="D10" i="27"/>
  <c r="V8" i="27"/>
  <c r="O7" i="27"/>
  <c r="I6" i="27"/>
  <c r="G43" i="26"/>
  <c r="F42" i="26"/>
  <c r="H41" i="26"/>
  <c r="H39" i="26"/>
  <c r="K38" i="26"/>
  <c r="K36" i="26"/>
  <c r="N35" i="26"/>
  <c r="P34" i="26"/>
  <c r="R32" i="26"/>
  <c r="S31" i="26"/>
  <c r="U30" i="26"/>
  <c r="X29" i="26"/>
  <c r="Z27" i="26"/>
  <c r="F27" i="26"/>
  <c r="J26" i="26"/>
  <c r="L24" i="26"/>
  <c r="Q23" i="26"/>
  <c r="V22" i="26"/>
  <c r="D22" i="26"/>
  <c r="J20" i="26"/>
  <c r="Q19" i="26"/>
  <c r="X18" i="26"/>
  <c r="F18" i="26"/>
  <c r="L16" i="26"/>
  <c r="T15" i="26"/>
  <c r="K39" i="29"/>
  <c r="E8" i="28"/>
  <c r="L7" i="27"/>
  <c r="M35" i="26"/>
  <c r="I26" i="26"/>
  <c r="E18" i="26"/>
  <c r="T12" i="26"/>
  <c r="C9" i="26"/>
  <c r="R42" i="25"/>
  <c r="R39" i="25"/>
  <c r="R36" i="25"/>
  <c r="S34" i="25"/>
  <c r="T31" i="25"/>
  <c r="L29" i="25"/>
  <c r="X26" i="25"/>
  <c r="C24" i="25"/>
  <c r="J22" i="25"/>
  <c r="C20" i="25"/>
  <c r="Z18" i="25"/>
  <c r="X16" i="25"/>
  <c r="U15" i="25"/>
  <c r="X13" i="25"/>
  <c r="U12" i="25"/>
  <c r="W10" i="25"/>
  <c r="X9" i="25"/>
  <c r="C9" i="25"/>
  <c r="D8" i="25"/>
  <c r="I78" i="24"/>
  <c r="N77" i="24"/>
  <c r="O76" i="24"/>
  <c r="T75" i="24"/>
  <c r="Y74" i="24"/>
  <c r="Z72" i="24"/>
  <c r="F72" i="24"/>
  <c r="K71" i="24"/>
  <c r="L70" i="24"/>
  <c r="Q69" i="24"/>
  <c r="V68" i="24"/>
  <c r="W67" i="24"/>
  <c r="C67" i="24"/>
  <c r="H66" i="24"/>
  <c r="I65" i="24"/>
  <c r="N64" i="24"/>
  <c r="S63" i="24"/>
  <c r="W62" i="24"/>
  <c r="D62" i="24"/>
  <c r="K61" i="24"/>
  <c r="R59" i="24"/>
  <c r="Z58" i="24"/>
  <c r="I58" i="24"/>
  <c r="Q57" i="24"/>
  <c r="Y56" i="24"/>
  <c r="H56" i="24"/>
  <c r="Q55" i="24"/>
  <c r="Z54" i="24"/>
  <c r="J54" i="24"/>
  <c r="S53" i="24"/>
  <c r="C53" i="24"/>
  <c r="L49" i="24"/>
  <c r="U48" i="24"/>
  <c r="E48" i="24"/>
  <c r="N47" i="24"/>
  <c r="W46" i="24"/>
  <c r="G46" i="24"/>
  <c r="P45" i="24"/>
  <c r="Y44" i="24"/>
  <c r="I44" i="24"/>
  <c r="R43" i="24"/>
  <c r="AA42" i="24"/>
  <c r="K42" i="24"/>
  <c r="T41" i="24"/>
  <c r="D41" i="24"/>
  <c r="M40" i="24"/>
  <c r="V39" i="24"/>
  <c r="F39" i="24"/>
  <c r="O38" i="24"/>
  <c r="X37" i="24"/>
  <c r="H37" i="24"/>
  <c r="Q35" i="24"/>
  <c r="Z32" i="24"/>
  <c r="J32" i="24"/>
  <c r="S31" i="24"/>
  <c r="C31" i="24"/>
  <c r="L30" i="24"/>
  <c r="U29" i="24"/>
  <c r="E29" i="24"/>
  <c r="N27" i="24"/>
  <c r="W26" i="24"/>
  <c r="G26" i="24"/>
  <c r="P25" i="24"/>
  <c r="Y24" i="24"/>
  <c r="I24" i="24"/>
  <c r="R23" i="24"/>
  <c r="AA22" i="24"/>
  <c r="K22" i="24"/>
  <c r="T21" i="24"/>
  <c r="M29" i="29"/>
  <c r="S22" i="27"/>
  <c r="K6" i="27"/>
  <c r="Q34" i="26"/>
  <c r="O24" i="26"/>
  <c r="P16" i="26"/>
  <c r="S12" i="26"/>
  <c r="AA8" i="26"/>
  <c r="P42" i="25"/>
  <c r="P39" i="25"/>
  <c r="Q36" i="25"/>
  <c r="R34" i="25"/>
  <c r="J31" i="25"/>
  <c r="J29" i="25"/>
  <c r="O26" i="25"/>
  <c r="AA23" i="25"/>
  <c r="I22" i="25"/>
  <c r="AA19" i="25"/>
  <c r="U18" i="25"/>
  <c r="W16" i="25"/>
  <c r="T15" i="25"/>
  <c r="U13" i="25"/>
  <c r="T12" i="25"/>
  <c r="U10" i="25"/>
  <c r="W9" i="25"/>
  <c r="Y8" i="25"/>
  <c r="C8" i="25"/>
  <c r="H78" i="24"/>
  <c r="K77" i="24"/>
  <c r="N76" i="24"/>
  <c r="S75" i="24"/>
  <c r="V74" i="24"/>
  <c r="Y72" i="24"/>
  <c r="E72" i="24"/>
  <c r="H71" i="24"/>
  <c r="K70" i="24"/>
  <c r="P69" i="24"/>
  <c r="S68" i="24"/>
  <c r="V67" i="24"/>
  <c r="AA66" i="24"/>
  <c r="E66" i="24"/>
  <c r="H65" i="24"/>
  <c r="M64" i="24"/>
  <c r="P63" i="24"/>
  <c r="U62" i="24"/>
  <c r="C62" i="24"/>
  <c r="J61" i="24"/>
  <c r="Q59" i="24"/>
  <c r="Y58" i="24"/>
  <c r="H58" i="24"/>
  <c r="P57" i="24"/>
  <c r="X56" i="24"/>
  <c r="G56" i="24"/>
  <c r="P55" i="24"/>
  <c r="Y54" i="24"/>
  <c r="I54" i="24"/>
  <c r="R53" i="24"/>
  <c r="AA49" i="24"/>
  <c r="K49" i="24"/>
  <c r="T48" i="24"/>
  <c r="D48" i="24"/>
  <c r="M47" i="24"/>
  <c r="V46" i="24"/>
  <c r="F46" i="24"/>
  <c r="O45" i="24"/>
  <c r="X44" i="24"/>
  <c r="H44" i="24"/>
  <c r="Q43" i="24"/>
  <c r="Z42" i="24"/>
  <c r="J42" i="24"/>
  <c r="S41" i="24"/>
  <c r="C41" i="24"/>
  <c r="L40" i="24"/>
  <c r="U39" i="24"/>
  <c r="E39" i="24"/>
  <c r="N38" i="24"/>
  <c r="W37" i="24"/>
  <c r="G37" i="24"/>
  <c r="P35" i="24"/>
  <c r="Y32" i="24"/>
  <c r="I32" i="24"/>
  <c r="R31" i="24"/>
  <c r="AA30" i="24"/>
  <c r="K30" i="24"/>
  <c r="T29" i="24"/>
  <c r="D29" i="24"/>
  <c r="M27" i="24"/>
  <c r="V26" i="24"/>
  <c r="F26" i="24"/>
  <c r="O25" i="24"/>
  <c r="X24" i="24"/>
  <c r="H24" i="24"/>
  <c r="Q23" i="24"/>
  <c r="Z22" i="24"/>
  <c r="J22" i="24"/>
  <c r="S21" i="24"/>
  <c r="C21" i="24"/>
  <c r="L20" i="24"/>
  <c r="U19" i="24"/>
  <c r="E19" i="24"/>
  <c r="N18" i="24"/>
  <c r="W17" i="24"/>
  <c r="G17" i="24"/>
  <c r="P16" i="24"/>
  <c r="Y15" i="24"/>
  <c r="I15" i="24"/>
  <c r="R13" i="24"/>
  <c r="AA12" i="24"/>
  <c r="K12" i="24"/>
  <c r="T11" i="24"/>
  <c r="D11" i="24"/>
  <c r="M10" i="24"/>
  <c r="V9" i="24"/>
  <c r="F9" i="24"/>
  <c r="O8" i="24"/>
  <c r="X7" i="24"/>
  <c r="H7" i="24"/>
  <c r="Q25" i="23"/>
  <c r="Z24" i="23"/>
  <c r="J24" i="23"/>
  <c r="S23" i="23"/>
  <c r="C23" i="23"/>
  <c r="L20" i="23"/>
  <c r="L26" i="29"/>
  <c r="N22" i="27"/>
  <c r="H6" i="27"/>
  <c r="M34" i="26"/>
  <c r="K24" i="26"/>
  <c r="N16" i="26"/>
  <c r="R12" i="26"/>
  <c r="Z8" i="26"/>
  <c r="N42" i="25"/>
  <c r="O39" i="25"/>
  <c r="P36" i="25"/>
  <c r="H34" i="25"/>
  <c r="H31" i="25"/>
  <c r="H29" i="25"/>
  <c r="N26" i="25"/>
  <c r="Z23" i="25"/>
  <c r="H22" i="25"/>
  <c r="Z19" i="25"/>
  <c r="T18" i="25"/>
  <c r="V16" i="25"/>
  <c r="S15" i="25"/>
  <c r="P13" i="25"/>
  <c r="S12" i="25"/>
  <c r="R10" i="25"/>
  <c r="V9" i="25"/>
  <c r="X8" i="25"/>
  <c r="AA78" i="24"/>
  <c r="G78" i="24"/>
  <c r="J77" i="24"/>
  <c r="M76" i="24"/>
  <c r="R75" i="24"/>
  <c r="U74" i="24"/>
  <c r="X72" i="24"/>
  <c r="D72" i="24"/>
  <c r="G71" i="24"/>
  <c r="J70" i="24"/>
  <c r="O69" i="24"/>
  <c r="R68" i="24"/>
  <c r="U67" i="24"/>
  <c r="Z66" i="24"/>
  <c r="D66" i="24"/>
  <c r="G65" i="24"/>
  <c r="L64" i="24"/>
  <c r="O63" i="24"/>
  <c r="T62" i="24"/>
  <c r="AA61" i="24"/>
  <c r="I61" i="24"/>
  <c r="P59" i="24"/>
  <c r="X58" i="24"/>
  <c r="G58" i="24"/>
  <c r="O57" i="24"/>
  <c r="W56" i="24"/>
  <c r="F56" i="24"/>
  <c r="O55" i="24"/>
  <c r="X54" i="24"/>
  <c r="H54" i="24"/>
  <c r="Q53" i="24"/>
  <c r="Z49" i="24"/>
  <c r="J49" i="24"/>
  <c r="S48" i="24"/>
  <c r="C48" i="24"/>
  <c r="L47" i="24"/>
  <c r="U46" i="24"/>
  <c r="E46" i="24"/>
  <c r="N45" i="24"/>
  <c r="W44" i="24"/>
  <c r="G44" i="24"/>
  <c r="P43" i="24"/>
  <c r="Y42" i="24"/>
  <c r="T18" i="29"/>
  <c r="E20" i="27"/>
  <c r="J43" i="26"/>
  <c r="S32" i="26"/>
  <c r="R23" i="26"/>
  <c r="K16" i="26"/>
  <c r="E12" i="26"/>
  <c r="N8" i="26"/>
  <c r="M42" i="25"/>
  <c r="N39" i="25"/>
  <c r="F36" i="25"/>
  <c r="F34" i="25"/>
  <c r="F31" i="25"/>
  <c r="G29" i="25"/>
  <c r="L26" i="25"/>
  <c r="Q23" i="25"/>
  <c r="G22" i="25"/>
  <c r="Y19" i="25"/>
  <c r="S18" i="25"/>
  <c r="S16" i="25"/>
  <c r="R15" i="25"/>
  <c r="O13" i="25"/>
  <c r="R12" i="25"/>
  <c r="Q10" i="25"/>
  <c r="U9" i="25"/>
  <c r="W8" i="25"/>
  <c r="Z78" i="24"/>
  <c r="F78" i="24"/>
  <c r="I77" i="24"/>
  <c r="L76" i="24"/>
  <c r="Q75" i="24"/>
  <c r="T74" i="24"/>
  <c r="W72" i="24"/>
  <c r="C72" i="24"/>
  <c r="F71" i="24"/>
  <c r="I70" i="24"/>
  <c r="N69" i="24"/>
  <c r="Q68" i="24"/>
  <c r="T67" i="24"/>
  <c r="Y66" i="24"/>
  <c r="C66" i="24"/>
  <c r="F65" i="24"/>
  <c r="K64" i="24"/>
  <c r="N63" i="24"/>
  <c r="S62" i="24"/>
  <c r="Z61" i="24"/>
  <c r="H61" i="24"/>
  <c r="O59" i="24"/>
  <c r="W58" i="24"/>
  <c r="F58" i="24"/>
  <c r="N57" i="24"/>
  <c r="V56" i="24"/>
  <c r="E56" i="24"/>
  <c r="N55" i="24"/>
  <c r="W54" i="24"/>
  <c r="G54" i="24"/>
  <c r="P53" i="24"/>
  <c r="Y49" i="24"/>
  <c r="I49" i="24"/>
  <c r="R48" i="24"/>
  <c r="AA47" i="24"/>
  <c r="K47" i="24"/>
  <c r="T46" i="24"/>
  <c r="D46" i="24"/>
  <c r="M45" i="24"/>
  <c r="V44" i="24"/>
  <c r="F44" i="24"/>
  <c r="O43" i="24"/>
  <c r="X42" i="24"/>
  <c r="H42" i="24"/>
  <c r="Q41" i="24"/>
  <c r="Z40" i="24"/>
  <c r="J40" i="24"/>
  <c r="S39" i="24"/>
  <c r="C39" i="24"/>
  <c r="L38" i="24"/>
  <c r="U37" i="24"/>
  <c r="E37" i="24"/>
  <c r="N35" i="24"/>
  <c r="W32" i="24"/>
  <c r="G32" i="24"/>
  <c r="P31" i="24"/>
  <c r="Y30" i="24"/>
  <c r="I30" i="24"/>
  <c r="R29" i="24"/>
  <c r="AA27" i="24"/>
  <c r="K27" i="24"/>
  <c r="T26" i="24"/>
  <c r="D26" i="24"/>
  <c r="M25" i="24"/>
  <c r="V24" i="24"/>
  <c r="F24" i="24"/>
  <c r="O23" i="24"/>
  <c r="X22" i="24"/>
  <c r="H22" i="24"/>
  <c r="Q21" i="24"/>
  <c r="Z20" i="24"/>
  <c r="J20" i="24"/>
  <c r="S19" i="24"/>
  <c r="C19" i="24"/>
  <c r="L18" i="24"/>
  <c r="U17" i="24"/>
  <c r="E17" i="24"/>
  <c r="N16" i="24"/>
  <c r="W15" i="24"/>
  <c r="G15" i="24"/>
  <c r="P13" i="24"/>
  <c r="Y12" i="24"/>
  <c r="I12" i="24"/>
  <c r="R11" i="24"/>
  <c r="Y17" i="29"/>
  <c r="Y18" i="27"/>
  <c r="F43" i="26"/>
  <c r="P32" i="26"/>
  <c r="O23" i="26"/>
  <c r="X15" i="26"/>
  <c r="C12" i="26"/>
  <c r="L8" i="26"/>
  <c r="L42" i="25"/>
  <c r="Q11" i="29"/>
  <c r="U16" i="27"/>
  <c r="G42" i="26"/>
  <c r="U31" i="26"/>
  <c r="W22" i="26"/>
  <c r="U15" i="26"/>
  <c r="AA10" i="26"/>
  <c r="K8" i="26"/>
  <c r="AA41" i="25"/>
  <c r="AA38" i="25"/>
  <c r="AA35" i="25"/>
  <c r="C34" i="25"/>
  <c r="D31" i="25"/>
  <c r="V27" i="25"/>
  <c r="I26" i="25"/>
  <c r="N23" i="25"/>
  <c r="D22" i="25"/>
  <c r="V19" i="25"/>
  <c r="P18" i="25"/>
  <c r="M16" i="25"/>
  <c r="P15" i="25"/>
  <c r="M13" i="25"/>
  <c r="N12" i="25"/>
  <c r="O10" i="25"/>
  <c r="S9" i="25"/>
  <c r="S8" i="25"/>
  <c r="X78" i="24"/>
  <c r="AA77" i="24"/>
  <c r="E77" i="24"/>
  <c r="J76" i="24"/>
  <c r="M75" i="24"/>
  <c r="P74" i="24"/>
  <c r="U72" i="24"/>
  <c r="X71" i="24"/>
  <c r="AA70" i="24"/>
  <c r="G70" i="24"/>
  <c r="J69" i="24"/>
  <c r="M68" i="24"/>
  <c r="R67" i="24"/>
  <c r="U66" i="24"/>
  <c r="X65" i="24"/>
  <c r="D65" i="24"/>
  <c r="G64" i="24"/>
  <c r="J63" i="24"/>
  <c r="Q62" i="24"/>
  <c r="X61" i="24"/>
  <c r="F61" i="24"/>
  <c r="M59" i="24"/>
  <c r="U58" i="24"/>
  <c r="D58" i="24"/>
  <c r="L57" i="24"/>
  <c r="T56" i="24"/>
  <c r="C56" i="24"/>
  <c r="L55" i="24"/>
  <c r="U54" i="24"/>
  <c r="E54" i="24"/>
  <c r="N53" i="24"/>
  <c r="W49" i="24"/>
  <c r="G49" i="24"/>
  <c r="P48" i="24"/>
  <c r="Y47" i="24"/>
  <c r="I47" i="24"/>
  <c r="R46" i="24"/>
  <c r="AA45" i="24"/>
  <c r="K45" i="24"/>
  <c r="T44" i="24"/>
  <c r="D44" i="24"/>
  <c r="M43" i="24"/>
  <c r="V42" i="24"/>
  <c r="F42" i="24"/>
  <c r="O41" i="24"/>
  <c r="W10" i="29"/>
  <c r="P16" i="27"/>
  <c r="E42" i="26"/>
  <c r="R31" i="26"/>
  <c r="U22" i="26"/>
  <c r="S15" i="26"/>
  <c r="Z10" i="26"/>
  <c r="J8" i="26"/>
  <c r="Y41" i="25"/>
  <c r="Y38" i="25"/>
  <c r="Z35" i="25"/>
  <c r="AA32" i="25"/>
  <c r="S30" i="25"/>
  <c r="U27" i="25"/>
  <c r="H26" i="25"/>
  <c r="L23" i="25"/>
  <c r="C22" i="25"/>
  <c r="U19" i="25"/>
  <c r="O18" i="25"/>
  <c r="L16" i="25"/>
  <c r="O15" i="25"/>
  <c r="L13" i="25"/>
  <c r="L12" i="25"/>
  <c r="N10" i="25"/>
  <c r="P9" i="25"/>
  <c r="R8" i="25"/>
  <c r="W78" i="24"/>
  <c r="Z77" i="24"/>
  <c r="D77" i="24"/>
  <c r="I76" i="24"/>
  <c r="L75" i="24"/>
  <c r="O74" i="24"/>
  <c r="T72" i="24"/>
  <c r="W71" i="24"/>
  <c r="Z70" i="24"/>
  <c r="F70" i="24"/>
  <c r="I69" i="24"/>
  <c r="L68" i="24"/>
  <c r="Q67" i="24"/>
  <c r="T66" i="24"/>
  <c r="W65" i="24"/>
  <c r="C65" i="24"/>
  <c r="F64" i="24"/>
  <c r="I63" i="24"/>
  <c r="P62" i="24"/>
  <c r="W61" i="24"/>
  <c r="E61" i="24"/>
  <c r="L59" i="24"/>
  <c r="T58" i="24"/>
  <c r="C58" i="24"/>
  <c r="K57" i="24"/>
  <c r="R56" i="24"/>
  <c r="AA55" i="24"/>
  <c r="K55" i="24"/>
  <c r="T54" i="24"/>
  <c r="D54" i="24"/>
  <c r="M53" i="24"/>
  <c r="V49" i="24"/>
  <c r="F49" i="24"/>
  <c r="O48" i="24"/>
  <c r="X47" i="24"/>
  <c r="H47" i="24"/>
  <c r="Q46" i="24"/>
  <c r="Z45" i="24"/>
  <c r="J45" i="24"/>
  <c r="S44" i="24"/>
  <c r="C44" i="24"/>
  <c r="L43" i="24"/>
  <c r="U42" i="24"/>
  <c r="E42" i="24"/>
  <c r="N41" i="24"/>
  <c r="W40" i="24"/>
  <c r="G40" i="24"/>
  <c r="P39" i="24"/>
  <c r="Y38" i="24"/>
  <c r="I38" i="24"/>
  <c r="R37" i="24"/>
  <c r="AA35" i="24"/>
  <c r="K35" i="24"/>
  <c r="T32" i="24"/>
  <c r="D32" i="24"/>
  <c r="M31" i="24"/>
  <c r="V30" i="24"/>
  <c r="F30" i="24"/>
  <c r="O29" i="24"/>
  <c r="X27" i="24"/>
  <c r="H27" i="24"/>
  <c r="Q26" i="24"/>
  <c r="Z25" i="24"/>
  <c r="J25" i="24"/>
  <c r="S24" i="24"/>
  <c r="C24" i="24"/>
  <c r="L23" i="24"/>
  <c r="U22" i="24"/>
  <c r="E22" i="24"/>
  <c r="N21" i="24"/>
  <c r="W20" i="24"/>
  <c r="G20" i="24"/>
  <c r="P19" i="24"/>
  <c r="Y18" i="24"/>
  <c r="I18" i="24"/>
  <c r="R17" i="24"/>
  <c r="AA16" i="24"/>
  <c r="K16" i="24"/>
  <c r="T15" i="24"/>
  <c r="D15" i="24"/>
  <c r="M13" i="24"/>
  <c r="V12" i="24"/>
  <c r="F12" i="24"/>
  <c r="O11" i="24"/>
  <c r="X10" i="24"/>
  <c r="H10" i="24"/>
  <c r="Q9" i="24"/>
  <c r="Z8" i="24"/>
  <c r="J8" i="24"/>
  <c r="S7" i="24"/>
  <c r="C7" i="24"/>
  <c r="L25" i="23"/>
  <c r="U24" i="23"/>
  <c r="E24" i="23"/>
  <c r="N23" i="23"/>
  <c r="W20" i="23"/>
  <c r="G20" i="23"/>
  <c r="P19" i="23"/>
  <c r="Y18" i="23"/>
  <c r="I18" i="23"/>
  <c r="R17" i="23"/>
  <c r="I7" i="29"/>
  <c r="D14" i="27"/>
  <c r="I41" i="26"/>
  <c r="V30" i="26"/>
  <c r="E22" i="26"/>
  <c r="G15" i="26"/>
  <c r="M10" i="26"/>
  <c r="W43" i="25"/>
  <c r="W41" i="25"/>
  <c r="X38" i="25"/>
  <c r="Y35" i="25"/>
  <c r="Q32" i="25"/>
  <c r="Q30" i="25"/>
  <c r="S27" i="25"/>
  <c r="X24" i="25"/>
  <c r="K23" i="25"/>
  <c r="AA20" i="25"/>
  <c r="T19" i="25"/>
  <c r="N18" i="25"/>
  <c r="K16" i="25"/>
  <c r="L15" i="25"/>
  <c r="K13" i="25"/>
  <c r="I12" i="25"/>
  <c r="M10" i="25"/>
  <c r="N9" i="25"/>
  <c r="Q8" i="25"/>
  <c r="V78" i="24"/>
  <c r="Y77" i="24"/>
  <c r="C77" i="24"/>
  <c r="H76" i="24"/>
  <c r="K75" i="24"/>
  <c r="N74" i="24"/>
  <c r="S72" i="24"/>
  <c r="V71" i="24"/>
  <c r="Y70" i="24"/>
  <c r="E70" i="24"/>
  <c r="H69" i="24"/>
  <c r="K68" i="24"/>
  <c r="P67" i="24"/>
  <c r="C7" i="29"/>
  <c r="W13" i="27"/>
  <c r="F41" i="26"/>
  <c r="T30" i="26"/>
  <c r="AA20" i="26"/>
  <c r="D15" i="26"/>
  <c r="K10" i="26"/>
  <c r="U43" i="25"/>
  <c r="V41" i="25"/>
  <c r="W38" i="25"/>
  <c r="O35" i="25"/>
  <c r="O32" i="25"/>
  <c r="O30" i="25"/>
  <c r="Q27" i="25"/>
  <c r="W24" i="25"/>
  <c r="J23" i="25"/>
  <c r="S20" i="25"/>
  <c r="L19" i="25"/>
  <c r="M18" i="25"/>
  <c r="J16" i="25"/>
  <c r="G15" i="25"/>
  <c r="J13" i="25"/>
  <c r="H12" i="25"/>
  <c r="L10" i="25"/>
  <c r="K9" i="25"/>
  <c r="P8" i="25"/>
  <c r="U78" i="24"/>
  <c r="V77" i="24"/>
  <c r="AA76" i="24"/>
  <c r="G76" i="24"/>
  <c r="H75" i="24"/>
  <c r="M74" i="24"/>
  <c r="R72" i="24"/>
  <c r="S71" i="24"/>
  <c r="X70" i="24"/>
  <c r="D70" i="24"/>
  <c r="E69" i="24"/>
  <c r="J68" i="24"/>
  <c r="O67" i="24"/>
  <c r="P66" i="24"/>
  <c r="U65" i="24"/>
  <c r="Z64" i="24"/>
  <c r="AA63" i="24"/>
  <c r="G63" i="24"/>
  <c r="N62" i="24"/>
  <c r="U61" i="24"/>
  <c r="AA59" i="24"/>
  <c r="J59" i="24"/>
  <c r="R58" i="24"/>
  <c r="Y57" i="24"/>
  <c r="H57" i="24"/>
  <c r="P56" i="24"/>
  <c r="Y55" i="24"/>
  <c r="I55" i="24"/>
  <c r="R54" i="24"/>
  <c r="AA53" i="24"/>
  <c r="K53" i="24"/>
  <c r="T49" i="24"/>
  <c r="D49" i="24"/>
  <c r="M48" i="24"/>
  <c r="V47" i="24"/>
  <c r="F47" i="24"/>
  <c r="O46" i="24"/>
  <c r="X45" i="24"/>
  <c r="H45" i="24"/>
  <c r="Q44" i="24"/>
  <c r="Z43" i="24"/>
  <c r="J43" i="24"/>
  <c r="S42" i="24"/>
  <c r="C42" i="24"/>
  <c r="L41" i="24"/>
  <c r="U40" i="24"/>
  <c r="E40" i="24"/>
  <c r="N39" i="24"/>
  <c r="W38" i="24"/>
  <c r="G38" i="24"/>
  <c r="P37" i="24"/>
  <c r="Y35" i="24"/>
  <c r="I35" i="24"/>
  <c r="R32" i="24"/>
  <c r="AA31" i="24"/>
  <c r="K31" i="24"/>
  <c r="T30" i="24"/>
  <c r="D30" i="24"/>
  <c r="M29" i="24"/>
  <c r="V27" i="24"/>
  <c r="F27" i="24"/>
  <c r="O26" i="24"/>
  <c r="X25" i="24"/>
  <c r="H25" i="24"/>
  <c r="Q24" i="24"/>
  <c r="Z23" i="24"/>
  <c r="J23" i="24"/>
  <c r="S22" i="24"/>
  <c r="C22" i="24"/>
  <c r="L21" i="24"/>
  <c r="U20" i="24"/>
  <c r="E20" i="24"/>
  <c r="N19" i="24"/>
  <c r="O18" i="28"/>
  <c r="P12" i="27"/>
  <c r="I39" i="26"/>
  <c r="Y29" i="26"/>
  <c r="K20" i="26"/>
  <c r="C15" i="26"/>
  <c r="J10" i="26"/>
  <c r="T43" i="25"/>
  <c r="U41" i="25"/>
  <c r="M38" i="25"/>
  <c r="M35" i="25"/>
  <c r="M32" i="25"/>
  <c r="N30" i="25"/>
  <c r="P27" i="25"/>
  <c r="U24" i="25"/>
  <c r="Z22" i="25"/>
  <c r="R20" i="25"/>
  <c r="K19" i="25"/>
  <c r="J18" i="25"/>
  <c r="I16" i="25"/>
  <c r="F15" i="25"/>
  <c r="I13" i="25"/>
  <c r="G12" i="25"/>
  <c r="K10" i="25"/>
  <c r="J9" i="25"/>
  <c r="O8" i="25"/>
  <c r="R78" i="24"/>
  <c r="U77" i="24"/>
  <c r="Z76" i="24"/>
  <c r="D76" i="24"/>
  <c r="G75" i="24"/>
  <c r="L74" i="24"/>
  <c r="O72" i="24"/>
  <c r="R71" i="24"/>
  <c r="W70" i="24"/>
  <c r="Z69" i="24"/>
  <c r="D69" i="24"/>
  <c r="I68" i="24"/>
  <c r="L67" i="24"/>
  <c r="O66" i="24"/>
  <c r="T65" i="24"/>
  <c r="W64" i="24"/>
  <c r="Z63" i="24"/>
  <c r="F63" i="24"/>
  <c r="M62" i="24"/>
  <c r="T61" i="24"/>
  <c r="Z59" i="24"/>
  <c r="I59" i="24"/>
  <c r="P58" i="24"/>
  <c r="X57" i="24"/>
  <c r="G57" i="24"/>
  <c r="O56" i="24"/>
  <c r="X55" i="24"/>
  <c r="H55" i="24"/>
  <c r="Q54" i="24"/>
  <c r="Z53" i="24"/>
  <c r="J53" i="24"/>
  <c r="S49" i="24"/>
  <c r="C49" i="24"/>
  <c r="L48" i="24"/>
  <c r="U47" i="24"/>
  <c r="E47" i="24"/>
  <c r="N46" i="24"/>
  <c r="W45" i="24"/>
  <c r="G45" i="24"/>
  <c r="P44" i="24"/>
  <c r="Y43" i="24"/>
  <c r="I43" i="24"/>
  <c r="R42" i="24"/>
  <c r="AA41" i="24"/>
  <c r="K41" i="24"/>
  <c r="T40" i="24"/>
  <c r="J18" i="28"/>
  <c r="K12" i="27"/>
  <c r="G39" i="26"/>
  <c r="W29" i="26"/>
  <c r="I20" i="26"/>
  <c r="AA13" i="26"/>
  <c r="V14" i="28"/>
  <c r="E10" i="27"/>
  <c r="L38" i="26"/>
  <c r="D29" i="26"/>
  <c r="R19" i="26"/>
  <c r="N13" i="26"/>
  <c r="U9" i="26"/>
  <c r="I43" i="25"/>
  <c r="I41" i="25"/>
  <c r="I38" i="25"/>
  <c r="J35" i="25"/>
  <c r="K32" i="25"/>
  <c r="C30" i="25"/>
  <c r="F27" i="25"/>
  <c r="R24" i="25"/>
  <c r="W22" i="25"/>
  <c r="P20" i="25"/>
  <c r="I19" i="25"/>
  <c r="D18" i="25"/>
  <c r="G16" i="25"/>
  <c r="D15" i="25"/>
  <c r="E13" i="25"/>
  <c r="E12" i="25"/>
  <c r="G10" i="25"/>
  <c r="H9" i="25"/>
  <c r="M8" i="25"/>
  <c r="P78" i="24"/>
  <c r="S77" i="24"/>
  <c r="X76" i="24"/>
  <c r="AA75" i="24"/>
  <c r="E75" i="24"/>
  <c r="J74" i="24"/>
  <c r="M72" i="24"/>
  <c r="P71" i="24"/>
  <c r="U70" i="24"/>
  <c r="X69" i="24"/>
  <c r="AA68" i="24"/>
  <c r="G68" i="24"/>
  <c r="J67" i="24"/>
  <c r="M66" i="24"/>
  <c r="Q14" i="28"/>
  <c r="Z9" i="27"/>
  <c r="J38" i="26"/>
  <c r="Y27" i="26"/>
  <c r="P19" i="26"/>
  <c r="L13" i="26"/>
  <c r="S9" i="26"/>
  <c r="G43" i="25"/>
  <c r="G41" i="25"/>
  <c r="H38" i="25"/>
  <c r="I35" i="25"/>
  <c r="Z31" i="25"/>
  <c r="Z29" i="25"/>
  <c r="E27" i="25"/>
  <c r="Q24" i="25"/>
  <c r="U22" i="25"/>
  <c r="N20" i="25"/>
  <c r="G19" i="25"/>
  <c r="C18" i="25"/>
  <c r="F16" i="25"/>
  <c r="C15" i="25"/>
  <c r="Y12" i="25"/>
  <c r="D12" i="25"/>
  <c r="E10" i="25"/>
  <c r="G9" i="25"/>
  <c r="L8" i="25"/>
  <c r="M78" i="24"/>
  <c r="R77" i="24"/>
  <c r="W76" i="24"/>
  <c r="X75" i="24"/>
  <c r="D75" i="24"/>
  <c r="I74" i="24"/>
  <c r="J72" i="24"/>
  <c r="O71" i="24"/>
  <c r="T70" i="24"/>
  <c r="D11" i="28"/>
  <c r="W8" i="27"/>
  <c r="N36" i="26"/>
  <c r="G27" i="26"/>
  <c r="Y18" i="26"/>
  <c r="K13" i="26"/>
  <c r="R9" i="26"/>
  <c r="E43" i="25"/>
  <c r="F41" i="25"/>
  <c r="G38" i="25"/>
  <c r="X34" i="25"/>
  <c r="X31" i="25"/>
  <c r="X29" i="25"/>
  <c r="C27" i="25"/>
  <c r="H24" i="25"/>
  <c r="T22" i="25"/>
  <c r="M20" i="25"/>
  <c r="F19" i="25"/>
  <c r="AA16" i="25"/>
  <c r="C16" i="25"/>
  <c r="AA13" i="25"/>
  <c r="X12" i="25"/>
  <c r="C12" i="25"/>
  <c r="AA9" i="25"/>
  <c r="F9" i="25"/>
  <c r="I8" i="25"/>
  <c r="L78" i="24"/>
  <c r="Q77" i="24"/>
  <c r="T76" i="24"/>
  <c r="W75" i="24"/>
  <c r="C75" i="24"/>
  <c r="W10" i="28"/>
  <c r="S8" i="27"/>
  <c r="J36" i="26"/>
  <c r="D27" i="26"/>
  <c r="W18" i="26"/>
  <c r="J13" i="26"/>
  <c r="Q9" i="26"/>
  <c r="D43" i="25"/>
  <c r="E41" i="25"/>
  <c r="V36" i="25"/>
  <c r="V34" i="25"/>
  <c r="V31" i="25"/>
  <c r="W29" i="25"/>
  <c r="Z26" i="25"/>
  <c r="G24" i="25"/>
  <c r="S22" i="25"/>
  <c r="L20" i="25"/>
  <c r="E19" i="25"/>
  <c r="Z16" i="25"/>
  <c r="W15" i="25"/>
  <c r="Z13" i="25"/>
  <c r="W12" i="25"/>
  <c r="AA10" i="25"/>
  <c r="Z9" i="25"/>
  <c r="E9" i="25"/>
  <c r="H8" i="25"/>
  <c r="K78" i="24"/>
  <c r="P77" i="24"/>
  <c r="S76" i="24"/>
  <c r="V75" i="24"/>
  <c r="AA74" i="24"/>
  <c r="E74" i="24"/>
  <c r="H72" i="24"/>
  <c r="M71" i="24"/>
  <c r="P70" i="24"/>
  <c r="S69" i="24"/>
  <c r="X68" i="24"/>
  <c r="AA67" i="24"/>
  <c r="E67" i="24"/>
  <c r="J66" i="24"/>
  <c r="M65" i="24"/>
  <c r="P64" i="24"/>
  <c r="U63" i="24"/>
  <c r="Y62" i="24"/>
  <c r="G62" i="24"/>
  <c r="M61" i="24"/>
  <c r="T59" i="24"/>
  <c r="C59" i="24"/>
  <c r="K58" i="24"/>
  <c r="S57" i="24"/>
  <c r="AA56" i="24"/>
  <c r="J56" i="24"/>
  <c r="S55" i="24"/>
  <c r="K8" i="28"/>
  <c r="P7" i="27"/>
  <c r="P35" i="26"/>
  <c r="K26" i="26"/>
  <c r="G18" i="26"/>
  <c r="V12" i="26"/>
  <c r="E9" i="26"/>
  <c r="C43" i="25"/>
  <c r="T39" i="25"/>
  <c r="T36" i="25"/>
  <c r="T34" i="25"/>
  <c r="U31" i="25"/>
  <c r="V29" i="25"/>
  <c r="Y26" i="25"/>
  <c r="E24" i="25"/>
  <c r="R22" i="25"/>
  <c r="K20" i="25"/>
  <c r="D19" i="25"/>
  <c r="Y16" i="25"/>
  <c r="V15" i="25"/>
  <c r="Y13" i="25"/>
  <c r="V12" i="25"/>
  <c r="I10" i="26"/>
  <c r="Y22" i="25"/>
  <c r="P10" i="25"/>
  <c r="Y76" i="24"/>
  <c r="AA71" i="24"/>
  <c r="Y68" i="24"/>
  <c r="K66" i="24"/>
  <c r="J64" i="24"/>
  <c r="L62" i="24"/>
  <c r="V59" i="24"/>
  <c r="J58" i="24"/>
  <c r="Q56" i="24"/>
  <c r="F55" i="24"/>
  <c r="X53" i="24"/>
  <c r="Q49" i="24"/>
  <c r="J48" i="24"/>
  <c r="C47" i="24"/>
  <c r="U45" i="24"/>
  <c r="N44" i="24"/>
  <c r="G43" i="24"/>
  <c r="Z41" i="24"/>
  <c r="Y40" i="24"/>
  <c r="Z39" i="24"/>
  <c r="AA38" i="24"/>
  <c r="D38" i="24"/>
  <c r="F37" i="24"/>
  <c r="G35" i="24"/>
  <c r="K32" i="24"/>
  <c r="J31" i="24"/>
  <c r="N30" i="24"/>
  <c r="N29" i="24"/>
  <c r="Q27" i="24"/>
  <c r="R26" i="24"/>
  <c r="T25" i="24"/>
  <c r="U24" i="24"/>
  <c r="W23" i="24"/>
  <c r="Y22" i="24"/>
  <c r="Z21" i="24"/>
  <c r="E21" i="24"/>
  <c r="H20" i="24"/>
  <c r="K19" i="24"/>
  <c r="Q18" i="24"/>
  <c r="V17" i="24"/>
  <c r="Z16" i="24"/>
  <c r="G16" i="24"/>
  <c r="M15" i="24"/>
  <c r="S13" i="24"/>
  <c r="W12" i="24"/>
  <c r="C12" i="24"/>
  <c r="I11" i="24"/>
  <c r="P10" i="24"/>
  <c r="W9" i="24"/>
  <c r="D9" i="24"/>
  <c r="K8" i="24"/>
  <c r="Q7" i="24"/>
  <c r="X25" i="23"/>
  <c r="F25" i="23"/>
  <c r="M24" i="23"/>
  <c r="T23" i="23"/>
  <c r="Z20" i="23"/>
  <c r="H20" i="23"/>
  <c r="O19" i="23"/>
  <c r="W18" i="23"/>
  <c r="F18" i="23"/>
  <c r="N17" i="23"/>
  <c r="W16" i="23"/>
  <c r="G16" i="23"/>
  <c r="P15" i="23"/>
  <c r="Y14" i="23"/>
  <c r="I14" i="23"/>
  <c r="R13" i="23"/>
  <c r="AA10" i="23"/>
  <c r="K10" i="23"/>
  <c r="T9" i="23"/>
  <c r="D9" i="23"/>
  <c r="M8" i="23"/>
  <c r="V7" i="23"/>
  <c r="F7" i="23"/>
  <c r="O53" i="22"/>
  <c r="X52" i="22"/>
  <c r="H52" i="22"/>
  <c r="Q51" i="22"/>
  <c r="Z50" i="22"/>
  <c r="J50" i="22"/>
  <c r="S49" i="22"/>
  <c r="C49" i="22"/>
  <c r="L48" i="22"/>
  <c r="U47" i="22"/>
  <c r="E47" i="22"/>
  <c r="N46" i="22"/>
  <c r="W45" i="22"/>
  <c r="G45" i="22"/>
  <c r="P44" i="22"/>
  <c r="Y43" i="22"/>
  <c r="I43" i="22"/>
  <c r="R42" i="22"/>
  <c r="AA41" i="22"/>
  <c r="K41" i="22"/>
  <c r="T40" i="22"/>
  <c r="D40" i="22"/>
  <c r="M38" i="22"/>
  <c r="V37" i="22"/>
  <c r="F37" i="22"/>
  <c r="O36" i="22"/>
  <c r="X35" i="22"/>
  <c r="H35" i="22"/>
  <c r="Q34" i="22"/>
  <c r="Z33" i="22"/>
  <c r="J33" i="22"/>
  <c r="S32" i="22"/>
  <c r="C32" i="22"/>
  <c r="L31" i="22"/>
  <c r="U30" i="22"/>
  <c r="E30" i="22"/>
  <c r="N28" i="22"/>
  <c r="W27" i="22"/>
  <c r="G27" i="22"/>
  <c r="P26" i="22"/>
  <c r="Y25" i="22"/>
  <c r="I25" i="22"/>
  <c r="R24" i="22"/>
  <c r="AA23" i="22"/>
  <c r="K23" i="22"/>
  <c r="T22" i="22"/>
  <c r="D22" i="22"/>
  <c r="M21" i="22"/>
  <c r="V20" i="22"/>
  <c r="S43" i="25"/>
  <c r="E22" i="25"/>
  <c r="J10" i="25"/>
  <c r="R76" i="24"/>
  <c r="Q71" i="24"/>
  <c r="W68" i="24"/>
  <c r="I66" i="24"/>
  <c r="E64" i="24"/>
  <c r="K62" i="24"/>
  <c r="U59" i="24"/>
  <c r="E58" i="24"/>
  <c r="N56" i="24"/>
  <c r="E55" i="24"/>
  <c r="W53" i="24"/>
  <c r="P49" i="24"/>
  <c r="I48" i="24"/>
  <c r="AA46" i="24"/>
  <c r="T45" i="24"/>
  <c r="M44" i="24"/>
  <c r="F43" i="24"/>
  <c r="Y41" i="24"/>
  <c r="X40" i="24"/>
  <c r="Y39" i="24"/>
  <c r="Z38" i="24"/>
  <c r="C38" i="24"/>
  <c r="D37" i="24"/>
  <c r="F35" i="24"/>
  <c r="H32" i="24"/>
  <c r="I31" i="24"/>
  <c r="M30" i="24"/>
  <c r="L29" i="24"/>
  <c r="P27" i="24"/>
  <c r="P26" i="24"/>
  <c r="S25" i="24"/>
  <c r="T24" i="24"/>
  <c r="V23" i="24"/>
  <c r="W22" i="24"/>
  <c r="Y21" i="24"/>
  <c r="D21" i="24"/>
  <c r="F20" i="24"/>
  <c r="J19" i="24"/>
  <c r="P18" i="24"/>
  <c r="T17" i="24"/>
  <c r="Y16" i="24"/>
  <c r="F16" i="24"/>
  <c r="L15" i="24"/>
  <c r="Q13" i="24"/>
  <c r="U12" i="24"/>
  <c r="AA11" i="24"/>
  <c r="H11" i="24"/>
  <c r="O10" i="24"/>
  <c r="U9" i="24"/>
  <c r="C9" i="24"/>
  <c r="I8" i="24"/>
  <c r="P7" i="24"/>
  <c r="W25" i="23"/>
  <c r="E25" i="23"/>
  <c r="L24" i="23"/>
  <c r="R23" i="23"/>
  <c r="Y20" i="23"/>
  <c r="F20" i="23"/>
  <c r="N19" i="23"/>
  <c r="V18" i="23"/>
  <c r="E18" i="23"/>
  <c r="M17" i="23"/>
  <c r="V16" i="23"/>
  <c r="F16" i="23"/>
  <c r="O15" i="23"/>
  <c r="X14" i="23"/>
  <c r="H14" i="23"/>
  <c r="Q13" i="23"/>
  <c r="Z10" i="23"/>
  <c r="J10" i="23"/>
  <c r="S9" i="23"/>
  <c r="C9" i="23"/>
  <c r="L8" i="23"/>
  <c r="U7" i="23"/>
  <c r="E7" i="23"/>
  <c r="N53" i="22"/>
  <c r="W52" i="22"/>
  <c r="G52" i="22"/>
  <c r="P51" i="22"/>
  <c r="Y50" i="22"/>
  <c r="I50" i="22"/>
  <c r="R49" i="22"/>
  <c r="AA48" i="22"/>
  <c r="K48" i="22"/>
  <c r="T47" i="22"/>
  <c r="D47" i="22"/>
  <c r="M46" i="22"/>
  <c r="V45" i="22"/>
  <c r="F45" i="22"/>
  <c r="O44" i="22"/>
  <c r="X43" i="22"/>
  <c r="H43" i="22"/>
  <c r="Q42" i="22"/>
  <c r="Z41" i="22"/>
  <c r="J41" i="22"/>
  <c r="S40" i="22"/>
  <c r="C40" i="22"/>
  <c r="L38" i="22"/>
  <c r="U37" i="22"/>
  <c r="E37" i="22"/>
  <c r="N36" i="22"/>
  <c r="W35" i="22"/>
  <c r="G35" i="22"/>
  <c r="P34" i="22"/>
  <c r="Y33" i="22"/>
  <c r="I33" i="22"/>
  <c r="R32" i="22"/>
  <c r="AA31" i="22"/>
  <c r="K31" i="22"/>
  <c r="T30" i="22"/>
  <c r="D30" i="22"/>
  <c r="M28" i="22"/>
  <c r="V27" i="22"/>
  <c r="K41" i="25"/>
  <c r="Q20" i="25"/>
  <c r="Y9" i="25"/>
  <c r="K76" i="24"/>
  <c r="N71" i="24"/>
  <c r="N68" i="24"/>
  <c r="Y65" i="24"/>
  <c r="Y63" i="24"/>
  <c r="I62" i="24"/>
  <c r="S59" i="24"/>
  <c r="AA57" i="24"/>
  <c r="M56" i="24"/>
  <c r="D55" i="24"/>
  <c r="V53" i="24"/>
  <c r="O49" i="24"/>
  <c r="H48" i="24"/>
  <c r="Z46" i="24"/>
  <c r="S45" i="24"/>
  <c r="L44" i="24"/>
  <c r="E43" i="24"/>
  <c r="X41" i="24"/>
  <c r="V40" i="24"/>
  <c r="X39" i="24"/>
  <c r="X38" i="24"/>
  <c r="AA37" i="24"/>
  <c r="C37" i="24"/>
  <c r="E35" i="24"/>
  <c r="F32" i="24"/>
  <c r="H31" i="24"/>
  <c r="J30" i="24"/>
  <c r="K29" i="24"/>
  <c r="O27" i="24"/>
  <c r="N26" i="24"/>
  <c r="R25" i="24"/>
  <c r="R24" i="24"/>
  <c r="U23" i="24"/>
  <c r="V22" i="24"/>
  <c r="X21" i="24"/>
  <c r="AA20" i="24"/>
  <c r="D20" i="24"/>
  <c r="I19" i="24"/>
  <c r="O18" i="24"/>
  <c r="S17" i="24"/>
  <c r="X16" i="24"/>
  <c r="E16" i="24"/>
  <c r="K15" i="24"/>
  <c r="O13" i="24"/>
  <c r="T12" i="24"/>
  <c r="Z11" i="24"/>
  <c r="G11" i="24"/>
  <c r="N10" i="24"/>
  <c r="T9" i="24"/>
  <c r="AA8" i="24"/>
  <c r="H8" i="24"/>
  <c r="O7" i="24"/>
  <c r="V25" i="23"/>
  <c r="D25" i="23"/>
  <c r="K24" i="23"/>
  <c r="Q23" i="23"/>
  <c r="X20" i="23"/>
  <c r="E20" i="23"/>
  <c r="M19" i="23"/>
  <c r="U18" i="23"/>
  <c r="D18" i="23"/>
  <c r="L17" i="23"/>
  <c r="U16" i="23"/>
  <c r="E16" i="23"/>
  <c r="N15" i="23"/>
  <c r="W14" i="23"/>
  <c r="G14" i="23"/>
  <c r="P13" i="23"/>
  <c r="Y10" i="23"/>
  <c r="I10" i="23"/>
  <c r="R9" i="23"/>
  <c r="AA8" i="23"/>
  <c r="K8" i="23"/>
  <c r="T7" i="23"/>
  <c r="D7" i="23"/>
  <c r="M53" i="22"/>
  <c r="V52" i="22"/>
  <c r="F52" i="22"/>
  <c r="O51" i="22"/>
  <c r="X50" i="22"/>
  <c r="H50" i="22"/>
  <c r="Q49" i="22"/>
  <c r="Z48" i="22"/>
  <c r="J48" i="22"/>
  <c r="S47" i="22"/>
  <c r="C47" i="22"/>
  <c r="L46" i="22"/>
  <c r="U45" i="22"/>
  <c r="E45" i="22"/>
  <c r="N44" i="22"/>
  <c r="W43" i="22"/>
  <c r="G43" i="22"/>
  <c r="P42" i="22"/>
  <c r="Y41" i="22"/>
  <c r="I41" i="22"/>
  <c r="R40" i="22"/>
  <c r="AA38" i="22"/>
  <c r="K38" i="22"/>
  <c r="T37" i="22"/>
  <c r="D37" i="22"/>
  <c r="M36" i="22"/>
  <c r="V35" i="22"/>
  <c r="F35" i="22"/>
  <c r="O34" i="22"/>
  <c r="X33" i="22"/>
  <c r="H33" i="22"/>
  <c r="Q32" i="22"/>
  <c r="Z31" i="22"/>
  <c r="J31" i="22"/>
  <c r="S30" i="22"/>
  <c r="C30" i="22"/>
  <c r="L28" i="22"/>
  <c r="U27" i="22"/>
  <c r="E27" i="22"/>
  <c r="N26" i="22"/>
  <c r="W25" i="22"/>
  <c r="G25" i="22"/>
  <c r="P24" i="22"/>
  <c r="Y23" i="22"/>
  <c r="I23" i="22"/>
  <c r="R22" i="22"/>
  <c r="AA21" i="22"/>
  <c r="K21" i="22"/>
  <c r="T20" i="22"/>
  <c r="D39" i="25"/>
  <c r="W19" i="25"/>
  <c r="T9" i="25"/>
  <c r="C76" i="24"/>
  <c r="L71" i="24"/>
  <c r="H68" i="24"/>
  <c r="V65" i="24"/>
  <c r="X63" i="24"/>
  <c r="H62" i="24"/>
  <c r="N59" i="24"/>
  <c r="W57" i="24"/>
  <c r="L56" i="24"/>
  <c r="C55" i="24"/>
  <c r="U53" i="24"/>
  <c r="N49" i="24"/>
  <c r="G48" i="24"/>
  <c r="Y46" i="24"/>
  <c r="R45" i="24"/>
  <c r="K44" i="24"/>
  <c r="D43" i="24"/>
  <c r="W41" i="24"/>
  <c r="S40" i="24"/>
  <c r="W39" i="24"/>
  <c r="V38" i="24"/>
  <c r="Z37" i="24"/>
  <c r="Z35" i="24"/>
  <c r="D35" i="24"/>
  <c r="E32" i="24"/>
  <c r="G31" i="24"/>
  <c r="H30" i="24"/>
  <c r="J29" i="24"/>
  <c r="L27" i="24"/>
  <c r="M26" i="24"/>
  <c r="Q25" i="24"/>
  <c r="P24" i="24"/>
  <c r="T23" i="24"/>
  <c r="T22" i="24"/>
  <c r="W21" i="24"/>
  <c r="Y20" i="24"/>
  <c r="C20" i="24"/>
  <c r="H19" i="24"/>
  <c r="M18" i="24"/>
  <c r="Q17" i="24"/>
  <c r="W16" i="24"/>
  <c r="D16" i="24"/>
  <c r="J15" i="24"/>
  <c r="N13" i="24"/>
  <c r="S12" i="24"/>
  <c r="Y11" i="24"/>
  <c r="F11" i="24"/>
  <c r="L10" i="24"/>
  <c r="S9" i="24"/>
  <c r="Y8" i="24"/>
  <c r="G8" i="24"/>
  <c r="K38" i="25"/>
  <c r="J19" i="25"/>
  <c r="I9" i="25"/>
  <c r="U75" i="24"/>
  <c r="C71" i="24"/>
  <c r="F68" i="24"/>
  <c r="S65" i="24"/>
  <c r="W63" i="24"/>
  <c r="E62" i="24"/>
  <c r="K59" i="24"/>
  <c r="V57" i="24"/>
  <c r="K56" i="24"/>
  <c r="AA54" i="24"/>
  <c r="T53" i="24"/>
  <c r="M49" i="24"/>
  <c r="F48" i="24"/>
  <c r="X46" i="24"/>
  <c r="Q45" i="24"/>
  <c r="J44" i="24"/>
  <c r="C43" i="24"/>
  <c r="V41" i="24"/>
  <c r="R40" i="24"/>
  <c r="T39" i="24"/>
  <c r="U38" i="24"/>
  <c r="Y37" i="24"/>
  <c r="X35" i="24"/>
  <c r="C35" i="24"/>
  <c r="C32" i="24"/>
  <c r="F31" i="24"/>
  <c r="G30" i="24"/>
  <c r="I29" i="24"/>
  <c r="J27" i="24"/>
  <c r="L26" i="24"/>
  <c r="N25" i="24"/>
  <c r="O24" i="24"/>
  <c r="S23" i="24"/>
  <c r="R22" i="24"/>
  <c r="V21" i="24"/>
  <c r="X20" i="24"/>
  <c r="AA19" i="24"/>
  <c r="G19" i="24"/>
  <c r="K18" i="24"/>
  <c r="P17" i="24"/>
  <c r="V16" i="24"/>
  <c r="C16" i="24"/>
  <c r="H15" i="24"/>
  <c r="L13" i="24"/>
  <c r="R12" i="24"/>
  <c r="X11" i="24"/>
  <c r="E11" i="24"/>
  <c r="K10" i="24"/>
  <c r="R9" i="24"/>
  <c r="X8" i="24"/>
  <c r="F8" i="24"/>
  <c r="D36" i="25"/>
  <c r="R18" i="25"/>
  <c r="D9" i="25"/>
  <c r="P75" i="24"/>
  <c r="V70" i="24"/>
  <c r="C68" i="24"/>
  <c r="R65" i="24"/>
  <c r="V63" i="24"/>
  <c r="Y61" i="24"/>
  <c r="G59" i="24"/>
  <c r="U57" i="24"/>
  <c r="I56" i="24"/>
  <c r="V54" i="24"/>
  <c r="O53" i="24"/>
  <c r="H49" i="24"/>
  <c r="Z47" i="24"/>
  <c r="S46" i="24"/>
  <c r="L45" i="24"/>
  <c r="E44" i="24"/>
  <c r="W42" i="24"/>
  <c r="U41" i="24"/>
  <c r="Q40" i="24"/>
  <c r="R39" i="24"/>
  <c r="T38" i="24"/>
  <c r="V37" i="24"/>
  <c r="W35" i="24"/>
  <c r="AA32" i="24"/>
  <c r="Z31" i="24"/>
  <c r="E31" i="24"/>
  <c r="E30" i="24"/>
  <c r="H29" i="24"/>
  <c r="I27" i="24"/>
  <c r="K26" i="24"/>
  <c r="L25" i="24"/>
  <c r="N24" i="24"/>
  <c r="P23" i="24"/>
  <c r="Q22" i="24"/>
  <c r="U21" i="24"/>
  <c r="V20" i="24"/>
  <c r="Z19" i="24"/>
  <c r="F19" i="24"/>
  <c r="J18" i="24"/>
  <c r="O17" i="24"/>
  <c r="U16" i="24"/>
  <c r="AA15" i="24"/>
  <c r="F15" i="24"/>
  <c r="K13" i="24"/>
  <c r="Q12" i="24"/>
  <c r="W11" i="24"/>
  <c r="C11" i="24"/>
  <c r="J10" i="24"/>
  <c r="P9" i="24"/>
  <c r="W8" i="24"/>
  <c r="E8" i="24"/>
  <c r="L7" i="24"/>
  <c r="S25" i="23"/>
  <c r="Y24" i="23"/>
  <c r="G24" i="23"/>
  <c r="M23" i="23"/>
  <c r="T20" i="23"/>
  <c r="AA19" i="23"/>
  <c r="J19" i="23"/>
  <c r="R18" i="23"/>
  <c r="Z17" i="23"/>
  <c r="I17" i="23"/>
  <c r="R16" i="23"/>
  <c r="AA15" i="23"/>
  <c r="K15" i="23"/>
  <c r="T14" i="23"/>
  <c r="D14" i="23"/>
  <c r="M13" i="23"/>
  <c r="V10" i="23"/>
  <c r="F10" i="23"/>
  <c r="O9" i="23"/>
  <c r="X8" i="23"/>
  <c r="H8" i="23"/>
  <c r="Q7" i="23"/>
  <c r="K35" i="25"/>
  <c r="E18" i="25"/>
  <c r="T8" i="25"/>
  <c r="F75" i="24"/>
  <c r="Q70" i="24"/>
  <c r="Z67" i="24"/>
  <c r="Q65" i="24"/>
  <c r="T63" i="24"/>
  <c r="V61" i="24"/>
  <c r="F59" i="24"/>
  <c r="T57" i="24"/>
  <c r="D56" i="24"/>
  <c r="S54" i="24"/>
  <c r="L53" i="24"/>
  <c r="E49" i="24"/>
  <c r="W47" i="24"/>
  <c r="P46" i="24"/>
  <c r="I45" i="24"/>
  <c r="AA43" i="24"/>
  <c r="T42" i="24"/>
  <c r="R41" i="24"/>
  <c r="P40" i="24"/>
  <c r="Q39" i="24"/>
  <c r="S38" i="24"/>
  <c r="T37" i="24"/>
  <c r="V35" i="24"/>
  <c r="X32" i="24"/>
  <c r="Y31" i="24"/>
  <c r="D31" i="24"/>
  <c r="C30" i="24"/>
  <c r="G29" i="24"/>
  <c r="G27" i="24"/>
  <c r="J26" i="24"/>
  <c r="K25" i="24"/>
  <c r="M24" i="24"/>
  <c r="N23" i="24"/>
  <c r="P22" i="24"/>
  <c r="R21" i="24"/>
  <c r="T20" i="24"/>
  <c r="Y19" i="24"/>
  <c r="D19" i="24"/>
  <c r="H18" i="24"/>
  <c r="N17" i="24"/>
  <c r="T16" i="24"/>
  <c r="Z15" i="24"/>
  <c r="E15" i="24"/>
  <c r="J13" i="24"/>
  <c r="P12" i="24"/>
  <c r="V11" i="24"/>
  <c r="AA10" i="24"/>
  <c r="I10" i="24"/>
  <c r="O9" i="24"/>
  <c r="V8" i="24"/>
  <c r="D8" i="24"/>
  <c r="K7" i="24"/>
  <c r="R25" i="23"/>
  <c r="X24" i="23"/>
  <c r="F24" i="23"/>
  <c r="L23" i="23"/>
  <c r="S20" i="23"/>
  <c r="Z19" i="23"/>
  <c r="I19" i="23"/>
  <c r="Q18" i="23"/>
  <c r="Y17" i="23"/>
  <c r="H17" i="23"/>
  <c r="Q16" i="23"/>
  <c r="Z15" i="23"/>
  <c r="J15" i="23"/>
  <c r="S14" i="23"/>
  <c r="C14" i="23"/>
  <c r="L13" i="23"/>
  <c r="U10" i="23"/>
  <c r="E10" i="23"/>
  <c r="N9" i="23"/>
  <c r="W8" i="23"/>
  <c r="G8" i="23"/>
  <c r="P7" i="23"/>
  <c r="Y53" i="22"/>
  <c r="I53" i="22"/>
  <c r="R52" i="22"/>
  <c r="AA51" i="22"/>
  <c r="K51" i="22"/>
  <c r="T50" i="22"/>
  <c r="D50" i="22"/>
  <c r="M49" i="22"/>
  <c r="V48" i="22"/>
  <c r="F48" i="22"/>
  <c r="O47" i="22"/>
  <c r="X46" i="22"/>
  <c r="H46" i="22"/>
  <c r="Q45" i="22"/>
  <c r="Z44" i="22"/>
  <c r="J44" i="22"/>
  <c r="S43" i="22"/>
  <c r="C43" i="22"/>
  <c r="L42" i="22"/>
  <c r="U41" i="22"/>
  <c r="E41" i="22"/>
  <c r="N40" i="22"/>
  <c r="W38" i="22"/>
  <c r="G38" i="22"/>
  <c r="P37" i="22"/>
  <c r="Y36" i="22"/>
  <c r="I36" i="22"/>
  <c r="R35" i="22"/>
  <c r="AA34" i="22"/>
  <c r="K34" i="22"/>
  <c r="T33" i="22"/>
  <c r="D33" i="22"/>
  <c r="M32" i="22"/>
  <c r="V31" i="22"/>
  <c r="F31" i="22"/>
  <c r="O30" i="22"/>
  <c r="X28" i="22"/>
  <c r="H28" i="22"/>
  <c r="Q27" i="22"/>
  <c r="Z26" i="22"/>
  <c r="J26" i="22"/>
  <c r="S25" i="22"/>
  <c r="C25" i="22"/>
  <c r="L24" i="22"/>
  <c r="U23" i="22"/>
  <c r="E23" i="22"/>
  <c r="D34" i="25"/>
  <c r="N16" i="25"/>
  <c r="N8" i="25"/>
  <c r="Z74" i="24"/>
  <c r="O70" i="24"/>
  <c r="S67" i="24"/>
  <c r="N65" i="24"/>
  <c r="K63" i="24"/>
  <c r="R61" i="24"/>
  <c r="E59" i="24"/>
  <c r="R57" i="24"/>
  <c r="Z55" i="24"/>
  <c r="P54" i="24"/>
  <c r="I53" i="24"/>
  <c r="AA48" i="24"/>
  <c r="T47" i="24"/>
  <c r="M46" i="24"/>
  <c r="F45" i="24"/>
  <c r="X43" i="24"/>
  <c r="Q42" i="24"/>
  <c r="P41" i="24"/>
  <c r="O40" i="24"/>
  <c r="O39" i="24"/>
  <c r="R38" i="24"/>
  <c r="S37" i="24"/>
  <c r="U35" i="24"/>
  <c r="V32" i="24"/>
  <c r="X31" i="24"/>
  <c r="Z30" i="24"/>
  <c r="AA29" i="24"/>
  <c r="F29" i="24"/>
  <c r="E27" i="24"/>
  <c r="I26" i="24"/>
  <c r="I25" i="24"/>
  <c r="L24" i="24"/>
  <c r="M23" i="24"/>
  <c r="O22" i="24"/>
  <c r="P21" i="24"/>
  <c r="S20" i="24"/>
  <c r="X19" i="24"/>
  <c r="AA18" i="24"/>
  <c r="G18" i="24"/>
  <c r="M17" i="24"/>
  <c r="S16" i="24"/>
  <c r="X15" i="24"/>
  <c r="C15" i="24"/>
  <c r="I13" i="24"/>
  <c r="O12" i="24"/>
  <c r="U11" i="24"/>
  <c r="Z10" i="24"/>
  <c r="G10" i="24"/>
  <c r="N9" i="24"/>
  <c r="U8" i="24"/>
  <c r="C8" i="24"/>
  <c r="J7" i="24"/>
  <c r="P25" i="23"/>
  <c r="W24" i="23"/>
  <c r="D24" i="23"/>
  <c r="K23" i="23"/>
  <c r="R20" i="23"/>
  <c r="Y19" i="23"/>
  <c r="H19" i="23"/>
  <c r="P18" i="23"/>
  <c r="X17" i="23"/>
  <c r="G17" i="23"/>
  <c r="P16" i="23"/>
  <c r="Y15" i="23"/>
  <c r="I15" i="23"/>
  <c r="R14" i="23"/>
  <c r="AA13" i="23"/>
  <c r="K13" i="23"/>
  <c r="T10" i="23"/>
  <c r="D10" i="23"/>
  <c r="M9" i="23"/>
  <c r="V8" i="23"/>
  <c r="F8" i="23"/>
  <c r="O7" i="23"/>
  <c r="X53" i="22"/>
  <c r="H53" i="22"/>
  <c r="Q52" i="22"/>
  <c r="Z51" i="22"/>
  <c r="J51" i="22"/>
  <c r="S50" i="22"/>
  <c r="C50" i="22"/>
  <c r="L49" i="22"/>
  <c r="U48" i="22"/>
  <c r="E48" i="22"/>
  <c r="N47" i="22"/>
  <c r="W46" i="22"/>
  <c r="G46" i="22"/>
  <c r="P45" i="22"/>
  <c r="Y44" i="22"/>
  <c r="I44" i="22"/>
  <c r="R43" i="22"/>
  <c r="AA42" i="22"/>
  <c r="K42" i="22"/>
  <c r="T41" i="22"/>
  <c r="D41" i="22"/>
  <c r="M40" i="22"/>
  <c r="V38" i="22"/>
  <c r="F38" i="22"/>
  <c r="O37" i="22"/>
  <c r="X36" i="22"/>
  <c r="H36" i="22"/>
  <c r="Q35" i="22"/>
  <c r="Z34" i="22"/>
  <c r="J34" i="22"/>
  <c r="S33" i="22"/>
  <c r="C33" i="22"/>
  <c r="L32" i="22"/>
  <c r="U31" i="22"/>
  <c r="E31" i="22"/>
  <c r="N30" i="22"/>
  <c r="W28" i="22"/>
  <c r="G28" i="22"/>
  <c r="P27" i="22"/>
  <c r="Y26" i="22"/>
  <c r="I26" i="22"/>
  <c r="R25" i="22"/>
  <c r="AA24" i="22"/>
  <c r="K24" i="22"/>
  <c r="T23" i="22"/>
  <c r="D23" i="22"/>
  <c r="M22" i="22"/>
  <c r="V21" i="22"/>
  <c r="F21" i="22"/>
  <c r="O20" i="22"/>
  <c r="X19" i="22"/>
  <c r="H19" i="22"/>
  <c r="Q18" i="22"/>
  <c r="Z17" i="22"/>
  <c r="J17" i="22"/>
  <c r="S16" i="22"/>
  <c r="C16" i="22"/>
  <c r="L15" i="22"/>
  <c r="U14" i="22"/>
  <c r="E14" i="22"/>
  <c r="L32" i="25"/>
  <c r="H16" i="25"/>
  <c r="G8" i="25"/>
  <c r="Q74" i="24"/>
  <c r="H70" i="24"/>
  <c r="K67" i="24"/>
  <c r="L65" i="24"/>
  <c r="H63" i="24"/>
  <c r="Q61" i="24"/>
  <c r="D59" i="24"/>
  <c r="M57" i="24"/>
  <c r="W55" i="24"/>
  <c r="O54" i="24"/>
  <c r="H53" i="24"/>
  <c r="Z48" i="24"/>
  <c r="S47" i="24"/>
  <c r="L46" i="24"/>
  <c r="E45" i="24"/>
  <c r="W43" i="24"/>
  <c r="P42" i="24"/>
  <c r="M41" i="24"/>
  <c r="N40" i="24"/>
  <c r="M39" i="24"/>
  <c r="Q38" i="24"/>
  <c r="Q37" i="24"/>
  <c r="T35" i="24"/>
  <c r="U32" i="24"/>
  <c r="W31" i="24"/>
  <c r="X30" i="24"/>
  <c r="Z29" i="24"/>
  <c r="C29" i="24"/>
  <c r="D27" i="24"/>
  <c r="H26" i="24"/>
  <c r="G25" i="24"/>
  <c r="K24" i="24"/>
  <c r="K23" i="24"/>
  <c r="E31" i="25"/>
  <c r="Q15" i="25"/>
  <c r="Y78" i="24"/>
  <c r="K74" i="24"/>
  <c r="Y69" i="24"/>
  <c r="G67" i="24"/>
  <c r="E65" i="24"/>
  <c r="E63" i="24"/>
  <c r="P61" i="24"/>
  <c r="AA58" i="24"/>
  <c r="I57" i="24"/>
  <c r="V55" i="24"/>
  <c r="N54" i="24"/>
  <c r="G53" i="24"/>
  <c r="Y48" i="24"/>
  <c r="R47" i="24"/>
  <c r="K46" i="24"/>
  <c r="D45" i="24"/>
  <c r="V43" i="24"/>
  <c r="O42" i="24"/>
  <c r="J41" i="24"/>
  <c r="K40" i="24"/>
  <c r="L39" i="24"/>
  <c r="P38" i="24"/>
  <c r="O37" i="24"/>
  <c r="S35" i="24"/>
  <c r="S32" i="24"/>
  <c r="V31" i="24"/>
  <c r="W30" i="24"/>
  <c r="Y29" i="24"/>
  <c r="Z27" i="24"/>
  <c r="C27" i="24"/>
  <c r="E26" i="24"/>
  <c r="F25" i="24"/>
  <c r="J24" i="24"/>
  <c r="I23" i="24"/>
  <c r="M22" i="24"/>
  <c r="M21" i="24"/>
  <c r="Q20" i="24"/>
  <c r="V19" i="24"/>
  <c r="X18" i="24"/>
  <c r="E18" i="24"/>
  <c r="K17" i="24"/>
  <c r="Q16" i="24"/>
  <c r="U15" i="24"/>
  <c r="Z13" i="24"/>
  <c r="G13" i="24"/>
  <c r="M12" i="24"/>
  <c r="Q11" i="24"/>
  <c r="M30" i="25"/>
  <c r="E15" i="25"/>
  <c r="Q78" i="24"/>
  <c r="F74" i="24"/>
  <c r="U69" i="24"/>
  <c r="F67" i="24"/>
  <c r="AA64" i="24"/>
  <c r="D63" i="24"/>
  <c r="N61" i="24"/>
  <c r="V58" i="24"/>
  <c r="F57" i="24"/>
  <c r="U55" i="24"/>
  <c r="M54" i="24"/>
  <c r="F53" i="24"/>
  <c r="X48" i="24"/>
  <c r="Q47" i="24"/>
  <c r="J46" i="24"/>
  <c r="C45" i="24"/>
  <c r="U43" i="24"/>
  <c r="N42" i="24"/>
  <c r="I41" i="24"/>
  <c r="I40" i="24"/>
  <c r="K39" i="24"/>
  <c r="M38" i="24"/>
  <c r="N37" i="24"/>
  <c r="R35" i="24"/>
  <c r="Q32" i="24"/>
  <c r="U31" i="24"/>
  <c r="U30" i="24"/>
  <c r="X29" i="24"/>
  <c r="Y27" i="24"/>
  <c r="AA26" i="24"/>
  <c r="C26" i="24"/>
  <c r="E25" i="24"/>
  <c r="G24" i="24"/>
  <c r="H23" i="24"/>
  <c r="L22" i="24"/>
  <c r="K21" i="24"/>
  <c r="P20" i="24"/>
  <c r="T19" i="24"/>
  <c r="W18" i="24"/>
  <c r="D18" i="24"/>
  <c r="J17" i="24"/>
  <c r="O16" i="24"/>
  <c r="S15" i="24"/>
  <c r="Y13" i="24"/>
  <c r="F13" i="24"/>
  <c r="L12" i="24"/>
  <c r="P11" i="24"/>
  <c r="V10" i="24"/>
  <c r="D10" i="24"/>
  <c r="K9" i="24"/>
  <c r="R8" i="24"/>
  <c r="Y7" i="24"/>
  <c r="F7" i="24"/>
  <c r="M25" i="23"/>
  <c r="S24" i="23"/>
  <c r="Z23" i="23"/>
  <c r="H23" i="23"/>
  <c r="O20" i="23"/>
  <c r="V19" i="23"/>
  <c r="E19" i="23"/>
  <c r="M18" i="23"/>
  <c r="U17" i="23"/>
  <c r="D17" i="23"/>
  <c r="M16" i="23"/>
  <c r="V15" i="23"/>
  <c r="F15" i="23"/>
  <c r="O14" i="23"/>
  <c r="X13" i="23"/>
  <c r="H13" i="23"/>
  <c r="Q10" i="23"/>
  <c r="Z9" i="23"/>
  <c r="J9" i="23"/>
  <c r="S8" i="23"/>
  <c r="C8" i="23"/>
  <c r="L7" i="23"/>
  <c r="U53" i="22"/>
  <c r="F29" i="25"/>
  <c r="N13" i="25"/>
  <c r="J78" i="24"/>
  <c r="D74" i="24"/>
  <c r="T69" i="24"/>
  <c r="D67" i="24"/>
  <c r="V64" i="24"/>
  <c r="C63" i="24"/>
  <c r="L61" i="24"/>
  <c r="S58" i="24"/>
  <c r="E57" i="24"/>
  <c r="T55" i="24"/>
  <c r="L54" i="24"/>
  <c r="E53" i="24"/>
  <c r="W48" i="24"/>
  <c r="P47" i="24"/>
  <c r="I46" i="24"/>
  <c r="AA44" i="24"/>
  <c r="T43" i="24"/>
  <c r="M42" i="24"/>
  <c r="H41" i="24"/>
  <c r="H40" i="24"/>
  <c r="J39" i="24"/>
  <c r="K38" i="24"/>
  <c r="M37" i="24"/>
  <c r="O35" i="24"/>
  <c r="P32" i="24"/>
  <c r="T31" i="24"/>
  <c r="S30" i="24"/>
  <c r="W29" i="24"/>
  <c r="W27" i="24"/>
  <c r="Z26" i="24"/>
  <c r="AA25" i="24"/>
  <c r="D25" i="24"/>
  <c r="E24" i="24"/>
  <c r="G23" i="24"/>
  <c r="I22" i="24"/>
  <c r="J21" i="24"/>
  <c r="O20" i="24"/>
  <c r="R19" i="24"/>
  <c r="V18" i="24"/>
  <c r="C18" i="24"/>
  <c r="I17" i="24"/>
  <c r="M16" i="24"/>
  <c r="R15" i="24"/>
  <c r="X13" i="24"/>
  <c r="E13" i="24"/>
  <c r="J12" i="24"/>
  <c r="N11" i="24"/>
  <c r="U10" i="24"/>
  <c r="C10" i="24"/>
  <c r="J9" i="24"/>
  <c r="Q8" i="24"/>
  <c r="W7" i="24"/>
  <c r="E7" i="24"/>
  <c r="K25" i="23"/>
  <c r="R24" i="23"/>
  <c r="Y23" i="23"/>
  <c r="G23" i="23"/>
  <c r="N20" i="23"/>
  <c r="U19" i="23"/>
  <c r="D19" i="23"/>
  <c r="L18" i="23"/>
  <c r="T17" i="23"/>
  <c r="C17" i="23"/>
  <c r="L16" i="23"/>
  <c r="U15" i="23"/>
  <c r="E15" i="23"/>
  <c r="N14" i="23"/>
  <c r="W13" i="23"/>
  <c r="G13" i="23"/>
  <c r="P10" i="23"/>
  <c r="Y9" i="23"/>
  <c r="I9" i="23"/>
  <c r="R8" i="23"/>
  <c r="AA7" i="23"/>
  <c r="K7" i="23"/>
  <c r="T53" i="22"/>
  <c r="O27" i="25"/>
  <c r="H13" i="25"/>
  <c r="E78" i="24"/>
  <c r="V72" i="24"/>
  <c r="R69" i="24"/>
  <c r="X66" i="24"/>
  <c r="U64" i="24"/>
  <c r="AA62" i="24"/>
  <c r="G61" i="24"/>
  <c r="O58" i="24"/>
  <c r="D57" i="24"/>
  <c r="R55" i="24"/>
  <c r="K54" i="24"/>
  <c r="D53" i="24"/>
  <c r="V48" i="24"/>
  <c r="O47" i="24"/>
  <c r="H46" i="24"/>
  <c r="Z44" i="24"/>
  <c r="S43" i="24"/>
  <c r="L42" i="24"/>
  <c r="G41" i="24"/>
  <c r="F40" i="24"/>
  <c r="I39" i="24"/>
  <c r="J38" i="24"/>
  <c r="L37" i="24"/>
  <c r="M35" i="24"/>
  <c r="O32" i="24"/>
  <c r="Q31" i="24"/>
  <c r="R30" i="24"/>
  <c r="V29" i="24"/>
  <c r="U27" i="24"/>
  <c r="Y26" i="24"/>
  <c r="Y25" i="24"/>
  <c r="C25" i="24"/>
  <c r="D24" i="24"/>
  <c r="F23" i="24"/>
  <c r="G22" i="24"/>
  <c r="I21" i="24"/>
  <c r="N20" i="24"/>
  <c r="Q19" i="24"/>
  <c r="U18" i="24"/>
  <c r="AA17" i="24"/>
  <c r="H17" i="24"/>
  <c r="L16" i="24"/>
  <c r="Q15" i="24"/>
  <c r="W13" i="24"/>
  <c r="D13" i="24"/>
  <c r="H12" i="24"/>
  <c r="M11" i="24"/>
  <c r="T10" i="24"/>
  <c r="AA9" i="24"/>
  <c r="I9" i="24"/>
  <c r="P8" i="24"/>
  <c r="V7" i="24"/>
  <c r="D7" i="24"/>
  <c r="J25" i="23"/>
  <c r="Q24" i="23"/>
  <c r="X23" i="23"/>
  <c r="F23" i="23"/>
  <c r="M20" i="23"/>
  <c r="T19" i="23"/>
  <c r="C19" i="23"/>
  <c r="K18" i="23"/>
  <c r="S17" i="23"/>
  <c r="AA16" i="23"/>
  <c r="K16" i="23"/>
  <c r="T15" i="23"/>
  <c r="D15" i="23"/>
  <c r="M14" i="23"/>
  <c r="V13" i="23"/>
  <c r="F13" i="23"/>
  <c r="O10" i="23"/>
  <c r="X9" i="23"/>
  <c r="H9" i="23"/>
  <c r="Q8" i="23"/>
  <c r="Z7" i="23"/>
  <c r="J26" i="25"/>
  <c r="Q12" i="25"/>
  <c r="T77" i="24"/>
  <c r="N72" i="24"/>
  <c r="M69" i="24"/>
  <c r="S66" i="24"/>
  <c r="R64" i="24"/>
  <c r="X62" i="24"/>
  <c r="D61" i="24"/>
  <c r="N58" i="24"/>
  <c r="C57" i="24"/>
  <c r="M55" i="24"/>
  <c r="F54" i="24"/>
  <c r="X49" i="24"/>
  <c r="Q48" i="24"/>
  <c r="J47" i="24"/>
  <c r="C46" i="24"/>
  <c r="U44" i="24"/>
  <c r="N43" i="24"/>
  <c r="I42" i="24"/>
  <c r="F41" i="24"/>
  <c r="D40" i="24"/>
  <c r="H39" i="24"/>
  <c r="H38" i="24"/>
  <c r="K37" i="24"/>
  <c r="L35" i="24"/>
  <c r="N32" i="24"/>
  <c r="O31" i="24"/>
  <c r="Q30" i="24"/>
  <c r="S29" i="24"/>
  <c r="T27" i="24"/>
  <c r="X26" i="24"/>
  <c r="W25" i="24"/>
  <c r="AA24" i="24"/>
  <c r="AA23" i="24"/>
  <c r="E23" i="24"/>
  <c r="F22" i="24"/>
  <c r="H21" i="24"/>
  <c r="M20" i="24"/>
  <c r="O19" i="24"/>
  <c r="T18" i="24"/>
  <c r="Z17" i="24"/>
  <c r="F17" i="24"/>
  <c r="J16" i="24"/>
  <c r="P15" i="24"/>
  <c r="V13" i="24"/>
  <c r="C13" i="24"/>
  <c r="G12" i="24"/>
  <c r="L11" i="24"/>
  <c r="S10" i="24"/>
  <c r="Z9" i="24"/>
  <c r="H9" i="24"/>
  <c r="N8" i="24"/>
  <c r="U7" i="24"/>
  <c r="AA25" i="23"/>
  <c r="I25" i="23"/>
  <c r="P24" i="23"/>
  <c r="W23" i="23"/>
  <c r="E23" i="23"/>
  <c r="K20" i="23"/>
  <c r="S19" i="23"/>
  <c r="AA18" i="23"/>
  <c r="J18" i="23"/>
  <c r="Q17" i="23"/>
  <c r="Z16" i="23"/>
  <c r="J16" i="23"/>
  <c r="S15" i="23"/>
  <c r="C15" i="23"/>
  <c r="L14" i="23"/>
  <c r="U13" i="23"/>
  <c r="E13" i="23"/>
  <c r="N10" i="23"/>
  <c r="W9" i="23"/>
  <c r="G9" i="23"/>
  <c r="P8" i="23"/>
  <c r="Y7" i="23"/>
  <c r="I7" i="23"/>
  <c r="R53" i="22"/>
  <c r="AA52" i="22"/>
  <c r="K52" i="22"/>
  <c r="T51" i="22"/>
  <c r="D51" i="22"/>
  <c r="M50" i="22"/>
  <c r="V49" i="22"/>
  <c r="F49" i="22"/>
  <c r="O48" i="22"/>
  <c r="X47" i="22"/>
  <c r="H47" i="22"/>
  <c r="Q46" i="22"/>
  <c r="Z45" i="22"/>
  <c r="J45" i="22"/>
  <c r="S24" i="25"/>
  <c r="F12" i="25"/>
  <c r="O77" i="24"/>
  <c r="I72" i="24"/>
  <c r="C69" i="24"/>
  <c r="N66" i="24"/>
  <c r="Q64" i="24"/>
  <c r="R62" i="24"/>
  <c r="Y59" i="24"/>
  <c r="M58" i="24"/>
  <c r="Z56" i="24"/>
  <c r="J55" i="24"/>
  <c r="C54" i="24"/>
  <c r="U49" i="24"/>
  <c r="N48" i="24"/>
  <c r="G47" i="24"/>
  <c r="Y45" i="24"/>
  <c r="R44" i="24"/>
  <c r="K43" i="24"/>
  <c r="G42" i="24"/>
  <c r="E41" i="24"/>
  <c r="C40" i="24"/>
  <c r="G39" i="24"/>
  <c r="F38" i="24"/>
  <c r="J37" i="24"/>
  <c r="J35" i="24"/>
  <c r="M32" i="24"/>
  <c r="N31" i="24"/>
  <c r="P30" i="24"/>
  <c r="Q29" i="24"/>
  <c r="S27" i="24"/>
  <c r="U26" i="24"/>
  <c r="V25" i="24"/>
  <c r="Z24" i="24"/>
  <c r="Y23" i="24"/>
  <c r="D23" i="24"/>
  <c r="D22" i="24"/>
  <c r="G21" i="24"/>
  <c r="K20" i="24"/>
  <c r="M19" i="24"/>
  <c r="S18" i="24"/>
  <c r="Y17" i="24"/>
  <c r="D17" i="24"/>
  <c r="I16" i="24"/>
  <c r="O15" i="24"/>
  <c r="U13" i="24"/>
  <c r="Z12" i="24"/>
  <c r="E12" i="24"/>
  <c r="K11" i="24"/>
  <c r="R10" i="24"/>
  <c r="Y9" i="24"/>
  <c r="G9" i="24"/>
  <c r="M8" i="24"/>
  <c r="T7" i="24"/>
  <c r="Z25" i="23"/>
  <c r="P23" i="25"/>
  <c r="V45" i="24"/>
  <c r="U25" i="24"/>
  <c r="L17" i="24"/>
  <c r="Q10" i="24"/>
  <c r="G7" i="24"/>
  <c r="C24" i="23"/>
  <c r="D20" i="23"/>
  <c r="H18" i="23"/>
  <c r="O16" i="23"/>
  <c r="V14" i="23"/>
  <c r="D13" i="23"/>
  <c r="L9" i="23"/>
  <c r="S7" i="23"/>
  <c r="K53" i="22"/>
  <c r="L52" i="22"/>
  <c r="I51" i="22"/>
  <c r="K50" i="22"/>
  <c r="I49" i="22"/>
  <c r="H48" i="22"/>
  <c r="I47" i="22"/>
  <c r="F46" i="22"/>
  <c r="H45" i="22"/>
  <c r="G44" i="22"/>
  <c r="K43" i="22"/>
  <c r="J42" i="22"/>
  <c r="N41" i="22"/>
  <c r="O40" i="22"/>
  <c r="Q38" i="22"/>
  <c r="R37" i="22"/>
  <c r="T36" i="22"/>
  <c r="U35" i="22"/>
  <c r="W34" i="22"/>
  <c r="AA33" i="22"/>
  <c r="Z32" i="22"/>
  <c r="E32" i="22"/>
  <c r="D31" i="22"/>
  <c r="H30" i="22"/>
  <c r="I28" i="22"/>
  <c r="K27" i="22"/>
  <c r="O26" i="22"/>
  <c r="Q25" i="22"/>
  <c r="V24" i="22"/>
  <c r="Z23" i="22"/>
  <c r="C23" i="22"/>
  <c r="I22" i="22"/>
  <c r="O21" i="22"/>
  <c r="S20" i="22"/>
  <c r="AA19" i="22"/>
  <c r="J19" i="22"/>
  <c r="R18" i="22"/>
  <c r="Y17" i="22"/>
  <c r="H17" i="22"/>
  <c r="P16" i="22"/>
  <c r="X15" i="22"/>
  <c r="G15" i="22"/>
  <c r="O14" i="22"/>
  <c r="W13" i="22"/>
  <c r="G13" i="22"/>
  <c r="P12" i="22"/>
  <c r="Y11" i="22"/>
  <c r="I11" i="22"/>
  <c r="R10" i="22"/>
  <c r="AA9" i="22"/>
  <c r="K9" i="22"/>
  <c r="T8" i="22"/>
  <c r="D8" i="22"/>
  <c r="M66" i="21"/>
  <c r="V65" i="21"/>
  <c r="F65" i="21"/>
  <c r="O64" i="21"/>
  <c r="X63" i="21"/>
  <c r="H63" i="21"/>
  <c r="Q62" i="21"/>
  <c r="Z10" i="25"/>
  <c r="O44" i="24"/>
  <c r="W24" i="24"/>
  <c r="C17" i="24"/>
  <c r="F10" i="24"/>
  <c r="Y25" i="23"/>
  <c r="AA23" i="23"/>
  <c r="C20" i="23"/>
  <c r="G18" i="23"/>
  <c r="N16" i="23"/>
  <c r="U14" i="23"/>
  <c r="C13" i="23"/>
  <c r="K9" i="23"/>
  <c r="R7" i="23"/>
  <c r="J53" i="22"/>
  <c r="J52" i="22"/>
  <c r="H51" i="22"/>
  <c r="G50" i="22"/>
  <c r="H49" i="22"/>
  <c r="G48" i="22"/>
  <c r="G47" i="22"/>
  <c r="E46" i="22"/>
  <c r="D45" i="22"/>
  <c r="F44" i="22"/>
  <c r="J43" i="22"/>
  <c r="I42" i="22"/>
  <c r="M41" i="22"/>
  <c r="L40" i="22"/>
  <c r="P38" i="22"/>
  <c r="Q37" i="22"/>
  <c r="S36" i="22"/>
  <c r="T35" i="22"/>
  <c r="V34" i="22"/>
  <c r="W33" i="22"/>
  <c r="Y32" i="22"/>
  <c r="D32" i="22"/>
  <c r="C31" i="22"/>
  <c r="G30" i="22"/>
  <c r="F28" i="22"/>
  <c r="J27" i="22"/>
  <c r="F77" i="24"/>
  <c r="H43" i="24"/>
  <c r="X23" i="24"/>
  <c r="R16" i="24"/>
  <c r="E10" i="24"/>
  <c r="U25" i="23"/>
  <c r="V23" i="23"/>
  <c r="X19" i="23"/>
  <c r="C18" i="23"/>
  <c r="I16" i="23"/>
  <c r="Q14" i="23"/>
  <c r="X10" i="23"/>
  <c r="F9" i="23"/>
  <c r="N7" i="23"/>
  <c r="G53" i="22"/>
  <c r="I52" i="22"/>
  <c r="G51" i="22"/>
  <c r="F50" i="22"/>
  <c r="G49" i="22"/>
  <c r="D48" i="22"/>
  <c r="F47" i="22"/>
  <c r="D46" i="22"/>
  <c r="C45" i="22"/>
  <c r="E44" i="22"/>
  <c r="F43" i="22"/>
  <c r="H42" i="22"/>
  <c r="L41" i="22"/>
  <c r="K40" i="22"/>
  <c r="O38" i="22"/>
  <c r="N37" i="22"/>
  <c r="R36" i="22"/>
  <c r="S35" i="22"/>
  <c r="U34" i="22"/>
  <c r="V33" i="22"/>
  <c r="X32" i="22"/>
  <c r="Y31" i="22"/>
  <c r="AA30" i="22"/>
  <c r="F30" i="22"/>
  <c r="E28" i="22"/>
  <c r="I27" i="22"/>
  <c r="L26" i="22"/>
  <c r="O25" i="22"/>
  <c r="T24" i="22"/>
  <c r="W23" i="22"/>
  <c r="Z22" i="22"/>
  <c r="G22" i="22"/>
  <c r="L21" i="22"/>
  <c r="Q20" i="22"/>
  <c r="Y19" i="22"/>
  <c r="G19" i="22"/>
  <c r="O18" i="22"/>
  <c r="W17" i="22"/>
  <c r="F17" i="22"/>
  <c r="N16" i="22"/>
  <c r="V15" i="22"/>
  <c r="E15" i="22"/>
  <c r="M14" i="22"/>
  <c r="U13" i="22"/>
  <c r="E13" i="22"/>
  <c r="N12" i="22"/>
  <c r="W11" i="22"/>
  <c r="G11" i="22"/>
  <c r="P10" i="22"/>
  <c r="Y9" i="22"/>
  <c r="I9" i="22"/>
  <c r="R8" i="22"/>
  <c r="AA66" i="21"/>
  <c r="K66" i="21"/>
  <c r="T65" i="21"/>
  <c r="D65" i="21"/>
  <c r="M64" i="21"/>
  <c r="V63" i="21"/>
  <c r="F63" i="21"/>
  <c r="O62" i="21"/>
  <c r="X61" i="21"/>
  <c r="H61" i="21"/>
  <c r="Q60" i="21"/>
  <c r="Z59" i="21"/>
  <c r="J59" i="21"/>
  <c r="S56" i="21"/>
  <c r="C56" i="21"/>
  <c r="L55" i="21"/>
  <c r="U53" i="21"/>
  <c r="E53" i="21"/>
  <c r="N51" i="21"/>
  <c r="W49" i="21"/>
  <c r="G49" i="21"/>
  <c r="P48" i="21"/>
  <c r="Y47" i="21"/>
  <c r="I47" i="21"/>
  <c r="R46" i="21"/>
  <c r="AA45" i="21"/>
  <c r="K45" i="21"/>
  <c r="T44" i="21"/>
  <c r="D44" i="21"/>
  <c r="M43" i="21"/>
  <c r="V42" i="21"/>
  <c r="F42" i="21"/>
  <c r="O41" i="21"/>
  <c r="X40" i="21"/>
  <c r="H40" i="21"/>
  <c r="Q39" i="21"/>
  <c r="Z36" i="21"/>
  <c r="J36" i="21"/>
  <c r="S35" i="21"/>
  <c r="C35" i="21"/>
  <c r="L34" i="21"/>
  <c r="U33" i="21"/>
  <c r="G72" i="24"/>
  <c r="D42" i="24"/>
  <c r="C23" i="24"/>
  <c r="H16" i="24"/>
  <c r="X9" i="24"/>
  <c r="T25" i="23"/>
  <c r="U23" i="23"/>
  <c r="W19" i="23"/>
  <c r="AA17" i="23"/>
  <c r="H16" i="23"/>
  <c r="P14" i="23"/>
  <c r="W10" i="23"/>
  <c r="E9" i="23"/>
  <c r="M7" i="23"/>
  <c r="F53" i="22"/>
  <c r="E52" i="22"/>
  <c r="F51" i="22"/>
  <c r="E50" i="22"/>
  <c r="E49" i="22"/>
  <c r="C48" i="22"/>
  <c r="AA46" i="22"/>
  <c r="C46" i="22"/>
  <c r="AA44" i="22"/>
  <c r="D44" i="22"/>
  <c r="E43" i="22"/>
  <c r="G42" i="22"/>
  <c r="H41" i="22"/>
  <c r="J40" i="22"/>
  <c r="N38" i="22"/>
  <c r="M37" i="22"/>
  <c r="Q36" i="22"/>
  <c r="P35" i="22"/>
  <c r="T34" i="22"/>
  <c r="U33" i="22"/>
  <c r="W32" i="22"/>
  <c r="X31" i="22"/>
  <c r="Z30" i="22"/>
  <c r="AA28" i="22"/>
  <c r="D28" i="22"/>
  <c r="H27" i="22"/>
  <c r="K26" i="22"/>
  <c r="N25" i="22"/>
  <c r="S24" i="22"/>
  <c r="V23" i="22"/>
  <c r="Y22" i="22"/>
  <c r="F22" i="22"/>
  <c r="J21" i="22"/>
  <c r="P20" i="22"/>
  <c r="W19" i="22"/>
  <c r="F19" i="22"/>
  <c r="N18" i="22"/>
  <c r="V17" i="22"/>
  <c r="E17" i="22"/>
  <c r="M16" i="22"/>
  <c r="U15" i="22"/>
  <c r="D15" i="22"/>
  <c r="L14" i="22"/>
  <c r="T13" i="22"/>
  <c r="D13" i="22"/>
  <c r="M12" i="22"/>
  <c r="Z68" i="24"/>
  <c r="AA40" i="24"/>
  <c r="N22" i="24"/>
  <c r="V15" i="24"/>
  <c r="M9" i="24"/>
  <c r="O25" i="23"/>
  <c r="P23" i="23"/>
  <c r="R19" i="23"/>
  <c r="W17" i="23"/>
  <c r="D16" i="23"/>
  <c r="K14" i="23"/>
  <c r="S10" i="23"/>
  <c r="Z8" i="23"/>
  <c r="J7" i="23"/>
  <c r="E53" i="22"/>
  <c r="D52" i="22"/>
  <c r="E51" i="22"/>
  <c r="AA49" i="22"/>
  <c r="D49" i="22"/>
  <c r="AA47" i="22"/>
  <c r="Z46" i="22"/>
  <c r="AA45" i="22"/>
  <c r="X44" i="22"/>
  <c r="C44" i="22"/>
  <c r="D43" i="22"/>
  <c r="F42" i="22"/>
  <c r="G41" i="22"/>
  <c r="I40" i="22"/>
  <c r="J38" i="22"/>
  <c r="L37" i="22"/>
  <c r="P36" i="22"/>
  <c r="O35" i="22"/>
  <c r="S34" i="22"/>
  <c r="R33" i="22"/>
  <c r="V32" i="22"/>
  <c r="W31" i="22"/>
  <c r="Y30" i="22"/>
  <c r="Z28" i="22"/>
  <c r="C28" i="22"/>
  <c r="F27" i="22"/>
  <c r="H26" i="22"/>
  <c r="M25" i="22"/>
  <c r="Q24" i="22"/>
  <c r="S23" i="22"/>
  <c r="X22" i="22"/>
  <c r="E22" i="22"/>
  <c r="I21" i="22"/>
  <c r="N20" i="22"/>
  <c r="V19" i="22"/>
  <c r="E19" i="22"/>
  <c r="M18" i="22"/>
  <c r="U17" i="22"/>
  <c r="D17" i="22"/>
  <c r="L16" i="22"/>
  <c r="T15" i="22"/>
  <c r="C15" i="22"/>
  <c r="K14" i="22"/>
  <c r="S13" i="22"/>
  <c r="C13" i="22"/>
  <c r="L12" i="22"/>
  <c r="U11" i="22"/>
  <c r="E11" i="22"/>
  <c r="N10" i="22"/>
  <c r="W9" i="22"/>
  <c r="G9" i="22"/>
  <c r="P8" i="22"/>
  <c r="Y66" i="21"/>
  <c r="I66" i="21"/>
  <c r="L66" i="24"/>
  <c r="AA39" i="24"/>
  <c r="AA21" i="24"/>
  <c r="N15" i="24"/>
  <c r="L9" i="24"/>
  <c r="N25" i="23"/>
  <c r="O23" i="23"/>
  <c r="Q19" i="23"/>
  <c r="V17" i="23"/>
  <c r="C16" i="23"/>
  <c r="J14" i="23"/>
  <c r="R10" i="23"/>
  <c r="Y8" i="23"/>
  <c r="H7" i="23"/>
  <c r="D53" i="22"/>
  <c r="C52" i="22"/>
  <c r="C51" i="22"/>
  <c r="Z49" i="22"/>
  <c r="Y48" i="22"/>
  <c r="Z47" i="22"/>
  <c r="Y46" i="22"/>
  <c r="Y45" i="22"/>
  <c r="W44" i="22"/>
  <c r="AA43" i="22"/>
  <c r="Z42" i="22"/>
  <c r="E42" i="22"/>
  <c r="F41" i="22"/>
  <c r="H40" i="22"/>
  <c r="I38" i="22"/>
  <c r="K37" i="22"/>
  <c r="L36" i="22"/>
  <c r="N35" i="22"/>
  <c r="R34" i="22"/>
  <c r="Q33" i="22"/>
  <c r="U32" i="22"/>
  <c r="T31" i="22"/>
  <c r="X30" i="22"/>
  <c r="Y28" i="22"/>
  <c r="AA27" i="22"/>
  <c r="D27" i="22"/>
  <c r="G26" i="22"/>
  <c r="L25" i="22"/>
  <c r="O24" i="22"/>
  <c r="R23" i="22"/>
  <c r="W22" i="22"/>
  <c r="C22" i="22"/>
  <c r="H21" i="22"/>
  <c r="M20" i="22"/>
  <c r="U19" i="22"/>
  <c r="D19" i="22"/>
  <c r="L18" i="22"/>
  <c r="T17" i="22"/>
  <c r="C17" i="22"/>
  <c r="K16" i="22"/>
  <c r="S15" i="22"/>
  <c r="AA14" i="22"/>
  <c r="J14" i="22"/>
  <c r="R13" i="22"/>
  <c r="AA12" i="22"/>
  <c r="K12" i="22"/>
  <c r="T11" i="22"/>
  <c r="D11" i="22"/>
  <c r="M10" i="22"/>
  <c r="V9" i="22"/>
  <c r="F9" i="22"/>
  <c r="O8" i="22"/>
  <c r="X66" i="21"/>
  <c r="H66" i="21"/>
  <c r="Q65" i="21"/>
  <c r="Z64" i="21"/>
  <c r="J64" i="21"/>
  <c r="S63" i="21"/>
  <c r="C63" i="21"/>
  <c r="L62" i="21"/>
  <c r="U61" i="21"/>
  <c r="E61" i="21"/>
  <c r="N60" i="21"/>
  <c r="W59" i="21"/>
  <c r="G59" i="21"/>
  <c r="P56" i="21"/>
  <c r="Y55" i="21"/>
  <c r="I55" i="21"/>
  <c r="R53" i="21"/>
  <c r="AA51" i="21"/>
  <c r="K51" i="21"/>
  <c r="T49" i="21"/>
  <c r="D49" i="21"/>
  <c r="M48" i="21"/>
  <c r="V47" i="21"/>
  <c r="F47" i="21"/>
  <c r="O46" i="21"/>
  <c r="X45" i="21"/>
  <c r="H45" i="21"/>
  <c r="Q44" i="21"/>
  <c r="Z43" i="21"/>
  <c r="J43" i="21"/>
  <c r="S42" i="21"/>
  <c r="C42" i="21"/>
  <c r="L41" i="21"/>
  <c r="U40" i="21"/>
  <c r="E40" i="21"/>
  <c r="N39" i="21"/>
  <c r="W36" i="21"/>
  <c r="O64" i="24"/>
  <c r="D39" i="24"/>
  <c r="O21" i="24"/>
  <c r="AA13" i="24"/>
  <c r="E9" i="24"/>
  <c r="H25" i="23"/>
  <c r="J23" i="23"/>
  <c r="L19" i="23"/>
  <c r="P17" i="23"/>
  <c r="X15" i="23"/>
  <c r="F14" i="23"/>
  <c r="M10" i="23"/>
  <c r="U8" i="23"/>
  <c r="G7" i="23"/>
  <c r="C53" i="22"/>
  <c r="Y51" i="22"/>
  <c r="AA50" i="22"/>
  <c r="Y49" i="22"/>
  <c r="X48" i="22"/>
  <c r="Y47" i="22"/>
  <c r="V46" i="22"/>
  <c r="X45" i="22"/>
  <c r="V44" i="22"/>
  <c r="Z43" i="22"/>
  <c r="Y42" i="22"/>
  <c r="D42" i="22"/>
  <c r="C41" i="22"/>
  <c r="G40" i="22"/>
  <c r="H38" i="22"/>
  <c r="J37" i="22"/>
  <c r="K36" i="22"/>
  <c r="M35" i="22"/>
  <c r="N34" i="22"/>
  <c r="P33" i="22"/>
  <c r="T32" i="22"/>
  <c r="S31" i="22"/>
  <c r="W30" i="22"/>
  <c r="V28" i="22"/>
  <c r="Z27" i="22"/>
  <c r="C27" i="22"/>
  <c r="F26" i="22"/>
  <c r="K25" i="22"/>
  <c r="N24" i="22"/>
  <c r="Q23" i="22"/>
  <c r="V22" i="22"/>
  <c r="Z21" i="22"/>
  <c r="G21" i="22"/>
  <c r="L20" i="22"/>
  <c r="T19" i="22"/>
  <c r="C19" i="22"/>
  <c r="K18" i="22"/>
  <c r="S17" i="22"/>
  <c r="AA16" i="22"/>
  <c r="J16" i="22"/>
  <c r="R15" i="22"/>
  <c r="Z14" i="22"/>
  <c r="I14" i="22"/>
  <c r="Q13" i="22"/>
  <c r="Z12" i="22"/>
  <c r="J12" i="22"/>
  <c r="S11" i="22"/>
  <c r="C11" i="22"/>
  <c r="L10" i="22"/>
  <c r="U9" i="22"/>
  <c r="E9" i="22"/>
  <c r="N8" i="22"/>
  <c r="W66" i="21"/>
  <c r="G66" i="21"/>
  <c r="P65" i="21"/>
  <c r="Y64" i="21"/>
  <c r="I64" i="21"/>
  <c r="R63" i="21"/>
  <c r="AA62" i="21"/>
  <c r="K62" i="21"/>
  <c r="T61" i="21"/>
  <c r="D61" i="21"/>
  <c r="M60" i="21"/>
  <c r="V59" i="21"/>
  <c r="F59" i="21"/>
  <c r="O56" i="21"/>
  <c r="X55" i="21"/>
  <c r="H55" i="21"/>
  <c r="O62" i="24"/>
  <c r="E38" i="24"/>
  <c r="F21" i="24"/>
  <c r="T13" i="24"/>
  <c r="T8" i="24"/>
  <c r="G25" i="23"/>
  <c r="I23" i="23"/>
  <c r="K19" i="23"/>
  <c r="O17" i="23"/>
  <c r="W15" i="23"/>
  <c r="E14" i="23"/>
  <c r="L10" i="23"/>
  <c r="T8" i="23"/>
  <c r="C7" i="23"/>
  <c r="Z52" i="22"/>
  <c r="X51" i="22"/>
  <c r="W50" i="22"/>
  <c r="X49" i="22"/>
  <c r="W48" i="22"/>
  <c r="W47" i="22"/>
  <c r="U46" i="22"/>
  <c r="T45" i="22"/>
  <c r="U44" i="22"/>
  <c r="V43" i="22"/>
  <c r="X42" i="22"/>
  <c r="C42" i="22"/>
  <c r="AA40" i="22"/>
  <c r="F40" i="22"/>
  <c r="E38" i="22"/>
  <c r="I37" i="22"/>
  <c r="J36" i="22"/>
  <c r="L35" i="22"/>
  <c r="M34" i="22"/>
  <c r="O33" i="22"/>
  <c r="P32" i="22"/>
  <c r="R31" i="22"/>
  <c r="V30" i="22"/>
  <c r="U28" i="22"/>
  <c r="Y27" i="22"/>
  <c r="AA26" i="22"/>
  <c r="E26" i="22"/>
  <c r="W59" i="24"/>
  <c r="I37" i="24"/>
  <c r="R20" i="24"/>
  <c r="H13" i="24"/>
  <c r="S8" i="24"/>
  <c r="C25" i="23"/>
  <c r="D23" i="23"/>
  <c r="G19" i="23"/>
  <c r="K17" i="23"/>
  <c r="R15" i="23"/>
  <c r="Z13" i="23"/>
  <c r="H10" i="23"/>
  <c r="O8" i="23"/>
  <c r="AA53" i="22"/>
  <c r="Y52" i="22"/>
  <c r="W51" i="22"/>
  <c r="V50" i="22"/>
  <c r="W49" i="22"/>
  <c r="T48" i="22"/>
  <c r="V47" i="22"/>
  <c r="T46" i="22"/>
  <c r="S45" i="22"/>
  <c r="T44" i="22"/>
  <c r="U43" i="22"/>
  <c r="W42" i="22"/>
  <c r="X41" i="22"/>
  <c r="Z40" i="22"/>
  <c r="E40" i="22"/>
  <c r="D38" i="22"/>
  <c r="H37" i="22"/>
  <c r="G36" i="22"/>
  <c r="K35" i="22"/>
  <c r="L34" i="22"/>
  <c r="N33" i="22"/>
  <c r="O32" i="22"/>
  <c r="Q31" i="22"/>
  <c r="R30" i="22"/>
  <c r="T28" i="22"/>
  <c r="X27" i="22"/>
  <c r="X26" i="22"/>
  <c r="D26" i="22"/>
  <c r="H25" i="22"/>
  <c r="J24" i="22"/>
  <c r="O23" i="22"/>
  <c r="S22" i="22"/>
  <c r="X21" i="22"/>
  <c r="D21" i="22"/>
  <c r="J20" i="22"/>
  <c r="R19" i="22"/>
  <c r="Z18" i="22"/>
  <c r="I18" i="22"/>
  <c r="Q17" i="22"/>
  <c r="Y16" i="22"/>
  <c r="H16" i="22"/>
  <c r="P15" i="22"/>
  <c r="X14" i="22"/>
  <c r="G14" i="22"/>
  <c r="O13" i="22"/>
  <c r="X12" i="22"/>
  <c r="H12" i="22"/>
  <c r="Q11" i="22"/>
  <c r="Z10" i="22"/>
  <c r="J10" i="22"/>
  <c r="S9" i="22"/>
  <c r="C9" i="22"/>
  <c r="L8" i="22"/>
  <c r="U66" i="21"/>
  <c r="E66" i="21"/>
  <c r="N65" i="21"/>
  <c r="W64" i="21"/>
  <c r="G64" i="21"/>
  <c r="P63" i="21"/>
  <c r="Y62" i="21"/>
  <c r="I62" i="21"/>
  <c r="R61" i="21"/>
  <c r="AA60" i="21"/>
  <c r="K60" i="21"/>
  <c r="T59" i="21"/>
  <c r="D59" i="21"/>
  <c r="M56" i="21"/>
  <c r="V55" i="21"/>
  <c r="F55" i="21"/>
  <c r="O53" i="21"/>
  <c r="X51" i="21"/>
  <c r="H51" i="21"/>
  <c r="Q49" i="21"/>
  <c r="Z48" i="21"/>
  <c r="J48" i="21"/>
  <c r="S47" i="21"/>
  <c r="C47" i="21"/>
  <c r="L46" i="21"/>
  <c r="U45" i="21"/>
  <c r="E45" i="21"/>
  <c r="N44" i="21"/>
  <c r="W43" i="21"/>
  <c r="G43" i="21"/>
  <c r="P42" i="21"/>
  <c r="Y41" i="21"/>
  <c r="L58" i="24"/>
  <c r="H35" i="24"/>
  <c r="I20" i="24"/>
  <c r="X12" i="24"/>
  <c r="L8" i="24"/>
  <c r="AA24" i="23"/>
  <c r="AA20" i="23"/>
  <c r="F19" i="23"/>
  <c r="J17" i="23"/>
  <c r="Q15" i="23"/>
  <c r="Y13" i="23"/>
  <c r="G10" i="23"/>
  <c r="N8" i="23"/>
  <c r="Z53" i="22"/>
  <c r="U52" i="22"/>
  <c r="V51" i="22"/>
  <c r="U50" i="22"/>
  <c r="U49" i="22"/>
  <c r="S48" i="22"/>
  <c r="R47" i="22"/>
  <c r="S46" i="22"/>
  <c r="R45" i="22"/>
  <c r="S44" i="22"/>
  <c r="T43" i="22"/>
  <c r="V42" i="22"/>
  <c r="W41" i="22"/>
  <c r="Y40" i="22"/>
  <c r="Z38" i="22"/>
  <c r="C38" i="22"/>
  <c r="G37" i="22"/>
  <c r="F36" i="22"/>
  <c r="J35" i="22"/>
  <c r="I34" i="22"/>
  <c r="M33" i="22"/>
  <c r="N32" i="22"/>
  <c r="P31" i="22"/>
  <c r="Q30" i="22"/>
  <c r="S28" i="22"/>
  <c r="T27" i="22"/>
  <c r="W26" i="22"/>
  <c r="C26" i="22"/>
  <c r="F25" i="22"/>
  <c r="I24" i="22"/>
  <c r="N23" i="22"/>
  <c r="Q22" i="22"/>
  <c r="W21" i="22"/>
  <c r="C21" i="22"/>
  <c r="I20" i="22"/>
  <c r="Q19" i="22"/>
  <c r="Y18" i="22"/>
  <c r="H18" i="22"/>
  <c r="P17" i="22"/>
  <c r="X16" i="22"/>
  <c r="G16" i="22"/>
  <c r="O15" i="22"/>
  <c r="W14" i="22"/>
  <c r="F14" i="22"/>
  <c r="N13" i="22"/>
  <c r="W12" i="22"/>
  <c r="G12" i="22"/>
  <c r="P11" i="22"/>
  <c r="Y10" i="22"/>
  <c r="I10" i="22"/>
  <c r="R9" i="22"/>
  <c r="AA8" i="22"/>
  <c r="K8" i="22"/>
  <c r="T66" i="21"/>
  <c r="D66" i="21"/>
  <c r="M65" i="21"/>
  <c r="V64" i="21"/>
  <c r="F64" i="21"/>
  <c r="O63" i="21"/>
  <c r="X62" i="21"/>
  <c r="H62" i="21"/>
  <c r="Q61" i="21"/>
  <c r="Z60" i="21"/>
  <c r="J60" i="21"/>
  <c r="S59" i="21"/>
  <c r="C59" i="21"/>
  <c r="L56" i="21"/>
  <c r="U55" i="21"/>
  <c r="E55" i="21"/>
  <c r="N53" i="21"/>
  <c r="W51" i="21"/>
  <c r="G51" i="21"/>
  <c r="P49" i="21"/>
  <c r="Y48" i="21"/>
  <c r="I48" i="21"/>
  <c r="R47" i="21"/>
  <c r="AA46" i="21"/>
  <c r="K46" i="21"/>
  <c r="T45" i="21"/>
  <c r="D45" i="21"/>
  <c r="M44" i="21"/>
  <c r="V43" i="21"/>
  <c r="F43" i="21"/>
  <c r="O42" i="21"/>
  <c r="X41" i="21"/>
  <c r="H41" i="21"/>
  <c r="U56" i="24"/>
  <c r="L32" i="24"/>
  <c r="W19" i="24"/>
  <c r="N12" i="24"/>
  <c r="AA7" i="24"/>
  <c r="V24" i="23"/>
  <c r="V20" i="23"/>
  <c r="Z18" i="23"/>
  <c r="F17" i="23"/>
  <c r="M15" i="23"/>
  <c r="T13" i="23"/>
  <c r="C10" i="23"/>
  <c r="J8" i="23"/>
  <c r="W53" i="22"/>
  <c r="T52" i="22"/>
  <c r="U51" i="22"/>
  <c r="R50" i="22"/>
  <c r="T49" i="22"/>
  <c r="R48" i="22"/>
  <c r="Q47" i="22"/>
  <c r="R46" i="22"/>
  <c r="O45" i="22"/>
  <c r="R44" i="22"/>
  <c r="Q43" i="22"/>
  <c r="U42" i="22"/>
  <c r="V41" i="22"/>
  <c r="X40" i="22"/>
  <c r="Y38" i="22"/>
  <c r="AA37" i="22"/>
  <c r="C37" i="22"/>
  <c r="E36" i="22"/>
  <c r="I35" i="22"/>
  <c r="H34" i="22"/>
  <c r="L33" i="22"/>
  <c r="K32" i="22"/>
  <c r="O31" i="22"/>
  <c r="P30" i="22"/>
  <c r="R28" i="22"/>
  <c r="S27" i="22"/>
  <c r="V26" i="22"/>
  <c r="AA25" i="22"/>
  <c r="E25" i="22"/>
  <c r="H24" i="22"/>
  <c r="M23" i="22"/>
  <c r="P22" i="22"/>
  <c r="U21" i="22"/>
  <c r="AA20" i="22"/>
  <c r="H20" i="22"/>
  <c r="P19" i="22"/>
  <c r="X18" i="22"/>
  <c r="G18" i="22"/>
  <c r="O17" i="22"/>
  <c r="W16" i="22"/>
  <c r="F16" i="22"/>
  <c r="G55" i="24"/>
  <c r="L31" i="24"/>
  <c r="L19" i="24"/>
  <c r="D12" i="24"/>
  <c r="Z7" i="24"/>
  <c r="T24" i="23"/>
  <c r="U20" i="23"/>
  <c r="X18" i="23"/>
  <c r="E17" i="23"/>
  <c r="L15" i="23"/>
  <c r="S13" i="23"/>
  <c r="AA9" i="23"/>
  <c r="I8" i="23"/>
  <c r="V53" i="22"/>
  <c r="S52" i="22"/>
  <c r="S51" i="22"/>
  <c r="Q50" i="22"/>
  <c r="P49" i="22"/>
  <c r="Q48" i="22"/>
  <c r="P47" i="22"/>
  <c r="P46" i="22"/>
  <c r="N45" i="22"/>
  <c r="Q44" i="22"/>
  <c r="P43" i="22"/>
  <c r="T42" i="22"/>
  <c r="S41" i="22"/>
  <c r="W40" i="22"/>
  <c r="X38" i="22"/>
  <c r="Z37" i="22"/>
  <c r="AA36" i="22"/>
  <c r="D36" i="22"/>
  <c r="E35" i="22"/>
  <c r="G34" i="22"/>
  <c r="K33" i="22"/>
  <c r="J32" i="22"/>
  <c r="N31" i="22"/>
  <c r="M30" i="22"/>
  <c r="Q28" i="22"/>
  <c r="R27" i="22"/>
  <c r="U26" i="22"/>
  <c r="Z25" i="22"/>
  <c r="D25" i="22"/>
  <c r="G24" i="22"/>
  <c r="L23" i="22"/>
  <c r="O22" i="22"/>
  <c r="T21" i="22"/>
  <c r="Z20" i="22"/>
  <c r="G20" i="22"/>
  <c r="O19" i="22"/>
  <c r="W18" i="22"/>
  <c r="F18" i="22"/>
  <c r="N17" i="22"/>
  <c r="V16" i="22"/>
  <c r="E16" i="22"/>
  <c r="M15" i="22"/>
  <c r="Y53" i="24"/>
  <c r="O30" i="24"/>
  <c r="Z18" i="24"/>
  <c r="S11" i="24"/>
  <c r="R7" i="24"/>
  <c r="O24" i="23"/>
  <c r="Q20" i="23"/>
  <c r="T18" i="23"/>
  <c r="Y16" i="23"/>
  <c r="H15" i="23"/>
  <c r="O13" i="23"/>
  <c r="V9" i="23"/>
  <c r="E8" i="23"/>
  <c r="S53" i="22"/>
  <c r="P52" i="22"/>
  <c r="R51" i="22"/>
  <c r="P50" i="22"/>
  <c r="O49" i="22"/>
  <c r="P48" i="22"/>
  <c r="M47" i="22"/>
  <c r="O46" i="22"/>
  <c r="M45" i="22"/>
  <c r="M44" i="22"/>
  <c r="O43" i="22"/>
  <c r="S42" i="22"/>
  <c r="R41" i="22"/>
  <c r="V40" i="22"/>
  <c r="U38" i="22"/>
  <c r="Y37" i="22"/>
  <c r="Z36" i="22"/>
  <c r="C36" i="22"/>
  <c r="D35" i="22"/>
  <c r="F34" i="22"/>
  <c r="G33" i="22"/>
  <c r="I32" i="22"/>
  <c r="M31" i="22"/>
  <c r="L30" i="22"/>
  <c r="P28" i="22"/>
  <c r="O27" i="22"/>
  <c r="T26" i="22"/>
  <c r="X25" i="22"/>
  <c r="Z24" i="22"/>
  <c r="F24" i="22"/>
  <c r="J23" i="22"/>
  <c r="N22" i="22"/>
  <c r="S21" i="22"/>
  <c r="Y20" i="22"/>
  <c r="R49" i="24"/>
  <c r="P29" i="24"/>
  <c r="R18" i="24"/>
  <c r="J11" i="24"/>
  <c r="N7" i="24"/>
  <c r="N24" i="23"/>
  <c r="P20" i="23"/>
  <c r="S18" i="23"/>
  <c r="X16" i="23"/>
  <c r="G15" i="23"/>
  <c r="N13" i="23"/>
  <c r="U9" i="23"/>
  <c r="D8" i="23"/>
  <c r="Q53" i="22"/>
  <c r="O52" i="22"/>
  <c r="N51" i="22"/>
  <c r="O50" i="22"/>
  <c r="N49" i="22"/>
  <c r="N48" i="22"/>
  <c r="L47" i="22"/>
  <c r="K46" i="22"/>
  <c r="L45" i="22"/>
  <c r="L44" i="22"/>
  <c r="N43" i="22"/>
  <c r="O42" i="22"/>
  <c r="Q41" i="22"/>
  <c r="U40" i="22"/>
  <c r="T38" i="22"/>
  <c r="X37" i="22"/>
  <c r="W36" i="22"/>
  <c r="AA35" i="22"/>
  <c r="C35" i="22"/>
  <c r="E34" i="22"/>
  <c r="F33" i="22"/>
  <c r="H32" i="22"/>
  <c r="I31" i="22"/>
  <c r="K30" i="22"/>
  <c r="O28" i="22"/>
  <c r="N27" i="22"/>
  <c r="S26" i="22"/>
  <c r="V25" i="22"/>
  <c r="Y24" i="22"/>
  <c r="E24" i="22"/>
  <c r="H23" i="22"/>
  <c r="L22" i="22"/>
  <c r="R21" i="22"/>
  <c r="X20" i="22"/>
  <c r="E20" i="22"/>
  <c r="M19" i="22"/>
  <c r="U18" i="22"/>
  <c r="D18" i="22"/>
  <c r="L17" i="22"/>
  <c r="T16" i="22"/>
  <c r="AA15" i="22"/>
  <c r="J15" i="22"/>
  <c r="R14" i="22"/>
  <c r="Z13" i="22"/>
  <c r="J13" i="22"/>
  <c r="S12" i="22"/>
  <c r="C12" i="22"/>
  <c r="L11" i="22"/>
  <c r="U10" i="22"/>
  <c r="E10" i="22"/>
  <c r="N9" i="22"/>
  <c r="W8" i="22"/>
  <c r="G8" i="22"/>
  <c r="P66" i="21"/>
  <c r="Y65" i="21"/>
  <c r="I65" i="21"/>
  <c r="R64" i="21"/>
  <c r="AA63" i="21"/>
  <c r="K63" i="21"/>
  <c r="T62" i="21"/>
  <c r="D62" i="21"/>
  <c r="M61" i="21"/>
  <c r="V60" i="21"/>
  <c r="F60" i="21"/>
  <c r="O59" i="21"/>
  <c r="X56" i="21"/>
  <c r="H56" i="21"/>
  <c r="Q55" i="21"/>
  <c r="Z53" i="21"/>
  <c r="J53" i="21"/>
  <c r="S51" i="21"/>
  <c r="C51" i="21"/>
  <c r="L49" i="21"/>
  <c r="U48" i="21"/>
  <c r="E48" i="21"/>
  <c r="N47" i="21"/>
  <c r="W46" i="21"/>
  <c r="G46" i="21"/>
  <c r="P45" i="21"/>
  <c r="Y44" i="21"/>
  <c r="I44" i="21"/>
  <c r="R43" i="21"/>
  <c r="AA42" i="21"/>
  <c r="K42" i="21"/>
  <c r="T41" i="21"/>
  <c r="D41" i="21"/>
  <c r="M40" i="21"/>
  <c r="V39" i="21"/>
  <c r="F39" i="21"/>
  <c r="O36" i="21"/>
  <c r="X35" i="21"/>
  <c r="H35" i="21"/>
  <c r="Q34" i="21"/>
  <c r="Z33" i="21"/>
  <c r="J33" i="21"/>
  <c r="S32" i="21"/>
  <c r="C32" i="21"/>
  <c r="L31" i="21"/>
  <c r="U30" i="21"/>
  <c r="E30" i="21"/>
  <c r="N29" i="21"/>
  <c r="W28" i="21"/>
  <c r="G28" i="21"/>
  <c r="P27" i="21"/>
  <c r="Y26" i="21"/>
  <c r="I26" i="21"/>
  <c r="R25" i="21"/>
  <c r="AA24" i="21"/>
  <c r="K24" i="21"/>
  <c r="T23" i="21"/>
  <c r="D23" i="21"/>
  <c r="M22" i="21"/>
  <c r="V21" i="21"/>
  <c r="F21" i="21"/>
  <c r="K48" i="24"/>
  <c r="T16" i="23"/>
  <c r="N50" i="22"/>
  <c r="N42" i="22"/>
  <c r="D34" i="22"/>
  <c r="M26" i="22"/>
  <c r="U22" i="22"/>
  <c r="Z19" i="22"/>
  <c r="R17" i="22"/>
  <c r="N15" i="22"/>
  <c r="Y13" i="22"/>
  <c r="O12" i="22"/>
  <c r="F11" i="22"/>
  <c r="X9" i="22"/>
  <c r="Q8" i="22"/>
  <c r="J66" i="21"/>
  <c r="E65" i="21"/>
  <c r="Z63" i="21"/>
  <c r="V62" i="21"/>
  <c r="V61" i="21"/>
  <c r="T60" i="21"/>
  <c r="R59" i="21"/>
  <c r="T56" i="21"/>
  <c r="R55" i="21"/>
  <c r="S53" i="21"/>
  <c r="T51" i="21"/>
  <c r="V49" i="21"/>
  <c r="W48" i="21"/>
  <c r="Z47" i="21"/>
  <c r="Z46" i="21"/>
  <c r="D46" i="21"/>
  <c r="F45" i="21"/>
  <c r="G44" i="21"/>
  <c r="I43" i="21"/>
  <c r="J42" i="21"/>
  <c r="M41" i="21"/>
  <c r="Q40" i="21"/>
  <c r="W39" i="21"/>
  <c r="C39" i="21"/>
  <c r="H36" i="21"/>
  <c r="O35" i="21"/>
  <c r="V34" i="21"/>
  <c r="D34" i="21"/>
  <c r="K33" i="21"/>
  <c r="R32" i="21"/>
  <c r="Z31" i="21"/>
  <c r="I31" i="21"/>
  <c r="Q30" i="21"/>
  <c r="Y29" i="21"/>
  <c r="H29" i="21"/>
  <c r="P28" i="21"/>
  <c r="X27" i="21"/>
  <c r="G27" i="21"/>
  <c r="O26" i="21"/>
  <c r="W25" i="21"/>
  <c r="F25" i="21"/>
  <c r="N24" i="21"/>
  <c r="V23" i="21"/>
  <c r="E23" i="21"/>
  <c r="L22" i="21"/>
  <c r="T21" i="21"/>
  <c r="C21" i="21"/>
  <c r="L20" i="21"/>
  <c r="U17" i="21"/>
  <c r="E17" i="21"/>
  <c r="N16" i="21"/>
  <c r="W15" i="21"/>
  <c r="G15" i="21"/>
  <c r="P14" i="21"/>
  <c r="Y13" i="21"/>
  <c r="I13" i="21"/>
  <c r="R12" i="21"/>
  <c r="AA11" i="21"/>
  <c r="K11" i="21"/>
  <c r="T10" i="21"/>
  <c r="D10" i="21"/>
  <c r="M9" i="21"/>
  <c r="V8" i="21"/>
  <c r="F8" i="21"/>
  <c r="O7" i="21"/>
  <c r="D47" i="24"/>
  <c r="S16" i="23"/>
  <c r="L50" i="22"/>
  <c r="M42" i="22"/>
  <c r="C34" i="22"/>
  <c r="U25" i="22"/>
  <c r="K22" i="22"/>
  <c r="S19" i="22"/>
  <c r="M17" i="22"/>
  <c r="K15" i="22"/>
  <c r="X13" i="22"/>
  <c r="I12" i="22"/>
  <c r="AA10" i="22"/>
  <c r="T9" i="22"/>
  <c r="M8" i="22"/>
  <c r="F66" i="21"/>
  <c r="C65" i="21"/>
  <c r="Y63" i="21"/>
  <c r="U62" i="21"/>
  <c r="S61" i="21"/>
  <c r="S60" i="21"/>
  <c r="Q59" i="21"/>
  <c r="R56" i="21"/>
  <c r="P55" i="21"/>
  <c r="Q53" i="21"/>
  <c r="R51" i="21"/>
  <c r="U49" i="21"/>
  <c r="V48" i="21"/>
  <c r="X47" i="21"/>
  <c r="Y46" i="21"/>
  <c r="C46" i="21"/>
  <c r="C45" i="21"/>
  <c r="F44" i="21"/>
  <c r="H43" i="21"/>
  <c r="I42" i="21"/>
  <c r="K41" i="21"/>
  <c r="P40" i="21"/>
  <c r="U39" i="21"/>
  <c r="AA36" i="21"/>
  <c r="G36" i="21"/>
  <c r="N35" i="21"/>
  <c r="U34" i="21"/>
  <c r="C34" i="21"/>
  <c r="I33" i="21"/>
  <c r="Q32" i="21"/>
  <c r="Y31" i="21"/>
  <c r="H31" i="21"/>
  <c r="P30" i="21"/>
  <c r="X29" i="21"/>
  <c r="G29" i="21"/>
  <c r="O28" i="21"/>
  <c r="W27" i="21"/>
  <c r="F27" i="21"/>
  <c r="N26" i="21"/>
  <c r="V25" i="21"/>
  <c r="E25" i="21"/>
  <c r="M24" i="21"/>
  <c r="U23" i="21"/>
  <c r="C23" i="21"/>
  <c r="K22" i="21"/>
  <c r="S21" i="21"/>
  <c r="AA20" i="21"/>
  <c r="K20" i="21"/>
  <c r="T17" i="21"/>
  <c r="D17" i="21"/>
  <c r="M16" i="21"/>
  <c r="V15" i="21"/>
  <c r="F15" i="21"/>
  <c r="O14" i="21"/>
  <c r="X13" i="21"/>
  <c r="H13" i="21"/>
  <c r="Q12" i="21"/>
  <c r="Z11" i="21"/>
  <c r="J11" i="21"/>
  <c r="S10" i="21"/>
  <c r="C10" i="21"/>
  <c r="L9" i="21"/>
  <c r="U8" i="21"/>
  <c r="E8" i="21"/>
  <c r="N7" i="21"/>
  <c r="W24" i="20"/>
  <c r="G24" i="20"/>
  <c r="P23" i="20"/>
  <c r="Y22" i="20"/>
  <c r="I22" i="20"/>
  <c r="R21" i="20"/>
  <c r="AA19" i="20"/>
  <c r="K19" i="20"/>
  <c r="T18" i="20"/>
  <c r="D18" i="20"/>
  <c r="M17" i="20"/>
  <c r="V16" i="20"/>
  <c r="F16" i="20"/>
  <c r="O14" i="20"/>
  <c r="X13" i="20"/>
  <c r="H13" i="20"/>
  <c r="Q12" i="20"/>
  <c r="Z11" i="20"/>
  <c r="J11" i="20"/>
  <c r="S9" i="20"/>
  <c r="C9" i="20"/>
  <c r="L8" i="20"/>
  <c r="U7" i="20"/>
  <c r="E7" i="20"/>
  <c r="N6" i="20"/>
  <c r="W6" i="19"/>
  <c r="R27" i="24"/>
  <c r="AA14" i="23"/>
  <c r="K49" i="22"/>
  <c r="P41" i="22"/>
  <c r="E33" i="22"/>
  <c r="T25" i="22"/>
  <c r="J22" i="22"/>
  <c r="N19" i="22"/>
  <c r="K17" i="22"/>
  <c r="I15" i="22"/>
  <c r="V13" i="22"/>
  <c r="F12" i="22"/>
  <c r="X10" i="22"/>
  <c r="Q9" i="22"/>
  <c r="J8" i="22"/>
  <c r="C66" i="21"/>
  <c r="AA64" i="21"/>
  <c r="W63" i="21"/>
  <c r="S62" i="21"/>
  <c r="P61" i="21"/>
  <c r="R60" i="21"/>
  <c r="P59" i="21"/>
  <c r="Q56" i="21"/>
  <c r="O55" i="21"/>
  <c r="P53" i="21"/>
  <c r="Q51" i="21"/>
  <c r="S49" i="21"/>
  <c r="T48" i="21"/>
  <c r="W47" i="21"/>
  <c r="X46" i="21"/>
  <c r="Z45" i="21"/>
  <c r="AA44" i="21"/>
  <c r="E44" i="21"/>
  <c r="E43" i="21"/>
  <c r="H42" i="21"/>
  <c r="J41" i="21"/>
  <c r="O40" i="21"/>
  <c r="T39" i="21"/>
  <c r="Y36" i="21"/>
  <c r="F36" i="21"/>
  <c r="M35" i="21"/>
  <c r="T34" i="21"/>
  <c r="AA33" i="21"/>
  <c r="H33" i="21"/>
  <c r="P32" i="21"/>
  <c r="X31" i="21"/>
  <c r="G31" i="21"/>
  <c r="O30" i="21"/>
  <c r="W29" i="21"/>
  <c r="F29" i="21"/>
  <c r="N28" i="21"/>
  <c r="V27" i="21"/>
  <c r="E27" i="21"/>
  <c r="M26" i="21"/>
  <c r="U25" i="21"/>
  <c r="D25" i="21"/>
  <c r="L24" i="21"/>
  <c r="S23" i="21"/>
  <c r="AA22" i="21"/>
  <c r="J22" i="21"/>
  <c r="R21" i="21"/>
  <c r="Z20" i="21"/>
  <c r="J20" i="21"/>
  <c r="S17" i="21"/>
  <c r="C17" i="21"/>
  <c r="L16" i="21"/>
  <c r="U15" i="21"/>
  <c r="E15" i="21"/>
  <c r="N14" i="21"/>
  <c r="W13" i="21"/>
  <c r="G13" i="21"/>
  <c r="P12" i="21"/>
  <c r="Y11" i="21"/>
  <c r="I11" i="21"/>
  <c r="R10" i="21"/>
  <c r="AA9" i="21"/>
  <c r="K9" i="21"/>
  <c r="T8" i="21"/>
  <c r="D8" i="21"/>
  <c r="M7" i="21"/>
  <c r="V24" i="20"/>
  <c r="F24" i="20"/>
  <c r="O23" i="20"/>
  <c r="X22" i="20"/>
  <c r="H22" i="20"/>
  <c r="Q21" i="20"/>
  <c r="Z19" i="20"/>
  <c r="J19" i="20"/>
  <c r="S18" i="20"/>
  <c r="C18" i="20"/>
  <c r="L17" i="20"/>
  <c r="U16" i="20"/>
  <c r="E16" i="20"/>
  <c r="N14" i="20"/>
  <c r="W13" i="20"/>
  <c r="G13" i="20"/>
  <c r="P12" i="20"/>
  <c r="Y11" i="20"/>
  <c r="I11" i="20"/>
  <c r="R9" i="20"/>
  <c r="AA8" i="20"/>
  <c r="K8" i="20"/>
  <c r="T7" i="20"/>
  <c r="D7" i="20"/>
  <c r="M6" i="20"/>
  <c r="V6" i="19"/>
  <c r="F6" i="19"/>
  <c r="O175" i="18"/>
  <c r="X174" i="18"/>
  <c r="H174" i="18"/>
  <c r="Q173" i="18"/>
  <c r="Z172" i="18"/>
  <c r="J172" i="18"/>
  <c r="S171" i="18"/>
  <c r="C171" i="18"/>
  <c r="L170" i="18"/>
  <c r="U169" i="18"/>
  <c r="E169" i="18"/>
  <c r="N168" i="18"/>
  <c r="W167" i="18"/>
  <c r="G167" i="18"/>
  <c r="P166" i="18"/>
  <c r="Y165" i="18"/>
  <c r="I165" i="18"/>
  <c r="R164" i="18"/>
  <c r="AA163" i="18"/>
  <c r="K163" i="18"/>
  <c r="T162" i="18"/>
  <c r="D162" i="18"/>
  <c r="M161" i="18"/>
  <c r="V160" i="18"/>
  <c r="F160" i="18"/>
  <c r="O159" i="18"/>
  <c r="X158" i="18"/>
  <c r="H158" i="18"/>
  <c r="Q157" i="18"/>
  <c r="Z156" i="18"/>
  <c r="J156" i="18"/>
  <c r="S155" i="18"/>
  <c r="C155" i="18"/>
  <c r="L154" i="18"/>
  <c r="U153" i="18"/>
  <c r="E153" i="18"/>
  <c r="N152" i="18"/>
  <c r="W151" i="18"/>
  <c r="G151" i="18"/>
  <c r="S26" i="24"/>
  <c r="Z14" i="23"/>
  <c r="J49" i="22"/>
  <c r="O41" i="22"/>
  <c r="AA32" i="22"/>
  <c r="P25" i="22"/>
  <c r="H22" i="22"/>
  <c r="L19" i="22"/>
  <c r="I17" i="22"/>
  <c r="H15" i="22"/>
  <c r="P13" i="22"/>
  <c r="E12" i="22"/>
  <c r="W10" i="22"/>
  <c r="P9" i="22"/>
  <c r="I8" i="22"/>
  <c r="AA65" i="21"/>
  <c r="X64" i="21"/>
  <c r="U63" i="21"/>
  <c r="R62" i="21"/>
  <c r="O61" i="21"/>
  <c r="P60" i="21"/>
  <c r="N59" i="21"/>
  <c r="N56" i="21"/>
  <c r="N55" i="21"/>
  <c r="M53" i="21"/>
  <c r="P51" i="21"/>
  <c r="R49" i="21"/>
  <c r="S48" i="21"/>
  <c r="U47" i="21"/>
  <c r="V46" i="21"/>
  <c r="Y45" i="21"/>
  <c r="Z44" i="21"/>
  <c r="C44" i="21"/>
  <c r="D43" i="21"/>
  <c r="G42" i="21"/>
  <c r="I41" i="21"/>
  <c r="N40" i="21"/>
  <c r="S39" i="21"/>
  <c r="X36" i="21"/>
  <c r="E36" i="21"/>
  <c r="L35" i="21"/>
  <c r="S34" i="21"/>
  <c r="Y33" i="21"/>
  <c r="G33" i="21"/>
  <c r="O32" i="21"/>
  <c r="W31" i="21"/>
  <c r="F31" i="21"/>
  <c r="N30" i="21"/>
  <c r="V29" i="21"/>
  <c r="E29" i="21"/>
  <c r="M28" i="21"/>
  <c r="U27" i="21"/>
  <c r="D27" i="21"/>
  <c r="L26" i="21"/>
  <c r="T25" i="21"/>
  <c r="C25" i="21"/>
  <c r="J24" i="21"/>
  <c r="R23" i="21"/>
  <c r="Z22" i="21"/>
  <c r="I22" i="21"/>
  <c r="Q21" i="21"/>
  <c r="Y20" i="21"/>
  <c r="I20" i="21"/>
  <c r="R17" i="21"/>
  <c r="AA16" i="21"/>
  <c r="K16" i="21"/>
  <c r="T15" i="21"/>
  <c r="D15" i="21"/>
  <c r="M14" i="21"/>
  <c r="V13" i="21"/>
  <c r="F13" i="21"/>
  <c r="F18" i="24"/>
  <c r="J13" i="23"/>
  <c r="M48" i="22"/>
  <c r="Q40" i="22"/>
  <c r="G32" i="22"/>
  <c r="J25" i="22"/>
  <c r="Y21" i="22"/>
  <c r="K19" i="22"/>
  <c r="G17" i="22"/>
  <c r="F15" i="22"/>
  <c r="M13" i="22"/>
  <c r="D12" i="22"/>
  <c r="V10" i="22"/>
  <c r="O9" i="22"/>
  <c r="H8" i="22"/>
  <c r="Z65" i="21"/>
  <c r="U64" i="21"/>
  <c r="T63" i="21"/>
  <c r="P62" i="21"/>
  <c r="N61" i="21"/>
  <c r="O60" i="21"/>
  <c r="M59" i="21"/>
  <c r="K56" i="21"/>
  <c r="M55" i="21"/>
  <c r="L53" i="21"/>
  <c r="O51" i="21"/>
  <c r="O49" i="21"/>
  <c r="R48" i="21"/>
  <c r="T47" i="21"/>
  <c r="U46" i="21"/>
  <c r="W45" i="21"/>
  <c r="X44" i="21"/>
  <c r="AA43" i="21"/>
  <c r="C43" i="21"/>
  <c r="E42" i="21"/>
  <c r="G41" i="21"/>
  <c r="L40" i="21"/>
  <c r="R39" i="21"/>
  <c r="V36" i="21"/>
  <c r="D36" i="21"/>
  <c r="K35" i="21"/>
  <c r="R34" i="21"/>
  <c r="X33" i="21"/>
  <c r="F33" i="21"/>
  <c r="N32" i="21"/>
  <c r="V31" i="21"/>
  <c r="E31" i="21"/>
  <c r="M30" i="21"/>
  <c r="U29" i="21"/>
  <c r="D29" i="21"/>
  <c r="L28" i="21"/>
  <c r="T27" i="21"/>
  <c r="C27" i="21"/>
  <c r="K26" i="21"/>
  <c r="S25" i="21"/>
  <c r="Z24" i="21"/>
  <c r="I24" i="21"/>
  <c r="Q23" i="21"/>
  <c r="Y22" i="21"/>
  <c r="H22" i="21"/>
  <c r="P21" i="21"/>
  <c r="X20" i="21"/>
  <c r="H20" i="21"/>
  <c r="Q17" i="21"/>
  <c r="Z16" i="21"/>
  <c r="J16" i="21"/>
  <c r="S15" i="21"/>
  <c r="C15" i="21"/>
  <c r="L14" i="21"/>
  <c r="U13" i="21"/>
  <c r="E13" i="21"/>
  <c r="N12" i="21"/>
  <c r="W11" i="21"/>
  <c r="G11" i="21"/>
  <c r="P10" i="21"/>
  <c r="Y9" i="21"/>
  <c r="I9" i="21"/>
  <c r="R8" i="21"/>
  <c r="AA7" i="21"/>
  <c r="K7" i="21"/>
  <c r="T24" i="20"/>
  <c r="D24" i="20"/>
  <c r="X17" i="24"/>
  <c r="I13" i="23"/>
  <c r="I48" i="22"/>
  <c r="P40" i="22"/>
  <c r="F32" i="22"/>
  <c r="X24" i="22"/>
  <c r="Q21" i="22"/>
  <c r="I19" i="22"/>
  <c r="Z16" i="22"/>
  <c r="Y14" i="22"/>
  <c r="L13" i="22"/>
  <c r="AA11" i="22"/>
  <c r="T10" i="22"/>
  <c r="M9" i="22"/>
  <c r="F8" i="22"/>
  <c r="X65" i="21"/>
  <c r="T64" i="21"/>
  <c r="Q63" i="21"/>
  <c r="N62" i="21"/>
  <c r="L61" i="21"/>
  <c r="L60" i="21"/>
  <c r="L59" i="21"/>
  <c r="J56" i="21"/>
  <c r="K55" i="21"/>
  <c r="K53" i="21"/>
  <c r="M51" i="21"/>
  <c r="N49" i="21"/>
  <c r="Q48" i="21"/>
  <c r="Q47" i="21"/>
  <c r="T46" i="21"/>
  <c r="V45" i="21"/>
  <c r="W44" i="21"/>
  <c r="Y43" i="21"/>
  <c r="Z42" i="21"/>
  <c r="D42" i="21"/>
  <c r="F41" i="21"/>
  <c r="K40" i="21"/>
  <c r="P39" i="21"/>
  <c r="U36" i="21"/>
  <c r="C36" i="21"/>
  <c r="J35" i="21"/>
  <c r="P34" i="21"/>
  <c r="W33" i="21"/>
  <c r="E33" i="21"/>
  <c r="M32" i="21"/>
  <c r="U31" i="21"/>
  <c r="D31" i="21"/>
  <c r="L30" i="21"/>
  <c r="T29" i="21"/>
  <c r="C29" i="21"/>
  <c r="K28" i="21"/>
  <c r="S27" i="21"/>
  <c r="AA26" i="21"/>
  <c r="J26" i="21"/>
  <c r="Q25" i="21"/>
  <c r="Y24" i="21"/>
  <c r="H24" i="21"/>
  <c r="P23" i="21"/>
  <c r="X22" i="21"/>
  <c r="G22" i="21"/>
  <c r="O21" i="21"/>
  <c r="W20" i="21"/>
  <c r="G20" i="21"/>
  <c r="P17" i="21"/>
  <c r="Y16" i="21"/>
  <c r="I16" i="21"/>
  <c r="R15" i="21"/>
  <c r="AA14" i="21"/>
  <c r="K14" i="21"/>
  <c r="T13" i="21"/>
  <c r="D13" i="21"/>
  <c r="M12" i="21"/>
  <c r="V11" i="21"/>
  <c r="F11" i="21"/>
  <c r="O10" i="21"/>
  <c r="X9" i="21"/>
  <c r="H9" i="21"/>
  <c r="Q8" i="21"/>
  <c r="Z7" i="21"/>
  <c r="J7" i="21"/>
  <c r="S24" i="20"/>
  <c r="C24" i="20"/>
  <c r="L23" i="20"/>
  <c r="U22" i="20"/>
  <c r="E22" i="20"/>
  <c r="N21" i="20"/>
  <c r="W19" i="20"/>
  <c r="G19" i="20"/>
  <c r="P18" i="20"/>
  <c r="Y17" i="20"/>
  <c r="I17" i="20"/>
  <c r="R16" i="20"/>
  <c r="AA14" i="20"/>
  <c r="K14" i="20"/>
  <c r="T13" i="20"/>
  <c r="D13" i="20"/>
  <c r="M12" i="20"/>
  <c r="V11" i="20"/>
  <c r="F11" i="20"/>
  <c r="O9" i="20"/>
  <c r="X8" i="20"/>
  <c r="H8" i="20"/>
  <c r="Q7" i="20"/>
  <c r="Z6" i="20"/>
  <c r="J6" i="20"/>
  <c r="S6" i="19"/>
  <c r="C6" i="19"/>
  <c r="L175" i="18"/>
  <c r="U174" i="18"/>
  <c r="E174" i="18"/>
  <c r="N173" i="18"/>
  <c r="W172" i="18"/>
  <c r="Y10" i="24"/>
  <c r="Q9" i="23"/>
  <c r="K47" i="22"/>
  <c r="S38" i="22"/>
  <c r="H31" i="22"/>
  <c r="W24" i="22"/>
  <c r="P21" i="22"/>
  <c r="AA18" i="22"/>
  <c r="U16" i="22"/>
  <c r="V14" i="22"/>
  <c r="K13" i="22"/>
  <c r="Z11" i="22"/>
  <c r="S10" i="22"/>
  <c r="L9" i="22"/>
  <c r="E8" i="22"/>
  <c r="W65" i="21"/>
  <c r="S64" i="21"/>
  <c r="N63" i="21"/>
  <c r="M62" i="21"/>
  <c r="K61" i="21"/>
  <c r="I60" i="21"/>
  <c r="K59" i="21"/>
  <c r="I56" i="21"/>
  <c r="J55" i="21"/>
  <c r="I53" i="21"/>
  <c r="L51" i="21"/>
  <c r="M49" i="21"/>
  <c r="O48" i="21"/>
  <c r="P47" i="21"/>
  <c r="S46" i="21"/>
  <c r="S45" i="21"/>
  <c r="V44" i="21"/>
  <c r="X43" i="21"/>
  <c r="Y42" i="21"/>
  <c r="AA41" i="21"/>
  <c r="E41" i="21"/>
  <c r="J40" i="21"/>
  <c r="O39" i="21"/>
  <c r="T36" i="21"/>
  <c r="AA35" i="21"/>
  <c r="I35" i="21"/>
  <c r="O34" i="21"/>
  <c r="V33" i="21"/>
  <c r="D33" i="21"/>
  <c r="L32" i="21"/>
  <c r="T31" i="21"/>
  <c r="C31" i="21"/>
  <c r="K30" i="21"/>
  <c r="S29" i="21"/>
  <c r="AA28" i="21"/>
  <c r="J28" i="21"/>
  <c r="R27" i="21"/>
  <c r="Z26" i="21"/>
  <c r="H26" i="21"/>
  <c r="P25" i="21"/>
  <c r="X24" i="21"/>
  <c r="G24" i="21"/>
  <c r="O23" i="21"/>
  <c r="W22" i="21"/>
  <c r="F22" i="21"/>
  <c r="N21" i="21"/>
  <c r="V20" i="21"/>
  <c r="F20" i="21"/>
  <c r="O17" i="21"/>
  <c r="X16" i="21"/>
  <c r="H16" i="21"/>
  <c r="Q15" i="21"/>
  <c r="Z14" i="21"/>
  <c r="J14" i="21"/>
  <c r="S13" i="21"/>
  <c r="C13" i="21"/>
  <c r="L12" i="21"/>
  <c r="U11" i="21"/>
  <c r="E11" i="21"/>
  <c r="N10" i="21"/>
  <c r="W9" i="21"/>
  <c r="G9" i="21"/>
  <c r="P8" i="21"/>
  <c r="Y7" i="21"/>
  <c r="I7" i="21"/>
  <c r="R24" i="20"/>
  <c r="AA23" i="20"/>
  <c r="K23" i="20"/>
  <c r="T22" i="20"/>
  <c r="D22" i="20"/>
  <c r="M21" i="20"/>
  <c r="V19" i="20"/>
  <c r="F19" i="20"/>
  <c r="O18" i="20"/>
  <c r="X17" i="20"/>
  <c r="H17" i="20"/>
  <c r="Q16" i="20"/>
  <c r="Z14" i="20"/>
  <c r="J14" i="20"/>
  <c r="S13" i="20"/>
  <c r="C13" i="20"/>
  <c r="L12" i="20"/>
  <c r="U11" i="20"/>
  <c r="E11" i="20"/>
  <c r="N9" i="20"/>
  <c r="W8" i="20"/>
  <c r="G8" i="20"/>
  <c r="P7" i="20"/>
  <c r="Y6" i="20"/>
  <c r="I6" i="20"/>
  <c r="R6" i="19"/>
  <c r="AA175" i="18"/>
  <c r="K175" i="18"/>
  <c r="T174" i="18"/>
  <c r="D174" i="18"/>
  <c r="M173" i="18"/>
  <c r="V172" i="18"/>
  <c r="F172" i="18"/>
  <c r="O171" i="18"/>
  <c r="X170" i="18"/>
  <c r="H170" i="18"/>
  <c r="Q169" i="18"/>
  <c r="Z168" i="18"/>
  <c r="J168" i="18"/>
  <c r="S167" i="18"/>
  <c r="C167" i="18"/>
  <c r="L166" i="18"/>
  <c r="U165" i="18"/>
  <c r="E165" i="18"/>
  <c r="N164" i="18"/>
  <c r="W163" i="18"/>
  <c r="G163" i="18"/>
  <c r="P162" i="18"/>
  <c r="Y161" i="18"/>
  <c r="I161" i="18"/>
  <c r="R160" i="18"/>
  <c r="AA159" i="18"/>
  <c r="K159" i="18"/>
  <c r="T158" i="18"/>
  <c r="D158" i="18"/>
  <c r="M157" i="18"/>
  <c r="V156" i="18"/>
  <c r="F156" i="18"/>
  <c r="O155" i="18"/>
  <c r="X154" i="18"/>
  <c r="H154" i="18"/>
  <c r="Q153" i="18"/>
  <c r="Z152" i="18"/>
  <c r="J152" i="18"/>
  <c r="S151" i="18"/>
  <c r="C151" i="18"/>
  <c r="L150" i="18"/>
  <c r="U149" i="18"/>
  <c r="E149" i="18"/>
  <c r="N148" i="18"/>
  <c r="W147" i="18"/>
  <c r="G147" i="18"/>
  <c r="P146" i="18"/>
  <c r="Y145" i="18"/>
  <c r="I145" i="18"/>
  <c r="R144" i="18"/>
  <c r="AA143" i="18"/>
  <c r="K143" i="18"/>
  <c r="T142" i="18"/>
  <c r="D142" i="18"/>
  <c r="M141" i="18"/>
  <c r="V140" i="18"/>
  <c r="F140" i="18"/>
  <c r="W10" i="24"/>
  <c r="P9" i="23"/>
  <c r="J47" i="22"/>
  <c r="R38" i="22"/>
  <c r="G31" i="22"/>
  <c r="U24" i="22"/>
  <c r="N21" i="22"/>
  <c r="V18" i="22"/>
  <c r="R16" i="22"/>
  <c r="T14" i="22"/>
  <c r="I13" i="22"/>
  <c r="X11" i="22"/>
  <c r="Q10" i="22"/>
  <c r="J9" i="22"/>
  <c r="C8" i="22"/>
  <c r="U65" i="21"/>
  <c r="Q64" i="21"/>
  <c r="M63" i="21"/>
  <c r="J62" i="21"/>
  <c r="J61" i="21"/>
  <c r="H60" i="21"/>
  <c r="I59" i="21"/>
  <c r="G56" i="21"/>
  <c r="G55" i="21"/>
  <c r="H53" i="21"/>
  <c r="J51" i="21"/>
  <c r="K49" i="21"/>
  <c r="N48" i="21"/>
  <c r="O47" i="21"/>
  <c r="Q46" i="21"/>
  <c r="R45" i="21"/>
  <c r="U44" i="21"/>
  <c r="U43" i="21"/>
  <c r="X42" i="21"/>
  <c r="Z41" i="21"/>
  <c r="C41" i="21"/>
  <c r="I40" i="21"/>
  <c r="M39" i="21"/>
  <c r="S36" i="21"/>
  <c r="Z35" i="21"/>
  <c r="G35" i="21"/>
  <c r="N34" i="21"/>
  <c r="T33" i="21"/>
  <c r="C33" i="21"/>
  <c r="K32" i="21"/>
  <c r="S31" i="21"/>
  <c r="AA30" i="21"/>
  <c r="J30" i="21"/>
  <c r="R29" i="21"/>
  <c r="Z28" i="21"/>
  <c r="I28" i="21"/>
  <c r="Q27" i="21"/>
  <c r="X26" i="21"/>
  <c r="G26" i="21"/>
  <c r="O25" i="21"/>
  <c r="W24" i="21"/>
  <c r="F24" i="21"/>
  <c r="N23" i="21"/>
  <c r="V22" i="21"/>
  <c r="E22" i="21"/>
  <c r="M21" i="21"/>
  <c r="U20" i="21"/>
  <c r="E20" i="21"/>
  <c r="N17" i="21"/>
  <c r="W16" i="21"/>
  <c r="G16" i="21"/>
  <c r="P15" i="21"/>
  <c r="Y14" i="21"/>
  <c r="I14" i="21"/>
  <c r="R13" i="21"/>
  <c r="AA12" i="21"/>
  <c r="K12" i="21"/>
  <c r="T11" i="21"/>
  <c r="D11" i="21"/>
  <c r="M10" i="21"/>
  <c r="V9" i="21"/>
  <c r="F9" i="21"/>
  <c r="O8" i="21"/>
  <c r="X7" i="21"/>
  <c r="H7" i="21"/>
  <c r="Q24" i="20"/>
  <c r="Z23" i="20"/>
  <c r="J23" i="20"/>
  <c r="S22" i="20"/>
  <c r="C22" i="20"/>
  <c r="L21" i="20"/>
  <c r="U19" i="20"/>
  <c r="E19" i="20"/>
  <c r="N18" i="20"/>
  <c r="W17" i="20"/>
  <c r="G17" i="20"/>
  <c r="P16" i="20"/>
  <c r="Y14" i="20"/>
  <c r="I14" i="20"/>
  <c r="R13" i="20"/>
  <c r="AA12" i="20"/>
  <c r="K12" i="20"/>
  <c r="T11" i="20"/>
  <c r="D11" i="20"/>
  <c r="M9" i="20"/>
  <c r="V8" i="20"/>
  <c r="F8" i="20"/>
  <c r="O7" i="20"/>
  <c r="X6" i="20"/>
  <c r="H6" i="20"/>
  <c r="Q6" i="19"/>
  <c r="Z175" i="18"/>
  <c r="J175" i="18"/>
  <c r="S174" i="18"/>
  <c r="C174" i="18"/>
  <c r="L173" i="18"/>
  <c r="U172" i="18"/>
  <c r="E172" i="18"/>
  <c r="N171" i="18"/>
  <c r="W170" i="18"/>
  <c r="G170" i="18"/>
  <c r="P169" i="18"/>
  <c r="Y168" i="18"/>
  <c r="I168" i="18"/>
  <c r="R167" i="18"/>
  <c r="AA166" i="18"/>
  <c r="K166" i="18"/>
  <c r="T165" i="18"/>
  <c r="D165" i="18"/>
  <c r="M164" i="18"/>
  <c r="V163" i="18"/>
  <c r="F163" i="18"/>
  <c r="O162" i="18"/>
  <c r="X161" i="18"/>
  <c r="H161" i="18"/>
  <c r="Q160" i="18"/>
  <c r="Z159" i="18"/>
  <c r="J159" i="18"/>
  <c r="S158" i="18"/>
  <c r="C158" i="18"/>
  <c r="L157" i="18"/>
  <c r="U156" i="18"/>
  <c r="E156" i="18"/>
  <c r="N155" i="18"/>
  <c r="W154" i="18"/>
  <c r="G154" i="18"/>
  <c r="P153" i="18"/>
  <c r="Y152" i="18"/>
  <c r="I152" i="18"/>
  <c r="R151" i="18"/>
  <c r="AA150" i="18"/>
  <c r="K150" i="18"/>
  <c r="T149" i="18"/>
  <c r="D149" i="18"/>
  <c r="M148" i="18"/>
  <c r="V147" i="18"/>
  <c r="F147" i="18"/>
  <c r="O146" i="18"/>
  <c r="X145" i="18"/>
  <c r="H145" i="18"/>
  <c r="Q144" i="18"/>
  <c r="Z143" i="18"/>
  <c r="J143" i="18"/>
  <c r="S142" i="18"/>
  <c r="C142" i="18"/>
  <c r="L141" i="18"/>
  <c r="U140" i="18"/>
  <c r="M7" i="24"/>
  <c r="X7" i="23"/>
  <c r="J46" i="22"/>
  <c r="W37" i="22"/>
  <c r="J30" i="22"/>
  <c r="M24" i="22"/>
  <c r="E21" i="22"/>
  <c r="T18" i="22"/>
  <c r="Q16" i="22"/>
  <c r="S14" i="22"/>
  <c r="H13" i="22"/>
  <c r="V11" i="22"/>
  <c r="O10" i="22"/>
  <c r="H9" i="22"/>
  <c r="Z66" i="21"/>
  <c r="S65" i="21"/>
  <c r="P64" i="21"/>
  <c r="L63" i="21"/>
  <c r="G62" i="21"/>
  <c r="I61" i="21"/>
  <c r="G60" i="21"/>
  <c r="H59" i="21"/>
  <c r="F56" i="21"/>
  <c r="D55" i="21"/>
  <c r="G53" i="21"/>
  <c r="I51" i="21"/>
  <c r="J49" i="21"/>
  <c r="L48" i="21"/>
  <c r="M47" i="21"/>
  <c r="P46" i="21"/>
  <c r="Q45" i="21"/>
  <c r="S44" i="21"/>
  <c r="T43" i="21"/>
  <c r="W42" i="21"/>
  <c r="W41" i="21"/>
  <c r="AA40" i="21"/>
  <c r="G40" i="21"/>
  <c r="L39" i="21"/>
  <c r="R36" i="21"/>
  <c r="Y35" i="21"/>
  <c r="F35" i="21"/>
  <c r="M34" i="21"/>
  <c r="S33" i="21"/>
  <c r="AA32" i="21"/>
  <c r="J32" i="21"/>
  <c r="R31" i="21"/>
  <c r="Z30" i="21"/>
  <c r="I30" i="21"/>
  <c r="Q29" i="21"/>
  <c r="Y28" i="21"/>
  <c r="H28" i="21"/>
  <c r="O27" i="21"/>
  <c r="W26" i="21"/>
  <c r="F26" i="21"/>
  <c r="N25" i="21"/>
  <c r="V24" i="21"/>
  <c r="E24" i="21"/>
  <c r="M23" i="21"/>
  <c r="I7" i="24"/>
  <c r="I24" i="23"/>
  <c r="P53" i="22"/>
  <c r="K45" i="22"/>
  <c r="V36" i="22"/>
  <c r="K28" i="22"/>
  <c r="C24" i="22"/>
  <c r="U20" i="22"/>
  <c r="P18" i="22"/>
  <c r="I16" i="22"/>
  <c r="P14" i="22"/>
  <c r="Y12" i="22"/>
  <c r="O11" i="22"/>
  <c r="H10" i="22"/>
  <c r="Z8" i="22"/>
  <c r="S66" i="21"/>
  <c r="O65" i="21"/>
  <c r="L64" i="21"/>
  <c r="I63" i="21"/>
  <c r="E62" i="21"/>
  <c r="F61" i="21"/>
  <c r="D60" i="21"/>
  <c r="AA56" i="21"/>
  <c r="D56" i="21"/>
  <c r="AA53" i="21"/>
  <c r="D53" i="21"/>
  <c r="E51" i="21"/>
  <c r="H49" i="21"/>
  <c r="H48" i="21"/>
  <c r="K47" i="21"/>
  <c r="M46" i="21"/>
  <c r="N45" i="21"/>
  <c r="P44" i="21"/>
  <c r="Q43" i="21"/>
  <c r="T42" i="21"/>
  <c r="U41" i="21"/>
  <c r="Y40" i="21"/>
  <c r="D40" i="21"/>
  <c r="J39" i="21"/>
  <c r="P36" i="21"/>
  <c r="V35" i="21"/>
  <c r="D35" i="21"/>
  <c r="J34" i="21"/>
  <c r="Q33" i="21"/>
  <c r="Y32" i="21"/>
  <c r="H32" i="21"/>
  <c r="P31" i="21"/>
  <c r="X30" i="21"/>
  <c r="G30" i="21"/>
  <c r="O29" i="21"/>
  <c r="V28" i="21"/>
  <c r="E28" i="21"/>
  <c r="M27" i="21"/>
  <c r="U26" i="21"/>
  <c r="D26" i="21"/>
  <c r="L25" i="21"/>
  <c r="T24" i="21"/>
  <c r="C24" i="21"/>
  <c r="K23" i="21"/>
  <c r="S22" i="21"/>
  <c r="AA21" i="21"/>
  <c r="J21" i="21"/>
  <c r="R20" i="21"/>
  <c r="AA17" i="21"/>
  <c r="K17" i="21"/>
  <c r="T16" i="21"/>
  <c r="D16" i="21"/>
  <c r="M15" i="21"/>
  <c r="V14" i="21"/>
  <c r="F14" i="21"/>
  <c r="O13" i="21"/>
  <c r="X12" i="21"/>
  <c r="H12" i="21"/>
  <c r="H24" i="23"/>
  <c r="L53" i="22"/>
  <c r="I45" i="22"/>
  <c r="U36" i="22"/>
  <c r="J28" i="22"/>
  <c r="X23" i="22"/>
  <c r="R20" i="22"/>
  <c r="J18" i="22"/>
  <c r="D16" i="22"/>
  <c r="N14" i="22"/>
  <c r="V12" i="22"/>
  <c r="N11" i="22"/>
  <c r="G10" i="22"/>
  <c r="Y8" i="22"/>
  <c r="R66" i="21"/>
  <c r="L65" i="21"/>
  <c r="K64" i="21"/>
  <c r="G63" i="21"/>
  <c r="C62" i="21"/>
  <c r="C61" i="21"/>
  <c r="C60" i="21"/>
  <c r="Z56" i="21"/>
  <c r="AA55" i="21"/>
  <c r="Y53" i="21"/>
  <c r="C53" i="21"/>
  <c r="D51" i="21"/>
  <c r="F49" i="21"/>
  <c r="G48" i="21"/>
  <c r="J47" i="21"/>
  <c r="J46" i="21"/>
  <c r="M45" i="21"/>
  <c r="O44" i="21"/>
  <c r="P43" i="21"/>
  <c r="R42" i="21"/>
  <c r="S41" i="21"/>
  <c r="W40" i="21"/>
  <c r="C40" i="21"/>
  <c r="I39" i="21"/>
  <c r="N36" i="21"/>
  <c r="U35" i="21"/>
  <c r="AA34" i="21"/>
  <c r="I34" i="21"/>
  <c r="P33" i="21"/>
  <c r="X32" i="21"/>
  <c r="G32" i="21"/>
  <c r="O31" i="21"/>
  <c r="W30" i="21"/>
  <c r="F30" i="21"/>
  <c r="M29" i="21"/>
  <c r="U28" i="21"/>
  <c r="D28" i="21"/>
  <c r="L27" i="21"/>
  <c r="T26" i="21"/>
  <c r="C26" i="21"/>
  <c r="K25" i="21"/>
  <c r="S24" i="21"/>
  <c r="AA23" i="21"/>
  <c r="J23" i="21"/>
  <c r="R22" i="21"/>
  <c r="Z21" i="21"/>
  <c r="I21" i="21"/>
  <c r="Q20" i="21"/>
  <c r="Z17" i="21"/>
  <c r="J17" i="21"/>
  <c r="S16" i="21"/>
  <c r="C16" i="21"/>
  <c r="L15" i="21"/>
  <c r="U14" i="21"/>
  <c r="E14" i="21"/>
  <c r="N13" i="21"/>
  <c r="W12" i="21"/>
  <c r="G12" i="21"/>
  <c r="P11" i="21"/>
  <c r="Y10" i="21"/>
  <c r="I10" i="21"/>
  <c r="R9" i="21"/>
  <c r="AA8" i="21"/>
  <c r="K8" i="21"/>
  <c r="T7" i="21"/>
  <c r="D7" i="21"/>
  <c r="M24" i="20"/>
  <c r="V23" i="20"/>
  <c r="F23" i="20"/>
  <c r="O22" i="20"/>
  <c r="X21" i="20"/>
  <c r="H21" i="20"/>
  <c r="Q19" i="20"/>
  <c r="Z18" i="20"/>
  <c r="J18" i="20"/>
  <c r="S17" i="20"/>
  <c r="C17" i="20"/>
  <c r="L16" i="20"/>
  <c r="U14" i="20"/>
  <c r="E14" i="20"/>
  <c r="N13" i="20"/>
  <c r="W12" i="20"/>
  <c r="G12" i="20"/>
  <c r="P11" i="20"/>
  <c r="Y9" i="20"/>
  <c r="I9" i="20"/>
  <c r="R8" i="20"/>
  <c r="AA7" i="20"/>
  <c r="K7" i="20"/>
  <c r="T6" i="20"/>
  <c r="D6" i="20"/>
  <c r="M6" i="19"/>
  <c r="V175" i="18"/>
  <c r="F175" i="18"/>
  <c r="J20" i="23"/>
  <c r="N52" i="22"/>
  <c r="K44" i="22"/>
  <c r="Z35" i="22"/>
  <c r="M27" i="22"/>
  <c r="P23" i="22"/>
  <c r="K20" i="22"/>
  <c r="E18" i="22"/>
  <c r="Z15" i="22"/>
  <c r="H14" i="22"/>
  <c r="U12" i="22"/>
  <c r="M11" i="22"/>
  <c r="F10" i="22"/>
  <c r="X8" i="22"/>
  <c r="Q66" i="21"/>
  <c r="K65" i="21"/>
  <c r="H64" i="21"/>
  <c r="E63" i="21"/>
  <c r="AA61" i="21"/>
  <c r="Y60" i="21"/>
  <c r="AA59" i="21"/>
  <c r="Y56" i="21"/>
  <c r="Z55" i="21"/>
  <c r="X53" i="21"/>
  <c r="Z51" i="21"/>
  <c r="AA49" i="21"/>
  <c r="E49" i="21"/>
  <c r="F48" i="21"/>
  <c r="H47" i="21"/>
  <c r="I46" i="21"/>
  <c r="L45" i="21"/>
  <c r="L44" i="21"/>
  <c r="O43" i="21"/>
  <c r="Q42" i="21"/>
  <c r="R41" i="21"/>
  <c r="V40" i="21"/>
  <c r="AA39" i="21"/>
  <c r="H39" i="21"/>
  <c r="M36" i="21"/>
  <c r="T35" i="21"/>
  <c r="Z34" i="21"/>
  <c r="H34" i="21"/>
  <c r="O33" i="21"/>
  <c r="W32" i="21"/>
  <c r="F32" i="21"/>
  <c r="N31" i="21"/>
  <c r="V30" i="21"/>
  <c r="D30" i="21"/>
  <c r="L29" i="21"/>
  <c r="T28" i="21"/>
  <c r="C28" i="21"/>
  <c r="K27" i="21"/>
  <c r="S26" i="21"/>
  <c r="AA25" i="21"/>
  <c r="J25" i="21"/>
  <c r="R24" i="21"/>
  <c r="Z23" i="21"/>
  <c r="I23" i="21"/>
  <c r="Q22" i="21"/>
  <c r="Y21" i="21"/>
  <c r="H21" i="21"/>
  <c r="P20" i="21"/>
  <c r="Y17" i="21"/>
  <c r="I17" i="21"/>
  <c r="R16" i="21"/>
  <c r="AA15" i="21"/>
  <c r="K15" i="21"/>
  <c r="T14" i="21"/>
  <c r="D14" i="21"/>
  <c r="M13" i="21"/>
  <c r="V12" i="21"/>
  <c r="F12" i="21"/>
  <c r="O11" i="21"/>
  <c r="X10" i="21"/>
  <c r="H10" i="21"/>
  <c r="Q9" i="21"/>
  <c r="Z8" i="21"/>
  <c r="J8" i="21"/>
  <c r="S7" i="21"/>
  <c r="C7" i="21"/>
  <c r="L24" i="20"/>
  <c r="U23" i="20"/>
  <c r="E23" i="20"/>
  <c r="N22" i="20"/>
  <c r="W21" i="20"/>
  <c r="G21" i="20"/>
  <c r="P19" i="20"/>
  <c r="Y18" i="20"/>
  <c r="I18" i="20"/>
  <c r="R17" i="20"/>
  <c r="I20" i="23"/>
  <c r="M52" i="22"/>
  <c r="H44" i="22"/>
  <c r="Y35" i="22"/>
  <c r="L27" i="22"/>
  <c r="G23" i="22"/>
  <c r="F20" i="22"/>
  <c r="C18" i="22"/>
  <c r="Y15" i="22"/>
  <c r="D14" i="22"/>
  <c r="T12" i="22"/>
  <c r="K11" i="22"/>
  <c r="D10" i="22"/>
  <c r="V8" i="22"/>
  <c r="O66" i="21"/>
  <c r="J65" i="21"/>
  <c r="E64" i="21"/>
  <c r="D63" i="21"/>
  <c r="Z61" i="21"/>
  <c r="X60" i="21"/>
  <c r="Y59" i="21"/>
  <c r="W56" i="21"/>
  <c r="W55" i="21"/>
  <c r="W53" i="21"/>
  <c r="Y51" i="21"/>
  <c r="Z49" i="21"/>
  <c r="C49" i="21"/>
  <c r="D48" i="21"/>
  <c r="G47" i="21"/>
  <c r="H46" i="21"/>
  <c r="J45" i="21"/>
  <c r="K44" i="21"/>
  <c r="N43" i="21"/>
  <c r="N42" i="21"/>
  <c r="Q41" i="21"/>
  <c r="T40" i="21"/>
  <c r="Z39" i="21"/>
  <c r="G39" i="21"/>
  <c r="L36" i="21"/>
  <c r="R35" i="21"/>
  <c r="Y34" i="21"/>
  <c r="G34" i="21"/>
  <c r="N33" i="21"/>
  <c r="V32" i="21"/>
  <c r="E32" i="21"/>
  <c r="M31" i="21"/>
  <c r="T30" i="21"/>
  <c r="C30" i="21"/>
  <c r="K29" i="21"/>
  <c r="S28" i="21"/>
  <c r="AA27" i="21"/>
  <c r="J27" i="21"/>
  <c r="R26" i="21"/>
  <c r="Z25" i="21"/>
  <c r="I25" i="21"/>
  <c r="Q24" i="21"/>
  <c r="Y23" i="21"/>
  <c r="H23" i="21"/>
  <c r="P22" i="21"/>
  <c r="X21" i="21"/>
  <c r="G21" i="21"/>
  <c r="O20" i="21"/>
  <c r="X17" i="21"/>
  <c r="H17" i="21"/>
  <c r="Q16" i="21"/>
  <c r="Z15" i="21"/>
  <c r="J15" i="21"/>
  <c r="S14" i="21"/>
  <c r="C14" i="21"/>
  <c r="L13" i="21"/>
  <c r="U12" i="21"/>
  <c r="E12" i="21"/>
  <c r="N11" i="21"/>
  <c r="W10" i="21"/>
  <c r="G10" i="21"/>
  <c r="P9" i="21"/>
  <c r="Y8" i="21"/>
  <c r="I8" i="21"/>
  <c r="R7" i="21"/>
  <c r="AA24" i="20"/>
  <c r="K24" i="20"/>
  <c r="T23" i="20"/>
  <c r="D23" i="20"/>
  <c r="M22" i="20"/>
  <c r="V21" i="20"/>
  <c r="F21" i="20"/>
  <c r="O19" i="20"/>
  <c r="X18" i="20"/>
  <c r="H18" i="20"/>
  <c r="Q17" i="20"/>
  <c r="Z16" i="20"/>
  <c r="J16" i="20"/>
  <c r="S14" i="20"/>
  <c r="C14" i="20"/>
  <c r="L13" i="20"/>
  <c r="U12" i="20"/>
  <c r="E12" i="20"/>
  <c r="N11" i="20"/>
  <c r="W9" i="20"/>
  <c r="G9" i="20"/>
  <c r="P8" i="20"/>
  <c r="Y7" i="20"/>
  <c r="I7" i="20"/>
  <c r="R6" i="20"/>
  <c r="AA6" i="19"/>
  <c r="K6" i="19"/>
  <c r="T175" i="18"/>
  <c r="D175" i="18"/>
  <c r="M174" i="18"/>
  <c r="V173" i="18"/>
  <c r="F173" i="18"/>
  <c r="O172" i="18"/>
  <c r="X171" i="18"/>
  <c r="H171" i="18"/>
  <c r="Q170" i="18"/>
  <c r="Z169" i="18"/>
  <c r="J169" i="18"/>
  <c r="S168" i="18"/>
  <c r="C168" i="18"/>
  <c r="L167" i="18"/>
  <c r="U166" i="18"/>
  <c r="E166" i="18"/>
  <c r="N165" i="18"/>
  <c r="W164" i="18"/>
  <c r="G164" i="18"/>
  <c r="P163" i="18"/>
  <c r="Y162" i="18"/>
  <c r="I162" i="18"/>
  <c r="R161" i="18"/>
  <c r="AA160" i="18"/>
  <c r="K160" i="18"/>
  <c r="T159" i="18"/>
  <c r="D159" i="18"/>
  <c r="M158" i="18"/>
  <c r="V157" i="18"/>
  <c r="F157" i="18"/>
  <c r="O156" i="18"/>
  <c r="X155" i="18"/>
  <c r="H155" i="18"/>
  <c r="Q154" i="18"/>
  <c r="Z153" i="18"/>
  <c r="J153" i="18"/>
  <c r="S152" i="18"/>
  <c r="C152" i="18"/>
  <c r="L151" i="18"/>
  <c r="U150" i="18"/>
  <c r="E150" i="18"/>
  <c r="N149" i="18"/>
  <c r="W148" i="18"/>
  <c r="G148" i="18"/>
  <c r="P147" i="18"/>
  <c r="Y146" i="18"/>
  <c r="I146" i="18"/>
  <c r="R145" i="18"/>
  <c r="AA144" i="18"/>
  <c r="K144" i="18"/>
  <c r="T143" i="18"/>
  <c r="D143" i="18"/>
  <c r="M142" i="18"/>
  <c r="V141" i="18"/>
  <c r="F141" i="18"/>
  <c r="O140" i="18"/>
  <c r="X139" i="18"/>
  <c r="H139" i="18"/>
  <c r="Q138" i="18"/>
  <c r="Z137" i="18"/>
  <c r="J137" i="18"/>
  <c r="S136" i="18"/>
  <c r="C136" i="18"/>
  <c r="L135" i="18"/>
  <c r="U134" i="18"/>
  <c r="O18" i="23"/>
  <c r="M51" i="22"/>
  <c r="M43" i="22"/>
  <c r="Y34" i="22"/>
  <c r="R26" i="22"/>
  <c r="F23" i="22"/>
  <c r="D20" i="22"/>
  <c r="AA17" i="22"/>
  <c r="W15" i="22"/>
  <c r="C14" i="22"/>
  <c r="R12" i="22"/>
  <c r="J11" i="22"/>
  <c r="C10" i="22"/>
  <c r="U8" i="22"/>
  <c r="N66" i="21"/>
  <c r="H65" i="21"/>
  <c r="D64" i="21"/>
  <c r="Z62" i="21"/>
  <c r="Y61" i="21"/>
  <c r="W60" i="21"/>
  <c r="X59" i="21"/>
  <c r="V56" i="21"/>
  <c r="T55" i="21"/>
  <c r="V53" i="21"/>
  <c r="V51" i="21"/>
  <c r="Y49" i="21"/>
  <c r="AA48" i="21"/>
  <c r="C48" i="21"/>
  <c r="E47" i="21"/>
  <c r="F46" i="21"/>
  <c r="I45" i="21"/>
  <c r="J44" i="21"/>
  <c r="L43" i="21"/>
  <c r="M42" i="21"/>
  <c r="P41" i="21"/>
  <c r="S40" i="21"/>
  <c r="Y39" i="21"/>
  <c r="E39" i="21"/>
  <c r="K36" i="21"/>
  <c r="Q35" i="21"/>
  <c r="X34" i="21"/>
  <c r="F34" i="21"/>
  <c r="M33" i="21"/>
  <c r="U32" i="21"/>
  <c r="D32" i="21"/>
  <c r="K31" i="21"/>
  <c r="S30" i="21"/>
  <c r="AA29" i="21"/>
  <c r="J29" i="21"/>
  <c r="R28" i="21"/>
  <c r="Z27" i="21"/>
  <c r="I27" i="21"/>
  <c r="Q26" i="21"/>
  <c r="Y25" i="21"/>
  <c r="H25" i="21"/>
  <c r="P24" i="21"/>
  <c r="X23" i="21"/>
  <c r="G23" i="21"/>
  <c r="O22" i="21"/>
  <c r="W21" i="21"/>
  <c r="E21" i="21"/>
  <c r="N20" i="21"/>
  <c r="W17" i="21"/>
  <c r="G17" i="21"/>
  <c r="P16" i="21"/>
  <c r="Y15" i="21"/>
  <c r="I15" i="21"/>
  <c r="R14" i="21"/>
  <c r="AA13" i="21"/>
  <c r="K13" i="21"/>
  <c r="T12" i="21"/>
  <c r="D12" i="21"/>
  <c r="M11" i="21"/>
  <c r="V10" i="21"/>
  <c r="F10" i="21"/>
  <c r="O9" i="21"/>
  <c r="X8" i="21"/>
  <c r="H8" i="21"/>
  <c r="Q7" i="21"/>
  <c r="Z24" i="20"/>
  <c r="J24" i="20"/>
  <c r="S23" i="20"/>
  <c r="C23" i="20"/>
  <c r="L22" i="20"/>
  <c r="U21" i="20"/>
  <c r="E21" i="20"/>
  <c r="N19" i="20"/>
  <c r="W18" i="20"/>
  <c r="G18" i="20"/>
  <c r="P17" i="20"/>
  <c r="Y16" i="20"/>
  <c r="I16" i="20"/>
  <c r="R14" i="20"/>
  <c r="AA13" i="20"/>
  <c r="K13" i="20"/>
  <c r="T12" i="20"/>
  <c r="D12" i="20"/>
  <c r="N18" i="23"/>
  <c r="L51" i="22"/>
  <c r="L43" i="22"/>
  <c r="X34" i="22"/>
  <c r="Q26" i="22"/>
  <c r="AA22" i="22"/>
  <c r="C20" i="22"/>
  <c r="X17" i="22"/>
  <c r="Q15" i="22"/>
  <c r="AA13" i="22"/>
  <c r="Q12" i="22"/>
  <c r="H11" i="22"/>
  <c r="Z9" i="22"/>
  <c r="S8" i="22"/>
  <c r="L66" i="21"/>
  <c r="G65" i="21"/>
  <c r="C64" i="21"/>
  <c r="W62" i="21"/>
  <c r="W61" i="21"/>
  <c r="U60" i="21"/>
  <c r="U59" i="21"/>
  <c r="U56" i="21"/>
  <c r="S55" i="21"/>
  <c r="T53" i="21"/>
  <c r="U51" i="21"/>
  <c r="X49" i="21"/>
  <c r="X48" i="21"/>
  <c r="AA47" i="21"/>
  <c r="D47" i="21"/>
  <c r="E46" i="21"/>
  <c r="G45" i="21"/>
  <c r="H44" i="21"/>
  <c r="K43" i="21"/>
  <c r="L42" i="21"/>
  <c r="N41" i="21"/>
  <c r="R40" i="21"/>
  <c r="X39" i="21"/>
  <c r="D39" i="21"/>
  <c r="I36" i="21"/>
  <c r="P35" i="21"/>
  <c r="W34" i="21"/>
  <c r="E34" i="21"/>
  <c r="L33" i="21"/>
  <c r="T32" i="21"/>
  <c r="AA31" i="21"/>
  <c r="J31" i="21"/>
  <c r="R30" i="21"/>
  <c r="Z29" i="21"/>
  <c r="I29" i="21"/>
  <c r="Q28" i="21"/>
  <c r="Y27" i="21"/>
  <c r="H27" i="21"/>
  <c r="P26" i="21"/>
  <c r="X25" i="21"/>
  <c r="G25" i="21"/>
  <c r="O24" i="21"/>
  <c r="W23" i="21"/>
  <c r="F23" i="21"/>
  <c r="N22" i="21"/>
  <c r="U21" i="21"/>
  <c r="D21" i="21"/>
  <c r="M20" i="21"/>
  <c r="V17" i="21"/>
  <c r="F17" i="21"/>
  <c r="O16" i="21"/>
  <c r="X15" i="21"/>
  <c r="H15" i="21"/>
  <c r="Q14" i="21"/>
  <c r="Z13" i="21"/>
  <c r="J13" i="21"/>
  <c r="S12" i="21"/>
  <c r="C12" i="21"/>
  <c r="L11" i="21"/>
  <c r="U10" i="21"/>
  <c r="E10" i="21"/>
  <c r="N9" i="21"/>
  <c r="W8" i="21"/>
  <c r="G8" i="21"/>
  <c r="P7" i="21"/>
  <c r="Y24" i="20"/>
  <c r="I24" i="20"/>
  <c r="R23" i="20"/>
  <c r="AA22" i="20"/>
  <c r="K22" i="20"/>
  <c r="T21" i="20"/>
  <c r="D21" i="20"/>
  <c r="M19" i="20"/>
  <c r="V18" i="20"/>
  <c r="F18" i="20"/>
  <c r="O17" i="20"/>
  <c r="X16" i="20"/>
  <c r="H16" i="20"/>
  <c r="Q14" i="20"/>
  <c r="Z13" i="20"/>
  <c r="J13" i="20"/>
  <c r="S12" i="20"/>
  <c r="C12" i="20"/>
  <c r="L11" i="20"/>
  <c r="U9" i="20"/>
  <c r="E9" i="20"/>
  <c r="N8" i="20"/>
  <c r="W7" i="20"/>
  <c r="G7" i="20"/>
  <c r="P6" i="20"/>
  <c r="Y6" i="19"/>
  <c r="I6" i="19"/>
  <c r="R175" i="18"/>
  <c r="AA174" i="18"/>
  <c r="K174" i="18"/>
  <c r="T173" i="18"/>
  <c r="D173" i="18"/>
  <c r="M172" i="18"/>
  <c r="V171" i="18"/>
  <c r="F171" i="18"/>
  <c r="O170" i="18"/>
  <c r="X169" i="18"/>
  <c r="H169" i="18"/>
  <c r="Q168" i="18"/>
  <c r="Z167" i="18"/>
  <c r="J167" i="18"/>
  <c r="S166" i="18"/>
  <c r="C166" i="18"/>
  <c r="L165" i="18"/>
  <c r="U164" i="18"/>
  <c r="E164" i="18"/>
  <c r="N163" i="18"/>
  <c r="W162" i="18"/>
  <c r="W7" i="23"/>
  <c r="J63" i="21"/>
  <c r="U42" i="21"/>
  <c r="X28" i="21"/>
  <c r="S20" i="21"/>
  <c r="P13" i="21"/>
  <c r="K10" i="21"/>
  <c r="V7" i="21"/>
  <c r="Q23" i="20"/>
  <c r="Z21" i="20"/>
  <c r="H19" i="20"/>
  <c r="N17" i="20"/>
  <c r="C16" i="20"/>
  <c r="P13" i="20"/>
  <c r="F12" i="20"/>
  <c r="V9" i="20"/>
  <c r="O8" i="20"/>
  <c r="H7" i="20"/>
  <c r="Z6" i="19"/>
  <c r="U175" i="18"/>
  <c r="Q174" i="18"/>
  <c r="R173" i="18"/>
  <c r="Q172" i="18"/>
  <c r="R171" i="18"/>
  <c r="T170" i="18"/>
  <c r="V169" i="18"/>
  <c r="W168" i="18"/>
  <c r="Y167" i="18"/>
  <c r="Z166" i="18"/>
  <c r="D166" i="18"/>
  <c r="F165" i="18"/>
  <c r="H164" i="18"/>
  <c r="I163" i="18"/>
  <c r="K162" i="18"/>
  <c r="O161" i="18"/>
  <c r="S160" i="18"/>
  <c r="V159" i="18"/>
  <c r="Z158" i="18"/>
  <c r="E158" i="18"/>
  <c r="H157" i="18"/>
  <c r="L156" i="18"/>
  <c r="P155" i="18"/>
  <c r="S154" i="18"/>
  <c r="W153" i="18"/>
  <c r="AA152" i="18"/>
  <c r="E152" i="18"/>
  <c r="I151" i="18"/>
  <c r="N150" i="18"/>
  <c r="R149" i="18"/>
  <c r="X148" i="18"/>
  <c r="D148" i="18"/>
  <c r="J147" i="18"/>
  <c r="N146" i="18"/>
  <c r="T145" i="18"/>
  <c r="Y144" i="18"/>
  <c r="F144" i="18"/>
  <c r="L143" i="18"/>
  <c r="P142" i="18"/>
  <c r="U141" i="18"/>
  <c r="AA140" i="18"/>
  <c r="H140" i="18"/>
  <c r="O139" i="18"/>
  <c r="W138" i="18"/>
  <c r="F138" i="18"/>
  <c r="N137" i="18"/>
  <c r="V136" i="18"/>
  <c r="E136" i="18"/>
  <c r="M135" i="18"/>
  <c r="T134" i="18"/>
  <c r="D134" i="18"/>
  <c r="M133" i="18"/>
  <c r="V132" i="18"/>
  <c r="F132" i="18"/>
  <c r="O131" i="18"/>
  <c r="X130" i="18"/>
  <c r="H130" i="18"/>
  <c r="Q129" i="18"/>
  <c r="Z128" i="18"/>
  <c r="J128" i="18"/>
  <c r="S127" i="18"/>
  <c r="I46" i="22"/>
  <c r="F62" i="21"/>
  <c r="V41" i="21"/>
  <c r="F28" i="21"/>
  <c r="D20" i="21"/>
  <c r="Z12" i="21"/>
  <c r="J10" i="21"/>
  <c r="U7" i="21"/>
  <c r="N23" i="20"/>
  <c r="Y21" i="20"/>
  <c r="D19" i="20"/>
  <c r="K17" i="20"/>
  <c r="X14" i="20"/>
  <c r="O13" i="20"/>
  <c r="AA11" i="20"/>
  <c r="T9" i="20"/>
  <c r="M8" i="20"/>
  <c r="F7" i="20"/>
  <c r="X6" i="19"/>
  <c r="S175" i="18"/>
  <c r="P174" i="18"/>
  <c r="P173" i="18"/>
  <c r="P172" i="18"/>
  <c r="Q171" i="18"/>
  <c r="S170" i="18"/>
  <c r="T169" i="18"/>
  <c r="V168" i="18"/>
  <c r="X167" i="18"/>
  <c r="Y166" i="18"/>
  <c r="AA165" i="18"/>
  <c r="C165" i="18"/>
  <c r="F164" i="18"/>
  <c r="H163" i="18"/>
  <c r="J162" i="18"/>
  <c r="N161" i="18"/>
  <c r="P160" i="18"/>
  <c r="U159" i="18"/>
  <c r="Y158" i="18"/>
  <c r="AA157" i="18"/>
  <c r="G157" i="18"/>
  <c r="K156" i="18"/>
  <c r="M155" i="18"/>
  <c r="R154" i="18"/>
  <c r="V153" i="18"/>
  <c r="X152" i="18"/>
  <c r="D152" i="18"/>
  <c r="H151" i="18"/>
  <c r="M150" i="18"/>
  <c r="Q149" i="18"/>
  <c r="V148" i="18"/>
  <c r="C148" i="18"/>
  <c r="I147" i="18"/>
  <c r="M146" i="18"/>
  <c r="S145" i="18"/>
  <c r="X144" i="18"/>
  <c r="E144" i="18"/>
  <c r="I143" i="18"/>
  <c r="O142" i="18"/>
  <c r="T141" i="18"/>
  <c r="Z140" i="18"/>
  <c r="G140" i="18"/>
  <c r="N139" i="18"/>
  <c r="V138" i="18"/>
  <c r="E138" i="18"/>
  <c r="M137" i="18"/>
  <c r="U136" i="18"/>
  <c r="D136" i="18"/>
  <c r="K135" i="18"/>
  <c r="S134" i="18"/>
  <c r="S37" i="22"/>
  <c r="G61" i="21"/>
  <c r="Z40" i="21"/>
  <c r="N27" i="21"/>
  <c r="C20" i="21"/>
  <c r="Y12" i="21"/>
  <c r="Z9" i="21"/>
  <c r="I30" i="22"/>
  <c r="E60" i="21"/>
  <c r="D24" i="22"/>
  <c r="E59" i="21"/>
  <c r="K39" i="21"/>
  <c r="E26" i="21"/>
  <c r="L17" i="21"/>
  <c r="J12" i="21"/>
  <c r="T9" i="21"/>
  <c r="F7" i="21"/>
  <c r="H23" i="20"/>
  <c r="O21" i="20"/>
  <c r="U18" i="20"/>
  <c r="E17" i="20"/>
  <c r="T14" i="20"/>
  <c r="F13" i="20"/>
  <c r="S11" i="20"/>
  <c r="L9" i="20"/>
  <c r="E8" i="20"/>
  <c r="W6" i="20"/>
  <c r="P6" i="19"/>
  <c r="N175" i="18"/>
  <c r="L174" i="18"/>
  <c r="J173" i="18"/>
  <c r="K172" i="18"/>
  <c r="L171" i="18"/>
  <c r="N170" i="18"/>
  <c r="O169" i="18"/>
  <c r="R168" i="18"/>
  <c r="T167" i="18"/>
  <c r="V166" i="18"/>
  <c r="W165" i="18"/>
  <c r="Y164" i="18"/>
  <c r="Z163" i="18"/>
  <c r="C163" i="18"/>
  <c r="F162" i="18"/>
  <c r="J161" i="18"/>
  <c r="M160" i="18"/>
  <c r="Q159" i="18"/>
  <c r="U158" i="18"/>
  <c r="X157" i="18"/>
  <c r="C157" i="18"/>
  <c r="G156" i="18"/>
  <c r="J155" i="18"/>
  <c r="N154" i="18"/>
  <c r="R153" i="18"/>
  <c r="U152" i="18"/>
  <c r="Y151" i="18"/>
  <c r="D151" i="18"/>
  <c r="H150" i="18"/>
  <c r="M149" i="18"/>
  <c r="S148" i="18"/>
  <c r="Y147" i="18"/>
  <c r="D147" i="18"/>
  <c r="J146" i="18"/>
  <c r="O145" i="18"/>
  <c r="U144" i="18"/>
  <c r="Y143" i="18"/>
  <c r="F143" i="18"/>
  <c r="K142" i="18"/>
  <c r="Q141" i="18"/>
  <c r="W140" i="18"/>
  <c r="C140" i="18"/>
  <c r="K139" i="18"/>
  <c r="S138" i="18"/>
  <c r="AA137" i="18"/>
  <c r="I137" i="18"/>
  <c r="Q136" i="18"/>
  <c r="Y135" i="18"/>
  <c r="H135" i="18"/>
  <c r="P134" i="18"/>
  <c r="Y133" i="18"/>
  <c r="I133" i="18"/>
  <c r="R132" i="18"/>
  <c r="AA131" i="18"/>
  <c r="K131" i="18"/>
  <c r="T130" i="18"/>
  <c r="D130" i="18"/>
  <c r="M129" i="18"/>
  <c r="V128" i="18"/>
  <c r="F128" i="18"/>
  <c r="O127" i="18"/>
  <c r="X126" i="18"/>
  <c r="H126" i="18"/>
  <c r="Q125" i="18"/>
  <c r="Z124" i="18"/>
  <c r="J124" i="18"/>
  <c r="S123" i="18"/>
  <c r="C123" i="18"/>
  <c r="L122" i="18"/>
  <c r="U121" i="18"/>
  <c r="E121" i="18"/>
  <c r="N120" i="18"/>
  <c r="W119" i="18"/>
  <c r="G119" i="18"/>
  <c r="P118" i="18"/>
  <c r="Y117" i="18"/>
  <c r="I117" i="18"/>
  <c r="R116" i="18"/>
  <c r="AA115" i="18"/>
  <c r="K115" i="18"/>
  <c r="T114" i="18"/>
  <c r="D114" i="18"/>
  <c r="M113" i="18"/>
  <c r="V112" i="18"/>
  <c r="F112" i="18"/>
  <c r="O111" i="18"/>
  <c r="X110" i="18"/>
  <c r="H110" i="18"/>
  <c r="Q109" i="18"/>
  <c r="Z108" i="18"/>
  <c r="J108" i="18"/>
  <c r="S107" i="18"/>
  <c r="C107" i="18"/>
  <c r="L106" i="18"/>
  <c r="U105" i="18"/>
  <c r="E105" i="18"/>
  <c r="N104" i="18"/>
  <c r="W103" i="18"/>
  <c r="G103" i="18"/>
  <c r="P102" i="18"/>
  <c r="Y101" i="18"/>
  <c r="I101" i="18"/>
  <c r="R100" i="18"/>
  <c r="AA99" i="18"/>
  <c r="K99" i="18"/>
  <c r="T98" i="18"/>
  <c r="D98" i="18"/>
  <c r="M97" i="18"/>
  <c r="W20" i="22"/>
  <c r="E56" i="21"/>
  <c r="Q36" i="21"/>
  <c r="M25" i="21"/>
  <c r="V16" i="21"/>
  <c r="I12" i="21"/>
  <c r="S9" i="21"/>
  <c r="E7" i="21"/>
  <c r="G23" i="20"/>
  <c r="K21" i="20"/>
  <c r="R18" i="20"/>
  <c r="D17" i="20"/>
  <c r="P14" i="20"/>
  <c r="E13" i="20"/>
  <c r="R11" i="20"/>
  <c r="K9" i="20"/>
  <c r="D8" i="20"/>
  <c r="V6" i="20"/>
  <c r="O6" i="19"/>
  <c r="M175" i="18"/>
  <c r="J174" i="18"/>
  <c r="I173" i="18"/>
  <c r="I172" i="18"/>
  <c r="K171" i="18"/>
  <c r="M170" i="18"/>
  <c r="N169" i="18"/>
  <c r="P168" i="18"/>
  <c r="Q167" i="18"/>
  <c r="T166" i="18"/>
  <c r="V165" i="18"/>
  <c r="X164" i="18"/>
  <c r="Y163" i="18"/>
  <c r="AA162" i="18"/>
  <c r="E162" i="18"/>
  <c r="G161" i="18"/>
  <c r="L160" i="18"/>
  <c r="P159" i="18"/>
  <c r="R158" i="18"/>
  <c r="W157" i="18"/>
  <c r="AA156" i="18"/>
  <c r="D156" i="18"/>
  <c r="I155" i="18"/>
  <c r="M154" i="18"/>
  <c r="O153" i="18"/>
  <c r="T152" i="18"/>
  <c r="X151" i="18"/>
  <c r="Z150" i="18"/>
  <c r="G150" i="18"/>
  <c r="L149" i="18"/>
  <c r="R148" i="18"/>
  <c r="X147" i="18"/>
  <c r="C147" i="18"/>
  <c r="H146" i="18"/>
  <c r="N145" i="18"/>
  <c r="T144" i="18"/>
  <c r="X143" i="18"/>
  <c r="E143" i="18"/>
  <c r="J142" i="18"/>
  <c r="P141" i="18"/>
  <c r="S18" i="22"/>
  <c r="C55" i="21"/>
  <c r="W35" i="21"/>
  <c r="U24" i="21"/>
  <c r="U16" i="21"/>
  <c r="X11" i="21"/>
  <c r="J9" i="21"/>
  <c r="X24" i="20"/>
  <c r="Z22" i="20"/>
  <c r="J21" i="20"/>
  <c r="Q18" i="20"/>
  <c r="AA16" i="20"/>
  <c r="M14" i="20"/>
  <c r="Z12" i="20"/>
  <c r="Q11" i="20"/>
  <c r="J9" i="20"/>
  <c r="C8" i="20"/>
  <c r="U6" i="20"/>
  <c r="N6" i="19"/>
  <c r="I175" i="18"/>
  <c r="I174" i="18"/>
  <c r="H173" i="18"/>
  <c r="H172" i="18"/>
  <c r="J171" i="18"/>
  <c r="K170" i="18"/>
  <c r="M169" i="18"/>
  <c r="O168" i="18"/>
  <c r="P167" i="18"/>
  <c r="R166" i="18"/>
  <c r="S165" i="18"/>
  <c r="V164" i="18"/>
  <c r="X163" i="18"/>
  <c r="Z162" i="18"/>
  <c r="C162" i="18"/>
  <c r="F161" i="18"/>
  <c r="J160" i="18"/>
  <c r="N159" i="18"/>
  <c r="Q158" i="18"/>
  <c r="U157" i="18"/>
  <c r="Y156" i="18"/>
  <c r="C156" i="18"/>
  <c r="G155" i="18"/>
  <c r="K154" i="18"/>
  <c r="N153" i="18"/>
  <c r="O16" i="22"/>
  <c r="F53" i="21"/>
  <c r="E35" i="21"/>
  <c r="D24" i="21"/>
  <c r="F16" i="21"/>
  <c r="S11" i="21"/>
  <c r="E9" i="21"/>
  <c r="U24" i="20"/>
  <c r="W22" i="20"/>
  <c r="I21" i="20"/>
  <c r="M18" i="20"/>
  <c r="W16" i="20"/>
  <c r="L14" i="20"/>
  <c r="Y12" i="20"/>
  <c r="O11" i="20"/>
  <c r="H9" i="20"/>
  <c r="Z7" i="20"/>
  <c r="S6" i="20"/>
  <c r="L6" i="19"/>
  <c r="H175" i="18"/>
  <c r="G174" i="18"/>
  <c r="G173" i="18"/>
  <c r="G172" i="18"/>
  <c r="I171" i="18"/>
  <c r="J170" i="18"/>
  <c r="L169" i="18"/>
  <c r="M168" i="18"/>
  <c r="O167" i="18"/>
  <c r="Q166" i="18"/>
  <c r="R165" i="18"/>
  <c r="T164" i="18"/>
  <c r="U163" i="18"/>
  <c r="X162" i="18"/>
  <c r="AA161" i="18"/>
  <c r="E161" i="18"/>
  <c r="I160" i="18"/>
  <c r="M159" i="18"/>
  <c r="Q14" i="22"/>
  <c r="F51" i="21"/>
  <c r="K34" i="21"/>
  <c r="L23" i="21"/>
  <c r="E16" i="21"/>
  <c r="R11" i="21"/>
  <c r="D9" i="21"/>
  <c r="P24" i="20"/>
  <c r="V22" i="20"/>
  <c r="C21" i="20"/>
  <c r="L18" i="20"/>
  <c r="T16" i="20"/>
  <c r="H14" i="20"/>
  <c r="X12" i="20"/>
  <c r="M11" i="20"/>
  <c r="F9" i="20"/>
  <c r="X7" i="20"/>
  <c r="Q6" i="20"/>
  <c r="J6" i="19"/>
  <c r="G175" i="18"/>
  <c r="F174" i="18"/>
  <c r="E173" i="18"/>
  <c r="D172" i="18"/>
  <c r="G171" i="18"/>
  <c r="I170" i="18"/>
  <c r="K169" i="18"/>
  <c r="L168" i="18"/>
  <c r="N167" i="18"/>
  <c r="O166" i="18"/>
  <c r="Q165" i="18"/>
  <c r="S164" i="18"/>
  <c r="T163" i="18"/>
  <c r="V162" i="18"/>
  <c r="Z161" i="18"/>
  <c r="D161" i="18"/>
  <c r="H160" i="18"/>
  <c r="L159" i="18"/>
  <c r="O158" i="18"/>
  <c r="S157" i="18"/>
  <c r="W156" i="18"/>
  <c r="Z155" i="18"/>
  <c r="E155" i="18"/>
  <c r="I154" i="18"/>
  <c r="L153" i="18"/>
  <c r="P152" i="18"/>
  <c r="T151" i="18"/>
  <c r="W150" i="18"/>
  <c r="C150" i="18"/>
  <c r="I149" i="18"/>
  <c r="O148" i="18"/>
  <c r="S147" i="18"/>
  <c r="X146" i="18"/>
  <c r="E146" i="18"/>
  <c r="K145" i="18"/>
  <c r="O144" i="18"/>
  <c r="U143" i="18"/>
  <c r="Z142" i="18"/>
  <c r="G142" i="18"/>
  <c r="K141" i="18"/>
  <c r="Q140" i="18"/>
  <c r="W139" i="18"/>
  <c r="F139" i="18"/>
  <c r="N138" i="18"/>
  <c r="V137" i="18"/>
  <c r="F13" i="22"/>
  <c r="I49" i="21"/>
  <c r="R33" i="21"/>
  <c r="U22" i="21"/>
  <c r="O15" i="21"/>
  <c r="Q11" i="21"/>
  <c r="C9" i="21"/>
  <c r="O24" i="20"/>
  <c r="R22" i="20"/>
  <c r="Y19" i="20"/>
  <c r="K18" i="20"/>
  <c r="S16" i="20"/>
  <c r="G14" i="20"/>
  <c r="V12" i="20"/>
  <c r="K11" i="20"/>
  <c r="D9" i="20"/>
  <c r="V7" i="20"/>
  <c r="O6" i="20"/>
  <c r="H6" i="19"/>
  <c r="E175" i="18"/>
  <c r="AA173" i="18"/>
  <c r="C173" i="18"/>
  <c r="C172" i="18"/>
  <c r="E171" i="18"/>
  <c r="F170" i="18"/>
  <c r="I169" i="18"/>
  <c r="K168" i="18"/>
  <c r="M167" i="18"/>
  <c r="N166" i="18"/>
  <c r="P165" i="18"/>
  <c r="Q164" i="18"/>
  <c r="S163" i="18"/>
  <c r="U162" i="18"/>
  <c r="W161" i="18"/>
  <c r="C161" i="18"/>
  <c r="G160" i="18"/>
  <c r="I159" i="18"/>
  <c r="N158" i="18"/>
  <c r="R157" i="18"/>
  <c r="T156" i="18"/>
  <c r="Y155" i="18"/>
  <c r="D155" i="18"/>
  <c r="F154" i="18"/>
  <c r="K153" i="18"/>
  <c r="O152" i="18"/>
  <c r="Q151" i="18"/>
  <c r="V150" i="18"/>
  <c r="AA149" i="18"/>
  <c r="H149" i="18"/>
  <c r="L148" i="18"/>
  <c r="R147" i="18"/>
  <c r="W146" i="18"/>
  <c r="D146" i="18"/>
  <c r="J145" i="18"/>
  <c r="N144" i="18"/>
  <c r="S143" i="18"/>
  <c r="Y142" i="18"/>
  <c r="F142" i="18"/>
  <c r="J141" i="18"/>
  <c r="P140" i="18"/>
  <c r="V139" i="18"/>
  <c r="E139" i="18"/>
  <c r="M138" i="18"/>
  <c r="U137" i="18"/>
  <c r="D137" i="18"/>
  <c r="L136" i="18"/>
  <c r="T135" i="18"/>
  <c r="C135" i="18"/>
  <c r="K134" i="18"/>
  <c r="T133" i="18"/>
  <c r="D133" i="18"/>
  <c r="M132" i="18"/>
  <c r="V131" i="18"/>
  <c r="F131" i="18"/>
  <c r="O130" i="18"/>
  <c r="X129" i="18"/>
  <c r="H129" i="18"/>
  <c r="Q128" i="18"/>
  <c r="Z127" i="18"/>
  <c r="J127" i="18"/>
  <c r="S126" i="18"/>
  <c r="R11" i="22"/>
  <c r="K48" i="21"/>
  <c r="Z32" i="21"/>
  <c r="T22" i="21"/>
  <c r="N15" i="21"/>
  <c r="H11" i="21"/>
  <c r="S8" i="21"/>
  <c r="N24" i="20"/>
  <c r="Q22" i="20"/>
  <c r="X19" i="20"/>
  <c r="E18" i="20"/>
  <c r="O16" i="20"/>
  <c r="F14" i="20"/>
  <c r="R12" i="20"/>
  <c r="H11" i="20"/>
  <c r="Z8" i="20"/>
  <c r="S7" i="20"/>
  <c r="L6" i="20"/>
  <c r="K10" i="22"/>
  <c r="L47" i="21"/>
  <c r="I32" i="21"/>
  <c r="D22" i="21"/>
  <c r="X14" i="21"/>
  <c r="C11" i="21"/>
  <c r="N8" i="21"/>
  <c r="H24" i="20"/>
  <c r="P22" i="20"/>
  <c r="T19" i="20"/>
  <c r="AA17" i="20"/>
  <c r="N16" i="20"/>
  <c r="D14" i="20"/>
  <c r="O12" i="20"/>
  <c r="G11" i="20"/>
  <c r="Y8" i="20"/>
  <c r="R7" i="20"/>
  <c r="K6" i="20"/>
  <c r="E6" i="19"/>
  <c r="Z174" i="18"/>
  <c r="Y173" i="18"/>
  <c r="Y172" i="18"/>
  <c r="Z171" i="18"/>
  <c r="AA170" i="18"/>
  <c r="D170" i="18"/>
  <c r="F169" i="18"/>
  <c r="G168" i="18"/>
  <c r="I167" i="18"/>
  <c r="J166" i="18"/>
  <c r="M165" i="18"/>
  <c r="O164" i="18"/>
  <c r="Q163" i="18"/>
  <c r="R162" i="18"/>
  <c r="U161" i="18"/>
  <c r="Y160" i="18"/>
  <c r="D160" i="18"/>
  <c r="G159" i="18"/>
  <c r="K158" i="18"/>
  <c r="O157" i="18"/>
  <c r="R156" i="18"/>
  <c r="V155" i="18"/>
  <c r="Z154" i="18"/>
  <c r="D154" i="18"/>
  <c r="H153" i="18"/>
  <c r="L152" i="18"/>
  <c r="O151" i="18"/>
  <c r="S150" i="18"/>
  <c r="Y149" i="18"/>
  <c r="F149" i="18"/>
  <c r="J148" i="18"/>
  <c r="O147" i="18"/>
  <c r="U146" i="18"/>
  <c r="AA145" i="18"/>
  <c r="F145" i="18"/>
  <c r="L144" i="18"/>
  <c r="Q143" i="18"/>
  <c r="W142" i="18"/>
  <c r="AA141" i="18"/>
  <c r="H141" i="18"/>
  <c r="M140" i="18"/>
  <c r="T139" i="18"/>
  <c r="C139" i="18"/>
  <c r="K138" i="18"/>
  <c r="D9" i="22"/>
  <c r="N46" i="21"/>
  <c r="Q31" i="21"/>
  <c r="C22" i="21"/>
  <c r="W14" i="21"/>
  <c r="AA10" i="21"/>
  <c r="M8" i="21"/>
  <c r="E24" i="20"/>
  <c r="J22" i="20"/>
  <c r="S19" i="20"/>
  <c r="Z17" i="20"/>
  <c r="M16" i="20"/>
  <c r="Y13" i="20"/>
  <c r="N12" i="20"/>
  <c r="C11" i="20"/>
  <c r="U8" i="20"/>
  <c r="N7" i="20"/>
  <c r="G6" i="20"/>
  <c r="D6" i="19"/>
  <c r="Y174" i="18"/>
  <c r="X173" i="18"/>
  <c r="X172" i="18"/>
  <c r="Y171" i="18"/>
  <c r="Z170" i="18"/>
  <c r="C170" i="18"/>
  <c r="D169" i="18"/>
  <c r="F168" i="18"/>
  <c r="H167" i="18"/>
  <c r="I166" i="18"/>
  <c r="K165" i="18"/>
  <c r="L164" i="18"/>
  <c r="O163" i="18"/>
  <c r="Q162" i="18"/>
  <c r="T161" i="18"/>
  <c r="X160" i="18"/>
  <c r="C160" i="18"/>
  <c r="F159" i="18"/>
  <c r="J158" i="18"/>
  <c r="N157" i="18"/>
  <c r="Q156" i="18"/>
  <c r="U155" i="18"/>
  <c r="Y154" i="18"/>
  <c r="C154" i="18"/>
  <c r="G153" i="18"/>
  <c r="K152" i="18"/>
  <c r="N151" i="18"/>
  <c r="R150" i="18"/>
  <c r="X149" i="18"/>
  <c r="C149" i="18"/>
  <c r="I148" i="18"/>
  <c r="N147" i="18"/>
  <c r="T146" i="18"/>
  <c r="Z145" i="18"/>
  <c r="E145" i="18"/>
  <c r="J144" i="18"/>
  <c r="P143" i="18"/>
  <c r="V142" i="18"/>
  <c r="Z141" i="18"/>
  <c r="G141" i="18"/>
  <c r="L140" i="18"/>
  <c r="S139" i="18"/>
  <c r="AA138" i="18"/>
  <c r="J138" i="18"/>
  <c r="R137" i="18"/>
  <c r="Z136" i="18"/>
  <c r="I136" i="18"/>
  <c r="Q135" i="18"/>
  <c r="Y134" i="18"/>
  <c r="H134" i="18"/>
  <c r="Q133" i="18"/>
  <c r="Z132" i="18"/>
  <c r="J132" i="18"/>
  <c r="S131" i="18"/>
  <c r="C131" i="18"/>
  <c r="L130" i="18"/>
  <c r="U129" i="18"/>
  <c r="E129" i="18"/>
  <c r="N128" i="18"/>
  <c r="W127" i="18"/>
  <c r="G127" i="18"/>
  <c r="P126" i="18"/>
  <c r="Y125" i="18"/>
  <c r="I125" i="18"/>
  <c r="R124" i="18"/>
  <c r="AA123" i="18"/>
  <c r="K123" i="18"/>
  <c r="T122" i="18"/>
  <c r="D122" i="18"/>
  <c r="M121" i="18"/>
  <c r="V120" i="18"/>
  <c r="F120" i="18"/>
  <c r="O119" i="18"/>
  <c r="X118" i="18"/>
  <c r="V66" i="21"/>
  <c r="O45" i="21"/>
  <c r="Y30" i="21"/>
  <c r="L21" i="21"/>
  <c r="H14" i="21"/>
  <c r="Z10" i="21"/>
  <c r="L8" i="21"/>
  <c r="Y23" i="20"/>
  <c r="G22" i="20"/>
  <c r="R19" i="20"/>
  <c r="V17" i="20"/>
  <c r="K16" i="20"/>
  <c r="V13" i="20"/>
  <c r="J12" i="20"/>
  <c r="AA9" i="20"/>
  <c r="T8" i="20"/>
  <c r="M7" i="20"/>
  <c r="F6" i="20"/>
  <c r="Y175" i="18"/>
  <c r="W174" i="18"/>
  <c r="W173" i="18"/>
  <c r="T172" i="18"/>
  <c r="W171" i="18"/>
  <c r="Y170" i="18"/>
  <c r="AA169" i="18"/>
  <c r="C169" i="18"/>
  <c r="E168" i="18"/>
  <c r="F167" i="18"/>
  <c r="H166" i="18"/>
  <c r="J165" i="18"/>
  <c r="K164" i="18"/>
  <c r="M163" i="18"/>
  <c r="N162" i="18"/>
  <c r="S161" i="18"/>
  <c r="W160" i="18"/>
  <c r="Y159" i="18"/>
  <c r="E159" i="18"/>
  <c r="I158" i="18"/>
  <c r="K157" i="18"/>
  <c r="P156" i="18"/>
  <c r="T155" i="18"/>
  <c r="V154" i="18"/>
  <c r="AA153" i="18"/>
  <c r="F153" i="18"/>
  <c r="H152" i="18"/>
  <c r="M151" i="18"/>
  <c r="Q150" i="18"/>
  <c r="W149" i="18"/>
  <c r="AA148" i="18"/>
  <c r="H148" i="18"/>
  <c r="M147" i="18"/>
  <c r="S146" i="18"/>
  <c r="W145" i="18"/>
  <c r="D145" i="18"/>
  <c r="I144" i="18"/>
  <c r="O143" i="18"/>
  <c r="U142" i="18"/>
  <c r="Y141" i="18"/>
  <c r="E141" i="18"/>
  <c r="K140" i="18"/>
  <c r="R139" i="18"/>
  <c r="Z138" i="18"/>
  <c r="I138" i="18"/>
  <c r="Q137" i="18"/>
  <c r="Y136" i="18"/>
  <c r="H136" i="18"/>
  <c r="P135" i="18"/>
  <c r="X134" i="18"/>
  <c r="G134" i="18"/>
  <c r="P133" i="18"/>
  <c r="Y132" i="18"/>
  <c r="I132" i="18"/>
  <c r="R65" i="21"/>
  <c r="R44" i="21"/>
  <c r="H30" i="21"/>
  <c r="K21" i="21"/>
  <c r="G14" i="21"/>
  <c r="Q10" i="21"/>
  <c r="C8" i="21"/>
  <c r="X23" i="20"/>
  <c r="F22" i="20"/>
  <c r="L19" i="20"/>
  <c r="U17" i="20"/>
  <c r="G16" i="20"/>
  <c r="U13" i="20"/>
  <c r="I12" i="20"/>
  <c r="Z9" i="20"/>
  <c r="S8" i="20"/>
  <c r="L7" i="20"/>
  <c r="E6" i="20"/>
  <c r="X175" i="18"/>
  <c r="V174" i="18"/>
  <c r="U173" i="18"/>
  <c r="S172" i="18"/>
  <c r="U171" i="18"/>
  <c r="V170" i="18"/>
  <c r="Y169" i="18"/>
  <c r="AA168" i="18"/>
  <c r="D168" i="18"/>
  <c r="E167" i="18"/>
  <c r="G166" i="18"/>
  <c r="H165" i="18"/>
  <c r="J164" i="18"/>
  <c r="L163" i="18"/>
  <c r="M162" i="18"/>
  <c r="Q161" i="18"/>
  <c r="U160" i="18"/>
  <c r="X159" i="18"/>
  <c r="C159" i="18"/>
  <c r="G158" i="18"/>
  <c r="J157" i="18"/>
  <c r="N156" i="18"/>
  <c r="R155" i="18"/>
  <c r="U154" i="18"/>
  <c r="Y153" i="18"/>
  <c r="D153" i="18"/>
  <c r="G152" i="18"/>
  <c r="K151" i="18"/>
  <c r="P150" i="18"/>
  <c r="V149" i="18"/>
  <c r="Z148" i="18"/>
  <c r="F148" i="18"/>
  <c r="L147" i="18"/>
  <c r="R146" i="18"/>
  <c r="V145" i="18"/>
  <c r="C145" i="18"/>
  <c r="H144" i="18"/>
  <c r="N143" i="18"/>
  <c r="R142" i="18"/>
  <c r="X141" i="18"/>
  <c r="D141" i="18"/>
  <c r="J140" i="18"/>
  <c r="Q139" i="18"/>
  <c r="Y138" i="18"/>
  <c r="H138" i="18"/>
  <c r="P137" i="18"/>
  <c r="X136" i="18"/>
  <c r="G136" i="18"/>
  <c r="O135" i="18"/>
  <c r="W134" i="18"/>
  <c r="F134" i="18"/>
  <c r="O133" i="18"/>
  <c r="X132" i="18"/>
  <c r="H132" i="18"/>
  <c r="Q131" i="18"/>
  <c r="Z130" i="18"/>
  <c r="J130" i="18"/>
  <c r="S129" i="18"/>
  <c r="C129" i="18"/>
  <c r="L128" i="18"/>
  <c r="U127" i="18"/>
  <c r="E127" i="18"/>
  <c r="N126" i="18"/>
  <c r="W125" i="18"/>
  <c r="G125" i="18"/>
  <c r="P124" i="18"/>
  <c r="Y123" i="18"/>
  <c r="I123" i="18"/>
  <c r="R122" i="18"/>
  <c r="AA121" i="18"/>
  <c r="K121" i="18"/>
  <c r="T120" i="18"/>
  <c r="D120" i="18"/>
  <c r="M119" i="18"/>
  <c r="V118" i="18"/>
  <c r="F118" i="18"/>
  <c r="O117" i="18"/>
  <c r="X116" i="18"/>
  <c r="H116" i="18"/>
  <c r="Q115" i="18"/>
  <c r="Z114" i="18"/>
  <c r="J114" i="18"/>
  <c r="S113" i="18"/>
  <c r="C113" i="18"/>
  <c r="L112" i="18"/>
  <c r="U111" i="18"/>
  <c r="E111" i="18"/>
  <c r="N110" i="18"/>
  <c r="N64" i="21"/>
  <c r="S43" i="21"/>
  <c r="P29" i="21"/>
  <c r="T20" i="21"/>
  <c r="Q13" i="21"/>
  <c r="L10" i="21"/>
  <c r="W7" i="21"/>
  <c r="W23" i="20"/>
  <c r="AA21" i="20"/>
  <c r="I19" i="20"/>
  <c r="T17" i="20"/>
  <c r="D16" i="20"/>
  <c r="Q13" i="20"/>
  <c r="H12" i="20"/>
  <c r="X9" i="20"/>
  <c r="Q8" i="20"/>
  <c r="J7" i="20"/>
  <c r="C6" i="20"/>
  <c r="W175" i="18"/>
  <c r="R174" i="18"/>
  <c r="S173" i="18"/>
  <c r="R172" i="18"/>
  <c r="T171" i="18"/>
  <c r="U170" i="18"/>
  <c r="F40" i="21"/>
  <c r="V14" i="20"/>
  <c r="C175" i="18"/>
  <c r="W169" i="18"/>
  <c r="F166" i="18"/>
  <c r="L162" i="18"/>
  <c r="AA158" i="18"/>
  <c r="I156" i="18"/>
  <c r="S153" i="18"/>
  <c r="F151" i="18"/>
  <c r="G149" i="18"/>
  <c r="AA146" i="18"/>
  <c r="W144" i="18"/>
  <c r="X142" i="18"/>
  <c r="T140" i="18"/>
  <c r="G139" i="18"/>
  <c r="S137" i="18"/>
  <c r="M136" i="18"/>
  <c r="F135" i="18"/>
  <c r="AA133" i="18"/>
  <c r="C133" i="18"/>
  <c r="Z131" i="18"/>
  <c r="D131" i="18"/>
  <c r="E130" i="18"/>
  <c r="G129" i="18"/>
  <c r="H128" i="18"/>
  <c r="K127" i="18"/>
  <c r="M126" i="18"/>
  <c r="S125" i="18"/>
  <c r="X124" i="18"/>
  <c r="E124" i="18"/>
  <c r="J123" i="18"/>
  <c r="O122" i="18"/>
  <c r="T121" i="18"/>
  <c r="Z120" i="18"/>
  <c r="G120" i="18"/>
  <c r="K119" i="18"/>
  <c r="Q118" i="18"/>
  <c r="W117" i="18"/>
  <c r="E117" i="18"/>
  <c r="L116" i="18"/>
  <c r="S115" i="18"/>
  <c r="Y114" i="18"/>
  <c r="G114" i="18"/>
  <c r="N113" i="18"/>
  <c r="T112" i="18"/>
  <c r="AA111" i="18"/>
  <c r="I111" i="18"/>
  <c r="P110" i="18"/>
  <c r="W109" i="18"/>
  <c r="F109" i="18"/>
  <c r="N108" i="18"/>
  <c r="V107" i="18"/>
  <c r="E107" i="18"/>
  <c r="M106" i="18"/>
  <c r="T105" i="18"/>
  <c r="C105" i="18"/>
  <c r="K104" i="18"/>
  <c r="S103" i="18"/>
  <c r="AA102" i="18"/>
  <c r="J102" i="18"/>
  <c r="R101" i="18"/>
  <c r="Z100" i="18"/>
  <c r="I100" i="18"/>
  <c r="Q99" i="18"/>
  <c r="Y98" i="18"/>
  <c r="H98" i="18"/>
  <c r="P97" i="18"/>
  <c r="X96" i="18"/>
  <c r="H96" i="18"/>
  <c r="Q95" i="18"/>
  <c r="Z94" i="18"/>
  <c r="J94" i="18"/>
  <c r="S93" i="18"/>
  <c r="C93" i="18"/>
  <c r="L92" i="18"/>
  <c r="U91" i="18"/>
  <c r="E91" i="18"/>
  <c r="N90" i="18"/>
  <c r="W89" i="18"/>
  <c r="G89" i="18"/>
  <c r="P88" i="18"/>
  <c r="Y87" i="18"/>
  <c r="I87" i="18"/>
  <c r="R86" i="18"/>
  <c r="AA85" i="18"/>
  <c r="V26" i="21"/>
  <c r="M13" i="20"/>
  <c r="O174" i="18"/>
  <c r="S169" i="18"/>
  <c r="Z165" i="18"/>
  <c r="H162" i="18"/>
  <c r="W158" i="18"/>
  <c r="H156" i="18"/>
  <c r="M153" i="18"/>
  <c r="E151" i="18"/>
  <c r="Y148" i="18"/>
  <c r="Z146" i="18"/>
  <c r="V144" i="18"/>
  <c r="Q142" i="18"/>
  <c r="S140" i="18"/>
  <c r="D139" i="18"/>
  <c r="O137" i="18"/>
  <c r="K136" i="18"/>
  <c r="E135" i="18"/>
  <c r="Z133" i="18"/>
  <c r="AA132" i="18"/>
  <c r="Y131" i="18"/>
  <c r="AA130" i="18"/>
  <c r="C130" i="18"/>
  <c r="F129" i="18"/>
  <c r="G128" i="18"/>
  <c r="I127" i="18"/>
  <c r="L126" i="18"/>
  <c r="R125" i="18"/>
  <c r="W124" i="18"/>
  <c r="D124" i="18"/>
  <c r="H123" i="18"/>
  <c r="N122" i="18"/>
  <c r="S121" i="18"/>
  <c r="Y120" i="18"/>
  <c r="E120" i="18"/>
  <c r="J119" i="18"/>
  <c r="O118" i="18"/>
  <c r="V117" i="18"/>
  <c r="D117" i="18"/>
  <c r="K116" i="18"/>
  <c r="R115" i="18"/>
  <c r="X114" i="18"/>
  <c r="F114" i="18"/>
  <c r="L113" i="18"/>
  <c r="S112" i="18"/>
  <c r="Z111" i="18"/>
  <c r="H111" i="18"/>
  <c r="O110" i="18"/>
  <c r="V109" i="18"/>
  <c r="E109" i="18"/>
  <c r="M108" i="18"/>
  <c r="U107" i="18"/>
  <c r="D107" i="18"/>
  <c r="K106" i="18"/>
  <c r="S105" i="18"/>
  <c r="AA104" i="18"/>
  <c r="J104" i="18"/>
  <c r="R103" i="18"/>
  <c r="Z102" i="18"/>
  <c r="I102" i="18"/>
  <c r="Q101" i="18"/>
  <c r="M17" i="21"/>
  <c r="I13" i="20"/>
  <c r="N174" i="18"/>
  <c r="R169" i="18"/>
  <c r="X165" i="18"/>
  <c r="G162" i="18"/>
  <c r="V158" i="18"/>
  <c r="O12" i="21"/>
  <c r="X11" i="20"/>
  <c r="Z173" i="18"/>
  <c r="G169" i="18"/>
  <c r="O165" i="18"/>
  <c r="V161" i="18"/>
  <c r="P158" i="18"/>
  <c r="W155" i="18"/>
  <c r="C153" i="18"/>
  <c r="X150" i="18"/>
  <c r="T148" i="18"/>
  <c r="Q146" i="18"/>
  <c r="P144" i="18"/>
  <c r="L142" i="18"/>
  <c r="N140" i="18"/>
  <c r="U138" i="18"/>
  <c r="K137" i="18"/>
  <c r="F136" i="18"/>
  <c r="AA134" i="18"/>
  <c r="W133" i="18"/>
  <c r="U132" i="18"/>
  <c r="W131" i="18"/>
  <c r="W130" i="18"/>
  <c r="Z129" i="18"/>
  <c r="AA128" i="18"/>
  <c r="D128" i="18"/>
  <c r="F127" i="18"/>
  <c r="J126" i="18"/>
  <c r="O125" i="18"/>
  <c r="U124" i="18"/>
  <c r="Z123" i="18"/>
  <c r="F123" i="18"/>
  <c r="K122" i="18"/>
  <c r="Q121" i="18"/>
  <c r="W120" i="18"/>
  <c r="AA119" i="18"/>
  <c r="H119" i="18"/>
  <c r="M118" i="18"/>
  <c r="T117" i="18"/>
  <c r="AA116" i="18"/>
  <c r="I116" i="18"/>
  <c r="O115" i="18"/>
  <c r="V114" i="18"/>
  <c r="C114" i="18"/>
  <c r="J113" i="18"/>
  <c r="Q112" i="18"/>
  <c r="X111" i="18"/>
  <c r="F111" i="18"/>
  <c r="L110" i="18"/>
  <c r="T109" i="18"/>
  <c r="C109" i="18"/>
  <c r="K108" i="18"/>
  <c r="R107" i="18"/>
  <c r="Z106" i="18"/>
  <c r="I106" i="18"/>
  <c r="Q105" i="18"/>
  <c r="Y104" i="18"/>
  <c r="H104" i="18"/>
  <c r="P103" i="18"/>
  <c r="X102" i="18"/>
  <c r="G102" i="18"/>
  <c r="O101" i="18"/>
  <c r="W100" i="18"/>
  <c r="F100" i="18"/>
  <c r="N99" i="18"/>
  <c r="V98" i="18"/>
  <c r="E98" i="18"/>
  <c r="L97" i="18"/>
  <c r="U9" i="21"/>
  <c r="W11" i="20"/>
  <c r="O173" i="18"/>
  <c r="X168" i="18"/>
  <c r="G165" i="18"/>
  <c r="P161" i="18"/>
  <c r="L158" i="18"/>
  <c r="Q155" i="18"/>
  <c r="W152" i="18"/>
  <c r="T150" i="18"/>
  <c r="Q148" i="18"/>
  <c r="L146" i="18"/>
  <c r="M144" i="18"/>
  <c r="I142" i="18"/>
  <c r="I140" i="18"/>
  <c r="T138" i="18"/>
  <c r="H137" i="18"/>
  <c r="AA135" i="18"/>
  <c r="Z134" i="18"/>
  <c r="V133" i="18"/>
  <c r="T132" i="18"/>
  <c r="U131" i="18"/>
  <c r="V130" i="18"/>
  <c r="Y129" i="18"/>
  <c r="Y128" i="18"/>
  <c r="C128" i="18"/>
  <c r="D127" i="18"/>
  <c r="I126" i="18"/>
  <c r="N125" i="18"/>
  <c r="T124" i="18"/>
  <c r="X123" i="18"/>
  <c r="E123" i="18"/>
  <c r="J122" i="18"/>
  <c r="P121" i="18"/>
  <c r="U120" i="18"/>
  <c r="Z119" i="18"/>
  <c r="F119" i="18"/>
  <c r="L118" i="18"/>
  <c r="S117" i="18"/>
  <c r="Z116" i="18"/>
  <c r="G116" i="18"/>
  <c r="N115" i="18"/>
  <c r="U114" i="18"/>
  <c r="AA113" i="18"/>
  <c r="I113" i="18"/>
  <c r="P112" i="18"/>
  <c r="W111" i="18"/>
  <c r="D111" i="18"/>
  <c r="K110" i="18"/>
  <c r="S109" i="18"/>
  <c r="AA108" i="18"/>
  <c r="I108" i="18"/>
  <c r="Q107" i="18"/>
  <c r="Y106" i="18"/>
  <c r="H106" i="18"/>
  <c r="L7" i="21"/>
  <c r="Q9" i="20"/>
  <c r="K173" i="18"/>
  <c r="U168" i="18"/>
  <c r="AA164" i="18"/>
  <c r="L161" i="18"/>
  <c r="F158" i="18"/>
  <c r="L155" i="18"/>
  <c r="V152" i="18"/>
  <c r="O150" i="18"/>
  <c r="P148" i="18"/>
  <c r="K146" i="18"/>
  <c r="G144" i="18"/>
  <c r="H142" i="18"/>
  <c r="E140" i="18"/>
  <c r="R138" i="18"/>
  <c r="G137" i="18"/>
  <c r="Z135" i="18"/>
  <c r="V134" i="18"/>
  <c r="U133" i="18"/>
  <c r="S132" i="18"/>
  <c r="T131" i="18"/>
  <c r="U130" i="18"/>
  <c r="W129" i="18"/>
  <c r="X128" i="18"/>
  <c r="AA127" i="18"/>
  <c r="C127" i="18"/>
  <c r="G126" i="18"/>
  <c r="M125" i="18"/>
  <c r="S124" i="18"/>
  <c r="W123" i="18"/>
  <c r="D123" i="18"/>
  <c r="I122" i="18"/>
  <c r="O121" i="18"/>
  <c r="S120" i="18"/>
  <c r="Y119" i="18"/>
  <c r="E119" i="18"/>
  <c r="K118" i="18"/>
  <c r="R117" i="18"/>
  <c r="Y116" i="18"/>
  <c r="F116" i="18"/>
  <c r="M115" i="18"/>
  <c r="S114" i="18"/>
  <c r="Z113" i="18"/>
  <c r="H113" i="18"/>
  <c r="O112" i="18"/>
  <c r="V111" i="18"/>
  <c r="C111" i="18"/>
  <c r="J110" i="18"/>
  <c r="R109" i="18"/>
  <c r="Y108" i="18"/>
  <c r="H108" i="18"/>
  <c r="P107" i="18"/>
  <c r="X106" i="18"/>
  <c r="G106" i="18"/>
  <c r="O105" i="18"/>
  <c r="W104" i="18"/>
  <c r="F104" i="18"/>
  <c r="N103" i="18"/>
  <c r="V102" i="18"/>
  <c r="E102" i="18"/>
  <c r="M101" i="18"/>
  <c r="U100" i="18"/>
  <c r="D100" i="18"/>
  <c r="L99" i="18"/>
  <c r="S98" i="18"/>
  <c r="AA97" i="18"/>
  <c r="J97" i="18"/>
  <c r="S96" i="18"/>
  <c r="C96" i="18"/>
  <c r="L95" i="18"/>
  <c r="U94" i="18"/>
  <c r="E94" i="18"/>
  <c r="N93" i="18"/>
  <c r="W92" i="18"/>
  <c r="G92" i="18"/>
  <c r="P91" i="18"/>
  <c r="Y90" i="18"/>
  <c r="I90" i="18"/>
  <c r="R89" i="18"/>
  <c r="AA88" i="18"/>
  <c r="K88" i="18"/>
  <c r="T87" i="18"/>
  <c r="D87" i="18"/>
  <c r="M86" i="18"/>
  <c r="V85" i="18"/>
  <c r="F85" i="18"/>
  <c r="G7" i="21"/>
  <c r="P9" i="20"/>
  <c r="AA172" i="18"/>
  <c r="T168" i="18"/>
  <c r="Z164" i="18"/>
  <c r="K161" i="18"/>
  <c r="Z157" i="18"/>
  <c r="K155" i="18"/>
  <c r="R152" i="18"/>
  <c r="J150" i="18"/>
  <c r="K148" i="18"/>
  <c r="G146" i="18"/>
  <c r="D144" i="18"/>
  <c r="E142" i="18"/>
  <c r="D140" i="18"/>
  <c r="P138" i="18"/>
  <c r="F137" i="18"/>
  <c r="X135" i="18"/>
  <c r="R134" i="18"/>
  <c r="S133" i="18"/>
  <c r="Q132" i="18"/>
  <c r="R131" i="18"/>
  <c r="S130" i="18"/>
  <c r="V129" i="18"/>
  <c r="W128" i="18"/>
  <c r="Y127" i="18"/>
  <c r="AA126" i="18"/>
  <c r="F126" i="18"/>
  <c r="L125" i="18"/>
  <c r="Q124" i="18"/>
  <c r="V123" i="18"/>
  <c r="AA122" i="18"/>
  <c r="H122" i="18"/>
  <c r="N121" i="18"/>
  <c r="R120" i="18"/>
  <c r="X119" i="18"/>
  <c r="D119" i="18"/>
  <c r="J118" i="18"/>
  <c r="Q117" i="18"/>
  <c r="W116" i="18"/>
  <c r="E116" i="18"/>
  <c r="L115" i="18"/>
  <c r="R114" i="18"/>
  <c r="Y113" i="18"/>
  <c r="G113" i="18"/>
  <c r="N112" i="18"/>
  <c r="T111" i="18"/>
  <c r="AA110" i="18"/>
  <c r="I110" i="18"/>
  <c r="P109" i="18"/>
  <c r="X108" i="18"/>
  <c r="G108" i="18"/>
  <c r="O107" i="18"/>
  <c r="W106" i="18"/>
  <c r="F106" i="18"/>
  <c r="N105" i="18"/>
  <c r="V104" i="18"/>
  <c r="E104" i="18"/>
  <c r="M103" i="18"/>
  <c r="U102" i="18"/>
  <c r="D102" i="18"/>
  <c r="M23" i="20"/>
  <c r="J8" i="20"/>
  <c r="N172" i="18"/>
  <c r="H168" i="18"/>
  <c r="P164" i="18"/>
  <c r="Z160" i="18"/>
  <c r="Y157" i="18"/>
  <c r="F155" i="18"/>
  <c r="Q152" i="18"/>
  <c r="I150" i="18"/>
  <c r="E148" i="18"/>
  <c r="F146" i="18"/>
  <c r="C144" i="18"/>
  <c r="W141" i="18"/>
  <c r="AA139" i="18"/>
  <c r="O138" i="18"/>
  <c r="E137" i="18"/>
  <c r="W135" i="18"/>
  <c r="Q134" i="18"/>
  <c r="R133" i="18"/>
  <c r="P132" i="18"/>
  <c r="P131" i="18"/>
  <c r="R130" i="18"/>
  <c r="T129" i="18"/>
  <c r="U128" i="18"/>
  <c r="X127" i="18"/>
  <c r="Z126" i="18"/>
  <c r="E126" i="18"/>
  <c r="K125" i="18"/>
  <c r="O124" i="18"/>
  <c r="U123" i="18"/>
  <c r="Z122" i="18"/>
  <c r="G122" i="18"/>
  <c r="L121" i="18"/>
  <c r="Q120" i="18"/>
  <c r="V119" i="18"/>
  <c r="C119" i="18"/>
  <c r="I118" i="18"/>
  <c r="P117" i="18"/>
  <c r="V116" i="18"/>
  <c r="D116" i="18"/>
  <c r="J115" i="18"/>
  <c r="Q114" i="18"/>
  <c r="X113" i="18"/>
  <c r="F113" i="18"/>
  <c r="M112" i="18"/>
  <c r="S111" i="18"/>
  <c r="Z110" i="18"/>
  <c r="G110" i="18"/>
  <c r="O109" i="18"/>
  <c r="W108" i="18"/>
  <c r="F108" i="18"/>
  <c r="N107" i="18"/>
  <c r="V106" i="18"/>
  <c r="E106" i="18"/>
  <c r="M105" i="18"/>
  <c r="U104" i="18"/>
  <c r="D104" i="18"/>
  <c r="L103" i="18"/>
  <c r="T102" i="18"/>
  <c r="C102" i="18"/>
  <c r="K101" i="18"/>
  <c r="S100" i="18"/>
  <c r="Z99" i="18"/>
  <c r="I99" i="18"/>
  <c r="Q98" i="18"/>
  <c r="Y97" i="18"/>
  <c r="H97" i="18"/>
  <c r="Q96" i="18"/>
  <c r="Z95" i="18"/>
  <c r="J95" i="18"/>
  <c r="S94" i="18"/>
  <c r="C94" i="18"/>
  <c r="L93" i="18"/>
  <c r="U92" i="18"/>
  <c r="E92" i="18"/>
  <c r="N91" i="18"/>
  <c r="W90" i="18"/>
  <c r="G90" i="18"/>
  <c r="P89" i="18"/>
  <c r="Y88" i="18"/>
  <c r="I88" i="18"/>
  <c r="R87" i="18"/>
  <c r="AA86" i="18"/>
  <c r="K86" i="18"/>
  <c r="T85" i="18"/>
  <c r="D85" i="18"/>
  <c r="M84" i="18"/>
  <c r="V83" i="18"/>
  <c r="F83" i="18"/>
  <c r="O82" i="18"/>
  <c r="X81" i="18"/>
  <c r="H81" i="18"/>
  <c r="I23" i="20"/>
  <c r="I8" i="20"/>
  <c r="L172" i="18"/>
  <c r="AA167" i="18"/>
  <c r="I164" i="18"/>
  <c r="T160" i="18"/>
  <c r="T157" i="18"/>
  <c r="AA154" i="18"/>
  <c r="M152" i="18"/>
  <c r="F150" i="18"/>
  <c r="AA147" i="18"/>
  <c r="C146" i="18"/>
  <c r="W143" i="18"/>
  <c r="S141" i="18"/>
  <c r="Z139" i="18"/>
  <c r="L138" i="18"/>
  <c r="C137" i="18"/>
  <c r="V135" i="18"/>
  <c r="O134" i="18"/>
  <c r="N133" i="18"/>
  <c r="O132" i="18"/>
  <c r="N131" i="18"/>
  <c r="Q130" i="18"/>
  <c r="R129" i="18"/>
  <c r="T128" i="18"/>
  <c r="V127" i="18"/>
  <c r="Y126" i="18"/>
  <c r="D126" i="18"/>
  <c r="J125" i="18"/>
  <c r="N124" i="18"/>
  <c r="T123" i="18"/>
  <c r="Y122" i="18"/>
  <c r="F122" i="18"/>
  <c r="J121" i="18"/>
  <c r="P120" i="18"/>
  <c r="U119" i="18"/>
  <c r="AA118" i="18"/>
  <c r="H118" i="18"/>
  <c r="N117" i="18"/>
  <c r="U116" i="18"/>
  <c r="C116" i="18"/>
  <c r="I115" i="18"/>
  <c r="P114" i="18"/>
  <c r="W113" i="18"/>
  <c r="E113" i="18"/>
  <c r="K112" i="18"/>
  <c r="R111" i="18"/>
  <c r="Y110" i="18"/>
  <c r="F110" i="18"/>
  <c r="N109" i="18"/>
  <c r="V108" i="18"/>
  <c r="E108" i="18"/>
  <c r="M107" i="18"/>
  <c r="U106" i="18"/>
  <c r="D106" i="18"/>
  <c r="L105" i="18"/>
  <c r="T104" i="18"/>
  <c r="C104" i="18"/>
  <c r="K103" i="18"/>
  <c r="S102" i="18"/>
  <c r="AA101" i="18"/>
  <c r="J101" i="18"/>
  <c r="Q100" i="18"/>
  <c r="Y99" i="18"/>
  <c r="H99" i="18"/>
  <c r="P98" i="18"/>
  <c r="X97" i="18"/>
  <c r="G97" i="18"/>
  <c r="P96" i="18"/>
  <c r="Y95" i="18"/>
  <c r="I95" i="18"/>
  <c r="R94" i="18"/>
  <c r="AA93" i="18"/>
  <c r="K93" i="18"/>
  <c r="T92" i="18"/>
  <c r="D92" i="18"/>
  <c r="M91" i="18"/>
  <c r="V90" i="18"/>
  <c r="F90" i="18"/>
  <c r="O89" i="18"/>
  <c r="X88" i="18"/>
  <c r="H88" i="18"/>
  <c r="Q87" i="18"/>
  <c r="Z86" i="18"/>
  <c r="J86" i="18"/>
  <c r="S85" i="18"/>
  <c r="C85" i="18"/>
  <c r="L84" i="18"/>
  <c r="U83" i="18"/>
  <c r="E83" i="18"/>
  <c r="N82" i="18"/>
  <c r="W81" i="18"/>
  <c r="G81" i="18"/>
  <c r="P80" i="18"/>
  <c r="Y79" i="18"/>
  <c r="I79" i="18"/>
  <c r="R78" i="18"/>
  <c r="AA77" i="18"/>
  <c r="K77" i="18"/>
  <c r="T76" i="18"/>
  <c r="D76" i="18"/>
  <c r="M75" i="18"/>
  <c r="V74" i="18"/>
  <c r="F74" i="18"/>
  <c r="O73" i="18"/>
  <c r="X72" i="18"/>
  <c r="H72" i="18"/>
  <c r="Q71" i="18"/>
  <c r="Z70" i="18"/>
  <c r="J70" i="18"/>
  <c r="S69" i="18"/>
  <c r="C69" i="18"/>
  <c r="L68" i="18"/>
  <c r="U67" i="18"/>
  <c r="E67" i="18"/>
  <c r="N66" i="18"/>
  <c r="W65" i="18"/>
  <c r="G65" i="18"/>
  <c r="P64" i="18"/>
  <c r="Y63" i="18"/>
  <c r="I63" i="18"/>
  <c r="R62" i="18"/>
  <c r="AA61" i="18"/>
  <c r="K61" i="18"/>
  <c r="T60" i="18"/>
  <c r="D60" i="18"/>
  <c r="M59" i="18"/>
  <c r="S21" i="20"/>
  <c r="C7" i="20"/>
  <c r="AA171" i="18"/>
  <c r="P21" i="20"/>
  <c r="AA6" i="20"/>
  <c r="P171" i="18"/>
  <c r="U167" i="18"/>
  <c r="C164" i="18"/>
  <c r="N160" i="18"/>
  <c r="I157" i="18"/>
  <c r="P154" i="18"/>
  <c r="AA151" i="18"/>
  <c r="Z149" i="18"/>
  <c r="U147" i="18"/>
  <c r="Q145" i="18"/>
  <c r="R143" i="18"/>
  <c r="O141" i="18"/>
  <c r="U139" i="18"/>
  <c r="D138" i="18"/>
  <c r="W136" i="18"/>
  <c r="S135" i="18"/>
  <c r="M134" i="18"/>
  <c r="K133" i="18"/>
  <c r="L132" i="18"/>
  <c r="L131" i="18"/>
  <c r="N130" i="18"/>
  <c r="O129" i="18"/>
  <c r="R128" i="18"/>
  <c r="R127" i="18"/>
  <c r="V126" i="18"/>
  <c r="AA125" i="18"/>
  <c r="F125" i="18"/>
  <c r="L124" i="18"/>
  <c r="Q123" i="18"/>
  <c r="W122" i="18"/>
  <c r="C122" i="18"/>
  <c r="H121" i="18"/>
  <c r="M120" i="18"/>
  <c r="S119" i="18"/>
  <c r="Y118" i="18"/>
  <c r="E118" i="18"/>
  <c r="L117" i="18"/>
  <c r="S116" i="18"/>
  <c r="Y115" i="18"/>
  <c r="G115" i="18"/>
  <c r="N114" i="18"/>
  <c r="U113" i="18"/>
  <c r="AA112" i="18"/>
  <c r="I112" i="18"/>
  <c r="P111" i="18"/>
  <c r="V110" i="18"/>
  <c r="D110" i="18"/>
  <c r="L109" i="18"/>
  <c r="T108" i="18"/>
  <c r="C108" i="18"/>
  <c r="K107" i="18"/>
  <c r="S106" i="18"/>
  <c r="AA105" i="18"/>
  <c r="J105" i="18"/>
  <c r="R104" i="18"/>
  <c r="Z103" i="18"/>
  <c r="I103" i="18"/>
  <c r="Q102" i="18"/>
  <c r="X101" i="18"/>
  <c r="G101" i="18"/>
  <c r="O100" i="18"/>
  <c r="W99" i="18"/>
  <c r="F99" i="18"/>
  <c r="N98" i="18"/>
  <c r="V97" i="18"/>
  <c r="E97" i="18"/>
  <c r="N96" i="18"/>
  <c r="W95" i="18"/>
  <c r="G95" i="18"/>
  <c r="P94" i="18"/>
  <c r="Y93" i="18"/>
  <c r="I93" i="18"/>
  <c r="R92" i="18"/>
  <c r="AA91" i="18"/>
  <c r="C19" i="20"/>
  <c r="U6" i="19"/>
  <c r="M171" i="18"/>
  <c r="K167" i="18"/>
  <c r="R163" i="18"/>
  <c r="E160" i="18"/>
  <c r="E157" i="18"/>
  <c r="O154" i="18"/>
  <c r="Z151" i="18"/>
  <c r="S149" i="18"/>
  <c r="T147" i="18"/>
  <c r="P145" i="18"/>
  <c r="M143" i="18"/>
  <c r="N141" i="18"/>
  <c r="P139" i="18"/>
  <c r="C138" i="18"/>
  <c r="T136" i="18"/>
  <c r="R135" i="18"/>
  <c r="L134" i="18"/>
  <c r="J133" i="18"/>
  <c r="K132" i="18"/>
  <c r="J131" i="18"/>
  <c r="M130" i="18"/>
  <c r="N129" i="18"/>
  <c r="P128" i="18"/>
  <c r="Q127" i="18"/>
  <c r="U126" i="18"/>
  <c r="Z125" i="18"/>
  <c r="E125" i="18"/>
  <c r="K124" i="18"/>
  <c r="P123" i="18"/>
  <c r="V122" i="18"/>
  <c r="Z121" i="18"/>
  <c r="G121" i="18"/>
  <c r="L120" i="18"/>
  <c r="R119" i="18"/>
  <c r="W118" i="18"/>
  <c r="D118" i="18"/>
  <c r="K117" i="18"/>
  <c r="Q116" i="18"/>
  <c r="X115" i="18"/>
  <c r="F115" i="18"/>
  <c r="M114" i="18"/>
  <c r="T113" i="18"/>
  <c r="Z112" i="18"/>
  <c r="H112" i="18"/>
  <c r="N111" i="18"/>
  <c r="U110" i="18"/>
  <c r="C110" i="18"/>
  <c r="K109" i="18"/>
  <c r="S108" i="18"/>
  <c r="AA107" i="18"/>
  <c r="J107" i="18"/>
  <c r="R106" i="18"/>
  <c r="Z105" i="18"/>
  <c r="I105" i="18"/>
  <c r="Q104" i="18"/>
  <c r="Y103" i="18"/>
  <c r="H103" i="18"/>
  <c r="O102" i="18"/>
  <c r="W101" i="18"/>
  <c r="F101" i="18"/>
  <c r="N100" i="18"/>
  <c r="V99" i="18"/>
  <c r="E99" i="18"/>
  <c r="M98" i="18"/>
  <c r="U97" i="18"/>
  <c r="D97" i="18"/>
  <c r="M96" i="18"/>
  <c r="AA18" i="20"/>
  <c r="T6" i="19"/>
  <c r="D171" i="18"/>
  <c r="D167" i="18"/>
  <c r="J163" i="18"/>
  <c r="W159" i="18"/>
  <c r="D157" i="18"/>
  <c r="J154" i="18"/>
  <c r="V151" i="18"/>
  <c r="P149" i="18"/>
  <c r="Q147" i="18"/>
  <c r="M145" i="18"/>
  <c r="H143" i="18"/>
  <c r="I141" i="18"/>
  <c r="M139" i="18"/>
  <c r="Y137" i="18"/>
  <c r="R136" i="18"/>
  <c r="N135" i="18"/>
  <c r="J134" i="18"/>
  <c r="H133" i="18"/>
  <c r="G132" i="18"/>
  <c r="I131" i="18"/>
  <c r="K130" i="18"/>
  <c r="L129" i="18"/>
  <c r="O128" i="18"/>
  <c r="P127" i="18"/>
  <c r="T126" i="18"/>
  <c r="X125" i="18"/>
  <c r="D125" i="18"/>
  <c r="I124" i="18"/>
  <c r="O123" i="18"/>
  <c r="U122" i="18"/>
  <c r="Y121" i="18"/>
  <c r="F121" i="18"/>
  <c r="K120" i="18"/>
  <c r="Q119" i="18"/>
  <c r="U118" i="18"/>
  <c r="C118" i="18"/>
  <c r="J117" i="18"/>
  <c r="P116" i="18"/>
  <c r="W115" i="18"/>
  <c r="E115" i="18"/>
  <c r="L114" i="18"/>
  <c r="R113" i="18"/>
  <c r="Y112" i="18"/>
  <c r="G112" i="18"/>
  <c r="M111" i="18"/>
  <c r="T110" i="18"/>
  <c r="AA109" i="18"/>
  <c r="J109" i="18"/>
  <c r="R108" i="18"/>
  <c r="Z107" i="18"/>
  <c r="J17" i="20"/>
  <c r="G6" i="19"/>
  <c r="R170" i="18"/>
  <c r="X166" i="18"/>
  <c r="E163" i="18"/>
  <c r="S159" i="18"/>
  <c r="X156" i="18"/>
  <c r="E154" i="18"/>
  <c r="U151" i="18"/>
  <c r="O149" i="18"/>
  <c r="K147" i="18"/>
  <c r="L145" i="18"/>
  <c r="G143" i="18"/>
  <c r="C141" i="18"/>
  <c r="L139" i="18"/>
  <c r="X137" i="18"/>
  <c r="P136" i="18"/>
  <c r="J135" i="18"/>
  <c r="I134" i="18"/>
  <c r="G133" i="18"/>
  <c r="E132" i="18"/>
  <c r="H131" i="18"/>
  <c r="I130" i="18"/>
  <c r="K129" i="18"/>
  <c r="M128" i="18"/>
  <c r="N127" i="18"/>
  <c r="R126" i="18"/>
  <c r="V125" i="18"/>
  <c r="C125" i="18"/>
  <c r="H124" i="18"/>
  <c r="N123" i="18"/>
  <c r="S122" i="18"/>
  <c r="X121" i="18"/>
  <c r="D121" i="18"/>
  <c r="J120" i="18"/>
  <c r="P119" i="18"/>
  <c r="T118" i="18"/>
  <c r="AA117" i="18"/>
  <c r="H117" i="18"/>
  <c r="O116" i="18"/>
  <c r="V115" i="18"/>
  <c r="D115" i="18"/>
  <c r="K114" i="18"/>
  <c r="Q113" i="18"/>
  <c r="X112" i="18"/>
  <c r="E112" i="18"/>
  <c r="L111" i="18"/>
  <c r="S110" i="18"/>
  <c r="Z109" i="18"/>
  <c r="I109" i="18"/>
  <c r="Q108" i="18"/>
  <c r="Y107" i="18"/>
  <c r="H107" i="18"/>
  <c r="P106" i="18"/>
  <c r="X105" i="18"/>
  <c r="G105" i="18"/>
  <c r="O104" i="18"/>
  <c r="V103" i="18"/>
  <c r="E103" i="18"/>
  <c r="M102" i="18"/>
  <c r="U101" i="18"/>
  <c r="D101" i="18"/>
  <c r="L100" i="18"/>
  <c r="T99" i="18"/>
  <c r="C99" i="18"/>
  <c r="K98" i="18"/>
  <c r="S97" i="18"/>
  <c r="AA96" i="18"/>
  <c r="K96" i="18"/>
  <c r="T95" i="18"/>
  <c r="D95" i="18"/>
  <c r="M94" i="18"/>
  <c r="V93" i="18"/>
  <c r="F93" i="18"/>
  <c r="O92" i="18"/>
  <c r="X91" i="18"/>
  <c r="H91" i="18"/>
  <c r="Q90" i="18"/>
  <c r="Z89" i="18"/>
  <c r="J89" i="18"/>
  <c r="S88" i="18"/>
  <c r="C88" i="18"/>
  <c r="L87" i="18"/>
  <c r="U86" i="18"/>
  <c r="E86" i="18"/>
  <c r="N85" i="18"/>
  <c r="W84" i="18"/>
  <c r="G84" i="18"/>
  <c r="P83" i="18"/>
  <c r="Y82" i="18"/>
  <c r="I82" i="18"/>
  <c r="R81" i="18"/>
  <c r="AA80" i="18"/>
  <c r="K80" i="18"/>
  <c r="T79" i="18"/>
  <c r="D79" i="18"/>
  <c r="M78" i="18"/>
  <c r="V77" i="18"/>
  <c r="F77" i="18"/>
  <c r="O76" i="18"/>
  <c r="X75" i="18"/>
  <c r="H75" i="18"/>
  <c r="Q74" i="18"/>
  <c r="Z73" i="18"/>
  <c r="J73" i="18"/>
  <c r="S72" i="18"/>
  <c r="C72" i="18"/>
  <c r="L71" i="18"/>
  <c r="U70" i="18"/>
  <c r="E70" i="18"/>
  <c r="N69" i="18"/>
  <c r="W68" i="18"/>
  <c r="G68" i="18"/>
  <c r="P67" i="18"/>
  <c r="Y66" i="18"/>
  <c r="I66" i="18"/>
  <c r="R65" i="18"/>
  <c r="AA64" i="18"/>
  <c r="K64" i="18"/>
  <c r="T63" i="18"/>
  <c r="D63" i="18"/>
  <c r="M62" i="18"/>
  <c r="V61" i="18"/>
  <c r="F61" i="18"/>
  <c r="O60" i="18"/>
  <c r="X59" i="18"/>
  <c r="H59" i="18"/>
  <c r="Q58" i="18"/>
  <c r="Z57" i="18"/>
  <c r="J57" i="18"/>
  <c r="S56" i="18"/>
  <c r="C56" i="18"/>
  <c r="L55" i="18"/>
  <c r="U54" i="18"/>
  <c r="E54" i="18"/>
  <c r="N53" i="18"/>
  <c r="W52" i="18"/>
  <c r="G52" i="18"/>
  <c r="P50" i="18"/>
  <c r="Y49" i="18"/>
  <c r="I49" i="18"/>
  <c r="R48" i="18"/>
  <c r="AA47" i="18"/>
  <c r="K47" i="18"/>
  <c r="F17" i="20"/>
  <c r="Q175" i="18"/>
  <c r="P170" i="18"/>
  <c r="W166" i="18"/>
  <c r="D163" i="18"/>
  <c r="R159" i="18"/>
  <c r="S156" i="18"/>
  <c r="X153" i="18"/>
  <c r="P151" i="18"/>
  <c r="K149" i="18"/>
  <c r="H147" i="18"/>
  <c r="G145" i="18"/>
  <c r="C143" i="18"/>
  <c r="Y140" i="18"/>
  <c r="J139" i="18"/>
  <c r="W137" i="18"/>
  <c r="O136" i="18"/>
  <c r="I135" i="18"/>
  <c r="E134" i="18"/>
  <c r="F133" i="18"/>
  <c r="D132" i="18"/>
  <c r="G131" i="18"/>
  <c r="G130" i="18"/>
  <c r="J129" i="18"/>
  <c r="K128" i="18"/>
  <c r="M127" i="18"/>
  <c r="Q126" i="18"/>
  <c r="U125" i="18"/>
  <c r="AA124" i="18"/>
  <c r="G124" i="18"/>
  <c r="M123" i="18"/>
  <c r="Q122" i="18"/>
  <c r="W121" i="18"/>
  <c r="C121" i="18"/>
  <c r="I120" i="18"/>
  <c r="N119" i="18"/>
  <c r="S118" i="18"/>
  <c r="Z117" i="18"/>
  <c r="G117" i="18"/>
  <c r="N116" i="18"/>
  <c r="U115" i="18"/>
  <c r="C115" i="18"/>
  <c r="I114" i="18"/>
  <c r="P113" i="18"/>
  <c r="W112" i="18"/>
  <c r="D112" i="18"/>
  <c r="K111" i="18"/>
  <c r="R110" i="18"/>
  <c r="Y109" i="18"/>
  <c r="H109" i="18"/>
  <c r="P108" i="18"/>
  <c r="X107" i="18"/>
  <c r="G107" i="18"/>
  <c r="O106" i="18"/>
  <c r="W105" i="18"/>
  <c r="F105" i="18"/>
  <c r="M104" i="18"/>
  <c r="U103" i="18"/>
  <c r="D103" i="18"/>
  <c r="L102" i="18"/>
  <c r="T101" i="18"/>
  <c r="C101" i="18"/>
  <c r="K100" i="18"/>
  <c r="S99" i="18"/>
  <c r="AA98" i="18"/>
  <c r="J98" i="18"/>
  <c r="R97" i="18"/>
  <c r="Z96" i="18"/>
  <c r="J96" i="18"/>
  <c r="S95" i="18"/>
  <c r="W14" i="20"/>
  <c r="J151" i="18"/>
  <c r="R140" i="18"/>
  <c r="L133" i="18"/>
  <c r="I128" i="18"/>
  <c r="C124" i="18"/>
  <c r="T119" i="18"/>
  <c r="T115" i="18"/>
  <c r="Y111" i="18"/>
  <c r="D108" i="18"/>
  <c r="K105" i="18"/>
  <c r="F103" i="18"/>
  <c r="E101" i="18"/>
  <c r="P99" i="18"/>
  <c r="C98" i="18"/>
  <c r="R96" i="18"/>
  <c r="M95" i="18"/>
  <c r="K94" i="18"/>
  <c r="J93" i="18"/>
  <c r="J92" i="18"/>
  <c r="J91" i="18"/>
  <c r="L90" i="18"/>
  <c r="M89" i="18"/>
  <c r="O88" i="18"/>
  <c r="P87" i="18"/>
  <c r="S86" i="18"/>
  <c r="U85" i="18"/>
  <c r="X84" i="18"/>
  <c r="D84" i="18"/>
  <c r="J83" i="18"/>
  <c r="P82" i="18"/>
  <c r="T81" i="18"/>
  <c r="Y80" i="18"/>
  <c r="G80" i="18"/>
  <c r="N79" i="18"/>
  <c r="U78" i="18"/>
  <c r="C78" i="18"/>
  <c r="I77" i="18"/>
  <c r="P76" i="18"/>
  <c r="V75" i="18"/>
  <c r="D75" i="18"/>
  <c r="K74" i="18"/>
  <c r="R73" i="18"/>
  <c r="Y72" i="18"/>
  <c r="F72" i="18"/>
  <c r="M71" i="18"/>
  <c r="S70" i="18"/>
  <c r="Z69" i="18"/>
  <c r="H69" i="18"/>
  <c r="O68" i="18"/>
  <c r="V67" i="18"/>
  <c r="C67" i="18"/>
  <c r="J66" i="18"/>
  <c r="P65" i="18"/>
  <c r="W64" i="18"/>
  <c r="E64" i="18"/>
  <c r="L63" i="18"/>
  <c r="S62" i="18"/>
  <c r="Y61" i="18"/>
  <c r="G61" i="18"/>
  <c r="M60" i="18"/>
  <c r="T59" i="18"/>
  <c r="AA58" i="18"/>
  <c r="J58" i="18"/>
  <c r="R57" i="18"/>
  <c r="Z56" i="18"/>
  <c r="I56" i="18"/>
  <c r="Q55" i="18"/>
  <c r="Y54" i="18"/>
  <c r="H54" i="18"/>
  <c r="P53" i="18"/>
  <c r="X52" i="18"/>
  <c r="F52" i="18"/>
  <c r="N50" i="18"/>
  <c r="V49" i="18"/>
  <c r="E49" i="18"/>
  <c r="M48" i="18"/>
  <c r="U47" i="18"/>
  <c r="D47" i="18"/>
  <c r="M46" i="18"/>
  <c r="V45" i="18"/>
  <c r="F45" i="18"/>
  <c r="O44" i="18"/>
  <c r="X43" i="18"/>
  <c r="H43" i="18"/>
  <c r="Q42" i="18"/>
  <c r="Z41" i="18"/>
  <c r="J41" i="18"/>
  <c r="S40" i="18"/>
  <c r="C40" i="18"/>
  <c r="L39" i="18"/>
  <c r="U37" i="18"/>
  <c r="E37" i="18"/>
  <c r="N36" i="18"/>
  <c r="W35" i="18"/>
  <c r="G35" i="18"/>
  <c r="P175" i="18"/>
  <c r="Y150" i="18"/>
  <c r="Y139" i="18"/>
  <c r="E133" i="18"/>
  <c r="E128" i="18"/>
  <c r="R123" i="18"/>
  <c r="L119" i="18"/>
  <c r="P115" i="18"/>
  <c r="Q111" i="18"/>
  <c r="W107" i="18"/>
  <c r="H105" i="18"/>
  <c r="C103" i="18"/>
  <c r="AA100" i="18"/>
  <c r="O99" i="18"/>
  <c r="Z97" i="18"/>
  <c r="O96" i="18"/>
  <c r="K95" i="18"/>
  <c r="I94" i="18"/>
  <c r="H93" i="18"/>
  <c r="I92" i="18"/>
  <c r="I91" i="18"/>
  <c r="K90" i="18"/>
  <c r="L89" i="18"/>
  <c r="N88" i="18"/>
  <c r="O87" i="18"/>
  <c r="Q86" i="18"/>
  <c r="R85" i="18"/>
  <c r="V84" i="18"/>
  <c r="C84" i="18"/>
  <c r="I83" i="18"/>
  <c r="M82" i="18"/>
  <c r="S81" i="18"/>
  <c r="X80" i="18"/>
  <c r="F80" i="18"/>
  <c r="M79" i="18"/>
  <c r="T78" i="18"/>
  <c r="Z77" i="18"/>
  <c r="H77" i="18"/>
  <c r="N76" i="18"/>
  <c r="U75" i="18"/>
  <c r="C75" i="18"/>
  <c r="J74" i="18"/>
  <c r="Q73" i="18"/>
  <c r="W72" i="18"/>
  <c r="E72" i="18"/>
  <c r="K71" i="18"/>
  <c r="R70" i="18"/>
  <c r="Y69" i="18"/>
  <c r="G69" i="18"/>
  <c r="N68" i="18"/>
  <c r="T67" i="18"/>
  <c r="AA66" i="18"/>
  <c r="H66" i="18"/>
  <c r="O65" i="18"/>
  <c r="V64" i="18"/>
  <c r="E170" i="18"/>
  <c r="D150" i="18"/>
  <c r="I139" i="18"/>
  <c r="W132" i="18"/>
  <c r="T127" i="18"/>
  <c r="L123" i="18"/>
  <c r="I119" i="18"/>
  <c r="H115" i="18"/>
  <c r="J111" i="18"/>
  <c r="T107" i="18"/>
  <c r="D105" i="18"/>
  <c r="Y102" i="18"/>
  <c r="Y100" i="18"/>
  <c r="M99" i="18"/>
  <c r="W97" i="18"/>
  <c r="L96" i="18"/>
  <c r="H95" i="18"/>
  <c r="H94" i="18"/>
  <c r="G93" i="18"/>
  <c r="H92" i="18"/>
  <c r="G91" i="18"/>
  <c r="J90" i="18"/>
  <c r="K89" i="18"/>
  <c r="M88" i="18"/>
  <c r="N87" i="18"/>
  <c r="P86" i="18"/>
  <c r="Q85" i="18"/>
  <c r="U84" i="18"/>
  <c r="AA83" i="18"/>
  <c r="H83" i="18"/>
  <c r="L82" i="18"/>
  <c r="Q81" i="18"/>
  <c r="W80" i="18"/>
  <c r="E80" i="18"/>
  <c r="L79" i="18"/>
  <c r="S78" i="18"/>
  <c r="Y77" i="18"/>
  <c r="G77" i="18"/>
  <c r="M76" i="18"/>
  <c r="T75" i="18"/>
  <c r="AA74" i="18"/>
  <c r="I74" i="18"/>
  <c r="P73" i="18"/>
  <c r="V72" i="18"/>
  <c r="D72" i="18"/>
  <c r="J71" i="18"/>
  <c r="Q70" i="18"/>
  <c r="X69" i="18"/>
  <c r="F69" i="18"/>
  <c r="M68" i="18"/>
  <c r="S67" i="18"/>
  <c r="Z66" i="18"/>
  <c r="G66" i="18"/>
  <c r="N65" i="18"/>
  <c r="U64" i="18"/>
  <c r="C64" i="18"/>
  <c r="J63" i="18"/>
  <c r="P62" i="18"/>
  <c r="W61" i="18"/>
  <c r="D61" i="18"/>
  <c r="K60" i="18"/>
  <c r="R59" i="18"/>
  <c r="Y58" i="18"/>
  <c r="H58" i="18"/>
  <c r="P57" i="18"/>
  <c r="X56" i="18"/>
  <c r="G56" i="18"/>
  <c r="O55" i="18"/>
  <c r="W54" i="18"/>
  <c r="F54" i="18"/>
  <c r="M53" i="18"/>
  <c r="U52" i="18"/>
  <c r="D52" i="18"/>
  <c r="L50" i="18"/>
  <c r="V167" i="18"/>
  <c r="J149" i="18"/>
  <c r="X138" i="18"/>
  <c r="N132" i="18"/>
  <c r="L127" i="18"/>
  <c r="G123" i="18"/>
  <c r="Z118" i="18"/>
  <c r="AA114" i="18"/>
  <c r="G111" i="18"/>
  <c r="L107" i="18"/>
  <c r="Z104" i="18"/>
  <c r="W102" i="18"/>
  <c r="X100" i="18"/>
  <c r="J99" i="18"/>
  <c r="T97" i="18"/>
  <c r="I96" i="18"/>
  <c r="F95" i="18"/>
  <c r="G94" i="18"/>
  <c r="E93" i="18"/>
  <c r="F92" i="18"/>
  <c r="F91" i="18"/>
  <c r="H90" i="18"/>
  <c r="I89" i="18"/>
  <c r="L88" i="18"/>
  <c r="M87" i="18"/>
  <c r="O86" i="18"/>
  <c r="P85" i="18"/>
  <c r="T84" i="18"/>
  <c r="Z83" i="18"/>
  <c r="G83" i="18"/>
  <c r="K82" i="18"/>
  <c r="P81" i="18"/>
  <c r="V80" i="18"/>
  <c r="D80" i="18"/>
  <c r="K79" i="18"/>
  <c r="Q78" i="18"/>
  <c r="X77" i="18"/>
  <c r="E77" i="18"/>
  <c r="L76" i="18"/>
  <c r="S75" i="18"/>
  <c r="Z74" i="18"/>
  <c r="H74" i="18"/>
  <c r="N73" i="18"/>
  <c r="U72" i="18"/>
  <c r="AA71" i="18"/>
  <c r="I71" i="18"/>
  <c r="P70" i="18"/>
  <c r="W69" i="18"/>
  <c r="E69" i="18"/>
  <c r="K68" i="18"/>
  <c r="R67" i="18"/>
  <c r="X66" i="18"/>
  <c r="F66" i="18"/>
  <c r="M65" i="18"/>
  <c r="T64" i="18"/>
  <c r="AA63" i="18"/>
  <c r="H63" i="18"/>
  <c r="O62" i="18"/>
  <c r="U61" i="18"/>
  <c r="C61" i="18"/>
  <c r="J60" i="18"/>
  <c r="Q59" i="18"/>
  <c r="X58" i="18"/>
  <c r="G58" i="18"/>
  <c r="O57" i="18"/>
  <c r="W56" i="18"/>
  <c r="M166" i="18"/>
  <c r="U148" i="18"/>
  <c r="G138" i="18"/>
  <c r="C132" i="18"/>
  <c r="H127" i="18"/>
  <c r="X122" i="18"/>
  <c r="R118" i="18"/>
  <c r="W114" i="18"/>
  <c r="W110" i="18"/>
  <c r="I107" i="18"/>
  <c r="X104" i="18"/>
  <c r="R102" i="18"/>
  <c r="V100" i="18"/>
  <c r="G99" i="18"/>
  <c r="Q97" i="18"/>
  <c r="G96" i="18"/>
  <c r="E95" i="18"/>
  <c r="F94" i="18"/>
  <c r="D93" i="18"/>
  <c r="C92" i="18"/>
  <c r="D91" i="18"/>
  <c r="E90" i="18"/>
  <c r="H89" i="18"/>
  <c r="J88" i="18"/>
  <c r="K87" i="18"/>
  <c r="N86" i="18"/>
  <c r="O85" i="18"/>
  <c r="S84" i="18"/>
  <c r="Y83" i="18"/>
  <c r="D83" i="18"/>
  <c r="J82" i="18"/>
  <c r="O81" i="18"/>
  <c r="U80" i="18"/>
  <c r="C80" i="18"/>
  <c r="J79" i="18"/>
  <c r="P78" i="18"/>
  <c r="W77" i="18"/>
  <c r="D77" i="18"/>
  <c r="K76" i="18"/>
  <c r="D164" i="18"/>
  <c r="Z147" i="18"/>
  <c r="T137" i="18"/>
  <c r="X131" i="18"/>
  <c r="W126" i="18"/>
  <c r="P122" i="18"/>
  <c r="N118" i="18"/>
  <c r="O114" i="18"/>
  <c r="Q110" i="18"/>
  <c r="F107" i="18"/>
  <c r="S104" i="18"/>
  <c r="N102" i="18"/>
  <c r="T100" i="18"/>
  <c r="D99" i="18"/>
  <c r="O97" i="18"/>
  <c r="F96" i="18"/>
  <c r="C95" i="18"/>
  <c r="D94" i="18"/>
  <c r="AA92" i="18"/>
  <c r="Z91" i="18"/>
  <c r="C91" i="18"/>
  <c r="D90" i="18"/>
  <c r="F89" i="18"/>
  <c r="G88" i="18"/>
  <c r="J87" i="18"/>
  <c r="L86" i="18"/>
  <c r="M85" i="18"/>
  <c r="R84" i="18"/>
  <c r="X83" i="18"/>
  <c r="C83" i="18"/>
  <c r="H82" i="18"/>
  <c r="N81" i="18"/>
  <c r="T80" i="18"/>
  <c r="AA79" i="18"/>
  <c r="H79" i="18"/>
  <c r="O78" i="18"/>
  <c r="U77" i="18"/>
  <c r="C77" i="18"/>
  <c r="J76" i="18"/>
  <c r="Q75" i="18"/>
  <c r="X74" i="18"/>
  <c r="E74" i="18"/>
  <c r="L73" i="18"/>
  <c r="R72" i="18"/>
  <c r="Y71" i="18"/>
  <c r="G71" i="18"/>
  <c r="N70" i="18"/>
  <c r="U69" i="18"/>
  <c r="AA68" i="18"/>
  <c r="I68" i="18"/>
  <c r="O67" i="18"/>
  <c r="V66" i="18"/>
  <c r="D66" i="18"/>
  <c r="K65" i="18"/>
  <c r="R64" i="18"/>
  <c r="X63" i="18"/>
  <c r="F63" i="18"/>
  <c r="L62" i="18"/>
  <c r="S61" i="18"/>
  <c r="Z60" i="18"/>
  <c r="H60" i="18"/>
  <c r="O59" i="18"/>
  <c r="V58" i="18"/>
  <c r="E58" i="18"/>
  <c r="M57" i="18"/>
  <c r="U56" i="18"/>
  <c r="D56" i="18"/>
  <c r="K55" i="18"/>
  <c r="S54" i="18"/>
  <c r="AA53" i="18"/>
  <c r="J53" i="18"/>
  <c r="R52" i="18"/>
  <c r="Z50" i="18"/>
  <c r="I50" i="18"/>
  <c r="Q49" i="18"/>
  <c r="Y48" i="18"/>
  <c r="H48" i="18"/>
  <c r="P47" i="18"/>
  <c r="X46" i="18"/>
  <c r="H46" i="18"/>
  <c r="Q45" i="18"/>
  <c r="Z44" i="18"/>
  <c r="J44" i="18"/>
  <c r="S43" i="18"/>
  <c r="C43" i="18"/>
  <c r="L42" i="18"/>
  <c r="U41" i="18"/>
  <c r="E41" i="18"/>
  <c r="N40" i="18"/>
  <c r="W39" i="18"/>
  <c r="G39" i="18"/>
  <c r="P37" i="18"/>
  <c r="Y36" i="18"/>
  <c r="I36" i="18"/>
  <c r="R35" i="18"/>
  <c r="AA34" i="18"/>
  <c r="K34" i="18"/>
  <c r="T33" i="18"/>
  <c r="D33" i="18"/>
  <c r="M32" i="18"/>
  <c r="V30" i="18"/>
  <c r="F30" i="18"/>
  <c r="O29" i="18"/>
  <c r="X28" i="18"/>
  <c r="H28" i="18"/>
  <c r="Q27" i="18"/>
  <c r="Z26" i="18"/>
  <c r="J26" i="18"/>
  <c r="S25" i="18"/>
  <c r="C25" i="18"/>
  <c r="L23" i="18"/>
  <c r="U22" i="18"/>
  <c r="E22" i="18"/>
  <c r="N21" i="18"/>
  <c r="W20" i="18"/>
  <c r="S162" i="18"/>
  <c r="E147" i="18"/>
  <c r="L137" i="18"/>
  <c r="M131" i="18"/>
  <c r="O126" i="18"/>
  <c r="M122" i="18"/>
  <c r="G118" i="18"/>
  <c r="H114" i="18"/>
  <c r="M110" i="18"/>
  <c r="AA106" i="18"/>
  <c r="P104" i="18"/>
  <c r="K102" i="18"/>
  <c r="P100" i="18"/>
  <c r="Z98" i="18"/>
  <c r="N97" i="18"/>
  <c r="E96" i="18"/>
  <c r="AA94" i="18"/>
  <c r="Z93" i="18"/>
  <c r="Z92" i="18"/>
  <c r="Y91" i="18"/>
  <c r="AA90" i="18"/>
  <c r="C90" i="18"/>
  <c r="E89" i="18"/>
  <c r="F88" i="18"/>
  <c r="H87" i="18"/>
  <c r="I86" i="18"/>
  <c r="L85" i="18"/>
  <c r="Q84" i="18"/>
  <c r="W83" i="18"/>
  <c r="AA82" i="18"/>
  <c r="G82" i="18"/>
  <c r="M81" i="18"/>
  <c r="S80" i="18"/>
  <c r="Z79" i="18"/>
  <c r="G79" i="18"/>
  <c r="N78" i="18"/>
  <c r="T77" i="18"/>
  <c r="AA76" i="18"/>
  <c r="I76" i="18"/>
  <c r="P75" i="18"/>
  <c r="W74" i="18"/>
  <c r="D74" i="18"/>
  <c r="K73" i="18"/>
  <c r="Q72" i="18"/>
  <c r="X71" i="18"/>
  <c r="F71" i="18"/>
  <c r="M70" i="18"/>
  <c r="T69" i="18"/>
  <c r="Z68" i="18"/>
  <c r="H68" i="18"/>
  <c r="N67" i="18"/>
  <c r="U66" i="18"/>
  <c r="C66" i="18"/>
  <c r="O160" i="18"/>
  <c r="V146" i="18"/>
  <c r="AA136" i="18"/>
  <c r="E131" i="18"/>
  <c r="K126" i="18"/>
  <c r="E122" i="18"/>
  <c r="X117" i="18"/>
  <c r="E114" i="18"/>
  <c r="E110" i="18"/>
  <c r="T106" i="18"/>
  <c r="L104" i="18"/>
  <c r="H102" i="18"/>
  <c r="M100" i="18"/>
  <c r="X98" i="18"/>
  <c r="K97" i="18"/>
  <c r="D96" i="18"/>
  <c r="Y94" i="18"/>
  <c r="X93" i="18"/>
  <c r="Y92" i="18"/>
  <c r="W91" i="18"/>
  <c r="Z90" i="18"/>
  <c r="AA89" i="18"/>
  <c r="D89" i="18"/>
  <c r="E88" i="18"/>
  <c r="G87" i="18"/>
  <c r="H86" i="18"/>
  <c r="K85" i="18"/>
  <c r="P84" i="18"/>
  <c r="T83" i="18"/>
  <c r="Z82" i="18"/>
  <c r="F82" i="18"/>
  <c r="L81" i="18"/>
  <c r="R80" i="18"/>
  <c r="X79" i="18"/>
  <c r="F79" i="18"/>
  <c r="L78" i="18"/>
  <c r="S77" i="18"/>
  <c r="Z76" i="18"/>
  <c r="H76" i="18"/>
  <c r="O75" i="18"/>
  <c r="U74" i="18"/>
  <c r="C74" i="18"/>
  <c r="I73" i="18"/>
  <c r="P72" i="18"/>
  <c r="W71" i="18"/>
  <c r="E71" i="18"/>
  <c r="L70" i="18"/>
  <c r="R69" i="18"/>
  <c r="Y68" i="18"/>
  <c r="F68" i="18"/>
  <c r="M67" i="18"/>
  <c r="T66" i="18"/>
  <c r="AA65" i="18"/>
  <c r="I65" i="18"/>
  <c r="O64" i="18"/>
  <c r="V63" i="18"/>
  <c r="C63" i="18"/>
  <c r="J62" i="18"/>
  <c r="Q61" i="18"/>
  <c r="X60" i="18"/>
  <c r="F60" i="18"/>
  <c r="L59" i="18"/>
  <c r="T58" i="18"/>
  <c r="C58" i="18"/>
  <c r="K57" i="18"/>
  <c r="R56" i="18"/>
  <c r="Z55" i="18"/>
  <c r="I55" i="18"/>
  <c r="Q54" i="18"/>
  <c r="Y53" i="18"/>
  <c r="H53" i="18"/>
  <c r="P52" i="18"/>
  <c r="X50" i="18"/>
  <c r="G50" i="18"/>
  <c r="O49" i="18"/>
  <c r="W48" i="18"/>
  <c r="F48" i="18"/>
  <c r="N47" i="18"/>
  <c r="V46" i="18"/>
  <c r="H159" i="18"/>
  <c r="U145" i="18"/>
  <c r="N136" i="18"/>
  <c r="Y130" i="18"/>
  <c r="C126" i="18"/>
  <c r="V121" i="18"/>
  <c r="U117" i="18"/>
  <c r="V113" i="18"/>
  <c r="X109" i="18"/>
  <c r="Q106" i="18"/>
  <c r="I104" i="18"/>
  <c r="F102" i="18"/>
  <c r="J100" i="18"/>
  <c r="W98" i="18"/>
  <c r="I97" i="18"/>
  <c r="AA95" i="18"/>
  <c r="X94" i="18"/>
  <c r="W93" i="18"/>
  <c r="X92" i="18"/>
  <c r="V91" i="18"/>
  <c r="X90" i="18"/>
  <c r="Y89" i="18"/>
  <c r="C89" i="18"/>
  <c r="D88" i="18"/>
  <c r="F87" i="18"/>
  <c r="G86" i="18"/>
  <c r="J85" i="18"/>
  <c r="O84" i="18"/>
  <c r="S83" i="18"/>
  <c r="X82" i="18"/>
  <c r="E82" i="18"/>
  <c r="K81" i="18"/>
  <c r="Q80" i="18"/>
  <c r="W79" i="18"/>
  <c r="E79" i="18"/>
  <c r="K78" i="18"/>
  <c r="R77" i="18"/>
  <c r="Y76" i="18"/>
  <c r="G76" i="18"/>
  <c r="N75" i="18"/>
  <c r="T74" i="18"/>
  <c r="AA73" i="18"/>
  <c r="H73" i="18"/>
  <c r="O72" i="18"/>
  <c r="V71" i="18"/>
  <c r="D71" i="18"/>
  <c r="K70" i="18"/>
  <c r="Q69" i="18"/>
  <c r="X68" i="18"/>
  <c r="E68" i="18"/>
  <c r="L67" i="18"/>
  <c r="S66" i="18"/>
  <c r="Z65" i="18"/>
  <c r="H65" i="18"/>
  <c r="N64" i="18"/>
  <c r="U63" i="18"/>
  <c r="AA62" i="18"/>
  <c r="I62" i="18"/>
  <c r="P61" i="18"/>
  <c r="W60" i="18"/>
  <c r="E60" i="18"/>
  <c r="K59" i="18"/>
  <c r="S58" i="18"/>
  <c r="AA57" i="18"/>
  <c r="I57" i="18"/>
  <c r="Q56" i="18"/>
  <c r="Y55" i="18"/>
  <c r="H55" i="18"/>
  <c r="P54" i="18"/>
  <c r="X53" i="18"/>
  <c r="G53" i="18"/>
  <c r="O52" i="18"/>
  <c r="W50" i="18"/>
  <c r="F50" i="18"/>
  <c r="N49" i="18"/>
  <c r="V48" i="18"/>
  <c r="E48" i="18"/>
  <c r="M47" i="18"/>
  <c r="U46" i="18"/>
  <c r="E46" i="18"/>
  <c r="N45" i="18"/>
  <c r="W44" i="18"/>
  <c r="G44" i="18"/>
  <c r="P43" i="18"/>
  <c r="Y42" i="18"/>
  <c r="I42" i="18"/>
  <c r="R41" i="18"/>
  <c r="AA40" i="18"/>
  <c r="K40" i="18"/>
  <c r="T39" i="18"/>
  <c r="D39" i="18"/>
  <c r="M37" i="18"/>
  <c r="V36" i="18"/>
  <c r="F36" i="18"/>
  <c r="O35" i="18"/>
  <c r="X34" i="18"/>
  <c r="H34" i="18"/>
  <c r="Q33" i="18"/>
  <c r="Z32" i="18"/>
  <c r="J32" i="18"/>
  <c r="S30" i="18"/>
  <c r="C30" i="18"/>
  <c r="L29" i="18"/>
  <c r="U28" i="18"/>
  <c r="E28" i="18"/>
  <c r="N27" i="18"/>
  <c r="W26" i="18"/>
  <c r="G26" i="18"/>
  <c r="P25" i="18"/>
  <c r="Y23" i="18"/>
  <c r="I23" i="18"/>
  <c r="R22" i="18"/>
  <c r="AA21" i="18"/>
  <c r="K21" i="18"/>
  <c r="T20" i="18"/>
  <c r="D20" i="18"/>
  <c r="M19" i="18"/>
  <c r="V18" i="18"/>
  <c r="F18" i="18"/>
  <c r="O17" i="18"/>
  <c r="X16" i="18"/>
  <c r="H16" i="18"/>
  <c r="Q15" i="18"/>
  <c r="Z13" i="18"/>
  <c r="J13" i="18"/>
  <c r="S12" i="18"/>
  <c r="C12" i="18"/>
  <c r="P157" i="18"/>
  <c r="Z144" i="18"/>
  <c r="J136" i="18"/>
  <c r="P130" i="18"/>
  <c r="T125" i="18"/>
  <c r="R121" i="18"/>
  <c r="M117" i="18"/>
  <c r="O113" i="18"/>
  <c r="U109" i="18"/>
  <c r="N106" i="18"/>
  <c r="G104" i="18"/>
  <c r="Z101" i="18"/>
  <c r="H100" i="18"/>
  <c r="U98" i="18"/>
  <c r="F97" i="18"/>
  <c r="X95" i="18"/>
  <c r="W94" i="18"/>
  <c r="U93" i="18"/>
  <c r="V92" i="18"/>
  <c r="T91" i="18"/>
  <c r="U90" i="18"/>
  <c r="X89" i="18"/>
  <c r="Z88" i="18"/>
  <c r="AA87" i="18"/>
  <c r="E87" i="18"/>
  <c r="F86" i="18"/>
  <c r="I85" i="18"/>
  <c r="N84" i="18"/>
  <c r="R83" i="18"/>
  <c r="W82" i="18"/>
  <c r="D82" i="18"/>
  <c r="J81" i="18"/>
  <c r="O80" i="18"/>
  <c r="V79" i="18"/>
  <c r="C79" i="18"/>
  <c r="J78" i="18"/>
  <c r="Q77" i="18"/>
  <c r="X76" i="18"/>
  <c r="F76" i="18"/>
  <c r="L75" i="18"/>
  <c r="S74" i="18"/>
  <c r="Y73" i="18"/>
  <c r="G73" i="18"/>
  <c r="N72" i="18"/>
  <c r="U71" i="18"/>
  <c r="C71" i="18"/>
  <c r="I70" i="18"/>
  <c r="P69" i="18"/>
  <c r="V68" i="18"/>
  <c r="D68" i="18"/>
  <c r="K67" i="18"/>
  <c r="R66" i="18"/>
  <c r="Y65" i="18"/>
  <c r="F65" i="18"/>
  <c r="M64" i="18"/>
  <c r="S63" i="18"/>
  <c r="Z62" i="18"/>
  <c r="H62" i="18"/>
  <c r="O61" i="18"/>
  <c r="V60" i="18"/>
  <c r="C60" i="18"/>
  <c r="J59" i="18"/>
  <c r="R58" i="18"/>
  <c r="Y57" i="18"/>
  <c r="H57" i="18"/>
  <c r="P56" i="18"/>
  <c r="X55" i="18"/>
  <c r="G55" i="18"/>
  <c r="O54" i="18"/>
  <c r="W53" i="18"/>
  <c r="F53" i="18"/>
  <c r="N52" i="18"/>
  <c r="V50" i="18"/>
  <c r="E50" i="18"/>
  <c r="M49" i="18"/>
  <c r="U48" i="18"/>
  <c r="D48" i="18"/>
  <c r="L47" i="18"/>
  <c r="T46" i="18"/>
  <c r="D46" i="18"/>
  <c r="M45" i="18"/>
  <c r="V44" i="18"/>
  <c r="F44" i="18"/>
  <c r="O43" i="18"/>
  <c r="X42" i="18"/>
  <c r="H42" i="18"/>
  <c r="Q41" i="18"/>
  <c r="Z40" i="18"/>
  <c r="J40" i="18"/>
  <c r="S39" i="18"/>
  <c r="C39" i="18"/>
  <c r="L37" i="18"/>
  <c r="U36" i="18"/>
  <c r="E36" i="18"/>
  <c r="N35" i="18"/>
  <c r="W34" i="18"/>
  <c r="G34" i="18"/>
  <c r="P33" i="18"/>
  <c r="Y32" i="18"/>
  <c r="I32" i="18"/>
  <c r="R30" i="18"/>
  <c r="AA29" i="18"/>
  <c r="K29" i="18"/>
  <c r="T28" i="18"/>
  <c r="D28" i="18"/>
  <c r="M27" i="18"/>
  <c r="V26" i="18"/>
  <c r="F26" i="18"/>
  <c r="O25" i="18"/>
  <c r="X23" i="18"/>
  <c r="H23" i="18"/>
  <c r="Q22" i="18"/>
  <c r="Z21" i="18"/>
  <c r="J21" i="18"/>
  <c r="S20" i="18"/>
  <c r="C20" i="18"/>
  <c r="L19" i="18"/>
  <c r="U18" i="18"/>
  <c r="E18" i="18"/>
  <c r="N17" i="18"/>
  <c r="W16" i="18"/>
  <c r="G16" i="18"/>
  <c r="P15" i="18"/>
  <c r="Y13" i="18"/>
  <c r="I13" i="18"/>
  <c r="R12" i="18"/>
  <c r="AA11" i="18"/>
  <c r="M156" i="18"/>
  <c r="S144" i="18"/>
  <c r="U135" i="18"/>
  <c r="F130" i="18"/>
  <c r="P125" i="18"/>
  <c r="I121" i="18"/>
  <c r="F117" i="18"/>
  <c r="K113" i="18"/>
  <c r="M109" i="18"/>
  <c r="J106" i="18"/>
  <c r="AA103" i="18"/>
  <c r="V101" i="18"/>
  <c r="G100" i="18"/>
  <c r="R98" i="18"/>
  <c r="C97" i="18"/>
  <c r="V95" i="18"/>
  <c r="V94" i="18"/>
  <c r="T93" i="18"/>
  <c r="S92" i="18"/>
  <c r="S91" i="18"/>
  <c r="T90" i="18"/>
  <c r="V89" i="18"/>
  <c r="W88" i="18"/>
  <c r="Z87" i="18"/>
  <c r="C87" i="18"/>
  <c r="D86" i="18"/>
  <c r="H85" i="18"/>
  <c r="K84" i="18"/>
  <c r="Q83" i="18"/>
  <c r="V82" i="18"/>
  <c r="C82" i="18"/>
  <c r="I81" i="18"/>
  <c r="N80" i="18"/>
  <c r="U79" i="18"/>
  <c r="AA78" i="18"/>
  <c r="I78" i="18"/>
  <c r="P77" i="18"/>
  <c r="W76" i="18"/>
  <c r="E76" i="18"/>
  <c r="K75" i="18"/>
  <c r="R74" i="18"/>
  <c r="X73" i="18"/>
  <c r="F73" i="18"/>
  <c r="M72" i="18"/>
  <c r="T71" i="18"/>
  <c r="AA70" i="18"/>
  <c r="H70" i="18"/>
  <c r="O69" i="18"/>
  <c r="U68" i="18"/>
  <c r="AA155" i="18"/>
  <c r="V143" i="18"/>
  <c r="G135" i="18"/>
  <c r="AA129" i="18"/>
  <c r="H125" i="18"/>
  <c r="AA120" i="18"/>
  <c r="C117" i="18"/>
  <c r="D113" i="18"/>
  <c r="G109" i="18"/>
  <c r="C106" i="18"/>
  <c r="X103" i="18"/>
  <c r="S101" i="18"/>
  <c r="E100" i="18"/>
  <c r="O98" i="18"/>
  <c r="Y96" i="18"/>
  <c r="U95" i="18"/>
  <c r="T94" i="18"/>
  <c r="R93" i="18"/>
  <c r="Q92" i="18"/>
  <c r="R91" i="18"/>
  <c r="S90" i="18"/>
  <c r="U89" i="18"/>
  <c r="V88" i="18"/>
  <c r="X87" i="18"/>
  <c r="Y86" i="18"/>
  <c r="C86" i="18"/>
  <c r="G85" i="18"/>
  <c r="J84" i="18"/>
  <c r="O83" i="18"/>
  <c r="U82" i="18"/>
  <c r="AA81" i="18"/>
  <c r="F81" i="18"/>
  <c r="M80" i="18"/>
  <c r="S79" i="18"/>
  <c r="Z78" i="18"/>
  <c r="H78" i="18"/>
  <c r="O77" i="18"/>
  <c r="V76" i="18"/>
  <c r="C76" i="18"/>
  <c r="J75" i="18"/>
  <c r="P74" i="18"/>
  <c r="W73" i="18"/>
  <c r="E73" i="18"/>
  <c r="L72" i="18"/>
  <c r="S71" i="18"/>
  <c r="Y70" i="18"/>
  <c r="G70" i="18"/>
  <c r="M69" i="18"/>
  <c r="T68" i="18"/>
  <c r="AA67" i="18"/>
  <c r="I67" i="18"/>
  <c r="P66" i="18"/>
  <c r="V65" i="18"/>
  <c r="D65" i="18"/>
  <c r="J64" i="18"/>
  <c r="Q63" i="18"/>
  <c r="X62" i="18"/>
  <c r="F62" i="18"/>
  <c r="M61" i="18"/>
  <c r="S60" i="18"/>
  <c r="Z59" i="18"/>
  <c r="G59" i="18"/>
  <c r="O58" i="18"/>
  <c r="W57" i="18"/>
  <c r="T154" i="18"/>
  <c r="AA142" i="18"/>
  <c r="D135" i="18"/>
  <c r="P129" i="18"/>
  <c r="Y124" i="18"/>
  <c r="X120" i="18"/>
  <c r="T116" i="18"/>
  <c r="U112" i="18"/>
  <c r="D109" i="18"/>
  <c r="Y105" i="18"/>
  <c r="T103" i="18"/>
  <c r="P101" i="18"/>
  <c r="C100" i="18"/>
  <c r="L98" i="18"/>
  <c r="W96" i="18"/>
  <c r="R95" i="18"/>
  <c r="Q94" i="18"/>
  <c r="Q93" i="18"/>
  <c r="P92" i="18"/>
  <c r="Q91" i="18"/>
  <c r="R90" i="18"/>
  <c r="T89" i="18"/>
  <c r="U88" i="18"/>
  <c r="W87" i="18"/>
  <c r="X86" i="18"/>
  <c r="Z85" i="18"/>
  <c r="E85" i="18"/>
  <c r="I84" i="18"/>
  <c r="N83" i="18"/>
  <c r="T82" i="18"/>
  <c r="Z81" i="18"/>
  <c r="E81" i="18"/>
  <c r="L80" i="18"/>
  <c r="R79" i="18"/>
  <c r="Y78" i="18"/>
  <c r="G78" i="18"/>
  <c r="N77" i="18"/>
  <c r="U76" i="18"/>
  <c r="AA75" i="18"/>
  <c r="I75" i="18"/>
  <c r="O74" i="18"/>
  <c r="V73" i="18"/>
  <c r="D73" i="18"/>
  <c r="K72" i="18"/>
  <c r="R71" i="18"/>
  <c r="X70" i="18"/>
  <c r="F70" i="18"/>
  <c r="L69" i="18"/>
  <c r="S68" i="18"/>
  <c r="Z67" i="18"/>
  <c r="H67" i="18"/>
  <c r="O66" i="18"/>
  <c r="U65" i="18"/>
  <c r="C65" i="18"/>
  <c r="I64" i="18"/>
  <c r="P63" i="18"/>
  <c r="W62" i="18"/>
  <c r="E62" i="18"/>
  <c r="L61" i="18"/>
  <c r="R60" i="18"/>
  <c r="Y59" i="18"/>
  <c r="F152" i="18"/>
  <c r="X140" i="18"/>
  <c r="X133" i="18"/>
  <c r="S128" i="18"/>
  <c r="F124" i="18"/>
  <c r="C120" i="18"/>
  <c r="Z115" i="18"/>
  <c r="C112" i="18"/>
  <c r="L108" i="18"/>
  <c r="P105" i="18"/>
  <c r="J103" i="18"/>
  <c r="H101" i="18"/>
  <c r="R99" i="18"/>
  <c r="F98" i="18"/>
  <c r="T96" i="18"/>
  <c r="N95" i="18"/>
  <c r="L94" i="18"/>
  <c r="M93" i="18"/>
  <c r="K92" i="18"/>
  <c r="K91" i="18"/>
  <c r="M90" i="18"/>
  <c r="N89" i="18"/>
  <c r="Q88" i="18"/>
  <c r="S87" i="18"/>
  <c r="T86" i="18"/>
  <c r="W85" i="18"/>
  <c r="Y84" i="18"/>
  <c r="E84" i="18"/>
  <c r="K83" i="18"/>
  <c r="Q82" i="18"/>
  <c r="U81" i="18"/>
  <c r="Z80" i="18"/>
  <c r="H80" i="18"/>
  <c r="O79" i="18"/>
  <c r="V78" i="18"/>
  <c r="D78" i="18"/>
  <c r="J77" i="18"/>
  <c r="Q76" i="18"/>
  <c r="W75" i="18"/>
  <c r="E75" i="18"/>
  <c r="L74" i="18"/>
  <c r="S73" i="18"/>
  <c r="Z72" i="18"/>
  <c r="G72" i="18"/>
  <c r="N71" i="18"/>
  <c r="T70" i="18"/>
  <c r="AA69" i="18"/>
  <c r="I69" i="18"/>
  <c r="P68" i="18"/>
  <c r="W67" i="18"/>
  <c r="D67" i="18"/>
  <c r="K66" i="18"/>
  <c r="Q65" i="18"/>
  <c r="X64" i="18"/>
  <c r="F64" i="18"/>
  <c r="M63" i="18"/>
  <c r="T62" i="18"/>
  <c r="Z61" i="18"/>
  <c r="H61" i="18"/>
  <c r="N60" i="18"/>
  <c r="U59" i="18"/>
  <c r="C59" i="18"/>
  <c r="K58" i="18"/>
  <c r="S57" i="18"/>
  <c r="AA56" i="18"/>
  <c r="J56" i="18"/>
  <c r="R55" i="18"/>
  <c r="Z54" i="18"/>
  <c r="I54" i="18"/>
  <c r="Q53" i="18"/>
  <c r="Y52" i="18"/>
  <c r="H52" i="18"/>
  <c r="O50" i="18"/>
  <c r="W49" i="18"/>
  <c r="F49" i="18"/>
  <c r="N48" i="18"/>
  <c r="V47" i="18"/>
  <c r="E47" i="18"/>
  <c r="N46" i="18"/>
  <c r="W45" i="18"/>
  <c r="G45" i="18"/>
  <c r="P44" i="18"/>
  <c r="Y43" i="18"/>
  <c r="I43" i="18"/>
  <c r="R42" i="18"/>
  <c r="AA41" i="18"/>
  <c r="K41" i="18"/>
  <c r="T40" i="18"/>
  <c r="D40" i="18"/>
  <c r="M39" i="18"/>
  <c r="V37" i="18"/>
  <c r="F37" i="18"/>
  <c r="O36" i="18"/>
  <c r="X35" i="18"/>
  <c r="H35" i="18"/>
  <c r="Q34" i="18"/>
  <c r="Z33" i="18"/>
  <c r="J33" i="18"/>
  <c r="S32" i="18"/>
  <c r="C32" i="18"/>
  <c r="L30" i="18"/>
  <c r="U29" i="18"/>
  <c r="E29" i="18"/>
  <c r="N28" i="18"/>
  <c r="W27" i="18"/>
  <c r="G27" i="18"/>
  <c r="P26" i="18"/>
  <c r="Y25" i="18"/>
  <c r="I25" i="18"/>
  <c r="R23" i="18"/>
  <c r="AA22" i="18"/>
  <c r="K22" i="18"/>
  <c r="T21" i="18"/>
  <c r="D21" i="18"/>
  <c r="M20" i="18"/>
  <c r="V19" i="18"/>
  <c r="F19" i="18"/>
  <c r="O18" i="18"/>
  <c r="X17" i="18"/>
  <c r="H17" i="18"/>
  <c r="Q16" i="18"/>
  <c r="Z15" i="18"/>
  <c r="J15" i="18"/>
  <c r="S13" i="18"/>
  <c r="C13" i="18"/>
  <c r="L12" i="18"/>
  <c r="U11" i="18"/>
  <c r="E11" i="18"/>
  <c r="N10" i="18"/>
  <c r="W9" i="18"/>
  <c r="G9" i="18"/>
  <c r="P8" i="18"/>
  <c r="Y96" i="17"/>
  <c r="I96" i="17"/>
  <c r="R95" i="17"/>
  <c r="AA94" i="17"/>
  <c r="K94" i="17"/>
  <c r="T93" i="17"/>
  <c r="D93" i="17"/>
  <c r="M92" i="17"/>
  <c r="V91" i="17"/>
  <c r="F91" i="17"/>
  <c r="O90" i="17"/>
  <c r="X89" i="17"/>
  <c r="H89" i="17"/>
  <c r="Q88" i="17"/>
  <c r="Z87" i="17"/>
  <c r="J87" i="17"/>
  <c r="S86" i="17"/>
  <c r="C86" i="17"/>
  <c r="T153" i="18"/>
  <c r="U108" i="18"/>
  <c r="O94" i="18"/>
  <c r="W86" i="18"/>
  <c r="J80" i="18"/>
  <c r="F75" i="18"/>
  <c r="H71" i="18"/>
  <c r="Q67" i="18"/>
  <c r="Y64" i="18"/>
  <c r="V62" i="18"/>
  <c r="Y60" i="18"/>
  <c r="D59" i="18"/>
  <c r="N57" i="18"/>
  <c r="F56" i="18"/>
  <c r="AA54" i="18"/>
  <c r="T53" i="18"/>
  <c r="M52" i="18"/>
  <c r="J50" i="18"/>
  <c r="G49" i="18"/>
  <c r="C48" i="18"/>
  <c r="AA46" i="18"/>
  <c r="AA45" i="18"/>
  <c r="D45" i="18"/>
  <c r="E44" i="18"/>
  <c r="G43" i="18"/>
  <c r="J42" i="18"/>
  <c r="L41" i="18"/>
  <c r="M40" i="18"/>
  <c r="O39" i="18"/>
  <c r="Q37" i="18"/>
  <c r="R36" i="18"/>
  <c r="T35" i="18"/>
  <c r="U34" i="18"/>
  <c r="Y33" i="18"/>
  <c r="E33" i="18"/>
  <c r="G32" i="18"/>
  <c r="K30" i="18"/>
  <c r="P29" i="18"/>
  <c r="R28" i="18"/>
  <c r="V27" i="18"/>
  <c r="AA26" i="18"/>
  <c r="D26" i="18"/>
  <c r="H25" i="18"/>
  <c r="M23" i="18"/>
  <c r="O22" i="18"/>
  <c r="S21" i="18"/>
  <c r="X20" i="18"/>
  <c r="AA19" i="18"/>
  <c r="H19" i="18"/>
  <c r="M18" i="18"/>
  <c r="S17" i="18"/>
  <c r="Y16" i="18"/>
  <c r="D16" i="18"/>
  <c r="I15" i="18"/>
  <c r="O13" i="18"/>
  <c r="U12" i="18"/>
  <c r="Y11" i="18"/>
  <c r="H11" i="18"/>
  <c r="P10" i="18"/>
  <c r="X9" i="18"/>
  <c r="F9" i="18"/>
  <c r="N8" i="18"/>
  <c r="V96" i="17"/>
  <c r="E96" i="17"/>
  <c r="M95" i="17"/>
  <c r="U94" i="17"/>
  <c r="D94" i="17"/>
  <c r="L93" i="17"/>
  <c r="T92" i="17"/>
  <c r="C92" i="17"/>
  <c r="K91" i="17"/>
  <c r="S90" i="17"/>
  <c r="AA89" i="17"/>
  <c r="J89" i="17"/>
  <c r="R88" i="17"/>
  <c r="Y87" i="17"/>
  <c r="H87" i="17"/>
  <c r="P86" i="17"/>
  <c r="X85" i="17"/>
  <c r="H85" i="17"/>
  <c r="Q84" i="17"/>
  <c r="Z80" i="17"/>
  <c r="J80" i="17"/>
  <c r="S79" i="17"/>
  <c r="C79" i="17"/>
  <c r="L78" i="17"/>
  <c r="U77" i="17"/>
  <c r="E77" i="17"/>
  <c r="N76" i="17"/>
  <c r="W75" i="17"/>
  <c r="G75" i="17"/>
  <c r="P74" i="17"/>
  <c r="Y73" i="17"/>
  <c r="I73" i="17"/>
  <c r="R72" i="17"/>
  <c r="AA71" i="17"/>
  <c r="K71" i="17"/>
  <c r="T70" i="17"/>
  <c r="D70" i="17"/>
  <c r="M69" i="17"/>
  <c r="V68" i="17"/>
  <c r="F68" i="17"/>
  <c r="O67" i="17"/>
  <c r="X66" i="17"/>
  <c r="H66" i="17"/>
  <c r="Q65" i="17"/>
  <c r="Z64" i="17"/>
  <c r="J64" i="17"/>
  <c r="S63" i="17"/>
  <c r="C63" i="17"/>
  <c r="L62" i="17"/>
  <c r="U61" i="17"/>
  <c r="E61" i="17"/>
  <c r="N60" i="17"/>
  <c r="W59" i="17"/>
  <c r="G59" i="17"/>
  <c r="P58" i="17"/>
  <c r="Y57" i="17"/>
  <c r="I57" i="17"/>
  <c r="R56" i="17"/>
  <c r="AA55" i="17"/>
  <c r="K55" i="17"/>
  <c r="T54" i="17"/>
  <c r="D54" i="17"/>
  <c r="M53" i="17"/>
  <c r="V52" i="17"/>
  <c r="F52" i="17"/>
  <c r="O51" i="17"/>
  <c r="X50" i="17"/>
  <c r="H50" i="17"/>
  <c r="Q49" i="17"/>
  <c r="Z48" i="17"/>
  <c r="J48" i="17"/>
  <c r="S47" i="17"/>
  <c r="C47" i="17"/>
  <c r="L46" i="17"/>
  <c r="U45" i="17"/>
  <c r="E45" i="17"/>
  <c r="N44" i="17"/>
  <c r="W43" i="17"/>
  <c r="G43" i="17"/>
  <c r="P42" i="17"/>
  <c r="Y41" i="17"/>
  <c r="I41" i="17"/>
  <c r="R38" i="17"/>
  <c r="AA37" i="17"/>
  <c r="K37" i="17"/>
  <c r="T36" i="17"/>
  <c r="D36" i="17"/>
  <c r="M35" i="17"/>
  <c r="V34" i="17"/>
  <c r="F34" i="17"/>
  <c r="O33" i="17"/>
  <c r="X32" i="17"/>
  <c r="H32" i="17"/>
  <c r="Q31" i="17"/>
  <c r="Z30" i="17"/>
  <c r="J30" i="17"/>
  <c r="S29" i="17"/>
  <c r="C29" i="17"/>
  <c r="L28" i="17"/>
  <c r="U27" i="17"/>
  <c r="E27" i="17"/>
  <c r="N26" i="17"/>
  <c r="W25" i="17"/>
  <c r="G25" i="17"/>
  <c r="P24" i="17"/>
  <c r="Y23" i="17"/>
  <c r="I23" i="17"/>
  <c r="R22" i="17"/>
  <c r="AA21" i="17"/>
  <c r="K21" i="17"/>
  <c r="T20" i="17"/>
  <c r="D20" i="17"/>
  <c r="M19" i="17"/>
  <c r="I153" i="18"/>
  <c r="O108" i="18"/>
  <c r="N94" i="18"/>
  <c r="V86" i="18"/>
  <c r="I80" i="18"/>
  <c r="Y74" i="18"/>
  <c r="W70" i="18"/>
  <c r="J67" i="18"/>
  <c r="S64" i="18"/>
  <c r="U62" i="18"/>
  <c r="U60" i="18"/>
  <c r="Z58" i="18"/>
  <c r="L57" i="18"/>
  <c r="E56" i="18"/>
  <c r="X54" i="18"/>
  <c r="S53" i="18"/>
  <c r="L52" i="18"/>
  <c r="H50" i="18"/>
  <c r="D49" i="18"/>
  <c r="Z47" i="18"/>
  <c r="Z46" i="18"/>
  <c r="Z45" i="18"/>
  <c r="C45" i="18"/>
  <c r="D44" i="18"/>
  <c r="F43" i="18"/>
  <c r="G42" i="18"/>
  <c r="I41" i="18"/>
  <c r="L40" i="18"/>
  <c r="N39" i="18"/>
  <c r="O37" i="18"/>
  <c r="Q36" i="18"/>
  <c r="S35" i="18"/>
  <c r="T34" i="18"/>
  <c r="X33" i="18"/>
  <c r="C33" i="18"/>
  <c r="F32" i="18"/>
  <c r="J30" i="18"/>
  <c r="N29" i="18"/>
  <c r="Q28" i="18"/>
  <c r="U27" i="18"/>
  <c r="Y26" i="18"/>
  <c r="C26" i="18"/>
  <c r="G25" i="18"/>
  <c r="K23" i="18"/>
  <c r="N22" i="18"/>
  <c r="R21" i="18"/>
  <c r="V20" i="18"/>
  <c r="Z19" i="18"/>
  <c r="G19" i="18"/>
  <c r="L18" i="18"/>
  <c r="R17" i="18"/>
  <c r="V16" i="18"/>
  <c r="C16" i="18"/>
  <c r="H15" i="18"/>
  <c r="N13" i="18"/>
  <c r="T12" i="18"/>
  <c r="X11" i="18"/>
  <c r="G11" i="18"/>
  <c r="O10" i="18"/>
  <c r="V9" i="18"/>
  <c r="E9" i="18"/>
  <c r="M8" i="18"/>
  <c r="U96" i="17"/>
  <c r="D96" i="17"/>
  <c r="L95" i="17"/>
  <c r="T94" i="17"/>
  <c r="C94" i="17"/>
  <c r="N142" i="18"/>
  <c r="V105" i="18"/>
  <c r="P93" i="18"/>
  <c r="Y85" i="18"/>
  <c r="Q79" i="18"/>
  <c r="N74" i="18"/>
  <c r="V70" i="18"/>
  <c r="G67" i="18"/>
  <c r="Q64" i="18"/>
  <c r="Q62" i="18"/>
  <c r="Q60" i="18"/>
  <c r="W58" i="18"/>
  <c r="G57" i="18"/>
  <c r="AA55" i="18"/>
  <c r="V54" i="18"/>
  <c r="R53" i="18"/>
  <c r="K52" i="18"/>
  <c r="D50" i="18"/>
  <c r="C49" i="18"/>
  <c r="Y47" i="18"/>
  <c r="Y46" i="18"/>
  <c r="Y45" i="18"/>
  <c r="AA44" i="18"/>
  <c r="C44" i="18"/>
  <c r="E43" i="18"/>
  <c r="F42" i="18"/>
  <c r="H41" i="18"/>
  <c r="I40" i="18"/>
  <c r="K39" i="18"/>
  <c r="N37" i="18"/>
  <c r="P36" i="18"/>
  <c r="Q35" i="18"/>
  <c r="S34" i="18"/>
  <c r="W33" i="18"/>
  <c r="AA32" i="18"/>
  <c r="E32" i="18"/>
  <c r="I30" i="18"/>
  <c r="M29" i="18"/>
  <c r="P28" i="18"/>
  <c r="T27" i="18"/>
  <c r="X26" i="18"/>
  <c r="AA25" i="18"/>
  <c r="F25" i="18"/>
  <c r="J23" i="18"/>
  <c r="M22" i="18"/>
  <c r="Q21" i="18"/>
  <c r="U20" i="18"/>
  <c r="Y19" i="18"/>
  <c r="E19" i="18"/>
  <c r="K18" i="18"/>
  <c r="Q17" i="18"/>
  <c r="U16" i="18"/>
  <c r="AA15" i="18"/>
  <c r="G15" i="18"/>
  <c r="M13" i="18"/>
  <c r="Q12" i="18"/>
  <c r="W11" i="18"/>
  <c r="F11" i="18"/>
  <c r="M10" i="18"/>
  <c r="U9" i="18"/>
  <c r="D9" i="18"/>
  <c r="L8" i="18"/>
  <c r="T96" i="17"/>
  <c r="C96" i="17"/>
  <c r="K95" i="17"/>
  <c r="S94" i="17"/>
  <c r="AA93" i="17"/>
  <c r="J93" i="17"/>
  <c r="R92" i="17"/>
  <c r="Z91" i="17"/>
  <c r="I91" i="17"/>
  <c r="Q90" i="17"/>
  <c r="Y89" i="17"/>
  <c r="G89" i="17"/>
  <c r="O88" i="17"/>
  <c r="W87" i="17"/>
  <c r="F87" i="17"/>
  <c r="N86" i="17"/>
  <c r="V85" i="17"/>
  <c r="F85" i="17"/>
  <c r="O84" i="17"/>
  <c r="X80" i="17"/>
  <c r="H80" i="17"/>
  <c r="Q79" i="17"/>
  <c r="Z78" i="17"/>
  <c r="J78" i="17"/>
  <c r="S77" i="17"/>
  <c r="C77" i="17"/>
  <c r="L76" i="17"/>
  <c r="U75" i="17"/>
  <c r="E75" i="17"/>
  <c r="N74" i="17"/>
  <c r="W73" i="17"/>
  <c r="G73" i="17"/>
  <c r="P72" i="17"/>
  <c r="Y71" i="17"/>
  <c r="I71" i="17"/>
  <c r="R70" i="17"/>
  <c r="AA69" i="17"/>
  <c r="K69" i="17"/>
  <c r="T68" i="17"/>
  <c r="D68" i="17"/>
  <c r="M67" i="17"/>
  <c r="V66" i="17"/>
  <c r="F66" i="17"/>
  <c r="O65" i="17"/>
  <c r="X64" i="17"/>
  <c r="H64" i="17"/>
  <c r="Q63" i="17"/>
  <c r="Z62" i="17"/>
  <c r="J62" i="17"/>
  <c r="S61" i="17"/>
  <c r="C61" i="17"/>
  <c r="L60" i="17"/>
  <c r="U59" i="17"/>
  <c r="E59" i="17"/>
  <c r="N58" i="17"/>
  <c r="W57" i="17"/>
  <c r="G57" i="17"/>
  <c r="P56" i="17"/>
  <c r="Y55" i="17"/>
  <c r="I55" i="17"/>
  <c r="R54" i="17"/>
  <c r="AA53" i="17"/>
  <c r="K53" i="17"/>
  <c r="T52" i="17"/>
  <c r="D52" i="17"/>
  <c r="M51" i="17"/>
  <c r="V50" i="17"/>
  <c r="F50" i="17"/>
  <c r="O49" i="17"/>
  <c r="X48" i="17"/>
  <c r="H48" i="17"/>
  <c r="Q47" i="17"/>
  <c r="R141" i="18"/>
  <c r="R105" i="18"/>
  <c r="O93" i="18"/>
  <c r="X85" i="18"/>
  <c r="P79" i="18"/>
  <c r="M74" i="18"/>
  <c r="O70" i="18"/>
  <c r="F67" i="18"/>
  <c r="L64" i="18"/>
  <c r="N62" i="18"/>
  <c r="P60" i="18"/>
  <c r="U58" i="18"/>
  <c r="F57" i="18"/>
  <c r="W55" i="18"/>
  <c r="T54" i="18"/>
  <c r="O53" i="18"/>
  <c r="J52" i="18"/>
  <c r="C50" i="18"/>
  <c r="AA48" i="18"/>
  <c r="X47" i="18"/>
  <c r="W46" i="18"/>
  <c r="X45" i="18"/>
  <c r="Y44" i="18"/>
  <c r="AA43" i="18"/>
  <c r="D43" i="18"/>
  <c r="E42" i="18"/>
  <c r="G41" i="18"/>
  <c r="H40" i="18"/>
  <c r="J39" i="18"/>
  <c r="K37" i="18"/>
  <c r="M36" i="18"/>
  <c r="P35" i="18"/>
  <c r="R34" i="18"/>
  <c r="V33" i="18"/>
  <c r="X32" i="18"/>
  <c r="D32" i="18"/>
  <c r="H30" i="18"/>
  <c r="J29" i="18"/>
  <c r="O28" i="18"/>
  <c r="S27" i="18"/>
  <c r="U26" i="18"/>
  <c r="Z25" i="18"/>
  <c r="E25" i="18"/>
  <c r="G23" i="18"/>
  <c r="L22" i="18"/>
  <c r="P21" i="18"/>
  <c r="R20" i="18"/>
  <c r="X19" i="18"/>
  <c r="D19" i="18"/>
  <c r="J18" i="18"/>
  <c r="P17" i="18"/>
  <c r="T16" i="18"/>
  <c r="Y15" i="18"/>
  <c r="F15" i="18"/>
  <c r="L13" i="18"/>
  <c r="P12" i="18"/>
  <c r="V11" i="18"/>
  <c r="D11" i="18"/>
  <c r="L10" i="18"/>
  <c r="T9" i="18"/>
  <c r="C9" i="18"/>
  <c r="K8" i="18"/>
  <c r="S96" i="17"/>
  <c r="AA95" i="17"/>
  <c r="J95" i="17"/>
  <c r="R94" i="17"/>
  <c r="Z93" i="17"/>
  <c r="I93" i="17"/>
  <c r="Q92" i="17"/>
  <c r="Y91" i="17"/>
  <c r="H91" i="17"/>
  <c r="P90" i="17"/>
  <c r="W89" i="17"/>
  <c r="F89" i="17"/>
  <c r="N88" i="17"/>
  <c r="V87" i="17"/>
  <c r="E87" i="17"/>
  <c r="M86" i="17"/>
  <c r="U85" i="17"/>
  <c r="E85" i="17"/>
  <c r="N84" i="17"/>
  <c r="W80" i="17"/>
  <c r="G80" i="17"/>
  <c r="P79" i="17"/>
  <c r="Y78" i="17"/>
  <c r="I78" i="17"/>
  <c r="R77" i="17"/>
  <c r="AA76" i="17"/>
  <c r="K76" i="17"/>
  <c r="T75" i="17"/>
  <c r="D75" i="17"/>
  <c r="M74" i="17"/>
  <c r="V73" i="17"/>
  <c r="F73" i="17"/>
  <c r="O72" i="17"/>
  <c r="X71" i="17"/>
  <c r="H71" i="17"/>
  <c r="Q70" i="17"/>
  <c r="Z69" i="17"/>
  <c r="J69" i="17"/>
  <c r="S68" i="17"/>
  <c r="C68" i="17"/>
  <c r="L67" i="17"/>
  <c r="U66" i="17"/>
  <c r="E66" i="17"/>
  <c r="N65" i="17"/>
  <c r="W64" i="17"/>
  <c r="G64" i="17"/>
  <c r="P63" i="17"/>
  <c r="Y62" i="17"/>
  <c r="I62" i="17"/>
  <c r="R61" i="17"/>
  <c r="AA60" i="17"/>
  <c r="K60" i="17"/>
  <c r="T59" i="17"/>
  <c r="D59" i="17"/>
  <c r="M58" i="17"/>
  <c r="V57" i="17"/>
  <c r="F57" i="17"/>
  <c r="O56" i="17"/>
  <c r="X55" i="17"/>
  <c r="H55" i="17"/>
  <c r="Q54" i="17"/>
  <c r="Z53" i="17"/>
  <c r="J53" i="17"/>
  <c r="S52" i="17"/>
  <c r="C52" i="17"/>
  <c r="N134" i="18"/>
  <c r="Q103" i="18"/>
  <c r="N92" i="18"/>
  <c r="AA84" i="18"/>
  <c r="X78" i="18"/>
  <c r="G74" i="18"/>
  <c r="D70" i="18"/>
  <c r="W66" i="18"/>
  <c r="H64" i="18"/>
  <c r="K62" i="18"/>
  <c r="L60" i="18"/>
  <c r="P58" i="18"/>
  <c r="E57" i="18"/>
  <c r="V55" i="18"/>
  <c r="R54" i="18"/>
  <c r="L53" i="18"/>
  <c r="I52" i="18"/>
  <c r="AA49" i="18"/>
  <c r="Z48" i="18"/>
  <c r="W47" i="18"/>
  <c r="S46" i="18"/>
  <c r="U45" i="18"/>
  <c r="X44" i="18"/>
  <c r="Z43" i="18"/>
  <c r="AA42" i="18"/>
  <c r="D42" i="18"/>
  <c r="F41" i="18"/>
  <c r="G40" i="18"/>
  <c r="I39" i="18"/>
  <c r="J37" i="18"/>
  <c r="L36" i="18"/>
  <c r="M35" i="18"/>
  <c r="P34" i="18"/>
  <c r="U33" i="18"/>
  <c r="W32" i="18"/>
  <c r="AA30" i="18"/>
  <c r="G30" i="18"/>
  <c r="I29" i="18"/>
  <c r="M28" i="18"/>
  <c r="R27" i="18"/>
  <c r="T26" i="18"/>
  <c r="X25" i="18"/>
  <c r="D25" i="18"/>
  <c r="F23" i="18"/>
  <c r="J22" i="18"/>
  <c r="O21" i="18"/>
  <c r="Q20" i="18"/>
  <c r="W19" i="18"/>
  <c r="C19" i="18"/>
  <c r="I18" i="18"/>
  <c r="M17" i="18"/>
  <c r="S16" i="18"/>
  <c r="X15" i="18"/>
  <c r="E15" i="18"/>
  <c r="K13" i="18"/>
  <c r="O12" i="18"/>
  <c r="T11" i="18"/>
  <c r="C11" i="18"/>
  <c r="K10" i="18"/>
  <c r="S9" i="18"/>
  <c r="C134" i="18"/>
  <c r="O103" i="18"/>
  <c r="M92" i="18"/>
  <c r="Z84" i="18"/>
  <c r="W78" i="18"/>
  <c r="U73" i="18"/>
  <c r="C70" i="18"/>
  <c r="Q66" i="18"/>
  <c r="G64" i="18"/>
  <c r="G62" i="18"/>
  <c r="I60" i="18"/>
  <c r="N58" i="18"/>
  <c r="D57" i="18"/>
  <c r="U55" i="18"/>
  <c r="N54" i="18"/>
  <c r="K53" i="18"/>
  <c r="E52" i="18"/>
  <c r="Z49" i="18"/>
  <c r="X48" i="18"/>
  <c r="T47" i="18"/>
  <c r="R46" i="18"/>
  <c r="T45" i="18"/>
  <c r="U44" i="18"/>
  <c r="W43" i="18"/>
  <c r="Z42" i="18"/>
  <c r="C42" i="18"/>
  <c r="D41" i="18"/>
  <c r="F40" i="18"/>
  <c r="H39" i="18"/>
  <c r="I37" i="18"/>
  <c r="K36" i="18"/>
  <c r="L35" i="18"/>
  <c r="O34" i="18"/>
  <c r="S33" i="18"/>
  <c r="V32" i="18"/>
  <c r="Z30" i="18"/>
  <c r="E30" i="18"/>
  <c r="H29" i="18"/>
  <c r="L28" i="18"/>
  <c r="P27" i="18"/>
  <c r="S26" i="18"/>
  <c r="W25" i="18"/>
  <c r="AA23" i="18"/>
  <c r="E23" i="18"/>
  <c r="I22" i="18"/>
  <c r="M21" i="18"/>
  <c r="P20" i="18"/>
  <c r="U19" i="18"/>
  <c r="AA18" i="18"/>
  <c r="H18" i="18"/>
  <c r="L17" i="18"/>
  <c r="R16" i="18"/>
  <c r="W15" i="18"/>
  <c r="D15" i="18"/>
  <c r="H13" i="18"/>
  <c r="N12" i="18"/>
  <c r="S11" i="18"/>
  <c r="AA10" i="18"/>
  <c r="J10" i="18"/>
  <c r="R9" i="18"/>
  <c r="Z8" i="18"/>
  <c r="I8" i="18"/>
  <c r="Q96" i="17"/>
  <c r="Y95" i="17"/>
  <c r="H95" i="17"/>
  <c r="P94" i="17"/>
  <c r="X93" i="17"/>
  <c r="G93" i="17"/>
  <c r="O92" i="17"/>
  <c r="W91" i="17"/>
  <c r="E91" i="17"/>
  <c r="M90" i="17"/>
  <c r="U89" i="17"/>
  <c r="D89" i="17"/>
  <c r="L88" i="17"/>
  <c r="T87" i="17"/>
  <c r="C87" i="17"/>
  <c r="K86" i="17"/>
  <c r="S85" i="17"/>
  <c r="C85" i="17"/>
  <c r="L84" i="17"/>
  <c r="U80" i="17"/>
  <c r="E80" i="17"/>
  <c r="N79" i="17"/>
  <c r="W78" i="17"/>
  <c r="G78" i="17"/>
  <c r="P77" i="17"/>
  <c r="Y76" i="17"/>
  <c r="I76" i="17"/>
  <c r="R75" i="17"/>
  <c r="AA74" i="17"/>
  <c r="K74" i="17"/>
  <c r="T73" i="17"/>
  <c r="D73" i="17"/>
  <c r="M72" i="17"/>
  <c r="V71" i="17"/>
  <c r="F71" i="17"/>
  <c r="O70" i="17"/>
  <c r="X69" i="17"/>
  <c r="H69" i="17"/>
  <c r="Q68" i="17"/>
  <c r="Z67" i="17"/>
  <c r="J67" i="17"/>
  <c r="S66" i="17"/>
  <c r="C66" i="17"/>
  <c r="L65" i="17"/>
  <c r="U64" i="17"/>
  <c r="E64" i="17"/>
  <c r="N63" i="17"/>
  <c r="W62" i="17"/>
  <c r="G62" i="17"/>
  <c r="P61" i="17"/>
  <c r="Y60" i="17"/>
  <c r="I60" i="17"/>
  <c r="R59" i="17"/>
  <c r="AA58" i="17"/>
  <c r="K58" i="17"/>
  <c r="T57" i="17"/>
  <c r="D57" i="17"/>
  <c r="M56" i="17"/>
  <c r="V55" i="17"/>
  <c r="F55" i="17"/>
  <c r="O54" i="17"/>
  <c r="X53" i="17"/>
  <c r="H53" i="17"/>
  <c r="Q52" i="17"/>
  <c r="Z51" i="17"/>
  <c r="J51" i="17"/>
  <c r="S50" i="17"/>
  <c r="C50" i="17"/>
  <c r="L49" i="17"/>
  <c r="U48" i="17"/>
  <c r="E48" i="17"/>
  <c r="N47" i="17"/>
  <c r="W46" i="17"/>
  <c r="G46" i="17"/>
  <c r="P45" i="17"/>
  <c r="Y44" i="17"/>
  <c r="I44" i="17"/>
  <c r="R43" i="17"/>
  <c r="AA42" i="17"/>
  <c r="K42" i="17"/>
  <c r="T41" i="17"/>
  <c r="D41" i="17"/>
  <c r="M38" i="17"/>
  <c r="V37" i="17"/>
  <c r="F37" i="17"/>
  <c r="O36" i="17"/>
  <c r="X35" i="17"/>
  <c r="H35" i="17"/>
  <c r="Q34" i="17"/>
  <c r="Z33" i="17"/>
  <c r="J33" i="17"/>
  <c r="S32" i="17"/>
  <c r="C32" i="17"/>
  <c r="L31" i="17"/>
  <c r="U30" i="17"/>
  <c r="E30" i="17"/>
  <c r="N29" i="17"/>
  <c r="W28" i="17"/>
  <c r="G28" i="17"/>
  <c r="P27" i="17"/>
  <c r="Y26" i="17"/>
  <c r="I26" i="17"/>
  <c r="R25" i="17"/>
  <c r="AA24" i="17"/>
  <c r="K24" i="17"/>
  <c r="T23" i="17"/>
  <c r="D23" i="17"/>
  <c r="M22" i="17"/>
  <c r="V21" i="17"/>
  <c r="F21" i="17"/>
  <c r="O20" i="17"/>
  <c r="X19" i="17"/>
  <c r="H19" i="17"/>
  <c r="I129" i="18"/>
  <c r="N101" i="18"/>
  <c r="O91" i="18"/>
  <c r="H84" i="18"/>
  <c r="F78" i="18"/>
  <c r="T73" i="18"/>
  <c r="V69" i="18"/>
  <c r="M66" i="18"/>
  <c r="D64" i="18"/>
  <c r="D62" i="18"/>
  <c r="G60" i="18"/>
  <c r="M58" i="18"/>
  <c r="C57" i="18"/>
  <c r="T55" i="18"/>
  <c r="M54" i="18"/>
  <c r="I53" i="18"/>
  <c r="C52" i="18"/>
  <c r="X49" i="18"/>
  <c r="T48" i="18"/>
  <c r="S47" i="18"/>
  <c r="Q46" i="18"/>
  <c r="S45" i="18"/>
  <c r="T44" i="18"/>
  <c r="V43" i="18"/>
  <c r="W42" i="18"/>
  <c r="Y41" i="18"/>
  <c r="C41" i="18"/>
  <c r="E40" i="18"/>
  <c r="F39" i="18"/>
  <c r="H37" i="18"/>
  <c r="J36" i="18"/>
  <c r="K35" i="18"/>
  <c r="N34" i="18"/>
  <c r="R33" i="18"/>
  <c r="U32" i="18"/>
  <c r="Y30" i="18"/>
  <c r="D30" i="18"/>
  <c r="G29" i="18"/>
  <c r="K28" i="18"/>
  <c r="O27" i="18"/>
  <c r="R26" i="18"/>
  <c r="V25" i="18"/>
  <c r="Z23" i="18"/>
  <c r="D23" i="18"/>
  <c r="H22" i="18"/>
  <c r="L21" i="18"/>
  <c r="O20" i="18"/>
  <c r="T19" i="18"/>
  <c r="Z18" i="18"/>
  <c r="G18" i="18"/>
  <c r="K17" i="18"/>
  <c r="P16" i="18"/>
  <c r="V15" i="18"/>
  <c r="C15" i="18"/>
  <c r="G13" i="18"/>
  <c r="M12" i="18"/>
  <c r="R11" i="18"/>
  <c r="Z10" i="18"/>
  <c r="I10" i="18"/>
  <c r="Q9" i="18"/>
  <c r="Y8" i="18"/>
  <c r="H8" i="18"/>
  <c r="P96" i="17"/>
  <c r="X95" i="17"/>
  <c r="G95" i="17"/>
  <c r="O94" i="17"/>
  <c r="W93" i="17"/>
  <c r="F93" i="17"/>
  <c r="N92" i="17"/>
  <c r="U91" i="17"/>
  <c r="D91" i="17"/>
  <c r="L90" i="17"/>
  <c r="T89" i="17"/>
  <c r="C89" i="17"/>
  <c r="K88" i="17"/>
  <c r="S87" i="17"/>
  <c r="AA86" i="17"/>
  <c r="J86" i="17"/>
  <c r="R85" i="17"/>
  <c r="AA84" i="17"/>
  <c r="K84" i="17"/>
  <c r="T80" i="17"/>
  <c r="D80" i="17"/>
  <c r="M79" i="17"/>
  <c r="V78" i="17"/>
  <c r="F78" i="17"/>
  <c r="O77" i="17"/>
  <c r="X76" i="17"/>
  <c r="H76" i="17"/>
  <c r="Q75" i="17"/>
  <c r="Z74" i="17"/>
  <c r="J74" i="17"/>
  <c r="S73" i="17"/>
  <c r="C73" i="17"/>
  <c r="L72" i="17"/>
  <c r="U71" i="17"/>
  <c r="E71" i="17"/>
  <c r="N70" i="17"/>
  <c r="W69" i="17"/>
  <c r="G69" i="17"/>
  <c r="P68" i="17"/>
  <c r="Y67" i="17"/>
  <c r="I67" i="17"/>
  <c r="R66" i="17"/>
  <c r="AA65" i="17"/>
  <c r="K65" i="17"/>
  <c r="T64" i="17"/>
  <c r="D64" i="17"/>
  <c r="M63" i="17"/>
  <c r="V62" i="17"/>
  <c r="F62" i="17"/>
  <c r="O61" i="17"/>
  <c r="X60" i="17"/>
  <c r="H60" i="17"/>
  <c r="Q59" i="17"/>
  <c r="Z58" i="17"/>
  <c r="J58" i="17"/>
  <c r="S57" i="17"/>
  <c r="C57" i="17"/>
  <c r="L56" i="17"/>
  <c r="U55" i="17"/>
  <c r="E55" i="17"/>
  <c r="N54" i="17"/>
  <c r="W53" i="17"/>
  <c r="G53" i="17"/>
  <c r="P52" i="17"/>
  <c r="Y51" i="17"/>
  <c r="I51" i="17"/>
  <c r="R50" i="17"/>
  <c r="AA49" i="17"/>
  <c r="K49" i="17"/>
  <c r="T48" i="17"/>
  <c r="D48" i="17"/>
  <c r="M47" i="17"/>
  <c r="V46" i="17"/>
  <c r="F46" i="17"/>
  <c r="O45" i="17"/>
  <c r="X44" i="17"/>
  <c r="H44" i="17"/>
  <c r="Q43" i="17"/>
  <c r="Z42" i="17"/>
  <c r="J42" i="17"/>
  <c r="S41" i="17"/>
  <c r="C41" i="17"/>
  <c r="L38" i="17"/>
  <c r="U37" i="17"/>
  <c r="D129" i="18"/>
  <c r="L101" i="18"/>
  <c r="L91" i="18"/>
  <c r="F84" i="18"/>
  <c r="E78" i="18"/>
  <c r="M73" i="18"/>
  <c r="K69" i="18"/>
  <c r="L66" i="18"/>
  <c r="Z63" i="18"/>
  <c r="C62" i="18"/>
  <c r="AA59" i="18"/>
  <c r="L58" i="18"/>
  <c r="Y56" i="18"/>
  <c r="S55" i="18"/>
  <c r="L54" i="18"/>
  <c r="E53" i="18"/>
  <c r="AA50" i="18"/>
  <c r="U49" i="18"/>
  <c r="S48" i="18"/>
  <c r="R47" i="18"/>
  <c r="P46" i="18"/>
  <c r="R45" i="18"/>
  <c r="S44" i="18"/>
  <c r="U43" i="18"/>
  <c r="V42" i="18"/>
  <c r="X41" i="18"/>
  <c r="Y40" i="18"/>
  <c r="AA39" i="18"/>
  <c r="E39" i="18"/>
  <c r="G37" i="18"/>
  <c r="H36" i="18"/>
  <c r="J35" i="18"/>
  <c r="M34" i="18"/>
  <c r="O33" i="18"/>
  <c r="T32" i="18"/>
  <c r="X30" i="18"/>
  <c r="Z29" i="18"/>
  <c r="F29" i="18"/>
  <c r="J28" i="18"/>
  <c r="L27" i="18"/>
  <c r="Q26" i="18"/>
  <c r="U25" i="18"/>
  <c r="W23" i="18"/>
  <c r="C23" i="18"/>
  <c r="G22" i="18"/>
  <c r="I21" i="18"/>
  <c r="N20" i="18"/>
  <c r="S19" i="18"/>
  <c r="Y18" i="18"/>
  <c r="D18" i="18"/>
  <c r="J17" i="18"/>
  <c r="O16" i="18"/>
  <c r="U15" i="18"/>
  <c r="AA13" i="18"/>
  <c r="F13" i="18"/>
  <c r="K12" i="18"/>
  <c r="Q11" i="18"/>
  <c r="Y10" i="18"/>
  <c r="H10" i="18"/>
  <c r="P9" i="18"/>
  <c r="X8" i="18"/>
  <c r="G8" i="18"/>
  <c r="O96" i="17"/>
  <c r="W95" i="17"/>
  <c r="F95" i="17"/>
  <c r="N94" i="17"/>
  <c r="V93" i="17"/>
  <c r="E93" i="17"/>
  <c r="L92" i="17"/>
  <c r="T91" i="17"/>
  <c r="C91" i="17"/>
  <c r="K90" i="17"/>
  <c r="S89" i="17"/>
  <c r="AA88" i="17"/>
  <c r="J88" i="17"/>
  <c r="R87" i="17"/>
  <c r="V124" i="18"/>
  <c r="X99" i="18"/>
  <c r="P90" i="18"/>
  <c r="M83" i="18"/>
  <c r="M77" i="18"/>
  <c r="C73" i="18"/>
  <c r="J69" i="18"/>
  <c r="E66" i="18"/>
  <c r="W63" i="18"/>
  <c r="X61" i="18"/>
  <c r="W59" i="18"/>
  <c r="I58" i="18"/>
  <c r="V56" i="18"/>
  <c r="P55" i="18"/>
  <c r="K54" i="18"/>
  <c r="D53" i="18"/>
  <c r="Y50" i="18"/>
  <c r="T49" i="18"/>
  <c r="Q48" i="18"/>
  <c r="Q47" i="18"/>
  <c r="O46" i="18"/>
  <c r="P45" i="18"/>
  <c r="R44" i="18"/>
  <c r="T43" i="18"/>
  <c r="U42" i="18"/>
  <c r="W41" i="18"/>
  <c r="X40" i="18"/>
  <c r="Z39" i="18"/>
  <c r="AA37" i="18"/>
  <c r="D37" i="18"/>
  <c r="G36" i="18"/>
  <c r="I35" i="18"/>
  <c r="L34" i="18"/>
  <c r="N33" i="18"/>
  <c r="R32" i="18"/>
  <c r="W30" i="18"/>
  <c r="Y29" i="18"/>
  <c r="D29" i="18"/>
  <c r="I28" i="18"/>
  <c r="K27" i="18"/>
  <c r="O26" i="18"/>
  <c r="T25" i="18"/>
  <c r="V23" i="18"/>
  <c r="Z22" i="18"/>
  <c r="F22" i="18"/>
  <c r="H21" i="18"/>
  <c r="L20" i="18"/>
  <c r="R19" i="18"/>
  <c r="X18" i="18"/>
  <c r="C18" i="18"/>
  <c r="I17" i="18"/>
  <c r="N16" i="18"/>
  <c r="T15" i="18"/>
  <c r="X13" i="18"/>
  <c r="E13" i="18"/>
  <c r="J12" i="18"/>
  <c r="P11" i="18"/>
  <c r="X10" i="18"/>
  <c r="G10" i="18"/>
  <c r="O9" i="18"/>
  <c r="W8" i="18"/>
  <c r="F8" i="18"/>
  <c r="N96" i="17"/>
  <c r="V95" i="17"/>
  <c r="E95" i="17"/>
  <c r="M94" i="17"/>
  <c r="U93" i="17"/>
  <c r="C93" i="17"/>
  <c r="K92" i="17"/>
  <c r="S91" i="17"/>
  <c r="AA90" i="17"/>
  <c r="J90" i="17"/>
  <c r="R89" i="17"/>
  <c r="Z88" i="17"/>
  <c r="I88" i="17"/>
  <c r="Q87" i="17"/>
  <c r="Y86" i="17"/>
  <c r="H86" i="17"/>
  <c r="P85" i="17"/>
  <c r="Y84" i="17"/>
  <c r="I84" i="17"/>
  <c r="R80" i="17"/>
  <c r="AA79" i="17"/>
  <c r="K79" i="17"/>
  <c r="T78" i="17"/>
  <c r="D78" i="17"/>
  <c r="M77" i="17"/>
  <c r="V76" i="17"/>
  <c r="F76" i="17"/>
  <c r="O75" i="17"/>
  <c r="X74" i="17"/>
  <c r="H74" i="17"/>
  <c r="Q73" i="17"/>
  <c r="Z72" i="17"/>
  <c r="M124" i="18"/>
  <c r="U99" i="18"/>
  <c r="O90" i="18"/>
  <c r="L83" i="18"/>
  <c r="L77" i="18"/>
  <c r="AA72" i="18"/>
  <c r="D69" i="18"/>
  <c r="X65" i="18"/>
  <c r="R63" i="18"/>
  <c r="T61" i="18"/>
  <c r="V59" i="18"/>
  <c r="F58" i="18"/>
  <c r="T56" i="18"/>
  <c r="N55" i="18"/>
  <c r="J54" i="18"/>
  <c r="C53" i="18"/>
  <c r="U50" i="18"/>
  <c r="S49" i="18"/>
  <c r="P48" i="18"/>
  <c r="O47" i="18"/>
  <c r="L46" i="18"/>
  <c r="O45" i="18"/>
  <c r="Q44" i="18"/>
  <c r="R43" i="18"/>
  <c r="T42" i="18"/>
  <c r="V41" i="18"/>
  <c r="W40" i="18"/>
  <c r="Y39" i="18"/>
  <c r="Z37" i="18"/>
  <c r="C37" i="18"/>
  <c r="D36" i="18"/>
  <c r="F35" i="18"/>
  <c r="J34" i="18"/>
  <c r="M33" i="18"/>
  <c r="Q32" i="18"/>
  <c r="U30" i="18"/>
  <c r="X29" i="18"/>
  <c r="C29" i="18"/>
  <c r="G28" i="18"/>
  <c r="J27" i="18"/>
  <c r="N26" i="18"/>
  <c r="R25" i="18"/>
  <c r="U23" i="18"/>
  <c r="Y22" i="18"/>
  <c r="D22" i="18"/>
  <c r="G21" i="18"/>
  <c r="K20" i="18"/>
  <c r="Q19" i="18"/>
  <c r="W18" i="18"/>
  <c r="AA17" i="18"/>
  <c r="G17" i="18"/>
  <c r="M16" i="18"/>
  <c r="S15" i="18"/>
  <c r="W13" i="18"/>
  <c r="D13" i="18"/>
  <c r="I12" i="18"/>
  <c r="O11" i="18"/>
  <c r="W10" i="18"/>
  <c r="F10" i="18"/>
  <c r="N9" i="18"/>
  <c r="V8" i="18"/>
  <c r="E8" i="18"/>
  <c r="M96" i="17"/>
  <c r="U95" i="17"/>
  <c r="D95" i="17"/>
  <c r="L94" i="17"/>
  <c r="S93" i="17"/>
  <c r="AA92" i="17"/>
  <c r="J92" i="17"/>
  <c r="O120" i="18"/>
  <c r="I98" i="18"/>
  <c r="S89" i="18"/>
  <c r="S82" i="18"/>
  <c r="S76" i="18"/>
  <c r="T72" i="18"/>
  <c r="R68" i="18"/>
  <c r="T65" i="18"/>
  <c r="O63" i="18"/>
  <c r="R61" i="18"/>
  <c r="S59" i="18"/>
  <c r="D58" i="18"/>
  <c r="O56" i="18"/>
  <c r="M55" i="18"/>
  <c r="G54" i="18"/>
  <c r="AA52" i="18"/>
  <c r="T50" i="18"/>
  <c r="R49" i="18"/>
  <c r="O48" i="18"/>
  <c r="J47" i="18"/>
  <c r="K46" i="18"/>
  <c r="L45" i="18"/>
  <c r="N44" i="18"/>
  <c r="Q43" i="18"/>
  <c r="S42" i="18"/>
  <c r="T41" i="18"/>
  <c r="V40" i="18"/>
  <c r="X39" i="18"/>
  <c r="Y37" i="18"/>
  <c r="AA36" i="18"/>
  <c r="C36" i="18"/>
  <c r="E35" i="18"/>
  <c r="I34" i="18"/>
  <c r="L33" i="18"/>
  <c r="P32" i="18"/>
  <c r="T30" i="18"/>
  <c r="W29" i="18"/>
  <c r="AA28" i="18"/>
  <c r="F28" i="18"/>
  <c r="I27" i="18"/>
  <c r="M26" i="18"/>
  <c r="Q25" i="18"/>
  <c r="T23" i="18"/>
  <c r="X22" i="18"/>
  <c r="C22" i="18"/>
  <c r="F21" i="18"/>
  <c r="J20" i="18"/>
  <c r="P19" i="18"/>
  <c r="T18" i="18"/>
  <c r="Z17" i="18"/>
  <c r="F17" i="18"/>
  <c r="L16" i="18"/>
  <c r="R15" i="18"/>
  <c r="V13" i="18"/>
  <c r="AA12" i="18"/>
  <c r="H12" i="18"/>
  <c r="N11" i="18"/>
  <c r="V10" i="18"/>
  <c r="E10" i="18"/>
  <c r="M9" i="18"/>
  <c r="U8" i="18"/>
  <c r="D8" i="18"/>
  <c r="L96" i="17"/>
  <c r="T95" i="17"/>
  <c r="C95" i="17"/>
  <c r="J94" i="17"/>
  <c r="R93" i="17"/>
  <c r="Z92" i="17"/>
  <c r="I92" i="17"/>
  <c r="Q91" i="17"/>
  <c r="Y90" i="17"/>
  <c r="H90" i="17"/>
  <c r="P89" i="17"/>
  <c r="X88" i="17"/>
  <c r="G88" i="17"/>
  <c r="O87" i="17"/>
  <c r="W86" i="17"/>
  <c r="F86" i="17"/>
  <c r="N85" i="17"/>
  <c r="W84" i="17"/>
  <c r="G84" i="17"/>
  <c r="P80" i="17"/>
  <c r="Y79" i="17"/>
  <c r="I79" i="17"/>
  <c r="R78" i="17"/>
  <c r="AA77" i="17"/>
  <c r="K77" i="17"/>
  <c r="T76" i="17"/>
  <c r="D76" i="17"/>
  <c r="M75" i="17"/>
  <c r="V74" i="17"/>
  <c r="F74" i="17"/>
  <c r="O73" i="17"/>
  <c r="X72" i="17"/>
  <c r="H72" i="17"/>
  <c r="Q71" i="17"/>
  <c r="Z70" i="17"/>
  <c r="J70" i="17"/>
  <c r="S69" i="17"/>
  <c r="C69" i="17"/>
  <c r="L68" i="17"/>
  <c r="U67" i="17"/>
  <c r="E67" i="17"/>
  <c r="N66" i="17"/>
  <c r="W65" i="17"/>
  <c r="G65" i="17"/>
  <c r="P64" i="17"/>
  <c r="Y63" i="17"/>
  <c r="I63" i="17"/>
  <c r="R62" i="17"/>
  <c r="AA61" i="17"/>
  <c r="K61" i="17"/>
  <c r="T60" i="17"/>
  <c r="D60" i="17"/>
  <c r="M59" i="17"/>
  <c r="V58" i="17"/>
  <c r="F58" i="17"/>
  <c r="O57" i="17"/>
  <c r="X56" i="17"/>
  <c r="H56" i="17"/>
  <c r="Q55" i="17"/>
  <c r="Z54" i="17"/>
  <c r="J54" i="17"/>
  <c r="S53" i="17"/>
  <c r="C53" i="17"/>
  <c r="L52" i="17"/>
  <c r="H120" i="18"/>
  <c r="G98" i="18"/>
  <c r="Q89" i="18"/>
  <c r="R82" i="18"/>
  <c r="R76" i="18"/>
  <c r="J72" i="18"/>
  <c r="Q68" i="18"/>
  <c r="S65" i="18"/>
  <c r="N63" i="18"/>
  <c r="N61" i="18"/>
  <c r="P59" i="18"/>
  <c r="X57" i="18"/>
  <c r="N56" i="18"/>
  <c r="J55" i="18"/>
  <c r="D54" i="18"/>
  <c r="Z52" i="18"/>
  <c r="S50" i="18"/>
  <c r="P49" i="18"/>
  <c r="L48" i="18"/>
  <c r="I47" i="18"/>
  <c r="J46" i="18"/>
  <c r="K45" i="18"/>
  <c r="M44" i="18"/>
  <c r="N43" i="18"/>
  <c r="P42" i="18"/>
  <c r="S41" i="18"/>
  <c r="U40" i="18"/>
  <c r="V39" i="18"/>
  <c r="X37" i="18"/>
  <c r="Z36" i="18"/>
  <c r="AA35" i="18"/>
  <c r="D35" i="18"/>
  <c r="F34" i="18"/>
  <c r="K33" i="18"/>
  <c r="O32" i="18"/>
  <c r="Q30" i="18"/>
  <c r="V29" i="18"/>
  <c r="Z28" i="18"/>
  <c r="C28" i="18"/>
  <c r="H27" i="18"/>
  <c r="L26" i="18"/>
  <c r="N25" i="18"/>
  <c r="S23" i="18"/>
  <c r="W22" i="18"/>
  <c r="Y21" i="18"/>
  <c r="E21" i="18"/>
  <c r="I20" i="18"/>
  <c r="O19" i="18"/>
  <c r="S18" i="18"/>
  <c r="Y17" i="18"/>
  <c r="E17" i="18"/>
  <c r="K16" i="18"/>
  <c r="O15" i="18"/>
  <c r="U13" i="18"/>
  <c r="Z12" i="18"/>
  <c r="G12" i="18"/>
  <c r="M116" i="18"/>
  <c r="V96" i="18"/>
  <c r="T88" i="18"/>
  <c r="Y81" i="18"/>
  <c r="Z75" i="18"/>
  <c r="I72" i="18"/>
  <c r="J68" i="18"/>
  <c r="L65" i="18"/>
  <c r="K63" i="18"/>
  <c r="J61" i="18"/>
  <c r="N59" i="18"/>
  <c r="V57" i="18"/>
  <c r="M56" i="18"/>
  <c r="F55" i="18"/>
  <c r="C54" i="18"/>
  <c r="V52" i="18"/>
  <c r="R50" i="18"/>
  <c r="L49" i="18"/>
  <c r="K48" i="18"/>
  <c r="H47" i="18"/>
  <c r="I46" i="18"/>
  <c r="J45" i="18"/>
  <c r="L44" i="18"/>
  <c r="M43" i="18"/>
  <c r="O42" i="18"/>
  <c r="P41" i="18"/>
  <c r="R40" i="18"/>
  <c r="U39" i="18"/>
  <c r="W37" i="18"/>
  <c r="X36" i="18"/>
  <c r="Z35" i="18"/>
  <c r="C35" i="18"/>
  <c r="E34" i="18"/>
  <c r="I33" i="18"/>
  <c r="N32" i="18"/>
  <c r="P30" i="18"/>
  <c r="T29" i="18"/>
  <c r="Y28" i="18"/>
  <c r="AA27" i="18"/>
  <c r="F27" i="18"/>
  <c r="K26" i="18"/>
  <c r="M25" i="18"/>
  <c r="Q23" i="18"/>
  <c r="V22" i="18"/>
  <c r="X21" i="18"/>
  <c r="C21" i="18"/>
  <c r="H20" i="18"/>
  <c r="N19" i="18"/>
  <c r="R18" i="18"/>
  <c r="W17" i="18"/>
  <c r="D17" i="18"/>
  <c r="J16" i="18"/>
  <c r="N15" i="18"/>
  <c r="T13" i="18"/>
  <c r="Y12" i="18"/>
  <c r="F12" i="18"/>
  <c r="L11" i="18"/>
  <c r="T10" i="18"/>
  <c r="C10" i="18"/>
  <c r="K9" i="18"/>
  <c r="S8" i="18"/>
  <c r="AA96" i="17"/>
  <c r="J116" i="18"/>
  <c r="U96" i="18"/>
  <c r="R88" i="18"/>
  <c r="V81" i="18"/>
  <c r="Y75" i="18"/>
  <c r="Z71" i="18"/>
  <c r="C68" i="18"/>
  <c r="J65" i="18"/>
  <c r="G63" i="18"/>
  <c r="I61" i="18"/>
  <c r="I59" i="18"/>
  <c r="U57" i="18"/>
  <c r="L56" i="18"/>
  <c r="E55" i="18"/>
  <c r="Z53" i="18"/>
  <c r="T52" i="18"/>
  <c r="Q50" i="18"/>
  <c r="K49" i="18"/>
  <c r="J48" i="18"/>
  <c r="G47" i="18"/>
  <c r="G46" i="18"/>
  <c r="I45" i="18"/>
  <c r="K44" i="18"/>
  <c r="L43" i="18"/>
  <c r="N42" i="18"/>
  <c r="O41" i="18"/>
  <c r="Q40" i="18"/>
  <c r="R39" i="18"/>
  <c r="T37" i="18"/>
  <c r="W36" i="18"/>
  <c r="Y35" i="18"/>
  <c r="Z34" i="18"/>
  <c r="D34" i="18"/>
  <c r="H33" i="18"/>
  <c r="L32" i="18"/>
  <c r="O30" i="18"/>
  <c r="S29" i="18"/>
  <c r="W28" i="18"/>
  <c r="Z27" i="18"/>
  <c r="E27" i="18"/>
  <c r="I26" i="18"/>
  <c r="L25" i="18"/>
  <c r="P23" i="18"/>
  <c r="T22" i="18"/>
  <c r="W21" i="18"/>
  <c r="AA20" i="18"/>
  <c r="G20" i="18"/>
  <c r="K19" i="18"/>
  <c r="Q18" i="18"/>
  <c r="V17" i="18"/>
  <c r="C17" i="18"/>
  <c r="I16" i="18"/>
  <c r="M15" i="18"/>
  <c r="R13" i="18"/>
  <c r="X12" i="18"/>
  <c r="E12" i="18"/>
  <c r="K11" i="18"/>
  <c r="S10" i="18"/>
  <c r="AA9" i="18"/>
  <c r="J9" i="18"/>
  <c r="R112" i="18"/>
  <c r="E63" i="18"/>
  <c r="M50" i="18"/>
  <c r="M42" i="18"/>
  <c r="C34" i="18"/>
  <c r="H26" i="18"/>
  <c r="P18" i="18"/>
  <c r="M11" i="18"/>
  <c r="O8" i="18"/>
  <c r="O95" i="17"/>
  <c r="P93" i="17"/>
  <c r="E92" i="17"/>
  <c r="U90" i="17"/>
  <c r="L89" i="17"/>
  <c r="C88" i="17"/>
  <c r="T86" i="17"/>
  <c r="M85" i="17"/>
  <c r="J84" i="17"/>
  <c r="I80" i="17"/>
  <c r="E79" i="17"/>
  <c r="Y77" i="17"/>
  <c r="U76" i="17"/>
  <c r="S75" i="17"/>
  <c r="Q74" i="17"/>
  <c r="L73" i="17"/>
  <c r="I72" i="17"/>
  <c r="J71" i="17"/>
  <c r="H70" i="17"/>
  <c r="F69" i="17"/>
  <c r="H68" i="17"/>
  <c r="F67" i="17"/>
  <c r="G66" i="17"/>
  <c r="E65" i="17"/>
  <c r="C64" i="17"/>
  <c r="E63" i="17"/>
  <c r="C62" i="17"/>
  <c r="D61" i="17"/>
  <c r="AA59" i="17"/>
  <c r="Y58" i="17"/>
  <c r="AA57" i="17"/>
  <c r="Y56" i="17"/>
  <c r="Z55" i="17"/>
  <c r="X54" i="17"/>
  <c r="V53" i="17"/>
  <c r="X52" i="17"/>
  <c r="V51" i="17"/>
  <c r="AA50" i="17"/>
  <c r="E50" i="17"/>
  <c r="H49" i="17"/>
  <c r="M48" i="17"/>
  <c r="P47" i="17"/>
  <c r="T46" i="17"/>
  <c r="Z45" i="17"/>
  <c r="G45" i="17"/>
  <c r="L44" i="17"/>
  <c r="P43" i="17"/>
  <c r="V42" i="17"/>
  <c r="C42" i="17"/>
  <c r="H41" i="17"/>
  <c r="N38" i="17"/>
  <c r="R37" i="17"/>
  <c r="Y36" i="17"/>
  <c r="G36" i="17"/>
  <c r="N35" i="17"/>
  <c r="T34" i="17"/>
  <c r="AA33" i="17"/>
  <c r="H33" i="17"/>
  <c r="O32" i="17"/>
  <c r="V31" i="17"/>
  <c r="D31" i="17"/>
  <c r="K30" i="17"/>
  <c r="Q29" i="17"/>
  <c r="X28" i="17"/>
  <c r="E28" i="17"/>
  <c r="L27" i="17"/>
  <c r="S26" i="17"/>
  <c r="Z25" i="17"/>
  <c r="H25" i="17"/>
  <c r="N24" i="17"/>
  <c r="U23" i="17"/>
  <c r="AA22" i="17"/>
  <c r="I22" i="17"/>
  <c r="P21" i="17"/>
  <c r="W20" i="17"/>
  <c r="E20" i="17"/>
  <c r="K19" i="17"/>
  <c r="S18" i="17"/>
  <c r="C18" i="17"/>
  <c r="L17" i="17"/>
  <c r="U16" i="17"/>
  <c r="E16" i="17"/>
  <c r="N15" i="17"/>
  <c r="W14" i="17"/>
  <c r="G14" i="17"/>
  <c r="P13" i="17"/>
  <c r="Y12" i="17"/>
  <c r="I12" i="17"/>
  <c r="R11" i="17"/>
  <c r="AA10" i="17"/>
  <c r="K10" i="17"/>
  <c r="T9" i="17"/>
  <c r="D9" i="17"/>
  <c r="M8" i="17"/>
  <c r="V7" i="17"/>
  <c r="F7" i="17"/>
  <c r="L6" i="16"/>
  <c r="S6" i="15"/>
  <c r="C6" i="15"/>
  <c r="L31" i="14"/>
  <c r="U30" i="14"/>
  <c r="E30" i="14"/>
  <c r="N29" i="14"/>
  <c r="W28" i="14"/>
  <c r="G28" i="14"/>
  <c r="P22" i="14"/>
  <c r="Y21" i="14"/>
  <c r="I21" i="14"/>
  <c r="R20" i="14"/>
  <c r="AA18" i="14"/>
  <c r="K18" i="14"/>
  <c r="T17" i="14"/>
  <c r="D17" i="14"/>
  <c r="M16" i="14"/>
  <c r="V15" i="14"/>
  <c r="F15" i="14"/>
  <c r="O12" i="14"/>
  <c r="X11" i="14"/>
  <c r="H11" i="14"/>
  <c r="Q10" i="14"/>
  <c r="Z9" i="14"/>
  <c r="J9" i="14"/>
  <c r="S8" i="14"/>
  <c r="C8" i="14"/>
  <c r="L7" i="14"/>
  <c r="U73" i="13"/>
  <c r="E73" i="13"/>
  <c r="J112" i="18"/>
  <c r="Y62" i="18"/>
  <c r="K50" i="18"/>
  <c r="K42" i="18"/>
  <c r="AA33" i="18"/>
  <c r="E26" i="18"/>
  <c r="N18" i="18"/>
  <c r="J11" i="18"/>
  <c r="J8" i="18"/>
  <c r="N95" i="17"/>
  <c r="O93" i="17"/>
  <c r="D92" i="17"/>
  <c r="T90" i="17"/>
  <c r="K89" i="17"/>
  <c r="AA87" i="17"/>
  <c r="R86" i="17"/>
  <c r="L85" i="17"/>
  <c r="H84" i="17"/>
  <c r="F80" i="17"/>
  <c r="D79" i="17"/>
  <c r="X77" i="17"/>
  <c r="S76" i="17"/>
  <c r="P75" i="17"/>
  <c r="O74" i="17"/>
  <c r="K73" i="17"/>
  <c r="G72" i="17"/>
  <c r="G71" i="17"/>
  <c r="G70" i="17"/>
  <c r="E69" i="17"/>
  <c r="G68" i="17"/>
  <c r="D67" i="17"/>
  <c r="D66" i="17"/>
  <c r="D65" i="17"/>
  <c r="AA63" i="17"/>
  <c r="D63" i="17"/>
  <c r="Z61" i="17"/>
  <c r="Z60" i="17"/>
  <c r="Z59" i="17"/>
  <c r="X58" i="17"/>
  <c r="Z57" i="17"/>
  <c r="W56" i="17"/>
  <c r="W55" i="17"/>
  <c r="W54" i="17"/>
  <c r="U53" i="17"/>
  <c r="W52" i="17"/>
  <c r="U51" i="17"/>
  <c r="Z50" i="17"/>
  <c r="D50" i="17"/>
  <c r="G49" i="17"/>
  <c r="L48" i="17"/>
  <c r="O47" i="17"/>
  <c r="S46" i="17"/>
  <c r="Y45" i="17"/>
  <c r="F45" i="17"/>
  <c r="K44" i="17"/>
  <c r="O43" i="17"/>
  <c r="U42" i="17"/>
  <c r="AA41" i="17"/>
  <c r="G41" i="17"/>
  <c r="K38" i="17"/>
  <c r="Q37" i="17"/>
  <c r="X36" i="17"/>
  <c r="F36" i="17"/>
  <c r="L35" i="17"/>
  <c r="S34" i="17"/>
  <c r="Y33" i="17"/>
  <c r="G33" i="17"/>
  <c r="N32" i="17"/>
  <c r="U31" i="17"/>
  <c r="C31" i="17"/>
  <c r="I30" i="17"/>
  <c r="P29" i="17"/>
  <c r="V28" i="17"/>
  <c r="D28" i="17"/>
  <c r="K27" i="17"/>
  <c r="R26" i="17"/>
  <c r="Y25" i="17"/>
  <c r="F25" i="17"/>
  <c r="M24" i="17"/>
  <c r="S23" i="17"/>
  <c r="Z22" i="17"/>
  <c r="H22" i="17"/>
  <c r="O21" i="17"/>
  <c r="V20" i="17"/>
  <c r="C20" i="17"/>
  <c r="J19" i="17"/>
  <c r="R18" i="17"/>
  <c r="AA17" i="17"/>
  <c r="K17" i="17"/>
  <c r="P95" i="18"/>
  <c r="E61" i="18"/>
  <c r="J49" i="18"/>
  <c r="N41" i="18"/>
  <c r="G33" i="18"/>
  <c r="K25" i="18"/>
  <c r="U17" i="18"/>
  <c r="I11" i="18"/>
  <c r="C8" i="18"/>
  <c r="I95" i="17"/>
  <c r="N93" i="17"/>
  <c r="AA91" i="17"/>
  <c r="R90" i="17"/>
  <c r="I89" i="17"/>
  <c r="X87" i="17"/>
  <c r="Q86" i="17"/>
  <c r="K85" i="17"/>
  <c r="F84" i="17"/>
  <c r="C80" i="17"/>
  <c r="AA78" i="17"/>
  <c r="W77" i="17"/>
  <c r="R76" i="17"/>
  <c r="N75" i="17"/>
  <c r="L74" i="17"/>
  <c r="J73" i="17"/>
  <c r="F72" i="17"/>
  <c r="D71" i="17"/>
  <c r="F70" i="17"/>
  <c r="D69" i="17"/>
  <c r="E68" i="17"/>
  <c r="C67" i="17"/>
  <c r="Z65" i="17"/>
  <c r="C65" i="17"/>
  <c r="Z63" i="17"/>
  <c r="AA62" i="17"/>
  <c r="Y61" i="17"/>
  <c r="W60" i="17"/>
  <c r="Y59" i="17"/>
  <c r="W58" i="17"/>
  <c r="X57" i="17"/>
  <c r="V56" i="17"/>
  <c r="T55" i="17"/>
  <c r="V54" i="17"/>
  <c r="T53" i="17"/>
  <c r="U52" i="17"/>
  <c r="T51" i="17"/>
  <c r="Y50" i="17"/>
  <c r="Z49" i="17"/>
  <c r="F49" i="17"/>
  <c r="K48" i="17"/>
  <c r="L47" i="17"/>
  <c r="R46" i="17"/>
  <c r="X45" i="17"/>
  <c r="D45" i="17"/>
  <c r="J44" i="17"/>
  <c r="N43" i="17"/>
  <c r="T42" i="17"/>
  <c r="Z41" i="17"/>
  <c r="F41" i="17"/>
  <c r="J38" i="17"/>
  <c r="P37" i="17"/>
  <c r="W36" i="17"/>
  <c r="E36" i="17"/>
  <c r="K35" i="17"/>
  <c r="R34" i="17"/>
  <c r="X33" i="17"/>
  <c r="F33" i="17"/>
  <c r="M32" i="17"/>
  <c r="T31" i="17"/>
  <c r="AA30" i="17"/>
  <c r="H30" i="17"/>
  <c r="O29" i="17"/>
  <c r="U28" i="17"/>
  <c r="C28" i="17"/>
  <c r="J27" i="17"/>
  <c r="Q26" i="17"/>
  <c r="X25" i="17"/>
  <c r="E25" i="17"/>
  <c r="L24" i="17"/>
  <c r="R23" i="17"/>
  <c r="Y22" i="17"/>
  <c r="G22" i="17"/>
  <c r="N21" i="17"/>
  <c r="U20" i="17"/>
  <c r="AA19" i="17"/>
  <c r="I19" i="17"/>
  <c r="Q18" i="17"/>
  <c r="Z17" i="17"/>
  <c r="J17" i="17"/>
  <c r="S16" i="17"/>
  <c r="C16" i="17"/>
  <c r="L15" i="17"/>
  <c r="U14" i="17"/>
  <c r="E14" i="17"/>
  <c r="N13" i="17"/>
  <c r="W12" i="17"/>
  <c r="G12" i="17"/>
  <c r="P11" i="17"/>
  <c r="Y10" i="17"/>
  <c r="I10" i="17"/>
  <c r="R9" i="17"/>
  <c r="AA8" i="17"/>
  <c r="K8" i="17"/>
  <c r="T7" i="17"/>
  <c r="D7" i="17"/>
  <c r="J6" i="16"/>
  <c r="Q6" i="15"/>
  <c r="Z31" i="14"/>
  <c r="J31" i="14"/>
  <c r="S30" i="14"/>
  <c r="C30" i="14"/>
  <c r="L29" i="14"/>
  <c r="U28" i="14"/>
  <c r="E28" i="14"/>
  <c r="N22" i="14"/>
  <c r="W21" i="14"/>
  <c r="G21" i="14"/>
  <c r="P20" i="14"/>
  <c r="Y18" i="14"/>
  <c r="I18" i="14"/>
  <c r="R17" i="14"/>
  <c r="AA16" i="14"/>
  <c r="K16" i="14"/>
  <c r="T15" i="14"/>
  <c r="D15" i="14"/>
  <c r="M12" i="14"/>
  <c r="V11" i="14"/>
  <c r="F11" i="14"/>
  <c r="O10" i="14"/>
  <c r="X9" i="14"/>
  <c r="H9" i="14"/>
  <c r="Q8" i="14"/>
  <c r="Z7" i="14"/>
  <c r="J7" i="14"/>
  <c r="S73" i="13"/>
  <c r="C73" i="13"/>
  <c r="O95" i="18"/>
  <c r="AA60" i="18"/>
  <c r="H49" i="18"/>
  <c r="M41" i="18"/>
  <c r="F33" i="18"/>
  <c r="J25" i="18"/>
  <c r="T17" i="18"/>
  <c r="U10" i="18"/>
  <c r="Z96" i="17"/>
  <c r="Z94" i="17"/>
  <c r="M93" i="17"/>
  <c r="X91" i="17"/>
  <c r="N90" i="17"/>
  <c r="E89" i="17"/>
  <c r="U87" i="17"/>
  <c r="O86" i="17"/>
  <c r="J85" i="17"/>
  <c r="E84" i="17"/>
  <c r="Z79" i="17"/>
  <c r="X78" i="17"/>
  <c r="V77" i="17"/>
  <c r="Q76" i="17"/>
  <c r="L75" i="17"/>
  <c r="I74" i="17"/>
  <c r="H73" i="17"/>
  <c r="E72" i="17"/>
  <c r="C71" i="17"/>
  <c r="E70" i="17"/>
  <c r="AA68" i="17"/>
  <c r="AA67" i="17"/>
  <c r="AA66" i="17"/>
  <c r="Y65" i="17"/>
  <c r="AA64" i="17"/>
  <c r="X63" i="17"/>
  <c r="X62" i="17"/>
  <c r="X61" i="17"/>
  <c r="V60" i="17"/>
  <c r="X59" i="17"/>
  <c r="U58" i="17"/>
  <c r="U57" i="17"/>
  <c r="U56" i="17"/>
  <c r="S55" i="17"/>
  <c r="U54" i="17"/>
  <c r="R53" i="17"/>
  <c r="R52" i="17"/>
  <c r="S51" i="17"/>
  <c r="W50" i="17"/>
  <c r="Y49" i="17"/>
  <c r="V87" i="18"/>
  <c r="F59" i="18"/>
  <c r="U87" i="18"/>
  <c r="E59" i="18"/>
  <c r="G48" i="18"/>
  <c r="O40" i="18"/>
  <c r="H32" i="18"/>
  <c r="N23" i="18"/>
  <c r="Z16" i="18"/>
  <c r="Q10" i="18"/>
  <c r="W96" i="17"/>
  <c r="X94" i="17"/>
  <c r="H93" i="17"/>
  <c r="P91" i="17"/>
  <c r="G90" i="17"/>
  <c r="W88" i="17"/>
  <c r="N87" i="17"/>
  <c r="I86" i="17"/>
  <c r="G85" i="17"/>
  <c r="C84" i="17"/>
  <c r="W79" i="17"/>
  <c r="S78" i="17"/>
  <c r="Q77" i="17"/>
  <c r="O76" i="17"/>
  <c r="J75" i="17"/>
  <c r="E74" i="17"/>
  <c r="AA72" i="17"/>
  <c r="C72" i="17"/>
  <c r="Y70" i="17"/>
  <c r="Y69" i="17"/>
  <c r="Y68" i="17"/>
  <c r="W67" i="17"/>
  <c r="Y66" i="17"/>
  <c r="V65" i="17"/>
  <c r="V64" i="17"/>
  <c r="V63" i="17"/>
  <c r="T62" i="17"/>
  <c r="V61" i="17"/>
  <c r="S60" i="17"/>
  <c r="S59" i="17"/>
  <c r="S58" i="17"/>
  <c r="Q57" i="17"/>
  <c r="S56" i="17"/>
  <c r="P55" i="17"/>
  <c r="P54" i="17"/>
  <c r="P53" i="17"/>
  <c r="N52" i="17"/>
  <c r="Q51" i="17"/>
  <c r="T50" i="17"/>
  <c r="W49" i="17"/>
  <c r="C49" i="17"/>
  <c r="F48" i="17"/>
  <c r="I47" i="17"/>
  <c r="O46" i="17"/>
  <c r="T45" i="17"/>
  <c r="Z44" i="17"/>
  <c r="E44" i="17"/>
  <c r="K43" i="17"/>
  <c r="Q42" i="17"/>
  <c r="V41" i="17"/>
  <c r="Z38" i="17"/>
  <c r="G38" i="17"/>
  <c r="M37" i="17"/>
  <c r="S36" i="17"/>
  <c r="Z35" i="17"/>
  <c r="G35" i="17"/>
  <c r="N34" i="17"/>
  <c r="U33" i="17"/>
  <c r="C33" i="17"/>
  <c r="J32" i="17"/>
  <c r="P31" i="17"/>
  <c r="W30" i="17"/>
  <c r="D30" i="17"/>
  <c r="K29" i="17"/>
  <c r="R28" i="17"/>
  <c r="Y27" i="17"/>
  <c r="G27" i="17"/>
  <c r="M26" i="17"/>
  <c r="T25" i="17"/>
  <c r="Z24" i="17"/>
  <c r="H24" i="17"/>
  <c r="O23" i="17"/>
  <c r="V22" i="17"/>
  <c r="D22" i="17"/>
  <c r="J21" i="17"/>
  <c r="Q20" i="17"/>
  <c r="W19" i="17"/>
  <c r="E19" i="17"/>
  <c r="N18" i="17"/>
  <c r="W17" i="17"/>
  <c r="G17" i="17"/>
  <c r="P16" i="17"/>
  <c r="Y15" i="17"/>
  <c r="I15" i="17"/>
  <c r="R14" i="17"/>
  <c r="AA13" i="17"/>
  <c r="K13" i="17"/>
  <c r="T12" i="17"/>
  <c r="D12" i="17"/>
  <c r="M11" i="17"/>
  <c r="V10" i="17"/>
  <c r="F10" i="17"/>
  <c r="O9" i="17"/>
  <c r="X8" i="17"/>
  <c r="H8" i="17"/>
  <c r="Q7" i="17"/>
  <c r="W6" i="16"/>
  <c r="G6" i="16"/>
  <c r="N6" i="15"/>
  <c r="W31" i="14"/>
  <c r="G31" i="14"/>
  <c r="P30" i="14"/>
  <c r="Y29" i="14"/>
  <c r="I29" i="14"/>
  <c r="R28" i="14"/>
  <c r="AA22" i="14"/>
  <c r="K22" i="14"/>
  <c r="T21" i="14"/>
  <c r="D21" i="14"/>
  <c r="M20" i="14"/>
  <c r="V18" i="14"/>
  <c r="F18" i="14"/>
  <c r="O17" i="14"/>
  <c r="X16" i="14"/>
  <c r="H16" i="14"/>
  <c r="Q15" i="14"/>
  <c r="Z12" i="14"/>
  <c r="J12" i="14"/>
  <c r="S11" i="14"/>
  <c r="C11" i="14"/>
  <c r="L10" i="14"/>
  <c r="U9" i="14"/>
  <c r="E9" i="14"/>
  <c r="N8" i="14"/>
  <c r="W7" i="14"/>
  <c r="G7" i="14"/>
  <c r="P73" i="13"/>
  <c r="Y72" i="13"/>
  <c r="I72" i="13"/>
  <c r="R71" i="13"/>
  <c r="AA70" i="13"/>
  <c r="K70" i="13"/>
  <c r="T69" i="13"/>
  <c r="D69" i="13"/>
  <c r="M68" i="13"/>
  <c r="V67" i="13"/>
  <c r="F67" i="13"/>
  <c r="O66" i="13"/>
  <c r="X65" i="13"/>
  <c r="H65" i="13"/>
  <c r="Q64" i="13"/>
  <c r="D81" i="18"/>
  <c r="T57" i="18"/>
  <c r="F47" i="18"/>
  <c r="Q39" i="18"/>
  <c r="N30" i="18"/>
  <c r="S22" i="18"/>
  <c r="F16" i="18"/>
  <c r="D10" i="18"/>
  <c r="R96" i="17"/>
  <c r="W94" i="17"/>
  <c r="Y92" i="17"/>
  <c r="O91" i="17"/>
  <c r="F90" i="17"/>
  <c r="V88" i="17"/>
  <c r="M87" i="17"/>
  <c r="G86" i="17"/>
  <c r="D85" i="17"/>
  <c r="AA80" i="17"/>
  <c r="V79" i="17"/>
  <c r="Q78" i="17"/>
  <c r="N77" i="17"/>
  <c r="M76" i="17"/>
  <c r="I75" i="17"/>
  <c r="D74" i="17"/>
  <c r="Y72" i="17"/>
  <c r="Z71" i="17"/>
  <c r="X70" i="17"/>
  <c r="V69" i="17"/>
  <c r="X68" i="17"/>
  <c r="V67" i="17"/>
  <c r="W66" i="17"/>
  <c r="U65" i="17"/>
  <c r="S64" i="17"/>
  <c r="U63" i="17"/>
  <c r="S62" i="17"/>
  <c r="T61" i="17"/>
  <c r="R60" i="17"/>
  <c r="P59" i="17"/>
  <c r="R58" i="17"/>
  <c r="P57" i="17"/>
  <c r="Q56" i="17"/>
  <c r="O55" i="17"/>
  <c r="M54" i="17"/>
  <c r="O53" i="17"/>
  <c r="M52" i="17"/>
  <c r="P51" i="17"/>
  <c r="Q50" i="17"/>
  <c r="V49" i="17"/>
  <c r="AA48" i="17"/>
  <c r="C48" i="17"/>
  <c r="H47" i="17"/>
  <c r="N46" i="17"/>
  <c r="S45" i="17"/>
  <c r="W44" i="17"/>
  <c r="D44" i="17"/>
  <c r="J43" i="17"/>
  <c r="O42" i="17"/>
  <c r="U41" i="17"/>
  <c r="Y38" i="17"/>
  <c r="F38" i="17"/>
  <c r="L37" i="17"/>
  <c r="R36" i="17"/>
  <c r="Y35" i="17"/>
  <c r="F35" i="17"/>
  <c r="M34" i="17"/>
  <c r="T33" i="17"/>
  <c r="AA32" i="17"/>
  <c r="I32" i="17"/>
  <c r="O31" i="17"/>
  <c r="V30" i="17"/>
  <c r="C30" i="17"/>
  <c r="J29" i="17"/>
  <c r="Q28" i="17"/>
  <c r="X27" i="17"/>
  <c r="F27" i="17"/>
  <c r="L26" i="17"/>
  <c r="S25" i="17"/>
  <c r="Y24" i="17"/>
  <c r="G24" i="17"/>
  <c r="N23" i="17"/>
  <c r="U22" i="17"/>
  <c r="C22" i="17"/>
  <c r="I21" i="17"/>
  <c r="P20" i="17"/>
  <c r="V19" i="17"/>
  <c r="D19" i="17"/>
  <c r="M18" i="17"/>
  <c r="V17" i="17"/>
  <c r="F17" i="17"/>
  <c r="O16" i="17"/>
  <c r="X15" i="17"/>
  <c r="H15" i="17"/>
  <c r="Q14" i="17"/>
  <c r="C81" i="18"/>
  <c r="Q57" i="18"/>
  <c r="C47" i="18"/>
  <c r="P39" i="18"/>
  <c r="M30" i="18"/>
  <c r="P22" i="18"/>
  <c r="E16" i="18"/>
  <c r="Z9" i="18"/>
  <c r="K96" i="17"/>
  <c r="V94" i="17"/>
  <c r="X92" i="17"/>
  <c r="N91" i="17"/>
  <c r="E90" i="17"/>
  <c r="U88" i="17"/>
  <c r="L87" i="17"/>
  <c r="E86" i="17"/>
  <c r="Z84" i="17"/>
  <c r="Y80" i="17"/>
  <c r="U79" i="17"/>
  <c r="P78" i="17"/>
  <c r="L77" i="17"/>
  <c r="J76" i="17"/>
  <c r="H75" i="17"/>
  <c r="C74" i="17"/>
  <c r="W72" i="17"/>
  <c r="W71" i="17"/>
  <c r="W70" i="17"/>
  <c r="U69" i="17"/>
  <c r="W68" i="17"/>
  <c r="T67" i="17"/>
  <c r="T66" i="17"/>
  <c r="T65" i="17"/>
  <c r="R64" i="17"/>
  <c r="T63" i="17"/>
  <c r="Q62" i="17"/>
  <c r="Q61" i="17"/>
  <c r="Q60" i="17"/>
  <c r="O59" i="17"/>
  <c r="Q58" i="17"/>
  <c r="N57" i="17"/>
  <c r="N56" i="17"/>
  <c r="N55" i="17"/>
  <c r="L54" i="17"/>
  <c r="N53" i="17"/>
  <c r="K52" i="17"/>
  <c r="N51" i="17"/>
  <c r="P50" i="17"/>
  <c r="U49" i="17"/>
  <c r="Y48" i="17"/>
  <c r="AA47" i="17"/>
  <c r="G47" i="17"/>
  <c r="M46" i="17"/>
  <c r="R45" i="17"/>
  <c r="V44" i="17"/>
  <c r="C44" i="17"/>
  <c r="I43" i="17"/>
  <c r="N42" i="17"/>
  <c r="R41" i="17"/>
  <c r="X38" i="17"/>
  <c r="E38" i="17"/>
  <c r="J37" i="17"/>
  <c r="Q36" i="17"/>
  <c r="W35" i="17"/>
  <c r="E35" i="17"/>
  <c r="L34" i="17"/>
  <c r="S33" i="17"/>
  <c r="Z32" i="17"/>
  <c r="G32" i="17"/>
  <c r="N31" i="17"/>
  <c r="T30" i="17"/>
  <c r="AA29" i="17"/>
  <c r="I29" i="17"/>
  <c r="P28" i="17"/>
  <c r="W27" i="17"/>
  <c r="D27" i="17"/>
  <c r="K26" i="17"/>
  <c r="Q25" i="17"/>
  <c r="X24" i="17"/>
  <c r="F24" i="17"/>
  <c r="M23" i="17"/>
  <c r="T22" i="17"/>
  <c r="Z21" i="17"/>
  <c r="H21" i="17"/>
  <c r="N20" i="17"/>
  <c r="U19" i="17"/>
  <c r="C19" i="17"/>
  <c r="L18" i="17"/>
  <c r="U17" i="17"/>
  <c r="E17" i="17"/>
  <c r="N16" i="17"/>
  <c r="W15" i="17"/>
  <c r="G15" i="17"/>
  <c r="P14" i="17"/>
  <c r="Y13" i="17"/>
  <c r="I13" i="17"/>
  <c r="R12" i="17"/>
  <c r="AA11" i="17"/>
  <c r="K11" i="17"/>
  <c r="T10" i="17"/>
  <c r="D10" i="17"/>
  <c r="M9" i="17"/>
  <c r="V8" i="17"/>
  <c r="F8" i="17"/>
  <c r="O7" i="17"/>
  <c r="U6" i="16"/>
  <c r="E6" i="16"/>
  <c r="L6" i="15"/>
  <c r="U31" i="14"/>
  <c r="E31" i="14"/>
  <c r="N30" i="14"/>
  <c r="W29" i="14"/>
  <c r="G29" i="14"/>
  <c r="P28" i="14"/>
  <c r="Y22" i="14"/>
  <c r="I22" i="14"/>
  <c r="R21" i="14"/>
  <c r="AA20" i="14"/>
  <c r="K20" i="14"/>
  <c r="T18" i="14"/>
  <c r="D18" i="14"/>
  <c r="M17" i="14"/>
  <c r="V16" i="14"/>
  <c r="F16" i="14"/>
  <c r="O15" i="14"/>
  <c r="X12" i="14"/>
  <c r="H12" i="14"/>
  <c r="Q11" i="14"/>
  <c r="Z10" i="14"/>
  <c r="J10" i="14"/>
  <c r="S9" i="14"/>
  <c r="C9" i="14"/>
  <c r="L8" i="14"/>
  <c r="U7" i="14"/>
  <c r="E7" i="14"/>
  <c r="N73" i="13"/>
  <c r="W72" i="13"/>
  <c r="R75" i="18"/>
  <c r="K56" i="18"/>
  <c r="G75" i="18"/>
  <c r="H56" i="18"/>
  <c r="C46" i="18"/>
  <c r="R37" i="18"/>
  <c r="Q29" i="18"/>
  <c r="U21" i="18"/>
  <c r="K15" i="18"/>
  <c r="L9" i="18"/>
  <c r="H96" i="17"/>
  <c r="I94" i="17"/>
  <c r="V92" i="17"/>
  <c r="L91" i="17"/>
  <c r="C90" i="17"/>
  <c r="S88" i="17"/>
  <c r="I87" i="17"/>
  <c r="AA85" i="17"/>
  <c r="V84" i="17"/>
  <c r="S80" i="17"/>
  <c r="R79" i="17"/>
  <c r="N78" i="17"/>
  <c r="I77" i="17"/>
  <c r="E76" i="17"/>
  <c r="C75" i="17"/>
  <c r="Z73" i="17"/>
  <c r="U72" i="17"/>
  <c r="S71" i="17"/>
  <c r="U70" i="17"/>
  <c r="R69" i="17"/>
  <c r="R68" i="17"/>
  <c r="R67" i="17"/>
  <c r="P66" i="17"/>
  <c r="R65" i="17"/>
  <c r="O64" i="17"/>
  <c r="O63" i="17"/>
  <c r="O62" i="17"/>
  <c r="M61" i="17"/>
  <c r="O60" i="17"/>
  <c r="L59" i="17"/>
  <c r="L58" i="17"/>
  <c r="L57" i="17"/>
  <c r="J56" i="17"/>
  <c r="L55" i="17"/>
  <c r="I54" i="17"/>
  <c r="I53" i="17"/>
  <c r="I52" i="17"/>
  <c r="K51" i="17"/>
  <c r="N50" i="17"/>
  <c r="S49" i="17"/>
  <c r="V48" i="17"/>
  <c r="Y47" i="17"/>
  <c r="E47" i="17"/>
  <c r="J46" i="17"/>
  <c r="N45" i="17"/>
  <c r="T44" i="17"/>
  <c r="Z43" i="17"/>
  <c r="F43" i="17"/>
  <c r="L42" i="17"/>
  <c r="P41" i="17"/>
  <c r="P71" i="18"/>
  <c r="D55" i="18"/>
  <c r="H45" i="18"/>
  <c r="T36" i="18"/>
  <c r="V28" i="18"/>
  <c r="Z20" i="18"/>
  <c r="Q13" i="18"/>
  <c r="I9" i="18"/>
  <c r="G96" i="17"/>
  <c r="H94" i="17"/>
  <c r="U92" i="17"/>
  <c r="J91" i="17"/>
  <c r="Z89" i="17"/>
  <c r="P88" i="17"/>
  <c r="G87" i="17"/>
  <c r="Z85" i="17"/>
  <c r="U84" i="17"/>
  <c r="Q80" i="17"/>
  <c r="O79" i="17"/>
  <c r="M78" i="17"/>
  <c r="H77" i="17"/>
  <c r="C76" i="17"/>
  <c r="Y74" i="17"/>
  <c r="X73" i="17"/>
  <c r="T72" i="17"/>
  <c r="R71" i="17"/>
  <c r="S70" i="17"/>
  <c r="Q69" i="17"/>
  <c r="O68" i="17"/>
  <c r="Q67" i="17"/>
  <c r="O66" i="17"/>
  <c r="P65" i="17"/>
  <c r="N64" i="17"/>
  <c r="L63" i="17"/>
  <c r="N62" i="17"/>
  <c r="L61" i="17"/>
  <c r="M60" i="17"/>
  <c r="K59" i="17"/>
  <c r="I58" i="17"/>
  <c r="K57" i="17"/>
  <c r="I56" i="17"/>
  <c r="J55" i="17"/>
  <c r="H54" i="17"/>
  <c r="F53" i="17"/>
  <c r="H52" i="17"/>
  <c r="H51" i="17"/>
  <c r="M50" i="17"/>
  <c r="R49" i="17"/>
  <c r="S48" i="17"/>
  <c r="X47" i="17"/>
  <c r="D47" i="17"/>
  <c r="I46" i="17"/>
  <c r="M45" i="17"/>
  <c r="S44" i="17"/>
  <c r="Y43" i="17"/>
  <c r="E43" i="17"/>
  <c r="I42" i="17"/>
  <c r="O41" i="17"/>
  <c r="U38" i="17"/>
  <c r="Z37" i="17"/>
  <c r="G37" i="17"/>
  <c r="M36" i="17"/>
  <c r="T35" i="17"/>
  <c r="AA34" i="17"/>
  <c r="I34" i="17"/>
  <c r="P33" i="17"/>
  <c r="V32" i="17"/>
  <c r="D32" i="17"/>
  <c r="J31" i="17"/>
  <c r="Q30" i="17"/>
  <c r="X29" i="17"/>
  <c r="F29" i="17"/>
  <c r="M28" i="17"/>
  <c r="S27" i="17"/>
  <c r="Z26" i="17"/>
  <c r="G26" i="17"/>
  <c r="N25" i="17"/>
  <c r="U24" i="17"/>
  <c r="C24" i="17"/>
  <c r="J23" i="17"/>
  <c r="P22" i="17"/>
  <c r="W21" i="17"/>
  <c r="D21" i="17"/>
  <c r="K20" i="17"/>
  <c r="R19" i="17"/>
  <c r="Y18" i="17"/>
  <c r="I18" i="17"/>
  <c r="R17" i="17"/>
  <c r="AA16" i="17"/>
  <c r="K16" i="17"/>
  <c r="T15" i="17"/>
  <c r="D15" i="17"/>
  <c r="M14" i="17"/>
  <c r="V13" i="17"/>
  <c r="F13" i="17"/>
  <c r="O12" i="17"/>
  <c r="X11" i="17"/>
  <c r="H11" i="17"/>
  <c r="Q10" i="17"/>
  <c r="Z9" i="17"/>
  <c r="J9" i="17"/>
  <c r="S8" i="17"/>
  <c r="C8" i="17"/>
  <c r="L7" i="17"/>
  <c r="R6" i="16"/>
  <c r="Y6" i="15"/>
  <c r="I6" i="15"/>
  <c r="R31" i="14"/>
  <c r="AA30" i="14"/>
  <c r="K30" i="14"/>
  <c r="T29" i="14"/>
  <c r="D29" i="14"/>
  <c r="M28" i="14"/>
  <c r="V22" i="14"/>
  <c r="F22" i="14"/>
  <c r="O21" i="14"/>
  <c r="X20" i="14"/>
  <c r="H20" i="14"/>
  <c r="Q18" i="14"/>
  <c r="Z17" i="14"/>
  <c r="J17" i="14"/>
  <c r="S16" i="14"/>
  <c r="C16" i="14"/>
  <c r="L15" i="14"/>
  <c r="U12" i="14"/>
  <c r="E12" i="14"/>
  <c r="N11" i="14"/>
  <c r="O71" i="18"/>
  <c r="C55" i="18"/>
  <c r="E45" i="18"/>
  <c r="S36" i="18"/>
  <c r="S28" i="18"/>
  <c r="Y20" i="18"/>
  <c r="P13" i="18"/>
  <c r="H9" i="18"/>
  <c r="F96" i="17"/>
  <c r="G94" i="17"/>
  <c r="S92" i="17"/>
  <c r="G91" i="17"/>
  <c r="V89" i="17"/>
  <c r="M88" i="17"/>
  <c r="D87" i="17"/>
  <c r="Y85" i="17"/>
  <c r="T84" i="17"/>
  <c r="O80" i="17"/>
  <c r="L79" i="17"/>
  <c r="K78" i="17"/>
  <c r="G77" i="17"/>
  <c r="AA75" i="17"/>
  <c r="W74" i="17"/>
  <c r="U73" i="17"/>
  <c r="S72" i="17"/>
  <c r="P71" i="17"/>
  <c r="P70" i="17"/>
  <c r="P69" i="17"/>
  <c r="N68" i="17"/>
  <c r="P67" i="17"/>
  <c r="M66" i="17"/>
  <c r="M65" i="17"/>
  <c r="M64" i="17"/>
  <c r="K63" i="17"/>
  <c r="M62" i="17"/>
  <c r="J61" i="17"/>
  <c r="J60" i="17"/>
  <c r="J59" i="17"/>
  <c r="H58" i="17"/>
  <c r="J57" i="17"/>
  <c r="G56" i="17"/>
  <c r="G55" i="17"/>
  <c r="G54" i="17"/>
  <c r="E53" i="17"/>
  <c r="G52" i="17"/>
  <c r="G51" i="17"/>
  <c r="L50" i="17"/>
  <c r="P49" i="17"/>
  <c r="R48" i="17"/>
  <c r="W47" i="17"/>
  <c r="AA46" i="17"/>
  <c r="H46" i="17"/>
  <c r="L45" i="17"/>
  <c r="R44" i="17"/>
  <c r="X43" i="17"/>
  <c r="D43" i="17"/>
  <c r="Y67" i="18"/>
  <c r="V53" i="18"/>
  <c r="I44" i="18"/>
  <c r="V35" i="18"/>
  <c r="Y27" i="18"/>
  <c r="F20" i="18"/>
  <c r="W12" i="18"/>
  <c r="AA8" i="18"/>
  <c r="Z95" i="17"/>
  <c r="F94" i="17"/>
  <c r="P92" i="17"/>
  <c r="Z90" i="17"/>
  <c r="Q89" i="17"/>
  <c r="H88" i="17"/>
  <c r="Z86" i="17"/>
  <c r="W85" i="17"/>
  <c r="S84" i="17"/>
  <c r="N80" i="17"/>
  <c r="J79" i="17"/>
  <c r="H78" i="17"/>
  <c r="F77" i="17"/>
  <c r="Z75" i="17"/>
  <c r="U74" i="17"/>
  <c r="R73" i="17"/>
  <c r="Q72" i="17"/>
  <c r="O71" i="17"/>
  <c r="M70" i="17"/>
  <c r="O69" i="17"/>
  <c r="M68" i="17"/>
  <c r="N67" i="17"/>
  <c r="L66" i="17"/>
  <c r="J65" i="17"/>
  <c r="L64" i="17"/>
  <c r="J63" i="17"/>
  <c r="K62" i="17"/>
  <c r="I61" i="17"/>
  <c r="G60" i="17"/>
  <c r="I59" i="17"/>
  <c r="G58" i="17"/>
  <c r="H57" i="17"/>
  <c r="F56" i="17"/>
  <c r="D55" i="17"/>
  <c r="F54" i="17"/>
  <c r="D53" i="17"/>
  <c r="E52" i="17"/>
  <c r="F51" i="17"/>
  <c r="K50" i="17"/>
  <c r="N49" i="17"/>
  <c r="Q48" i="17"/>
  <c r="V47" i="17"/>
  <c r="Z46" i="17"/>
  <c r="E46" i="17"/>
  <c r="K45" i="17"/>
  <c r="Q44" i="17"/>
  <c r="V43" i="17"/>
  <c r="C43" i="17"/>
  <c r="G42" i="17"/>
  <c r="M41" i="17"/>
  <c r="S38" i="17"/>
  <c r="X37" i="17"/>
  <c r="D37" i="17"/>
  <c r="K36" i="17"/>
  <c r="R35" i="17"/>
  <c r="Y34" i="17"/>
  <c r="G34" i="17"/>
  <c r="M33" i="17"/>
  <c r="T32" i="17"/>
  <c r="Z31" i="17"/>
  <c r="H31" i="17"/>
  <c r="O30" i="17"/>
  <c r="V29" i="17"/>
  <c r="D29" i="17"/>
  <c r="J28" i="17"/>
  <c r="Q27" i="17"/>
  <c r="W26" i="17"/>
  <c r="E26" i="17"/>
  <c r="L25" i="17"/>
  <c r="S24" i="17"/>
  <c r="Z23" i="17"/>
  <c r="G23" i="17"/>
  <c r="N22" i="17"/>
  <c r="T21" i="17"/>
  <c r="AA20" i="17"/>
  <c r="I20" i="17"/>
  <c r="P19" i="17"/>
  <c r="W18" i="17"/>
  <c r="G18" i="17"/>
  <c r="P17" i="17"/>
  <c r="Y16" i="17"/>
  <c r="I16" i="17"/>
  <c r="R15" i="17"/>
  <c r="AA14" i="17"/>
  <c r="K14" i="17"/>
  <c r="T13" i="17"/>
  <c r="D13" i="17"/>
  <c r="M12" i="17"/>
  <c r="X67" i="18"/>
  <c r="U53" i="18"/>
  <c r="H44" i="18"/>
  <c r="U35" i="18"/>
  <c r="X27" i="18"/>
  <c r="E20" i="18"/>
  <c r="V12" i="18"/>
  <c r="T8" i="18"/>
  <c r="S95" i="17"/>
  <c r="E94" i="17"/>
  <c r="H92" i="17"/>
  <c r="X90" i="17"/>
  <c r="O89" i="17"/>
  <c r="F88" i="17"/>
  <c r="X86" i="17"/>
  <c r="T85" i="17"/>
  <c r="R84" i="17"/>
  <c r="M80" i="17"/>
  <c r="H79" i="17"/>
  <c r="E78" i="17"/>
  <c r="D77" i="17"/>
  <c r="Y75" i="17"/>
  <c r="T74" i="17"/>
  <c r="P73" i="17"/>
  <c r="N72" i="17"/>
  <c r="N71" i="17"/>
  <c r="L70" i="17"/>
  <c r="N69" i="17"/>
  <c r="K68" i="17"/>
  <c r="K67" i="17"/>
  <c r="K66" i="17"/>
  <c r="I65" i="17"/>
  <c r="K64" i="17"/>
  <c r="H63" i="17"/>
  <c r="H62" i="17"/>
  <c r="H61" i="17"/>
  <c r="F60" i="17"/>
  <c r="H59" i="17"/>
  <c r="E58" i="17"/>
  <c r="E57" i="17"/>
  <c r="E56" i="17"/>
  <c r="C55" i="17"/>
  <c r="E54" i="17"/>
  <c r="AA52" i="17"/>
  <c r="AA51" i="17"/>
  <c r="E51" i="17"/>
  <c r="J50" i="17"/>
  <c r="M49" i="17"/>
  <c r="P48" i="17"/>
  <c r="U47" i="17"/>
  <c r="Y46" i="17"/>
  <c r="D46" i="17"/>
  <c r="J45" i="17"/>
  <c r="P44" i="17"/>
  <c r="U43" i="17"/>
  <c r="Y42" i="17"/>
  <c r="F42" i="17"/>
  <c r="L41" i="17"/>
  <c r="Q38" i="17"/>
  <c r="W37" i="17"/>
  <c r="C37" i="17"/>
  <c r="J36" i="17"/>
  <c r="Q35" i="17"/>
  <c r="X34" i="17"/>
  <c r="E34" i="17"/>
  <c r="L33" i="17"/>
  <c r="R32" i="17"/>
  <c r="Y31" i="17"/>
  <c r="G31" i="17"/>
  <c r="N30" i="17"/>
  <c r="U29" i="17"/>
  <c r="AA28" i="17"/>
  <c r="I28" i="17"/>
  <c r="O27" i="17"/>
  <c r="V26" i="17"/>
  <c r="D26" i="17"/>
  <c r="K25" i="17"/>
  <c r="R24" i="17"/>
  <c r="X23" i="17"/>
  <c r="F23" i="17"/>
  <c r="L22" i="17"/>
  <c r="S21" i="17"/>
  <c r="Z20" i="17"/>
  <c r="H20" i="17"/>
  <c r="O19" i="17"/>
  <c r="V18" i="17"/>
  <c r="F18" i="17"/>
  <c r="O17" i="17"/>
  <c r="X16" i="17"/>
  <c r="H16" i="17"/>
  <c r="E65" i="18"/>
  <c r="S52" i="18"/>
  <c r="K43" i="18"/>
  <c r="Y34" i="18"/>
  <c r="D27" i="18"/>
  <c r="J19" i="18"/>
  <c r="D12" i="18"/>
  <c r="R8" i="18"/>
  <c r="Q95" i="17"/>
  <c r="Y93" i="17"/>
  <c r="G92" i="17"/>
  <c r="W90" i="17"/>
  <c r="N89" i="17"/>
  <c r="E88" i="17"/>
  <c r="V86" i="17"/>
  <c r="Q85" i="17"/>
  <c r="P84" i="17"/>
  <c r="L80" i="17"/>
  <c r="G79" i="17"/>
  <c r="C78" i="17"/>
  <c r="Z76" i="17"/>
  <c r="X75" i="17"/>
  <c r="S74" i="17"/>
  <c r="N73" i="17"/>
  <c r="Z64" i="18"/>
  <c r="Q52" i="18"/>
  <c r="J43" i="18"/>
  <c r="V34" i="18"/>
  <c r="C27" i="18"/>
  <c r="I19" i="18"/>
  <c r="Z11" i="18"/>
  <c r="Q8" i="18"/>
  <c r="P95" i="17"/>
  <c r="Q93" i="17"/>
  <c r="F92" i="17"/>
  <c r="V90" i="17"/>
  <c r="M89" i="17"/>
  <c r="D88" i="17"/>
  <c r="U86" i="17"/>
  <c r="O85" i="17"/>
  <c r="M84" i="17"/>
  <c r="K80" i="17"/>
  <c r="F79" i="17"/>
  <c r="Z77" i="17"/>
  <c r="W76" i="17"/>
  <c r="V75" i="17"/>
  <c r="R74" i="17"/>
  <c r="M73" i="17"/>
  <c r="J72" i="17"/>
  <c r="L71" i="17"/>
  <c r="I70" i="17"/>
  <c r="I69" i="17"/>
  <c r="I68" i="17"/>
  <c r="G67" i="17"/>
  <c r="I66" i="17"/>
  <c r="F65" i="17"/>
  <c r="F64" i="17"/>
  <c r="F63" i="17"/>
  <c r="D62" i="17"/>
  <c r="F61" i="17"/>
  <c r="C60" i="17"/>
  <c r="C59" i="17"/>
  <c r="C58" i="17"/>
  <c r="Z56" i="17"/>
  <c r="C56" i="17"/>
  <c r="Y54" i="17"/>
  <c r="Y53" i="17"/>
  <c r="Y52" i="17"/>
  <c r="W51" i="17"/>
  <c r="C51" i="17"/>
  <c r="G50" i="17"/>
  <c r="I49" i="17"/>
  <c r="N48" i="17"/>
  <c r="R47" i="17"/>
  <c r="U46" i="17"/>
  <c r="AA45" i="17"/>
  <c r="H45" i="17"/>
  <c r="M44" i="17"/>
  <c r="S43" i="17"/>
  <c r="W42" i="17"/>
  <c r="D42" i="17"/>
  <c r="J41" i="17"/>
  <c r="O38" i="17"/>
  <c r="S37" i="17"/>
  <c r="Z36" i="17"/>
  <c r="H36" i="17"/>
  <c r="O35" i="17"/>
  <c r="U34" i="17"/>
  <c r="C34" i="17"/>
  <c r="I33" i="17"/>
  <c r="P32" i="17"/>
  <c r="W31" i="17"/>
  <c r="E31" i="17"/>
  <c r="L30" i="17"/>
  <c r="R29" i="17"/>
  <c r="Y28" i="17"/>
  <c r="F28" i="17"/>
  <c r="M27" i="17"/>
  <c r="T26" i="17"/>
  <c r="AA25" i="17"/>
  <c r="I48" i="18"/>
  <c r="K93" i="17"/>
  <c r="X79" i="17"/>
  <c r="T71" i="17"/>
  <c r="J66" i="17"/>
  <c r="U60" i="17"/>
  <c r="M55" i="17"/>
  <c r="I50" i="17"/>
  <c r="Q46" i="17"/>
  <c r="M43" i="17"/>
  <c r="W38" i="17"/>
  <c r="V36" i="17"/>
  <c r="Z34" i="17"/>
  <c r="Y32" i="17"/>
  <c r="Y30" i="17"/>
  <c r="E29" i="17"/>
  <c r="C27" i="17"/>
  <c r="I25" i="17"/>
  <c r="P23" i="17"/>
  <c r="X21" i="17"/>
  <c r="G20" i="17"/>
  <c r="P18" i="17"/>
  <c r="D17" i="17"/>
  <c r="V15" i="17"/>
  <c r="T14" i="17"/>
  <c r="R13" i="17"/>
  <c r="Q12" i="17"/>
  <c r="S11" i="17"/>
  <c r="S10" i="17"/>
  <c r="V9" i="17"/>
  <c r="W8" i="17"/>
  <c r="Y7" i="17"/>
  <c r="X6" i="16"/>
  <c r="W6" i="15"/>
  <c r="Y31" i="14"/>
  <c r="Z30" i="14"/>
  <c r="D30" i="14"/>
  <c r="E29" i="14"/>
  <c r="H28" i="14"/>
  <c r="H22" i="14"/>
  <c r="K21" i="14"/>
  <c r="L20" i="14"/>
  <c r="N18" i="14"/>
  <c r="P17" i="14"/>
  <c r="Q16" i="14"/>
  <c r="S15" i="14"/>
  <c r="T12" i="14"/>
  <c r="W11" i="14"/>
  <c r="X10" i="14"/>
  <c r="D10" i="14"/>
  <c r="G9" i="14"/>
  <c r="J8" i="14"/>
  <c r="O7" i="14"/>
  <c r="R73" i="13"/>
  <c r="U72" i="13"/>
  <c r="D72" i="13"/>
  <c r="L71" i="13"/>
  <c r="T70" i="13"/>
  <c r="C70" i="13"/>
  <c r="K69" i="13"/>
  <c r="S68" i="13"/>
  <c r="AA67" i="13"/>
  <c r="J67" i="13"/>
  <c r="R66" i="13"/>
  <c r="Z65" i="13"/>
  <c r="I65" i="13"/>
  <c r="P64" i="13"/>
  <c r="Y63" i="13"/>
  <c r="I63" i="13"/>
  <c r="R62" i="13"/>
  <c r="AA61" i="13"/>
  <c r="K61" i="13"/>
  <c r="T60" i="13"/>
  <c r="D60" i="13"/>
  <c r="M57" i="13"/>
  <c r="V56" i="13"/>
  <c r="F56" i="13"/>
  <c r="O55" i="13"/>
  <c r="X54" i="13"/>
  <c r="H54" i="13"/>
  <c r="Q53" i="13"/>
  <c r="Z52" i="13"/>
  <c r="J52" i="13"/>
  <c r="S51" i="13"/>
  <c r="C51" i="13"/>
  <c r="L50" i="13"/>
  <c r="U49" i="13"/>
  <c r="E49" i="13"/>
  <c r="N48" i="13"/>
  <c r="W47" i="13"/>
  <c r="G47" i="13"/>
  <c r="P46" i="13"/>
  <c r="Y45" i="13"/>
  <c r="I45" i="13"/>
  <c r="R44" i="13"/>
  <c r="AA41" i="13"/>
  <c r="K41" i="13"/>
  <c r="T40" i="13"/>
  <c r="D40" i="13"/>
  <c r="M39" i="13"/>
  <c r="V38" i="13"/>
  <c r="F38" i="13"/>
  <c r="O37" i="13"/>
  <c r="X36" i="13"/>
  <c r="H36" i="13"/>
  <c r="Q35" i="13"/>
  <c r="Z34" i="13"/>
  <c r="J34" i="13"/>
  <c r="S33" i="13"/>
  <c r="C33" i="13"/>
  <c r="L32" i="13"/>
  <c r="U31" i="13"/>
  <c r="E31" i="13"/>
  <c r="N28" i="13"/>
  <c r="W27" i="13"/>
  <c r="G27" i="13"/>
  <c r="P26" i="13"/>
  <c r="Y25" i="13"/>
  <c r="I25" i="13"/>
  <c r="R24" i="13"/>
  <c r="AA23" i="13"/>
  <c r="K23" i="13"/>
  <c r="T22" i="13"/>
  <c r="D22" i="13"/>
  <c r="M19" i="13"/>
  <c r="V18" i="13"/>
  <c r="F18" i="13"/>
  <c r="O17" i="13"/>
  <c r="X16" i="13"/>
  <c r="H16" i="13"/>
  <c r="Q15" i="13"/>
  <c r="Z14" i="13"/>
  <c r="J14" i="13"/>
  <c r="S13" i="13"/>
  <c r="C13" i="13"/>
  <c r="L12" i="13"/>
  <c r="U11" i="13"/>
  <c r="E11" i="13"/>
  <c r="N10" i="13"/>
  <c r="W9" i="13"/>
  <c r="G9" i="13"/>
  <c r="P8" i="13"/>
  <c r="Y7" i="13"/>
  <c r="I7" i="13"/>
  <c r="R100" i="12"/>
  <c r="AA99" i="12"/>
  <c r="K99" i="12"/>
  <c r="T98" i="12"/>
  <c r="D98" i="12"/>
  <c r="M97" i="12"/>
  <c r="V96" i="12"/>
  <c r="F96" i="12"/>
  <c r="O95" i="12"/>
  <c r="X94" i="12"/>
  <c r="H94" i="12"/>
  <c r="Q93" i="12"/>
  <c r="Z92" i="12"/>
  <c r="J92" i="12"/>
  <c r="S91" i="12"/>
  <c r="C91" i="12"/>
  <c r="L90" i="12"/>
  <c r="U89" i="12"/>
  <c r="E89" i="12"/>
  <c r="N88" i="12"/>
  <c r="W87" i="12"/>
  <c r="G87" i="12"/>
  <c r="P86" i="12"/>
  <c r="Y85" i="12"/>
  <c r="I85" i="12"/>
  <c r="R84" i="12"/>
  <c r="AA83" i="12"/>
  <c r="K83" i="12"/>
  <c r="T82" i="12"/>
  <c r="D82" i="12"/>
  <c r="M81" i="12"/>
  <c r="V80" i="12"/>
  <c r="F80" i="12"/>
  <c r="O79" i="12"/>
  <c r="X78" i="12"/>
  <c r="H78" i="12"/>
  <c r="Q77" i="12"/>
  <c r="Z76" i="12"/>
  <c r="J76" i="12"/>
  <c r="S75" i="12"/>
  <c r="C75" i="12"/>
  <c r="L74" i="12"/>
  <c r="U73" i="12"/>
  <c r="E73" i="12"/>
  <c r="N72" i="12"/>
  <c r="W71" i="12"/>
  <c r="G71" i="12"/>
  <c r="P70" i="12"/>
  <c r="Y69" i="12"/>
  <c r="I69" i="12"/>
  <c r="R68" i="12"/>
  <c r="AA67" i="12"/>
  <c r="K67" i="12"/>
  <c r="T66" i="12"/>
  <c r="D66" i="12"/>
  <c r="M65" i="12"/>
  <c r="V64" i="12"/>
  <c r="F64" i="12"/>
  <c r="O63" i="12"/>
  <c r="X62" i="12"/>
  <c r="H62" i="12"/>
  <c r="Q61" i="12"/>
  <c r="Z60" i="12"/>
  <c r="J60" i="12"/>
  <c r="S59" i="12"/>
  <c r="C59" i="12"/>
  <c r="L58" i="12"/>
  <c r="U57" i="12"/>
  <c r="E57" i="12"/>
  <c r="N56" i="12"/>
  <c r="W55" i="12"/>
  <c r="G55" i="12"/>
  <c r="P54" i="12"/>
  <c r="Y53" i="12"/>
  <c r="I53" i="12"/>
  <c r="R52" i="12"/>
  <c r="AA51" i="12"/>
  <c r="K51" i="12"/>
  <c r="T50" i="12"/>
  <c r="D50" i="12"/>
  <c r="M49" i="12"/>
  <c r="V48" i="12"/>
  <c r="F48" i="12"/>
  <c r="O45" i="12"/>
  <c r="X44" i="12"/>
  <c r="H44" i="12"/>
  <c r="Q43" i="12"/>
  <c r="Z41" i="12"/>
  <c r="J41" i="12"/>
  <c r="S40" i="12"/>
  <c r="C40" i="12"/>
  <c r="L39" i="12"/>
  <c r="U38" i="12"/>
  <c r="E38" i="12"/>
  <c r="N37" i="12"/>
  <c r="W36" i="12"/>
  <c r="G36" i="12"/>
  <c r="P35" i="12"/>
  <c r="Y34" i="12"/>
  <c r="I34" i="12"/>
  <c r="R33" i="12"/>
  <c r="AA32" i="12"/>
  <c r="K32" i="12"/>
  <c r="T30" i="12"/>
  <c r="D30" i="12"/>
  <c r="M29" i="12"/>
  <c r="V28" i="12"/>
  <c r="F28" i="12"/>
  <c r="O27" i="12"/>
  <c r="X26" i="12"/>
  <c r="H26" i="12"/>
  <c r="F46" i="18"/>
  <c r="W92" i="17"/>
  <c r="T79" i="17"/>
  <c r="M71" i="17"/>
  <c r="X65" i="17"/>
  <c r="P60" i="17"/>
  <c r="AA54" i="17"/>
  <c r="X49" i="17"/>
  <c r="P46" i="17"/>
  <c r="L43" i="17"/>
  <c r="V38" i="17"/>
  <c r="U36" i="17"/>
  <c r="W34" i="17"/>
  <c r="W32" i="17"/>
  <c r="X30" i="17"/>
  <c r="Z28" i="17"/>
  <c r="AA26" i="17"/>
  <c r="D25" i="17"/>
  <c r="L23" i="17"/>
  <c r="U21" i="17"/>
  <c r="F20" i="17"/>
  <c r="O18" i="17"/>
  <c r="C17" i="17"/>
  <c r="U15" i="17"/>
  <c r="S14" i="17"/>
  <c r="Q13" i="17"/>
  <c r="P12" i="17"/>
  <c r="Q11" i="17"/>
  <c r="R10" i="17"/>
  <c r="U9" i="17"/>
  <c r="U8" i="17"/>
  <c r="X7" i="17"/>
  <c r="V6" i="16"/>
  <c r="V6" i="15"/>
  <c r="X31" i="14"/>
  <c r="Y30" i="14"/>
  <c r="AA29" i="14"/>
  <c r="C29" i="14"/>
  <c r="F28" i="14"/>
  <c r="G22" i="14"/>
  <c r="J21" i="14"/>
  <c r="J20" i="14"/>
  <c r="M18" i="14"/>
  <c r="N17" i="14"/>
  <c r="P16" i="14"/>
  <c r="R15" i="14"/>
  <c r="S12" i="14"/>
  <c r="U11" i="14"/>
  <c r="W10" i="14"/>
  <c r="C10" i="14"/>
  <c r="F9" i="14"/>
  <c r="I8" i="14"/>
  <c r="N7" i="14"/>
  <c r="Q73" i="13"/>
  <c r="T72" i="13"/>
  <c r="C72" i="13"/>
  <c r="K71" i="13"/>
  <c r="S70" i="13"/>
  <c r="AA69" i="13"/>
  <c r="J69" i="13"/>
  <c r="R68" i="13"/>
  <c r="Z67" i="13"/>
  <c r="I67" i="13"/>
  <c r="Q66" i="13"/>
  <c r="Y65" i="13"/>
  <c r="G65" i="13"/>
  <c r="O64" i="13"/>
  <c r="X63" i="13"/>
  <c r="H63" i="13"/>
  <c r="Q62" i="13"/>
  <c r="Z61" i="13"/>
  <c r="J61" i="13"/>
  <c r="S60" i="13"/>
  <c r="C60" i="13"/>
  <c r="L57" i="13"/>
  <c r="U56" i="13"/>
  <c r="E56" i="13"/>
  <c r="N55" i="13"/>
  <c r="W54" i="13"/>
  <c r="G54" i="13"/>
  <c r="P53" i="13"/>
  <c r="Y52" i="13"/>
  <c r="I52" i="13"/>
  <c r="R51" i="13"/>
  <c r="AA50" i="13"/>
  <c r="K50" i="13"/>
  <c r="T49" i="13"/>
  <c r="D49" i="13"/>
  <c r="M48" i="13"/>
  <c r="V47" i="13"/>
  <c r="F47" i="13"/>
  <c r="O46" i="13"/>
  <c r="X45" i="13"/>
  <c r="H45" i="13"/>
  <c r="Q44" i="13"/>
  <c r="Z41" i="13"/>
  <c r="J41" i="13"/>
  <c r="S40" i="13"/>
  <c r="C40" i="13"/>
  <c r="L39" i="13"/>
  <c r="U38" i="13"/>
  <c r="E38" i="13"/>
  <c r="N37" i="13"/>
  <c r="W36" i="13"/>
  <c r="G36" i="13"/>
  <c r="P35" i="13"/>
  <c r="Y34" i="13"/>
  <c r="I34" i="13"/>
  <c r="R33" i="13"/>
  <c r="AA32" i="13"/>
  <c r="K32" i="13"/>
  <c r="T31" i="13"/>
  <c r="D31" i="13"/>
  <c r="M28" i="13"/>
  <c r="V27" i="13"/>
  <c r="F27" i="13"/>
  <c r="O26" i="13"/>
  <c r="X25" i="13"/>
  <c r="H25" i="13"/>
  <c r="Q24" i="13"/>
  <c r="Z23" i="13"/>
  <c r="J23" i="13"/>
  <c r="S22" i="13"/>
  <c r="C22" i="13"/>
  <c r="L19" i="13"/>
  <c r="U18" i="13"/>
  <c r="E18" i="13"/>
  <c r="N17" i="13"/>
  <c r="W16" i="13"/>
  <c r="G16" i="13"/>
  <c r="P15" i="13"/>
  <c r="Y14" i="13"/>
  <c r="I14" i="13"/>
  <c r="R13" i="13"/>
  <c r="AA12" i="13"/>
  <c r="K12" i="13"/>
  <c r="T11" i="13"/>
  <c r="D11" i="13"/>
  <c r="M10" i="13"/>
  <c r="V9" i="13"/>
  <c r="F9" i="13"/>
  <c r="O8" i="13"/>
  <c r="X7" i="13"/>
  <c r="H7" i="13"/>
  <c r="Q100" i="12"/>
  <c r="Z99" i="12"/>
  <c r="J99" i="12"/>
  <c r="S98" i="12"/>
  <c r="C98" i="12"/>
  <c r="L97" i="12"/>
  <c r="U96" i="12"/>
  <c r="E96" i="12"/>
  <c r="N95" i="12"/>
  <c r="W94" i="12"/>
  <c r="P40" i="18"/>
  <c r="R91" i="17"/>
  <c r="U78" i="17"/>
  <c r="AA70" i="17"/>
  <c r="S65" i="17"/>
  <c r="E60" i="17"/>
  <c r="S54" i="17"/>
  <c r="T49" i="17"/>
  <c r="K46" i="17"/>
  <c r="H43" i="17"/>
  <c r="T38" i="17"/>
  <c r="P36" i="17"/>
  <c r="P34" i="17"/>
  <c r="U32" i="17"/>
  <c r="S30" i="17"/>
  <c r="T28" i="17"/>
  <c r="X26" i="17"/>
  <c r="C25" i="17"/>
  <c r="K23" i="17"/>
  <c r="R21" i="17"/>
  <c r="Z19" i="17"/>
  <c r="K18" i="17"/>
  <c r="Z16" i="17"/>
  <c r="S15" i="17"/>
  <c r="O14" i="17"/>
  <c r="O13" i="17"/>
  <c r="N12" i="17"/>
  <c r="O11" i="17"/>
  <c r="P10" i="17"/>
  <c r="S9" i="17"/>
  <c r="T8" i="17"/>
  <c r="W7" i="17"/>
  <c r="T6" i="16"/>
  <c r="U6" i="15"/>
  <c r="V31" i="14"/>
  <c r="X30" i="14"/>
  <c r="Z29" i="14"/>
  <c r="AA28" i="14"/>
  <c r="D28" i="14"/>
  <c r="E22" i="14"/>
  <c r="H21" i="14"/>
  <c r="I20" i="14"/>
  <c r="L18" i="14"/>
  <c r="L17" i="14"/>
  <c r="O16" i="14"/>
  <c r="P15" i="14"/>
  <c r="R12" i="14"/>
  <c r="T11" i="14"/>
  <c r="V10" i="14"/>
  <c r="AA9" i="14"/>
  <c r="D9" i="14"/>
  <c r="H8" i="14"/>
  <c r="M7" i="14"/>
  <c r="O73" i="13"/>
  <c r="S72" i="13"/>
  <c r="AA71" i="13"/>
  <c r="J71" i="13"/>
  <c r="R70" i="13"/>
  <c r="Z69" i="13"/>
  <c r="I69" i="13"/>
  <c r="Q68" i="13"/>
  <c r="Y67" i="13"/>
  <c r="H67" i="13"/>
  <c r="P66" i="13"/>
  <c r="W65" i="13"/>
  <c r="F65" i="13"/>
  <c r="N64" i="13"/>
  <c r="W63" i="13"/>
  <c r="G63" i="13"/>
  <c r="P62" i="13"/>
  <c r="Y61" i="13"/>
  <c r="I61" i="13"/>
  <c r="R60" i="13"/>
  <c r="AA57" i="13"/>
  <c r="K57" i="13"/>
  <c r="T56" i="13"/>
  <c r="D56" i="13"/>
  <c r="M55" i="13"/>
  <c r="V54" i="13"/>
  <c r="F54" i="13"/>
  <c r="O53" i="13"/>
  <c r="X52" i="13"/>
  <c r="H52" i="13"/>
  <c r="Q51" i="13"/>
  <c r="Z50" i="13"/>
  <c r="J50" i="13"/>
  <c r="S49" i="13"/>
  <c r="C49" i="13"/>
  <c r="L48" i="13"/>
  <c r="U47" i="13"/>
  <c r="E47" i="13"/>
  <c r="N46" i="13"/>
  <c r="W45" i="13"/>
  <c r="G45" i="13"/>
  <c r="P44" i="13"/>
  <c r="Y41" i="13"/>
  <c r="I41" i="13"/>
  <c r="R40" i="13"/>
  <c r="AA39" i="13"/>
  <c r="K39" i="13"/>
  <c r="T38" i="13"/>
  <c r="D38" i="13"/>
  <c r="M37" i="13"/>
  <c r="V36" i="13"/>
  <c r="F36" i="13"/>
  <c r="O35" i="13"/>
  <c r="X34" i="13"/>
  <c r="H34" i="13"/>
  <c r="Q33" i="13"/>
  <c r="Z32" i="13"/>
  <c r="J32" i="13"/>
  <c r="S31" i="13"/>
  <c r="C31" i="13"/>
  <c r="L28" i="13"/>
  <c r="U27" i="13"/>
  <c r="E27" i="13"/>
  <c r="N26" i="13"/>
  <c r="W25" i="13"/>
  <c r="G25" i="13"/>
  <c r="P24" i="13"/>
  <c r="Y23" i="13"/>
  <c r="I23" i="13"/>
  <c r="R22" i="13"/>
  <c r="AA19" i="13"/>
  <c r="K19" i="13"/>
  <c r="T18" i="13"/>
  <c r="D18" i="13"/>
  <c r="M17" i="13"/>
  <c r="V16" i="13"/>
  <c r="F16" i="13"/>
  <c r="O15" i="13"/>
  <c r="X14" i="13"/>
  <c r="H14" i="13"/>
  <c r="Q13" i="13"/>
  <c r="Z12" i="13"/>
  <c r="J12" i="13"/>
  <c r="S11" i="13"/>
  <c r="C11" i="13"/>
  <c r="L10" i="13"/>
  <c r="U9" i="13"/>
  <c r="E9" i="13"/>
  <c r="N8" i="13"/>
  <c r="W7" i="13"/>
  <c r="G7" i="13"/>
  <c r="P100" i="12"/>
  <c r="Y99" i="12"/>
  <c r="I99" i="12"/>
  <c r="R98" i="12"/>
  <c r="AA97" i="12"/>
  <c r="K97" i="12"/>
  <c r="T96" i="12"/>
  <c r="D96" i="12"/>
  <c r="M95" i="12"/>
  <c r="V94" i="12"/>
  <c r="F94" i="12"/>
  <c r="O93" i="12"/>
  <c r="X92" i="12"/>
  <c r="H92" i="12"/>
  <c r="Q91" i="12"/>
  <c r="Z90" i="12"/>
  <c r="J90" i="12"/>
  <c r="S89" i="12"/>
  <c r="C89" i="12"/>
  <c r="S37" i="18"/>
  <c r="M91" i="17"/>
  <c r="O78" i="17"/>
  <c r="V70" i="17"/>
  <c r="H65" i="17"/>
  <c r="V59" i="17"/>
  <c r="K54" i="17"/>
  <c r="J49" i="17"/>
  <c r="C46" i="17"/>
  <c r="X42" i="17"/>
  <c r="P38" i="17"/>
  <c r="N36" i="17"/>
  <c r="O34" i="17"/>
  <c r="Q32" i="17"/>
  <c r="R30" i="17"/>
  <c r="S28" i="17"/>
  <c r="U26" i="17"/>
  <c r="W24" i="17"/>
  <c r="H23" i="17"/>
  <c r="Q21" i="17"/>
  <c r="Y19" i="17"/>
  <c r="J18" i="17"/>
  <c r="W16" i="17"/>
  <c r="Q15" i="17"/>
  <c r="N14" i="17"/>
  <c r="M13" i="17"/>
  <c r="L12" i="17"/>
  <c r="N11" i="17"/>
  <c r="O10" i="17"/>
  <c r="Q9" i="17"/>
  <c r="R8" i="17"/>
  <c r="U7" i="17"/>
  <c r="S6" i="16"/>
  <c r="T6" i="15"/>
  <c r="T31" i="14"/>
  <c r="W30" i="14"/>
  <c r="X29" i="14"/>
  <c r="Z28" i="14"/>
  <c r="C28" i="14"/>
  <c r="D22" i="14"/>
  <c r="F21" i="14"/>
  <c r="G20" i="14"/>
  <c r="J18" i="14"/>
  <c r="K17" i="14"/>
  <c r="N16" i="14"/>
  <c r="N15" i="14"/>
  <c r="Q12" i="14"/>
  <c r="R11" i="14"/>
  <c r="U10" i="14"/>
  <c r="Y9" i="14"/>
  <c r="AA8" i="14"/>
  <c r="G8" i="14"/>
  <c r="K7" i="14"/>
  <c r="M73" i="13"/>
  <c r="R72" i="13"/>
  <c r="Z71" i="13"/>
  <c r="I71" i="13"/>
  <c r="Q70" i="13"/>
  <c r="Y69" i="13"/>
  <c r="H69" i="13"/>
  <c r="P68" i="13"/>
  <c r="X67" i="13"/>
  <c r="G67" i="13"/>
  <c r="N66" i="13"/>
  <c r="V65" i="13"/>
  <c r="E65" i="13"/>
  <c r="M64" i="13"/>
  <c r="V63" i="13"/>
  <c r="F63" i="13"/>
  <c r="O62" i="13"/>
  <c r="X61" i="13"/>
  <c r="H61" i="13"/>
  <c r="Q60" i="13"/>
  <c r="Z57" i="13"/>
  <c r="J57" i="13"/>
  <c r="S56" i="13"/>
  <c r="C56" i="13"/>
  <c r="L55" i="13"/>
  <c r="U54" i="13"/>
  <c r="E54" i="13"/>
  <c r="N53" i="13"/>
  <c r="W52" i="13"/>
  <c r="G52" i="13"/>
  <c r="P51" i="13"/>
  <c r="Y50" i="13"/>
  <c r="I50" i="13"/>
  <c r="R49" i="13"/>
  <c r="AA48" i="13"/>
  <c r="K48" i="13"/>
  <c r="T47" i="13"/>
  <c r="D47" i="13"/>
  <c r="M46" i="13"/>
  <c r="V45" i="13"/>
  <c r="F45" i="13"/>
  <c r="O44" i="13"/>
  <c r="X41" i="13"/>
  <c r="H41" i="13"/>
  <c r="Q40" i="13"/>
  <c r="Z39" i="13"/>
  <c r="J39" i="13"/>
  <c r="S38" i="13"/>
  <c r="C38" i="13"/>
  <c r="L37" i="13"/>
  <c r="U36" i="13"/>
  <c r="E36" i="13"/>
  <c r="N35" i="13"/>
  <c r="W34" i="13"/>
  <c r="G34" i="13"/>
  <c r="P33" i="13"/>
  <c r="Y32" i="13"/>
  <c r="I32" i="13"/>
  <c r="R31" i="13"/>
  <c r="AA28" i="13"/>
  <c r="K28" i="13"/>
  <c r="T27" i="13"/>
  <c r="D27" i="13"/>
  <c r="M26" i="13"/>
  <c r="V25" i="13"/>
  <c r="F25" i="13"/>
  <c r="O24" i="13"/>
  <c r="X23" i="13"/>
  <c r="H23" i="13"/>
  <c r="Q22" i="13"/>
  <c r="Z19" i="13"/>
  <c r="J19" i="13"/>
  <c r="S18" i="13"/>
  <c r="C18" i="13"/>
  <c r="K32" i="18"/>
  <c r="I90" i="17"/>
  <c r="T77" i="17"/>
  <c r="K70" i="17"/>
  <c r="Y64" i="17"/>
  <c r="N59" i="17"/>
  <c r="C54" i="17"/>
  <c r="E49" i="17"/>
  <c r="W45" i="17"/>
  <c r="S42" i="17"/>
  <c r="I38" i="17"/>
  <c r="L36" i="17"/>
  <c r="K34" i="17"/>
  <c r="L32" i="17"/>
  <c r="P30" i="17"/>
  <c r="O28" i="17"/>
  <c r="P26" i="17"/>
  <c r="V24" i="17"/>
  <c r="E23" i="17"/>
  <c r="M21" i="17"/>
  <c r="T19" i="17"/>
  <c r="H18" i="17"/>
  <c r="V16" i="17"/>
  <c r="P15" i="17"/>
  <c r="L14" i="17"/>
  <c r="L13" i="17"/>
  <c r="K12" i="17"/>
  <c r="L11" i="17"/>
  <c r="N10" i="17"/>
  <c r="P9" i="17"/>
  <c r="Q8" i="17"/>
  <c r="S7" i="17"/>
  <c r="Q6" i="16"/>
  <c r="R6" i="15"/>
  <c r="S31" i="14"/>
  <c r="V30" i="14"/>
  <c r="V29" i="14"/>
  <c r="Y28" i="14"/>
  <c r="Z22" i="14"/>
  <c r="C22" i="14"/>
  <c r="E21" i="14"/>
  <c r="F20" i="14"/>
  <c r="H18" i="14"/>
  <c r="I17" i="14"/>
  <c r="L16" i="14"/>
  <c r="M15" i="14"/>
  <c r="P12" i="14"/>
  <c r="P11" i="14"/>
  <c r="T10" i="14"/>
  <c r="W9" i="14"/>
  <c r="Z8" i="14"/>
  <c r="F8" i="14"/>
  <c r="I7" i="14"/>
  <c r="L73" i="13"/>
  <c r="Q72" i="13"/>
  <c r="Y71" i="13"/>
  <c r="H71" i="13"/>
  <c r="P70" i="13"/>
  <c r="X69" i="13"/>
  <c r="G69" i="13"/>
  <c r="O68" i="13"/>
  <c r="W67" i="13"/>
  <c r="E67" i="13"/>
  <c r="M66" i="13"/>
  <c r="U65" i="13"/>
  <c r="D65" i="13"/>
  <c r="L64" i="13"/>
  <c r="U63" i="13"/>
  <c r="E63" i="13"/>
  <c r="N62" i="13"/>
  <c r="W61" i="13"/>
  <c r="G61" i="13"/>
  <c r="P60" i="13"/>
  <c r="Y57" i="13"/>
  <c r="I57" i="13"/>
  <c r="R56" i="13"/>
  <c r="AA55" i="13"/>
  <c r="K55" i="13"/>
  <c r="T54" i="13"/>
  <c r="D54" i="13"/>
  <c r="M53" i="13"/>
  <c r="V52" i="13"/>
  <c r="F52" i="13"/>
  <c r="O51" i="13"/>
  <c r="X50" i="13"/>
  <c r="H50" i="13"/>
  <c r="Q49" i="13"/>
  <c r="Z48" i="13"/>
  <c r="J48" i="13"/>
  <c r="S47" i="13"/>
  <c r="C47" i="13"/>
  <c r="L46" i="13"/>
  <c r="U45" i="13"/>
  <c r="E45" i="13"/>
  <c r="N44" i="13"/>
  <c r="W41" i="13"/>
  <c r="G41" i="13"/>
  <c r="P40" i="13"/>
  <c r="Y39" i="13"/>
  <c r="I39" i="13"/>
  <c r="R38" i="13"/>
  <c r="AA37" i="13"/>
  <c r="K37" i="13"/>
  <c r="T36" i="13"/>
  <c r="D36" i="13"/>
  <c r="M35" i="13"/>
  <c r="V34" i="13"/>
  <c r="F34" i="13"/>
  <c r="O33" i="13"/>
  <c r="X32" i="13"/>
  <c r="H32" i="13"/>
  <c r="Q31" i="13"/>
  <c r="Z28" i="13"/>
  <c r="J28" i="13"/>
  <c r="S27" i="13"/>
  <c r="C27" i="13"/>
  <c r="L26" i="13"/>
  <c r="U25" i="13"/>
  <c r="E25" i="13"/>
  <c r="N24" i="13"/>
  <c r="R29" i="18"/>
  <c r="D90" i="17"/>
  <c r="J77" i="17"/>
  <c r="C70" i="17"/>
  <c r="Q64" i="17"/>
  <c r="F59" i="17"/>
  <c r="Q53" i="17"/>
  <c r="D49" i="17"/>
  <c r="V45" i="17"/>
  <c r="R42" i="17"/>
  <c r="H38" i="17"/>
  <c r="I36" i="17"/>
  <c r="J34" i="17"/>
  <c r="K32" i="17"/>
  <c r="M30" i="17"/>
  <c r="N28" i="17"/>
  <c r="O26" i="17"/>
  <c r="T24" i="17"/>
  <c r="C23" i="17"/>
  <c r="L21" i="17"/>
  <c r="S19" i="17"/>
  <c r="E18" i="17"/>
  <c r="T16" i="17"/>
  <c r="O15" i="17"/>
  <c r="J14" i="17"/>
  <c r="J13" i="17"/>
  <c r="J12" i="17"/>
  <c r="J11" i="17"/>
  <c r="M10" i="17"/>
  <c r="N9" i="17"/>
  <c r="P8" i="17"/>
  <c r="R7" i="17"/>
  <c r="P6" i="16"/>
  <c r="P6" i="15"/>
  <c r="Q31" i="14"/>
  <c r="T30" i="14"/>
  <c r="U29" i="14"/>
  <c r="X28" i="14"/>
  <c r="X22" i="14"/>
  <c r="AA21" i="14"/>
  <c r="C21" i="14"/>
  <c r="E20" i="14"/>
  <c r="G18" i="14"/>
  <c r="H17" i="14"/>
  <c r="J16" i="14"/>
  <c r="K15" i="14"/>
  <c r="N12" i="14"/>
  <c r="O11" i="14"/>
  <c r="S10" i="14"/>
  <c r="V9" i="14"/>
  <c r="Y8" i="14"/>
  <c r="E8" i="14"/>
  <c r="H7" i="14"/>
  <c r="K73" i="13"/>
  <c r="P72" i="13"/>
  <c r="X71" i="13"/>
  <c r="G71" i="13"/>
  <c r="O70" i="13"/>
  <c r="W69" i="13"/>
  <c r="F69" i="13"/>
  <c r="N68" i="13"/>
  <c r="U67" i="13"/>
  <c r="D67" i="13"/>
  <c r="L66" i="13"/>
  <c r="T65" i="13"/>
  <c r="C65" i="13"/>
  <c r="K64" i="13"/>
  <c r="T63" i="13"/>
  <c r="D63" i="13"/>
  <c r="M62" i="13"/>
  <c r="V61" i="13"/>
  <c r="F61" i="13"/>
  <c r="O60" i="13"/>
  <c r="X57" i="13"/>
  <c r="H57" i="13"/>
  <c r="Q56" i="13"/>
  <c r="Z55" i="13"/>
  <c r="J55" i="13"/>
  <c r="S54" i="13"/>
  <c r="C54" i="13"/>
  <c r="L53" i="13"/>
  <c r="U52" i="13"/>
  <c r="E52" i="13"/>
  <c r="N51" i="13"/>
  <c r="W50" i="13"/>
  <c r="G50" i="13"/>
  <c r="P49" i="13"/>
  <c r="Y48" i="13"/>
  <c r="I48" i="13"/>
  <c r="R47" i="13"/>
  <c r="AA46" i="13"/>
  <c r="K46" i="13"/>
  <c r="T45" i="13"/>
  <c r="D45" i="13"/>
  <c r="M44" i="13"/>
  <c r="V41" i="13"/>
  <c r="F41" i="13"/>
  <c r="O40" i="13"/>
  <c r="X39" i="13"/>
  <c r="H39" i="13"/>
  <c r="Q38" i="13"/>
  <c r="Z37" i="13"/>
  <c r="J37" i="13"/>
  <c r="S36" i="13"/>
  <c r="C36" i="13"/>
  <c r="L35" i="13"/>
  <c r="U34" i="13"/>
  <c r="E34" i="13"/>
  <c r="N33" i="13"/>
  <c r="W32" i="13"/>
  <c r="G32" i="13"/>
  <c r="P31" i="13"/>
  <c r="Y28" i="13"/>
  <c r="I28" i="13"/>
  <c r="R27" i="13"/>
  <c r="AA26" i="13"/>
  <c r="K26" i="13"/>
  <c r="T25" i="13"/>
  <c r="D25" i="13"/>
  <c r="M24" i="13"/>
  <c r="V23" i="13"/>
  <c r="F23" i="13"/>
  <c r="O22" i="13"/>
  <c r="X19" i="13"/>
  <c r="H19" i="13"/>
  <c r="Q18" i="13"/>
  <c r="Z17" i="13"/>
  <c r="J17" i="13"/>
  <c r="S16" i="13"/>
  <c r="C16" i="13"/>
  <c r="L15" i="13"/>
  <c r="U14" i="13"/>
  <c r="E14" i="13"/>
  <c r="N13" i="13"/>
  <c r="W12" i="13"/>
  <c r="G12" i="13"/>
  <c r="P11" i="13"/>
  <c r="Y10" i="13"/>
  <c r="I10" i="13"/>
  <c r="R9" i="13"/>
  <c r="AA8" i="13"/>
  <c r="K8" i="13"/>
  <c r="T7" i="13"/>
  <c r="D7" i="13"/>
  <c r="M100" i="12"/>
  <c r="V99" i="12"/>
  <c r="F99" i="12"/>
  <c r="O98" i="12"/>
  <c r="X97" i="12"/>
  <c r="H97" i="12"/>
  <c r="Q96" i="12"/>
  <c r="Z95" i="12"/>
  <c r="J95" i="12"/>
  <c r="S94" i="12"/>
  <c r="C94" i="12"/>
  <c r="L93" i="12"/>
  <c r="U92" i="12"/>
  <c r="E92" i="12"/>
  <c r="N91" i="12"/>
  <c r="W90" i="12"/>
  <c r="G90" i="12"/>
  <c r="P89" i="12"/>
  <c r="Y88" i="12"/>
  <c r="I88" i="12"/>
  <c r="R87" i="12"/>
  <c r="AA86" i="12"/>
  <c r="K86" i="12"/>
  <c r="T85" i="12"/>
  <c r="D85" i="12"/>
  <c r="M84" i="12"/>
  <c r="V83" i="12"/>
  <c r="F83" i="12"/>
  <c r="O82" i="12"/>
  <c r="X81" i="12"/>
  <c r="H81" i="12"/>
  <c r="Q80" i="12"/>
  <c r="Z79" i="12"/>
  <c r="J79" i="12"/>
  <c r="S78" i="12"/>
  <c r="C78" i="12"/>
  <c r="L77" i="12"/>
  <c r="U76" i="12"/>
  <c r="E76" i="12"/>
  <c r="N75" i="12"/>
  <c r="W74" i="12"/>
  <c r="G74" i="12"/>
  <c r="P73" i="12"/>
  <c r="Y72" i="12"/>
  <c r="I72" i="12"/>
  <c r="R71" i="12"/>
  <c r="AA70" i="12"/>
  <c r="K70" i="12"/>
  <c r="T69" i="12"/>
  <c r="D69" i="12"/>
  <c r="M68" i="12"/>
  <c r="V67" i="12"/>
  <c r="O23" i="18"/>
  <c r="Y88" i="17"/>
  <c r="P76" i="17"/>
  <c r="T69" i="17"/>
  <c r="I64" i="17"/>
  <c r="T58" i="17"/>
  <c r="L53" i="17"/>
  <c r="W48" i="17"/>
  <c r="Q45" i="17"/>
  <c r="M42" i="17"/>
  <c r="D38" i="17"/>
  <c r="C36" i="17"/>
  <c r="H34" i="17"/>
  <c r="F32" i="17"/>
  <c r="G30" i="17"/>
  <c r="K28" i="17"/>
  <c r="J26" i="17"/>
  <c r="Q24" i="17"/>
  <c r="X22" i="17"/>
  <c r="G21" i="17"/>
  <c r="Q19" i="17"/>
  <c r="D18" i="17"/>
  <c r="R16" i="17"/>
  <c r="M15" i="17"/>
  <c r="I14" i="17"/>
  <c r="H13" i="17"/>
  <c r="H12" i="17"/>
  <c r="I11" i="17"/>
  <c r="L10" i="17"/>
  <c r="L9" i="17"/>
  <c r="O8" i="17"/>
  <c r="P7" i="17"/>
  <c r="O6" i="16"/>
  <c r="O6" i="15"/>
  <c r="P31" i="14"/>
  <c r="R30" i="14"/>
  <c r="S29" i="14"/>
  <c r="V28" i="14"/>
  <c r="W22" i="14"/>
  <c r="Z21" i="14"/>
  <c r="Z20" i="14"/>
  <c r="D20" i="14"/>
  <c r="E18" i="14"/>
  <c r="G17" i="14"/>
  <c r="I16" i="14"/>
  <c r="J15" i="14"/>
  <c r="L12" i="14"/>
  <c r="M11" i="14"/>
  <c r="R10" i="14"/>
  <c r="T9" i="14"/>
  <c r="X8" i="14"/>
  <c r="D8" i="14"/>
  <c r="F7" i="14"/>
  <c r="J73" i="13"/>
  <c r="O72" i="13"/>
  <c r="W71" i="13"/>
  <c r="F71" i="13"/>
  <c r="N70" i="13"/>
  <c r="V69" i="13"/>
  <c r="E69" i="13"/>
  <c r="L68" i="13"/>
  <c r="T67" i="13"/>
  <c r="C67" i="13"/>
  <c r="K66" i="13"/>
  <c r="S65" i="13"/>
  <c r="AA64" i="13"/>
  <c r="J64" i="13"/>
  <c r="S63" i="13"/>
  <c r="C63" i="13"/>
  <c r="L62" i="13"/>
  <c r="U61" i="13"/>
  <c r="E61" i="13"/>
  <c r="N60" i="13"/>
  <c r="W57" i="13"/>
  <c r="G57" i="13"/>
  <c r="P56" i="13"/>
  <c r="Y55" i="13"/>
  <c r="I55" i="13"/>
  <c r="R54" i="13"/>
  <c r="AA53" i="13"/>
  <c r="K53" i="13"/>
  <c r="T52" i="13"/>
  <c r="D52" i="13"/>
  <c r="M51" i="13"/>
  <c r="V50" i="13"/>
  <c r="F50" i="13"/>
  <c r="O49" i="13"/>
  <c r="X48" i="13"/>
  <c r="H48" i="13"/>
  <c r="Q47" i="13"/>
  <c r="Z46" i="13"/>
  <c r="J46" i="13"/>
  <c r="S45" i="13"/>
  <c r="C45" i="13"/>
  <c r="L44" i="13"/>
  <c r="U41" i="13"/>
  <c r="E41" i="13"/>
  <c r="N40" i="13"/>
  <c r="W39" i="13"/>
  <c r="G39" i="13"/>
  <c r="P38" i="13"/>
  <c r="Y37" i="13"/>
  <c r="I37" i="13"/>
  <c r="R36" i="13"/>
  <c r="AA35" i="13"/>
  <c r="K35" i="13"/>
  <c r="T34" i="13"/>
  <c r="V21" i="18"/>
  <c r="T88" i="17"/>
  <c r="G76" i="17"/>
  <c r="L69" i="17"/>
  <c r="W63" i="17"/>
  <c r="O58" i="17"/>
  <c r="Z52" i="17"/>
  <c r="O48" i="17"/>
  <c r="I45" i="17"/>
  <c r="H42" i="17"/>
  <c r="C38" i="17"/>
  <c r="AA35" i="17"/>
  <c r="D34" i="17"/>
  <c r="E32" i="17"/>
  <c r="F30" i="17"/>
  <c r="H28" i="17"/>
  <c r="H26" i="17"/>
  <c r="O24" i="17"/>
  <c r="W22" i="17"/>
  <c r="E21" i="17"/>
  <c r="N19" i="17"/>
  <c r="Y17" i="17"/>
  <c r="Q16" i="17"/>
  <c r="K15" i="17"/>
  <c r="H14" i="17"/>
  <c r="G13" i="17"/>
  <c r="F12" i="17"/>
  <c r="G11" i="17"/>
  <c r="J10" i="17"/>
  <c r="K9" i="17"/>
  <c r="N8" i="17"/>
  <c r="N7" i="17"/>
  <c r="N6" i="16"/>
  <c r="M6" i="15"/>
  <c r="O31" i="14"/>
  <c r="Q30" i="14"/>
  <c r="R29" i="14"/>
  <c r="T28" i="14"/>
  <c r="U22" i="14"/>
  <c r="X21" i="14"/>
  <c r="Y20" i="14"/>
  <c r="C20" i="14"/>
  <c r="C18" i="14"/>
  <c r="F17" i="14"/>
  <c r="G16" i="14"/>
  <c r="I15" i="14"/>
  <c r="K12" i="14"/>
  <c r="L11" i="14"/>
  <c r="P10" i="14"/>
  <c r="R9" i="14"/>
  <c r="W8" i="14"/>
  <c r="AA7" i="14"/>
  <c r="D7" i="14"/>
  <c r="I73" i="13"/>
  <c r="N72" i="13"/>
  <c r="V71" i="13"/>
  <c r="E71" i="13"/>
  <c r="M70" i="13"/>
  <c r="U69" i="13"/>
  <c r="C69" i="13"/>
  <c r="K68" i="13"/>
  <c r="S67" i="13"/>
  <c r="AA66" i="13"/>
  <c r="J66" i="13"/>
  <c r="R65" i="13"/>
  <c r="Z64" i="13"/>
  <c r="I64" i="13"/>
  <c r="R63" i="13"/>
  <c r="AA62" i="13"/>
  <c r="K62" i="13"/>
  <c r="T61" i="13"/>
  <c r="D61" i="13"/>
  <c r="M60" i="13"/>
  <c r="V57" i="13"/>
  <c r="F57" i="13"/>
  <c r="O56" i="13"/>
  <c r="X55" i="13"/>
  <c r="H55" i="13"/>
  <c r="Q54" i="13"/>
  <c r="Z53" i="13"/>
  <c r="J53" i="13"/>
  <c r="S52" i="13"/>
  <c r="C52" i="13"/>
  <c r="L51" i="13"/>
  <c r="U50" i="13"/>
  <c r="E50" i="13"/>
  <c r="N49" i="13"/>
  <c r="W48" i="13"/>
  <c r="G48" i="13"/>
  <c r="P47" i="13"/>
  <c r="Y46" i="13"/>
  <c r="I46" i="13"/>
  <c r="R45" i="13"/>
  <c r="AA44" i="13"/>
  <c r="K44" i="13"/>
  <c r="T41" i="13"/>
  <c r="D41" i="13"/>
  <c r="M40" i="13"/>
  <c r="V39" i="13"/>
  <c r="F39" i="13"/>
  <c r="O38" i="13"/>
  <c r="X37" i="13"/>
  <c r="H37" i="13"/>
  <c r="Q36" i="13"/>
  <c r="Z35" i="13"/>
  <c r="J35" i="13"/>
  <c r="S34" i="13"/>
  <c r="C34" i="13"/>
  <c r="L33" i="13"/>
  <c r="U32" i="13"/>
  <c r="E32" i="13"/>
  <c r="N31" i="13"/>
  <c r="W28" i="13"/>
  <c r="G28" i="13"/>
  <c r="P27" i="13"/>
  <c r="Y26" i="13"/>
  <c r="I26" i="13"/>
  <c r="R25" i="13"/>
  <c r="AA24" i="13"/>
  <c r="K24" i="13"/>
  <c r="T23" i="13"/>
  <c r="D23" i="13"/>
  <c r="M22" i="13"/>
  <c r="V19" i="13"/>
  <c r="F19" i="13"/>
  <c r="O18" i="13"/>
  <c r="X17" i="13"/>
  <c r="H17" i="13"/>
  <c r="Q16" i="13"/>
  <c r="Z15" i="13"/>
  <c r="J15" i="13"/>
  <c r="S14" i="13"/>
  <c r="C14" i="13"/>
  <c r="L13" i="13"/>
  <c r="U12" i="13"/>
  <c r="E12" i="13"/>
  <c r="N11" i="13"/>
  <c r="W10" i="13"/>
  <c r="G10" i="13"/>
  <c r="P9" i="13"/>
  <c r="Y8" i="13"/>
  <c r="I8" i="13"/>
  <c r="R7" i="13"/>
  <c r="AA100" i="12"/>
  <c r="K100" i="12"/>
  <c r="T99" i="12"/>
  <c r="D99" i="12"/>
  <c r="M98" i="12"/>
  <c r="V97" i="12"/>
  <c r="F97" i="12"/>
  <c r="O96" i="12"/>
  <c r="X95" i="12"/>
  <c r="H95" i="12"/>
  <c r="Q94" i="12"/>
  <c r="Z93" i="12"/>
  <c r="J93" i="12"/>
  <c r="S92" i="12"/>
  <c r="C92" i="12"/>
  <c r="L91" i="12"/>
  <c r="U90" i="12"/>
  <c r="E90" i="12"/>
  <c r="N89" i="12"/>
  <c r="W88" i="12"/>
  <c r="G88" i="12"/>
  <c r="P87" i="12"/>
  <c r="Y86" i="12"/>
  <c r="I86" i="12"/>
  <c r="R85" i="12"/>
  <c r="AA84" i="12"/>
  <c r="K84" i="12"/>
  <c r="T83" i="12"/>
  <c r="D83" i="12"/>
  <c r="M82" i="12"/>
  <c r="V81" i="12"/>
  <c r="F81" i="12"/>
  <c r="O80" i="12"/>
  <c r="X79" i="12"/>
  <c r="H79" i="12"/>
  <c r="Q78" i="12"/>
  <c r="Z77" i="12"/>
  <c r="J77" i="12"/>
  <c r="S76" i="12"/>
  <c r="C76" i="12"/>
  <c r="L75" i="12"/>
  <c r="U74" i="12"/>
  <c r="E74" i="12"/>
  <c r="N73" i="12"/>
  <c r="W72" i="12"/>
  <c r="G72" i="12"/>
  <c r="P71" i="12"/>
  <c r="Y70" i="12"/>
  <c r="I70" i="12"/>
  <c r="R69" i="12"/>
  <c r="AA68" i="12"/>
  <c r="K68" i="12"/>
  <c r="T67" i="12"/>
  <c r="D67" i="12"/>
  <c r="M66" i="12"/>
  <c r="V65" i="12"/>
  <c r="F65" i="12"/>
  <c r="O64" i="12"/>
  <c r="X63" i="12"/>
  <c r="H63" i="12"/>
  <c r="Q62" i="12"/>
  <c r="Z61" i="12"/>
  <c r="J61" i="12"/>
  <c r="S60" i="12"/>
  <c r="C60" i="12"/>
  <c r="L59" i="12"/>
  <c r="U58" i="12"/>
  <c r="E58" i="12"/>
  <c r="N57" i="12"/>
  <c r="W56" i="12"/>
  <c r="G56" i="12"/>
  <c r="P55" i="12"/>
  <c r="AA16" i="18"/>
  <c r="P87" i="17"/>
  <c r="K75" i="17"/>
  <c r="Z68" i="17"/>
  <c r="R63" i="17"/>
  <c r="D58" i="17"/>
  <c r="O52" i="17"/>
  <c r="I48" i="17"/>
  <c r="C45" i="17"/>
  <c r="E42" i="17"/>
  <c r="Y37" i="17"/>
  <c r="V35" i="17"/>
  <c r="W33" i="17"/>
  <c r="AA31" i="17"/>
  <c r="Z29" i="17"/>
  <c r="AA27" i="17"/>
  <c r="F26" i="17"/>
  <c r="J24" i="17"/>
  <c r="S22" i="17"/>
  <c r="C21" i="17"/>
  <c r="L19" i="17"/>
  <c r="X17" i="17"/>
  <c r="M16" i="17"/>
  <c r="J15" i="17"/>
  <c r="F14" i="17"/>
  <c r="E13" i="17"/>
  <c r="E12" i="17"/>
  <c r="F11" i="17"/>
  <c r="H10" i="17"/>
  <c r="I9" i="17"/>
  <c r="L8" i="17"/>
  <c r="M7" i="17"/>
  <c r="M6" i="16"/>
  <c r="K6" i="15"/>
  <c r="N31" i="14"/>
  <c r="O30" i="14"/>
  <c r="Q29" i="14"/>
  <c r="S28" i="14"/>
  <c r="T22" i="14"/>
  <c r="V21" i="14"/>
  <c r="W20" i="14"/>
  <c r="Z18" i="14"/>
  <c r="AA17" i="14"/>
  <c r="E17" i="14"/>
  <c r="E16" i="14"/>
  <c r="H15" i="14"/>
  <c r="I12" i="14"/>
  <c r="K11" i="14"/>
  <c r="N10" i="14"/>
  <c r="Q9" i="14"/>
  <c r="V8" i="14"/>
  <c r="Y7" i="14"/>
  <c r="C7" i="14"/>
  <c r="H73" i="13"/>
  <c r="M72" i="13"/>
  <c r="U71" i="13"/>
  <c r="D71" i="13"/>
  <c r="L70" i="13"/>
  <c r="S69" i="13"/>
  <c r="AA68" i="13"/>
  <c r="J68" i="13"/>
  <c r="R67" i="13"/>
  <c r="Z66" i="13"/>
  <c r="I66" i="13"/>
  <c r="Q65" i="13"/>
  <c r="Y64" i="13"/>
  <c r="H64" i="13"/>
  <c r="Q63" i="13"/>
  <c r="Z62" i="13"/>
  <c r="J62" i="13"/>
  <c r="S61" i="13"/>
  <c r="C61" i="13"/>
  <c r="L60" i="13"/>
  <c r="U57" i="13"/>
  <c r="E57" i="13"/>
  <c r="L15" i="18"/>
  <c r="K87" i="17"/>
  <c r="F75" i="17"/>
  <c r="U68" i="17"/>
  <c r="G63" i="17"/>
  <c r="R57" i="17"/>
  <c r="J52" i="17"/>
  <c r="G48" i="17"/>
  <c r="AA44" i="17"/>
  <c r="X41" i="17"/>
  <c r="T37" i="17"/>
  <c r="U35" i="17"/>
  <c r="V33" i="17"/>
  <c r="X31" i="17"/>
  <c r="Y29" i="17"/>
  <c r="Z27" i="17"/>
  <c r="C26" i="17"/>
  <c r="I24" i="17"/>
  <c r="Q22" i="17"/>
  <c r="Y20" i="17"/>
  <c r="G19" i="17"/>
  <c r="T17" i="17"/>
  <c r="L16" i="17"/>
  <c r="F15" i="17"/>
  <c r="D14" i="17"/>
  <c r="C13" i="17"/>
  <c r="C12" i="17"/>
  <c r="E11" i="17"/>
  <c r="G10" i="17"/>
  <c r="H9" i="17"/>
  <c r="J8" i="17"/>
  <c r="K7" i="17"/>
  <c r="K6" i="16"/>
  <c r="J6" i="15"/>
  <c r="M31" i="14"/>
  <c r="M30" i="14"/>
  <c r="P29" i="14"/>
  <c r="Q28" i="14"/>
  <c r="S22" i="14"/>
  <c r="U21" i="14"/>
  <c r="V20" i="14"/>
  <c r="X18" i="14"/>
  <c r="Y17" i="14"/>
  <c r="C17" i="14"/>
  <c r="D16" i="14"/>
  <c r="G15" i="14"/>
  <c r="G12" i="14"/>
  <c r="J11" i="14"/>
  <c r="M10" i="14"/>
  <c r="P9" i="14"/>
  <c r="U8" i="14"/>
  <c r="X7" i="14"/>
  <c r="AA73" i="13"/>
  <c r="G73" i="13"/>
  <c r="L72" i="13"/>
  <c r="T71" i="13"/>
  <c r="C71" i="13"/>
  <c r="J70" i="13"/>
  <c r="R69" i="13"/>
  <c r="Z68" i="13"/>
  <c r="I68" i="13"/>
  <c r="Q67" i="13"/>
  <c r="Y66" i="13"/>
  <c r="H66" i="13"/>
  <c r="P65" i="13"/>
  <c r="X64" i="13"/>
  <c r="G64" i="13"/>
  <c r="P63" i="13"/>
  <c r="Y62" i="13"/>
  <c r="I62" i="13"/>
  <c r="R61" i="13"/>
  <c r="AA60" i="13"/>
  <c r="K60" i="13"/>
  <c r="T57" i="13"/>
  <c r="D57" i="13"/>
  <c r="M56" i="13"/>
  <c r="V55" i="13"/>
  <c r="F55" i="13"/>
  <c r="O54" i="13"/>
  <c r="X53" i="13"/>
  <c r="H53" i="13"/>
  <c r="Q52" i="13"/>
  <c r="Z51" i="13"/>
  <c r="J51" i="13"/>
  <c r="S50" i="13"/>
  <c r="C50" i="13"/>
  <c r="L49" i="13"/>
  <c r="U48" i="13"/>
  <c r="E48" i="13"/>
  <c r="N47" i="13"/>
  <c r="W46" i="13"/>
  <c r="G46" i="13"/>
  <c r="P45" i="13"/>
  <c r="Y44" i="13"/>
  <c r="I44" i="13"/>
  <c r="R41" i="13"/>
  <c r="AA40" i="13"/>
  <c r="K40" i="13"/>
  <c r="T39" i="13"/>
  <c r="D39" i="13"/>
  <c r="M38" i="13"/>
  <c r="V37" i="13"/>
  <c r="F37" i="13"/>
  <c r="O36" i="13"/>
  <c r="X35" i="13"/>
  <c r="R10" i="18"/>
  <c r="L86" i="17"/>
  <c r="G74" i="17"/>
  <c r="J68" i="17"/>
  <c r="U62" i="17"/>
  <c r="M57" i="17"/>
  <c r="X51" i="17"/>
  <c r="Z47" i="17"/>
  <c r="U44" i="17"/>
  <c r="W41" i="17"/>
  <c r="O37" i="17"/>
  <c r="S35" i="17"/>
  <c r="R33" i="17"/>
  <c r="S31" i="17"/>
  <c r="W29" i="17"/>
  <c r="V27" i="17"/>
  <c r="V25" i="17"/>
  <c r="E24" i="17"/>
  <c r="O22" i="17"/>
  <c r="X20" i="17"/>
  <c r="F19" i="17"/>
  <c r="S17" i="17"/>
  <c r="J16" i="17"/>
  <c r="E15" i="17"/>
  <c r="C14" i="17"/>
  <c r="AA12" i="17"/>
  <c r="Z11" i="17"/>
  <c r="D11" i="17"/>
  <c r="E10" i="17"/>
  <c r="G9" i="17"/>
  <c r="I8" i="17"/>
  <c r="J7" i="17"/>
  <c r="I6" i="16"/>
  <c r="H6" i="15"/>
  <c r="K31" i="14"/>
  <c r="L30" i="14"/>
  <c r="O29" i="14"/>
  <c r="O28" i="14"/>
  <c r="R22" i="14"/>
  <c r="S21" i="14"/>
  <c r="U20" i="14"/>
  <c r="W18" i="14"/>
  <c r="X17" i="14"/>
  <c r="Z16" i="14"/>
  <c r="AA15" i="14"/>
  <c r="E15" i="14"/>
  <c r="F12" i="14"/>
  <c r="I11" i="14"/>
  <c r="K10" i="14"/>
  <c r="O9" i="14"/>
  <c r="T8" i="14"/>
  <c r="V7" i="14"/>
  <c r="Z73" i="13"/>
  <c r="F73" i="13"/>
  <c r="K72" i="13"/>
  <c r="S71" i="13"/>
  <c r="Z70" i="13"/>
  <c r="I70" i="13"/>
  <c r="Q69" i="13"/>
  <c r="Y68" i="13"/>
  <c r="H68" i="13"/>
  <c r="P67" i="13"/>
  <c r="X66" i="13"/>
  <c r="G66" i="13"/>
  <c r="O65" i="13"/>
  <c r="W64" i="13"/>
  <c r="F64" i="13"/>
  <c r="O63" i="13"/>
  <c r="X62" i="13"/>
  <c r="H62" i="13"/>
  <c r="Q61" i="13"/>
  <c r="Z60" i="13"/>
  <c r="J60" i="13"/>
  <c r="S57" i="13"/>
  <c r="C57" i="13"/>
  <c r="L56" i="13"/>
  <c r="U55" i="13"/>
  <c r="E55" i="13"/>
  <c r="N54" i="13"/>
  <c r="W53" i="13"/>
  <c r="G53" i="13"/>
  <c r="P52" i="13"/>
  <c r="Y51" i="13"/>
  <c r="I51" i="13"/>
  <c r="R50" i="13"/>
  <c r="AA49" i="13"/>
  <c r="K49" i="13"/>
  <c r="T48" i="13"/>
  <c r="D48" i="13"/>
  <c r="M47" i="13"/>
  <c r="V46" i="13"/>
  <c r="F46" i="13"/>
  <c r="O45" i="13"/>
  <c r="X44" i="13"/>
  <c r="H44" i="13"/>
  <c r="Q41" i="13"/>
  <c r="Z40" i="13"/>
  <c r="J40" i="13"/>
  <c r="S39" i="13"/>
  <c r="C39" i="13"/>
  <c r="L38" i="13"/>
  <c r="U37" i="13"/>
  <c r="E37" i="13"/>
  <c r="N36" i="13"/>
  <c r="W35" i="13"/>
  <c r="G35" i="13"/>
  <c r="P34" i="13"/>
  <c r="Y33" i="13"/>
  <c r="I33" i="13"/>
  <c r="R32" i="13"/>
  <c r="AA31" i="13"/>
  <c r="K31" i="13"/>
  <c r="T28" i="13"/>
  <c r="D28" i="13"/>
  <c r="M27" i="13"/>
  <c r="V26" i="13"/>
  <c r="F26" i="13"/>
  <c r="O25" i="13"/>
  <c r="X24" i="13"/>
  <c r="H24" i="13"/>
  <c r="Q23" i="13"/>
  <c r="Z22" i="13"/>
  <c r="J22" i="13"/>
  <c r="S19" i="13"/>
  <c r="C19" i="13"/>
  <c r="L18" i="13"/>
  <c r="U17" i="13"/>
  <c r="E17" i="13"/>
  <c r="N16" i="13"/>
  <c r="W15" i="13"/>
  <c r="G15" i="13"/>
  <c r="P14" i="13"/>
  <c r="Y13" i="13"/>
  <c r="I13" i="13"/>
  <c r="Y9" i="18"/>
  <c r="D86" i="17"/>
  <c r="AA73" i="17"/>
  <c r="X67" i="17"/>
  <c r="P62" i="17"/>
  <c r="AA56" i="17"/>
  <c r="R51" i="17"/>
  <c r="T47" i="17"/>
  <c r="O44" i="17"/>
  <c r="Q41" i="17"/>
  <c r="N37" i="17"/>
  <c r="P35" i="17"/>
  <c r="Q33" i="17"/>
  <c r="R31" i="17"/>
  <c r="T29" i="17"/>
  <c r="T27" i="17"/>
  <c r="U25" i="17"/>
  <c r="D24" i="17"/>
  <c r="K22" i="17"/>
  <c r="S20" i="17"/>
  <c r="AA18" i="17"/>
  <c r="Q17" i="17"/>
  <c r="G16" i="17"/>
  <c r="C15" i="17"/>
  <c r="Z13" i="17"/>
  <c r="Z12" i="17"/>
  <c r="Y11" i="17"/>
  <c r="C11" i="17"/>
  <c r="C10" i="17"/>
  <c r="F9" i="17"/>
  <c r="G8" i="17"/>
  <c r="I7" i="17"/>
  <c r="H6" i="16"/>
  <c r="G6" i="15"/>
  <c r="I31" i="14"/>
  <c r="J30" i="14"/>
  <c r="M29" i="14"/>
  <c r="N28" i="14"/>
  <c r="Q22" i="14"/>
  <c r="Q21" i="14"/>
  <c r="T20" i="14"/>
  <c r="U18" i="14"/>
  <c r="W17" i="14"/>
  <c r="Y16" i="14"/>
  <c r="Z15" i="14"/>
  <c r="C15" i="14"/>
  <c r="D12" i="14"/>
  <c r="G11" i="14"/>
  <c r="I10" i="14"/>
  <c r="N9" i="14"/>
  <c r="R8" i="14"/>
  <c r="T7" i="14"/>
  <c r="Y73" i="13"/>
  <c r="D73" i="13"/>
  <c r="J72" i="13"/>
  <c r="Q71" i="13"/>
  <c r="Y70" i="13"/>
  <c r="H70" i="13"/>
  <c r="P69" i="13"/>
  <c r="X68" i="13"/>
  <c r="G68" i="13"/>
  <c r="O67" i="13"/>
  <c r="W66" i="13"/>
  <c r="F66" i="13"/>
  <c r="N65" i="13"/>
  <c r="V64" i="13"/>
  <c r="E64" i="13"/>
  <c r="N63" i="13"/>
  <c r="W62" i="13"/>
  <c r="G62" i="13"/>
  <c r="P61" i="13"/>
  <c r="Y60" i="13"/>
  <c r="I60" i="13"/>
  <c r="R57" i="13"/>
  <c r="AA56" i="13"/>
  <c r="K56" i="13"/>
  <c r="X96" i="17"/>
  <c r="I85" i="17"/>
  <c r="E73" i="17"/>
  <c r="S67" i="17"/>
  <c r="E62" i="17"/>
  <c r="T56" i="17"/>
  <c r="L51" i="17"/>
  <c r="K47" i="17"/>
  <c r="G44" i="17"/>
  <c r="N41" i="17"/>
  <c r="I37" i="17"/>
  <c r="J35" i="17"/>
  <c r="N33" i="17"/>
  <c r="M31" i="17"/>
  <c r="M29" i="17"/>
  <c r="R27" i="17"/>
  <c r="P25" i="17"/>
  <c r="AA23" i="17"/>
  <c r="J22" i="17"/>
  <c r="R20" i="17"/>
  <c r="Z18" i="17"/>
  <c r="N17" i="17"/>
  <c r="F16" i="17"/>
  <c r="Z14" i="17"/>
  <c r="X13" i="17"/>
  <c r="X12" i="17"/>
  <c r="W11" i="17"/>
  <c r="Z10" i="17"/>
  <c r="AA9" i="17"/>
  <c r="E9" i="17"/>
  <c r="E8" i="17"/>
  <c r="H7" i="17"/>
  <c r="F6" i="16"/>
  <c r="F6" i="15"/>
  <c r="H31" i="14"/>
  <c r="I30" i="14"/>
  <c r="K29" i="14"/>
  <c r="L28" i="14"/>
  <c r="O22" i="14"/>
  <c r="P21" i="14"/>
  <c r="S20" i="14"/>
  <c r="S18" i="14"/>
  <c r="V17" i="14"/>
  <c r="W16" i="14"/>
  <c r="Y15" i="14"/>
  <c r="AA12" i="14"/>
  <c r="C12" i="14"/>
  <c r="E11" i="14"/>
  <c r="H10" i="14"/>
  <c r="M9" i="14"/>
  <c r="P8" i="14"/>
  <c r="S7" i="14"/>
  <c r="X73" i="13"/>
  <c r="AA72" i="13"/>
  <c r="H72" i="13"/>
  <c r="P71" i="13"/>
  <c r="X70" i="13"/>
  <c r="G70" i="13"/>
  <c r="O69" i="13"/>
  <c r="W68" i="13"/>
  <c r="F68" i="13"/>
  <c r="N67" i="13"/>
  <c r="V66" i="13"/>
  <c r="E66" i="13"/>
  <c r="M65" i="13"/>
  <c r="U64" i="13"/>
  <c r="D64" i="13"/>
  <c r="M63" i="13"/>
  <c r="V62" i="13"/>
  <c r="F62" i="13"/>
  <c r="O61" i="13"/>
  <c r="X60" i="13"/>
  <c r="H60" i="13"/>
  <c r="Q57" i="13"/>
  <c r="Z56" i="13"/>
  <c r="J56" i="13"/>
  <c r="S55" i="13"/>
  <c r="C55" i="13"/>
  <c r="L54" i="13"/>
  <c r="U53" i="13"/>
  <c r="E53" i="13"/>
  <c r="N52" i="13"/>
  <c r="W51" i="13"/>
  <c r="G51" i="13"/>
  <c r="P50" i="13"/>
  <c r="Y49" i="13"/>
  <c r="I49" i="13"/>
  <c r="R48" i="13"/>
  <c r="AA47" i="13"/>
  <c r="K47" i="13"/>
  <c r="T46" i="13"/>
  <c r="D46" i="13"/>
  <c r="M45" i="13"/>
  <c r="V44" i="13"/>
  <c r="F44" i="13"/>
  <c r="O41" i="13"/>
  <c r="X40" i="13"/>
  <c r="H40" i="13"/>
  <c r="Q39" i="13"/>
  <c r="Z38" i="13"/>
  <c r="J38" i="13"/>
  <c r="S37" i="13"/>
  <c r="C37" i="13"/>
  <c r="L36" i="13"/>
  <c r="U35" i="13"/>
  <c r="E35" i="13"/>
  <c r="N34" i="13"/>
  <c r="W33" i="13"/>
  <c r="G33" i="13"/>
  <c r="P32" i="13"/>
  <c r="Y31" i="13"/>
  <c r="I31" i="13"/>
  <c r="R28" i="13"/>
  <c r="AA27" i="13"/>
  <c r="K27" i="13"/>
  <c r="T26" i="13"/>
  <c r="J96" i="17"/>
  <c r="X84" i="17"/>
  <c r="V72" i="17"/>
  <c r="H67" i="17"/>
  <c r="W61" i="17"/>
  <c r="K56" i="17"/>
  <c r="D51" i="17"/>
  <c r="J47" i="17"/>
  <c r="F44" i="17"/>
  <c r="K41" i="17"/>
  <c r="H37" i="17"/>
  <c r="I35" i="17"/>
  <c r="K33" i="17"/>
  <c r="K31" i="17"/>
  <c r="L29" i="17"/>
  <c r="N27" i="17"/>
  <c r="O25" i="17"/>
  <c r="W23" i="17"/>
  <c r="F22" i="17"/>
  <c r="M20" i="17"/>
  <c r="X18" i="17"/>
  <c r="M17" i="17"/>
  <c r="D16" i="17"/>
  <c r="Y14" i="17"/>
  <c r="W13" i="17"/>
  <c r="V12" i="17"/>
  <c r="V11" i="17"/>
  <c r="X10" i="17"/>
  <c r="Y9" i="17"/>
  <c r="C9" i="17"/>
  <c r="D8" i="17"/>
  <c r="G7" i="17"/>
  <c r="D6" i="16"/>
  <c r="E6" i="15"/>
  <c r="F31" i="14"/>
  <c r="H30" i="14"/>
  <c r="J29" i="14"/>
  <c r="K28" i="14"/>
  <c r="M22" i="14"/>
  <c r="N21" i="14"/>
  <c r="Q20" i="14"/>
  <c r="R18" i="14"/>
  <c r="U17" i="14"/>
  <c r="U16" i="14"/>
  <c r="X15" i="14"/>
  <c r="Y12" i="14"/>
  <c r="AA11" i="14"/>
  <c r="D11" i="14"/>
  <c r="G10" i="14"/>
  <c r="L9" i="14"/>
  <c r="O8" i="14"/>
  <c r="R7" i="14"/>
  <c r="W73" i="13"/>
  <c r="Z72" i="13"/>
  <c r="G72" i="13"/>
  <c r="O71" i="13"/>
  <c r="W70" i="13"/>
  <c r="F70" i="13"/>
  <c r="N69" i="13"/>
  <c r="V68" i="13"/>
  <c r="E68" i="13"/>
  <c r="M67" i="13"/>
  <c r="U66" i="13"/>
  <c r="D66" i="13"/>
  <c r="L65" i="13"/>
  <c r="T64" i="13"/>
  <c r="C64" i="13"/>
  <c r="L63" i="13"/>
  <c r="U62" i="13"/>
  <c r="E62" i="13"/>
  <c r="N61" i="13"/>
  <c r="W60" i="13"/>
  <c r="G60" i="13"/>
  <c r="P57" i="13"/>
  <c r="Y56" i="13"/>
  <c r="I56" i="13"/>
  <c r="R55" i="13"/>
  <c r="AA54" i="13"/>
  <c r="K54" i="13"/>
  <c r="T53" i="13"/>
  <c r="D53" i="13"/>
  <c r="M52" i="13"/>
  <c r="V51" i="13"/>
  <c r="F51" i="13"/>
  <c r="O50" i="13"/>
  <c r="X49" i="13"/>
  <c r="H49" i="13"/>
  <c r="Q48" i="13"/>
  <c r="Z47" i="13"/>
  <c r="J47" i="13"/>
  <c r="S46" i="13"/>
  <c r="C46" i="13"/>
  <c r="L45" i="13"/>
  <c r="U44" i="13"/>
  <c r="E44" i="13"/>
  <c r="N41" i="13"/>
  <c r="W40" i="13"/>
  <c r="Y94" i="17"/>
  <c r="D84" i="17"/>
  <c r="K72" i="17"/>
  <c r="Z66" i="17"/>
  <c r="N61" i="17"/>
  <c r="Q94" i="17"/>
  <c r="AA36" i="17"/>
  <c r="Y21" i="17"/>
  <c r="T11" i="17"/>
  <c r="C31" i="14"/>
  <c r="Q17" i="14"/>
  <c r="K8" i="14"/>
  <c r="L69" i="13"/>
  <c r="Z63" i="13"/>
  <c r="W56" i="13"/>
  <c r="Y53" i="13"/>
  <c r="K51" i="13"/>
  <c r="V48" i="13"/>
  <c r="H46" i="13"/>
  <c r="S41" i="13"/>
  <c r="O39" i="13"/>
  <c r="P37" i="13"/>
  <c r="I35" i="13"/>
  <c r="V33" i="13"/>
  <c r="M32" i="13"/>
  <c r="V28" i="13"/>
  <c r="L27" i="13"/>
  <c r="C26" i="13"/>
  <c r="U24" i="13"/>
  <c r="O23" i="13"/>
  <c r="K22" i="13"/>
  <c r="G19" i="13"/>
  <c r="G18" i="13"/>
  <c r="C17" i="13"/>
  <c r="AA15" i="13"/>
  <c r="C15" i="13"/>
  <c r="Z13" i="13"/>
  <c r="Y12" i="13"/>
  <c r="AA11" i="13"/>
  <c r="F11" i="13"/>
  <c r="E10" i="13"/>
  <c r="I9" i="13"/>
  <c r="H8" i="13"/>
  <c r="L7" i="13"/>
  <c r="L100" i="12"/>
  <c r="O99" i="12"/>
  <c r="P98" i="12"/>
  <c r="R97" i="12"/>
  <c r="S96" i="12"/>
  <c r="U95" i="12"/>
  <c r="Y94" i="12"/>
  <c r="Y93" i="12"/>
  <c r="E93" i="12"/>
  <c r="I92" i="12"/>
  <c r="K91" i="12"/>
  <c r="P90" i="12"/>
  <c r="T89" i="12"/>
  <c r="V88" i="12"/>
  <c r="C88" i="12"/>
  <c r="I87" i="12"/>
  <c r="N86" i="12"/>
  <c r="S85" i="12"/>
  <c r="X84" i="12"/>
  <c r="E84" i="12"/>
  <c r="J83" i="12"/>
  <c r="P82" i="12"/>
  <c r="T81" i="12"/>
  <c r="Z80" i="12"/>
  <c r="G80" i="12"/>
  <c r="L79" i="12"/>
  <c r="P78" i="12"/>
  <c r="V77" i="12"/>
  <c r="C77" i="12"/>
  <c r="H76" i="12"/>
  <c r="M75" i="12"/>
  <c r="R74" i="12"/>
  <c r="X73" i="12"/>
  <c r="D73" i="12"/>
  <c r="J72" i="12"/>
  <c r="N71" i="12"/>
  <c r="T70" i="12"/>
  <c r="Z69" i="12"/>
  <c r="F69" i="12"/>
  <c r="J68" i="12"/>
  <c r="P67" i="12"/>
  <c r="W66" i="12"/>
  <c r="E66" i="12"/>
  <c r="K65" i="12"/>
  <c r="R64" i="12"/>
  <c r="Y63" i="12"/>
  <c r="F63" i="12"/>
  <c r="M62" i="12"/>
  <c r="T61" i="12"/>
  <c r="AA60" i="12"/>
  <c r="H60" i="12"/>
  <c r="O59" i="12"/>
  <c r="V58" i="12"/>
  <c r="C58" i="12"/>
  <c r="J57" i="12"/>
  <c r="Q56" i="12"/>
  <c r="X55" i="12"/>
  <c r="E55" i="12"/>
  <c r="M54" i="12"/>
  <c r="U53" i="12"/>
  <c r="D53" i="12"/>
  <c r="L52" i="12"/>
  <c r="T51" i="12"/>
  <c r="C51" i="12"/>
  <c r="K50" i="12"/>
  <c r="S49" i="12"/>
  <c r="AA48" i="12"/>
  <c r="J48" i="12"/>
  <c r="R45" i="12"/>
  <c r="Z44" i="12"/>
  <c r="I44" i="12"/>
  <c r="P43" i="12"/>
  <c r="X41" i="12"/>
  <c r="G41" i="12"/>
  <c r="O40" i="12"/>
  <c r="W39" i="12"/>
  <c r="F39" i="12"/>
  <c r="N38" i="12"/>
  <c r="V37" i="12"/>
  <c r="E37" i="12"/>
  <c r="M36" i="12"/>
  <c r="U35" i="12"/>
  <c r="D35" i="12"/>
  <c r="L34" i="12"/>
  <c r="T33" i="12"/>
  <c r="C33" i="12"/>
  <c r="J32" i="12"/>
  <c r="R30" i="12"/>
  <c r="Z29" i="12"/>
  <c r="I29" i="12"/>
  <c r="Q28" i="12"/>
  <c r="Y27" i="12"/>
  <c r="H27" i="12"/>
  <c r="P26" i="12"/>
  <c r="X25" i="12"/>
  <c r="H25" i="12"/>
  <c r="Q24" i="12"/>
  <c r="Z23" i="12"/>
  <c r="J23" i="12"/>
  <c r="S22" i="12"/>
  <c r="C22" i="12"/>
  <c r="L20" i="12"/>
  <c r="U19" i="12"/>
  <c r="E19" i="12"/>
  <c r="N18" i="12"/>
  <c r="W17" i="12"/>
  <c r="G17" i="12"/>
  <c r="P16" i="12"/>
  <c r="Y15" i="12"/>
  <c r="I15" i="12"/>
  <c r="R14" i="12"/>
  <c r="AA13" i="12"/>
  <c r="K13" i="12"/>
  <c r="T12" i="12"/>
  <c r="D12" i="12"/>
  <c r="M10" i="12"/>
  <c r="V9" i="12"/>
  <c r="F9" i="12"/>
  <c r="O8" i="12"/>
  <c r="V65" i="11"/>
  <c r="F65" i="11"/>
  <c r="M64" i="11"/>
  <c r="T63" i="11"/>
  <c r="D63" i="11"/>
  <c r="K62" i="11"/>
  <c r="R61" i="11"/>
  <c r="Y60" i="11"/>
  <c r="I60" i="11"/>
  <c r="P59" i="11"/>
  <c r="W58" i="11"/>
  <c r="G58" i="11"/>
  <c r="N57" i="11"/>
  <c r="U56" i="11"/>
  <c r="E56" i="11"/>
  <c r="L55" i="11"/>
  <c r="S54" i="11"/>
  <c r="C54" i="11"/>
  <c r="J50" i="11"/>
  <c r="Q49" i="11"/>
  <c r="X48" i="11"/>
  <c r="H48" i="11"/>
  <c r="O47" i="11"/>
  <c r="V45" i="11"/>
  <c r="F45" i="11"/>
  <c r="M44" i="11"/>
  <c r="T43" i="11"/>
  <c r="D43" i="11"/>
  <c r="K42" i="11"/>
  <c r="R40" i="11"/>
  <c r="Y39" i="11"/>
  <c r="I39" i="11"/>
  <c r="P38" i="11"/>
  <c r="W36" i="11"/>
  <c r="G36" i="11"/>
  <c r="N35" i="11"/>
  <c r="U34" i="11"/>
  <c r="E34" i="11"/>
  <c r="L33" i="11"/>
  <c r="S32" i="11"/>
  <c r="C32" i="11"/>
  <c r="J31" i="11"/>
  <c r="Q30" i="11"/>
  <c r="X29" i="11"/>
  <c r="H29" i="11"/>
  <c r="O28" i="11"/>
  <c r="V27" i="11"/>
  <c r="F27" i="11"/>
  <c r="M26" i="11"/>
  <c r="T25" i="11"/>
  <c r="D25" i="11"/>
  <c r="K24" i="11"/>
  <c r="R23" i="11"/>
  <c r="Y22" i="11"/>
  <c r="I22" i="11"/>
  <c r="P21" i="11"/>
  <c r="W20" i="11"/>
  <c r="G20" i="11"/>
  <c r="N19" i="11"/>
  <c r="U18" i="11"/>
  <c r="E18" i="11"/>
  <c r="L17" i="11"/>
  <c r="S16" i="11"/>
  <c r="C16" i="11"/>
  <c r="J15" i="11"/>
  <c r="Q14" i="11"/>
  <c r="X13" i="11"/>
  <c r="H13" i="11"/>
  <c r="O12" i="11"/>
  <c r="V11" i="11"/>
  <c r="F11" i="11"/>
  <c r="M10" i="11"/>
  <c r="T9" i="11"/>
  <c r="V80" i="17"/>
  <c r="D35" i="17"/>
  <c r="L20" i="17"/>
  <c r="W10" i="17"/>
  <c r="G30" i="14"/>
  <c r="T16" i="14"/>
  <c r="Q7" i="14"/>
  <c r="U68" i="13"/>
  <c r="K63" i="13"/>
  <c r="N56" i="13"/>
  <c r="V53" i="13"/>
  <c r="H51" i="13"/>
  <c r="S48" i="13"/>
  <c r="E46" i="13"/>
  <c r="P41" i="13"/>
  <c r="N39" i="13"/>
  <c r="G37" i="13"/>
  <c r="H35" i="13"/>
  <c r="U33" i="13"/>
  <c r="F32" i="13"/>
  <c r="U28" i="13"/>
  <c r="J27" i="13"/>
  <c r="AA25" i="13"/>
  <c r="T24" i="13"/>
  <c r="N23" i="13"/>
  <c r="I22" i="13"/>
  <c r="E19" i="13"/>
  <c r="AA17" i="13"/>
  <c r="AA16" i="13"/>
  <c r="Y15" i="13"/>
  <c r="AA14" i="13"/>
  <c r="X13" i="13"/>
  <c r="X12" i="13"/>
  <c r="Z11" i="13"/>
  <c r="AA10" i="13"/>
  <c r="D10" i="13"/>
  <c r="H9" i="13"/>
  <c r="G8" i="13"/>
  <c r="K7" i="13"/>
  <c r="J100" i="12"/>
  <c r="N99" i="12"/>
  <c r="N98" i="12"/>
  <c r="Q97" i="12"/>
  <c r="R96" i="12"/>
  <c r="T95" i="12"/>
  <c r="U94" i="12"/>
  <c r="X93" i="12"/>
  <c r="D93" i="12"/>
  <c r="G92" i="12"/>
  <c r="J91" i="12"/>
  <c r="O90" i="12"/>
  <c r="R89" i="12"/>
  <c r="U88" i="12"/>
  <c r="AA87" i="12"/>
  <c r="H87" i="12"/>
  <c r="M86" i="12"/>
  <c r="Q85" i="12"/>
  <c r="W84" i="12"/>
  <c r="D84" i="12"/>
  <c r="I83" i="12"/>
  <c r="N82" i="12"/>
  <c r="S81" i="12"/>
  <c r="Y80" i="12"/>
  <c r="E80" i="12"/>
  <c r="K79" i="12"/>
  <c r="O78" i="12"/>
  <c r="U77" i="12"/>
  <c r="AA76" i="12"/>
  <c r="G76" i="12"/>
  <c r="K75" i="12"/>
  <c r="Q74" i="12"/>
  <c r="W73" i="12"/>
  <c r="C73" i="12"/>
  <c r="H72" i="12"/>
  <c r="M71" i="12"/>
  <c r="S70" i="12"/>
  <c r="X69" i="12"/>
  <c r="E69" i="12"/>
  <c r="I68" i="12"/>
  <c r="O67" i="12"/>
  <c r="V66" i="12"/>
  <c r="C66" i="12"/>
  <c r="J65" i="12"/>
  <c r="Q64" i="12"/>
  <c r="W63" i="12"/>
  <c r="E63" i="12"/>
  <c r="L62" i="12"/>
  <c r="S61" i="12"/>
  <c r="Y60" i="12"/>
  <c r="G60" i="12"/>
  <c r="N59" i="12"/>
  <c r="T58" i="12"/>
  <c r="AA57" i="12"/>
  <c r="I57" i="12"/>
  <c r="P56" i="12"/>
  <c r="V55" i="12"/>
  <c r="D55" i="12"/>
  <c r="L54" i="12"/>
  <c r="T53" i="12"/>
  <c r="C53" i="12"/>
  <c r="K52" i="12"/>
  <c r="S51" i="12"/>
  <c r="AA50" i="12"/>
  <c r="J50" i="12"/>
  <c r="R49" i="12"/>
  <c r="Z48" i="12"/>
  <c r="I48" i="12"/>
  <c r="Q45" i="12"/>
  <c r="Y44" i="12"/>
  <c r="G44" i="12"/>
  <c r="O43" i="12"/>
  <c r="W41" i="12"/>
  <c r="F41" i="12"/>
  <c r="N40" i="12"/>
  <c r="V39" i="12"/>
  <c r="E39" i="12"/>
  <c r="M38" i="12"/>
  <c r="U37" i="12"/>
  <c r="D37" i="12"/>
  <c r="L36" i="12"/>
  <c r="T35" i="12"/>
  <c r="C35" i="12"/>
  <c r="K34" i="12"/>
  <c r="S33" i="12"/>
  <c r="Z32" i="12"/>
  <c r="I32" i="12"/>
  <c r="Q30" i="12"/>
  <c r="Y29" i="12"/>
  <c r="H29" i="12"/>
  <c r="P28" i="12"/>
  <c r="X27" i="12"/>
  <c r="G27" i="12"/>
  <c r="O26" i="12"/>
  <c r="W25" i="12"/>
  <c r="G25" i="12"/>
  <c r="P24" i="12"/>
  <c r="Y23" i="12"/>
  <c r="I23" i="12"/>
  <c r="R22" i="12"/>
  <c r="AA20" i="12"/>
  <c r="K20" i="12"/>
  <c r="T19" i="12"/>
  <c r="D19" i="12"/>
  <c r="M18" i="12"/>
  <c r="V17" i="12"/>
  <c r="F17" i="12"/>
  <c r="O16" i="12"/>
  <c r="X15" i="12"/>
  <c r="H15" i="12"/>
  <c r="Q14" i="12"/>
  <c r="Z13" i="12"/>
  <c r="J13" i="12"/>
  <c r="S12" i="12"/>
  <c r="C12" i="12"/>
  <c r="L10" i="12"/>
  <c r="U9" i="12"/>
  <c r="E9" i="12"/>
  <c r="N8" i="12"/>
  <c r="U65" i="11"/>
  <c r="E65" i="11"/>
  <c r="L64" i="11"/>
  <c r="S63" i="11"/>
  <c r="C63" i="11"/>
  <c r="J62" i="11"/>
  <c r="Q61" i="11"/>
  <c r="X60" i="11"/>
  <c r="H60" i="11"/>
  <c r="O59" i="11"/>
  <c r="V58" i="11"/>
  <c r="F58" i="11"/>
  <c r="M57" i="11"/>
  <c r="T56" i="11"/>
  <c r="D56" i="11"/>
  <c r="K55" i="11"/>
  <c r="R54" i="11"/>
  <c r="Y50" i="11"/>
  <c r="I50" i="11"/>
  <c r="P49" i="11"/>
  <c r="W48" i="11"/>
  <c r="G48" i="11"/>
  <c r="N47" i="11"/>
  <c r="U45" i="11"/>
  <c r="E45" i="11"/>
  <c r="L44" i="11"/>
  <c r="S43" i="11"/>
  <c r="C43" i="11"/>
  <c r="J42" i="11"/>
  <c r="Q40" i="11"/>
  <c r="X39" i="11"/>
  <c r="H39" i="11"/>
  <c r="O38" i="11"/>
  <c r="V36" i="11"/>
  <c r="F36" i="11"/>
  <c r="M35" i="11"/>
  <c r="D72" i="17"/>
  <c r="C35" i="17"/>
  <c r="J20" i="17"/>
  <c r="U10" i="17"/>
  <c r="F30" i="14"/>
  <c r="R16" i="14"/>
  <c r="P7" i="14"/>
  <c r="T68" i="13"/>
  <c r="J63" i="13"/>
  <c r="H56" i="13"/>
  <c r="S53" i="13"/>
  <c r="E51" i="13"/>
  <c r="P48" i="13"/>
  <c r="AA45" i="13"/>
  <c r="M41" i="13"/>
  <c r="E39" i="13"/>
  <c r="D37" i="13"/>
  <c r="F35" i="13"/>
  <c r="T33" i="13"/>
  <c r="D32" i="13"/>
  <c r="S28" i="13"/>
  <c r="I27" i="13"/>
  <c r="Z25" i="13"/>
  <c r="S24" i="13"/>
  <c r="M23" i="13"/>
  <c r="H22" i="13"/>
  <c r="D19" i="13"/>
  <c r="Y17" i="13"/>
  <c r="Z16" i="13"/>
  <c r="X15" i="13"/>
  <c r="W14" i="13"/>
  <c r="W13" i="13"/>
  <c r="V12" i="13"/>
  <c r="Y11" i="13"/>
  <c r="Z10" i="13"/>
  <c r="C10" i="13"/>
  <c r="D9" i="13"/>
  <c r="F8" i="13"/>
  <c r="J7" i="13"/>
  <c r="I100" i="12"/>
  <c r="M99" i="12"/>
  <c r="L98" i="12"/>
  <c r="P97" i="12"/>
  <c r="P96" i="12"/>
  <c r="S95" i="12"/>
  <c r="T94" i="12"/>
  <c r="W93" i="12"/>
  <c r="C93" i="12"/>
  <c r="F92" i="12"/>
  <c r="I91" i="12"/>
  <c r="N90" i="12"/>
  <c r="Q89" i="12"/>
  <c r="T88" i="12"/>
  <c r="Z87" i="12"/>
  <c r="F87" i="12"/>
  <c r="L86" i="12"/>
  <c r="P85" i="12"/>
  <c r="V84" i="12"/>
  <c r="C84" i="12"/>
  <c r="H83" i="12"/>
  <c r="L82" i="12"/>
  <c r="R81" i="12"/>
  <c r="X80" i="12"/>
  <c r="D80" i="12"/>
  <c r="I79" i="12"/>
  <c r="N78" i="12"/>
  <c r="T77" i="12"/>
  <c r="Y76" i="12"/>
  <c r="F76" i="12"/>
  <c r="J75" i="12"/>
  <c r="P74" i="12"/>
  <c r="V73" i="12"/>
  <c r="AA72" i="12"/>
  <c r="F72" i="12"/>
  <c r="L71" i="12"/>
  <c r="R70" i="12"/>
  <c r="W69" i="12"/>
  <c r="C69" i="12"/>
  <c r="H68" i="12"/>
  <c r="N67" i="12"/>
  <c r="U66" i="12"/>
  <c r="AA65" i="12"/>
  <c r="I65" i="12"/>
  <c r="P64" i="12"/>
  <c r="V63" i="12"/>
  <c r="D63" i="12"/>
  <c r="K62" i="12"/>
  <c r="R61" i="12"/>
  <c r="X60" i="12"/>
  <c r="F60" i="12"/>
  <c r="M59" i="12"/>
  <c r="S58" i="12"/>
  <c r="Z57" i="12"/>
  <c r="H57" i="12"/>
  <c r="O56" i="12"/>
  <c r="U55" i="12"/>
  <c r="C55" i="12"/>
  <c r="K54" i="12"/>
  <c r="S53" i="12"/>
  <c r="AA52" i="12"/>
  <c r="J52" i="12"/>
  <c r="R51" i="12"/>
  <c r="Z50" i="12"/>
  <c r="I50" i="12"/>
  <c r="Q49" i="12"/>
  <c r="Y48" i="12"/>
  <c r="H48" i="12"/>
  <c r="P45" i="12"/>
  <c r="W44" i="12"/>
  <c r="F44" i="12"/>
  <c r="N43" i="12"/>
  <c r="V41" i="12"/>
  <c r="E41" i="12"/>
  <c r="M40" i="12"/>
  <c r="U39" i="12"/>
  <c r="D39" i="12"/>
  <c r="L38" i="12"/>
  <c r="T37" i="12"/>
  <c r="C37" i="12"/>
  <c r="K36" i="12"/>
  <c r="S35" i="12"/>
  <c r="AA34" i="12"/>
  <c r="J34" i="12"/>
  <c r="Q33" i="12"/>
  <c r="Y32" i="12"/>
  <c r="H32" i="12"/>
  <c r="P30" i="12"/>
  <c r="X29" i="12"/>
  <c r="G29" i="12"/>
  <c r="O28" i="12"/>
  <c r="W27" i="12"/>
  <c r="F27" i="12"/>
  <c r="N26" i="12"/>
  <c r="V25" i="12"/>
  <c r="F25" i="12"/>
  <c r="O24" i="12"/>
  <c r="X23" i="12"/>
  <c r="H23" i="12"/>
  <c r="Q22" i="12"/>
  <c r="Z20" i="12"/>
  <c r="J20" i="12"/>
  <c r="S19" i="12"/>
  <c r="C19" i="12"/>
  <c r="L18" i="12"/>
  <c r="U17" i="12"/>
  <c r="E17" i="12"/>
  <c r="N16" i="12"/>
  <c r="W15" i="12"/>
  <c r="G15" i="12"/>
  <c r="P14" i="12"/>
  <c r="Y13" i="12"/>
  <c r="I13" i="12"/>
  <c r="R12" i="12"/>
  <c r="AA10" i="12"/>
  <c r="K10" i="12"/>
  <c r="T9" i="12"/>
  <c r="D9" i="12"/>
  <c r="M8" i="12"/>
  <c r="T65" i="11"/>
  <c r="D65" i="11"/>
  <c r="K64" i="11"/>
  <c r="Q66" i="17"/>
  <c r="E33" i="17"/>
  <c r="U18" i="17"/>
  <c r="X9" i="17"/>
  <c r="H29" i="14"/>
  <c r="W15" i="14"/>
  <c r="V73" i="13"/>
  <c r="D68" i="13"/>
  <c r="T62" i="13"/>
  <c r="G56" i="13"/>
  <c r="R53" i="13"/>
  <c r="D51" i="13"/>
  <c r="O48" i="13"/>
  <c r="Z45" i="13"/>
  <c r="L41" i="13"/>
  <c r="AA38" i="13"/>
  <c r="AA36" i="13"/>
  <c r="D35" i="13"/>
  <c r="M33" i="13"/>
  <c r="C32" i="13"/>
  <c r="Q28" i="13"/>
  <c r="H27" i="13"/>
  <c r="S25" i="13"/>
  <c r="L24" i="13"/>
  <c r="L23" i="13"/>
  <c r="G22" i="13"/>
  <c r="AA18" i="13"/>
  <c r="W17" i="13"/>
  <c r="Y16" i="13"/>
  <c r="V15" i="13"/>
  <c r="V14" i="13"/>
  <c r="V13" i="13"/>
  <c r="T12" i="13"/>
  <c r="X11" i="13"/>
  <c r="X10" i="13"/>
  <c r="AA9" i="13"/>
  <c r="C9" i="13"/>
  <c r="E8" i="13"/>
  <c r="F7" i="13"/>
  <c r="H100" i="12"/>
  <c r="L99" i="12"/>
  <c r="K98" i="12"/>
  <c r="O97" i="12"/>
  <c r="N96" i="12"/>
  <c r="R95" i="12"/>
  <c r="R94" i="12"/>
  <c r="V93" i="12"/>
  <c r="AA92" i="12"/>
  <c r="D92" i="12"/>
  <c r="H91" i="12"/>
  <c r="M90" i="12"/>
  <c r="O89" i="12"/>
  <c r="S88" i="12"/>
  <c r="Y87" i="12"/>
  <c r="E87" i="12"/>
  <c r="J86" i="12"/>
  <c r="O85" i="12"/>
  <c r="U84" i="12"/>
  <c r="Z83" i="12"/>
  <c r="G83" i="12"/>
  <c r="K82" i="12"/>
  <c r="Q81" i="12"/>
  <c r="W80" i="12"/>
  <c r="C80" i="12"/>
  <c r="G79" i="12"/>
  <c r="M78" i="12"/>
  <c r="S77" i="12"/>
  <c r="X76" i="12"/>
  <c r="D76" i="12"/>
  <c r="I75" i="12"/>
  <c r="O74" i="12"/>
  <c r="T73" i="12"/>
  <c r="Z72" i="12"/>
  <c r="E72" i="12"/>
  <c r="K71" i="12"/>
  <c r="Q70" i="12"/>
  <c r="V69" i="12"/>
  <c r="Z68" i="12"/>
  <c r="G68" i="12"/>
  <c r="M67" i="12"/>
  <c r="S66" i="12"/>
  <c r="Z65" i="12"/>
  <c r="H65" i="12"/>
  <c r="N64" i="12"/>
  <c r="U63" i="12"/>
  <c r="C63" i="12"/>
  <c r="J62" i="12"/>
  <c r="G61" i="17"/>
  <c r="D33" i="17"/>
  <c r="T18" i="17"/>
  <c r="W9" i="17"/>
  <c r="F29" i="14"/>
  <c r="U15" i="14"/>
  <c r="T73" i="13"/>
  <c r="C68" i="13"/>
  <c r="S62" i="13"/>
  <c r="W55" i="13"/>
  <c r="I53" i="13"/>
  <c r="T50" i="13"/>
  <c r="F48" i="13"/>
  <c r="Q45" i="13"/>
  <c r="C41" i="13"/>
  <c r="Y38" i="13"/>
  <c r="Z36" i="13"/>
  <c r="C35" i="13"/>
  <c r="K33" i="13"/>
  <c r="Z31" i="13"/>
  <c r="P28" i="13"/>
  <c r="Z26" i="13"/>
  <c r="Q25" i="13"/>
  <c r="J24" i="13"/>
  <c r="G23" i="13"/>
  <c r="F22" i="13"/>
  <c r="Z18" i="13"/>
  <c r="V17" i="13"/>
  <c r="U16" i="13"/>
  <c r="U15" i="13"/>
  <c r="T14" i="13"/>
  <c r="U13" i="13"/>
  <c r="S12" i="13"/>
  <c r="W11" i="13"/>
  <c r="V10" i="13"/>
  <c r="Z9" i="13"/>
  <c r="Z8" i="13"/>
  <c r="D8" i="13"/>
  <c r="E7" i="13"/>
  <c r="G100" i="12"/>
  <c r="H99" i="12"/>
  <c r="J98" i="12"/>
  <c r="N97" i="12"/>
  <c r="M96" i="12"/>
  <c r="Q95" i="12"/>
  <c r="P94" i="12"/>
  <c r="U93" i="12"/>
  <c r="Y92" i="12"/>
  <c r="AA91" i="12"/>
  <c r="G91" i="12"/>
  <c r="K90" i="12"/>
  <c r="M89" i="12"/>
  <c r="R88" i="12"/>
  <c r="X87" i="12"/>
  <c r="D87" i="12"/>
  <c r="H86" i="12"/>
  <c r="N85" i="12"/>
  <c r="T84" i="12"/>
  <c r="Y83" i="12"/>
  <c r="E83" i="12"/>
  <c r="J82" i="12"/>
  <c r="P81" i="12"/>
  <c r="U80" i="12"/>
  <c r="AA79" i="12"/>
  <c r="F79" i="12"/>
  <c r="L78" i="12"/>
  <c r="R77" i="12"/>
  <c r="W76" i="12"/>
  <c r="AA75" i="12"/>
  <c r="H75" i="12"/>
  <c r="N74" i="12"/>
  <c r="S73" i="12"/>
  <c r="X72" i="12"/>
  <c r="D72" i="12"/>
  <c r="J71" i="12"/>
  <c r="O70" i="12"/>
  <c r="U69" i="12"/>
  <c r="Y68" i="12"/>
  <c r="F68" i="12"/>
  <c r="L67" i="12"/>
  <c r="R66" i="12"/>
  <c r="Y65" i="12"/>
  <c r="G65" i="12"/>
  <c r="M64" i="12"/>
  <c r="T63" i="12"/>
  <c r="AA62" i="12"/>
  <c r="I62" i="12"/>
  <c r="O61" i="12"/>
  <c r="V60" i="12"/>
  <c r="D60" i="12"/>
  <c r="J59" i="12"/>
  <c r="Q58" i="12"/>
  <c r="X57" i="12"/>
  <c r="F57" i="12"/>
  <c r="L56" i="12"/>
  <c r="S55" i="12"/>
  <c r="Z54" i="12"/>
  <c r="I54" i="12"/>
  <c r="Q53" i="12"/>
  <c r="Y52" i="12"/>
  <c r="H52" i="12"/>
  <c r="P51" i="12"/>
  <c r="X50" i="12"/>
  <c r="G50" i="12"/>
  <c r="O49" i="12"/>
  <c r="W48" i="12"/>
  <c r="E48" i="12"/>
  <c r="M45" i="12"/>
  <c r="U44" i="12"/>
  <c r="D44" i="12"/>
  <c r="L43" i="12"/>
  <c r="T41" i="12"/>
  <c r="C41" i="12"/>
  <c r="K40" i="12"/>
  <c r="S39" i="12"/>
  <c r="AA38" i="12"/>
  <c r="J38" i="12"/>
  <c r="R37" i="12"/>
  <c r="Z36" i="12"/>
  <c r="D56" i="17"/>
  <c r="I31" i="17"/>
  <c r="I17" i="17"/>
  <c r="Z8" i="17"/>
  <c r="J28" i="14"/>
  <c r="W12" i="14"/>
  <c r="X72" i="13"/>
  <c r="L67" i="13"/>
  <c r="D62" i="13"/>
  <c r="T55" i="13"/>
  <c r="F53" i="13"/>
  <c r="Q50" i="13"/>
  <c r="C48" i="13"/>
  <c r="N45" i="13"/>
  <c r="Y40" i="13"/>
  <c r="X38" i="13"/>
  <c r="Y36" i="13"/>
  <c r="AA34" i="13"/>
  <c r="J33" i="13"/>
  <c r="X31" i="13"/>
  <c r="O28" i="13"/>
  <c r="X26" i="13"/>
  <c r="P25" i="13"/>
  <c r="I24" i="13"/>
  <c r="E23" i="13"/>
  <c r="E22" i="13"/>
  <c r="Y18" i="13"/>
  <c r="T17" i="13"/>
  <c r="T16" i="13"/>
  <c r="T15" i="13"/>
  <c r="R14" i="13"/>
  <c r="T13" i="13"/>
  <c r="R12" i="13"/>
  <c r="V11" i="13"/>
  <c r="U10" i="13"/>
  <c r="Y9" i="13"/>
  <c r="X8" i="13"/>
  <c r="C8" i="13"/>
  <c r="C7" i="13"/>
  <c r="F100" i="12"/>
  <c r="G99" i="12"/>
  <c r="I98" i="12"/>
  <c r="J97" i="12"/>
  <c r="L96" i="12"/>
  <c r="P95" i="12"/>
  <c r="O94" i="12"/>
  <c r="T93" i="12"/>
  <c r="W92" i="12"/>
  <c r="Z91" i="12"/>
  <c r="F91" i="12"/>
  <c r="I90" i="12"/>
  <c r="L89" i="12"/>
  <c r="Q88" i="12"/>
  <c r="V87" i="12"/>
  <c r="C87" i="12"/>
  <c r="G86" i="12"/>
  <c r="M85" i="12"/>
  <c r="S84" i="12"/>
  <c r="X83" i="12"/>
  <c r="C83" i="12"/>
  <c r="I82" i="12"/>
  <c r="O81" i="12"/>
  <c r="T80" i="12"/>
  <c r="Y79" i="12"/>
  <c r="E79" i="12"/>
  <c r="K78" i="12"/>
  <c r="P77" i="12"/>
  <c r="V76" i="12"/>
  <c r="Z75" i="12"/>
  <c r="G75" i="12"/>
  <c r="M74" i="12"/>
  <c r="R73" i="12"/>
  <c r="V72" i="12"/>
  <c r="C72" i="12"/>
  <c r="I71" i="12"/>
  <c r="N70" i="12"/>
  <c r="S69" i="12"/>
  <c r="X68" i="12"/>
  <c r="E68" i="12"/>
  <c r="J67" i="12"/>
  <c r="Q66" i="12"/>
  <c r="X65" i="12"/>
  <c r="E65" i="12"/>
  <c r="L64" i="12"/>
  <c r="S63" i="12"/>
  <c r="Z62" i="12"/>
  <c r="G62" i="12"/>
  <c r="N61" i="12"/>
  <c r="U60" i="12"/>
  <c r="AA59" i="12"/>
  <c r="I59" i="12"/>
  <c r="P58" i="12"/>
  <c r="W57" i="12"/>
  <c r="D57" i="12"/>
  <c r="K56" i="12"/>
  <c r="R55" i="12"/>
  <c r="Y54" i="12"/>
  <c r="H54" i="12"/>
  <c r="P53" i="12"/>
  <c r="X52" i="12"/>
  <c r="G52" i="12"/>
  <c r="O51" i="12"/>
  <c r="W50" i="12"/>
  <c r="F50" i="12"/>
  <c r="N49" i="12"/>
  <c r="U48" i="12"/>
  <c r="D48" i="12"/>
  <c r="L45" i="12"/>
  <c r="T44" i="12"/>
  <c r="C44" i="12"/>
  <c r="K43" i="12"/>
  <c r="S41" i="12"/>
  <c r="AA40" i="12"/>
  <c r="J40" i="12"/>
  <c r="R39" i="12"/>
  <c r="Z38" i="12"/>
  <c r="I38" i="12"/>
  <c r="Q37" i="12"/>
  <c r="Y36" i="12"/>
  <c r="H36" i="12"/>
  <c r="O35" i="12"/>
  <c r="W34" i="12"/>
  <c r="F34" i="12"/>
  <c r="N33" i="12"/>
  <c r="V32" i="12"/>
  <c r="E32" i="12"/>
  <c r="M30" i="12"/>
  <c r="U29" i="12"/>
  <c r="D29" i="12"/>
  <c r="L28" i="12"/>
  <c r="T27" i="12"/>
  <c r="C27" i="12"/>
  <c r="K26" i="12"/>
  <c r="S25" i="12"/>
  <c r="C25" i="12"/>
  <c r="L24" i="12"/>
  <c r="U23" i="12"/>
  <c r="E23" i="12"/>
  <c r="N22" i="12"/>
  <c r="W20" i="12"/>
  <c r="G20" i="12"/>
  <c r="P19" i="12"/>
  <c r="Y18" i="12"/>
  <c r="I18" i="12"/>
  <c r="R17" i="12"/>
  <c r="AA16" i="12"/>
  <c r="K16" i="12"/>
  <c r="T15" i="12"/>
  <c r="D15" i="12"/>
  <c r="M14" i="12"/>
  <c r="V13" i="12"/>
  <c r="F13" i="12"/>
  <c r="O12" i="12"/>
  <c r="X10" i="12"/>
  <c r="H10" i="12"/>
  <c r="Q9" i="12"/>
  <c r="Z8" i="12"/>
  <c r="J8" i="12"/>
  <c r="Q65" i="11"/>
  <c r="R55" i="17"/>
  <c r="F31" i="17"/>
  <c r="H17" i="17"/>
  <c r="Y8" i="17"/>
  <c r="I28" i="14"/>
  <c r="V12" i="14"/>
  <c r="V72" i="13"/>
  <c r="K67" i="13"/>
  <c r="C62" i="13"/>
  <c r="Q55" i="13"/>
  <c r="C53" i="13"/>
  <c r="N50" i="13"/>
  <c r="Y47" i="13"/>
  <c r="K45" i="13"/>
  <c r="V40" i="13"/>
  <c r="W38" i="13"/>
  <c r="P36" i="13"/>
  <c r="R34" i="13"/>
  <c r="H33" i="13"/>
  <c r="W31" i="13"/>
  <c r="H28" i="13"/>
  <c r="W26" i="13"/>
  <c r="N25" i="13"/>
  <c r="G24" i="13"/>
  <c r="C23" i="13"/>
  <c r="Y19" i="13"/>
  <c r="X18" i="13"/>
  <c r="S17" i="13"/>
  <c r="R16" i="13"/>
  <c r="S15" i="13"/>
  <c r="Q14" i="13"/>
  <c r="P13" i="13"/>
  <c r="Q12" i="13"/>
  <c r="R11" i="13"/>
  <c r="T10" i="13"/>
  <c r="X9" i="13"/>
  <c r="W8" i="13"/>
  <c r="AA7" i="13"/>
  <c r="Z100" i="12"/>
  <c r="E100" i="12"/>
  <c r="E99" i="12"/>
  <c r="H98" i="12"/>
  <c r="I97" i="12"/>
  <c r="K96" i="12"/>
  <c r="L95" i="12"/>
  <c r="N94" i="12"/>
  <c r="S93" i="12"/>
  <c r="V92" i="12"/>
  <c r="Y91" i="12"/>
  <c r="E91" i="12"/>
  <c r="H90" i="12"/>
  <c r="K89" i="12"/>
  <c r="P88" i="12"/>
  <c r="U87" i="12"/>
  <c r="Z86" i="12"/>
  <c r="F86" i="12"/>
  <c r="L85" i="12"/>
  <c r="Q84" i="12"/>
  <c r="W83" i="12"/>
  <c r="AA82" i="12"/>
  <c r="H82" i="12"/>
  <c r="N81" i="12"/>
  <c r="S80" i="12"/>
  <c r="W79" i="12"/>
  <c r="D79" i="12"/>
  <c r="J78" i="12"/>
  <c r="O77" i="12"/>
  <c r="T76" i="12"/>
  <c r="Y75" i="12"/>
  <c r="F75" i="12"/>
  <c r="K74" i="12"/>
  <c r="Q73" i="12"/>
  <c r="U72" i="12"/>
  <c r="AA71" i="12"/>
  <c r="H71" i="12"/>
  <c r="M70" i="12"/>
  <c r="Q69" i="12"/>
  <c r="W68" i="12"/>
  <c r="D68" i="12"/>
  <c r="I67" i="12"/>
  <c r="P66" i="12"/>
  <c r="W65" i="12"/>
  <c r="D65" i="12"/>
  <c r="K64" i="12"/>
  <c r="R63" i="12"/>
  <c r="Y62" i="12"/>
  <c r="F62" i="12"/>
  <c r="M61" i="12"/>
  <c r="T60" i="12"/>
  <c r="Z59" i="12"/>
  <c r="H59" i="12"/>
  <c r="O58" i="12"/>
  <c r="V57" i="12"/>
  <c r="C57" i="12"/>
  <c r="J56" i="12"/>
  <c r="Q55" i="12"/>
  <c r="X54" i="12"/>
  <c r="G54" i="12"/>
  <c r="O53" i="12"/>
  <c r="W52" i="12"/>
  <c r="F52" i="12"/>
  <c r="N51" i="12"/>
  <c r="V50" i="12"/>
  <c r="E50" i="12"/>
  <c r="L49" i="12"/>
  <c r="T48" i="12"/>
  <c r="C48" i="12"/>
  <c r="K45" i="12"/>
  <c r="S44" i="12"/>
  <c r="AA43" i="12"/>
  <c r="J43" i="12"/>
  <c r="R41" i="12"/>
  <c r="Z40" i="12"/>
  <c r="I40" i="12"/>
  <c r="Q39" i="12"/>
  <c r="Y38" i="12"/>
  <c r="H38" i="12"/>
  <c r="P37" i="12"/>
  <c r="X36" i="12"/>
  <c r="F36" i="12"/>
  <c r="N35" i="12"/>
  <c r="V34" i="12"/>
  <c r="E34" i="12"/>
  <c r="M33" i="12"/>
  <c r="U32" i="12"/>
  <c r="D32" i="12"/>
  <c r="L30" i="12"/>
  <c r="T29" i="12"/>
  <c r="C29" i="12"/>
  <c r="K28" i="12"/>
  <c r="S27" i="12"/>
  <c r="AA26" i="12"/>
  <c r="J26" i="12"/>
  <c r="R25" i="12"/>
  <c r="AA24" i="12"/>
  <c r="K24" i="12"/>
  <c r="T23" i="12"/>
  <c r="D23" i="12"/>
  <c r="M22" i="12"/>
  <c r="V20" i="12"/>
  <c r="F20" i="12"/>
  <c r="O19" i="12"/>
  <c r="X18" i="12"/>
  <c r="H18" i="12"/>
  <c r="Q17" i="12"/>
  <c r="Z16" i="12"/>
  <c r="J16" i="12"/>
  <c r="S15" i="12"/>
  <c r="C15" i="12"/>
  <c r="L14" i="12"/>
  <c r="U13" i="12"/>
  <c r="E13" i="12"/>
  <c r="N12" i="12"/>
  <c r="W10" i="12"/>
  <c r="G10" i="12"/>
  <c r="P9" i="12"/>
  <c r="Y8" i="12"/>
  <c r="I8" i="12"/>
  <c r="P65" i="11"/>
  <c r="W64" i="11"/>
  <c r="G64" i="11"/>
  <c r="N63" i="11"/>
  <c r="U62" i="11"/>
  <c r="E62" i="11"/>
  <c r="L61" i="11"/>
  <c r="S60" i="11"/>
  <c r="C60" i="11"/>
  <c r="J59" i="11"/>
  <c r="Q58" i="11"/>
  <c r="X57" i="11"/>
  <c r="H57" i="11"/>
  <c r="O56" i="11"/>
  <c r="V55" i="11"/>
  <c r="F55" i="11"/>
  <c r="M54" i="11"/>
  <c r="T50" i="11"/>
  <c r="D50" i="11"/>
  <c r="K49" i="11"/>
  <c r="R48" i="11"/>
  <c r="Y47" i="11"/>
  <c r="I47" i="11"/>
  <c r="P45" i="11"/>
  <c r="W44" i="11"/>
  <c r="G44" i="11"/>
  <c r="N43" i="11"/>
  <c r="U42" i="11"/>
  <c r="E42" i="11"/>
  <c r="L40" i="11"/>
  <c r="S39" i="11"/>
  <c r="C39" i="11"/>
  <c r="J38" i="11"/>
  <c r="Q36" i="11"/>
  <c r="X35" i="11"/>
  <c r="H35" i="11"/>
  <c r="O34" i="11"/>
  <c r="V33" i="11"/>
  <c r="F33" i="11"/>
  <c r="M32" i="11"/>
  <c r="U50" i="17"/>
  <c r="H29" i="17"/>
  <c r="AA15" i="17"/>
  <c r="AA7" i="17"/>
  <c r="L22" i="14"/>
  <c r="Z11" i="14"/>
  <c r="F72" i="13"/>
  <c r="T66" i="13"/>
  <c r="M61" i="13"/>
  <c r="P55" i="13"/>
  <c r="AA52" i="13"/>
  <c r="M50" i="13"/>
  <c r="X47" i="13"/>
  <c r="J45" i="13"/>
  <c r="U40" i="13"/>
  <c r="N38" i="13"/>
  <c r="M36" i="13"/>
  <c r="Q34" i="13"/>
  <c r="F33" i="13"/>
  <c r="V31" i="13"/>
  <c r="F28" i="13"/>
  <c r="U26" i="13"/>
  <c r="M25" i="13"/>
  <c r="F24" i="13"/>
  <c r="AA22" i="13"/>
  <c r="W19" i="13"/>
  <c r="W18" i="13"/>
  <c r="R17" i="13"/>
  <c r="P16" i="13"/>
  <c r="R15" i="13"/>
  <c r="O14" i="13"/>
  <c r="O13" i="13"/>
  <c r="P12" i="13"/>
  <c r="Q11" i="13"/>
  <c r="S10" i="13"/>
  <c r="T9" i="13"/>
  <c r="V8" i="13"/>
  <c r="Z7" i="13"/>
  <c r="Y100" i="12"/>
  <c r="D100" i="12"/>
  <c r="C99" i="12"/>
  <c r="G98" i="12"/>
  <c r="G97" i="12"/>
  <c r="J96" i="12"/>
  <c r="K95" i="12"/>
  <c r="M94" i="12"/>
  <c r="R93" i="12"/>
  <c r="T92" i="12"/>
  <c r="X91" i="12"/>
  <c r="D91" i="12"/>
  <c r="F90" i="12"/>
  <c r="J89" i="12"/>
  <c r="O88" i="12"/>
  <c r="T87" i="12"/>
  <c r="X86" i="12"/>
  <c r="E86" i="12"/>
  <c r="K85" i="12"/>
  <c r="P84" i="12"/>
  <c r="U83" i="12"/>
  <c r="Z82" i="12"/>
  <c r="G82" i="12"/>
  <c r="L81" i="12"/>
  <c r="R80" i="12"/>
  <c r="V79" i="12"/>
  <c r="C79" i="12"/>
  <c r="I78" i="12"/>
  <c r="N77" i="12"/>
  <c r="R76" i="12"/>
  <c r="X75" i="12"/>
  <c r="E75" i="12"/>
  <c r="J74" i="12"/>
  <c r="O73" i="12"/>
  <c r="T72" i="12"/>
  <c r="Z71" i="12"/>
  <c r="F71" i="12"/>
  <c r="L70" i="12"/>
  <c r="P69" i="12"/>
  <c r="V68" i="12"/>
  <c r="C68" i="12"/>
  <c r="H67" i="12"/>
  <c r="O66" i="12"/>
  <c r="U65" i="12"/>
  <c r="C65" i="12"/>
  <c r="J64" i="12"/>
  <c r="Q63" i="12"/>
  <c r="W62" i="12"/>
  <c r="E62" i="12"/>
  <c r="L61" i="12"/>
  <c r="R60" i="12"/>
  <c r="Y59" i="12"/>
  <c r="G59" i="12"/>
  <c r="N58" i="12"/>
  <c r="T57" i="12"/>
  <c r="AA56" i="12"/>
  <c r="I56" i="12"/>
  <c r="O55" i="12"/>
  <c r="W54" i="12"/>
  <c r="F54" i="12"/>
  <c r="N53" i="12"/>
  <c r="V52" i="12"/>
  <c r="E52" i="12"/>
  <c r="M51" i="12"/>
  <c r="U50" i="12"/>
  <c r="C50" i="12"/>
  <c r="K49" i="12"/>
  <c r="S48" i="12"/>
  <c r="AA45" i="12"/>
  <c r="J45" i="12"/>
  <c r="R44" i="12"/>
  <c r="Z43" i="12"/>
  <c r="I43" i="12"/>
  <c r="Q41" i="12"/>
  <c r="Y40" i="12"/>
  <c r="H40" i="12"/>
  <c r="P39" i="12"/>
  <c r="X38" i="12"/>
  <c r="G38" i="12"/>
  <c r="O37" i="12"/>
  <c r="V36" i="12"/>
  <c r="E36" i="12"/>
  <c r="M35" i="12"/>
  <c r="U34" i="12"/>
  <c r="D34" i="12"/>
  <c r="L33" i="12"/>
  <c r="T32" i="12"/>
  <c r="C32" i="12"/>
  <c r="K30" i="12"/>
  <c r="S29" i="12"/>
  <c r="AA28" i="12"/>
  <c r="J28" i="12"/>
  <c r="R27" i="12"/>
  <c r="Z26" i="12"/>
  <c r="I26" i="12"/>
  <c r="Q25" i="12"/>
  <c r="Z24" i="12"/>
  <c r="J24" i="12"/>
  <c r="S23" i="12"/>
  <c r="C23" i="12"/>
  <c r="L22" i="12"/>
  <c r="U20" i="12"/>
  <c r="E20" i="12"/>
  <c r="N19" i="12"/>
  <c r="W18" i="12"/>
  <c r="G18" i="12"/>
  <c r="P17" i="12"/>
  <c r="Y16" i="12"/>
  <c r="I16" i="12"/>
  <c r="R15" i="12"/>
  <c r="AA14" i="12"/>
  <c r="K14" i="12"/>
  <c r="T13" i="12"/>
  <c r="D13" i="12"/>
  <c r="M12" i="12"/>
  <c r="V10" i="12"/>
  <c r="F10" i="12"/>
  <c r="O9" i="12"/>
  <c r="X8" i="12"/>
  <c r="H8" i="12"/>
  <c r="O65" i="11"/>
  <c r="V64" i="11"/>
  <c r="F64" i="11"/>
  <c r="M63" i="11"/>
  <c r="T62" i="11"/>
  <c r="D62" i="11"/>
  <c r="K61" i="11"/>
  <c r="R60" i="11"/>
  <c r="Y59" i="11"/>
  <c r="I59" i="11"/>
  <c r="P58" i="11"/>
  <c r="W57" i="11"/>
  <c r="G57" i="11"/>
  <c r="N56" i="11"/>
  <c r="U55" i="11"/>
  <c r="E55" i="11"/>
  <c r="L54" i="11"/>
  <c r="S50" i="11"/>
  <c r="C50" i="11"/>
  <c r="J49" i="11"/>
  <c r="Q48" i="11"/>
  <c r="X47" i="11"/>
  <c r="H47" i="11"/>
  <c r="O45" i="11"/>
  <c r="V44" i="11"/>
  <c r="F44" i="11"/>
  <c r="M43" i="11"/>
  <c r="T42" i="11"/>
  <c r="D42" i="11"/>
  <c r="K40" i="11"/>
  <c r="R39" i="11"/>
  <c r="Y38" i="11"/>
  <c r="I38" i="11"/>
  <c r="P36" i="11"/>
  <c r="W35" i="11"/>
  <c r="G35" i="11"/>
  <c r="N34" i="11"/>
  <c r="U33" i="11"/>
  <c r="E33" i="11"/>
  <c r="L32" i="11"/>
  <c r="S31" i="11"/>
  <c r="C31" i="11"/>
  <c r="J30" i="11"/>
  <c r="Q29" i="11"/>
  <c r="X28" i="11"/>
  <c r="H28" i="11"/>
  <c r="O27" i="11"/>
  <c r="V26" i="11"/>
  <c r="F26" i="11"/>
  <c r="M25" i="11"/>
  <c r="T24" i="11"/>
  <c r="D24" i="11"/>
  <c r="K23" i="11"/>
  <c r="R22" i="11"/>
  <c r="Y21" i="11"/>
  <c r="I21" i="11"/>
  <c r="P20" i="11"/>
  <c r="W19" i="11"/>
  <c r="G19" i="11"/>
  <c r="N18" i="11"/>
  <c r="U17" i="11"/>
  <c r="E17" i="11"/>
  <c r="L16" i="11"/>
  <c r="S15" i="11"/>
  <c r="C15" i="11"/>
  <c r="J14" i="11"/>
  <c r="Q13" i="11"/>
  <c r="X12" i="11"/>
  <c r="H12" i="11"/>
  <c r="O11" i="11"/>
  <c r="V10" i="11"/>
  <c r="F10" i="11"/>
  <c r="M9" i="11"/>
  <c r="T8" i="11"/>
  <c r="D8" i="11"/>
  <c r="K7" i="11"/>
  <c r="R6" i="11"/>
  <c r="Y76" i="10"/>
  <c r="I76" i="10"/>
  <c r="P75" i="10"/>
  <c r="W74" i="10"/>
  <c r="G74" i="10"/>
  <c r="O50" i="17"/>
  <c r="G29" i="17"/>
  <c r="Z15" i="17"/>
  <c r="Z7" i="17"/>
  <c r="J22" i="14"/>
  <c r="Y11" i="14"/>
  <c r="E72" i="13"/>
  <c r="S66" i="13"/>
  <c r="L61" i="13"/>
  <c r="G55" i="13"/>
  <c r="R52" i="13"/>
  <c r="D50" i="13"/>
  <c r="O47" i="13"/>
  <c r="Z44" i="13"/>
  <c r="L40" i="13"/>
  <c r="K38" i="13"/>
  <c r="K36" i="13"/>
  <c r="O34" i="13"/>
  <c r="E33" i="13"/>
  <c r="O31" i="13"/>
  <c r="E28" i="13"/>
  <c r="S26" i="13"/>
  <c r="L25" i="13"/>
  <c r="E24" i="13"/>
  <c r="Y22" i="13"/>
  <c r="U19" i="13"/>
  <c r="R18" i="13"/>
  <c r="Q17" i="13"/>
  <c r="O16" i="13"/>
  <c r="N15" i="13"/>
  <c r="N14" i="13"/>
  <c r="M13" i="13"/>
  <c r="O12" i="13"/>
  <c r="O11" i="13"/>
  <c r="R10" i="13"/>
  <c r="S9" i="13"/>
  <c r="U8" i="13"/>
  <c r="V7" i="13"/>
  <c r="X100" i="12"/>
  <c r="C100" i="12"/>
  <c r="AA98" i="12"/>
  <c r="F98" i="12"/>
  <c r="E97" i="12"/>
  <c r="I96" i="12"/>
  <c r="I95" i="12"/>
  <c r="L94" i="12"/>
  <c r="P93" i="12"/>
  <c r="R92" i="12"/>
  <c r="W91" i="12"/>
  <c r="AA90" i="12"/>
  <c r="D90" i="12"/>
  <c r="I89" i="12"/>
  <c r="M88" i="12"/>
  <c r="S87" i="12"/>
  <c r="W86" i="12"/>
  <c r="D86" i="12"/>
  <c r="J85" i="12"/>
  <c r="O84" i="12"/>
  <c r="S83" i="12"/>
  <c r="Y82" i="12"/>
  <c r="F82" i="12"/>
  <c r="K81" i="12"/>
  <c r="P80" i="12"/>
  <c r="U79" i="12"/>
  <c r="AA78" i="12"/>
  <c r="G78" i="12"/>
  <c r="M77" i="12"/>
  <c r="Q76" i="12"/>
  <c r="W75" i="12"/>
  <c r="D75" i="12"/>
  <c r="I74" i="12"/>
  <c r="M73" i="12"/>
  <c r="S72" i="12"/>
  <c r="Y71" i="12"/>
  <c r="E71" i="12"/>
  <c r="J70" i="12"/>
  <c r="O69" i="12"/>
  <c r="U68" i="12"/>
  <c r="Z67" i="12"/>
  <c r="G67" i="12"/>
  <c r="N66" i="12"/>
  <c r="T65" i="12"/>
  <c r="AA64" i="12"/>
  <c r="I64" i="12"/>
  <c r="P63" i="12"/>
  <c r="V62" i="12"/>
  <c r="D62" i="12"/>
  <c r="K61" i="12"/>
  <c r="Q60" i="12"/>
  <c r="X59" i="12"/>
  <c r="F59" i="12"/>
  <c r="M58" i="12"/>
  <c r="S57" i="12"/>
  <c r="Z56" i="12"/>
  <c r="H56" i="12"/>
  <c r="N55" i="12"/>
  <c r="V54" i="12"/>
  <c r="E54" i="12"/>
  <c r="M53" i="12"/>
  <c r="U52" i="12"/>
  <c r="D52" i="12"/>
  <c r="L51" i="12"/>
  <c r="S50" i="12"/>
  <c r="AA49" i="12"/>
  <c r="J49" i="12"/>
  <c r="R48" i="12"/>
  <c r="Z45" i="12"/>
  <c r="I45" i="12"/>
  <c r="Q44" i="12"/>
  <c r="Y43" i="12"/>
  <c r="H43" i="12"/>
  <c r="P41" i="12"/>
  <c r="X40" i="12"/>
  <c r="G40" i="12"/>
  <c r="O39" i="12"/>
  <c r="W38" i="12"/>
  <c r="F38" i="12"/>
  <c r="M37" i="12"/>
  <c r="U36" i="12"/>
  <c r="D36" i="12"/>
  <c r="L35" i="12"/>
  <c r="T34" i="12"/>
  <c r="C34" i="12"/>
  <c r="K33" i="12"/>
  <c r="S32" i="12"/>
  <c r="AA30" i="12"/>
  <c r="J30" i="12"/>
  <c r="R29" i="12"/>
  <c r="Z28" i="12"/>
  <c r="I28" i="12"/>
  <c r="Q27" i="12"/>
  <c r="Y26" i="12"/>
  <c r="G26" i="12"/>
  <c r="P25" i="12"/>
  <c r="Y24" i="12"/>
  <c r="I24" i="12"/>
  <c r="R23" i="12"/>
  <c r="AA22" i="12"/>
  <c r="K22" i="12"/>
  <c r="T20" i="12"/>
  <c r="D20" i="12"/>
  <c r="M19" i="12"/>
  <c r="V18" i="12"/>
  <c r="F18" i="12"/>
  <c r="O17" i="12"/>
  <c r="X16" i="12"/>
  <c r="H16" i="12"/>
  <c r="Q15" i="12"/>
  <c r="Z14" i="12"/>
  <c r="J14" i="12"/>
  <c r="S13" i="12"/>
  <c r="C13" i="12"/>
  <c r="L12" i="12"/>
  <c r="U10" i="12"/>
  <c r="E10" i="12"/>
  <c r="N9" i="12"/>
  <c r="W8" i="12"/>
  <c r="F47" i="17"/>
  <c r="I27" i="17"/>
  <c r="X14" i="17"/>
  <c r="E7" i="17"/>
  <c r="M21" i="14"/>
  <c r="AA10" i="14"/>
  <c r="N71" i="13"/>
  <c r="C66" i="13"/>
  <c r="V60" i="13"/>
  <c r="D55" i="13"/>
  <c r="O52" i="13"/>
  <c r="Z49" i="13"/>
  <c r="L47" i="13"/>
  <c r="W44" i="13"/>
  <c r="I40" i="13"/>
  <c r="I38" i="13"/>
  <c r="J36" i="13"/>
  <c r="M34" i="13"/>
  <c r="D33" i="13"/>
  <c r="M31" i="13"/>
  <c r="C28" i="13"/>
  <c r="R26" i="13"/>
  <c r="K25" i="13"/>
  <c r="D24" i="13"/>
  <c r="X22" i="13"/>
  <c r="T19" i="13"/>
  <c r="P18" i="13"/>
  <c r="P17" i="13"/>
  <c r="M16" i="13"/>
  <c r="M15" i="13"/>
  <c r="M14" i="13"/>
  <c r="K13" i="13"/>
  <c r="N12" i="13"/>
  <c r="M11" i="13"/>
  <c r="Q10" i="13"/>
  <c r="Q9" i="13"/>
  <c r="T8" i="13"/>
  <c r="U7" i="13"/>
  <c r="W100" i="12"/>
  <c r="X99" i="12"/>
  <c r="Z98" i="12"/>
  <c r="E98" i="12"/>
  <c r="D97" i="12"/>
  <c r="H96" i="12"/>
  <c r="G95" i="12"/>
  <c r="K94" i="12"/>
  <c r="N93" i="12"/>
  <c r="Q92" i="12"/>
  <c r="V91" i="12"/>
  <c r="Y90" i="12"/>
  <c r="C90" i="12"/>
  <c r="H89" i="12"/>
  <c r="L88" i="12"/>
  <c r="Q87" i="12"/>
  <c r="V86" i="12"/>
  <c r="C86" i="12"/>
  <c r="H85" i="12"/>
  <c r="N84" i="12"/>
  <c r="R83" i="12"/>
  <c r="X82" i="12"/>
  <c r="E82" i="12"/>
  <c r="J81" i="12"/>
  <c r="N80" i="12"/>
  <c r="T79" i="12"/>
  <c r="Z78" i="12"/>
  <c r="F78" i="12"/>
  <c r="K77" i="12"/>
  <c r="P76" i="12"/>
  <c r="V75" i="12"/>
  <c r="AA74" i="12"/>
  <c r="H74" i="12"/>
  <c r="L73" i="12"/>
  <c r="R72" i="12"/>
  <c r="X71" i="12"/>
  <c r="D71" i="12"/>
  <c r="H70" i="12"/>
  <c r="N69" i="12"/>
  <c r="T68" i="12"/>
  <c r="Y67" i="12"/>
  <c r="F67" i="12"/>
  <c r="L66" i="12"/>
  <c r="S65" i="12"/>
  <c r="Z64" i="12"/>
  <c r="H64" i="12"/>
  <c r="N63" i="12"/>
  <c r="U62" i="12"/>
  <c r="C62" i="12"/>
  <c r="I61" i="12"/>
  <c r="P60" i="12"/>
  <c r="W59" i="12"/>
  <c r="E59" i="12"/>
  <c r="K58" i="12"/>
  <c r="R57" i="12"/>
  <c r="Y56" i="12"/>
  <c r="F56" i="12"/>
  <c r="M55" i="12"/>
  <c r="U54" i="12"/>
  <c r="D54" i="12"/>
  <c r="L53" i="12"/>
  <c r="T52" i="12"/>
  <c r="C52" i="12"/>
  <c r="J51" i="12"/>
  <c r="R50" i="12"/>
  <c r="Z49" i="12"/>
  <c r="I49" i="12"/>
  <c r="Q48" i="12"/>
  <c r="Y45" i="12"/>
  <c r="H45" i="12"/>
  <c r="P44" i="12"/>
  <c r="X43" i="12"/>
  <c r="G43" i="12"/>
  <c r="O41" i="12"/>
  <c r="W40" i="12"/>
  <c r="F40" i="12"/>
  <c r="N39" i="12"/>
  <c r="V38" i="12"/>
  <c r="D38" i="12"/>
  <c r="L37" i="12"/>
  <c r="T36" i="12"/>
  <c r="C36" i="12"/>
  <c r="K35" i="12"/>
  <c r="S34" i="12"/>
  <c r="AA33" i="12"/>
  <c r="J33" i="12"/>
  <c r="R32" i="12"/>
  <c r="Z30" i="12"/>
  <c r="I30" i="12"/>
  <c r="Q29" i="12"/>
  <c r="Y28" i="12"/>
  <c r="H28" i="12"/>
  <c r="P27" i="12"/>
  <c r="W26" i="12"/>
  <c r="F26" i="12"/>
  <c r="O25" i="12"/>
  <c r="X24" i="12"/>
  <c r="H24" i="12"/>
  <c r="Q23" i="12"/>
  <c r="Z22" i="12"/>
  <c r="J22" i="12"/>
  <c r="S20" i="12"/>
  <c r="C20" i="12"/>
  <c r="L19" i="12"/>
  <c r="U18" i="12"/>
  <c r="E18" i="12"/>
  <c r="N17" i="12"/>
  <c r="W16" i="12"/>
  <c r="G16" i="12"/>
  <c r="P15" i="12"/>
  <c r="Y14" i="12"/>
  <c r="I14" i="12"/>
  <c r="R13" i="12"/>
  <c r="AA12" i="12"/>
  <c r="K12" i="12"/>
  <c r="T10" i="12"/>
  <c r="D10" i="12"/>
  <c r="M9" i="12"/>
  <c r="V8" i="12"/>
  <c r="F8" i="12"/>
  <c r="M65" i="11"/>
  <c r="T64" i="11"/>
  <c r="D64" i="11"/>
  <c r="K63" i="11"/>
  <c r="R62" i="11"/>
  <c r="Y61" i="11"/>
  <c r="I61" i="11"/>
  <c r="P60" i="11"/>
  <c r="W59" i="11"/>
  <c r="G59" i="11"/>
  <c r="N58" i="11"/>
  <c r="U57" i="11"/>
  <c r="E57" i="11"/>
  <c r="L56" i="11"/>
  <c r="S55" i="11"/>
  <c r="C55" i="11"/>
  <c r="J54" i="11"/>
  <c r="Q50" i="11"/>
  <c r="X49" i="11"/>
  <c r="H49" i="11"/>
  <c r="O48" i="11"/>
  <c r="V47" i="11"/>
  <c r="F47" i="11"/>
  <c r="M45" i="11"/>
  <c r="T44" i="11"/>
  <c r="D44" i="11"/>
  <c r="K43" i="11"/>
  <c r="R42" i="11"/>
  <c r="Y40" i="11"/>
  <c r="I40" i="11"/>
  <c r="P39" i="11"/>
  <c r="W38" i="11"/>
  <c r="G38" i="11"/>
  <c r="N36" i="11"/>
  <c r="U35" i="11"/>
  <c r="E35" i="11"/>
  <c r="L34" i="11"/>
  <c r="S33" i="11"/>
  <c r="C33" i="11"/>
  <c r="J32" i="11"/>
  <c r="Q31" i="11"/>
  <c r="X30" i="11"/>
  <c r="H30" i="11"/>
  <c r="O29" i="11"/>
  <c r="V28" i="11"/>
  <c r="F28" i="11"/>
  <c r="M27" i="11"/>
  <c r="T26" i="11"/>
  <c r="D26" i="11"/>
  <c r="K25" i="11"/>
  <c r="R24" i="11"/>
  <c r="Y23" i="11"/>
  <c r="I23" i="11"/>
  <c r="P22" i="11"/>
  <c r="W21" i="11"/>
  <c r="G21" i="11"/>
  <c r="N20" i="11"/>
  <c r="U19" i="11"/>
  <c r="E19" i="11"/>
  <c r="L18" i="11"/>
  <c r="S17" i="11"/>
  <c r="C17" i="11"/>
  <c r="J16" i="11"/>
  <c r="Q15" i="11"/>
  <c r="X14" i="11"/>
  <c r="H14" i="11"/>
  <c r="O13" i="11"/>
  <c r="V12" i="11"/>
  <c r="X46" i="17"/>
  <c r="H27" i="17"/>
  <c r="V14" i="17"/>
  <c r="C7" i="17"/>
  <c r="L21" i="14"/>
  <c r="Y10" i="14"/>
  <c r="M71" i="13"/>
  <c r="AA65" i="13"/>
  <c r="U60" i="13"/>
  <c r="Z54" i="13"/>
  <c r="L52" i="13"/>
  <c r="W49" i="13"/>
  <c r="I47" i="13"/>
  <c r="T44" i="13"/>
  <c r="G40" i="13"/>
  <c r="H38" i="13"/>
  <c r="I36" i="13"/>
  <c r="L34" i="13"/>
  <c r="V32" i="13"/>
  <c r="L31" i="13"/>
  <c r="Z27" i="13"/>
  <c r="Q26" i="13"/>
  <c r="J25" i="13"/>
  <c r="C24" i="13"/>
  <c r="W22" i="13"/>
  <c r="R19" i="13"/>
  <c r="N18" i="13"/>
  <c r="L17" i="13"/>
  <c r="L16" i="13"/>
  <c r="K15" i="13"/>
  <c r="L14" i="13"/>
  <c r="J13" i="13"/>
  <c r="M12" i="13"/>
  <c r="L11" i="13"/>
  <c r="P10" i="13"/>
  <c r="O9" i="13"/>
  <c r="S8" i="13"/>
  <c r="S7" i="13"/>
  <c r="V100" i="12"/>
  <c r="W99" i="12"/>
  <c r="Y98" i="12"/>
  <c r="Z97" i="12"/>
  <c r="C97" i="12"/>
  <c r="G96" i="12"/>
  <c r="F95" i="12"/>
  <c r="J94" i="12"/>
  <c r="M93" i="12"/>
  <c r="P92" i="12"/>
  <c r="U91" i="12"/>
  <c r="X90" i="12"/>
  <c r="AA89" i="12"/>
  <c r="G89" i="12"/>
  <c r="K88" i="12"/>
  <c r="O87" i="12"/>
  <c r="U86" i="12"/>
  <c r="AA85" i="12"/>
  <c r="G85" i="12"/>
  <c r="L84" i="12"/>
  <c r="Q83" i="12"/>
  <c r="W82" i="12"/>
  <c r="C82" i="12"/>
  <c r="I81" i="12"/>
  <c r="M80" i="12"/>
  <c r="S79" i="12"/>
  <c r="Y78" i="12"/>
  <c r="E78" i="12"/>
  <c r="I77" i="12"/>
  <c r="O76" i="12"/>
  <c r="U75" i="12"/>
  <c r="Z74" i="12"/>
  <c r="F74" i="12"/>
  <c r="K73" i="12"/>
  <c r="Q72" i="12"/>
  <c r="V71" i="12"/>
  <c r="C71" i="12"/>
  <c r="G70" i="12"/>
  <c r="M69" i="12"/>
  <c r="S68" i="12"/>
  <c r="X67" i="12"/>
  <c r="E67" i="12"/>
  <c r="K66" i="12"/>
  <c r="R65" i="12"/>
  <c r="Y64" i="12"/>
  <c r="G64" i="12"/>
  <c r="M63" i="12"/>
  <c r="T62" i="12"/>
  <c r="AA61" i="12"/>
  <c r="H61" i="12"/>
  <c r="O60" i="12"/>
  <c r="V59" i="12"/>
  <c r="D59" i="12"/>
  <c r="J58" i="12"/>
  <c r="Q57" i="12"/>
  <c r="X56" i="12"/>
  <c r="E56" i="12"/>
  <c r="L55" i="12"/>
  <c r="T54" i="12"/>
  <c r="C54" i="12"/>
  <c r="K53" i="12"/>
  <c r="S52" i="12"/>
  <c r="Z51" i="12"/>
  <c r="I51" i="12"/>
  <c r="Q50" i="12"/>
  <c r="Y49" i="12"/>
  <c r="H49" i="12"/>
  <c r="P48" i="12"/>
  <c r="X45" i="12"/>
  <c r="G45" i="12"/>
  <c r="O44" i="12"/>
  <c r="W43" i="12"/>
  <c r="F43" i="12"/>
  <c r="N41" i="12"/>
  <c r="V40" i="12"/>
  <c r="E40" i="12"/>
  <c r="M39" i="12"/>
  <c r="T38" i="12"/>
  <c r="C38" i="12"/>
  <c r="K37" i="12"/>
  <c r="S36" i="12"/>
  <c r="AA35" i="12"/>
  <c r="J35" i="12"/>
  <c r="R34" i="12"/>
  <c r="Z33" i="12"/>
  <c r="I33" i="12"/>
  <c r="Q32" i="12"/>
  <c r="Y30" i="12"/>
  <c r="H30" i="12"/>
  <c r="P29" i="12"/>
  <c r="X28" i="12"/>
  <c r="G28" i="12"/>
  <c r="N27" i="12"/>
  <c r="V26" i="12"/>
  <c r="E26" i="12"/>
  <c r="N25" i="12"/>
  <c r="W24" i="12"/>
  <c r="G24" i="12"/>
  <c r="P23" i="12"/>
  <c r="Y22" i="12"/>
  <c r="I22" i="12"/>
  <c r="R20" i="12"/>
  <c r="AA19" i="12"/>
  <c r="K19" i="12"/>
  <c r="T18" i="12"/>
  <c r="D18" i="12"/>
  <c r="M17" i="12"/>
  <c r="V16" i="12"/>
  <c r="F16" i="12"/>
  <c r="O15" i="12"/>
  <c r="X14" i="12"/>
  <c r="H14" i="12"/>
  <c r="Q13" i="12"/>
  <c r="Z12" i="12"/>
  <c r="J12" i="12"/>
  <c r="S10" i="12"/>
  <c r="C10" i="12"/>
  <c r="L9" i="12"/>
  <c r="U8" i="12"/>
  <c r="E8" i="12"/>
  <c r="L65" i="11"/>
  <c r="S64" i="11"/>
  <c r="C64" i="11"/>
  <c r="J63" i="11"/>
  <c r="Q62" i="11"/>
  <c r="X61" i="11"/>
  <c r="H61" i="11"/>
  <c r="O60" i="11"/>
  <c r="V59" i="11"/>
  <c r="F59" i="11"/>
  <c r="M58" i="11"/>
  <c r="T57" i="11"/>
  <c r="D57" i="11"/>
  <c r="K56" i="11"/>
  <c r="R55" i="11"/>
  <c r="Y54" i="11"/>
  <c r="I54" i="11"/>
  <c r="P50" i="11"/>
  <c r="W49" i="11"/>
  <c r="G49" i="11"/>
  <c r="N48" i="11"/>
  <c r="U47" i="11"/>
  <c r="E47" i="11"/>
  <c r="L45" i="11"/>
  <c r="S44" i="11"/>
  <c r="C44" i="11"/>
  <c r="J43" i="11"/>
  <c r="Q42" i="11"/>
  <c r="X40" i="11"/>
  <c r="H40" i="11"/>
  <c r="O39" i="11"/>
  <c r="V38" i="11"/>
  <c r="F38" i="11"/>
  <c r="M36" i="11"/>
  <c r="T35" i="11"/>
  <c r="D35" i="11"/>
  <c r="K34" i="11"/>
  <c r="AA43" i="17"/>
  <c r="M25" i="17"/>
  <c r="U13" i="17"/>
  <c r="C6" i="16"/>
  <c r="O20" i="14"/>
  <c r="F10" i="14"/>
  <c r="V70" i="13"/>
  <c r="K65" i="13"/>
  <c r="F60" i="13"/>
  <c r="Y54" i="13"/>
  <c r="K52" i="13"/>
  <c r="V49" i="13"/>
  <c r="H47" i="13"/>
  <c r="S44" i="13"/>
  <c r="F40" i="13"/>
  <c r="G38" i="13"/>
  <c r="Y35" i="13"/>
  <c r="K34" i="13"/>
  <c r="T32" i="13"/>
  <c r="J31" i="13"/>
  <c r="Y27" i="13"/>
  <c r="J26" i="13"/>
  <c r="C25" i="13"/>
  <c r="W23" i="13"/>
  <c r="V22" i="13"/>
  <c r="Q19" i="13"/>
  <c r="M18" i="13"/>
  <c r="K17" i="13"/>
  <c r="K16" i="13"/>
  <c r="I15" i="13"/>
  <c r="K14" i="13"/>
  <c r="H13" i="13"/>
  <c r="I12" i="13"/>
  <c r="K11" i="13"/>
  <c r="O10" i="13"/>
  <c r="N9" i="13"/>
  <c r="R8" i="13"/>
  <c r="Q7" i="13"/>
  <c r="U100" i="12"/>
  <c r="U99" i="12"/>
  <c r="X98" i="12"/>
  <c r="Y97" i="12"/>
  <c r="AA96" i="12"/>
  <c r="C96" i="12"/>
  <c r="E95" i="12"/>
  <c r="I94" i="12"/>
  <c r="K93" i="12"/>
  <c r="O92" i="12"/>
  <c r="T91" i="12"/>
  <c r="V90" i="12"/>
  <c r="Z89" i="12"/>
  <c r="F89" i="12"/>
  <c r="J88" i="12"/>
  <c r="N87" i="12"/>
  <c r="T86" i="12"/>
  <c r="Z85" i="12"/>
  <c r="F85" i="12"/>
  <c r="J84" i="12"/>
  <c r="P83" i="12"/>
  <c r="V82" i="12"/>
  <c r="AA81" i="12"/>
  <c r="G81" i="12"/>
  <c r="L80" i="12"/>
  <c r="R79" i="12"/>
  <c r="W78" i="12"/>
  <c r="D78" i="12"/>
  <c r="H77" i="12"/>
  <c r="N76" i="12"/>
  <c r="T75" i="12"/>
  <c r="Y74" i="12"/>
  <c r="D74" i="12"/>
  <c r="J73" i="12"/>
  <c r="P72" i="12"/>
  <c r="U71" i="12"/>
  <c r="Z70" i="12"/>
  <c r="F70" i="12"/>
  <c r="L69" i="12"/>
  <c r="Q68" i="12"/>
  <c r="W67" i="12"/>
  <c r="C67" i="12"/>
  <c r="J66" i="12"/>
  <c r="Q65" i="12"/>
  <c r="X64" i="12"/>
  <c r="E64" i="12"/>
  <c r="L63" i="12"/>
  <c r="S62" i="12"/>
  <c r="Y61" i="12"/>
  <c r="G61" i="12"/>
  <c r="N60" i="12"/>
  <c r="U59" i="12"/>
  <c r="AA58" i="12"/>
  <c r="I58" i="12"/>
  <c r="P57" i="12"/>
  <c r="V56" i="12"/>
  <c r="D56" i="12"/>
  <c r="K55" i="12"/>
  <c r="S54" i="12"/>
  <c r="AA53" i="12"/>
  <c r="J53" i="12"/>
  <c r="Q52" i="12"/>
  <c r="Y51" i="12"/>
  <c r="H51" i="12"/>
  <c r="P50" i="12"/>
  <c r="X49" i="12"/>
  <c r="G49" i="12"/>
  <c r="O48" i="12"/>
  <c r="W45" i="12"/>
  <c r="F45" i="12"/>
  <c r="N44" i="12"/>
  <c r="V43" i="12"/>
  <c r="E43" i="12"/>
  <c r="M41" i="12"/>
  <c r="U40" i="12"/>
  <c r="D40" i="12"/>
  <c r="K39" i="12"/>
  <c r="S38" i="12"/>
  <c r="AA37" i="12"/>
  <c r="J37" i="12"/>
  <c r="R36" i="12"/>
  <c r="Z35" i="12"/>
  <c r="I35" i="12"/>
  <c r="Q34" i="12"/>
  <c r="Y33" i="12"/>
  <c r="H33" i="12"/>
  <c r="P32" i="12"/>
  <c r="X30" i="12"/>
  <c r="G30" i="12"/>
  <c r="T43" i="17"/>
  <c r="J25" i="17"/>
  <c r="S13" i="17"/>
  <c r="X6" i="15"/>
  <c r="N20" i="14"/>
  <c r="E10" i="14"/>
  <c r="U70" i="13"/>
  <c r="J65" i="13"/>
  <c r="E60" i="13"/>
  <c r="P54" i="13"/>
  <c r="AA51" i="13"/>
  <c r="M49" i="13"/>
  <c r="X46" i="13"/>
  <c r="J44" i="13"/>
  <c r="E40" i="13"/>
  <c r="W37" i="13"/>
  <c r="V35" i="13"/>
  <c r="D34" i="13"/>
  <c r="S32" i="13"/>
  <c r="H31" i="13"/>
  <c r="E41" i="17"/>
  <c r="V23" i="17"/>
  <c r="U12" i="17"/>
  <c r="D6" i="15"/>
  <c r="P18" i="14"/>
  <c r="K9" i="14"/>
  <c r="E70" i="13"/>
  <c r="S64" i="13"/>
  <c r="O57" i="13"/>
  <c r="M54" i="13"/>
  <c r="X51" i="13"/>
  <c r="J49" i="13"/>
  <c r="U46" i="13"/>
  <c r="G44" i="13"/>
  <c r="U39" i="13"/>
  <c r="T37" i="13"/>
  <c r="T35" i="13"/>
  <c r="AA33" i="13"/>
  <c r="Q32" i="13"/>
  <c r="G31" i="13"/>
  <c r="Q27" i="13"/>
  <c r="G26" i="13"/>
  <c r="Y24" i="13"/>
  <c r="S23" i="13"/>
  <c r="P22" i="13"/>
  <c r="O19" i="13"/>
  <c r="J18" i="13"/>
  <c r="G17" i="13"/>
  <c r="I16" i="13"/>
  <c r="F15" i="13"/>
  <c r="F14" i="13"/>
  <c r="F13" i="13"/>
  <c r="F12" i="13"/>
  <c r="I11" i="13"/>
  <c r="J10" i="13"/>
  <c r="L9" i="13"/>
  <c r="M8" i="13"/>
  <c r="O7" i="13"/>
  <c r="S100" i="12"/>
  <c r="R99" i="12"/>
  <c r="V98" i="12"/>
  <c r="U97" i="12"/>
  <c r="Y96" i="12"/>
  <c r="Y95" i="12"/>
  <c r="C95" i="12"/>
  <c r="E94" i="12"/>
  <c r="H93" i="12"/>
  <c r="M92" i="12"/>
  <c r="P91" i="12"/>
  <c r="S90" i="12"/>
  <c r="X89" i="12"/>
  <c r="AA88" i="12"/>
  <c r="F88" i="12"/>
  <c r="L87" i="12"/>
  <c r="R86" i="12"/>
  <c r="W85" i="12"/>
  <c r="C85" i="12"/>
  <c r="H84" i="12"/>
  <c r="N83" i="12"/>
  <c r="S82" i="12"/>
  <c r="Y81" i="12"/>
  <c r="D81" i="12"/>
  <c r="J80" i="12"/>
  <c r="P79" i="12"/>
  <c r="U78" i="12"/>
  <c r="Y77" i="12"/>
  <c r="F77" i="12"/>
  <c r="L76" i="12"/>
  <c r="Q75" i="12"/>
  <c r="V74" i="12"/>
  <c r="AA73" i="12"/>
  <c r="H73" i="12"/>
  <c r="M72" i="12"/>
  <c r="S71" i="12"/>
  <c r="W70" i="12"/>
  <c r="D70" i="12"/>
  <c r="J69" i="12"/>
  <c r="O68" i="12"/>
  <c r="S67" i="12"/>
  <c r="Z66" i="12"/>
  <c r="H66" i="12"/>
  <c r="O65" i="12"/>
  <c r="U64" i="12"/>
  <c r="C64" i="12"/>
  <c r="J63" i="12"/>
  <c r="P62" i="12"/>
  <c r="W61" i="12"/>
  <c r="E61" i="12"/>
  <c r="L60" i="12"/>
  <c r="R59" i="12"/>
  <c r="Y58" i="12"/>
  <c r="G58" i="12"/>
  <c r="M57" i="12"/>
  <c r="T56" i="12"/>
  <c r="AA55" i="12"/>
  <c r="I55" i="12"/>
  <c r="Q54" i="12"/>
  <c r="X53" i="12"/>
  <c r="G53" i="12"/>
  <c r="O52" i="12"/>
  <c r="W51" i="12"/>
  <c r="F51" i="12"/>
  <c r="N50" i="12"/>
  <c r="V49" i="12"/>
  <c r="E49" i="12"/>
  <c r="M48" i="12"/>
  <c r="U45" i="12"/>
  <c r="D45" i="12"/>
  <c r="L44" i="12"/>
  <c r="T43" i="12"/>
  <c r="C43" i="12"/>
  <c r="K41" i="12"/>
  <c r="R40" i="12"/>
  <c r="Z39" i="12"/>
  <c r="I39" i="12"/>
  <c r="Q38" i="12"/>
  <c r="Y37" i="12"/>
  <c r="H37" i="12"/>
  <c r="P36" i="12"/>
  <c r="X35" i="12"/>
  <c r="G35" i="12"/>
  <c r="O34" i="12"/>
  <c r="W33" i="12"/>
  <c r="F33" i="12"/>
  <c r="N32" i="12"/>
  <c r="V30" i="12"/>
  <c r="E30" i="12"/>
  <c r="L29" i="12"/>
  <c r="T28" i="12"/>
  <c r="C28" i="12"/>
  <c r="K27" i="12"/>
  <c r="S26" i="12"/>
  <c r="AA25" i="12"/>
  <c r="K25" i="12"/>
  <c r="T24" i="12"/>
  <c r="D24" i="12"/>
  <c r="M23" i="12"/>
  <c r="V22" i="12"/>
  <c r="F22" i="12"/>
  <c r="O20" i="12"/>
  <c r="X19" i="12"/>
  <c r="H19" i="12"/>
  <c r="Q18" i="12"/>
  <c r="Z17" i="12"/>
  <c r="J17" i="12"/>
  <c r="S16" i="12"/>
  <c r="C16" i="12"/>
  <c r="L15" i="12"/>
  <c r="U14" i="12"/>
  <c r="E14" i="12"/>
  <c r="N13" i="12"/>
  <c r="W12" i="12"/>
  <c r="G12" i="12"/>
  <c r="P10" i="12"/>
  <c r="Y9" i="12"/>
  <c r="I9" i="12"/>
  <c r="R8" i="12"/>
  <c r="Y65" i="11"/>
  <c r="I65" i="11"/>
  <c r="P64" i="11"/>
  <c r="W63" i="11"/>
  <c r="G63" i="11"/>
  <c r="N62" i="11"/>
  <c r="U61" i="11"/>
  <c r="AA38" i="17"/>
  <c r="Q23" i="17"/>
  <c r="S12" i="17"/>
  <c r="AA31" i="14"/>
  <c r="O18" i="14"/>
  <c r="I9" i="14"/>
  <c r="D70" i="13"/>
  <c r="R64" i="13"/>
  <c r="N57" i="13"/>
  <c r="J54" i="13"/>
  <c r="U51" i="13"/>
  <c r="G49" i="13"/>
  <c r="R46" i="13"/>
  <c r="D44" i="13"/>
  <c r="R39" i="13"/>
  <c r="R37" i="13"/>
  <c r="S35" i="13"/>
  <c r="Z33" i="13"/>
  <c r="O32" i="13"/>
  <c r="F31" i="13"/>
  <c r="O27" i="13"/>
  <c r="E26" i="13"/>
  <c r="W24" i="13"/>
  <c r="R23" i="13"/>
  <c r="N22" i="13"/>
  <c r="N19" i="13"/>
  <c r="I18" i="13"/>
  <c r="F17" i="13"/>
  <c r="E16" i="13"/>
  <c r="E15" i="13"/>
  <c r="D14" i="13"/>
  <c r="E13" i="13"/>
  <c r="D12" i="13"/>
  <c r="H11" i="13"/>
  <c r="H10" i="13"/>
  <c r="K9" i="13"/>
  <c r="L8" i="13"/>
  <c r="N7" i="13"/>
  <c r="O100" i="12"/>
  <c r="Q99" i="12"/>
  <c r="U98" i="12"/>
  <c r="T97" i="12"/>
  <c r="X96" i="12"/>
  <c r="W95" i="12"/>
  <c r="AA94" i="12"/>
  <c r="D94" i="12"/>
  <c r="G93" i="12"/>
  <c r="L92" i="12"/>
  <c r="O91" i="12"/>
  <c r="R90" i="12"/>
  <c r="W89" i="12"/>
  <c r="Z88" i="12"/>
  <c r="E88" i="12"/>
  <c r="K87" i="12"/>
  <c r="Q86" i="12"/>
  <c r="V85" i="12"/>
  <c r="Z84" i="12"/>
  <c r="G84" i="12"/>
  <c r="M83" i="12"/>
  <c r="R82" i="12"/>
  <c r="W81" i="12"/>
  <c r="C81" i="12"/>
  <c r="I80" i="12"/>
  <c r="N79" i="12"/>
  <c r="T78" i="12"/>
  <c r="X77" i="12"/>
  <c r="E77" i="12"/>
  <c r="K76" i="12"/>
  <c r="P75" i="12"/>
  <c r="T74" i="12"/>
  <c r="Z73" i="12"/>
  <c r="G73" i="12"/>
  <c r="L72" i="12"/>
  <c r="Q71" i="12"/>
  <c r="V70" i="12"/>
  <c r="C70" i="12"/>
  <c r="H69" i="12"/>
  <c r="N68" i="12"/>
  <c r="R67" i="12"/>
  <c r="Y66" i="12"/>
  <c r="G66" i="12"/>
  <c r="N65" i="12"/>
  <c r="T64" i="12"/>
  <c r="AA63" i="12"/>
  <c r="I63" i="12"/>
  <c r="O62" i="12"/>
  <c r="V61" i="12"/>
  <c r="D61" i="12"/>
  <c r="K60" i="12"/>
  <c r="Q59" i="12"/>
  <c r="X58" i="12"/>
  <c r="F58" i="12"/>
  <c r="L57" i="12"/>
  <c r="E37" i="17"/>
  <c r="E22" i="17"/>
  <c r="U11" i="17"/>
  <c r="D31" i="14"/>
  <c r="S17" i="14"/>
  <c r="M8" i="14"/>
  <c r="M69" i="13"/>
  <c r="AA63" i="13"/>
  <c r="X56" i="13"/>
  <c r="I54" i="13"/>
  <c r="T51" i="13"/>
  <c r="F49" i="13"/>
  <c r="Q46" i="13"/>
  <c r="C44" i="13"/>
  <c r="P39" i="13"/>
  <c r="Q37" i="13"/>
  <c r="R35" i="13"/>
  <c r="X33" i="13"/>
  <c r="N32" i="13"/>
  <c r="X28" i="13"/>
  <c r="N27" i="13"/>
  <c r="D26" i="13"/>
  <c r="V24" i="13"/>
  <c r="P23" i="13"/>
  <c r="L22" i="13"/>
  <c r="I19" i="13"/>
  <c r="H18" i="13"/>
  <c r="D17" i="13"/>
  <c r="D16" i="13"/>
  <c r="D15" i="13"/>
  <c r="AA13" i="13"/>
  <c r="D13" i="13"/>
  <c r="C12" i="13"/>
  <c r="G11" i="13"/>
  <c r="F10" i="13"/>
  <c r="J9" i="13"/>
  <c r="J8" i="13"/>
  <c r="M7" i="13"/>
  <c r="N100" i="12"/>
  <c r="P99" i="12"/>
  <c r="Q98" i="12"/>
  <c r="S97" i="12"/>
  <c r="W96" i="12"/>
  <c r="V95" i="12"/>
  <c r="Z94" i="12"/>
  <c r="AA93" i="12"/>
  <c r="F93" i="12"/>
  <c r="K92" i="12"/>
  <c r="M91" i="12"/>
  <c r="Q90" i="12"/>
  <c r="V89" i="12"/>
  <c r="X88" i="12"/>
  <c r="D88" i="12"/>
  <c r="J87" i="12"/>
  <c r="O86" i="12"/>
  <c r="U85" i="12"/>
  <c r="Y84" i="12"/>
  <c r="F84" i="12"/>
  <c r="L83" i="12"/>
  <c r="Q82" i="12"/>
  <c r="U81" i="12"/>
  <c r="AA80" i="12"/>
  <c r="H80" i="12"/>
  <c r="M79" i="12"/>
  <c r="R78" i="12"/>
  <c r="W77" i="12"/>
  <c r="D77" i="12"/>
  <c r="I76" i="12"/>
  <c r="O75" i="12"/>
  <c r="S74" i="12"/>
  <c r="Y73" i="12"/>
  <c r="F73" i="12"/>
  <c r="K72" i="12"/>
  <c r="O71" i="12"/>
  <c r="U70" i="12"/>
  <c r="AA69" i="12"/>
  <c r="G69" i="12"/>
  <c r="L68" i="12"/>
  <c r="Q67" i="12"/>
  <c r="X66" i="12"/>
  <c r="F66" i="12"/>
  <c r="L65" i="12"/>
  <c r="S64" i="12"/>
  <c r="Z63" i="12"/>
  <c r="G63" i="12"/>
  <c r="N62" i="12"/>
  <c r="U61" i="12"/>
  <c r="C61" i="12"/>
  <c r="I60" i="12"/>
  <c r="P59" i="12"/>
  <c r="W58" i="12"/>
  <c r="D58" i="12"/>
  <c r="K57" i="12"/>
  <c r="R56" i="12"/>
  <c r="Y55" i="12"/>
  <c r="F55" i="12"/>
  <c r="N54" i="12"/>
  <c r="V53" i="12"/>
  <c r="E53" i="12"/>
  <c r="M52" i="12"/>
  <c r="U51" i="12"/>
  <c r="D51" i="12"/>
  <c r="L50" i="12"/>
  <c r="T49" i="12"/>
  <c r="C49" i="12"/>
  <c r="K48" i="12"/>
  <c r="S45" i="12"/>
  <c r="AA44" i="12"/>
  <c r="J44" i="12"/>
  <c r="R43" i="12"/>
  <c r="Y41" i="12"/>
  <c r="H41" i="12"/>
  <c r="P40" i="12"/>
  <c r="X39" i="12"/>
  <c r="G39" i="12"/>
  <c r="O38" i="12"/>
  <c r="W37" i="12"/>
  <c r="F37" i="12"/>
  <c r="N36" i="12"/>
  <c r="V35" i="12"/>
  <c r="E35" i="12"/>
  <c r="M34" i="12"/>
  <c r="U33" i="12"/>
  <c r="D33" i="12"/>
  <c r="L32" i="12"/>
  <c r="S30" i="12"/>
  <c r="AA29" i="12"/>
  <c r="J29" i="12"/>
  <c r="R28" i="12"/>
  <c r="Z27" i="12"/>
  <c r="I27" i="12"/>
  <c r="Q26" i="12"/>
  <c r="Y25" i="12"/>
  <c r="I25" i="12"/>
  <c r="R24" i="12"/>
  <c r="AA23" i="12"/>
  <c r="K23" i="12"/>
  <c r="T22" i="12"/>
  <c r="D22" i="12"/>
  <c r="M20" i="12"/>
  <c r="V19" i="12"/>
  <c r="F19" i="12"/>
  <c r="O18" i="12"/>
  <c r="X17" i="12"/>
  <c r="H17" i="12"/>
  <c r="Q16" i="12"/>
  <c r="Z15" i="12"/>
  <c r="J15" i="12"/>
  <c r="S14" i="12"/>
  <c r="C14" i="12"/>
  <c r="L13" i="12"/>
  <c r="U12" i="12"/>
  <c r="E12" i="12"/>
  <c r="N10" i="12"/>
  <c r="W9" i="12"/>
  <c r="G9" i="12"/>
  <c r="P8" i="12"/>
  <c r="W65" i="11"/>
  <c r="G65" i="11"/>
  <c r="N64" i="11"/>
  <c r="U63" i="11"/>
  <c r="E63" i="11"/>
  <c r="L62" i="11"/>
  <c r="S61" i="11"/>
  <c r="C61" i="11"/>
  <c r="J60" i="11"/>
  <c r="Q59" i="11"/>
  <c r="X58" i="11"/>
  <c r="H58" i="11"/>
  <c r="O57" i="11"/>
  <c r="V56" i="11"/>
  <c r="F56" i="11"/>
  <c r="M55" i="11"/>
  <c r="T54" i="11"/>
  <c r="D54" i="11"/>
  <c r="K50" i="11"/>
  <c r="R49" i="11"/>
  <c r="Y48" i="11"/>
  <c r="I48" i="11"/>
  <c r="P47" i="11"/>
  <c r="W45" i="11"/>
  <c r="G45" i="11"/>
  <c r="N44" i="11"/>
  <c r="U43" i="11"/>
  <c r="E43" i="11"/>
  <c r="L42" i="11"/>
  <c r="S40" i="11"/>
  <c r="C40" i="11"/>
  <c r="X27" i="13"/>
  <c r="Q8" i="13"/>
  <c r="H88" i="12"/>
  <c r="R75" i="12"/>
  <c r="K63" i="12"/>
  <c r="U56" i="12"/>
  <c r="F53" i="12"/>
  <c r="P49" i="12"/>
  <c r="U43" i="12"/>
  <c r="H39" i="12"/>
  <c r="W35" i="12"/>
  <c r="E33" i="12"/>
  <c r="N29" i="12"/>
  <c r="J27" i="12"/>
  <c r="E25" i="12"/>
  <c r="F23" i="12"/>
  <c r="Z19" i="12"/>
  <c r="AA17" i="12"/>
  <c r="AA15" i="12"/>
  <c r="X13" i="12"/>
  <c r="Y10" i="12"/>
  <c r="T8" i="12"/>
  <c r="Y64" i="11"/>
  <c r="O63" i="11"/>
  <c r="F62" i="11"/>
  <c r="U60" i="11"/>
  <c r="N59" i="11"/>
  <c r="J58" i="11"/>
  <c r="C57" i="11"/>
  <c r="W55" i="11"/>
  <c r="P54" i="11"/>
  <c r="L50" i="11"/>
  <c r="E49" i="11"/>
  <c r="W47" i="11"/>
  <c r="R45" i="11"/>
  <c r="K44" i="11"/>
  <c r="G43" i="11"/>
  <c r="W40" i="11"/>
  <c r="T39" i="11"/>
  <c r="Q38" i="11"/>
  <c r="L36" i="11"/>
  <c r="K35" i="11"/>
  <c r="I34" i="11"/>
  <c r="K33" i="11"/>
  <c r="N32" i="11"/>
  <c r="O31" i="11"/>
  <c r="S30" i="11"/>
  <c r="V29" i="11"/>
  <c r="C29" i="11"/>
  <c r="E28" i="11"/>
  <c r="I27" i="11"/>
  <c r="L26" i="11"/>
  <c r="P25" i="11"/>
  <c r="S24" i="11"/>
  <c r="V23" i="11"/>
  <c r="C23" i="11"/>
  <c r="F22" i="11"/>
  <c r="J21" i="11"/>
  <c r="L20" i="11"/>
  <c r="P19" i="11"/>
  <c r="S18" i="11"/>
  <c r="W17" i="11"/>
  <c r="Y16" i="11"/>
  <c r="F16" i="11"/>
  <c r="I15" i="11"/>
  <c r="M14" i="11"/>
  <c r="P13" i="11"/>
  <c r="S12" i="11"/>
  <c r="X11" i="11"/>
  <c r="E11" i="11"/>
  <c r="J10" i="11"/>
  <c r="O9" i="11"/>
  <c r="U8" i="11"/>
  <c r="C8" i="11"/>
  <c r="I7" i="11"/>
  <c r="O6" i="11"/>
  <c r="U76" i="10"/>
  <c r="D76" i="10"/>
  <c r="J75" i="10"/>
  <c r="P74" i="10"/>
  <c r="V73" i="10"/>
  <c r="F73" i="10"/>
  <c r="M72" i="10"/>
  <c r="T71" i="10"/>
  <c r="D71" i="10"/>
  <c r="K70" i="10"/>
  <c r="R69" i="10"/>
  <c r="Y68" i="10"/>
  <c r="I68" i="10"/>
  <c r="P67" i="10"/>
  <c r="W66" i="10"/>
  <c r="G66" i="10"/>
  <c r="N65" i="10"/>
  <c r="U61" i="10"/>
  <c r="E61" i="10"/>
  <c r="L60" i="10"/>
  <c r="S59" i="10"/>
  <c r="C59" i="10"/>
  <c r="J58" i="10"/>
  <c r="Q56" i="10"/>
  <c r="X55" i="10"/>
  <c r="H55" i="10"/>
  <c r="H26" i="13"/>
  <c r="P7" i="13"/>
  <c r="M87" i="12"/>
  <c r="X74" i="12"/>
  <c r="R62" i="12"/>
  <c r="S56" i="12"/>
  <c r="Z52" i="12"/>
  <c r="F49" i="12"/>
  <c r="S43" i="12"/>
  <c r="C39" i="12"/>
  <c r="R35" i="12"/>
  <c r="X32" i="12"/>
  <c r="K29" i="12"/>
  <c r="E27" i="12"/>
  <c r="D25" i="12"/>
  <c r="X22" i="12"/>
  <c r="Y19" i="12"/>
  <c r="Y17" i="12"/>
  <c r="V15" i="12"/>
  <c r="W13" i="12"/>
  <c r="R10" i="12"/>
  <c r="S8" i="12"/>
  <c r="X64" i="11"/>
  <c r="L63" i="11"/>
  <c r="C62" i="11"/>
  <c r="T60" i="11"/>
  <c r="M59" i="11"/>
  <c r="I58" i="11"/>
  <c r="Y56" i="11"/>
  <c r="T55" i="11"/>
  <c r="O54" i="11"/>
  <c r="H50" i="11"/>
  <c r="D49" i="11"/>
  <c r="T47" i="11"/>
  <c r="Q45" i="11"/>
  <c r="J44" i="11"/>
  <c r="F43" i="11"/>
  <c r="V40" i="11"/>
  <c r="Q39" i="11"/>
  <c r="N38" i="11"/>
  <c r="K36" i="11"/>
  <c r="J35" i="11"/>
  <c r="H34" i="11"/>
  <c r="J33" i="11"/>
  <c r="K32" i="11"/>
  <c r="N31" i="11"/>
  <c r="R30" i="11"/>
  <c r="U29" i="11"/>
  <c r="Y28" i="11"/>
  <c r="D28" i="11"/>
  <c r="H27" i="11"/>
  <c r="K26" i="11"/>
  <c r="O25" i="11"/>
  <c r="Q24" i="11"/>
  <c r="U23" i="11"/>
  <c r="X22" i="11"/>
  <c r="E22" i="11"/>
  <c r="H21" i="11"/>
  <c r="K20" i="11"/>
  <c r="O19" i="11"/>
  <c r="R18" i="11"/>
  <c r="V17" i="11"/>
  <c r="X16" i="11"/>
  <c r="E16" i="11"/>
  <c r="H15" i="11"/>
  <c r="L14" i="11"/>
  <c r="N13" i="11"/>
  <c r="R12" i="11"/>
  <c r="W11" i="11"/>
  <c r="D11" i="11"/>
  <c r="I10" i="11"/>
  <c r="N9" i="11"/>
  <c r="S8" i="11"/>
  <c r="Y7" i="11"/>
  <c r="H7" i="11"/>
  <c r="N6" i="11"/>
  <c r="T76" i="10"/>
  <c r="C76" i="10"/>
  <c r="I75" i="10"/>
  <c r="O74" i="10"/>
  <c r="U73" i="10"/>
  <c r="E73" i="10"/>
  <c r="L72" i="10"/>
  <c r="S71" i="10"/>
  <c r="C71" i="10"/>
  <c r="J70" i="10"/>
  <c r="Q69" i="10"/>
  <c r="X68" i="10"/>
  <c r="H68" i="10"/>
  <c r="O67" i="10"/>
  <c r="V66" i="10"/>
  <c r="F66" i="10"/>
  <c r="M65" i="10"/>
  <c r="T61" i="10"/>
  <c r="D61" i="10"/>
  <c r="K60" i="10"/>
  <c r="R59" i="10"/>
  <c r="Y58" i="10"/>
  <c r="I58" i="10"/>
  <c r="P56" i="10"/>
  <c r="W55" i="10"/>
  <c r="G55" i="10"/>
  <c r="N54" i="10"/>
  <c r="U53" i="10"/>
  <c r="E53" i="10"/>
  <c r="L51" i="10"/>
  <c r="S50" i="10"/>
  <c r="C50" i="10"/>
  <c r="J49" i="10"/>
  <c r="Q47" i="10"/>
  <c r="X46" i="10"/>
  <c r="H46" i="10"/>
  <c r="O45" i="10"/>
  <c r="V44" i="10"/>
  <c r="F44" i="10"/>
  <c r="M43" i="10"/>
  <c r="T42" i="10"/>
  <c r="D42" i="10"/>
  <c r="K41" i="10"/>
  <c r="R40" i="10"/>
  <c r="Y39" i="10"/>
  <c r="I39" i="10"/>
  <c r="P38" i="10"/>
  <c r="W37" i="10"/>
  <c r="G37" i="10"/>
  <c r="N36" i="10"/>
  <c r="U35" i="10"/>
  <c r="E35" i="10"/>
  <c r="L34" i="10"/>
  <c r="S33" i="10"/>
  <c r="C33" i="10"/>
  <c r="J32" i="10"/>
  <c r="Q31" i="10"/>
  <c r="X30" i="10"/>
  <c r="H30" i="10"/>
  <c r="O29" i="10"/>
  <c r="V28" i="10"/>
  <c r="F28" i="10"/>
  <c r="M27" i="10"/>
  <c r="T26" i="10"/>
  <c r="D26" i="10"/>
  <c r="K25" i="10"/>
  <c r="R24" i="10"/>
  <c r="Y23" i="10"/>
  <c r="I23" i="10"/>
  <c r="Z24" i="13"/>
  <c r="T100" i="12"/>
  <c r="S86" i="12"/>
  <c r="C74" i="12"/>
  <c r="X61" i="12"/>
  <c r="M56" i="12"/>
  <c r="P52" i="12"/>
  <c r="D49" i="12"/>
  <c r="M43" i="12"/>
  <c r="R38" i="12"/>
  <c r="Q35" i="12"/>
  <c r="W32" i="12"/>
  <c r="F29" i="12"/>
  <c r="D27" i="12"/>
  <c r="V24" i="12"/>
  <c r="W22" i="12"/>
  <c r="W19" i="12"/>
  <c r="T17" i="12"/>
  <c r="U15" i="12"/>
  <c r="P13" i="12"/>
  <c r="Q10" i="12"/>
  <c r="Q8" i="12"/>
  <c r="U64" i="11"/>
  <c r="I63" i="11"/>
  <c r="W61" i="11"/>
  <c r="Q60" i="11"/>
  <c r="L59" i="11"/>
  <c r="E58" i="11"/>
  <c r="X56" i="11"/>
  <c r="Q55" i="11"/>
  <c r="N54" i="11"/>
  <c r="G50" i="11"/>
  <c r="C49" i="11"/>
  <c r="S47" i="11"/>
  <c r="N45" i="11"/>
  <c r="I44" i="11"/>
  <c r="Y42" i="11"/>
  <c r="U40" i="11"/>
  <c r="N39" i="11"/>
  <c r="M38" i="11"/>
  <c r="J36" i="11"/>
  <c r="I35" i="11"/>
  <c r="G34" i="11"/>
  <c r="I33" i="11"/>
  <c r="I32" i="11"/>
  <c r="M31" i="11"/>
  <c r="P30" i="11"/>
  <c r="T29" i="11"/>
  <c r="W28" i="11"/>
  <c r="C28" i="11"/>
  <c r="G27" i="11"/>
  <c r="J26" i="11"/>
  <c r="N25" i="11"/>
  <c r="P24" i="11"/>
  <c r="T23" i="11"/>
  <c r="W22" i="11"/>
  <c r="D22" i="11"/>
  <c r="F21" i="11"/>
  <c r="J20" i="11"/>
  <c r="M19" i="11"/>
  <c r="Q18" i="11"/>
  <c r="T17" i="11"/>
  <c r="W16" i="11"/>
  <c r="D16" i="11"/>
  <c r="G15" i="11"/>
  <c r="K14" i="11"/>
  <c r="M13" i="11"/>
  <c r="Q12" i="11"/>
  <c r="U11" i="11"/>
  <c r="C11" i="11"/>
  <c r="H10" i="11"/>
  <c r="L9" i="11"/>
  <c r="R8" i="11"/>
  <c r="X7" i="11"/>
  <c r="G7" i="11"/>
  <c r="M6" i="11"/>
  <c r="S76" i="10"/>
  <c r="Y75" i="10"/>
  <c r="H75" i="10"/>
  <c r="N74" i="10"/>
  <c r="T73" i="10"/>
  <c r="D73" i="10"/>
  <c r="K72" i="10"/>
  <c r="R71" i="10"/>
  <c r="Y70" i="10"/>
  <c r="I70" i="10"/>
  <c r="P69" i="10"/>
  <c r="W68" i="10"/>
  <c r="G68" i="10"/>
  <c r="N67" i="10"/>
  <c r="U66" i="10"/>
  <c r="E66" i="10"/>
  <c r="L65" i="10"/>
  <c r="S61" i="10"/>
  <c r="C61" i="10"/>
  <c r="J60" i="10"/>
  <c r="Q59" i="10"/>
  <c r="X58" i="10"/>
  <c r="H58" i="10"/>
  <c r="O56" i="10"/>
  <c r="V55" i="10"/>
  <c r="F55" i="10"/>
  <c r="M54" i="10"/>
  <c r="T53" i="10"/>
  <c r="D53" i="10"/>
  <c r="K51" i="10"/>
  <c r="R50" i="10"/>
  <c r="Y49" i="10"/>
  <c r="I49" i="10"/>
  <c r="P47" i="10"/>
  <c r="W46" i="10"/>
  <c r="G46" i="10"/>
  <c r="N45" i="10"/>
  <c r="U44" i="10"/>
  <c r="E44" i="10"/>
  <c r="L43" i="10"/>
  <c r="S42" i="10"/>
  <c r="C42" i="10"/>
  <c r="J41" i="10"/>
  <c r="Q40" i="10"/>
  <c r="X39" i="10"/>
  <c r="H39" i="10"/>
  <c r="O38" i="10"/>
  <c r="V37" i="10"/>
  <c r="F37" i="10"/>
  <c r="M36" i="10"/>
  <c r="T35" i="10"/>
  <c r="D35" i="10"/>
  <c r="K34" i="10"/>
  <c r="R33" i="10"/>
  <c r="Y32" i="10"/>
  <c r="I32" i="10"/>
  <c r="P31" i="10"/>
  <c r="W30" i="10"/>
  <c r="G30" i="10"/>
  <c r="N29" i="10"/>
  <c r="U28" i="10"/>
  <c r="E28" i="10"/>
  <c r="L27" i="10"/>
  <c r="S26" i="10"/>
  <c r="C26" i="10"/>
  <c r="J25" i="10"/>
  <c r="Q24" i="10"/>
  <c r="X23" i="10"/>
  <c r="H23" i="10"/>
  <c r="O22" i="10"/>
  <c r="V21" i="10"/>
  <c r="F21" i="10"/>
  <c r="M20" i="10"/>
  <c r="T19" i="10"/>
  <c r="D19" i="10"/>
  <c r="K18" i="10"/>
  <c r="R17" i="10"/>
  <c r="Y16" i="10"/>
  <c r="I16" i="10"/>
  <c r="P15" i="10"/>
  <c r="W14" i="10"/>
  <c r="G14" i="10"/>
  <c r="N13" i="10"/>
  <c r="U12" i="10"/>
  <c r="E12" i="10"/>
  <c r="L11" i="10"/>
  <c r="S10" i="10"/>
  <c r="C10" i="10"/>
  <c r="J9" i="10"/>
  <c r="Q8" i="10"/>
  <c r="X7" i="10"/>
  <c r="U23" i="13"/>
  <c r="S99" i="12"/>
  <c r="X85" i="12"/>
  <c r="I73" i="12"/>
  <c r="P61" i="12"/>
  <c r="C56" i="12"/>
  <c r="N52" i="12"/>
  <c r="X48" i="12"/>
  <c r="D43" i="12"/>
  <c r="P38" i="12"/>
  <c r="H35" i="12"/>
  <c r="O32" i="12"/>
  <c r="E29" i="12"/>
  <c r="U26" i="12"/>
  <c r="U24" i="12"/>
  <c r="U22" i="12"/>
  <c r="R19" i="12"/>
  <c r="S17" i="12"/>
  <c r="N15" i="12"/>
  <c r="O13" i="12"/>
  <c r="O10" i="12"/>
  <c r="L8" i="12"/>
  <c r="R64" i="11"/>
  <c r="H63" i="11"/>
  <c r="V61" i="11"/>
  <c r="N60" i="11"/>
  <c r="K59" i="11"/>
  <c r="D58" i="11"/>
  <c r="W56" i="11"/>
  <c r="P55" i="11"/>
  <c r="K54" i="11"/>
  <c r="F50" i="11"/>
  <c r="V48" i="11"/>
  <c r="R47" i="11"/>
  <c r="K45" i="11"/>
  <c r="H44" i="11"/>
  <c r="X42" i="11"/>
  <c r="T40" i="11"/>
  <c r="M39" i="11"/>
  <c r="L38" i="11"/>
  <c r="I36" i="11"/>
  <c r="F35" i="11"/>
  <c r="F34" i="11"/>
  <c r="H33" i="11"/>
  <c r="H32" i="11"/>
  <c r="L31" i="11"/>
  <c r="O30" i="11"/>
  <c r="S29" i="11"/>
  <c r="U28" i="11"/>
  <c r="Y27" i="11"/>
  <c r="E27" i="11"/>
  <c r="I26" i="11"/>
  <c r="L25" i="11"/>
  <c r="O24" i="11"/>
  <c r="S23" i="11"/>
  <c r="V22" i="11"/>
  <c r="C22" i="11"/>
  <c r="E21" i="11"/>
  <c r="I20" i="11"/>
  <c r="L19" i="11"/>
  <c r="P18" i="11"/>
  <c r="R17" i="11"/>
  <c r="V16" i="11"/>
  <c r="Y15" i="11"/>
  <c r="F15" i="11"/>
  <c r="I14" i="11"/>
  <c r="L13" i="11"/>
  <c r="P12" i="11"/>
  <c r="T11" i="11"/>
  <c r="Y10" i="11"/>
  <c r="G10" i="11"/>
  <c r="K9" i="11"/>
  <c r="Q8" i="11"/>
  <c r="W7" i="11"/>
  <c r="F7" i="11"/>
  <c r="L6" i="11"/>
  <c r="R76" i="10"/>
  <c r="X75" i="10"/>
  <c r="G75" i="10"/>
  <c r="M74" i="10"/>
  <c r="S73" i="10"/>
  <c r="C73" i="10"/>
  <c r="J72" i="10"/>
  <c r="Q71" i="10"/>
  <c r="X70" i="10"/>
  <c r="H70" i="10"/>
  <c r="O69" i="10"/>
  <c r="V68" i="10"/>
  <c r="F68" i="10"/>
  <c r="M67" i="10"/>
  <c r="T66" i="10"/>
  <c r="D66" i="10"/>
  <c r="K65" i="10"/>
  <c r="R61" i="10"/>
  <c r="Y60" i="10"/>
  <c r="I60" i="10"/>
  <c r="P59" i="10"/>
  <c r="W58" i="10"/>
  <c r="G58" i="10"/>
  <c r="N56" i="10"/>
  <c r="U55" i="10"/>
  <c r="E55" i="10"/>
  <c r="L54" i="10"/>
  <c r="S53" i="10"/>
  <c r="C53" i="10"/>
  <c r="J51" i="10"/>
  <c r="Q50" i="10"/>
  <c r="U22" i="13"/>
  <c r="W98" i="12"/>
  <c r="E85" i="12"/>
  <c r="O72" i="12"/>
  <c r="F61" i="12"/>
  <c r="Z55" i="12"/>
  <c r="I52" i="12"/>
  <c r="N48" i="12"/>
  <c r="AA41" i="12"/>
  <c r="K38" i="12"/>
  <c r="F35" i="12"/>
  <c r="M32" i="12"/>
  <c r="W28" i="12"/>
  <c r="T26" i="12"/>
  <c r="S24" i="12"/>
  <c r="P22" i="12"/>
  <c r="Q19" i="12"/>
  <c r="L17" i="12"/>
  <c r="M15" i="12"/>
  <c r="M13" i="12"/>
  <c r="J10" i="12"/>
  <c r="K8" i="12"/>
  <c r="Q64" i="11"/>
  <c r="F63" i="11"/>
  <c r="T61" i="11"/>
  <c r="M60" i="11"/>
  <c r="H59" i="11"/>
  <c r="C58" i="11"/>
  <c r="S56" i="11"/>
  <c r="O55" i="11"/>
  <c r="H54" i="11"/>
  <c r="E50" i="11"/>
  <c r="U48" i="11"/>
  <c r="Q47" i="11"/>
  <c r="J45" i="11"/>
  <c r="E44" i="11"/>
  <c r="W42" i="11"/>
  <c r="P40" i="11"/>
  <c r="L39" i="11"/>
  <c r="K38" i="11"/>
  <c r="H36" i="11"/>
  <c r="C35" i="11"/>
  <c r="D34" i="11"/>
  <c r="G33" i="11"/>
  <c r="G32" i="11"/>
  <c r="K31" i="11"/>
  <c r="N30" i="11"/>
  <c r="R29" i="11"/>
  <c r="T28" i="11"/>
  <c r="X27" i="11"/>
  <c r="D27" i="11"/>
  <c r="H26" i="11"/>
  <c r="J25" i="11"/>
  <c r="N24" i="11"/>
  <c r="Q23" i="11"/>
  <c r="U22" i="11"/>
  <c r="X21" i="11"/>
  <c r="D21" i="11"/>
  <c r="H20" i="11"/>
  <c r="K19" i="11"/>
  <c r="O18" i="11"/>
  <c r="Q17" i="11"/>
  <c r="U16" i="11"/>
  <c r="X15" i="11"/>
  <c r="E15" i="11"/>
  <c r="G14" i="11"/>
  <c r="K13" i="11"/>
  <c r="N12" i="11"/>
  <c r="S11" i="11"/>
  <c r="X10" i="11"/>
  <c r="E10" i="11"/>
  <c r="J9" i="11"/>
  <c r="P8" i="11"/>
  <c r="V7" i="11"/>
  <c r="E7" i="11"/>
  <c r="K6" i="11"/>
  <c r="Q76" i="10"/>
  <c r="W75" i="10"/>
  <c r="F75" i="10"/>
  <c r="L74" i="10"/>
  <c r="R73" i="10"/>
  <c r="Y72" i="10"/>
  <c r="I72" i="10"/>
  <c r="P71" i="10"/>
  <c r="W70" i="10"/>
  <c r="G70" i="10"/>
  <c r="N69" i="10"/>
  <c r="U68" i="10"/>
  <c r="E68" i="10"/>
  <c r="L67" i="10"/>
  <c r="S66" i="10"/>
  <c r="C66" i="10"/>
  <c r="J65" i="10"/>
  <c r="Q61" i="10"/>
  <c r="X60" i="10"/>
  <c r="H60" i="10"/>
  <c r="O59" i="10"/>
  <c r="V58" i="10"/>
  <c r="F58" i="10"/>
  <c r="M56" i="10"/>
  <c r="T55" i="10"/>
  <c r="D55" i="10"/>
  <c r="K54" i="10"/>
  <c r="R53" i="10"/>
  <c r="Y51" i="10"/>
  <c r="I51" i="10"/>
  <c r="P50" i="10"/>
  <c r="W49" i="10"/>
  <c r="P19" i="13"/>
  <c r="W97" i="12"/>
  <c r="I84" i="12"/>
  <c r="T71" i="12"/>
  <c r="W60" i="12"/>
  <c r="T55" i="12"/>
  <c r="X51" i="12"/>
  <c r="L48" i="12"/>
  <c r="U41" i="12"/>
  <c r="Z37" i="12"/>
  <c r="Z34" i="12"/>
  <c r="G32" i="12"/>
  <c r="U28" i="12"/>
  <c r="R26" i="12"/>
  <c r="N24" i="12"/>
  <c r="O22" i="12"/>
  <c r="J19" i="12"/>
  <c r="K17" i="12"/>
  <c r="K15" i="12"/>
  <c r="H13" i="12"/>
  <c r="I10" i="12"/>
  <c r="G8" i="12"/>
  <c r="O64" i="11"/>
  <c r="Y62" i="11"/>
  <c r="P61" i="11"/>
  <c r="L60" i="11"/>
  <c r="E59" i="11"/>
  <c r="Y57" i="11"/>
  <c r="R56" i="11"/>
  <c r="N55" i="11"/>
  <c r="G54" i="11"/>
  <c r="Y49" i="11"/>
  <c r="T48" i="11"/>
  <c r="M47" i="11"/>
  <c r="I45" i="11"/>
  <c r="Y43" i="11"/>
  <c r="V42" i="11"/>
  <c r="O40" i="11"/>
  <c r="K39" i="11"/>
  <c r="H38" i="11"/>
  <c r="E36" i="11"/>
  <c r="Y34" i="11"/>
  <c r="C34" i="11"/>
  <c r="D33" i="11"/>
  <c r="F32" i="11"/>
  <c r="I31" i="11"/>
  <c r="M30" i="11"/>
  <c r="P29" i="11"/>
  <c r="S28" i="11"/>
  <c r="W27" i="11"/>
  <c r="C27" i="11"/>
  <c r="G26" i="11"/>
  <c r="I25" i="11"/>
  <c r="M24" i="11"/>
  <c r="P23" i="11"/>
  <c r="T22" i="11"/>
  <c r="V21" i="11"/>
  <c r="C21" i="11"/>
  <c r="F20" i="11"/>
  <c r="J19" i="11"/>
  <c r="M18" i="11"/>
  <c r="P17" i="11"/>
  <c r="T16" i="11"/>
  <c r="W15" i="11"/>
  <c r="D15" i="11"/>
  <c r="F14" i="11"/>
  <c r="J13" i="11"/>
  <c r="M12" i="11"/>
  <c r="R11" i="11"/>
  <c r="W10" i="11"/>
  <c r="D10" i="11"/>
  <c r="I9" i="11"/>
  <c r="O8" i="11"/>
  <c r="U7" i="11"/>
  <c r="D7" i="11"/>
  <c r="J6" i="11"/>
  <c r="P76" i="10"/>
  <c r="V75" i="10"/>
  <c r="E75" i="10"/>
  <c r="K74" i="10"/>
  <c r="Q73" i="10"/>
  <c r="X72" i="10"/>
  <c r="H72" i="10"/>
  <c r="O71" i="10"/>
  <c r="V70" i="10"/>
  <c r="F70" i="10"/>
  <c r="M69" i="10"/>
  <c r="T68" i="10"/>
  <c r="D68" i="10"/>
  <c r="K67" i="10"/>
  <c r="R66" i="10"/>
  <c r="Y65" i="10"/>
  <c r="I65" i="10"/>
  <c r="P61" i="10"/>
  <c r="W60" i="10"/>
  <c r="G60" i="10"/>
  <c r="N59" i="10"/>
  <c r="U58" i="10"/>
  <c r="E58" i="10"/>
  <c r="L56" i="10"/>
  <c r="S55" i="10"/>
  <c r="C55" i="10"/>
  <c r="J54" i="10"/>
  <c r="Q53" i="10"/>
  <c r="X51" i="10"/>
  <c r="H51" i="10"/>
  <c r="O50" i="10"/>
  <c r="V49" i="10"/>
  <c r="F49" i="10"/>
  <c r="M47" i="10"/>
  <c r="T46" i="10"/>
  <c r="D46" i="10"/>
  <c r="K45" i="10"/>
  <c r="R44" i="10"/>
  <c r="Y43" i="10"/>
  <c r="I43" i="10"/>
  <c r="P42" i="10"/>
  <c r="W41" i="10"/>
  <c r="G41" i="10"/>
  <c r="N40" i="10"/>
  <c r="U39" i="10"/>
  <c r="E39" i="10"/>
  <c r="L38" i="10"/>
  <c r="S37" i="10"/>
  <c r="C37" i="10"/>
  <c r="J36" i="10"/>
  <c r="Q35" i="10"/>
  <c r="X34" i="10"/>
  <c r="H34" i="10"/>
  <c r="O33" i="10"/>
  <c r="V32" i="10"/>
  <c r="F32" i="10"/>
  <c r="M31" i="10"/>
  <c r="T30" i="10"/>
  <c r="D30" i="10"/>
  <c r="K29" i="10"/>
  <c r="R28" i="10"/>
  <c r="Y27" i="10"/>
  <c r="I27" i="10"/>
  <c r="P26" i="10"/>
  <c r="W25" i="10"/>
  <c r="G25" i="10"/>
  <c r="N24" i="10"/>
  <c r="U23" i="10"/>
  <c r="E23" i="10"/>
  <c r="L22" i="10"/>
  <c r="S21" i="10"/>
  <c r="C21" i="10"/>
  <c r="J20" i="10"/>
  <c r="Q19" i="10"/>
  <c r="X18" i="10"/>
  <c r="H18" i="10"/>
  <c r="O17" i="10"/>
  <c r="V16" i="10"/>
  <c r="F16" i="10"/>
  <c r="M15" i="10"/>
  <c r="T14" i="10"/>
  <c r="D14" i="10"/>
  <c r="K13" i="10"/>
  <c r="R12" i="10"/>
  <c r="Y11" i="10"/>
  <c r="I11" i="10"/>
  <c r="P10" i="10"/>
  <c r="W9" i="10"/>
  <c r="G9" i="10"/>
  <c r="N8" i="10"/>
  <c r="U7" i="10"/>
  <c r="E7" i="10"/>
  <c r="L6" i="10"/>
  <c r="R32" i="9"/>
  <c r="X31" i="9"/>
  <c r="H31" i="9"/>
  <c r="N30" i="9"/>
  <c r="T29" i="9"/>
  <c r="D29" i="9"/>
  <c r="J28" i="9"/>
  <c r="P23" i="9"/>
  <c r="V22" i="9"/>
  <c r="F22" i="9"/>
  <c r="L21" i="9"/>
  <c r="R19" i="9"/>
  <c r="X18" i="9"/>
  <c r="H18" i="9"/>
  <c r="N17" i="9"/>
  <c r="T15" i="9"/>
  <c r="D15" i="9"/>
  <c r="J14" i="9"/>
  <c r="P13" i="9"/>
  <c r="V11" i="9"/>
  <c r="F11" i="9"/>
  <c r="K18" i="13"/>
  <c r="Z96" i="12"/>
  <c r="O83" i="12"/>
  <c r="X70" i="12"/>
  <c r="M60" i="12"/>
  <c r="J55" i="12"/>
  <c r="V51" i="12"/>
  <c r="G48" i="12"/>
  <c r="L41" i="12"/>
  <c r="X37" i="12"/>
  <c r="X34" i="12"/>
  <c r="F32" i="12"/>
  <c r="S28" i="12"/>
  <c r="M26" i="12"/>
  <c r="M24" i="12"/>
  <c r="H22" i="12"/>
  <c r="I19" i="12"/>
  <c r="I17" i="12"/>
  <c r="F15" i="12"/>
  <c r="G13" i="12"/>
  <c r="AA9" i="12"/>
  <c r="D8" i="12"/>
  <c r="J64" i="11"/>
  <c r="X62" i="11"/>
  <c r="O61" i="11"/>
  <c r="K60" i="11"/>
  <c r="D59" i="11"/>
  <c r="V57" i="11"/>
  <c r="Q56" i="11"/>
  <c r="J55" i="11"/>
  <c r="F54" i="11"/>
  <c r="V49" i="11"/>
  <c r="S48" i="11"/>
  <c r="L47" i="11"/>
  <c r="H45" i="11"/>
  <c r="X43" i="11"/>
  <c r="S42" i="11"/>
  <c r="N40" i="11"/>
  <c r="J39" i="11"/>
  <c r="E38" i="11"/>
  <c r="D36" i="11"/>
  <c r="X34" i="11"/>
  <c r="Y33" i="11"/>
  <c r="Y32" i="11"/>
  <c r="E32" i="11"/>
  <c r="H31" i="11"/>
  <c r="L30" i="11"/>
  <c r="N29" i="11"/>
  <c r="R28" i="11"/>
  <c r="U27" i="11"/>
  <c r="Y26" i="11"/>
  <c r="E26" i="11"/>
  <c r="H25" i="11"/>
  <c r="L24" i="11"/>
  <c r="O23" i="11"/>
  <c r="S22" i="11"/>
  <c r="U21" i="11"/>
  <c r="Y20" i="11"/>
  <c r="E20" i="11"/>
  <c r="I19" i="11"/>
  <c r="K18" i="11"/>
  <c r="O17" i="11"/>
  <c r="R16" i="11"/>
  <c r="V15" i="11"/>
  <c r="Y14" i="11"/>
  <c r="E14" i="11"/>
  <c r="I13" i="11"/>
  <c r="L12" i="11"/>
  <c r="Q11" i="11"/>
  <c r="U10" i="11"/>
  <c r="C10" i="11"/>
  <c r="H9" i="11"/>
  <c r="N8" i="11"/>
  <c r="T7" i="11"/>
  <c r="C7" i="11"/>
  <c r="I6" i="11"/>
  <c r="O76" i="10"/>
  <c r="U75" i="10"/>
  <c r="D75" i="10"/>
  <c r="J74" i="10"/>
  <c r="P73" i="10"/>
  <c r="W72" i="10"/>
  <c r="G72" i="10"/>
  <c r="N71" i="10"/>
  <c r="U70" i="10"/>
  <c r="E70" i="10"/>
  <c r="L69" i="10"/>
  <c r="S68" i="10"/>
  <c r="C68" i="10"/>
  <c r="J67" i="10"/>
  <c r="Q66" i="10"/>
  <c r="X65" i="10"/>
  <c r="H65" i="10"/>
  <c r="O61" i="10"/>
  <c r="V60" i="10"/>
  <c r="F60" i="10"/>
  <c r="M59" i="10"/>
  <c r="T58" i="10"/>
  <c r="D58" i="10"/>
  <c r="K56" i="10"/>
  <c r="R55" i="10"/>
  <c r="Y54" i="10"/>
  <c r="I54" i="10"/>
  <c r="P53" i="10"/>
  <c r="W51" i="10"/>
  <c r="G51" i="10"/>
  <c r="N50" i="10"/>
  <c r="U49" i="10"/>
  <c r="E49" i="10"/>
  <c r="L47" i="10"/>
  <c r="S46" i="10"/>
  <c r="C46" i="10"/>
  <c r="J45" i="10"/>
  <c r="Q44" i="10"/>
  <c r="X43" i="10"/>
  <c r="H43" i="10"/>
  <c r="O42" i="10"/>
  <c r="V41" i="10"/>
  <c r="F41" i="10"/>
  <c r="M40" i="10"/>
  <c r="T39" i="10"/>
  <c r="D39" i="10"/>
  <c r="K38" i="10"/>
  <c r="R37" i="10"/>
  <c r="Y36" i="10"/>
  <c r="I36" i="10"/>
  <c r="P35" i="10"/>
  <c r="W34" i="10"/>
  <c r="G34" i="10"/>
  <c r="N33" i="10"/>
  <c r="U32" i="10"/>
  <c r="E32" i="10"/>
  <c r="L31" i="10"/>
  <c r="S30" i="10"/>
  <c r="C30" i="10"/>
  <c r="J29" i="10"/>
  <c r="Q28" i="10"/>
  <c r="X27" i="10"/>
  <c r="H27" i="10"/>
  <c r="O26" i="10"/>
  <c r="V25" i="10"/>
  <c r="F25" i="10"/>
  <c r="M24" i="10"/>
  <c r="T23" i="10"/>
  <c r="D23" i="10"/>
  <c r="K22" i="10"/>
  <c r="R21" i="10"/>
  <c r="Y20" i="10"/>
  <c r="I20" i="10"/>
  <c r="P19" i="10"/>
  <c r="W18" i="10"/>
  <c r="I17" i="13"/>
  <c r="AA95" i="12"/>
  <c r="U82" i="12"/>
  <c r="E70" i="12"/>
  <c r="E60" i="12"/>
  <c r="H55" i="12"/>
  <c r="Q51" i="12"/>
  <c r="V45" i="12"/>
  <c r="I41" i="12"/>
  <c r="S37" i="12"/>
  <c r="P34" i="12"/>
  <c r="W30" i="12"/>
  <c r="N28" i="12"/>
  <c r="L26" i="12"/>
  <c r="F24" i="12"/>
  <c r="G22" i="12"/>
  <c r="G19" i="12"/>
  <c r="D17" i="12"/>
  <c r="E15" i="12"/>
  <c r="Y12" i="12"/>
  <c r="Z9" i="12"/>
  <c r="C8" i="12"/>
  <c r="I64" i="11"/>
  <c r="W62" i="11"/>
  <c r="N61" i="11"/>
  <c r="G60" i="11"/>
  <c r="C59" i="11"/>
  <c r="S57" i="11"/>
  <c r="P56" i="11"/>
  <c r="I55" i="11"/>
  <c r="E54" i="11"/>
  <c r="U49" i="11"/>
  <c r="P48" i="11"/>
  <c r="K47" i="11"/>
  <c r="D45" i="11"/>
  <c r="W43" i="11"/>
  <c r="P42" i="11"/>
  <c r="M40" i="11"/>
  <c r="G39" i="11"/>
  <c r="D38" i="11"/>
  <c r="C36" i="11"/>
  <c r="W34" i="11"/>
  <c r="X33" i="11"/>
  <c r="X32" i="11"/>
  <c r="D32" i="11"/>
  <c r="G31" i="11"/>
  <c r="K30" i="11"/>
  <c r="M29" i="11"/>
  <c r="Q28" i="11"/>
  <c r="T27" i="11"/>
  <c r="X26" i="11"/>
  <c r="C26" i="11"/>
  <c r="G25" i="11"/>
  <c r="J24" i="11"/>
  <c r="N23" i="11"/>
  <c r="Q22" i="11"/>
  <c r="T21" i="11"/>
  <c r="X20" i="11"/>
  <c r="D20" i="11"/>
  <c r="H19" i="11"/>
  <c r="J18" i="11"/>
  <c r="N17" i="11"/>
  <c r="Q16" i="11"/>
  <c r="U15" i="11"/>
  <c r="W14" i="11"/>
  <c r="D14" i="11"/>
  <c r="G13" i="11"/>
  <c r="K12" i="11"/>
  <c r="P11" i="11"/>
  <c r="T10" i="11"/>
  <c r="Y9" i="11"/>
  <c r="G9" i="11"/>
  <c r="M8" i="11"/>
  <c r="S7" i="11"/>
  <c r="Y6" i="11"/>
  <c r="H6" i="11"/>
  <c r="N76" i="10"/>
  <c r="T75" i="10"/>
  <c r="C75" i="10"/>
  <c r="I74" i="10"/>
  <c r="O73" i="10"/>
  <c r="V72" i="10"/>
  <c r="F72" i="10"/>
  <c r="M71" i="10"/>
  <c r="T70" i="10"/>
  <c r="D70" i="10"/>
  <c r="K69" i="10"/>
  <c r="R68" i="10"/>
  <c r="Y67" i="10"/>
  <c r="I67" i="10"/>
  <c r="P66" i="10"/>
  <c r="W65" i="10"/>
  <c r="G65" i="10"/>
  <c r="N61" i="10"/>
  <c r="U60" i="10"/>
  <c r="E60" i="10"/>
  <c r="L59" i="10"/>
  <c r="S58" i="10"/>
  <c r="C58" i="10"/>
  <c r="J56" i="10"/>
  <c r="Q55" i="10"/>
  <c r="X54" i="10"/>
  <c r="H54" i="10"/>
  <c r="O53" i="10"/>
  <c r="V51" i="10"/>
  <c r="F51" i="10"/>
  <c r="M50" i="10"/>
  <c r="T49" i="10"/>
  <c r="D49" i="10"/>
  <c r="K47" i="10"/>
  <c r="R46" i="10"/>
  <c r="Y45" i="10"/>
  <c r="I45" i="10"/>
  <c r="P44" i="10"/>
  <c r="W43" i="10"/>
  <c r="G43" i="10"/>
  <c r="N42" i="10"/>
  <c r="U41" i="10"/>
  <c r="E41" i="10"/>
  <c r="L40" i="10"/>
  <c r="S39" i="10"/>
  <c r="C39" i="10"/>
  <c r="J38" i="10"/>
  <c r="Q37" i="10"/>
  <c r="X36" i="10"/>
  <c r="H36" i="10"/>
  <c r="O35" i="10"/>
  <c r="V34" i="10"/>
  <c r="F34" i="10"/>
  <c r="M33" i="10"/>
  <c r="T32" i="10"/>
  <c r="D32" i="10"/>
  <c r="K31" i="10"/>
  <c r="R30" i="10"/>
  <c r="Y29" i="10"/>
  <c r="I29" i="10"/>
  <c r="P28" i="10"/>
  <c r="W27" i="10"/>
  <c r="G27" i="10"/>
  <c r="N26" i="10"/>
  <c r="U25" i="10"/>
  <c r="E25" i="10"/>
  <c r="L24" i="10"/>
  <c r="S23" i="10"/>
  <c r="C23" i="10"/>
  <c r="J22" i="10"/>
  <c r="Q21" i="10"/>
  <c r="X20" i="10"/>
  <c r="H20" i="10"/>
  <c r="O19" i="10"/>
  <c r="V18" i="10"/>
  <c r="F18" i="10"/>
  <c r="M17" i="10"/>
  <c r="T16" i="10"/>
  <c r="D16" i="10"/>
  <c r="K15" i="10"/>
  <c r="R14" i="10"/>
  <c r="Y13" i="10"/>
  <c r="I13" i="10"/>
  <c r="P12" i="10"/>
  <c r="W11" i="10"/>
  <c r="G11" i="10"/>
  <c r="N10" i="10"/>
  <c r="U9" i="10"/>
  <c r="E9" i="10"/>
  <c r="L8" i="10"/>
  <c r="S7" i="10"/>
  <c r="C7" i="10"/>
  <c r="J6" i="10"/>
  <c r="P32" i="9"/>
  <c r="V31" i="9"/>
  <c r="F31" i="9"/>
  <c r="L30" i="9"/>
  <c r="R29" i="9"/>
  <c r="X28" i="9"/>
  <c r="H28" i="9"/>
  <c r="N23" i="9"/>
  <c r="T22" i="9"/>
  <c r="D22" i="9"/>
  <c r="J21" i="9"/>
  <c r="P19" i="9"/>
  <c r="V18" i="9"/>
  <c r="F18" i="9"/>
  <c r="L17" i="9"/>
  <c r="R15" i="9"/>
  <c r="X14" i="9"/>
  <c r="H14" i="9"/>
  <c r="N13" i="9"/>
  <c r="T11" i="9"/>
  <c r="D11" i="9"/>
  <c r="J10" i="9"/>
  <c r="P9" i="9"/>
  <c r="V8" i="9"/>
  <c r="F8" i="9"/>
  <c r="L7" i="9"/>
  <c r="R6" i="9"/>
  <c r="Z14" i="8"/>
  <c r="J14" i="8"/>
  <c r="R13" i="8"/>
  <c r="Z12" i="8"/>
  <c r="J12" i="8"/>
  <c r="R10" i="8"/>
  <c r="Z9" i="8"/>
  <c r="J9" i="8"/>
  <c r="R8" i="8"/>
  <c r="Z7" i="8"/>
  <c r="J7" i="8"/>
  <c r="J16" i="13"/>
  <c r="D95" i="12"/>
  <c r="Z81" i="12"/>
  <c r="K69" i="12"/>
  <c r="T59" i="12"/>
  <c r="AA54" i="12"/>
  <c r="G51" i="12"/>
  <c r="T45" i="12"/>
  <c r="D41" i="12"/>
  <c r="I37" i="12"/>
  <c r="N34" i="12"/>
  <c r="U30" i="12"/>
  <c r="M28" i="12"/>
  <c r="D26" i="12"/>
  <c r="E24" i="12"/>
  <c r="E22" i="12"/>
  <c r="AA18" i="12"/>
  <c r="C17" i="12"/>
  <c r="W14" i="12"/>
  <c r="X12" i="12"/>
  <c r="X9" i="12"/>
  <c r="X65" i="11"/>
  <c r="H64" i="11"/>
  <c r="V62" i="11"/>
  <c r="M61" i="11"/>
  <c r="F60" i="11"/>
  <c r="Y58" i="11"/>
  <c r="R57" i="11"/>
  <c r="M56" i="11"/>
  <c r="H55" i="11"/>
  <c r="X50" i="11"/>
  <c r="T49" i="11"/>
  <c r="M48" i="11"/>
  <c r="J47" i="11"/>
  <c r="C45" i="11"/>
  <c r="V43" i="11"/>
  <c r="O42" i="11"/>
  <c r="J40" i="11"/>
  <c r="F39" i="11"/>
  <c r="C38" i="11"/>
  <c r="Y35" i="11"/>
  <c r="V34" i="11"/>
  <c r="W33" i="11"/>
  <c r="W32" i="11"/>
  <c r="Y31" i="11"/>
  <c r="F31" i="11"/>
  <c r="I30" i="11"/>
  <c r="L29" i="11"/>
  <c r="P28" i="11"/>
  <c r="S27" i="11"/>
  <c r="W26" i="11"/>
  <c r="Y25" i="11"/>
  <c r="F25" i="11"/>
  <c r="I24" i="11"/>
  <c r="M23" i="11"/>
  <c r="O22" i="11"/>
  <c r="S21" i="11"/>
  <c r="V20" i="11"/>
  <c r="C20" i="11"/>
  <c r="F19" i="11"/>
  <c r="I18" i="11"/>
  <c r="M17" i="11"/>
  <c r="P16" i="11"/>
  <c r="T15" i="11"/>
  <c r="V14" i="11"/>
  <c r="C14" i="11"/>
  <c r="F13" i="11"/>
  <c r="J12" i="11"/>
  <c r="N11" i="11"/>
  <c r="S10" i="11"/>
  <c r="X9" i="11"/>
  <c r="F9" i="11"/>
  <c r="L8" i="11"/>
  <c r="R7" i="11"/>
  <c r="X6" i="11"/>
  <c r="G6" i="11"/>
  <c r="M76" i="10"/>
  <c r="S75" i="10"/>
  <c r="Y74" i="10"/>
  <c r="H74" i="10"/>
  <c r="N73" i="10"/>
  <c r="U72" i="10"/>
  <c r="E72" i="10"/>
  <c r="L71" i="10"/>
  <c r="S70" i="10"/>
  <c r="C70" i="10"/>
  <c r="J69" i="10"/>
  <c r="Q68" i="10"/>
  <c r="X67" i="10"/>
  <c r="H67" i="10"/>
  <c r="O66" i="10"/>
  <c r="V65" i="10"/>
  <c r="F65" i="10"/>
  <c r="M61" i="10"/>
  <c r="T60" i="10"/>
  <c r="D60" i="10"/>
  <c r="K59" i="10"/>
  <c r="R58" i="10"/>
  <c r="Y56" i="10"/>
  <c r="I56" i="10"/>
  <c r="P55" i="10"/>
  <c r="W54" i="10"/>
  <c r="G54" i="10"/>
  <c r="N53" i="10"/>
  <c r="U51" i="10"/>
  <c r="E51" i="10"/>
  <c r="L50" i="10"/>
  <c r="H15" i="13"/>
  <c r="G94" i="12"/>
  <c r="E81" i="12"/>
  <c r="P68" i="12"/>
  <c r="K59" i="12"/>
  <c r="R54" i="12"/>
  <c r="E51" i="12"/>
  <c r="N45" i="12"/>
  <c r="T40" i="12"/>
  <c r="G37" i="12"/>
  <c r="H34" i="12"/>
  <c r="O30" i="12"/>
  <c r="E28" i="12"/>
  <c r="C26" i="12"/>
  <c r="C24" i="12"/>
  <c r="Y20" i="12"/>
  <c r="Z18" i="12"/>
  <c r="U16" i="12"/>
  <c r="V14" i="12"/>
  <c r="V12" i="12"/>
  <c r="S9" i="12"/>
  <c r="S65" i="11"/>
  <c r="E64" i="11"/>
  <c r="S62" i="11"/>
  <c r="J61" i="11"/>
  <c r="E60" i="11"/>
  <c r="U58" i="11"/>
  <c r="Q57" i="11"/>
  <c r="J56" i="11"/>
  <c r="G55" i="11"/>
  <c r="W50" i="11"/>
  <c r="S49" i="11"/>
  <c r="L48" i="11"/>
  <c r="G47" i="11"/>
  <c r="Y44" i="11"/>
  <c r="R43" i="11"/>
  <c r="N42" i="11"/>
  <c r="G40" i="11"/>
  <c r="E39" i="11"/>
  <c r="Y36" i="11"/>
  <c r="V35" i="11"/>
  <c r="T34" i="11"/>
  <c r="T33" i="11"/>
  <c r="V32" i="11"/>
  <c r="X31" i="11"/>
  <c r="E31" i="11"/>
  <c r="G30" i="11"/>
  <c r="K29" i="11"/>
  <c r="N28" i="11"/>
  <c r="R27" i="11"/>
  <c r="U26" i="11"/>
  <c r="X25" i="11"/>
  <c r="E25" i="11"/>
  <c r="H24" i="11"/>
  <c r="L23" i="11"/>
  <c r="N22" i="11"/>
  <c r="R21" i="11"/>
  <c r="U20" i="11"/>
  <c r="Y19" i="11"/>
  <c r="D19" i="11"/>
  <c r="H18" i="11"/>
  <c r="K17" i="11"/>
  <c r="O16" i="11"/>
  <c r="R15" i="11"/>
  <c r="U14" i="11"/>
  <c r="Y13" i="11"/>
  <c r="E13" i="11"/>
  <c r="I12" i="11"/>
  <c r="M11" i="11"/>
  <c r="R10" i="11"/>
  <c r="W9" i="11"/>
  <c r="E9" i="11"/>
  <c r="K8" i="11"/>
  <c r="Q7" i="11"/>
  <c r="W6" i="11"/>
  <c r="F6" i="11"/>
  <c r="G14" i="13"/>
  <c r="I93" i="12"/>
  <c r="K80" i="12"/>
  <c r="U67" i="12"/>
  <c r="Z58" i="12"/>
  <c r="O54" i="12"/>
  <c r="Y50" i="12"/>
  <c r="E45" i="12"/>
  <c r="Q40" i="12"/>
  <c r="AA36" i="12"/>
  <c r="G34" i="12"/>
  <c r="N30" i="12"/>
  <c r="D28" i="12"/>
  <c r="Z25" i="12"/>
  <c r="W23" i="12"/>
  <c r="X20" i="12"/>
  <c r="S18" i="12"/>
  <c r="T16" i="12"/>
  <c r="T14" i="12"/>
  <c r="Q12" i="12"/>
  <c r="R9" i="12"/>
  <c r="R65" i="11"/>
  <c r="Y63" i="11"/>
  <c r="P62" i="11"/>
  <c r="G61" i="11"/>
  <c r="D60" i="11"/>
  <c r="T58" i="11"/>
  <c r="P57" i="11"/>
  <c r="I56" i="11"/>
  <c r="D55" i="11"/>
  <c r="V50" i="11"/>
  <c r="O49" i="11"/>
  <c r="K48" i="11"/>
  <c r="D47" i="11"/>
  <c r="X44" i="11"/>
  <c r="Q43" i="11"/>
  <c r="M42" i="11"/>
  <c r="F40" i="11"/>
  <c r="D39" i="11"/>
  <c r="X36" i="11"/>
  <c r="S35" i="11"/>
  <c r="S34" i="11"/>
  <c r="R33" i="11"/>
  <c r="U32" i="11"/>
  <c r="W31" i="11"/>
  <c r="D31" i="11"/>
  <c r="F30" i="11"/>
  <c r="J29" i="11"/>
  <c r="M28" i="11"/>
  <c r="Q27" i="11"/>
  <c r="S26" i="11"/>
  <c r="W25" i="11"/>
  <c r="C25" i="11"/>
  <c r="G24" i="11"/>
  <c r="J23" i="11"/>
  <c r="M22" i="11"/>
  <c r="Q21" i="11"/>
  <c r="T20" i="11"/>
  <c r="X19" i="11"/>
  <c r="C19" i="11"/>
  <c r="G18" i="11"/>
  <c r="J17" i="11"/>
  <c r="N16" i="11"/>
  <c r="P15" i="11"/>
  <c r="T14" i="11"/>
  <c r="W13" i="11"/>
  <c r="D13" i="11"/>
  <c r="G12" i="11"/>
  <c r="L11" i="11"/>
  <c r="Q10" i="11"/>
  <c r="V9" i="11"/>
  <c r="D9" i="11"/>
  <c r="J8" i="11"/>
  <c r="P7" i="11"/>
  <c r="V6" i="11"/>
  <c r="E6" i="11"/>
  <c r="K76" i="10"/>
  <c r="Q75" i="10"/>
  <c r="V74" i="10"/>
  <c r="E74" i="10"/>
  <c r="L73" i="10"/>
  <c r="S72" i="10"/>
  <c r="C72" i="10"/>
  <c r="J71" i="10"/>
  <c r="Q70" i="10"/>
  <c r="X69" i="10"/>
  <c r="H69" i="10"/>
  <c r="O68" i="10"/>
  <c r="V67" i="10"/>
  <c r="F67" i="10"/>
  <c r="M66" i="10"/>
  <c r="T65" i="10"/>
  <c r="D65" i="10"/>
  <c r="K61" i="10"/>
  <c r="R60" i="10"/>
  <c r="Y59" i="10"/>
  <c r="I59" i="10"/>
  <c r="P58" i="10"/>
  <c r="W56" i="10"/>
  <c r="G56" i="10"/>
  <c r="N55" i="10"/>
  <c r="U54" i="10"/>
  <c r="E54" i="10"/>
  <c r="L53" i="10"/>
  <c r="S51" i="10"/>
  <c r="C51" i="10"/>
  <c r="J50" i="10"/>
  <c r="Q49" i="10"/>
  <c r="X47" i="10"/>
  <c r="H47" i="10"/>
  <c r="O46" i="10"/>
  <c r="V45" i="10"/>
  <c r="F45" i="10"/>
  <c r="M44" i="10"/>
  <c r="T43" i="10"/>
  <c r="D43" i="10"/>
  <c r="K42" i="10"/>
  <c r="R41" i="10"/>
  <c r="Y40" i="10"/>
  <c r="I40" i="10"/>
  <c r="P39" i="10"/>
  <c r="W38" i="10"/>
  <c r="G38" i="10"/>
  <c r="N37" i="10"/>
  <c r="U36" i="10"/>
  <c r="E36" i="10"/>
  <c r="L35" i="10"/>
  <c r="S34" i="10"/>
  <c r="C34" i="10"/>
  <c r="J33" i="10"/>
  <c r="Q32" i="10"/>
  <c r="X31" i="10"/>
  <c r="H31" i="10"/>
  <c r="O30" i="10"/>
  <c r="V29" i="10"/>
  <c r="F29" i="10"/>
  <c r="M28" i="10"/>
  <c r="T27" i="10"/>
  <c r="D27" i="10"/>
  <c r="K26" i="10"/>
  <c r="R25" i="10"/>
  <c r="Y24" i="10"/>
  <c r="I24" i="10"/>
  <c r="P23" i="10"/>
  <c r="W22" i="10"/>
  <c r="G22" i="10"/>
  <c r="N21" i="10"/>
  <c r="U20" i="10"/>
  <c r="E20" i="10"/>
  <c r="L19" i="10"/>
  <c r="S18" i="10"/>
  <c r="C18" i="10"/>
  <c r="J17" i="10"/>
  <c r="Q16" i="10"/>
  <c r="X15" i="10"/>
  <c r="H15" i="10"/>
  <c r="O14" i="10"/>
  <c r="V13" i="10"/>
  <c r="F13" i="10"/>
  <c r="M12" i="10"/>
  <c r="T11" i="10"/>
  <c r="D11" i="10"/>
  <c r="K10" i="10"/>
  <c r="R9" i="10"/>
  <c r="Y8" i="10"/>
  <c r="I8" i="10"/>
  <c r="P7" i="10"/>
  <c r="W6" i="10"/>
  <c r="G6" i="10"/>
  <c r="M32" i="9"/>
  <c r="G13" i="13"/>
  <c r="N92" i="12"/>
  <c r="Q79" i="12"/>
  <c r="AA66" i="12"/>
  <c r="R58" i="12"/>
  <c r="J54" i="12"/>
  <c r="O50" i="12"/>
  <c r="C45" i="12"/>
  <c r="L40" i="12"/>
  <c r="Q36" i="12"/>
  <c r="X33" i="12"/>
  <c r="F30" i="12"/>
  <c r="AA27" i="12"/>
  <c r="U25" i="12"/>
  <c r="V23" i="12"/>
  <c r="Q20" i="12"/>
  <c r="R18" i="12"/>
  <c r="R16" i="12"/>
  <c r="O14" i="12"/>
  <c r="P12" i="12"/>
  <c r="K9" i="12"/>
  <c r="N65" i="11"/>
  <c r="X63" i="11"/>
  <c r="O62" i="11"/>
  <c r="F61" i="11"/>
  <c r="X59" i="11"/>
  <c r="S58" i="11"/>
  <c r="L57" i="11"/>
  <c r="H56" i="11"/>
  <c r="X54" i="11"/>
  <c r="U50" i="11"/>
  <c r="N49" i="11"/>
  <c r="J48" i="11"/>
  <c r="C47" i="11"/>
  <c r="U44" i="11"/>
  <c r="P43" i="11"/>
  <c r="I42" i="11"/>
  <c r="E40" i="11"/>
  <c r="X38" i="11"/>
  <c r="U36" i="11"/>
  <c r="R35" i="11"/>
  <c r="R34" i="11"/>
  <c r="Q33" i="11"/>
  <c r="T32" i="11"/>
  <c r="V31" i="11"/>
  <c r="Y30" i="11"/>
  <c r="E30" i="11"/>
  <c r="I29" i="11"/>
  <c r="L28" i="11"/>
  <c r="P27" i="11"/>
  <c r="R26" i="11"/>
  <c r="V25" i="11"/>
  <c r="Y24" i="11"/>
  <c r="F24" i="11"/>
  <c r="H23" i="11"/>
  <c r="L22" i="11"/>
  <c r="O21" i="11"/>
  <c r="S20" i="11"/>
  <c r="V19" i="11"/>
  <c r="Y18" i="11"/>
  <c r="F18" i="11"/>
  <c r="I17" i="11"/>
  <c r="M16" i="11"/>
  <c r="O15" i="11"/>
  <c r="S14" i="11"/>
  <c r="V13" i="11"/>
  <c r="C13" i="11"/>
  <c r="F12" i="11"/>
  <c r="K11" i="11"/>
  <c r="P10" i="11"/>
  <c r="U9" i="11"/>
  <c r="C9" i="11"/>
  <c r="I8" i="11"/>
  <c r="O7" i="11"/>
  <c r="U6" i="11"/>
  <c r="D6" i="11"/>
  <c r="J76" i="10"/>
  <c r="O75" i="10"/>
  <c r="U74" i="10"/>
  <c r="D74" i="10"/>
  <c r="K73" i="10"/>
  <c r="R72" i="10"/>
  <c r="Y71" i="10"/>
  <c r="I71" i="10"/>
  <c r="P70" i="10"/>
  <c r="W69" i="10"/>
  <c r="G69" i="10"/>
  <c r="N68" i="10"/>
  <c r="U67" i="10"/>
  <c r="E67" i="10"/>
  <c r="L66" i="10"/>
  <c r="S65" i="10"/>
  <c r="C65" i="10"/>
  <c r="J61" i="10"/>
  <c r="Q60" i="10"/>
  <c r="X59" i="10"/>
  <c r="H59" i="10"/>
  <c r="O58" i="10"/>
  <c r="V56" i="10"/>
  <c r="F56" i="10"/>
  <c r="M55" i="10"/>
  <c r="T54" i="10"/>
  <c r="D54" i="10"/>
  <c r="K53" i="10"/>
  <c r="R51" i="10"/>
  <c r="Y50" i="10"/>
  <c r="I50" i="10"/>
  <c r="P49" i="10"/>
  <c r="W47" i="10"/>
  <c r="H12" i="13"/>
  <c r="R91" i="12"/>
  <c r="V78" i="12"/>
  <c r="I66" i="12"/>
  <c r="H58" i="12"/>
  <c r="Z53" i="12"/>
  <c r="M50" i="12"/>
  <c r="V44" i="12"/>
  <c r="AA39" i="12"/>
  <c r="O36" i="12"/>
  <c r="V33" i="12"/>
  <c r="C30" i="12"/>
  <c r="V27" i="12"/>
  <c r="T25" i="12"/>
  <c r="O23" i="12"/>
  <c r="P20" i="12"/>
  <c r="P18" i="12"/>
  <c r="M16" i="12"/>
  <c r="N14" i="12"/>
  <c r="I12" i="12"/>
  <c r="J9" i="12"/>
  <c r="K65" i="11"/>
  <c r="V63" i="11"/>
  <c r="M62" i="11"/>
  <c r="E61" i="11"/>
  <c r="U59" i="11"/>
  <c r="R58" i="11"/>
  <c r="K57" i="11"/>
  <c r="G56" i="11"/>
  <c r="W54" i="11"/>
  <c r="R50" i="11"/>
  <c r="M49" i="11"/>
  <c r="F48" i="11"/>
  <c r="Y45" i="11"/>
  <c r="R44" i="11"/>
  <c r="O43" i="11"/>
  <c r="H42" i="11"/>
  <c r="D40" i="11"/>
  <c r="U38" i="11"/>
  <c r="T36" i="11"/>
  <c r="Q35" i="11"/>
  <c r="Q34" i="11"/>
  <c r="P33" i="11"/>
  <c r="R32" i="11"/>
  <c r="U31" i="11"/>
  <c r="W30" i="11"/>
  <c r="D30" i="11"/>
  <c r="G29" i="11"/>
  <c r="K28" i="11"/>
  <c r="N27" i="11"/>
  <c r="Q26" i="11"/>
  <c r="U25" i="11"/>
  <c r="X24" i="11"/>
  <c r="E24" i="11"/>
  <c r="G23" i="11"/>
  <c r="K22" i="11"/>
  <c r="N21" i="11"/>
  <c r="R20" i="11"/>
  <c r="T19" i="11"/>
  <c r="X18" i="11"/>
  <c r="D18" i="11"/>
  <c r="H17" i="11"/>
  <c r="K16" i="11"/>
  <c r="N15" i="11"/>
  <c r="R14" i="11"/>
  <c r="U13" i="11"/>
  <c r="Y12" i="11"/>
  <c r="E12" i="11"/>
  <c r="J11" i="11"/>
  <c r="O10" i="11"/>
  <c r="S9" i="11"/>
  <c r="Y8" i="11"/>
  <c r="H8" i="11"/>
  <c r="N7" i="11"/>
  <c r="T6" i="11"/>
  <c r="C6" i="11"/>
  <c r="H76" i="10"/>
  <c r="N75" i="10"/>
  <c r="T74" i="10"/>
  <c r="C74" i="10"/>
  <c r="J73" i="10"/>
  <c r="Q72" i="10"/>
  <c r="X71" i="10"/>
  <c r="H71" i="10"/>
  <c r="O70" i="10"/>
  <c r="V69" i="10"/>
  <c r="F69" i="10"/>
  <c r="M68" i="10"/>
  <c r="T67" i="10"/>
  <c r="D67" i="10"/>
  <c r="K66" i="10"/>
  <c r="R65" i="10"/>
  <c r="Y61" i="10"/>
  <c r="I61" i="10"/>
  <c r="P60" i="10"/>
  <c r="W59" i="10"/>
  <c r="G59" i="10"/>
  <c r="N58" i="10"/>
  <c r="U56" i="10"/>
  <c r="E56" i="10"/>
  <c r="L55" i="10"/>
  <c r="S54" i="10"/>
  <c r="C54" i="10"/>
  <c r="J53" i="10"/>
  <c r="Q51" i="10"/>
  <c r="X50" i="10"/>
  <c r="H50" i="10"/>
  <c r="O49" i="10"/>
  <c r="V47" i="10"/>
  <c r="F47" i="10"/>
  <c r="M46" i="10"/>
  <c r="T45" i="10"/>
  <c r="D45" i="10"/>
  <c r="K44" i="10"/>
  <c r="R43" i="10"/>
  <c r="Y42" i="10"/>
  <c r="I42" i="10"/>
  <c r="P41" i="10"/>
  <c r="W40" i="10"/>
  <c r="J11" i="13"/>
  <c r="T90" i="12"/>
  <c r="AA77" i="12"/>
  <c r="P65" i="12"/>
  <c r="Y57" i="12"/>
  <c r="W53" i="12"/>
  <c r="H50" i="12"/>
  <c r="M44" i="12"/>
  <c r="Y39" i="12"/>
  <c r="J36" i="12"/>
  <c r="P33" i="12"/>
  <c r="W29" i="12"/>
  <c r="U27" i="12"/>
  <c r="M25" i="12"/>
  <c r="N23" i="12"/>
  <c r="N20" i="12"/>
  <c r="K18" i="12"/>
  <c r="L16" i="12"/>
  <c r="G14" i="12"/>
  <c r="H12" i="12"/>
  <c r="H9" i="12"/>
  <c r="J65" i="11"/>
  <c r="R63" i="11"/>
  <c r="I62" i="11"/>
  <c r="D61" i="11"/>
  <c r="T59" i="11"/>
  <c r="O58" i="11"/>
  <c r="J57" i="11"/>
  <c r="C56" i="11"/>
  <c r="V54" i="11"/>
  <c r="O50" i="11"/>
  <c r="L49" i="11"/>
  <c r="E48" i="11"/>
  <c r="X45" i="11"/>
  <c r="Q44" i="11"/>
  <c r="L43" i="11"/>
  <c r="G42" i="11"/>
  <c r="W39" i="11"/>
  <c r="T38" i="11"/>
  <c r="S36" i="11"/>
  <c r="P35" i="11"/>
  <c r="P34" i="11"/>
  <c r="O33" i="11"/>
  <c r="Q32" i="11"/>
  <c r="T31" i="11"/>
  <c r="V30" i="11"/>
  <c r="C30" i="11"/>
  <c r="F29" i="11"/>
  <c r="J28" i="11"/>
  <c r="L27" i="11"/>
  <c r="P26" i="11"/>
  <c r="S25" i="11"/>
  <c r="W24" i="11"/>
  <c r="C24" i="11"/>
  <c r="F23" i="11"/>
  <c r="J22" i="11"/>
  <c r="M21" i="11"/>
  <c r="Q20" i="11"/>
  <c r="S19" i="11"/>
  <c r="W18" i="11"/>
  <c r="C18" i="11"/>
  <c r="G17" i="11"/>
  <c r="I16" i="11"/>
  <c r="M15" i="11"/>
  <c r="P14" i="11"/>
  <c r="T13" i="11"/>
  <c r="W12" i="11"/>
  <c r="D12" i="11"/>
  <c r="I11" i="11"/>
  <c r="N10" i="11"/>
  <c r="R9" i="11"/>
  <c r="X8" i="11"/>
  <c r="G8" i="11"/>
  <c r="M7" i="11"/>
  <c r="S6" i="11"/>
  <c r="X76" i="10"/>
  <c r="G76" i="10"/>
  <c r="M75" i="10"/>
  <c r="S74" i="10"/>
  <c r="Y73" i="10"/>
  <c r="I73" i="10"/>
  <c r="P72" i="10"/>
  <c r="W71" i="10"/>
  <c r="G71" i="10"/>
  <c r="K10" i="13"/>
  <c r="Y89" i="12"/>
  <c r="G77" i="12"/>
  <c r="W64" i="12"/>
  <c r="O57" i="12"/>
  <c r="R53" i="12"/>
  <c r="W49" i="12"/>
  <c r="K44" i="12"/>
  <c r="T39" i="12"/>
  <c r="I36" i="12"/>
  <c r="O33" i="12"/>
  <c r="V29" i="12"/>
  <c r="M27" i="12"/>
  <c r="L25" i="12"/>
  <c r="L23" i="12"/>
  <c r="I20" i="12"/>
  <c r="J18" i="12"/>
  <c r="E16" i="12"/>
  <c r="F14" i="12"/>
  <c r="F12" i="12"/>
  <c r="C9" i="12"/>
  <c r="H65" i="11"/>
  <c r="Q63" i="11"/>
  <c r="H62" i="11"/>
  <c r="W60" i="11"/>
  <c r="S59" i="11"/>
  <c r="L58" i="11"/>
  <c r="I57" i="11"/>
  <c r="Y55" i="11"/>
  <c r="U54" i="11"/>
  <c r="N50" i="11"/>
  <c r="I49" i="11"/>
  <c r="D48" i="11"/>
  <c r="T45" i="11"/>
  <c r="P44" i="11"/>
  <c r="I43" i="11"/>
  <c r="F42" i="11"/>
  <c r="V39" i="11"/>
  <c r="S38" i="11"/>
  <c r="R36" i="11"/>
  <c r="O35" i="11"/>
  <c r="M34" i="11"/>
  <c r="N33" i="11"/>
  <c r="P32" i="11"/>
  <c r="R31" i="11"/>
  <c r="U30" i="11"/>
  <c r="Y29" i="11"/>
  <c r="E29" i="11"/>
  <c r="I28" i="11"/>
  <c r="K27" i="11"/>
  <c r="O26" i="11"/>
  <c r="R25" i="11"/>
  <c r="V24" i="11"/>
  <c r="X23" i="11"/>
  <c r="E23" i="11"/>
  <c r="H22" i="11"/>
  <c r="L21" i="11"/>
  <c r="O20" i="11"/>
  <c r="R19" i="11"/>
  <c r="V18" i="11"/>
  <c r="Y17" i="11"/>
  <c r="F17" i="11"/>
  <c r="H16" i="11"/>
  <c r="L15" i="11"/>
  <c r="O14" i="11"/>
  <c r="S13" i="11"/>
  <c r="U12" i="11"/>
  <c r="C12" i="11"/>
  <c r="H11" i="11"/>
  <c r="L10" i="11"/>
  <c r="Q9" i="11"/>
  <c r="W8" i="11"/>
  <c r="F8" i="11"/>
  <c r="L7" i="11"/>
  <c r="Q6" i="11"/>
  <c r="W76" i="10"/>
  <c r="F76" i="10"/>
  <c r="L75" i="10"/>
  <c r="R74" i="10"/>
  <c r="X73" i="10"/>
  <c r="H73" i="10"/>
  <c r="O72" i="10"/>
  <c r="V71" i="10"/>
  <c r="F71" i="10"/>
  <c r="M70" i="10"/>
  <c r="T69" i="10"/>
  <c r="D69" i="10"/>
  <c r="K68" i="10"/>
  <c r="R67" i="10"/>
  <c r="Y66" i="10"/>
  <c r="I66" i="10"/>
  <c r="P65" i="10"/>
  <c r="W61" i="10"/>
  <c r="G61" i="10"/>
  <c r="N60" i="10"/>
  <c r="U59" i="10"/>
  <c r="E59" i="10"/>
  <c r="L58" i="10"/>
  <c r="S56" i="10"/>
  <c r="C56" i="10"/>
  <c r="J55" i="10"/>
  <c r="Q54" i="10"/>
  <c r="X53" i="10"/>
  <c r="H53" i="10"/>
  <c r="O51" i="10"/>
  <c r="V50" i="10"/>
  <c r="F50" i="10"/>
  <c r="M49" i="10"/>
  <c r="T47" i="10"/>
  <c r="D47" i="10"/>
  <c r="K46" i="10"/>
  <c r="R45" i="10"/>
  <c r="Y44" i="10"/>
  <c r="I44" i="10"/>
  <c r="P43" i="10"/>
  <c r="W42" i="10"/>
  <c r="G42" i="10"/>
  <c r="N41" i="10"/>
  <c r="U40" i="10"/>
  <c r="E40" i="10"/>
  <c r="L39" i="10"/>
  <c r="S38" i="10"/>
  <c r="C38" i="10"/>
  <c r="J37" i="10"/>
  <c r="Q36" i="10"/>
  <c r="X35" i="10"/>
  <c r="H35" i="10"/>
  <c r="M9" i="13"/>
  <c r="C18" i="12"/>
  <c r="C48" i="11"/>
  <c r="G28" i="11"/>
  <c r="N14" i="11"/>
  <c r="X74" i="10"/>
  <c r="U69" i="10"/>
  <c r="H66" i="10"/>
  <c r="J59" i="10"/>
  <c r="R54" i="10"/>
  <c r="W50" i="10"/>
  <c r="Y47" i="10"/>
  <c r="N46" i="10"/>
  <c r="E45" i="10"/>
  <c r="S43" i="10"/>
  <c r="J42" i="10"/>
  <c r="X40" i="10"/>
  <c r="Q39" i="10"/>
  <c r="M38" i="10"/>
  <c r="H37" i="10"/>
  <c r="Y35" i="10"/>
  <c r="R34" i="10"/>
  <c r="Q33" i="10"/>
  <c r="N32" i="10"/>
  <c r="J31" i="10"/>
  <c r="J30" i="10"/>
  <c r="E29" i="10"/>
  <c r="D28" i="10"/>
  <c r="X26" i="10"/>
  <c r="T25" i="10"/>
  <c r="T24" i="10"/>
  <c r="O23" i="10"/>
  <c r="P22" i="10"/>
  <c r="M21" i="10"/>
  <c r="O20" i="10"/>
  <c r="M19" i="10"/>
  <c r="N18" i="10"/>
  <c r="P17" i="10"/>
  <c r="P16" i="10"/>
  <c r="S15" i="10"/>
  <c r="U14" i="10"/>
  <c r="U13" i="10"/>
  <c r="X12" i="10"/>
  <c r="C12" i="10"/>
  <c r="C11" i="10"/>
  <c r="F10" i="10"/>
  <c r="H9" i="10"/>
  <c r="H8" i="10"/>
  <c r="K7" i="10"/>
  <c r="O6" i="10"/>
  <c r="Q32" i="9"/>
  <c r="S31" i="9"/>
  <c r="W30" i="9"/>
  <c r="E30" i="9"/>
  <c r="I29" i="9"/>
  <c r="M28" i="9"/>
  <c r="Q23" i="9"/>
  <c r="S22" i="9"/>
  <c r="W21" i="9"/>
  <c r="E21" i="9"/>
  <c r="I19" i="9"/>
  <c r="M18" i="9"/>
  <c r="Q17" i="9"/>
  <c r="U15" i="9"/>
  <c r="W14" i="9"/>
  <c r="E14" i="9"/>
  <c r="I13" i="9"/>
  <c r="M11" i="9"/>
  <c r="Q10" i="9"/>
  <c r="V9" i="9"/>
  <c r="E9" i="9"/>
  <c r="J8" i="9"/>
  <c r="O7" i="9"/>
  <c r="T6" i="9"/>
  <c r="C6" i="9"/>
  <c r="I14" i="8"/>
  <c r="P13" i="8"/>
  <c r="W12" i="8"/>
  <c r="F12" i="8"/>
  <c r="M10" i="8"/>
  <c r="T9" i="8"/>
  <c r="C9" i="8"/>
  <c r="J8" i="8"/>
  <c r="D89" i="12"/>
  <c r="D16" i="12"/>
  <c r="S45" i="11"/>
  <c r="J27" i="11"/>
  <c r="R13" i="11"/>
  <c r="Q74" i="10"/>
  <c r="S69" i="10"/>
  <c r="U65" i="10"/>
  <c r="F59" i="10"/>
  <c r="P54" i="10"/>
  <c r="U50" i="10"/>
  <c r="U47" i="10"/>
  <c r="L46" i="10"/>
  <c r="C45" i="10"/>
  <c r="Q43" i="10"/>
  <c r="H42" i="10"/>
  <c r="V40" i="10"/>
  <c r="O39" i="10"/>
  <c r="I38" i="10"/>
  <c r="E37" i="10"/>
  <c r="W35" i="10"/>
  <c r="Q34" i="10"/>
  <c r="P33" i="10"/>
  <c r="M32" i="10"/>
  <c r="I31" i="10"/>
  <c r="I30" i="10"/>
  <c r="D29" i="10"/>
  <c r="C28" i="10"/>
  <c r="W26" i="10"/>
  <c r="S25" i="10"/>
  <c r="S24" i="10"/>
  <c r="N23" i="10"/>
  <c r="N22" i="10"/>
  <c r="L21" i="10"/>
  <c r="N20" i="10"/>
  <c r="K19" i="10"/>
  <c r="M18" i="10"/>
  <c r="N17" i="10"/>
  <c r="O16" i="10"/>
  <c r="R15" i="10"/>
  <c r="S14" i="10"/>
  <c r="T13" i="10"/>
  <c r="W12" i="10"/>
  <c r="X11" i="10"/>
  <c r="Y10" i="10"/>
  <c r="E10" i="10"/>
  <c r="F9" i="10"/>
  <c r="G8" i="10"/>
  <c r="J7" i="10"/>
  <c r="N6" i="10"/>
  <c r="O32" i="9"/>
  <c r="R31" i="9"/>
  <c r="V30" i="9"/>
  <c r="D30" i="9"/>
  <c r="H29" i="9"/>
  <c r="L28" i="9"/>
  <c r="O23" i="9"/>
  <c r="R22" i="9"/>
  <c r="V21" i="9"/>
  <c r="D21" i="9"/>
  <c r="H19" i="9"/>
  <c r="L18" i="9"/>
  <c r="P17" i="9"/>
  <c r="S15" i="9"/>
  <c r="V14" i="9"/>
  <c r="D14" i="9"/>
  <c r="H13" i="9"/>
  <c r="L11" i="9"/>
  <c r="P10" i="9"/>
  <c r="U9" i="9"/>
  <c r="D9" i="9"/>
  <c r="I8" i="9"/>
  <c r="N7" i="9"/>
  <c r="S6" i="9"/>
  <c r="Y14" i="8"/>
  <c r="M76" i="12"/>
  <c r="D14" i="12"/>
  <c r="O44" i="11"/>
  <c r="N26" i="11"/>
  <c r="T12" i="11"/>
  <c r="F74" i="10"/>
  <c r="I69" i="10"/>
  <c r="Q65" i="10"/>
  <c r="D59" i="10"/>
  <c r="O54" i="10"/>
  <c r="T50" i="10"/>
  <c r="S47" i="10"/>
  <c r="J46" i="10"/>
  <c r="X44" i="10"/>
  <c r="O43" i="10"/>
  <c r="F42" i="10"/>
  <c r="T40" i="10"/>
  <c r="N39" i="10"/>
  <c r="H38" i="10"/>
  <c r="D37" i="10"/>
  <c r="V35" i="10"/>
  <c r="P34" i="10"/>
  <c r="L33" i="10"/>
  <c r="L32" i="10"/>
  <c r="G31" i="10"/>
  <c r="D64" i="12"/>
  <c r="Z10" i="12"/>
  <c r="H43" i="11"/>
  <c r="Q25" i="11"/>
  <c r="Y11" i="11"/>
  <c r="W73" i="10"/>
  <c r="E69" i="10"/>
  <c r="O65" i="10"/>
  <c r="Q58" i="10"/>
  <c r="F54" i="10"/>
  <c r="K50" i="10"/>
  <c r="R47" i="10"/>
  <c r="I46" i="10"/>
  <c r="W44" i="10"/>
  <c r="N43" i="10"/>
  <c r="E42" i="10"/>
  <c r="S40" i="10"/>
  <c r="M39" i="10"/>
  <c r="F38" i="10"/>
  <c r="W36" i="10"/>
  <c r="S35" i="10"/>
  <c r="O34" i="10"/>
  <c r="K33" i="10"/>
  <c r="K32" i="10"/>
  <c r="F31" i="10"/>
  <c r="E30" i="10"/>
  <c r="Y28" i="10"/>
  <c r="U27" i="10"/>
  <c r="U26" i="10"/>
  <c r="P25" i="10"/>
  <c r="O24" i="10"/>
  <c r="L23" i="10"/>
  <c r="I22" i="10"/>
  <c r="J21" i="10"/>
  <c r="K20" i="10"/>
  <c r="I19" i="10"/>
  <c r="J18" i="10"/>
  <c r="K17" i="10"/>
  <c r="M16" i="10"/>
  <c r="O15" i="10"/>
  <c r="P14" i="10"/>
  <c r="R13" i="10"/>
  <c r="T12" i="10"/>
  <c r="U11" i="10"/>
  <c r="W10" i="10"/>
  <c r="Y9" i="10"/>
  <c r="C9" i="10"/>
  <c r="E8" i="10"/>
  <c r="H7" i="10"/>
  <c r="K6" i="10"/>
  <c r="L32" i="9"/>
  <c r="P31" i="9"/>
  <c r="T30" i="9"/>
  <c r="X29" i="9"/>
  <c r="F29" i="9"/>
  <c r="I28" i="9"/>
  <c r="L23" i="9"/>
  <c r="P22" i="9"/>
  <c r="T21" i="9"/>
  <c r="X19" i="9"/>
  <c r="F19" i="9"/>
  <c r="J18" i="9"/>
  <c r="M17" i="9"/>
  <c r="P15" i="9"/>
  <c r="T14" i="9"/>
  <c r="X13" i="9"/>
  <c r="F13" i="9"/>
  <c r="J11" i="9"/>
  <c r="N10" i="9"/>
  <c r="S9" i="9"/>
  <c r="X8" i="9"/>
  <c r="G8" i="9"/>
  <c r="K7" i="9"/>
  <c r="P6" i="9"/>
  <c r="W14" i="8"/>
  <c r="F14" i="8"/>
  <c r="M13" i="8"/>
  <c r="T12" i="8"/>
  <c r="C12" i="8"/>
  <c r="J10" i="8"/>
  <c r="Q9" i="8"/>
  <c r="X8" i="8"/>
  <c r="G8" i="8"/>
  <c r="N7" i="8"/>
  <c r="U6" i="8"/>
  <c r="E6" i="8"/>
  <c r="L27" i="7"/>
  <c r="S26" i="7"/>
  <c r="C26" i="7"/>
  <c r="J25" i="7"/>
  <c r="Q23" i="7"/>
  <c r="X22" i="7"/>
  <c r="H22" i="7"/>
  <c r="O20" i="7"/>
  <c r="V19" i="7"/>
  <c r="F19" i="7"/>
  <c r="M18" i="7"/>
  <c r="T17" i="7"/>
  <c r="D17" i="7"/>
  <c r="K16" i="7"/>
  <c r="R15" i="7"/>
  <c r="G57" i="12"/>
  <c r="AA8" i="12"/>
  <c r="C42" i="11"/>
  <c r="U24" i="11"/>
  <c r="G11" i="11"/>
  <c r="M73" i="10"/>
  <c r="C69" i="10"/>
  <c r="E65" i="10"/>
  <c r="M58" i="10"/>
  <c r="Y53" i="10"/>
  <c r="G50" i="10"/>
  <c r="O47" i="10"/>
  <c r="F46" i="10"/>
  <c r="T44" i="10"/>
  <c r="K43" i="10"/>
  <c r="Y41" i="10"/>
  <c r="P40" i="10"/>
  <c r="K39" i="10"/>
  <c r="E38" i="10"/>
  <c r="V36" i="10"/>
  <c r="R35" i="10"/>
  <c r="N34" i="10"/>
  <c r="I33" i="10"/>
  <c r="H32" i="10"/>
  <c r="E31" i="10"/>
  <c r="X29" i="10"/>
  <c r="X28" i="10"/>
  <c r="S27" i="10"/>
  <c r="R26" i="10"/>
  <c r="O25" i="10"/>
  <c r="K24" i="10"/>
  <c r="K23" i="10"/>
  <c r="H22" i="10"/>
  <c r="I21" i="10"/>
  <c r="G20" i="10"/>
  <c r="H19" i="10"/>
  <c r="I18" i="10"/>
  <c r="I17" i="10"/>
  <c r="L16" i="10"/>
  <c r="N15" i="10"/>
  <c r="N14" i="10"/>
  <c r="Q13" i="10"/>
  <c r="S12" i="10"/>
  <c r="S11" i="10"/>
  <c r="V10" i="10"/>
  <c r="X9" i="10"/>
  <c r="X8" i="10"/>
  <c r="D8" i="10"/>
  <c r="G7" i="10"/>
  <c r="I6" i="10"/>
  <c r="H53" i="12"/>
  <c r="C65" i="11"/>
  <c r="U39" i="11"/>
  <c r="W23" i="11"/>
  <c r="K10" i="11"/>
  <c r="G73" i="10"/>
  <c r="P68" i="10"/>
  <c r="X61" i="10"/>
  <c r="K58" i="10"/>
  <c r="W53" i="10"/>
  <c r="E50" i="10"/>
  <c r="N47" i="10"/>
  <c r="E46" i="10"/>
  <c r="S44" i="10"/>
  <c r="J43" i="10"/>
  <c r="X41" i="10"/>
  <c r="O40" i="10"/>
  <c r="J39" i="10"/>
  <c r="D38" i="10"/>
  <c r="T36" i="10"/>
  <c r="N35" i="10"/>
  <c r="M34" i="10"/>
  <c r="H33" i="10"/>
  <c r="G32" i="10"/>
  <c r="D31" i="10"/>
  <c r="W29" i="10"/>
  <c r="W28" i="10"/>
  <c r="R27" i="10"/>
  <c r="Q26" i="10"/>
  <c r="N25" i="10"/>
  <c r="J24" i="10"/>
  <c r="J23" i="10"/>
  <c r="F22" i="10"/>
  <c r="H21" i="10"/>
  <c r="F20" i="10"/>
  <c r="G19" i="10"/>
  <c r="G18" i="10"/>
  <c r="H17" i="10"/>
  <c r="K16" i="10"/>
  <c r="L15" i="10"/>
  <c r="M14" i="10"/>
  <c r="P13" i="10"/>
  <c r="Q12" i="10"/>
  <c r="R11" i="10"/>
  <c r="U10" i="10"/>
  <c r="V9" i="10"/>
  <c r="W8" i="10"/>
  <c r="C8" i="10"/>
  <c r="F7" i="10"/>
  <c r="H6" i="10"/>
  <c r="J32" i="9"/>
  <c r="N31" i="9"/>
  <c r="R30" i="9"/>
  <c r="V29" i="9"/>
  <c r="C29" i="9"/>
  <c r="F28" i="9"/>
  <c r="J23" i="9"/>
  <c r="N22" i="9"/>
  <c r="R21" i="9"/>
  <c r="V19" i="9"/>
  <c r="D19" i="9"/>
  <c r="G18" i="9"/>
  <c r="J17" i="9"/>
  <c r="N15" i="9"/>
  <c r="R14" i="9"/>
  <c r="V13" i="9"/>
  <c r="D13" i="9"/>
  <c r="H11" i="9"/>
  <c r="L10" i="9"/>
  <c r="Q9" i="9"/>
  <c r="U8" i="9"/>
  <c r="D8" i="9"/>
  <c r="I7" i="9"/>
  <c r="N6" i="9"/>
  <c r="U14" i="8"/>
  <c r="U49" i="12"/>
  <c r="P63" i="11"/>
  <c r="R38" i="11"/>
  <c r="D23" i="11"/>
  <c r="P9" i="11"/>
  <c r="T72" i="10"/>
  <c r="L68" i="10"/>
  <c r="V61" i="10"/>
  <c r="X56" i="10"/>
  <c r="V53" i="10"/>
  <c r="D50" i="10"/>
  <c r="J47" i="10"/>
  <c r="X45" i="10"/>
  <c r="O44" i="10"/>
  <c r="F43" i="10"/>
  <c r="T41" i="10"/>
  <c r="K40" i="10"/>
  <c r="G39" i="10"/>
  <c r="Y37" i="10"/>
  <c r="S36" i="10"/>
  <c r="M35" i="10"/>
  <c r="J34" i="10"/>
  <c r="G33" i="10"/>
  <c r="C32" i="10"/>
  <c r="C31" i="10"/>
  <c r="U29" i="10"/>
  <c r="T28" i="10"/>
  <c r="Q27" i="10"/>
  <c r="M26" i="10"/>
  <c r="M25" i="10"/>
  <c r="H24" i="10"/>
  <c r="G23" i="10"/>
  <c r="E22" i="10"/>
  <c r="G21" i="10"/>
  <c r="D20" i="10"/>
  <c r="F19" i="10"/>
  <c r="E18" i="10"/>
  <c r="G17" i="10"/>
  <c r="J16" i="10"/>
  <c r="J15" i="10"/>
  <c r="L14" i="10"/>
  <c r="O13" i="10"/>
  <c r="O12" i="10"/>
  <c r="Q11" i="10"/>
  <c r="T10" i="10"/>
  <c r="T9" i="10"/>
  <c r="V8" i="10"/>
  <c r="Y7" i="10"/>
  <c r="D7" i="10"/>
  <c r="F6" i="10"/>
  <c r="I32" i="9"/>
  <c r="M31" i="9"/>
  <c r="Q30" i="9"/>
  <c r="U29" i="9"/>
  <c r="W28" i="9"/>
  <c r="E28" i="9"/>
  <c r="I23" i="9"/>
  <c r="M22" i="9"/>
  <c r="Q21" i="9"/>
  <c r="U19" i="9"/>
  <c r="E44" i="12"/>
  <c r="G62" i="11"/>
  <c r="O36" i="11"/>
  <c r="G22" i="11"/>
  <c r="V8" i="11"/>
  <c r="N72" i="10"/>
  <c r="J68" i="10"/>
  <c r="L61" i="10"/>
  <c r="T56" i="10"/>
  <c r="M53" i="10"/>
  <c r="X49" i="10"/>
  <c r="I47" i="10"/>
  <c r="W45" i="10"/>
  <c r="N44" i="10"/>
  <c r="E43" i="10"/>
  <c r="S41" i="10"/>
  <c r="J40" i="10"/>
  <c r="F39" i="10"/>
  <c r="X37" i="10"/>
  <c r="R36" i="10"/>
  <c r="K35" i="10"/>
  <c r="I34" i="10"/>
  <c r="F33" i="10"/>
  <c r="Y31" i="10"/>
  <c r="Y30" i="10"/>
  <c r="T29" i="10"/>
  <c r="S28" i="10"/>
  <c r="P27" i="10"/>
  <c r="L26" i="10"/>
  <c r="L25" i="10"/>
  <c r="G24" i="10"/>
  <c r="F23" i="10"/>
  <c r="D22" i="10"/>
  <c r="E21" i="10"/>
  <c r="C20" i="10"/>
  <c r="E19" i="10"/>
  <c r="D18" i="10"/>
  <c r="F17" i="10"/>
  <c r="H16" i="10"/>
  <c r="I15" i="10"/>
  <c r="K14" i="10"/>
  <c r="M13" i="10"/>
  <c r="N12" i="10"/>
  <c r="P11" i="10"/>
  <c r="R10" i="10"/>
  <c r="S9" i="10"/>
  <c r="U8" i="10"/>
  <c r="W7" i="10"/>
  <c r="Y6" i="10"/>
  <c r="E6" i="10"/>
  <c r="H32" i="9"/>
  <c r="L31" i="9"/>
  <c r="P30" i="9"/>
  <c r="S29" i="9"/>
  <c r="V28" i="9"/>
  <c r="D28" i="9"/>
  <c r="H23" i="9"/>
  <c r="L22" i="9"/>
  <c r="P21" i="9"/>
  <c r="T19" i="9"/>
  <c r="W18" i="9"/>
  <c r="D18" i="9"/>
  <c r="H17" i="9"/>
  <c r="L15" i="9"/>
  <c r="P14" i="9"/>
  <c r="T13" i="9"/>
  <c r="X11" i="9"/>
  <c r="E11" i="9"/>
  <c r="I10" i="9"/>
  <c r="N9" i="9"/>
  <c r="S8" i="9"/>
  <c r="X7" i="9"/>
  <c r="G7" i="9"/>
  <c r="L6" i="9"/>
  <c r="S14" i="8"/>
  <c r="Z13" i="8"/>
  <c r="I13" i="8"/>
  <c r="P12" i="8"/>
  <c r="W10" i="8"/>
  <c r="F10" i="8"/>
  <c r="M9" i="8"/>
  <c r="T8" i="8"/>
  <c r="C8" i="8"/>
  <c r="I7" i="8"/>
  <c r="Q6" i="8"/>
  <c r="X27" i="7"/>
  <c r="H27" i="7"/>
  <c r="O26" i="7"/>
  <c r="V25" i="7"/>
  <c r="F25" i="7"/>
  <c r="M23" i="7"/>
  <c r="T22" i="7"/>
  <c r="D22" i="7"/>
  <c r="K20" i="7"/>
  <c r="R19" i="7"/>
  <c r="Y18" i="7"/>
  <c r="I18" i="7"/>
  <c r="P17" i="7"/>
  <c r="W16" i="7"/>
  <c r="G16" i="7"/>
  <c r="N15" i="7"/>
  <c r="U14" i="7"/>
  <c r="E14" i="7"/>
  <c r="L13" i="7"/>
  <c r="S12" i="7"/>
  <c r="C12" i="7"/>
  <c r="J11" i="7"/>
  <c r="Q8" i="7"/>
  <c r="X7" i="7"/>
  <c r="H7" i="7"/>
  <c r="O6" i="7"/>
  <c r="U58" i="6"/>
  <c r="J39" i="12"/>
  <c r="V60" i="11"/>
  <c r="L35" i="11"/>
  <c r="K21" i="11"/>
  <c r="E8" i="11"/>
  <c r="D72" i="10"/>
  <c r="W67" i="10"/>
  <c r="H61" i="10"/>
  <c r="R56" i="10"/>
  <c r="I53" i="10"/>
  <c r="S49" i="10"/>
  <c r="G47" i="10"/>
  <c r="U45" i="10"/>
  <c r="L44" i="10"/>
  <c r="C43" i="10"/>
  <c r="Q41" i="10"/>
  <c r="H40" i="10"/>
  <c r="Y38" i="10"/>
  <c r="U37" i="10"/>
  <c r="P36" i="10"/>
  <c r="J35" i="10"/>
  <c r="E34" i="10"/>
  <c r="E33" i="10"/>
  <c r="W31" i="10"/>
  <c r="V30" i="10"/>
  <c r="S29" i="10"/>
  <c r="O28" i="10"/>
  <c r="O27" i="10"/>
  <c r="J26" i="10"/>
  <c r="I25" i="10"/>
  <c r="F24" i="10"/>
  <c r="Y22" i="10"/>
  <c r="C22" i="10"/>
  <c r="D21" i="10"/>
  <c r="Y19" i="10"/>
  <c r="C19" i="10"/>
  <c r="Y17" i="10"/>
  <c r="E17" i="10"/>
  <c r="G16" i="10"/>
  <c r="G15" i="10"/>
  <c r="J14" i="10"/>
  <c r="L13" i="10"/>
  <c r="L12" i="10"/>
  <c r="O11" i="10"/>
  <c r="Q10" i="10"/>
  <c r="Q9" i="10"/>
  <c r="T8" i="10"/>
  <c r="V7" i="10"/>
  <c r="X6" i="10"/>
  <c r="D6" i="10"/>
  <c r="G32" i="9"/>
  <c r="K31" i="9"/>
  <c r="O30" i="9"/>
  <c r="Q29" i="9"/>
  <c r="U28" i="9"/>
  <c r="C28" i="9"/>
  <c r="G23" i="9"/>
  <c r="K22" i="9"/>
  <c r="O21" i="9"/>
  <c r="S19" i="9"/>
  <c r="U18" i="9"/>
  <c r="C18" i="9"/>
  <c r="G17" i="9"/>
  <c r="K15" i="9"/>
  <c r="O14" i="9"/>
  <c r="S13" i="9"/>
  <c r="W11" i="9"/>
  <c r="C11" i="9"/>
  <c r="H10" i="9"/>
  <c r="M9" i="9"/>
  <c r="R8" i="9"/>
  <c r="W7" i="9"/>
  <c r="F7" i="9"/>
  <c r="K6" i="9"/>
  <c r="R14" i="8"/>
  <c r="Y13" i="8"/>
  <c r="H13" i="8"/>
  <c r="O12" i="8"/>
  <c r="V10" i="8"/>
  <c r="E10" i="8"/>
  <c r="L9" i="8"/>
  <c r="S8" i="8"/>
  <c r="Y7" i="8"/>
  <c r="H7" i="8"/>
  <c r="P6" i="8"/>
  <c r="W27" i="7"/>
  <c r="G27" i="7"/>
  <c r="N26" i="7"/>
  <c r="U25" i="7"/>
  <c r="E25" i="7"/>
  <c r="L23" i="7"/>
  <c r="S22" i="7"/>
  <c r="C22" i="7"/>
  <c r="J20" i="7"/>
  <c r="Q19" i="7"/>
  <c r="X18" i="7"/>
  <c r="H18" i="7"/>
  <c r="O17" i="7"/>
  <c r="V16" i="7"/>
  <c r="F16" i="7"/>
  <c r="M15" i="7"/>
  <c r="T14" i="7"/>
  <c r="D14" i="7"/>
  <c r="K13" i="7"/>
  <c r="R12" i="7"/>
  <c r="Y11" i="7"/>
  <c r="I11" i="7"/>
  <c r="P8" i="7"/>
  <c r="W7" i="7"/>
  <c r="G7" i="7"/>
  <c r="Y35" i="12"/>
  <c r="R59" i="11"/>
  <c r="J34" i="11"/>
  <c r="M20" i="11"/>
  <c r="J7" i="11"/>
  <c r="U71" i="10"/>
  <c r="S67" i="10"/>
  <c r="F61" i="10"/>
  <c r="H56" i="10"/>
  <c r="G53" i="10"/>
  <c r="R49" i="10"/>
  <c r="E47" i="10"/>
  <c r="S45" i="10"/>
  <c r="J44" i="10"/>
  <c r="X42" i="10"/>
  <c r="O41" i="10"/>
  <c r="G40" i="10"/>
  <c r="X38" i="10"/>
  <c r="T37" i="10"/>
  <c r="O36" i="10"/>
  <c r="I35" i="10"/>
  <c r="D34" i="10"/>
  <c r="D33" i="10"/>
  <c r="V31" i="10"/>
  <c r="U30" i="10"/>
  <c r="R29" i="10"/>
  <c r="N28" i="10"/>
  <c r="N27" i="10"/>
  <c r="G33" i="12"/>
  <c r="K58" i="11"/>
  <c r="M33" i="11"/>
  <c r="Q19" i="11"/>
  <c r="P6" i="11"/>
  <c r="K71" i="10"/>
  <c r="Q67" i="10"/>
  <c r="S60" i="10"/>
  <c r="D56" i="10"/>
  <c r="F53" i="10"/>
  <c r="N49" i="10"/>
  <c r="C47" i="10"/>
  <c r="Q45" i="10"/>
  <c r="H44" i="10"/>
  <c r="V42" i="10"/>
  <c r="M41" i="10"/>
  <c r="F40" i="10"/>
  <c r="V38" i="10"/>
  <c r="P37" i="10"/>
  <c r="L36" i="10"/>
  <c r="G35" i="10"/>
  <c r="Y33" i="10"/>
  <c r="X32" i="10"/>
  <c r="U31" i="10"/>
  <c r="Q30" i="10"/>
  <c r="Q29" i="10"/>
  <c r="L28" i="10"/>
  <c r="K27" i="10"/>
  <c r="H26" i="10"/>
  <c r="D25" i="10"/>
  <c r="D24" i="10"/>
  <c r="V22" i="10"/>
  <c r="X21" i="10"/>
  <c r="V20" i="10"/>
  <c r="W19" i="10"/>
  <c r="U18" i="10"/>
  <c r="W17" i="10"/>
  <c r="C17" i="10"/>
  <c r="C16" i="10"/>
  <c r="E15" i="10"/>
  <c r="H14" i="10"/>
  <c r="H13" i="10"/>
  <c r="J12" i="10"/>
  <c r="M11" i="10"/>
  <c r="M10" i="10"/>
  <c r="O9" i="10"/>
  <c r="R8" i="10"/>
  <c r="R7" i="10"/>
  <c r="U6" i="10"/>
  <c r="X32" i="9"/>
  <c r="O29" i="12"/>
  <c r="F57" i="11"/>
  <c r="O32" i="11"/>
  <c r="T18" i="11"/>
  <c r="V76" i="10"/>
  <c r="E71" i="10"/>
  <c r="G67" i="10"/>
  <c r="O60" i="10"/>
  <c r="Y55" i="10"/>
  <c r="T51" i="10"/>
  <c r="L49" i="10"/>
  <c r="Y46" i="10"/>
  <c r="P45" i="10"/>
  <c r="G44" i="10"/>
  <c r="U42" i="10"/>
  <c r="L41" i="10"/>
  <c r="D40" i="10"/>
  <c r="U38" i="10"/>
  <c r="O37" i="10"/>
  <c r="K36" i="10"/>
  <c r="F35" i="10"/>
  <c r="X33" i="10"/>
  <c r="W32" i="10"/>
  <c r="T31" i="10"/>
  <c r="P30" i="10"/>
  <c r="P29" i="10"/>
  <c r="K28" i="10"/>
  <c r="J27" i="10"/>
  <c r="G26" i="10"/>
  <c r="C25" i="10"/>
  <c r="C24" i="10"/>
  <c r="U22" i="10"/>
  <c r="W21" i="10"/>
  <c r="T20" i="10"/>
  <c r="V19" i="10"/>
  <c r="T18" i="10"/>
  <c r="V17" i="10"/>
  <c r="X16" i="10"/>
  <c r="Y15" i="10"/>
  <c r="D15" i="10"/>
  <c r="F14" i="10"/>
  <c r="G13" i="10"/>
  <c r="I12" i="10"/>
  <c r="K11" i="10"/>
  <c r="L10" i="10"/>
  <c r="N9" i="10"/>
  <c r="P8" i="10"/>
  <c r="Q7" i="10"/>
  <c r="T6" i="10"/>
  <c r="L27" i="12"/>
  <c r="X55" i="11"/>
  <c r="P31" i="11"/>
  <c r="X17" i="11"/>
  <c r="L76" i="10"/>
  <c r="R70" i="10"/>
  <c r="C67" i="10"/>
  <c r="M60" i="10"/>
  <c r="O55" i="10"/>
  <c r="P51" i="10"/>
  <c r="K49" i="10"/>
  <c r="V46" i="10"/>
  <c r="M45" i="10"/>
  <c r="D44" i="10"/>
  <c r="R42" i="10"/>
  <c r="I41" i="10"/>
  <c r="C40" i="10"/>
  <c r="T38" i="10"/>
  <c r="M37" i="10"/>
  <c r="G36" i="10"/>
  <c r="C35" i="10"/>
  <c r="W33" i="10"/>
  <c r="S32" i="10"/>
  <c r="S31" i="10"/>
  <c r="N30" i="10"/>
  <c r="M29" i="10"/>
  <c r="J28" i="10"/>
  <c r="F27" i="10"/>
  <c r="F26" i="10"/>
  <c r="X24" i="10"/>
  <c r="W23" i="10"/>
  <c r="T22" i="10"/>
  <c r="U21" i="10"/>
  <c r="S20" i="10"/>
  <c r="U19" i="10"/>
  <c r="R18" i="10"/>
  <c r="U17" i="10"/>
  <c r="W16" i="10"/>
  <c r="W15" i="10"/>
  <c r="C15" i="10"/>
  <c r="E14" i="10"/>
  <c r="E13" i="10"/>
  <c r="H12" i="10"/>
  <c r="J11" i="10"/>
  <c r="J10" i="10"/>
  <c r="M9" i="10"/>
  <c r="O8" i="10"/>
  <c r="O7" i="10"/>
  <c r="S6" i="10"/>
  <c r="V32" i="9"/>
  <c r="C32" i="9"/>
  <c r="E31" i="9"/>
  <c r="I30" i="9"/>
  <c r="M29" i="9"/>
  <c r="Q28" i="9"/>
  <c r="U23" i="9"/>
  <c r="C23" i="9"/>
  <c r="G22" i="9"/>
  <c r="I21" i="9"/>
  <c r="M19" i="9"/>
  <c r="Q18" i="9"/>
  <c r="U17" i="9"/>
  <c r="C17" i="9"/>
  <c r="G15" i="9"/>
  <c r="K14" i="9"/>
  <c r="M13" i="9"/>
  <c r="Q11" i="9"/>
  <c r="U10" i="9"/>
  <c r="D10" i="9"/>
  <c r="I9" i="9"/>
  <c r="N8" i="9"/>
  <c r="S7" i="9"/>
  <c r="X6" i="9"/>
  <c r="G6" i="9"/>
  <c r="N14" i="8"/>
  <c r="U13" i="8"/>
  <c r="D13" i="8"/>
  <c r="K12" i="8"/>
  <c r="Q10" i="8"/>
  <c r="X9" i="8"/>
  <c r="G9" i="8"/>
  <c r="N8" i="8"/>
  <c r="U7" i="8"/>
  <c r="D7" i="8"/>
  <c r="L6" i="8"/>
  <c r="S27" i="7"/>
  <c r="C27" i="7"/>
  <c r="J26" i="7"/>
  <c r="Q25" i="7"/>
  <c r="X23" i="7"/>
  <c r="H23" i="7"/>
  <c r="O22" i="7"/>
  <c r="V20" i="7"/>
  <c r="F20" i="7"/>
  <c r="M19" i="7"/>
  <c r="T18" i="7"/>
  <c r="D18" i="7"/>
  <c r="K17" i="7"/>
  <c r="R16" i="7"/>
  <c r="Y15" i="7"/>
  <c r="I15" i="7"/>
  <c r="P14" i="7"/>
  <c r="W13" i="7"/>
  <c r="G13" i="7"/>
  <c r="N12" i="7"/>
  <c r="U11" i="7"/>
  <c r="E11" i="7"/>
  <c r="L8" i="7"/>
  <c r="S7" i="7"/>
  <c r="C7" i="7"/>
  <c r="J6" i="7"/>
  <c r="P58" i="6"/>
  <c r="V57" i="6"/>
  <c r="F57" i="6"/>
  <c r="L56" i="6"/>
  <c r="R55" i="6"/>
  <c r="X53" i="6"/>
  <c r="H53" i="6"/>
  <c r="N52" i="6"/>
  <c r="T51" i="6"/>
  <c r="D51" i="6"/>
  <c r="J49" i="6"/>
  <c r="P48" i="6"/>
  <c r="V47" i="6"/>
  <c r="F47" i="6"/>
  <c r="L46" i="6"/>
  <c r="R44" i="6"/>
  <c r="J25" i="12"/>
  <c r="Q54" i="11"/>
  <c r="T30" i="11"/>
  <c r="D17" i="11"/>
  <c r="E76" i="10"/>
  <c r="N70" i="10"/>
  <c r="X66" i="10"/>
  <c r="C60" i="10"/>
  <c r="K55" i="10"/>
  <c r="N51" i="10"/>
  <c r="H49" i="10"/>
  <c r="U46" i="10"/>
  <c r="L45" i="10"/>
  <c r="C44" i="10"/>
  <c r="Q42" i="10"/>
  <c r="H41" i="10"/>
  <c r="W39" i="10"/>
  <c r="R38" i="10"/>
  <c r="L37" i="10"/>
  <c r="F36" i="10"/>
  <c r="Y34" i="10"/>
  <c r="V33" i="10"/>
  <c r="R32" i="10"/>
  <c r="R31" i="10"/>
  <c r="M30" i="10"/>
  <c r="L29" i="10"/>
  <c r="I28" i="10"/>
  <c r="E27" i="10"/>
  <c r="E26" i="10"/>
  <c r="W24" i="10"/>
  <c r="V23" i="10"/>
  <c r="S22" i="10"/>
  <c r="T21" i="10"/>
  <c r="R20" i="10"/>
  <c r="S19" i="10"/>
  <c r="G23" i="12"/>
  <c r="M50" i="11"/>
  <c r="W29" i="11"/>
  <c r="G16" i="11"/>
  <c r="R75" i="10"/>
  <c r="L70" i="10"/>
  <c r="N66" i="10"/>
  <c r="V59" i="10"/>
  <c r="I55" i="10"/>
  <c r="M51" i="10"/>
  <c r="G49" i="10"/>
  <c r="Q46" i="10"/>
  <c r="H45" i="10"/>
  <c r="V43" i="10"/>
  <c r="M42" i="10"/>
  <c r="D41" i="10"/>
  <c r="V39" i="10"/>
  <c r="Q38" i="10"/>
  <c r="K37" i="10"/>
  <c r="D36" i="10"/>
  <c r="U34" i="10"/>
  <c r="U33" i="10"/>
  <c r="P32" i="10"/>
  <c r="O31" i="10"/>
  <c r="L30" i="10"/>
  <c r="H29" i="10"/>
  <c r="H28" i="10"/>
  <c r="C27" i="10"/>
  <c r="Y25" i="10"/>
  <c r="V24" i="10"/>
  <c r="R23" i="10"/>
  <c r="R22" i="10"/>
  <c r="P21" i="10"/>
  <c r="Q20" i="10"/>
  <c r="R19" i="10"/>
  <c r="P18" i="10"/>
  <c r="S17" i="10"/>
  <c r="S16" i="10"/>
  <c r="U15" i="10"/>
  <c r="X14" i="10"/>
  <c r="X13" i="10"/>
  <c r="C13" i="10"/>
  <c r="F12" i="10"/>
  <c r="F11" i="10"/>
  <c r="H10" i="10"/>
  <c r="K9" i="10"/>
  <c r="K8" i="10"/>
  <c r="M7" i="10"/>
  <c r="Q6" i="10"/>
  <c r="T32" i="9"/>
  <c r="U31" i="9"/>
  <c r="C31" i="9"/>
  <c r="G30" i="9"/>
  <c r="K29" i="9"/>
  <c r="O28" i="9"/>
  <c r="S23" i="9"/>
  <c r="W22" i="9"/>
  <c r="C22" i="9"/>
  <c r="G21" i="9"/>
  <c r="K19" i="9"/>
  <c r="O18" i="9"/>
  <c r="S17" i="9"/>
  <c r="W15" i="9"/>
  <c r="H20" i="12"/>
  <c r="R39" i="10"/>
  <c r="F49" i="11"/>
  <c r="N38" i="10"/>
  <c r="X25" i="10"/>
  <c r="L20" i="10"/>
  <c r="E16" i="10"/>
  <c r="K12" i="10"/>
  <c r="S8" i="10"/>
  <c r="N32" i="9"/>
  <c r="M30" i="9"/>
  <c r="R28" i="9"/>
  <c r="U22" i="9"/>
  <c r="W19" i="9"/>
  <c r="E18" i="9"/>
  <c r="M15" i="9"/>
  <c r="C14" i="9"/>
  <c r="O11" i="9"/>
  <c r="E10" i="9"/>
  <c r="Q8" i="9"/>
  <c r="J7" i="9"/>
  <c r="D6" i="9"/>
  <c r="W13" i="8"/>
  <c r="V12" i="8"/>
  <c r="U10" i="8"/>
  <c r="U9" i="8"/>
  <c r="U8" i="8"/>
  <c r="S7" i="8"/>
  <c r="V6" i="8"/>
  <c r="V27" i="7"/>
  <c r="X26" i="7"/>
  <c r="D26" i="7"/>
  <c r="D25" i="7"/>
  <c r="F23" i="7"/>
  <c r="I22" i="7"/>
  <c r="I20" i="7"/>
  <c r="K19" i="7"/>
  <c r="N18" i="7"/>
  <c r="N17" i="7"/>
  <c r="P16" i="7"/>
  <c r="S15" i="7"/>
  <c r="V14" i="7"/>
  <c r="X13" i="7"/>
  <c r="D13" i="7"/>
  <c r="H12" i="7"/>
  <c r="L11" i="7"/>
  <c r="N8" i="7"/>
  <c r="Q7" i="7"/>
  <c r="U6" i="7"/>
  <c r="C6" i="7"/>
  <c r="G58" i="6"/>
  <c r="D29" i="11"/>
  <c r="I37" i="10"/>
  <c r="Q25" i="10"/>
  <c r="X19" i="10"/>
  <c r="V15" i="10"/>
  <c r="G12" i="10"/>
  <c r="M8" i="10"/>
  <c r="K32" i="9"/>
  <c r="K30" i="9"/>
  <c r="P28" i="9"/>
  <c r="Q22" i="9"/>
  <c r="Q19" i="9"/>
  <c r="X17" i="9"/>
  <c r="J15" i="9"/>
  <c r="W13" i="9"/>
  <c r="N11" i="9"/>
  <c r="C10" i="9"/>
  <c r="P8" i="9"/>
  <c r="H7" i="9"/>
  <c r="X14" i="8"/>
  <c r="V13" i="8"/>
  <c r="U12" i="8"/>
  <c r="T10" i="8"/>
  <c r="S9" i="8"/>
  <c r="Q8" i="8"/>
  <c r="R7" i="8"/>
  <c r="T6" i="8"/>
  <c r="U27" i="7"/>
  <c r="W26" i="7"/>
  <c r="Y25" i="7"/>
  <c r="C25" i="7"/>
  <c r="E23" i="7"/>
  <c r="G22" i="7"/>
  <c r="H20" i="7"/>
  <c r="J19" i="7"/>
  <c r="L18" i="7"/>
  <c r="M17" i="7"/>
  <c r="O16" i="7"/>
  <c r="Q15" i="7"/>
  <c r="S14" i="7"/>
  <c r="V13" i="7"/>
  <c r="C13" i="7"/>
  <c r="G12" i="7"/>
  <c r="K11" i="7"/>
  <c r="M8" i="7"/>
  <c r="P7" i="7"/>
  <c r="T6" i="7"/>
  <c r="X58" i="6"/>
  <c r="F58" i="6"/>
  <c r="K57" i="6"/>
  <c r="P56" i="6"/>
  <c r="U55" i="6"/>
  <c r="D55" i="6"/>
  <c r="I53" i="6"/>
  <c r="M52" i="6"/>
  <c r="R51" i="6"/>
  <c r="W49" i="6"/>
  <c r="F49" i="6"/>
  <c r="K48" i="6"/>
  <c r="P47" i="6"/>
  <c r="U46" i="6"/>
  <c r="D46" i="6"/>
  <c r="I44" i="6"/>
  <c r="O43" i="6"/>
  <c r="U42" i="6"/>
  <c r="E42" i="6"/>
  <c r="K41" i="6"/>
  <c r="Q39" i="6"/>
  <c r="W38" i="6"/>
  <c r="G38" i="6"/>
  <c r="M37" i="6"/>
  <c r="S36" i="6"/>
  <c r="C36" i="6"/>
  <c r="I34" i="6"/>
  <c r="O33" i="6"/>
  <c r="U32" i="6"/>
  <c r="E32" i="6"/>
  <c r="K31" i="6"/>
  <c r="Q29" i="6"/>
  <c r="W28" i="6"/>
  <c r="G28" i="6"/>
  <c r="M27" i="6"/>
  <c r="S26" i="6"/>
  <c r="C26" i="6"/>
  <c r="I24" i="6"/>
  <c r="O23" i="6"/>
  <c r="U22" i="6"/>
  <c r="E22" i="6"/>
  <c r="K21" i="6"/>
  <c r="Q19" i="6"/>
  <c r="W18" i="6"/>
  <c r="G18" i="6"/>
  <c r="M17" i="6"/>
  <c r="S16" i="6"/>
  <c r="C16" i="6"/>
  <c r="I14" i="6"/>
  <c r="O13" i="6"/>
  <c r="U12" i="6"/>
  <c r="E12" i="6"/>
  <c r="K11" i="6"/>
  <c r="Q9" i="6"/>
  <c r="W8" i="6"/>
  <c r="G8" i="6"/>
  <c r="M7" i="6"/>
  <c r="S6" i="6"/>
  <c r="C6" i="6"/>
  <c r="I34" i="5"/>
  <c r="O33" i="5"/>
  <c r="U32" i="5"/>
  <c r="E32" i="5"/>
  <c r="K31" i="5"/>
  <c r="Q30" i="5"/>
  <c r="W25" i="5"/>
  <c r="G25" i="5"/>
  <c r="M24" i="5"/>
  <c r="S23" i="5"/>
  <c r="C23" i="5"/>
  <c r="I21" i="5"/>
  <c r="O20" i="5"/>
  <c r="U19" i="5"/>
  <c r="E19" i="5"/>
  <c r="K18" i="5"/>
  <c r="Q17" i="5"/>
  <c r="W15" i="5"/>
  <c r="G15" i="5"/>
  <c r="M14" i="5"/>
  <c r="S13" i="5"/>
  <c r="C13" i="5"/>
  <c r="I11" i="5"/>
  <c r="O10" i="5"/>
  <c r="U9" i="5"/>
  <c r="E9" i="5"/>
  <c r="K8" i="5"/>
  <c r="Q7" i="5"/>
  <c r="W6" i="5"/>
  <c r="G6" i="5"/>
  <c r="N53" i="4"/>
  <c r="U52" i="4"/>
  <c r="E52" i="4"/>
  <c r="L50" i="4"/>
  <c r="S49" i="4"/>
  <c r="C49" i="4"/>
  <c r="J46" i="4"/>
  <c r="Q45" i="4"/>
  <c r="X43" i="4"/>
  <c r="H43" i="4"/>
  <c r="O42" i="4"/>
  <c r="V39" i="4"/>
  <c r="F39" i="4"/>
  <c r="M38" i="4"/>
  <c r="T36" i="4"/>
  <c r="D36" i="4"/>
  <c r="K35" i="4"/>
  <c r="R32" i="4"/>
  <c r="Y31" i="4"/>
  <c r="I31" i="4"/>
  <c r="P29" i="4"/>
  <c r="W28" i="4"/>
  <c r="G28" i="4"/>
  <c r="N25" i="4"/>
  <c r="U24" i="4"/>
  <c r="E24" i="4"/>
  <c r="L22" i="4"/>
  <c r="S21" i="4"/>
  <c r="C21" i="4"/>
  <c r="J18" i="4"/>
  <c r="Q17" i="4"/>
  <c r="X15" i="4"/>
  <c r="H15" i="4"/>
  <c r="O14" i="4"/>
  <c r="V11" i="4"/>
  <c r="F11" i="4"/>
  <c r="M10" i="4"/>
  <c r="T8" i="4"/>
  <c r="D8" i="4"/>
  <c r="K7" i="4"/>
  <c r="T25" i="3"/>
  <c r="D25" i="3"/>
  <c r="M24" i="3"/>
  <c r="V23" i="3"/>
  <c r="F23" i="3"/>
  <c r="O21" i="3"/>
  <c r="X20" i="3"/>
  <c r="H20" i="3"/>
  <c r="Q19" i="3"/>
  <c r="Z18" i="3"/>
  <c r="J18" i="3"/>
  <c r="S17" i="3"/>
  <c r="C17" i="3"/>
  <c r="L16" i="3"/>
  <c r="U15" i="3"/>
  <c r="E15" i="3"/>
  <c r="N14" i="3"/>
  <c r="W12" i="3"/>
  <c r="G12" i="3"/>
  <c r="P11" i="3"/>
  <c r="Y10" i="3"/>
  <c r="I10" i="3"/>
  <c r="R9" i="3"/>
  <c r="AA8" i="3"/>
  <c r="K8" i="3"/>
  <c r="T7" i="3"/>
  <c r="D7" i="3"/>
  <c r="M6" i="3"/>
  <c r="T25" i="2"/>
  <c r="D25" i="2"/>
  <c r="K24" i="2"/>
  <c r="R23" i="2"/>
  <c r="Y21" i="2"/>
  <c r="I21" i="2"/>
  <c r="P20" i="2"/>
  <c r="W18" i="2"/>
  <c r="G18" i="2"/>
  <c r="N16" i="2"/>
  <c r="U14" i="2"/>
  <c r="E14" i="2"/>
  <c r="L13" i="2"/>
  <c r="S12" i="2"/>
  <c r="C12" i="2"/>
  <c r="J10" i="2"/>
  <c r="K15" i="11"/>
  <c r="C36" i="10"/>
  <c r="H25" i="10"/>
  <c r="N19" i="10"/>
  <c r="T15" i="10"/>
  <c r="D12" i="10"/>
  <c r="J8" i="10"/>
  <c r="F32" i="9"/>
  <c r="J30" i="9"/>
  <c r="N28" i="9"/>
  <c r="O22" i="9"/>
  <c r="O19" i="9"/>
  <c r="W17" i="9"/>
  <c r="I15" i="9"/>
  <c r="U13" i="9"/>
  <c r="K11" i="9"/>
  <c r="X9" i="9"/>
  <c r="O8" i="9"/>
  <c r="E7" i="9"/>
  <c r="V14" i="8"/>
  <c r="T13" i="8"/>
  <c r="S12" i="8"/>
  <c r="S10" i="8"/>
  <c r="R9" i="8"/>
  <c r="P8" i="8"/>
  <c r="Q7" i="8"/>
  <c r="S6" i="8"/>
  <c r="T27" i="7"/>
  <c r="V26" i="7"/>
  <c r="X25" i="7"/>
  <c r="Y23" i="7"/>
  <c r="D23" i="7"/>
  <c r="F22" i="7"/>
  <c r="G20" i="7"/>
  <c r="I19" i="7"/>
  <c r="K18" i="7"/>
  <c r="L17" i="7"/>
  <c r="N16" i="7"/>
  <c r="P15" i="7"/>
  <c r="R14" i="7"/>
  <c r="U13" i="7"/>
  <c r="Y12" i="7"/>
  <c r="F12" i="7"/>
  <c r="H11" i="7"/>
  <c r="K8" i="7"/>
  <c r="O7" i="7"/>
  <c r="S6" i="7"/>
  <c r="W58" i="6"/>
  <c r="E58" i="6"/>
  <c r="J57" i="6"/>
  <c r="O56" i="6"/>
  <c r="T55" i="6"/>
  <c r="C55" i="6"/>
  <c r="G53" i="6"/>
  <c r="L52" i="6"/>
  <c r="Q51" i="6"/>
  <c r="V49" i="6"/>
  <c r="E49" i="6"/>
  <c r="J48" i="6"/>
  <c r="O47" i="6"/>
  <c r="T46" i="6"/>
  <c r="C46" i="6"/>
  <c r="H44" i="6"/>
  <c r="N43" i="6"/>
  <c r="T42" i="6"/>
  <c r="D42" i="6"/>
  <c r="J41" i="6"/>
  <c r="P39" i="6"/>
  <c r="V38" i="6"/>
  <c r="F38" i="6"/>
  <c r="L37" i="6"/>
  <c r="R36" i="6"/>
  <c r="X34" i="6"/>
  <c r="H34" i="6"/>
  <c r="N33" i="6"/>
  <c r="T32" i="6"/>
  <c r="D32" i="6"/>
  <c r="J31" i="6"/>
  <c r="P29" i="6"/>
  <c r="V28" i="6"/>
  <c r="F28" i="6"/>
  <c r="L27" i="6"/>
  <c r="R26" i="6"/>
  <c r="X24" i="6"/>
  <c r="H24" i="6"/>
  <c r="N23" i="6"/>
  <c r="T22" i="6"/>
  <c r="D22" i="6"/>
  <c r="J21" i="6"/>
  <c r="P19" i="6"/>
  <c r="V18" i="6"/>
  <c r="F18" i="6"/>
  <c r="L17" i="6"/>
  <c r="R16" i="6"/>
  <c r="X14" i="6"/>
  <c r="H14" i="6"/>
  <c r="N13" i="6"/>
  <c r="T12" i="6"/>
  <c r="D12" i="6"/>
  <c r="J11" i="6"/>
  <c r="P9" i="6"/>
  <c r="V8" i="6"/>
  <c r="F8" i="6"/>
  <c r="L7" i="6"/>
  <c r="R6" i="6"/>
  <c r="X34" i="5"/>
  <c r="H34" i="5"/>
  <c r="N33" i="5"/>
  <c r="T32" i="5"/>
  <c r="D32" i="5"/>
  <c r="J31" i="5"/>
  <c r="P30" i="5"/>
  <c r="V25" i="5"/>
  <c r="F25" i="5"/>
  <c r="L24" i="5"/>
  <c r="R23" i="5"/>
  <c r="X21" i="5"/>
  <c r="H21" i="5"/>
  <c r="N20" i="5"/>
  <c r="T19" i="5"/>
  <c r="D19" i="5"/>
  <c r="J18" i="5"/>
  <c r="P17" i="5"/>
  <c r="V15" i="5"/>
  <c r="F15" i="5"/>
  <c r="L14" i="5"/>
  <c r="R13" i="5"/>
  <c r="X11" i="5"/>
  <c r="H11" i="5"/>
  <c r="N10" i="5"/>
  <c r="T9" i="5"/>
  <c r="D9" i="5"/>
  <c r="J8" i="5"/>
  <c r="P7" i="5"/>
  <c r="V6" i="5"/>
  <c r="F6" i="5"/>
  <c r="M53" i="4"/>
  <c r="T52" i="4"/>
  <c r="D52" i="4"/>
  <c r="K50" i="4"/>
  <c r="R49" i="4"/>
  <c r="Y46" i="4"/>
  <c r="I46" i="4"/>
  <c r="P45" i="4"/>
  <c r="W43" i="4"/>
  <c r="G43" i="4"/>
  <c r="N42" i="4"/>
  <c r="U39" i="4"/>
  <c r="E39" i="4"/>
  <c r="L38" i="4"/>
  <c r="S36" i="4"/>
  <c r="C36" i="4"/>
  <c r="J35" i="4"/>
  <c r="Q32" i="4"/>
  <c r="X31" i="4"/>
  <c r="H31" i="4"/>
  <c r="O29" i="4"/>
  <c r="V28" i="4"/>
  <c r="F28" i="4"/>
  <c r="M25" i="4"/>
  <c r="T24" i="4"/>
  <c r="D24" i="4"/>
  <c r="K22" i="4"/>
  <c r="R21" i="4"/>
  <c r="Y18" i="4"/>
  <c r="I18" i="4"/>
  <c r="P17" i="4"/>
  <c r="W15" i="4"/>
  <c r="G15" i="4"/>
  <c r="N14" i="4"/>
  <c r="K75" i="10"/>
  <c r="T34" i="10"/>
  <c r="U24" i="10"/>
  <c r="J19" i="10"/>
  <c r="Q15" i="10"/>
  <c r="V11" i="10"/>
  <c r="F8" i="10"/>
  <c r="E32" i="9"/>
  <c r="H30" i="9"/>
  <c r="K28" i="9"/>
  <c r="J22" i="9"/>
  <c r="N19" i="9"/>
  <c r="V17" i="9"/>
  <c r="H15" i="9"/>
  <c r="R13" i="9"/>
  <c r="I11" i="9"/>
  <c r="W9" i="9"/>
  <c r="M8" i="9"/>
  <c r="D7" i="9"/>
  <c r="T14" i="8"/>
  <c r="S13" i="8"/>
  <c r="R12" i="8"/>
  <c r="P10" i="8"/>
  <c r="P9" i="8"/>
  <c r="O8" i="8"/>
  <c r="P7" i="8"/>
  <c r="R6" i="8"/>
  <c r="R27" i="7"/>
  <c r="U26" i="7"/>
  <c r="W25" i="7"/>
  <c r="W23" i="7"/>
  <c r="C23" i="7"/>
  <c r="E22" i="7"/>
  <c r="E20" i="7"/>
  <c r="H19" i="7"/>
  <c r="J18" i="7"/>
  <c r="J17" i="7"/>
  <c r="M16" i="7"/>
  <c r="O15" i="7"/>
  <c r="Q14" i="7"/>
  <c r="T13" i="7"/>
  <c r="X12" i="7"/>
  <c r="E12" i="7"/>
  <c r="G11" i="7"/>
  <c r="J8" i="7"/>
  <c r="N7" i="7"/>
  <c r="R6" i="7"/>
  <c r="V58" i="6"/>
  <c r="D58" i="6"/>
  <c r="I57" i="6"/>
  <c r="N56" i="6"/>
  <c r="S55" i="6"/>
  <c r="W53" i="6"/>
  <c r="F53" i="6"/>
  <c r="K52" i="6"/>
  <c r="P51" i="6"/>
  <c r="U49" i="6"/>
  <c r="D49" i="6"/>
  <c r="I48" i="6"/>
  <c r="N47" i="6"/>
  <c r="S46" i="6"/>
  <c r="X44" i="6"/>
  <c r="G44" i="6"/>
  <c r="M43" i="6"/>
  <c r="S42" i="6"/>
  <c r="C42" i="6"/>
  <c r="I41" i="6"/>
  <c r="O39" i="6"/>
  <c r="U38" i="6"/>
  <c r="E38" i="6"/>
  <c r="K37" i="6"/>
  <c r="Q36" i="6"/>
  <c r="W34" i="6"/>
  <c r="G34" i="6"/>
  <c r="M33" i="6"/>
  <c r="S32" i="6"/>
  <c r="C32" i="6"/>
  <c r="I31" i="6"/>
  <c r="O29" i="6"/>
  <c r="U28" i="6"/>
  <c r="E28" i="6"/>
  <c r="K27" i="6"/>
  <c r="Q26" i="6"/>
  <c r="W24" i="6"/>
  <c r="G24" i="6"/>
  <c r="M23" i="6"/>
  <c r="S22" i="6"/>
  <c r="C22" i="6"/>
  <c r="I21" i="6"/>
  <c r="O19" i="6"/>
  <c r="U18" i="6"/>
  <c r="E18" i="6"/>
  <c r="K17" i="6"/>
  <c r="Q16" i="6"/>
  <c r="W14" i="6"/>
  <c r="G14" i="6"/>
  <c r="M13" i="6"/>
  <c r="S12" i="6"/>
  <c r="C12" i="6"/>
  <c r="I11" i="6"/>
  <c r="O9" i="6"/>
  <c r="U8" i="6"/>
  <c r="E8" i="6"/>
  <c r="K7" i="6"/>
  <c r="Q6" i="6"/>
  <c r="W34" i="5"/>
  <c r="G34" i="5"/>
  <c r="M33" i="5"/>
  <c r="S32" i="5"/>
  <c r="C32" i="5"/>
  <c r="Y69" i="10"/>
  <c r="T33" i="10"/>
  <c r="P24" i="10"/>
  <c r="Y18" i="10"/>
  <c r="F15" i="10"/>
  <c r="N11" i="10"/>
  <c r="T7" i="10"/>
  <c r="D32" i="9"/>
  <c r="F30" i="9"/>
  <c r="G28" i="9"/>
  <c r="I22" i="9"/>
  <c r="L19" i="9"/>
  <c r="T17" i="9"/>
  <c r="F15" i="9"/>
  <c r="Q13" i="9"/>
  <c r="G11" i="9"/>
  <c r="T9" i="9"/>
  <c r="L8" i="9"/>
  <c r="C7" i="9"/>
  <c r="Q14" i="8"/>
  <c r="Q13" i="8"/>
  <c r="Q12" i="8"/>
  <c r="O10" i="8"/>
  <c r="O9" i="8"/>
  <c r="M8" i="8"/>
  <c r="O7" i="8"/>
  <c r="O6" i="8"/>
  <c r="Q27" i="7"/>
  <c r="T26" i="7"/>
  <c r="T25" i="7"/>
  <c r="V23" i="7"/>
  <c r="Y22" i="7"/>
  <c r="Y20" i="7"/>
  <c r="D20" i="7"/>
  <c r="G19" i="7"/>
  <c r="G18" i="7"/>
  <c r="I17" i="7"/>
  <c r="L16" i="7"/>
  <c r="L15" i="7"/>
  <c r="O14" i="7"/>
  <c r="S13" i="7"/>
  <c r="W12" i="7"/>
  <c r="D12" i="7"/>
  <c r="F11" i="7"/>
  <c r="I8" i="7"/>
  <c r="M7" i="7"/>
  <c r="Q6" i="7"/>
  <c r="T58" i="6"/>
  <c r="C58" i="6"/>
  <c r="H57" i="6"/>
  <c r="M56" i="6"/>
  <c r="Q55" i="6"/>
  <c r="V53" i="6"/>
  <c r="E53" i="6"/>
  <c r="J52" i="6"/>
  <c r="O51" i="6"/>
  <c r="T49" i="6"/>
  <c r="C49" i="6"/>
  <c r="H48" i="6"/>
  <c r="M47" i="6"/>
  <c r="R46" i="6"/>
  <c r="W44" i="6"/>
  <c r="F44" i="6"/>
  <c r="L43" i="6"/>
  <c r="R42" i="6"/>
  <c r="X41" i="6"/>
  <c r="H41" i="6"/>
  <c r="N39" i="6"/>
  <c r="T38" i="6"/>
  <c r="D38" i="6"/>
  <c r="J37" i="6"/>
  <c r="P36" i="6"/>
  <c r="V34" i="6"/>
  <c r="F34" i="6"/>
  <c r="L33" i="6"/>
  <c r="R32" i="6"/>
  <c r="X31" i="6"/>
  <c r="H31" i="6"/>
  <c r="N29" i="6"/>
  <c r="T28" i="6"/>
  <c r="D28" i="6"/>
  <c r="J27" i="6"/>
  <c r="P26" i="6"/>
  <c r="V24" i="6"/>
  <c r="F24" i="6"/>
  <c r="L23" i="6"/>
  <c r="R22" i="6"/>
  <c r="X21" i="6"/>
  <c r="H21" i="6"/>
  <c r="N19" i="6"/>
  <c r="T18" i="6"/>
  <c r="D18" i="6"/>
  <c r="J17" i="6"/>
  <c r="P16" i="6"/>
  <c r="V14" i="6"/>
  <c r="F14" i="6"/>
  <c r="L13" i="6"/>
  <c r="R12" i="6"/>
  <c r="X11" i="6"/>
  <c r="H11" i="6"/>
  <c r="N9" i="6"/>
  <c r="T8" i="6"/>
  <c r="D8" i="6"/>
  <c r="J7" i="6"/>
  <c r="P6" i="6"/>
  <c r="V34" i="5"/>
  <c r="F34" i="5"/>
  <c r="L33" i="5"/>
  <c r="R32" i="5"/>
  <c r="X31" i="5"/>
  <c r="H31" i="5"/>
  <c r="N30" i="5"/>
  <c r="T25" i="5"/>
  <c r="D25" i="5"/>
  <c r="J24" i="5"/>
  <c r="P23" i="5"/>
  <c r="V21" i="5"/>
  <c r="F21" i="5"/>
  <c r="L20" i="5"/>
  <c r="R19" i="5"/>
  <c r="X18" i="5"/>
  <c r="H18" i="5"/>
  <c r="N17" i="5"/>
  <c r="T15" i="5"/>
  <c r="D15" i="5"/>
  <c r="J14" i="5"/>
  <c r="P13" i="5"/>
  <c r="V11" i="5"/>
  <c r="F11" i="5"/>
  <c r="L10" i="5"/>
  <c r="R9" i="5"/>
  <c r="X8" i="5"/>
  <c r="H8" i="5"/>
  <c r="N7" i="5"/>
  <c r="J66" i="10"/>
  <c r="O32" i="10"/>
  <c r="E24" i="10"/>
  <c r="Q18" i="10"/>
  <c r="Y14" i="10"/>
  <c r="H11" i="10"/>
  <c r="N7" i="10"/>
  <c r="W31" i="9"/>
  <c r="C30" i="9"/>
  <c r="X23" i="9"/>
  <c r="H22" i="9"/>
  <c r="J19" i="9"/>
  <c r="R17" i="9"/>
  <c r="E15" i="9"/>
  <c r="O13" i="9"/>
  <c r="X10" i="9"/>
  <c r="R9" i="9"/>
  <c r="K8" i="9"/>
  <c r="W6" i="9"/>
  <c r="P14" i="8"/>
  <c r="O13" i="8"/>
  <c r="N12" i="8"/>
  <c r="N10" i="8"/>
  <c r="N9" i="8"/>
  <c r="L8" i="8"/>
  <c r="M7" i="8"/>
  <c r="N6" i="8"/>
  <c r="P27" i="7"/>
  <c r="R26" i="7"/>
  <c r="S25" i="7"/>
  <c r="U23" i="7"/>
  <c r="W22" i="7"/>
  <c r="X20" i="7"/>
  <c r="C20" i="7"/>
  <c r="E19" i="7"/>
  <c r="F18" i="7"/>
  <c r="H17" i="7"/>
  <c r="J16" i="7"/>
  <c r="K15" i="7"/>
  <c r="N14" i="7"/>
  <c r="R13" i="7"/>
  <c r="V12" i="7"/>
  <c r="X11" i="7"/>
  <c r="D11" i="7"/>
  <c r="H8" i="7"/>
  <c r="L7" i="7"/>
  <c r="P6" i="7"/>
  <c r="S58" i="6"/>
  <c r="X57" i="6"/>
  <c r="G57" i="6"/>
  <c r="K56" i="6"/>
  <c r="P55" i="6"/>
  <c r="U53" i="6"/>
  <c r="D53" i="6"/>
  <c r="I52" i="6"/>
  <c r="N51" i="6"/>
  <c r="S49" i="6"/>
  <c r="X48" i="6"/>
  <c r="G48" i="6"/>
  <c r="L47" i="6"/>
  <c r="Q46" i="6"/>
  <c r="V44" i="6"/>
  <c r="E44" i="6"/>
  <c r="K43" i="6"/>
  <c r="Q42" i="6"/>
  <c r="W41" i="6"/>
  <c r="G41" i="6"/>
  <c r="M39" i="6"/>
  <c r="S38" i="6"/>
  <c r="C38" i="6"/>
  <c r="I37" i="6"/>
  <c r="O36" i="6"/>
  <c r="U34" i="6"/>
  <c r="E34" i="6"/>
  <c r="K33" i="6"/>
  <c r="Q32" i="6"/>
  <c r="W31" i="6"/>
  <c r="G31" i="6"/>
  <c r="M29" i="6"/>
  <c r="S28" i="6"/>
  <c r="C28" i="6"/>
  <c r="I27" i="6"/>
  <c r="O26" i="6"/>
  <c r="U24" i="6"/>
  <c r="E24" i="6"/>
  <c r="K23" i="6"/>
  <c r="Q22" i="6"/>
  <c r="W21" i="6"/>
  <c r="G21" i="6"/>
  <c r="M19" i="6"/>
  <c r="S18" i="6"/>
  <c r="C18" i="6"/>
  <c r="I17" i="6"/>
  <c r="O16" i="6"/>
  <c r="U14" i="6"/>
  <c r="E14" i="6"/>
  <c r="K13" i="6"/>
  <c r="Q12" i="6"/>
  <c r="W11" i="6"/>
  <c r="G11" i="6"/>
  <c r="M9" i="6"/>
  <c r="S8" i="6"/>
  <c r="C8" i="6"/>
  <c r="I7" i="6"/>
  <c r="O6" i="6"/>
  <c r="U34" i="5"/>
  <c r="E34" i="5"/>
  <c r="K33" i="5"/>
  <c r="Q32" i="5"/>
  <c r="W31" i="5"/>
  <c r="G31" i="5"/>
  <c r="M30" i="5"/>
  <c r="S25" i="5"/>
  <c r="C25" i="5"/>
  <c r="I24" i="5"/>
  <c r="O23" i="5"/>
  <c r="U21" i="5"/>
  <c r="E21" i="5"/>
  <c r="K20" i="5"/>
  <c r="Q19" i="5"/>
  <c r="W18" i="5"/>
  <c r="G18" i="5"/>
  <c r="M17" i="5"/>
  <c r="S15" i="5"/>
  <c r="C15" i="5"/>
  <c r="I14" i="5"/>
  <c r="O13" i="5"/>
  <c r="U11" i="5"/>
  <c r="E11" i="5"/>
  <c r="K10" i="5"/>
  <c r="Q9" i="5"/>
  <c r="W8" i="5"/>
  <c r="G8" i="5"/>
  <c r="M7" i="5"/>
  <c r="S6" i="5"/>
  <c r="C6" i="5"/>
  <c r="J53" i="4"/>
  <c r="Q52" i="4"/>
  <c r="X50" i="4"/>
  <c r="H50" i="4"/>
  <c r="O49" i="4"/>
  <c r="V46" i="4"/>
  <c r="F46" i="4"/>
  <c r="M45" i="4"/>
  <c r="T43" i="4"/>
  <c r="D43" i="4"/>
  <c r="K42" i="4"/>
  <c r="R39" i="4"/>
  <c r="Y38" i="4"/>
  <c r="I38" i="4"/>
  <c r="P36" i="4"/>
  <c r="W35" i="4"/>
  <c r="G35" i="4"/>
  <c r="N32" i="4"/>
  <c r="U31" i="4"/>
  <c r="E31" i="4"/>
  <c r="L29" i="4"/>
  <c r="S28" i="4"/>
  <c r="C28" i="4"/>
  <c r="J25" i="4"/>
  <c r="Q24" i="4"/>
  <c r="X22" i="4"/>
  <c r="H22" i="4"/>
  <c r="O21" i="4"/>
  <c r="V18" i="4"/>
  <c r="F18" i="4"/>
  <c r="M17" i="4"/>
  <c r="T15" i="4"/>
  <c r="D15" i="4"/>
  <c r="K14" i="4"/>
  <c r="R11" i="4"/>
  <c r="Y10" i="4"/>
  <c r="I10" i="4"/>
  <c r="P8" i="4"/>
  <c r="W7" i="4"/>
  <c r="G7" i="4"/>
  <c r="P25" i="3"/>
  <c r="Y24" i="3"/>
  <c r="I24" i="3"/>
  <c r="R23" i="3"/>
  <c r="T59" i="10"/>
  <c r="N31" i="10"/>
  <c r="Q23" i="10"/>
  <c r="O18" i="10"/>
  <c r="V14" i="10"/>
  <c r="E11" i="10"/>
  <c r="L7" i="10"/>
  <c r="T31" i="9"/>
  <c r="W29" i="9"/>
  <c r="W23" i="9"/>
  <c r="E22" i="9"/>
  <c r="G19" i="9"/>
  <c r="O17" i="9"/>
  <c r="C15" i="9"/>
  <c r="L13" i="9"/>
  <c r="W10" i="9"/>
  <c r="O9" i="9"/>
  <c r="H8" i="9"/>
  <c r="V6" i="9"/>
  <c r="O14" i="8"/>
  <c r="N13" i="8"/>
  <c r="M12" i="8"/>
  <c r="L10" i="8"/>
  <c r="K9" i="8"/>
  <c r="K8" i="8"/>
  <c r="L7" i="8"/>
  <c r="M6" i="8"/>
  <c r="O27" i="7"/>
  <c r="Q26" i="7"/>
  <c r="R25" i="7"/>
  <c r="T23" i="7"/>
  <c r="V22" i="7"/>
  <c r="W20" i="7"/>
  <c r="Y19" i="7"/>
  <c r="D19" i="7"/>
  <c r="E18" i="7"/>
  <c r="G17" i="7"/>
  <c r="I16" i="7"/>
  <c r="J15" i="7"/>
  <c r="M14" i="7"/>
  <c r="Q13" i="7"/>
  <c r="U12" i="7"/>
  <c r="W11" i="7"/>
  <c r="C11" i="7"/>
  <c r="G8" i="7"/>
  <c r="K7" i="7"/>
  <c r="N6" i="7"/>
  <c r="R58" i="6"/>
  <c r="W57" i="6"/>
  <c r="E57" i="6"/>
  <c r="J56" i="6"/>
  <c r="O55" i="6"/>
  <c r="T53" i="6"/>
  <c r="C53" i="6"/>
  <c r="H52" i="6"/>
  <c r="M51" i="6"/>
  <c r="R49" i="6"/>
  <c r="W48" i="6"/>
  <c r="F48" i="6"/>
  <c r="K47" i="6"/>
  <c r="P46" i="6"/>
  <c r="U44" i="6"/>
  <c r="D44" i="6"/>
  <c r="J43" i="6"/>
  <c r="P42" i="6"/>
  <c r="V41" i="6"/>
  <c r="F41" i="6"/>
  <c r="L39" i="6"/>
  <c r="R38" i="6"/>
  <c r="X37" i="6"/>
  <c r="H37" i="6"/>
  <c r="N36" i="6"/>
  <c r="T34" i="6"/>
  <c r="D34" i="6"/>
  <c r="J33" i="6"/>
  <c r="P32" i="6"/>
  <c r="V31" i="6"/>
  <c r="F31" i="6"/>
  <c r="L29" i="6"/>
  <c r="R28" i="6"/>
  <c r="X27" i="6"/>
  <c r="H27" i="6"/>
  <c r="N26" i="6"/>
  <c r="T24" i="6"/>
  <c r="D24" i="6"/>
  <c r="J23" i="6"/>
  <c r="P22" i="6"/>
  <c r="V21" i="6"/>
  <c r="F21" i="6"/>
  <c r="L19" i="6"/>
  <c r="R18" i="6"/>
  <c r="X17" i="6"/>
  <c r="H17" i="6"/>
  <c r="N16" i="6"/>
  <c r="T14" i="6"/>
  <c r="D14" i="6"/>
  <c r="J13" i="6"/>
  <c r="P12" i="6"/>
  <c r="V11" i="6"/>
  <c r="F11" i="6"/>
  <c r="L9" i="6"/>
  <c r="R8" i="6"/>
  <c r="X7" i="6"/>
  <c r="H7" i="6"/>
  <c r="N6" i="6"/>
  <c r="T34" i="5"/>
  <c r="D34" i="5"/>
  <c r="J33" i="5"/>
  <c r="P32" i="5"/>
  <c r="V31" i="5"/>
  <c r="F31" i="5"/>
  <c r="L30" i="5"/>
  <c r="R25" i="5"/>
  <c r="X24" i="5"/>
  <c r="H24" i="5"/>
  <c r="N23" i="5"/>
  <c r="T21" i="5"/>
  <c r="D21" i="5"/>
  <c r="J20" i="5"/>
  <c r="P19" i="5"/>
  <c r="V18" i="5"/>
  <c r="F18" i="5"/>
  <c r="L17" i="5"/>
  <c r="R15" i="5"/>
  <c r="X14" i="5"/>
  <c r="H14" i="5"/>
  <c r="N13" i="5"/>
  <c r="T11" i="5"/>
  <c r="D11" i="5"/>
  <c r="J10" i="5"/>
  <c r="P9" i="5"/>
  <c r="V8" i="5"/>
  <c r="F8" i="5"/>
  <c r="L7" i="5"/>
  <c r="R6" i="5"/>
  <c r="Y53" i="4"/>
  <c r="I53" i="4"/>
  <c r="P52" i="4"/>
  <c r="W50" i="4"/>
  <c r="G50" i="4"/>
  <c r="N49" i="4"/>
  <c r="U46" i="4"/>
  <c r="E46" i="4"/>
  <c r="L45" i="4"/>
  <c r="S43" i="4"/>
  <c r="C43" i="4"/>
  <c r="J42" i="4"/>
  <c r="Q39" i="4"/>
  <c r="X38" i="4"/>
  <c r="H38" i="4"/>
  <c r="O36" i="4"/>
  <c r="V35" i="4"/>
  <c r="F35" i="4"/>
  <c r="M32" i="4"/>
  <c r="T31" i="4"/>
  <c r="D31" i="4"/>
  <c r="K29" i="4"/>
  <c r="R28" i="4"/>
  <c r="Y25" i="4"/>
  <c r="I25" i="4"/>
  <c r="P24" i="4"/>
  <c r="W22" i="4"/>
  <c r="G22" i="4"/>
  <c r="N21" i="4"/>
  <c r="U18" i="4"/>
  <c r="E18" i="4"/>
  <c r="L17" i="4"/>
  <c r="S15" i="4"/>
  <c r="C15" i="4"/>
  <c r="J14" i="4"/>
  <c r="Q11" i="4"/>
  <c r="X10" i="4"/>
  <c r="H10" i="4"/>
  <c r="O8" i="4"/>
  <c r="V7" i="4"/>
  <c r="F7" i="4"/>
  <c r="O25" i="3"/>
  <c r="X24" i="3"/>
  <c r="H24" i="3"/>
  <c r="Q23" i="3"/>
  <c r="Z21" i="3"/>
  <c r="J21" i="3"/>
  <c r="S20" i="3"/>
  <c r="C20" i="3"/>
  <c r="L19" i="3"/>
  <c r="U18" i="3"/>
  <c r="E18" i="3"/>
  <c r="N17" i="3"/>
  <c r="W16" i="3"/>
  <c r="G16" i="3"/>
  <c r="P15" i="3"/>
  <c r="Y14" i="3"/>
  <c r="I14" i="3"/>
  <c r="R12" i="3"/>
  <c r="AA11" i="3"/>
  <c r="K11" i="3"/>
  <c r="T10" i="3"/>
  <c r="D10" i="3"/>
  <c r="M9" i="3"/>
  <c r="V8" i="3"/>
  <c r="F8" i="3"/>
  <c r="O7" i="3"/>
  <c r="X6" i="3"/>
  <c r="H6" i="3"/>
  <c r="O25" i="2"/>
  <c r="V24" i="2"/>
  <c r="F24" i="2"/>
  <c r="M23" i="2"/>
  <c r="T21" i="2"/>
  <c r="D21" i="2"/>
  <c r="K20" i="2"/>
  <c r="R18" i="2"/>
  <c r="Y16" i="2"/>
  <c r="I16" i="2"/>
  <c r="P14" i="2"/>
  <c r="W13" i="2"/>
  <c r="G13" i="2"/>
  <c r="N12" i="2"/>
  <c r="U10" i="2"/>
  <c r="E10" i="2"/>
  <c r="L9" i="2"/>
  <c r="S8" i="2"/>
  <c r="C8" i="2"/>
  <c r="J7" i="2"/>
  <c r="Q6" i="2"/>
  <c r="U24" i="2"/>
  <c r="L23" i="2"/>
  <c r="Q18" i="2"/>
  <c r="X16" i="2"/>
  <c r="H16" i="2"/>
  <c r="O14" i="2"/>
  <c r="V13" i="2"/>
  <c r="F13" i="2"/>
  <c r="M12" i="2"/>
  <c r="T10" i="2"/>
  <c r="D10" i="2"/>
  <c r="K9" i="2"/>
  <c r="R8" i="2"/>
  <c r="Y7" i="2"/>
  <c r="I7" i="2"/>
  <c r="P6" i="2"/>
  <c r="D11" i="6"/>
  <c r="J9" i="6"/>
  <c r="V7" i="6"/>
  <c r="F7" i="6"/>
  <c r="X33" i="5"/>
  <c r="N32" i="5"/>
  <c r="P25" i="5"/>
  <c r="L23" i="5"/>
  <c r="X20" i="5"/>
  <c r="T18" i="5"/>
  <c r="U50" i="4"/>
  <c r="C46" i="4"/>
  <c r="Q43" i="4"/>
  <c r="D35" i="4"/>
  <c r="V54" i="10"/>
  <c r="K30" i="10"/>
  <c r="M23" i="10"/>
  <c r="L18" i="10"/>
  <c r="Q14" i="10"/>
  <c r="X10" i="10"/>
  <c r="I7" i="10"/>
  <c r="Q31" i="9"/>
  <c r="P29" i="9"/>
  <c r="V23" i="9"/>
  <c r="X21" i="9"/>
  <c r="E19" i="9"/>
  <c r="K17" i="9"/>
  <c r="U14" i="9"/>
  <c r="K13" i="9"/>
  <c r="V10" i="9"/>
  <c r="L9" i="9"/>
  <c r="E8" i="9"/>
  <c r="U6" i="9"/>
  <c r="M14" i="8"/>
  <c r="L13" i="8"/>
  <c r="L12" i="8"/>
  <c r="K10" i="8"/>
  <c r="I9" i="8"/>
  <c r="I8" i="8"/>
  <c r="K7" i="8"/>
  <c r="K6" i="8"/>
  <c r="N27" i="7"/>
  <c r="P26" i="7"/>
  <c r="P25" i="7"/>
  <c r="S23" i="7"/>
  <c r="U22" i="7"/>
  <c r="U20" i="7"/>
  <c r="X19" i="7"/>
  <c r="C19" i="7"/>
  <c r="C18" i="7"/>
  <c r="F17" i="7"/>
  <c r="H16" i="7"/>
  <c r="H15" i="7"/>
  <c r="L14" i="7"/>
  <c r="P13" i="7"/>
  <c r="T12" i="7"/>
  <c r="V11" i="7"/>
  <c r="Y8" i="7"/>
  <c r="F8" i="7"/>
  <c r="J7" i="7"/>
  <c r="M6" i="7"/>
  <c r="Q58" i="6"/>
  <c r="U57" i="6"/>
  <c r="D57" i="6"/>
  <c r="I56" i="6"/>
  <c r="N55" i="6"/>
  <c r="S53" i="6"/>
  <c r="X52" i="6"/>
  <c r="G52" i="6"/>
  <c r="L51" i="6"/>
  <c r="Q49" i="6"/>
  <c r="V48" i="6"/>
  <c r="E48" i="6"/>
  <c r="J47" i="6"/>
  <c r="O46" i="6"/>
  <c r="T44" i="6"/>
  <c r="C44" i="6"/>
  <c r="I43" i="6"/>
  <c r="O42" i="6"/>
  <c r="U41" i="6"/>
  <c r="E41" i="6"/>
  <c r="K39" i="6"/>
  <c r="Q38" i="6"/>
  <c r="W37" i="6"/>
  <c r="G37" i="6"/>
  <c r="M36" i="6"/>
  <c r="S34" i="6"/>
  <c r="C34" i="6"/>
  <c r="I33" i="6"/>
  <c r="O32" i="6"/>
  <c r="U31" i="6"/>
  <c r="E31" i="6"/>
  <c r="K29" i="6"/>
  <c r="Q28" i="6"/>
  <c r="W27" i="6"/>
  <c r="G27" i="6"/>
  <c r="M26" i="6"/>
  <c r="S24" i="6"/>
  <c r="C24" i="6"/>
  <c r="I23" i="6"/>
  <c r="O22" i="6"/>
  <c r="U21" i="6"/>
  <c r="E21" i="6"/>
  <c r="K19" i="6"/>
  <c r="Q18" i="6"/>
  <c r="W17" i="6"/>
  <c r="G17" i="6"/>
  <c r="M16" i="6"/>
  <c r="S14" i="6"/>
  <c r="C14" i="6"/>
  <c r="I13" i="6"/>
  <c r="O12" i="6"/>
  <c r="U11" i="6"/>
  <c r="E11" i="6"/>
  <c r="K9" i="6"/>
  <c r="Q8" i="6"/>
  <c r="W7" i="6"/>
  <c r="G7" i="6"/>
  <c r="M6" i="6"/>
  <c r="S34" i="5"/>
  <c r="C34" i="5"/>
  <c r="I33" i="5"/>
  <c r="O32" i="5"/>
  <c r="U31" i="5"/>
  <c r="E31" i="5"/>
  <c r="K30" i="5"/>
  <c r="Q25" i="5"/>
  <c r="W24" i="5"/>
  <c r="G24" i="5"/>
  <c r="M23" i="5"/>
  <c r="S21" i="5"/>
  <c r="C21" i="5"/>
  <c r="I20" i="5"/>
  <c r="O19" i="5"/>
  <c r="U18" i="5"/>
  <c r="E18" i="5"/>
  <c r="K17" i="5"/>
  <c r="Q15" i="5"/>
  <c r="W14" i="5"/>
  <c r="G14" i="5"/>
  <c r="M13" i="5"/>
  <c r="S11" i="5"/>
  <c r="C11" i="5"/>
  <c r="I10" i="5"/>
  <c r="O9" i="5"/>
  <c r="U8" i="5"/>
  <c r="E8" i="5"/>
  <c r="K7" i="5"/>
  <c r="Q6" i="5"/>
  <c r="X53" i="4"/>
  <c r="H53" i="4"/>
  <c r="O52" i="4"/>
  <c r="V50" i="4"/>
  <c r="F50" i="4"/>
  <c r="M49" i="4"/>
  <c r="T46" i="4"/>
  <c r="D46" i="4"/>
  <c r="K45" i="4"/>
  <c r="R43" i="4"/>
  <c r="Y42" i="4"/>
  <c r="I42" i="4"/>
  <c r="P39" i="4"/>
  <c r="W38" i="4"/>
  <c r="G38" i="4"/>
  <c r="N36" i="4"/>
  <c r="U35" i="4"/>
  <c r="E35" i="4"/>
  <c r="L32" i="4"/>
  <c r="S31" i="4"/>
  <c r="C31" i="4"/>
  <c r="J29" i="4"/>
  <c r="Q28" i="4"/>
  <c r="X25" i="4"/>
  <c r="H25" i="4"/>
  <c r="O24" i="4"/>
  <c r="V22" i="4"/>
  <c r="F22" i="4"/>
  <c r="M21" i="4"/>
  <c r="T18" i="4"/>
  <c r="D18" i="4"/>
  <c r="K17" i="4"/>
  <c r="R15" i="4"/>
  <c r="Y14" i="4"/>
  <c r="I14" i="4"/>
  <c r="P11" i="4"/>
  <c r="W10" i="4"/>
  <c r="G10" i="4"/>
  <c r="N8" i="4"/>
  <c r="U7" i="4"/>
  <c r="E7" i="4"/>
  <c r="N25" i="3"/>
  <c r="W24" i="3"/>
  <c r="G24" i="3"/>
  <c r="P23" i="3"/>
  <c r="Y21" i="3"/>
  <c r="I21" i="3"/>
  <c r="R20" i="3"/>
  <c r="AA19" i="3"/>
  <c r="K19" i="3"/>
  <c r="T18" i="3"/>
  <c r="D18" i="3"/>
  <c r="M17" i="3"/>
  <c r="V16" i="3"/>
  <c r="F16" i="3"/>
  <c r="O15" i="3"/>
  <c r="X14" i="3"/>
  <c r="H14" i="3"/>
  <c r="Q12" i="3"/>
  <c r="Z11" i="3"/>
  <c r="J11" i="3"/>
  <c r="S10" i="3"/>
  <c r="C10" i="3"/>
  <c r="L9" i="3"/>
  <c r="U8" i="3"/>
  <c r="E8" i="3"/>
  <c r="N7" i="3"/>
  <c r="W6" i="3"/>
  <c r="G6" i="3"/>
  <c r="N25" i="2"/>
  <c r="E24" i="2"/>
  <c r="S21" i="2"/>
  <c r="C21" i="2"/>
  <c r="J20" i="2"/>
  <c r="D31" i="5"/>
  <c r="H20" i="5"/>
  <c r="D18" i="5"/>
  <c r="F14" i="5"/>
  <c r="L13" i="5"/>
  <c r="R11" i="5"/>
  <c r="H10" i="5"/>
  <c r="T8" i="5"/>
  <c r="P6" i="5"/>
  <c r="G53" i="4"/>
  <c r="N52" i="4"/>
  <c r="L49" i="4"/>
  <c r="J45" i="4"/>
  <c r="H42" i="4"/>
  <c r="O39" i="4"/>
  <c r="F38" i="4"/>
  <c r="M36" i="4"/>
  <c r="T35" i="4"/>
  <c r="K32" i="4"/>
  <c r="D51" i="10"/>
  <c r="F30" i="10"/>
  <c r="X22" i="10"/>
  <c r="X17" i="10"/>
  <c r="I14" i="10"/>
  <c r="O10" i="10"/>
  <c r="V6" i="10"/>
  <c r="O31" i="9"/>
  <c r="O29" i="9"/>
  <c r="T23" i="9"/>
  <c r="U21" i="9"/>
  <c r="C19" i="9"/>
  <c r="I17" i="9"/>
  <c r="S14" i="9"/>
  <c r="J13" i="9"/>
  <c r="T10" i="9"/>
  <c r="K9" i="9"/>
  <c r="C8" i="9"/>
  <c r="Q6" i="9"/>
  <c r="L14" i="8"/>
  <c r="K13" i="8"/>
  <c r="I12" i="8"/>
  <c r="I10" i="8"/>
  <c r="H9" i="8"/>
  <c r="H8" i="8"/>
  <c r="G7" i="8"/>
  <c r="J6" i="8"/>
  <c r="M27" i="7"/>
  <c r="M26" i="7"/>
  <c r="O25" i="7"/>
  <c r="R23" i="7"/>
  <c r="R22" i="7"/>
  <c r="T20" i="7"/>
  <c r="W19" i="7"/>
  <c r="W18" i="7"/>
  <c r="Y17" i="7"/>
  <c r="E17" i="7"/>
  <c r="E16" i="7"/>
  <c r="G15" i="7"/>
  <c r="K14" i="7"/>
  <c r="O13" i="7"/>
  <c r="Q12" i="7"/>
  <c r="T11" i="7"/>
  <c r="X8" i="7"/>
  <c r="E8" i="7"/>
  <c r="I7" i="7"/>
  <c r="L6" i="7"/>
  <c r="O58" i="6"/>
  <c r="T57" i="6"/>
  <c r="C57" i="6"/>
  <c r="H56" i="6"/>
  <c r="M55" i="6"/>
  <c r="R53" i="6"/>
  <c r="W52" i="6"/>
  <c r="F52" i="6"/>
  <c r="K51" i="6"/>
  <c r="P49" i="6"/>
  <c r="U48" i="6"/>
  <c r="D48" i="6"/>
  <c r="I47" i="6"/>
  <c r="N46" i="6"/>
  <c r="S44" i="6"/>
  <c r="X43" i="6"/>
  <c r="H43" i="6"/>
  <c r="N42" i="6"/>
  <c r="T41" i="6"/>
  <c r="D41" i="6"/>
  <c r="J39" i="6"/>
  <c r="P38" i="6"/>
  <c r="V37" i="6"/>
  <c r="F37" i="6"/>
  <c r="L36" i="6"/>
  <c r="R34" i="6"/>
  <c r="X33" i="6"/>
  <c r="H33" i="6"/>
  <c r="N32" i="6"/>
  <c r="T31" i="6"/>
  <c r="D31" i="6"/>
  <c r="J29" i="6"/>
  <c r="P28" i="6"/>
  <c r="V27" i="6"/>
  <c r="F27" i="6"/>
  <c r="L26" i="6"/>
  <c r="R24" i="6"/>
  <c r="X23" i="6"/>
  <c r="H23" i="6"/>
  <c r="N22" i="6"/>
  <c r="T21" i="6"/>
  <c r="D21" i="6"/>
  <c r="J19" i="6"/>
  <c r="P18" i="6"/>
  <c r="V17" i="6"/>
  <c r="F17" i="6"/>
  <c r="L16" i="6"/>
  <c r="R14" i="6"/>
  <c r="X13" i="6"/>
  <c r="H13" i="6"/>
  <c r="N12" i="6"/>
  <c r="T11" i="6"/>
  <c r="P8" i="6"/>
  <c r="L6" i="6"/>
  <c r="R34" i="5"/>
  <c r="H33" i="5"/>
  <c r="T31" i="5"/>
  <c r="J30" i="5"/>
  <c r="V24" i="5"/>
  <c r="F24" i="5"/>
  <c r="R21" i="5"/>
  <c r="N19" i="5"/>
  <c r="J17" i="5"/>
  <c r="P15" i="5"/>
  <c r="V14" i="5"/>
  <c r="X10" i="5"/>
  <c r="N9" i="5"/>
  <c r="D8" i="5"/>
  <c r="J7" i="5"/>
  <c r="W53" i="4"/>
  <c r="E50" i="4"/>
  <c r="S46" i="4"/>
  <c r="X42" i="4"/>
  <c r="V38" i="4"/>
  <c r="C49" i="10"/>
  <c r="G29" i="10"/>
  <c r="Q22" i="10"/>
  <c r="T17" i="10"/>
  <c r="C14" i="10"/>
  <c r="I10" i="10"/>
  <c r="R6" i="10"/>
  <c r="J31" i="9"/>
  <c r="N29" i="9"/>
  <c r="R23" i="9"/>
  <c r="S21" i="9"/>
  <c r="T18" i="9"/>
  <c r="F17" i="9"/>
  <c r="Q14" i="9"/>
  <c r="G13" i="9"/>
  <c r="S10" i="9"/>
  <c r="J9" i="9"/>
  <c r="V7" i="9"/>
  <c r="O6" i="9"/>
  <c r="K14" i="8"/>
  <c r="J13" i="8"/>
  <c r="H12" i="8"/>
  <c r="H10" i="8"/>
  <c r="F9" i="8"/>
  <c r="F8" i="8"/>
  <c r="F7" i="8"/>
  <c r="I6" i="8"/>
  <c r="K27" i="7"/>
  <c r="L26" i="7"/>
  <c r="N25" i="7"/>
  <c r="P23" i="7"/>
  <c r="Q22" i="7"/>
  <c r="S20" i="7"/>
  <c r="U19" i="7"/>
  <c r="V18" i="7"/>
  <c r="X17" i="7"/>
  <c r="C17" i="7"/>
  <c r="D16" i="7"/>
  <c r="F15" i="7"/>
  <c r="J14" i="7"/>
  <c r="N13" i="7"/>
  <c r="P12" i="7"/>
  <c r="S11" i="7"/>
  <c r="W8" i="7"/>
  <c r="D8" i="7"/>
  <c r="F7" i="7"/>
  <c r="K6" i="7"/>
  <c r="N58" i="6"/>
  <c r="S57" i="6"/>
  <c r="X56" i="6"/>
  <c r="G56" i="6"/>
  <c r="L55" i="6"/>
  <c r="Q53" i="6"/>
  <c r="V52" i="6"/>
  <c r="E52" i="6"/>
  <c r="J51" i="6"/>
  <c r="O49" i="6"/>
  <c r="T48" i="6"/>
  <c r="C48" i="6"/>
  <c r="H47" i="6"/>
  <c r="M46" i="6"/>
  <c r="Q44" i="6"/>
  <c r="W43" i="6"/>
  <c r="G43" i="6"/>
  <c r="M42" i="6"/>
  <c r="S41" i="6"/>
  <c r="C41" i="6"/>
  <c r="I39" i="6"/>
  <c r="O38" i="6"/>
  <c r="U37" i="6"/>
  <c r="E37" i="6"/>
  <c r="K36" i="6"/>
  <c r="Q34" i="6"/>
  <c r="W33" i="6"/>
  <c r="G33" i="6"/>
  <c r="M32" i="6"/>
  <c r="S31" i="6"/>
  <c r="C31" i="6"/>
  <c r="I29" i="6"/>
  <c r="O28" i="6"/>
  <c r="U27" i="6"/>
  <c r="E27" i="6"/>
  <c r="K26" i="6"/>
  <c r="Q24" i="6"/>
  <c r="W23" i="6"/>
  <c r="G23" i="6"/>
  <c r="M22" i="6"/>
  <c r="S21" i="6"/>
  <c r="C21" i="6"/>
  <c r="I19" i="6"/>
  <c r="O18" i="6"/>
  <c r="U17" i="6"/>
  <c r="E17" i="6"/>
  <c r="K16" i="6"/>
  <c r="Q14" i="6"/>
  <c r="W13" i="6"/>
  <c r="G13" i="6"/>
  <c r="M12" i="6"/>
  <c r="S11" i="6"/>
  <c r="C11" i="6"/>
  <c r="I9" i="6"/>
  <c r="O8" i="6"/>
  <c r="U7" i="6"/>
  <c r="E7" i="6"/>
  <c r="K6" i="6"/>
  <c r="Q34" i="5"/>
  <c r="W33" i="5"/>
  <c r="G33" i="5"/>
  <c r="M32" i="5"/>
  <c r="S31" i="5"/>
  <c r="C31" i="5"/>
  <c r="I30" i="5"/>
  <c r="O25" i="5"/>
  <c r="U24" i="5"/>
  <c r="E24" i="5"/>
  <c r="K23" i="5"/>
  <c r="Q21" i="5"/>
  <c r="W20" i="5"/>
  <c r="G20" i="5"/>
  <c r="M19" i="5"/>
  <c r="S18" i="5"/>
  <c r="C18" i="5"/>
  <c r="I17" i="5"/>
  <c r="O15" i="5"/>
  <c r="U14" i="5"/>
  <c r="E14" i="5"/>
  <c r="K13" i="5"/>
  <c r="Q11" i="5"/>
  <c r="W10" i="5"/>
  <c r="G10" i="5"/>
  <c r="M9" i="5"/>
  <c r="S8" i="5"/>
  <c r="C8" i="5"/>
  <c r="I7" i="5"/>
  <c r="O6" i="5"/>
  <c r="V53" i="4"/>
  <c r="F53" i="4"/>
  <c r="M52" i="4"/>
  <c r="T50" i="4"/>
  <c r="D50" i="4"/>
  <c r="K49" i="4"/>
  <c r="R46" i="4"/>
  <c r="Y45" i="4"/>
  <c r="I45" i="4"/>
  <c r="P43" i="4"/>
  <c r="W42" i="4"/>
  <c r="G42" i="4"/>
  <c r="N39" i="4"/>
  <c r="U38" i="4"/>
  <c r="E38" i="4"/>
  <c r="L36" i="4"/>
  <c r="S35" i="4"/>
  <c r="C35" i="4"/>
  <c r="J32" i="4"/>
  <c r="Q31" i="4"/>
  <c r="X29" i="4"/>
  <c r="H29" i="4"/>
  <c r="O28" i="4"/>
  <c r="V25" i="4"/>
  <c r="F25" i="4"/>
  <c r="M24" i="4"/>
  <c r="T22" i="4"/>
  <c r="D22" i="4"/>
  <c r="K21" i="4"/>
  <c r="R18" i="4"/>
  <c r="Y17" i="4"/>
  <c r="I17" i="4"/>
  <c r="P15" i="4"/>
  <c r="W14" i="4"/>
  <c r="G14" i="4"/>
  <c r="N11" i="4"/>
  <c r="U10" i="4"/>
  <c r="E10" i="4"/>
  <c r="L8" i="4"/>
  <c r="S7" i="4"/>
  <c r="C7" i="4"/>
  <c r="L25" i="3"/>
  <c r="U24" i="3"/>
  <c r="E24" i="3"/>
  <c r="N23" i="3"/>
  <c r="W21" i="3"/>
  <c r="G21" i="3"/>
  <c r="P20" i="3"/>
  <c r="Y19" i="3"/>
  <c r="I19" i="3"/>
  <c r="R18" i="3"/>
  <c r="AA17" i="3"/>
  <c r="K17" i="3"/>
  <c r="T16" i="3"/>
  <c r="D16" i="3"/>
  <c r="M15" i="3"/>
  <c r="V14" i="3"/>
  <c r="P46" i="10"/>
  <c r="C29" i="10"/>
  <c r="M22" i="10"/>
  <c r="Q17" i="10"/>
  <c r="W13" i="10"/>
  <c r="G10" i="10"/>
  <c r="P6" i="10"/>
  <c r="I31" i="9"/>
  <c r="L29" i="9"/>
  <c r="M23" i="9"/>
  <c r="N21" i="9"/>
  <c r="S18" i="9"/>
  <c r="E17" i="9"/>
  <c r="N14" i="9"/>
  <c r="E13" i="9"/>
  <c r="R10" i="9"/>
  <c r="H9" i="9"/>
  <c r="U7" i="9"/>
  <c r="M6" i="9"/>
  <c r="H14" i="8"/>
  <c r="G13" i="8"/>
  <c r="G12" i="8"/>
  <c r="G10" i="8"/>
  <c r="E9" i="8"/>
  <c r="E8" i="8"/>
  <c r="E7" i="8"/>
  <c r="H6" i="8"/>
  <c r="J27" i="7"/>
  <c r="K26" i="7"/>
  <c r="M25" i="7"/>
  <c r="O23" i="7"/>
  <c r="P22" i="7"/>
  <c r="R20" i="7"/>
  <c r="T19" i="7"/>
  <c r="U18" i="7"/>
  <c r="W17" i="7"/>
  <c r="Y16" i="7"/>
  <c r="C16" i="7"/>
  <c r="E15" i="7"/>
  <c r="I14" i="7"/>
  <c r="M13" i="7"/>
  <c r="O12" i="7"/>
  <c r="R11" i="7"/>
  <c r="V8" i="7"/>
  <c r="C8" i="7"/>
  <c r="E7" i="7"/>
  <c r="I6" i="7"/>
  <c r="M58" i="6"/>
  <c r="R57" i="6"/>
  <c r="W56" i="6"/>
  <c r="F56" i="6"/>
  <c r="K55" i="6"/>
  <c r="P53" i="6"/>
  <c r="U52" i="6"/>
  <c r="D52" i="6"/>
  <c r="I51" i="6"/>
  <c r="N49" i="6"/>
  <c r="S48" i="6"/>
  <c r="X47" i="6"/>
  <c r="G47" i="6"/>
  <c r="K46" i="6"/>
  <c r="P44" i="6"/>
  <c r="V43" i="6"/>
  <c r="F43" i="6"/>
  <c r="L42" i="6"/>
  <c r="R41" i="6"/>
  <c r="X39" i="6"/>
  <c r="H39" i="6"/>
  <c r="N38" i="6"/>
  <c r="T37" i="6"/>
  <c r="D37" i="6"/>
  <c r="J36" i="6"/>
  <c r="P34" i="6"/>
  <c r="V33" i="6"/>
  <c r="F33" i="6"/>
  <c r="L32" i="6"/>
  <c r="R31" i="6"/>
  <c r="X29" i="6"/>
  <c r="H29" i="6"/>
  <c r="N28" i="6"/>
  <c r="T27" i="6"/>
  <c r="D27" i="6"/>
  <c r="J26" i="6"/>
  <c r="P24" i="6"/>
  <c r="V23" i="6"/>
  <c r="F23" i="6"/>
  <c r="L22" i="6"/>
  <c r="R21" i="6"/>
  <c r="X19" i="6"/>
  <c r="H19" i="6"/>
  <c r="N18" i="6"/>
  <c r="T17" i="6"/>
  <c r="D17" i="6"/>
  <c r="J16" i="6"/>
  <c r="P14" i="6"/>
  <c r="V13" i="6"/>
  <c r="F13" i="6"/>
  <c r="L12" i="6"/>
  <c r="R11" i="6"/>
  <c r="X9" i="6"/>
  <c r="H9" i="6"/>
  <c r="N8" i="6"/>
  <c r="T7" i="6"/>
  <c r="D7" i="6"/>
  <c r="J6" i="6"/>
  <c r="P34" i="5"/>
  <c r="V33" i="5"/>
  <c r="F33" i="5"/>
  <c r="L32" i="5"/>
  <c r="R31" i="5"/>
  <c r="X30" i="5"/>
  <c r="H30" i="5"/>
  <c r="N25" i="5"/>
  <c r="T24" i="5"/>
  <c r="D24" i="5"/>
  <c r="J23" i="5"/>
  <c r="P21" i="5"/>
  <c r="V20" i="5"/>
  <c r="F20" i="5"/>
  <c r="L19" i="5"/>
  <c r="R18" i="5"/>
  <c r="X17" i="5"/>
  <c r="H17" i="5"/>
  <c r="N15" i="5"/>
  <c r="T14" i="5"/>
  <c r="D14" i="5"/>
  <c r="J13" i="5"/>
  <c r="P11" i="5"/>
  <c r="V10" i="5"/>
  <c r="F10" i="5"/>
  <c r="L9" i="5"/>
  <c r="R8" i="5"/>
  <c r="X7" i="5"/>
  <c r="H7" i="5"/>
  <c r="N6" i="5"/>
  <c r="U53" i="4"/>
  <c r="E53" i="4"/>
  <c r="L52" i="4"/>
  <c r="S50" i="4"/>
  <c r="C50" i="4"/>
  <c r="J49" i="4"/>
  <c r="Q46" i="4"/>
  <c r="X45" i="4"/>
  <c r="H45" i="4"/>
  <c r="O43" i="4"/>
  <c r="V42" i="4"/>
  <c r="F42" i="4"/>
  <c r="M39" i="4"/>
  <c r="T38" i="4"/>
  <c r="D38" i="4"/>
  <c r="K36" i="4"/>
  <c r="R35" i="4"/>
  <c r="Y32" i="4"/>
  <c r="I32" i="4"/>
  <c r="P31" i="4"/>
  <c r="W29" i="4"/>
  <c r="G29" i="4"/>
  <c r="N28" i="4"/>
  <c r="U25" i="4"/>
  <c r="E25" i="4"/>
  <c r="L24" i="4"/>
  <c r="S22" i="4"/>
  <c r="C22" i="4"/>
  <c r="J21" i="4"/>
  <c r="Q18" i="4"/>
  <c r="X17" i="4"/>
  <c r="H17" i="4"/>
  <c r="O15" i="4"/>
  <c r="V14" i="4"/>
  <c r="F14" i="4"/>
  <c r="M11" i="4"/>
  <c r="T10" i="4"/>
  <c r="D10" i="4"/>
  <c r="K8" i="4"/>
  <c r="R7" i="4"/>
  <c r="AA25" i="3"/>
  <c r="K25" i="3"/>
  <c r="T24" i="3"/>
  <c r="D24" i="3"/>
  <c r="M23" i="3"/>
  <c r="V21" i="3"/>
  <c r="F21" i="3"/>
  <c r="O20" i="3"/>
  <c r="X19" i="3"/>
  <c r="H19" i="3"/>
  <c r="Q18" i="3"/>
  <c r="Z17" i="3"/>
  <c r="J17" i="3"/>
  <c r="S16" i="3"/>
  <c r="C16" i="3"/>
  <c r="L15" i="3"/>
  <c r="U14" i="3"/>
  <c r="E14" i="3"/>
  <c r="N12" i="3"/>
  <c r="W11" i="3"/>
  <c r="G11" i="3"/>
  <c r="P10" i="3"/>
  <c r="Y9" i="3"/>
  <c r="I9" i="3"/>
  <c r="R8" i="3"/>
  <c r="AA7" i="3"/>
  <c r="K7" i="3"/>
  <c r="T6" i="3"/>
  <c r="D6" i="3"/>
  <c r="K25" i="2"/>
  <c r="R24" i="2"/>
  <c r="Y23" i="2"/>
  <c r="I23" i="2"/>
  <c r="P21" i="2"/>
  <c r="W20" i="2"/>
  <c r="G20" i="2"/>
  <c r="N18" i="2"/>
  <c r="U16" i="2"/>
  <c r="E16" i="2"/>
  <c r="L14" i="2"/>
  <c r="S13" i="2"/>
  <c r="C13" i="2"/>
  <c r="J12" i="2"/>
  <c r="Q10" i="2"/>
  <c r="X9" i="2"/>
  <c r="H9" i="2"/>
  <c r="O8" i="2"/>
  <c r="V7" i="2"/>
  <c r="F7" i="2"/>
  <c r="M6" i="2"/>
  <c r="Y12" i="2"/>
  <c r="P10" i="2"/>
  <c r="W9" i="2"/>
  <c r="G9" i="2"/>
  <c r="N8" i="2"/>
  <c r="U7" i="2"/>
  <c r="E7" i="2"/>
  <c r="L6" i="2"/>
  <c r="J19" i="5"/>
  <c r="V17" i="5"/>
  <c r="G45" i="10"/>
  <c r="G28" i="10"/>
  <c r="Y21" i="10"/>
  <c r="L17" i="10"/>
  <c r="S13" i="10"/>
  <c r="D10" i="10"/>
  <c r="M6" i="10"/>
  <c r="G31" i="9"/>
  <c r="J29" i="9"/>
  <c r="K23" i="9"/>
  <c r="M21" i="9"/>
  <c r="R18" i="9"/>
  <c r="D17" i="9"/>
  <c r="M14" i="9"/>
  <c r="C13" i="9"/>
  <c r="O10" i="9"/>
  <c r="G9" i="9"/>
  <c r="T7" i="9"/>
  <c r="J6" i="9"/>
  <c r="G14" i="8"/>
  <c r="F13" i="8"/>
  <c r="E12" i="8"/>
  <c r="D10" i="8"/>
  <c r="D9" i="8"/>
  <c r="D8" i="8"/>
  <c r="C7" i="8"/>
  <c r="G6" i="8"/>
  <c r="I27" i="7"/>
  <c r="I26" i="7"/>
  <c r="L25" i="7"/>
  <c r="N23" i="7"/>
  <c r="N22" i="7"/>
  <c r="Q20" i="7"/>
  <c r="S19" i="7"/>
  <c r="S18" i="7"/>
  <c r="V17" i="7"/>
  <c r="X16" i="7"/>
  <c r="X15" i="7"/>
  <c r="D15" i="7"/>
  <c r="H14" i="7"/>
  <c r="J13" i="7"/>
  <c r="M12" i="7"/>
  <c r="Q11" i="7"/>
  <c r="U8" i="7"/>
  <c r="Y7" i="7"/>
  <c r="D7" i="7"/>
  <c r="H6" i="7"/>
  <c r="L58" i="6"/>
  <c r="Q57" i="6"/>
  <c r="V56" i="6"/>
  <c r="E56" i="6"/>
  <c r="J55" i="6"/>
  <c r="O53" i="6"/>
  <c r="T52" i="6"/>
  <c r="C52" i="6"/>
  <c r="H51" i="6"/>
  <c r="M49" i="6"/>
  <c r="R48" i="6"/>
  <c r="W47" i="6"/>
  <c r="E47" i="6"/>
  <c r="J46" i="6"/>
  <c r="O44" i="6"/>
  <c r="U43" i="6"/>
  <c r="E43" i="6"/>
  <c r="K42" i="6"/>
  <c r="Q41" i="6"/>
  <c r="W39" i="6"/>
  <c r="G39" i="6"/>
  <c r="M38" i="6"/>
  <c r="S37" i="6"/>
  <c r="C37" i="6"/>
  <c r="I36" i="6"/>
  <c r="O34" i="6"/>
  <c r="U33" i="6"/>
  <c r="E33" i="6"/>
  <c r="K32" i="6"/>
  <c r="Q31" i="6"/>
  <c r="W29" i="6"/>
  <c r="G29" i="6"/>
  <c r="M28" i="6"/>
  <c r="S27" i="6"/>
  <c r="C27" i="6"/>
  <c r="I26" i="6"/>
  <c r="O24" i="6"/>
  <c r="U23" i="6"/>
  <c r="E23" i="6"/>
  <c r="K22" i="6"/>
  <c r="Q21" i="6"/>
  <c r="W19" i="6"/>
  <c r="G19" i="6"/>
  <c r="M18" i="6"/>
  <c r="S17" i="6"/>
  <c r="C17" i="6"/>
  <c r="I16" i="6"/>
  <c r="O14" i="6"/>
  <c r="U13" i="6"/>
  <c r="E13" i="6"/>
  <c r="K12" i="6"/>
  <c r="Q11" i="6"/>
  <c r="W9" i="6"/>
  <c r="G9" i="6"/>
  <c r="M8" i="6"/>
  <c r="S7" i="6"/>
  <c r="C7" i="6"/>
  <c r="I6" i="6"/>
  <c r="O34" i="5"/>
  <c r="U33" i="5"/>
  <c r="E33" i="5"/>
  <c r="K32" i="5"/>
  <c r="Q31" i="5"/>
  <c r="W30" i="5"/>
  <c r="G30" i="5"/>
  <c r="M25" i="5"/>
  <c r="S24" i="5"/>
  <c r="C24" i="5"/>
  <c r="I23" i="5"/>
  <c r="O21" i="5"/>
  <c r="U20" i="5"/>
  <c r="E20" i="5"/>
  <c r="K19" i="5"/>
  <c r="Q18" i="5"/>
  <c r="W17" i="5"/>
  <c r="G17" i="5"/>
  <c r="M15" i="5"/>
  <c r="S14" i="5"/>
  <c r="C14" i="5"/>
  <c r="I13" i="5"/>
  <c r="O11" i="5"/>
  <c r="U10" i="5"/>
  <c r="E10" i="5"/>
  <c r="K9" i="5"/>
  <c r="Q8" i="5"/>
  <c r="W7" i="5"/>
  <c r="G7" i="5"/>
  <c r="M6" i="5"/>
  <c r="T53" i="4"/>
  <c r="D53" i="4"/>
  <c r="K52" i="4"/>
  <c r="R50" i="4"/>
  <c r="Y49" i="4"/>
  <c r="I49" i="4"/>
  <c r="P46" i="4"/>
  <c r="W45" i="4"/>
  <c r="G45" i="4"/>
  <c r="N43" i="4"/>
  <c r="U42" i="4"/>
  <c r="E42" i="4"/>
  <c r="L39" i="4"/>
  <c r="S38" i="4"/>
  <c r="C38" i="4"/>
  <c r="J36" i="4"/>
  <c r="Q35" i="4"/>
  <c r="X32" i="4"/>
  <c r="H32" i="4"/>
  <c r="O31" i="4"/>
  <c r="V29" i="4"/>
  <c r="F29" i="4"/>
  <c r="M28" i="4"/>
  <c r="T25" i="4"/>
  <c r="D25" i="4"/>
  <c r="K24" i="4"/>
  <c r="R22" i="4"/>
  <c r="Y21" i="4"/>
  <c r="I21" i="4"/>
  <c r="P18" i="4"/>
  <c r="W17" i="4"/>
  <c r="G17" i="4"/>
  <c r="N15" i="4"/>
  <c r="U14" i="4"/>
  <c r="E14" i="4"/>
  <c r="L11" i="4"/>
  <c r="S10" i="4"/>
  <c r="C10" i="4"/>
  <c r="J8" i="4"/>
  <c r="Q7" i="4"/>
  <c r="Z25" i="3"/>
  <c r="J25" i="3"/>
  <c r="S24" i="3"/>
  <c r="C24" i="3"/>
  <c r="L23" i="3"/>
  <c r="U21" i="3"/>
  <c r="E21" i="3"/>
  <c r="N20" i="3"/>
  <c r="W19" i="3"/>
  <c r="G19" i="3"/>
  <c r="P18" i="3"/>
  <c r="Y17" i="3"/>
  <c r="I17" i="3"/>
  <c r="R16" i="3"/>
  <c r="AA15" i="3"/>
  <c r="K15" i="3"/>
  <c r="T14" i="3"/>
  <c r="D14" i="3"/>
  <c r="M12" i="3"/>
  <c r="V11" i="3"/>
  <c r="F11" i="3"/>
  <c r="O10" i="3"/>
  <c r="X9" i="3"/>
  <c r="H9" i="3"/>
  <c r="Q8" i="3"/>
  <c r="Z7" i="3"/>
  <c r="J7" i="3"/>
  <c r="S6" i="3"/>
  <c r="C6" i="3"/>
  <c r="J25" i="2"/>
  <c r="Q24" i="2"/>
  <c r="X23" i="2"/>
  <c r="H23" i="2"/>
  <c r="O21" i="2"/>
  <c r="V20" i="2"/>
  <c r="F20" i="2"/>
  <c r="M18" i="2"/>
  <c r="T16" i="2"/>
  <c r="D16" i="2"/>
  <c r="K14" i="2"/>
  <c r="R13" i="2"/>
  <c r="I12" i="2"/>
  <c r="U43" i="10"/>
  <c r="V27" i="10"/>
  <c r="O21" i="10"/>
  <c r="D17" i="10"/>
  <c r="J13" i="10"/>
  <c r="P9" i="10"/>
  <c r="C6" i="10"/>
  <c r="D31" i="9"/>
  <c r="G29" i="9"/>
  <c r="F23" i="9"/>
  <c r="K21" i="9"/>
  <c r="P18" i="9"/>
  <c r="X15" i="9"/>
  <c r="L14" i="9"/>
  <c r="U11" i="9"/>
  <c r="M10" i="9"/>
  <c r="F9" i="9"/>
  <c r="R7" i="9"/>
  <c r="I6" i="9"/>
  <c r="E14" i="8"/>
  <c r="E13" i="8"/>
  <c r="D12" i="8"/>
  <c r="C10" i="8"/>
  <c r="Z8" i="8"/>
  <c r="X7" i="8"/>
  <c r="Z6" i="8"/>
  <c r="F6" i="8"/>
  <c r="F27" i="7"/>
  <c r="H26" i="7"/>
  <c r="K25" i="7"/>
  <c r="K23" i="7"/>
  <c r="M22" i="7"/>
  <c r="P20" i="7"/>
  <c r="P19" i="7"/>
  <c r="R18" i="7"/>
  <c r="U17" i="7"/>
  <c r="U16" i="7"/>
  <c r="W15" i="7"/>
  <c r="C15" i="7"/>
  <c r="G14" i="7"/>
  <c r="I13" i="7"/>
  <c r="L12" i="7"/>
  <c r="P11" i="7"/>
  <c r="T8" i="7"/>
  <c r="V7" i="7"/>
  <c r="Y6" i="7"/>
  <c r="G6" i="7"/>
  <c r="K58" i="6"/>
  <c r="P57" i="6"/>
  <c r="U56" i="6"/>
  <c r="D56" i="6"/>
  <c r="I55" i="6"/>
  <c r="N53" i="6"/>
  <c r="S52" i="6"/>
  <c r="X51" i="6"/>
  <c r="G51" i="6"/>
  <c r="L49" i="6"/>
  <c r="Q48" i="6"/>
  <c r="U47" i="6"/>
  <c r="D47" i="6"/>
  <c r="I46" i="6"/>
  <c r="N44" i="6"/>
  <c r="T43" i="6"/>
  <c r="D43" i="6"/>
  <c r="J42" i="6"/>
  <c r="P41" i="6"/>
  <c r="V39" i="6"/>
  <c r="F39" i="6"/>
  <c r="L38" i="6"/>
  <c r="R37" i="6"/>
  <c r="X36" i="6"/>
  <c r="H36" i="6"/>
  <c r="N34" i="6"/>
  <c r="T33" i="6"/>
  <c r="D33" i="6"/>
  <c r="J32" i="6"/>
  <c r="P31" i="6"/>
  <c r="V29" i="6"/>
  <c r="F29" i="6"/>
  <c r="L28" i="6"/>
  <c r="R27" i="6"/>
  <c r="X26" i="6"/>
  <c r="H26" i="6"/>
  <c r="N24" i="6"/>
  <c r="T23" i="6"/>
  <c r="D23" i="6"/>
  <c r="J22" i="6"/>
  <c r="P21" i="6"/>
  <c r="V19" i="6"/>
  <c r="F19" i="6"/>
  <c r="L18" i="6"/>
  <c r="R17" i="6"/>
  <c r="X16" i="6"/>
  <c r="H16" i="6"/>
  <c r="N14" i="6"/>
  <c r="T13" i="6"/>
  <c r="D13" i="6"/>
  <c r="J12" i="6"/>
  <c r="P11" i="6"/>
  <c r="V9" i="6"/>
  <c r="F9" i="6"/>
  <c r="L8" i="6"/>
  <c r="R7" i="6"/>
  <c r="X6" i="6"/>
  <c r="H6" i="6"/>
  <c r="N34" i="5"/>
  <c r="T33" i="5"/>
  <c r="D33" i="5"/>
  <c r="J32" i="5"/>
  <c r="P31" i="5"/>
  <c r="V30" i="5"/>
  <c r="F30" i="5"/>
  <c r="L25" i="5"/>
  <c r="R24" i="5"/>
  <c r="X23" i="5"/>
  <c r="H23" i="5"/>
  <c r="N21" i="5"/>
  <c r="T20" i="5"/>
  <c r="D20" i="5"/>
  <c r="P18" i="5"/>
  <c r="L42" i="10"/>
  <c r="Y26" i="10"/>
  <c r="K21" i="10"/>
  <c r="U16" i="10"/>
  <c r="D13" i="10"/>
  <c r="L9" i="10"/>
  <c r="W32" i="9"/>
  <c r="X30" i="9"/>
  <c r="E29" i="9"/>
  <c r="E23" i="9"/>
  <c r="H21" i="9"/>
  <c r="N18" i="9"/>
  <c r="V15" i="9"/>
  <c r="I14" i="9"/>
  <c r="S11" i="9"/>
  <c r="K10" i="9"/>
  <c r="C9" i="9"/>
  <c r="Q7" i="9"/>
  <c r="H6" i="9"/>
  <c r="D14" i="8"/>
  <c r="C13" i="8"/>
  <c r="Z10" i="8"/>
  <c r="Y9" i="8"/>
  <c r="Y8" i="8"/>
  <c r="W7" i="8"/>
  <c r="Y6" i="8"/>
  <c r="D6" i="8"/>
  <c r="E27" i="7"/>
  <c r="G26" i="7"/>
  <c r="I25" i="7"/>
  <c r="J23" i="7"/>
  <c r="L22" i="7"/>
  <c r="N20" i="7"/>
  <c r="O19" i="7"/>
  <c r="Q18" i="7"/>
  <c r="S17" i="7"/>
  <c r="T16" i="7"/>
  <c r="V15" i="7"/>
  <c r="Y14" i="7"/>
  <c r="F14" i="7"/>
  <c r="H13" i="7"/>
  <c r="K12" i="7"/>
  <c r="O11" i="7"/>
  <c r="S8" i="7"/>
  <c r="U7" i="7"/>
  <c r="X6" i="7"/>
  <c r="F6" i="7"/>
  <c r="J58" i="6"/>
  <c r="O57" i="6"/>
  <c r="T56" i="6"/>
  <c r="C56" i="6"/>
  <c r="H55" i="6"/>
  <c r="M53" i="6"/>
  <c r="R52" i="6"/>
  <c r="W51" i="6"/>
  <c r="F51" i="6"/>
  <c r="K49" i="6"/>
  <c r="O48" i="6"/>
  <c r="T47" i="6"/>
  <c r="C47" i="6"/>
  <c r="H46" i="6"/>
  <c r="M44" i="6"/>
  <c r="S43" i="6"/>
  <c r="C43" i="6"/>
  <c r="I42" i="6"/>
  <c r="O41" i="6"/>
  <c r="U39" i="6"/>
  <c r="E39" i="6"/>
  <c r="K38" i="6"/>
  <c r="Q37" i="6"/>
  <c r="W36" i="6"/>
  <c r="G36" i="6"/>
  <c r="M34" i="6"/>
  <c r="S33" i="6"/>
  <c r="C33" i="6"/>
  <c r="I32" i="6"/>
  <c r="O31" i="6"/>
  <c r="U29" i="6"/>
  <c r="E29" i="6"/>
  <c r="K28" i="6"/>
  <c r="Q27" i="6"/>
  <c r="W26" i="6"/>
  <c r="G26" i="6"/>
  <c r="M24" i="6"/>
  <c r="S23" i="6"/>
  <c r="C23" i="6"/>
  <c r="I22" i="6"/>
  <c r="O21" i="6"/>
  <c r="U19" i="6"/>
  <c r="E19" i="6"/>
  <c r="K18" i="6"/>
  <c r="Q17" i="6"/>
  <c r="W16" i="6"/>
  <c r="G16" i="6"/>
  <c r="M14" i="6"/>
  <c r="S13" i="6"/>
  <c r="C13" i="6"/>
  <c r="I12" i="6"/>
  <c r="O11" i="6"/>
  <c r="U9" i="6"/>
  <c r="E9" i="6"/>
  <c r="K8" i="6"/>
  <c r="Q7" i="6"/>
  <c r="W6" i="6"/>
  <c r="G6" i="6"/>
  <c r="M34" i="5"/>
  <c r="S33" i="5"/>
  <c r="C33" i="5"/>
  <c r="I32" i="5"/>
  <c r="O31" i="5"/>
  <c r="U30" i="5"/>
  <c r="E30" i="5"/>
  <c r="K25" i="5"/>
  <c r="Q24" i="5"/>
  <c r="W23" i="5"/>
  <c r="G23" i="5"/>
  <c r="M21" i="5"/>
  <c r="S20" i="5"/>
  <c r="C20" i="5"/>
  <c r="I19" i="5"/>
  <c r="O18" i="5"/>
  <c r="U17" i="5"/>
  <c r="E17" i="5"/>
  <c r="K15" i="5"/>
  <c r="Q14" i="5"/>
  <c r="W13" i="5"/>
  <c r="G13" i="5"/>
  <c r="M11" i="5"/>
  <c r="S10" i="5"/>
  <c r="C10" i="5"/>
  <c r="I9" i="5"/>
  <c r="O8" i="5"/>
  <c r="U7" i="5"/>
  <c r="E7" i="5"/>
  <c r="K6" i="5"/>
  <c r="R53" i="4"/>
  <c r="Y52" i="4"/>
  <c r="I52" i="4"/>
  <c r="P50" i="4"/>
  <c r="W49" i="4"/>
  <c r="G49" i="4"/>
  <c r="N46" i="4"/>
  <c r="U45" i="4"/>
  <c r="E45" i="4"/>
  <c r="L43" i="4"/>
  <c r="S42" i="4"/>
  <c r="C42" i="4"/>
  <c r="J39" i="4"/>
  <c r="Q38" i="4"/>
  <c r="X36" i="4"/>
  <c r="H36" i="4"/>
  <c r="O35" i="4"/>
  <c r="V32" i="4"/>
  <c r="F32" i="4"/>
  <c r="M31" i="4"/>
  <c r="T29" i="4"/>
  <c r="D29" i="4"/>
  <c r="K28" i="4"/>
  <c r="R25" i="4"/>
  <c r="Y24" i="4"/>
  <c r="I24" i="4"/>
  <c r="P22" i="4"/>
  <c r="W21" i="4"/>
  <c r="G21" i="4"/>
  <c r="N18" i="4"/>
  <c r="U17" i="4"/>
  <c r="E17" i="4"/>
  <c r="L15" i="4"/>
  <c r="S14" i="4"/>
  <c r="C41" i="10"/>
  <c r="V26" i="10"/>
  <c r="W20" i="10"/>
  <c r="R16" i="10"/>
  <c r="Y12" i="10"/>
  <c r="I9" i="10"/>
  <c r="U32" i="9"/>
  <c r="U30" i="9"/>
  <c r="T28" i="9"/>
  <c r="D23" i="9"/>
  <c r="F21" i="9"/>
  <c r="K18" i="9"/>
  <c r="Q15" i="9"/>
  <c r="G14" i="9"/>
  <c r="R11" i="9"/>
  <c r="G10" i="9"/>
  <c r="W8" i="9"/>
  <c r="P7" i="9"/>
  <c r="F6" i="9"/>
  <c r="C14" i="8"/>
  <c r="Y12" i="8"/>
  <c r="Y10" i="8"/>
  <c r="W9" i="8"/>
  <c r="W8" i="8"/>
  <c r="V7" i="8"/>
  <c r="X6" i="8"/>
  <c r="C6" i="8"/>
  <c r="D27" i="7"/>
  <c r="F26" i="7"/>
  <c r="H25" i="7"/>
  <c r="I23" i="7"/>
  <c r="K22" i="7"/>
  <c r="M20" i="7"/>
  <c r="N19" i="7"/>
  <c r="P18" i="7"/>
  <c r="R17" i="7"/>
  <c r="S16" i="7"/>
  <c r="U15" i="7"/>
  <c r="X14" i="7"/>
  <c r="C14" i="7"/>
  <c r="F13" i="7"/>
  <c r="J12" i="7"/>
  <c r="N11" i="7"/>
  <c r="R8" i="7"/>
  <c r="T7" i="7"/>
  <c r="W6" i="7"/>
  <c r="E6" i="7"/>
  <c r="I58" i="6"/>
  <c r="N57" i="6"/>
  <c r="S56" i="6"/>
  <c r="X55" i="6"/>
  <c r="G55" i="6"/>
  <c r="L53" i="6"/>
  <c r="Q52" i="6"/>
  <c r="V51" i="6"/>
  <c r="E51" i="6"/>
  <c r="I49" i="6"/>
  <c r="N48" i="6"/>
  <c r="S47" i="6"/>
  <c r="X46" i="6"/>
  <c r="G46" i="6"/>
  <c r="L44" i="6"/>
  <c r="R43" i="6"/>
  <c r="X42" i="6"/>
  <c r="H42" i="6"/>
  <c r="N41" i="6"/>
  <c r="T39" i="6"/>
  <c r="D39" i="6"/>
  <c r="J38" i="6"/>
  <c r="P37" i="6"/>
  <c r="V36" i="6"/>
  <c r="F36" i="6"/>
  <c r="L34" i="6"/>
  <c r="R33" i="6"/>
  <c r="X32" i="6"/>
  <c r="H32" i="6"/>
  <c r="N31" i="6"/>
  <c r="T29" i="6"/>
  <c r="D29" i="6"/>
  <c r="J28" i="6"/>
  <c r="P27" i="6"/>
  <c r="V26" i="6"/>
  <c r="F26" i="6"/>
  <c r="L24" i="6"/>
  <c r="R23" i="6"/>
  <c r="X22" i="6"/>
  <c r="H22" i="6"/>
  <c r="N21" i="6"/>
  <c r="T19" i="6"/>
  <c r="D19" i="6"/>
  <c r="J18" i="6"/>
  <c r="P17" i="6"/>
  <c r="V16" i="6"/>
  <c r="F16" i="6"/>
  <c r="L14" i="6"/>
  <c r="R13" i="6"/>
  <c r="X12" i="6"/>
  <c r="H12" i="6"/>
  <c r="N11" i="6"/>
  <c r="T9" i="6"/>
  <c r="D9" i="6"/>
  <c r="J8" i="6"/>
  <c r="P7" i="6"/>
  <c r="V6" i="6"/>
  <c r="F6" i="6"/>
  <c r="L34" i="5"/>
  <c r="R33" i="5"/>
  <c r="X32" i="5"/>
  <c r="H32" i="5"/>
  <c r="N31" i="5"/>
  <c r="T30" i="5"/>
  <c r="D30" i="5"/>
  <c r="J25" i="5"/>
  <c r="P24" i="5"/>
  <c r="V23" i="5"/>
  <c r="F23" i="5"/>
  <c r="L21" i="5"/>
  <c r="R20" i="5"/>
  <c r="X19" i="5"/>
  <c r="H19" i="5"/>
  <c r="N18" i="5"/>
  <c r="T17" i="5"/>
  <c r="D17" i="5"/>
  <c r="J15" i="5"/>
  <c r="P14" i="5"/>
  <c r="V13" i="5"/>
  <c r="F13" i="5"/>
  <c r="L11" i="5"/>
  <c r="R10" i="5"/>
  <c r="X9" i="5"/>
  <c r="H9" i="5"/>
  <c r="N8" i="5"/>
  <c r="T7" i="5"/>
  <c r="D7" i="5"/>
  <c r="J6" i="5"/>
  <c r="Q53" i="4"/>
  <c r="X52" i="4"/>
  <c r="H52" i="4"/>
  <c r="O50" i="4"/>
  <c r="V49" i="4"/>
  <c r="F49" i="4"/>
  <c r="M46" i="4"/>
  <c r="T45" i="4"/>
  <c r="D45" i="4"/>
  <c r="K43" i="4"/>
  <c r="R42" i="4"/>
  <c r="Y39" i="4"/>
  <c r="I39" i="4"/>
  <c r="P38" i="4"/>
  <c r="W36" i="4"/>
  <c r="G36" i="4"/>
  <c r="N35" i="4"/>
  <c r="U32" i="4"/>
  <c r="E32" i="4"/>
  <c r="L31" i="4"/>
  <c r="S29" i="4"/>
  <c r="C29" i="4"/>
  <c r="J28" i="4"/>
  <c r="Q25" i="4"/>
  <c r="X24" i="4"/>
  <c r="H24" i="4"/>
  <c r="O22" i="4"/>
  <c r="V21" i="4"/>
  <c r="F21" i="4"/>
  <c r="M18" i="4"/>
  <c r="T17" i="4"/>
  <c r="D17" i="4"/>
  <c r="K15" i="4"/>
  <c r="R14" i="4"/>
  <c r="Y11" i="4"/>
  <c r="I11" i="4"/>
  <c r="P10" i="4"/>
  <c r="W8" i="4"/>
  <c r="G8" i="4"/>
  <c r="N7" i="4"/>
  <c r="W25" i="3"/>
  <c r="G25" i="3"/>
  <c r="P24" i="3"/>
  <c r="Y23" i="3"/>
  <c r="I23" i="3"/>
  <c r="R21" i="3"/>
  <c r="AA20" i="3"/>
  <c r="K20" i="3"/>
  <c r="T19" i="3"/>
  <c r="D19" i="3"/>
  <c r="M18" i="3"/>
  <c r="V17" i="3"/>
  <c r="F17" i="3"/>
  <c r="O16" i="3"/>
  <c r="X15" i="3"/>
  <c r="H15" i="3"/>
  <c r="Q14" i="3"/>
  <c r="Z12" i="3"/>
  <c r="J12" i="3"/>
  <c r="S11" i="3"/>
  <c r="C11" i="3"/>
  <c r="L10" i="3"/>
  <c r="U9" i="3"/>
  <c r="E9" i="3"/>
  <c r="N8" i="3"/>
  <c r="W7" i="3"/>
  <c r="G7" i="3"/>
  <c r="P6" i="3"/>
  <c r="W25" i="2"/>
  <c r="I26" i="10"/>
  <c r="M7" i="9"/>
  <c r="L19" i="7"/>
  <c r="L57" i="6"/>
  <c r="G49" i="6"/>
  <c r="F42" i="6"/>
  <c r="J34" i="6"/>
  <c r="N27" i="6"/>
  <c r="R19" i="6"/>
  <c r="V12" i="6"/>
  <c r="D6" i="6"/>
  <c r="X25" i="5"/>
  <c r="G21" i="5"/>
  <c r="F17" i="5"/>
  <c r="H13" i="5"/>
  <c r="J9" i="5"/>
  <c r="T6" i="5"/>
  <c r="J52" i="4"/>
  <c r="E49" i="4"/>
  <c r="Y43" i="4"/>
  <c r="T39" i="4"/>
  <c r="Q36" i="4"/>
  <c r="G32" i="4"/>
  <c r="M29" i="4"/>
  <c r="O25" i="4"/>
  <c r="Q22" i="4"/>
  <c r="W18" i="4"/>
  <c r="Y15" i="4"/>
  <c r="D14" i="4"/>
  <c r="R10" i="4"/>
  <c r="I8" i="4"/>
  <c r="Y25" i="3"/>
  <c r="R24" i="3"/>
  <c r="K23" i="3"/>
  <c r="K21" i="3"/>
  <c r="F20" i="3"/>
  <c r="AA18" i="3"/>
  <c r="W17" i="3"/>
  <c r="U16" i="3"/>
  <c r="R15" i="3"/>
  <c r="M14" i="3"/>
  <c r="L12" i="3"/>
  <c r="M11" i="3"/>
  <c r="J23" i="3"/>
  <c r="E20" i="3"/>
  <c r="U17" i="3"/>
  <c r="Q15" i="3"/>
  <c r="L11" i="3"/>
  <c r="J10" i="3"/>
  <c r="H7" i="3"/>
  <c r="G24" i="2"/>
  <c r="F21" i="2"/>
  <c r="C16" i="2"/>
  <c r="D13" i="2"/>
  <c r="G8" i="2"/>
  <c r="H7" i="2"/>
  <c r="T17" i="3"/>
  <c r="N15" i="3"/>
  <c r="I12" i="3"/>
  <c r="I11" i="3"/>
  <c r="F7" i="3"/>
  <c r="C20" i="2"/>
  <c r="Y9" i="2"/>
  <c r="G7" i="2"/>
  <c r="X10" i="2"/>
  <c r="J23" i="2"/>
  <c r="P20" i="10"/>
  <c r="E6" i="9"/>
  <c r="O18" i="7"/>
  <c r="R56" i="6"/>
  <c r="M48" i="6"/>
  <c r="M41" i="6"/>
  <c r="Q33" i="6"/>
  <c r="U26" i="6"/>
  <c r="C19" i="6"/>
  <c r="G12" i="6"/>
  <c r="K34" i="5"/>
  <c r="U25" i="5"/>
  <c r="Q20" i="5"/>
  <c r="C17" i="5"/>
  <c r="E13" i="5"/>
  <c r="G9" i="5"/>
  <c r="L6" i="5"/>
  <c r="G52" i="4"/>
  <c r="D49" i="4"/>
  <c r="V43" i="4"/>
  <c r="S39" i="4"/>
  <c r="I36" i="4"/>
  <c r="D32" i="4"/>
  <c r="I29" i="4"/>
  <c r="L25" i="4"/>
  <c r="N22" i="4"/>
  <c r="S18" i="4"/>
  <c r="V15" i="4"/>
  <c r="Q10" i="4"/>
  <c r="Q24" i="3"/>
  <c r="I6" i="3"/>
  <c r="E23" i="2"/>
  <c r="D14" i="2"/>
  <c r="D12" i="2"/>
  <c r="C10" i="2"/>
  <c r="D9" i="2"/>
  <c r="X18" i="3"/>
  <c r="K14" i="3"/>
  <c r="H10" i="3"/>
  <c r="M7" i="2"/>
  <c r="N16" i="10"/>
  <c r="X13" i="8"/>
  <c r="Q17" i="7"/>
  <c r="Q56" i="6"/>
  <c r="L48" i="6"/>
  <c r="L41" i="6"/>
  <c r="P33" i="6"/>
  <c r="T26" i="6"/>
  <c r="X18" i="6"/>
  <c r="F12" i="6"/>
  <c r="J34" i="5"/>
  <c r="I25" i="5"/>
  <c r="P20" i="5"/>
  <c r="X15" i="5"/>
  <c r="D13" i="5"/>
  <c r="F9" i="5"/>
  <c r="I6" i="5"/>
  <c r="F52" i="4"/>
  <c r="X46" i="4"/>
  <c r="U43" i="4"/>
  <c r="K39" i="4"/>
  <c r="F36" i="4"/>
  <c r="C32" i="4"/>
  <c r="E29" i="4"/>
  <c r="K25" i="4"/>
  <c r="M22" i="4"/>
  <c r="O18" i="4"/>
  <c r="U15" i="4"/>
  <c r="X11" i="4"/>
  <c r="O10" i="4"/>
  <c r="F8" i="4"/>
  <c r="V25" i="3"/>
  <c r="O24" i="3"/>
  <c r="H23" i="3"/>
  <c r="D21" i="3"/>
  <c r="D20" i="3"/>
  <c r="G9" i="3"/>
  <c r="F6" i="3"/>
  <c r="D24" i="2"/>
  <c r="E21" i="2"/>
  <c r="Y10" i="2"/>
  <c r="F8" i="2"/>
  <c r="H6" i="2"/>
  <c r="V9" i="2"/>
  <c r="Y8" i="2"/>
  <c r="D7" i="2"/>
  <c r="I20" i="2"/>
  <c r="V12" i="10"/>
  <c r="X12" i="8"/>
  <c r="Q16" i="7"/>
  <c r="W55" i="6"/>
  <c r="R47" i="6"/>
  <c r="S39" i="6"/>
  <c r="W32" i="6"/>
  <c r="E26" i="6"/>
  <c r="I18" i="6"/>
  <c r="M11" i="6"/>
  <c r="Q33" i="5"/>
  <c r="H25" i="5"/>
  <c r="M20" i="5"/>
  <c r="U15" i="5"/>
  <c r="W11" i="5"/>
  <c r="C9" i="5"/>
  <c r="H6" i="5"/>
  <c r="C52" i="4"/>
  <c r="W46" i="4"/>
  <c r="M43" i="4"/>
  <c r="H39" i="4"/>
  <c r="E36" i="4"/>
  <c r="W31" i="4"/>
  <c r="Y28" i="4"/>
  <c r="G25" i="4"/>
  <c r="J22" i="4"/>
  <c r="L18" i="4"/>
  <c r="Q15" i="4"/>
  <c r="W11" i="4"/>
  <c r="N10" i="4"/>
  <c r="E8" i="4"/>
  <c r="U25" i="3"/>
  <c r="N24" i="3"/>
  <c r="G23" i="3"/>
  <c r="C21" i="3"/>
  <c r="Z19" i="3"/>
  <c r="W18" i="3"/>
  <c r="R17" i="3"/>
  <c r="N16" i="3"/>
  <c r="J15" i="3"/>
  <c r="J14" i="3"/>
  <c r="H12" i="3"/>
  <c r="H11" i="3"/>
  <c r="G10" i="3"/>
  <c r="F9" i="3"/>
  <c r="G8" i="3"/>
  <c r="E7" i="3"/>
  <c r="E6" i="3"/>
  <c r="C25" i="2"/>
  <c r="C24" i="2"/>
  <c r="C23" i="2"/>
  <c r="Y20" i="2"/>
  <c r="Y18" i="2"/>
  <c r="C18" i="2"/>
  <c r="X14" i="2"/>
  <c r="Y13" i="2"/>
  <c r="D9" i="10"/>
  <c r="X10" i="8"/>
  <c r="T15" i="7"/>
  <c r="V55" i="6"/>
  <c r="Q47" i="6"/>
  <c r="R39" i="6"/>
  <c r="V32" i="6"/>
  <c r="D26" i="6"/>
  <c r="H18" i="6"/>
  <c r="L11" i="6"/>
  <c r="P33" i="5"/>
  <c r="E25" i="5"/>
  <c r="W19" i="5"/>
  <c r="L15" i="5"/>
  <c r="N11" i="5"/>
  <c r="P8" i="5"/>
  <c r="E6" i="5"/>
  <c r="Y50" i="4"/>
  <c r="O46" i="4"/>
  <c r="J43" i="4"/>
  <c r="G39" i="4"/>
  <c r="Y35" i="4"/>
  <c r="V31" i="4"/>
  <c r="X28" i="4"/>
  <c r="C25" i="4"/>
  <c r="I22" i="4"/>
  <c r="K18" i="4"/>
  <c r="M15" i="4"/>
  <c r="U11" i="4"/>
  <c r="L10" i="4"/>
  <c r="C8" i="4"/>
  <c r="S25" i="3"/>
  <c r="L24" i="3"/>
  <c r="E23" i="3"/>
  <c r="Z20" i="3"/>
  <c r="V19" i="3"/>
  <c r="V18" i="3"/>
  <c r="Q17" i="3"/>
  <c r="M16" i="3"/>
  <c r="I15" i="3"/>
  <c r="G14" i="3"/>
  <c r="F12" i="3"/>
  <c r="E11" i="3"/>
  <c r="F10" i="3"/>
  <c r="D9" i="3"/>
  <c r="D8" i="3"/>
  <c r="C7" i="3"/>
  <c r="Y25" i="2"/>
  <c r="Y24" i="2"/>
  <c r="W23" i="2"/>
  <c r="X21" i="2"/>
  <c r="X20" i="2"/>
  <c r="X18" i="2"/>
  <c r="W16" i="2"/>
  <c r="W14" i="2"/>
  <c r="X13" i="2"/>
  <c r="V12" i="2"/>
  <c r="W10" i="2"/>
  <c r="U9" i="2"/>
  <c r="X8" i="2"/>
  <c r="D8" i="2"/>
  <c r="C7" i="2"/>
  <c r="F6" i="2"/>
  <c r="R9" i="2"/>
  <c r="W6" i="2"/>
  <c r="N13" i="2"/>
  <c r="O9" i="2"/>
  <c r="Q7" i="2"/>
  <c r="D42" i="4"/>
  <c r="C24" i="4"/>
  <c r="R8" i="4"/>
  <c r="AA24" i="3"/>
  <c r="S12" i="3"/>
  <c r="N6" i="3"/>
  <c r="L25" i="2"/>
  <c r="K23" i="2"/>
  <c r="K16" i="2"/>
  <c r="I14" i="2"/>
  <c r="H12" i="2"/>
  <c r="J9" i="2"/>
  <c r="J22" i="7"/>
  <c r="V42" i="6"/>
  <c r="L21" i="6"/>
  <c r="P13" i="6"/>
  <c r="K21" i="5"/>
  <c r="V9" i="5"/>
  <c r="S52" i="4"/>
  <c r="D21" i="4"/>
  <c r="S32" i="9"/>
  <c r="V9" i="8"/>
  <c r="W14" i="7"/>
  <c r="F55" i="6"/>
  <c r="W46" i="6"/>
  <c r="C39" i="6"/>
  <c r="G32" i="6"/>
  <c r="K24" i="6"/>
  <c r="O17" i="6"/>
  <c r="S9" i="6"/>
  <c r="W32" i="5"/>
  <c r="O24" i="5"/>
  <c r="V19" i="5"/>
  <c r="I15" i="5"/>
  <c r="K11" i="5"/>
  <c r="M8" i="5"/>
  <c r="D6" i="5"/>
  <c r="Q50" i="4"/>
  <c r="L46" i="4"/>
  <c r="I43" i="4"/>
  <c r="D39" i="4"/>
  <c r="X35" i="4"/>
  <c r="R31" i="4"/>
  <c r="U28" i="4"/>
  <c r="W24" i="4"/>
  <c r="E22" i="4"/>
  <c r="H18" i="4"/>
  <c r="J15" i="4"/>
  <c r="T11" i="4"/>
  <c r="K10" i="4"/>
  <c r="Y7" i="4"/>
  <c r="R25" i="3"/>
  <c r="K24" i="3"/>
  <c r="D23" i="3"/>
  <c r="Y20" i="3"/>
  <c r="U19" i="3"/>
  <c r="S18" i="3"/>
  <c r="P17" i="3"/>
  <c r="K16" i="3"/>
  <c r="G15" i="3"/>
  <c r="F14" i="3"/>
  <c r="E12" i="3"/>
  <c r="D11" i="3"/>
  <c r="E10" i="3"/>
  <c r="C9" i="3"/>
  <c r="C8" i="3"/>
  <c r="AA6" i="3"/>
  <c r="X25" i="2"/>
  <c r="X24" i="2"/>
  <c r="V23" i="2"/>
  <c r="W21" i="2"/>
  <c r="U20" i="2"/>
  <c r="V18" i="2"/>
  <c r="V16" i="2"/>
  <c r="V14" i="2"/>
  <c r="U13" i="2"/>
  <c r="U12" i="2"/>
  <c r="V10" i="2"/>
  <c r="T9" i="2"/>
  <c r="W8" i="2"/>
  <c r="X7" i="2"/>
  <c r="Y6" i="2"/>
  <c r="E6" i="2"/>
  <c r="D6" i="2"/>
  <c r="AA12" i="3"/>
  <c r="C12" i="3"/>
  <c r="Z10" i="3"/>
  <c r="Z9" i="3"/>
  <c r="Y8" i="3"/>
  <c r="X7" i="3"/>
  <c r="Y6" i="3"/>
  <c r="U25" i="2"/>
  <c r="T24" i="2"/>
  <c r="T23" i="2"/>
  <c r="U21" i="2"/>
  <c r="S20" i="2"/>
  <c r="T18" i="2"/>
  <c r="R16" i="2"/>
  <c r="Q13" i="2"/>
  <c r="R10" i="2"/>
  <c r="T7" i="2"/>
  <c r="O18" i="2"/>
  <c r="M10" i="2"/>
  <c r="W25" i="4"/>
  <c r="J20" i="3"/>
  <c r="R14" i="3"/>
  <c r="Q10" i="3"/>
  <c r="P7" i="3"/>
  <c r="L24" i="2"/>
  <c r="K21" i="2"/>
  <c r="L20" i="2"/>
  <c r="J18" i="2"/>
  <c r="J13" i="2"/>
  <c r="I10" i="2"/>
  <c r="K8" i="2"/>
  <c r="F10" i="9"/>
  <c r="D36" i="6"/>
  <c r="T6" i="6"/>
  <c r="P49" i="4"/>
  <c r="S30" i="9"/>
  <c r="V8" i="8"/>
  <c r="Y13" i="7"/>
  <c r="E55" i="6"/>
  <c r="V46" i="6"/>
  <c r="X38" i="6"/>
  <c r="F32" i="6"/>
  <c r="J24" i="6"/>
  <c r="N17" i="6"/>
  <c r="R9" i="6"/>
  <c r="V32" i="5"/>
  <c r="N24" i="5"/>
  <c r="S19" i="5"/>
  <c r="H15" i="5"/>
  <c r="J11" i="5"/>
  <c r="L8" i="5"/>
  <c r="S53" i="4"/>
  <c r="N50" i="4"/>
  <c r="K46" i="4"/>
  <c r="F43" i="4"/>
  <c r="C39" i="4"/>
  <c r="P35" i="4"/>
  <c r="N31" i="4"/>
  <c r="T28" i="4"/>
  <c r="V24" i="4"/>
  <c r="X21" i="4"/>
  <c r="G18" i="4"/>
  <c r="I15" i="4"/>
  <c r="S11" i="4"/>
  <c r="J10" i="4"/>
  <c r="X7" i="4"/>
  <c r="Q25" i="3"/>
  <c r="J24" i="3"/>
  <c r="C23" i="3"/>
  <c r="W20" i="3"/>
  <c r="S19" i="3"/>
  <c r="O18" i="3"/>
  <c r="O17" i="3"/>
  <c r="J16" i="3"/>
  <c r="F15" i="3"/>
  <c r="C14" i="3"/>
  <c r="D12" i="3"/>
  <c r="AA10" i="3"/>
  <c r="AA9" i="3"/>
  <c r="Z8" i="3"/>
  <c r="Y7" i="3"/>
  <c r="Z6" i="3"/>
  <c r="V25" i="2"/>
  <c r="W24" i="2"/>
  <c r="U23" i="2"/>
  <c r="V21" i="2"/>
  <c r="T20" i="2"/>
  <c r="U18" i="2"/>
  <c r="S16" i="2"/>
  <c r="T14" i="2"/>
  <c r="T13" i="2"/>
  <c r="T12" i="2"/>
  <c r="S10" i="2"/>
  <c r="S9" i="2"/>
  <c r="V8" i="2"/>
  <c r="W7" i="2"/>
  <c r="X6" i="2"/>
  <c r="S14" i="2"/>
  <c r="R12" i="2"/>
  <c r="U8" i="2"/>
  <c r="C6" i="2"/>
  <c r="O16" i="2"/>
  <c r="O12" i="2"/>
  <c r="N45" i="4"/>
  <c r="E21" i="4"/>
  <c r="M14" i="4"/>
  <c r="I7" i="4"/>
  <c r="T23" i="3"/>
  <c r="F19" i="3"/>
  <c r="U36" i="4"/>
  <c r="H7" i="4"/>
  <c r="S23" i="3"/>
  <c r="E19" i="3"/>
  <c r="T15" i="3"/>
  <c r="M7" i="3"/>
  <c r="I25" i="2"/>
  <c r="I18" i="2"/>
  <c r="G12" i="2"/>
  <c r="S28" i="9"/>
  <c r="T7" i="8"/>
  <c r="E13" i="7"/>
  <c r="K53" i="6"/>
  <c r="F46" i="6"/>
  <c r="I38" i="6"/>
  <c r="M31" i="6"/>
  <c r="Q23" i="6"/>
  <c r="U16" i="6"/>
  <c r="C9" i="6"/>
  <c r="G32" i="5"/>
  <c r="K24" i="5"/>
  <c r="G19" i="5"/>
  <c r="E15" i="5"/>
  <c r="G11" i="5"/>
  <c r="I8" i="5"/>
  <c r="P53" i="4"/>
  <c r="M50" i="4"/>
  <c r="H46" i="4"/>
  <c r="E43" i="4"/>
  <c r="R38" i="4"/>
  <c r="M35" i="4"/>
  <c r="K31" i="4"/>
  <c r="P28" i="4"/>
  <c r="S24" i="4"/>
  <c r="U21" i="4"/>
  <c r="C18" i="4"/>
  <c r="F15" i="4"/>
  <c r="O11" i="4"/>
  <c r="F10" i="4"/>
  <c r="T7" i="4"/>
  <c r="M25" i="3"/>
  <c r="F24" i="3"/>
  <c r="AA21" i="3"/>
  <c r="V20" i="3"/>
  <c r="R19" i="3"/>
  <c r="N18" i="3"/>
  <c r="L17" i="3"/>
  <c r="I16" i="3"/>
  <c r="D15" i="3"/>
  <c r="O6" i="2"/>
  <c r="X49" i="6"/>
  <c r="O30" i="5"/>
  <c r="R17" i="5"/>
  <c r="T13" i="5"/>
  <c r="X6" i="5"/>
  <c r="F45" i="4"/>
  <c r="X22" i="9"/>
  <c r="W6" i="8"/>
  <c r="I12" i="7"/>
  <c r="J53" i="6"/>
  <c r="E46" i="6"/>
  <c r="H38" i="6"/>
  <c r="L31" i="6"/>
  <c r="P23" i="6"/>
  <c r="T16" i="6"/>
  <c r="X8" i="6"/>
  <c r="F32" i="5"/>
  <c r="U23" i="5"/>
  <c r="F19" i="5"/>
  <c r="R14" i="5"/>
  <c r="T10" i="5"/>
  <c r="V7" i="5"/>
  <c r="O53" i="4"/>
  <c r="J50" i="4"/>
  <c r="G46" i="4"/>
  <c r="T42" i="4"/>
  <c r="O38" i="4"/>
  <c r="L35" i="4"/>
  <c r="J31" i="4"/>
  <c r="L28" i="4"/>
  <c r="R24" i="4"/>
  <c r="T21" i="4"/>
  <c r="V17" i="4"/>
  <c r="E15" i="4"/>
  <c r="K11" i="4"/>
  <c r="Y8" i="4"/>
  <c r="P7" i="4"/>
  <c r="I25" i="3"/>
  <c r="AA23" i="3"/>
  <c r="X21" i="3"/>
  <c r="U20" i="3"/>
  <c r="P19" i="3"/>
  <c r="L18" i="3"/>
  <c r="H17" i="3"/>
  <c r="H16" i="3"/>
  <c r="C15" i="3"/>
  <c r="Y12" i="3"/>
  <c r="Y11" i="3"/>
  <c r="X10" i="3"/>
  <c r="W9" i="3"/>
  <c r="X8" i="3"/>
  <c r="V7" i="3"/>
  <c r="V6" i="3"/>
  <c r="S25" i="2"/>
  <c r="S24" i="2"/>
  <c r="S23" i="2"/>
  <c r="R21" i="2"/>
  <c r="R20" i="2"/>
  <c r="S18" i="2"/>
  <c r="Q16" i="2"/>
  <c r="R14" i="2"/>
  <c r="P13" i="2"/>
  <c r="Q12" i="2"/>
  <c r="O10" i="2"/>
  <c r="Q9" i="2"/>
  <c r="T8" i="2"/>
  <c r="S7" i="2"/>
  <c r="V6" i="2"/>
  <c r="Q14" i="2"/>
  <c r="P9" i="2"/>
  <c r="R7" i="2"/>
  <c r="K38" i="4"/>
  <c r="H28" i="4"/>
  <c r="P21" i="4"/>
  <c r="H11" i="4"/>
  <c r="F25" i="3"/>
  <c r="I18" i="3"/>
  <c r="E17" i="3"/>
  <c r="Z15" i="3"/>
  <c r="V12" i="3"/>
  <c r="T8" i="3"/>
  <c r="Q25" i="2"/>
  <c r="J16" i="2"/>
  <c r="I9" i="2"/>
  <c r="C21" i="9"/>
  <c r="Y27" i="7"/>
  <c r="M11" i="7"/>
  <c r="P52" i="6"/>
  <c r="K44" i="6"/>
  <c r="O37" i="6"/>
  <c r="S29" i="6"/>
  <c r="W22" i="6"/>
  <c r="E16" i="6"/>
  <c r="I8" i="6"/>
  <c r="M31" i="5"/>
  <c r="T23" i="5"/>
  <c r="C19" i="5"/>
  <c r="O14" i="5"/>
  <c r="Q10" i="5"/>
  <c r="S7" i="5"/>
  <c r="L53" i="4"/>
  <c r="I50" i="4"/>
  <c r="V45" i="4"/>
  <c r="Q42" i="4"/>
  <c r="N38" i="4"/>
  <c r="I35" i="4"/>
  <c r="G31" i="4"/>
  <c r="I28" i="4"/>
  <c r="N24" i="4"/>
  <c r="Q21" i="4"/>
  <c r="S17" i="4"/>
  <c r="X14" i="4"/>
  <c r="J11" i="4"/>
  <c r="X8" i="4"/>
  <c r="O7" i="4"/>
  <c r="H25" i="3"/>
  <c r="Z23" i="3"/>
  <c r="T21" i="3"/>
  <c r="T20" i="3"/>
  <c r="O19" i="3"/>
  <c r="K18" i="3"/>
  <c r="G17" i="3"/>
  <c r="E16" i="3"/>
  <c r="AA14" i="3"/>
  <c r="X12" i="3"/>
  <c r="X11" i="3"/>
  <c r="W10" i="3"/>
  <c r="V9" i="3"/>
  <c r="W8" i="3"/>
  <c r="U7" i="3"/>
  <c r="U6" i="3"/>
  <c r="R25" i="2"/>
  <c r="P24" i="2"/>
  <c r="Q23" i="2"/>
  <c r="Q21" i="2"/>
  <c r="Q20" i="2"/>
  <c r="P18" i="2"/>
  <c r="P16" i="2"/>
  <c r="O13" i="2"/>
  <c r="P12" i="2"/>
  <c r="N10" i="2"/>
  <c r="Q8" i="2"/>
  <c r="U6" i="2"/>
  <c r="H35" i="4"/>
  <c r="F31" i="4"/>
  <c r="J24" i="4"/>
  <c r="T14" i="4"/>
  <c r="S21" i="3"/>
  <c r="Z14" i="3"/>
  <c r="U11" i="3"/>
  <c r="V10" i="3"/>
  <c r="T9" i="3"/>
  <c r="S7" i="3"/>
  <c r="R6" i="3"/>
  <c r="O24" i="2"/>
  <c r="P23" i="2"/>
  <c r="N21" i="2"/>
  <c r="O20" i="2"/>
  <c r="N14" i="2"/>
  <c r="P8" i="2"/>
  <c r="T6" i="2"/>
  <c r="S32" i="4"/>
  <c r="J17" i="4"/>
  <c r="D11" i="4"/>
  <c r="Z16" i="3"/>
  <c r="N7" i="2"/>
  <c r="H58" i="6"/>
  <c r="X39" i="4"/>
  <c r="Q29" i="4"/>
  <c r="S25" i="4"/>
  <c r="Y22" i="4"/>
  <c r="F17" i="4"/>
  <c r="C11" i="4"/>
  <c r="Q8" i="4"/>
  <c r="Z24" i="3"/>
  <c r="I20" i="3"/>
  <c r="P12" i="3"/>
  <c r="N10" i="3"/>
  <c r="M8" i="3"/>
  <c r="I13" i="2"/>
  <c r="I18" i="9"/>
  <c r="Y26" i="7"/>
  <c r="O8" i="7"/>
  <c r="O52" i="6"/>
  <c r="J44" i="6"/>
  <c r="N37" i="6"/>
  <c r="R29" i="6"/>
  <c r="V22" i="6"/>
  <c r="D16" i="6"/>
  <c r="H8" i="6"/>
  <c r="L31" i="5"/>
  <c r="Q23" i="5"/>
  <c r="M18" i="5"/>
  <c r="N14" i="5"/>
  <c r="P10" i="5"/>
  <c r="R7" i="5"/>
  <c r="K53" i="4"/>
  <c r="X49" i="4"/>
  <c r="S45" i="4"/>
  <c r="P42" i="4"/>
  <c r="R17" i="4"/>
  <c r="V8" i="4"/>
  <c r="M7" i="4"/>
  <c r="X23" i="3"/>
  <c r="Q20" i="3"/>
  <c r="N19" i="3"/>
  <c r="M21" i="3"/>
  <c r="Y16" i="3"/>
  <c r="O11" i="3"/>
  <c r="O9" i="3"/>
  <c r="L6" i="3"/>
  <c r="J24" i="2"/>
  <c r="H14" i="2"/>
  <c r="N6" i="2"/>
  <c r="O15" i="9"/>
  <c r="E26" i="7"/>
  <c r="R7" i="7"/>
  <c r="U51" i="6"/>
  <c r="Q43" i="6"/>
  <c r="U36" i="6"/>
  <c r="C29" i="6"/>
  <c r="G22" i="6"/>
  <c r="K14" i="6"/>
  <c r="O7" i="6"/>
  <c r="I31" i="5"/>
  <c r="E23" i="5"/>
  <c r="L18" i="5"/>
  <c r="K14" i="5"/>
  <c r="M10" i="5"/>
  <c r="O7" i="5"/>
  <c r="C53" i="4"/>
  <c r="U49" i="4"/>
  <c r="R45" i="4"/>
  <c r="M42" i="4"/>
  <c r="J38" i="4"/>
  <c r="W32" i="4"/>
  <c r="Y29" i="4"/>
  <c r="E28" i="4"/>
  <c r="G24" i="4"/>
  <c r="L21" i="4"/>
  <c r="O17" i="4"/>
  <c r="Q14" i="4"/>
  <c r="G11" i="4"/>
  <c r="U8" i="4"/>
  <c r="L7" i="4"/>
  <c r="E25" i="3"/>
  <c r="W23" i="3"/>
  <c r="Q21" i="3"/>
  <c r="M20" i="3"/>
  <c r="M19" i="3"/>
  <c r="H18" i="3"/>
  <c r="D17" i="3"/>
  <c r="Y15" i="3"/>
  <c r="W14" i="3"/>
  <c r="U12" i="3"/>
  <c r="T11" i="3"/>
  <c r="U10" i="3"/>
  <c r="S9" i="3"/>
  <c r="S8" i="3"/>
  <c r="R7" i="3"/>
  <c r="Q6" i="3"/>
  <c r="P25" i="2"/>
  <c r="N24" i="2"/>
  <c r="O23" i="2"/>
  <c r="M21" i="2"/>
  <c r="N20" i="2"/>
  <c r="L18" i="2"/>
  <c r="M16" i="2"/>
  <c r="M14" i="2"/>
  <c r="M13" i="2"/>
  <c r="L12" i="2"/>
  <c r="L10" i="2"/>
  <c r="N9" i="2"/>
  <c r="M8" i="2"/>
  <c r="P7" i="2"/>
  <c r="S6" i="2"/>
  <c r="P11" i="9"/>
  <c r="D6" i="7"/>
  <c r="C51" i="6"/>
  <c r="W42" i="6"/>
  <c r="I28" i="6"/>
  <c r="M21" i="6"/>
  <c r="U6" i="6"/>
  <c r="W21" i="5"/>
  <c r="U13" i="5"/>
  <c r="W9" i="5"/>
  <c r="N21" i="3"/>
  <c r="F18" i="3"/>
  <c r="V15" i="3"/>
  <c r="Q11" i="3"/>
  <c r="P9" i="3"/>
  <c r="O8" i="3"/>
  <c r="C18" i="3"/>
  <c r="F14" i="9"/>
  <c r="G25" i="7"/>
  <c r="V6" i="7"/>
  <c r="S51" i="6"/>
  <c r="P43" i="6"/>
  <c r="T36" i="6"/>
  <c r="X28" i="6"/>
  <c r="F22" i="6"/>
  <c r="J14" i="6"/>
  <c r="N7" i="6"/>
  <c r="S30" i="5"/>
  <c r="D23" i="5"/>
  <c r="I18" i="5"/>
  <c r="X13" i="5"/>
  <c r="D10" i="5"/>
  <c r="F7" i="5"/>
  <c r="W52" i="4"/>
  <c r="T49" i="4"/>
  <c r="O45" i="4"/>
  <c r="L42" i="4"/>
  <c r="Y36" i="4"/>
  <c r="T32" i="4"/>
  <c r="U29" i="4"/>
  <c r="D28" i="4"/>
  <c r="F24" i="4"/>
  <c r="H21" i="4"/>
  <c r="N17" i="4"/>
  <c r="P14" i="4"/>
  <c r="E11" i="4"/>
  <c r="S8" i="4"/>
  <c r="J7" i="4"/>
  <c r="C25" i="3"/>
  <c r="U23" i="3"/>
  <c r="P21" i="3"/>
  <c r="L20" i="3"/>
  <c r="J19" i="3"/>
  <c r="G18" i="3"/>
  <c r="AA16" i="3"/>
  <c r="W15" i="3"/>
  <c r="S14" i="3"/>
  <c r="T12" i="3"/>
  <c r="R11" i="3"/>
  <c r="R10" i="3"/>
  <c r="Q9" i="3"/>
  <c r="P8" i="3"/>
  <c r="Q7" i="3"/>
  <c r="O6" i="3"/>
  <c r="M25" i="2"/>
  <c r="M24" i="2"/>
  <c r="N23" i="2"/>
  <c r="L21" i="2"/>
  <c r="M20" i="2"/>
  <c r="K18" i="2"/>
  <c r="L16" i="2"/>
  <c r="J14" i="2"/>
  <c r="K13" i="2"/>
  <c r="K12" i="2"/>
  <c r="K10" i="2"/>
  <c r="M9" i="2"/>
  <c r="L8" i="2"/>
  <c r="O7" i="2"/>
  <c r="R6" i="2"/>
  <c r="G23" i="7"/>
  <c r="E36" i="6"/>
  <c r="Q13" i="6"/>
  <c r="R30" i="5"/>
  <c r="S17" i="5"/>
  <c r="C7" i="5"/>
  <c r="V52" i="4"/>
  <c r="Q49" i="4"/>
  <c r="V36" i="4"/>
  <c r="R29" i="4"/>
  <c r="H28" i="6"/>
  <c r="P32" i="4"/>
  <c r="L14" i="4"/>
  <c r="P14" i="3"/>
  <c r="J8" i="2"/>
  <c r="T8" i="9"/>
  <c r="L20" i="7"/>
  <c r="M57" i="6"/>
  <c r="H49" i="6"/>
  <c r="G42" i="6"/>
  <c r="K34" i="6"/>
  <c r="O27" i="6"/>
  <c r="S19" i="6"/>
  <c r="W12" i="6"/>
  <c r="E6" i="6"/>
  <c r="C30" i="5"/>
  <c r="J21" i="5"/>
  <c r="O17" i="5"/>
  <c r="Q13" i="5"/>
  <c r="S9" i="5"/>
  <c r="U6" i="5"/>
  <c r="R52" i="4"/>
  <c r="H49" i="4"/>
  <c r="C45" i="4"/>
  <c r="W39" i="4"/>
  <c r="R36" i="4"/>
  <c r="O32" i="4"/>
  <c r="N29" i="4"/>
  <c r="P25" i="4"/>
  <c r="U22" i="4"/>
  <c r="X18" i="4"/>
  <c r="C17" i="4"/>
  <c r="H14" i="4"/>
  <c r="V10" i="4"/>
  <c r="M8" i="4"/>
  <c r="D7" i="4"/>
  <c r="V24" i="3"/>
  <c r="O23" i="3"/>
  <c r="L21" i="3"/>
  <c r="G20" i="3"/>
  <c r="C19" i="3"/>
  <c r="X17" i="3"/>
  <c r="X16" i="3"/>
  <c r="S15" i="3"/>
  <c r="O14" i="3"/>
  <c r="O12" i="3"/>
  <c r="N11" i="3"/>
  <c r="M10" i="3"/>
  <c r="N9" i="3"/>
  <c r="L8" i="3"/>
  <c r="L7" i="3"/>
  <c r="K6" i="3"/>
  <c r="H25" i="2"/>
  <c r="I24" i="2"/>
  <c r="G23" i="2"/>
  <c r="H21" i="2"/>
  <c r="H20" i="2"/>
  <c r="H18" i="2"/>
  <c r="G16" i="2"/>
  <c r="G14" i="2"/>
  <c r="H13" i="2"/>
  <c r="F12" i="2"/>
  <c r="G10" i="2"/>
  <c r="F9" i="2"/>
  <c r="I8" i="2"/>
  <c r="L7" i="2"/>
  <c r="K6" i="2"/>
  <c r="K10" i="3"/>
  <c r="K9" i="3"/>
  <c r="J8" i="3"/>
  <c r="I7" i="3"/>
  <c r="J6" i="3"/>
  <c r="G25" i="2"/>
  <c r="H24" i="2"/>
  <c r="F23" i="2"/>
  <c r="G21" i="2"/>
  <c r="E20" i="2"/>
  <c r="F18" i="2"/>
  <c r="F16" i="2"/>
  <c r="F14" i="2"/>
  <c r="E13" i="2"/>
  <c r="E12" i="2"/>
  <c r="F10" i="2"/>
  <c r="E9" i="2"/>
  <c r="H8" i="2"/>
  <c r="K7" i="2"/>
  <c r="J6" i="2"/>
  <c r="C14" i="4"/>
  <c r="H8" i="4"/>
  <c r="X25" i="3"/>
  <c r="H21" i="3"/>
  <c r="Y18" i="3"/>
  <c r="Q16" i="3"/>
  <c r="L14" i="3"/>
  <c r="K12" i="3"/>
  <c r="J9" i="3"/>
  <c r="I8" i="3"/>
  <c r="F25" i="2"/>
  <c r="D20" i="2"/>
  <c r="E18" i="2"/>
  <c r="I6" i="2"/>
  <c r="P16" i="3"/>
  <c r="H8" i="3"/>
  <c r="E25" i="2"/>
  <c r="D23" i="2"/>
  <c r="D18" i="2"/>
  <c r="Y14" i="2"/>
  <c r="C14" i="2"/>
  <c r="X12" i="2"/>
  <c r="C9" i="2"/>
  <c r="W12" i="2"/>
  <c r="E8" i="2"/>
  <c r="G6" i="2"/>
  <c r="J21" i="2"/>
  <c r="H10" i="2"/>
</calcChain>
</file>

<file path=xl/sharedStrings.xml><?xml version="1.0" encoding="utf-8"?>
<sst xmlns="http://schemas.openxmlformats.org/spreadsheetml/2006/main" count="6026" uniqueCount="1796">
  <si>
    <t>Revenue</t>
  </si>
  <si>
    <t>Total Revenue</t>
  </si>
  <si>
    <t>Gross Profit</t>
  </si>
  <si>
    <t>Cash &amp; Equivalents</t>
  </si>
  <si>
    <t>Reference Items</t>
  </si>
  <si>
    <t>Right click to show data transparency (not supported for all values)</t>
  </si>
  <si>
    <t>FY 2005</t>
  </si>
  <si>
    <t>Sarepta Therapeutics Inc (SRPT US) - Adj Highlights</t>
  </si>
  <si>
    <t>In Millions of USD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</si>
  <si>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</si>
  <si>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</si>
  <si>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</si>
  <si>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</si>
  <si>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</si>
  <si>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</si>
  <si>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</si>
  <si>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</si>
  <si>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</si>
  <si>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</si>
  <si>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</si>
  <si>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</si>
  <si>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</si>
  <si>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</si>
  <si>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</si>
  <si>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</si>
  <si>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</si>
  <si>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</si>
  <si>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</si>
  <si>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</si>
  <si>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</si>
  <si>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</si>
  <si>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</si>
  <si>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 Est</t>
  </si>
  <si>
    <t>Q2 2025 Est</t>
  </si>
  <si>
    <t>3 Months Ending</t>
  </si>
  <si>
    <t>06/30/2019</t>
  </si>
  <si>
    <t>09/30/2019</t>
  </si>
  <si>
    <t>12/31/2019</t>
  </si>
  <si>
    <t>03/31/2020</t>
  </si>
  <si>
    <t>06/30/2020</t>
  </si>
  <si>
    <t>09/30/2020</t>
  </si>
  <si>
    <t>12/31/2020</t>
  </si>
  <si>
    <t>03/31/2021</t>
  </si>
  <si>
    <t>06/30/2021</t>
  </si>
  <si>
    <t>09/30/2021</t>
  </si>
  <si>
    <t>12/31/2021</t>
  </si>
  <si>
    <t>03/31/2022</t>
  </si>
  <si>
    <t>06/30/2022</t>
  </si>
  <si>
    <t>09/30/2022</t>
  </si>
  <si>
    <t>12/31/2022</t>
  </si>
  <si>
    <t>03/31/2023</t>
  </si>
  <si>
    <t>06/30/2023</t>
  </si>
  <si>
    <t>09/30/2023</t>
  </si>
  <si>
    <t>12/31/2023</t>
  </si>
  <si>
    <t>03/31/2024</t>
  </si>
  <si>
    <t>06/30/2024</t>
  </si>
  <si>
    <t>09/30/2024</t>
  </si>
  <si>
    <t>12/31/2024</t>
  </si>
  <si>
    <t>03/31/2025</t>
  </si>
  <si>
    <t>06/30/2025</t>
  </si>
  <si>
    <t>Market Capitalization</t>
  </si>
  <si>
    <t>HISTORICAL_MARKET_CAP</t>
  </si>
  <si>
    <t>- Cash &amp; Equivalents</t>
  </si>
  <si>
    <t>CASH_AND_MARKETABLE_SECURITIES</t>
  </si>
  <si>
    <t>+ Preferred &amp; Other</t>
  </si>
  <si>
    <t>PFD_EQTY_MINORTY_INTEREST</t>
  </si>
  <si>
    <t>+ Total Debt</t>
  </si>
  <si>
    <t>SHORT_AND_LONG_TERM_DEBT</t>
  </si>
  <si>
    <t>Enterprise Value</t>
  </si>
  <si>
    <t>ENTERPRISE_VALUE</t>
  </si>
  <si>
    <t>Revenue, Adj</t>
  </si>
  <si>
    <t>SALES_REV_TURN</t>
  </si>
  <si>
    <t xml:space="preserve">  Growth %, YoY</t>
  </si>
  <si>
    <t>SALES_GROWTH</t>
  </si>
  <si>
    <t>Gross Profit, Adj</t>
  </si>
  <si>
    <t>GROSS_PROFIT</t>
  </si>
  <si>
    <t xml:space="preserve">  Margin %</t>
  </si>
  <si>
    <t>EBITDA, Adj</t>
  </si>
  <si>
    <t>EBITDA</t>
  </si>
  <si>
    <t>Net Income, Adj</t>
  </si>
  <si>
    <t>EARN_FOR_COMMON</t>
  </si>
  <si>
    <t>EPS, Adj</t>
  </si>
  <si>
    <t>IS_DIL_EPS_CONT_OPS</t>
  </si>
  <si>
    <t>DILUTED_EPS_AFT_XO_ITEMS_GROWTH</t>
  </si>
  <si>
    <t>Cash from Operations</t>
  </si>
  <si>
    <t>CF_CASH_FROM_OPER</t>
  </si>
  <si>
    <t>Capital Expenditures</t>
  </si>
  <si>
    <t>CAPITAL_EXPEND</t>
  </si>
  <si>
    <t>Free Cash Flow</t>
  </si>
  <si>
    <t>CF_FREE_CASH_FLOW</t>
  </si>
  <si>
    <t>Source: Bloomberg</t>
  </si>
  <si>
    <t>Sarepta Therapeutics Inc (SRPT US) - GAAP Highlights</t>
  </si>
  <si>
    <t>In Millions of USD except Per Share</t>
  </si>
  <si>
    <t>Q4 2018</t>
  </si>
  <si>
    <t>Q1 2019</t>
  </si>
  <si>
    <t>12/31/2018</t>
  </si>
  <si>
    <t>03/31/2019</t>
  </si>
  <si>
    <t>Total Revenues</t>
  </si>
  <si>
    <t>Operating Income</t>
  </si>
  <si>
    <t>IS_OPER_INC</t>
  </si>
  <si>
    <t>Net Income to Common</t>
  </si>
  <si>
    <t>Basic EPS, GAAP</t>
  </si>
  <si>
    <t>IS_EPS</t>
  </si>
  <si>
    <t>Diluted EPS, GAAP</t>
  </si>
  <si>
    <t>IS_DILUTED_EPS</t>
  </si>
  <si>
    <t xml:space="preserve">  Basic Weighted Avg Shares</t>
  </si>
  <si>
    <t>IS_AVG_NUM_SH_FOR_EPS</t>
  </si>
  <si>
    <t xml:space="preserve">  Diluted Weighted Avg Shares</t>
  </si>
  <si>
    <t>IS_SH_FOR_DILUTED_EPS</t>
  </si>
  <si>
    <t>Cash and Equivalents</t>
  </si>
  <si>
    <t>Total Current Assets</t>
  </si>
  <si>
    <t>BS_CUR_ASSET_REPORT</t>
  </si>
  <si>
    <t>Total Assets</t>
  </si>
  <si>
    <t>BS_TOT_ASSET</t>
  </si>
  <si>
    <t>Total Current Liabilities</t>
  </si>
  <si>
    <t>BS_CUR_LIAB</t>
  </si>
  <si>
    <t>Total Liabilities</t>
  </si>
  <si>
    <t>BS_TOT_LIAB2</t>
  </si>
  <si>
    <t>Total Equity</t>
  </si>
  <si>
    <t>TOTAL_EQUITY</t>
  </si>
  <si>
    <t xml:space="preserve">  Shares Out on Balance Sheet</t>
  </si>
  <si>
    <t>BS_SH_OUT</t>
  </si>
  <si>
    <t xml:space="preserve">  Shares Out on Filing Cover</t>
  </si>
  <si>
    <t>ARD_SHARE_OUT_FROM_FRONT_COVER</t>
  </si>
  <si>
    <t>Cash From Operations</t>
  </si>
  <si>
    <t>Cash From Investing</t>
  </si>
  <si>
    <t>CF_CASH_FROM_INV_ACT</t>
  </si>
  <si>
    <t>Cash From Financing</t>
  </si>
  <si>
    <t>CF_CASH_FROM_FNC_ACT</t>
  </si>
  <si>
    <t>Sarepta Therapeutics Inc (SRPT US) - Earnings</t>
  </si>
  <si>
    <t>Consensus Estimate</t>
  </si>
  <si>
    <t>BEST_SALES</t>
  </si>
  <si>
    <t>Comparable Actual</t>
  </si>
  <si>
    <t>IS_COMP_SALES</t>
  </si>
  <si>
    <t xml:space="preserve">  Revenue Surprise %</t>
  </si>
  <si>
    <t xml:space="preserve">  GAAP Actual</t>
  </si>
  <si>
    <t xml:space="preserve">  Adjusted Actual</t>
  </si>
  <si>
    <t>Earnings Per Share</t>
  </si>
  <si>
    <t>BEST_EPS_GAAP</t>
  </si>
  <si>
    <t>IS_COMP_EPS_GAAP</t>
  </si>
  <si>
    <t xml:space="preserve">  EPS Surprise %</t>
  </si>
  <si>
    <t>—</t>
  </si>
  <si>
    <t>EBIT</t>
  </si>
  <si>
    <t>BEST_OPP</t>
  </si>
  <si>
    <t>IS_COMPARABLE_EBIT</t>
  </si>
  <si>
    <t xml:space="preserve">  EBIT Surprise %</t>
  </si>
  <si>
    <t>BEST_EBITDA</t>
  </si>
  <si>
    <t>IS_COMPARABLE_EBITDA</t>
  </si>
  <si>
    <t xml:space="preserve">  EBITDA Surprise %</t>
  </si>
  <si>
    <t>Gross Margin %</t>
  </si>
  <si>
    <t>BEST_GROSS_MARGIN</t>
  </si>
  <si>
    <t>IS_COMP_GROSS_MARGIN_PERCENTAGE</t>
  </si>
  <si>
    <t xml:space="preserve">  Gross Margin Surprise %</t>
  </si>
  <si>
    <t>GROSS_MARGIN</t>
  </si>
  <si>
    <t>Pretax Income (Loss)</t>
  </si>
  <si>
    <t>BEST_PTP</t>
  </si>
  <si>
    <t>IS_COMP_PTP_EX_STK_BASED_COMP</t>
  </si>
  <si>
    <t xml:space="preserve">  Pretax Income (Loss) Surprise %</t>
  </si>
  <si>
    <t>PRETAX_INC</t>
  </si>
  <si>
    <t>Net Income</t>
  </si>
  <si>
    <t>BEST_NET_GAAP</t>
  </si>
  <si>
    <t>IS_COMP_NET_INCOME_GAAP</t>
  </si>
  <si>
    <t xml:space="preserve">  Net Income Surprise %</t>
  </si>
  <si>
    <t>Sarepta Therapeutics Inc (SRPT US) - Enterprise Value</t>
  </si>
  <si>
    <t>Current</t>
  </si>
  <si>
    <t>03/28/2025</t>
  </si>
  <si>
    <t xml:space="preserve">  - Cash &amp; Equivalents</t>
  </si>
  <si>
    <t xml:space="preserve">  + Preferred Equity</t>
  </si>
  <si>
    <t>PFD_EQTY_HYBRID_CAPITAL</t>
  </si>
  <si>
    <t xml:space="preserve">  + Minority Interest</t>
  </si>
  <si>
    <t>MINORITY_NONCONTROLLING_INTEREST</t>
  </si>
  <si>
    <t xml:space="preserve">  + Total Debt</t>
  </si>
  <si>
    <t>Total Capital</t>
  </si>
  <si>
    <t>BS_TOT_CAP</t>
  </si>
  <si>
    <t>Total Debt/Total Capital</t>
  </si>
  <si>
    <t>TOT_DEBT_TO_TOT_CAP</t>
  </si>
  <si>
    <t>Total Debt/EV</t>
  </si>
  <si>
    <t>TOTAL_DEBT_TO_EV</t>
  </si>
  <si>
    <t>EV/Sales</t>
  </si>
  <si>
    <t>EV_TO_T12M_SALES</t>
  </si>
  <si>
    <t>EV/EBITDA</t>
  </si>
  <si>
    <t>EV_TO_T12M_EBITDA</t>
  </si>
  <si>
    <t>EV/EBIT</t>
  </si>
  <si>
    <t>EV_TO_T12M_EBIT</t>
  </si>
  <si>
    <t>EV/Cash Flow to Firm</t>
  </si>
  <si>
    <t>EV_TO_T12M_CASH_FLOW_FIRM</t>
  </si>
  <si>
    <t>EV/Free Cash Flow to Firm</t>
  </si>
  <si>
    <t>EV_TO_T12M_FREE_CASH_FLOW_FIRM</t>
  </si>
  <si>
    <t>Diluted Market Cap</t>
  </si>
  <si>
    <t>DILUTED_MKT_CAP</t>
  </si>
  <si>
    <t>Diluted Enterprise Value</t>
  </si>
  <si>
    <t>DILUTED_EV</t>
  </si>
  <si>
    <t>EV per Share</t>
  </si>
  <si>
    <t>EV_TO_SH_OUT</t>
  </si>
  <si>
    <t>Trailing 12 Month Values for Ratios</t>
  </si>
  <si>
    <t>IFRS 16/ASC 842 Adoption</t>
  </si>
  <si>
    <t>IFRS_16_ASC_842_ADOPTION_IND</t>
  </si>
  <si>
    <t>Yes</t>
  </si>
  <si>
    <t>Sales</t>
  </si>
  <si>
    <t>TRAIL_12M_NET_SALES</t>
  </si>
  <si>
    <t>TRAIL_12M_EBITDA</t>
  </si>
  <si>
    <t>TRAIL_12M_OPER_INC</t>
  </si>
  <si>
    <t>Cash Flow To Firm</t>
  </si>
  <si>
    <t>TRAIL_12M_CASH_FLOW_FIRM</t>
  </si>
  <si>
    <t>Free Cash Flow To Firm</t>
  </si>
  <si>
    <t>TRAIL_12M_FREE_CASH_FLOW_FIRM</t>
  </si>
  <si>
    <t>Sarepta Therapeutics Inc (SRPT US) - Multiples</t>
  </si>
  <si>
    <t>P/E</t>
  </si>
  <si>
    <t>PE_RATIO</t>
  </si>
  <si>
    <t xml:space="preserve">  Average</t>
  </si>
  <si>
    <t>AVERAGE_PRICE_EARNINGS_RATIO</t>
  </si>
  <si>
    <t xml:space="preserve">  High</t>
  </si>
  <si>
    <t>PX_ERN_RATIO_WITH_HIGH_CLOS_PX</t>
  </si>
  <si>
    <t xml:space="preserve">  Low</t>
  </si>
  <si>
    <t>PX_ERN_RATIO_WITH_LOW_CLOS_PX</t>
  </si>
  <si>
    <t>P/Book</t>
  </si>
  <si>
    <t>PX_TO_BOOK_RATIO</t>
  </si>
  <si>
    <t>AVERAGE_PRICE_TO_BOOK_RATIO</t>
  </si>
  <si>
    <t>HIGH_CLOSING_PRICE_TO_BOOK_RATIO</t>
  </si>
  <si>
    <t>LOW_CLOSING_PRICE_TO_BOOK_RATIO</t>
  </si>
  <si>
    <t>P/Tangible Book</t>
  </si>
  <si>
    <t>PX_TO_TANG_BV_PER_SH</t>
  </si>
  <si>
    <t>AVERAGE_PRICE_TO_TANGIBLE_BPS</t>
  </si>
  <si>
    <t>HIGH_PRICE_TO_TANGIBLE_BPS</t>
  </si>
  <si>
    <t>LOW_PRICE_TO_TANGIBLE_BPS</t>
  </si>
  <si>
    <t>P/Sales</t>
  </si>
  <si>
    <t>PX_TO_SALES_RATIO</t>
  </si>
  <si>
    <t>AVERAGE_PRICE_TO_SALES_RATIO</t>
  </si>
  <si>
    <t>HIGH_PX_TO_SALES_RATIO</t>
  </si>
  <si>
    <t>LOW_PX_TO_SALES_RATIO</t>
  </si>
  <si>
    <t>P/Cash Flow</t>
  </si>
  <si>
    <t>PX_TO_CASH_FLOW</t>
  </si>
  <si>
    <t>AVERAGE_PRICE_TO_CASH_FLOW</t>
  </si>
  <si>
    <t>HIGH_CLOSING_PRICE_TO_CASH_FLOW</t>
  </si>
  <si>
    <t>LOW_CLOSING_PRICE_TO_CASH_FLOW</t>
  </si>
  <si>
    <t>P/Free Cash Flow</t>
  </si>
  <si>
    <t>PX_TO_FREE_CASH_FLOW</t>
  </si>
  <si>
    <t>AVERAGE_PRICE_TO_FREE_CASH_FLOW</t>
  </si>
  <si>
    <t>HIGH_PRICE_TO_FREE_CASH_FLOW</t>
  </si>
  <si>
    <t>LOW_PRICE_TO_FREE_CASH_FLOW</t>
  </si>
  <si>
    <t>AVERAGE_EV_TO_T12M_SALES</t>
  </si>
  <si>
    <t>HIGH_EV_TO_T12M_SALES</t>
  </si>
  <si>
    <t>LOW_EV_TO_T12M_SALES</t>
  </si>
  <si>
    <t>AVG_EV_TO_T12M_EBITDA</t>
  </si>
  <si>
    <t>HIGH_EV_TO_T12M_EBITDA</t>
  </si>
  <si>
    <t>LOW_EV_TO_T12M_EBITDA</t>
  </si>
  <si>
    <t>AVERAGE_EV_TO_T12M_EBIT</t>
  </si>
  <si>
    <t>HIGH_EV_TO_T12M_EBIT</t>
  </si>
  <si>
    <t>LOW_EV_TO_T12M_EBIT</t>
  </si>
  <si>
    <t>Price/Share</t>
  </si>
  <si>
    <t>PX_LAST</t>
  </si>
  <si>
    <t>PX_HIGH</t>
  </si>
  <si>
    <t>PX_LOW</t>
  </si>
  <si>
    <t>AVERAGE_ENTERPRISE_VALUE</t>
  </si>
  <si>
    <t>HIGH_ENTERPRISE_VALUE</t>
  </si>
  <si>
    <t>LOW_ENTERPRISE_VALUE</t>
  </si>
  <si>
    <t>Sarepta Therapeutics Inc (SRPT US) - Per Share</t>
  </si>
  <si>
    <t>Basic Shares Outstanding</t>
  </si>
  <si>
    <t>Diluted Weighted Avg Shares</t>
  </si>
  <si>
    <t>Basic Weighted Avg Shares</t>
  </si>
  <si>
    <t>Per Share Data Items</t>
  </si>
  <si>
    <t>REVENUE_PER_SH</t>
  </si>
  <si>
    <t>EBITDA_PER_SH</t>
  </si>
  <si>
    <t>OPER_INC_PER_SH</t>
  </si>
  <si>
    <t>Net Income to Common - Basic</t>
  </si>
  <si>
    <t>Net Income before XO - Basic</t>
  </si>
  <si>
    <t>IS_EARN_BEF_XO_ITEMS_PER_SH</t>
  </si>
  <si>
    <t>Normalized Net Income - Basic</t>
  </si>
  <si>
    <t>IS_BASIC_EPS_CONT_OPS</t>
  </si>
  <si>
    <t>Net Income to Common - Diluted</t>
  </si>
  <si>
    <t>Net Income before XO - Diluted</t>
  </si>
  <si>
    <t>IS_DIL_EPS_BEF_XO</t>
  </si>
  <si>
    <t>Normalized Net Income - Diluted</t>
  </si>
  <si>
    <t>Dividends</t>
  </si>
  <si>
    <t>EQY_DPS</t>
  </si>
  <si>
    <t>Cash Flow</t>
  </si>
  <si>
    <t>CASH_FLOW_PER_SH</t>
  </si>
  <si>
    <t>FREE_CASH_FLOW_PER_SH</t>
  </si>
  <si>
    <t>CASH_ST_INVESTMENTS_PER_SH</t>
  </si>
  <si>
    <t>Book Value</t>
  </si>
  <si>
    <t>BOOK_VAL_PER_SH</t>
  </si>
  <si>
    <t>Tangible Book Value</t>
  </si>
  <si>
    <t>TANG_BOOK_VAL_PER_SH</t>
  </si>
  <si>
    <t>Sarepta Therapeutics Inc (SRPT US) - Stock Value</t>
  </si>
  <si>
    <t>Last Price</t>
  </si>
  <si>
    <t xml:space="preserve">  Period-over-Period % Change</t>
  </si>
  <si>
    <t>CHG_PCT_PERIOD</t>
  </si>
  <si>
    <t>Open Price</t>
  </si>
  <si>
    <t>PX_OPEN</t>
  </si>
  <si>
    <t>High Price</t>
  </si>
  <si>
    <t>Low Price</t>
  </si>
  <si>
    <t xml:space="preserve">  Current Shares Outstanding</t>
  </si>
  <si>
    <t>EQY_SH_OUT</t>
  </si>
  <si>
    <t xml:space="preserve">  Equity Float</t>
  </si>
  <si>
    <t>EQY_FLOAT</t>
  </si>
  <si>
    <t>Sarepta Therapeutics Inc (SRPT US) - EV Ex Operating Leases</t>
  </si>
  <si>
    <t>TOT_DEBT_EX_OPERATING_LEA_LIABS</t>
  </si>
  <si>
    <t>EV_EX_OPERATING_LEASE_LIABS</t>
  </si>
  <si>
    <t>TOT_CPTL_EX_OPERATING_LEA_LIABS</t>
  </si>
  <si>
    <t>TOT_DBT_TO_CPTL_EX_OP_LEA_LIABS</t>
  </si>
  <si>
    <t>TOT_DEBT_TO_EV_EX_OPER_LEA_LIABS</t>
  </si>
  <si>
    <t>EV_EX_OPER_LEA_LIABS_TO_SALES</t>
  </si>
  <si>
    <t>EV_TO_EBITDA_EX_OPERATING_LEASE</t>
  </si>
  <si>
    <t>EV_TO_EBIT_EX_OPERATING_LEASE</t>
  </si>
  <si>
    <t>DILUTED_EV_EX_OPERATING_LEASE</t>
  </si>
  <si>
    <t>EV_EX_OP_LEA_LIAB_TO_SHS_OUTSTDG</t>
  </si>
  <si>
    <t>T12M_EBITDA_AFTER_OPER_LEA_EXPN</t>
  </si>
  <si>
    <t>T12_EBIT_AFT_OPER_LEASE_EXPN</t>
  </si>
  <si>
    <t>T12_CF_TO_FIRM_AFT_OP_LEA_PYMTS</t>
  </si>
  <si>
    <t>T12_FCF_TO_FIRM_AFT_OP_LEA_PYMTS</t>
  </si>
  <si>
    <t>Sarepta Therapeutics Inc (SRPT US) - Adjusted</t>
  </si>
  <si>
    <t xml:space="preserve">    + Sales &amp; Services Revenue</t>
  </si>
  <si>
    <t>IS_SALES_AND_SERVICES_REVENUES</t>
  </si>
  <si>
    <t xml:space="preserve">    + Other Revenue</t>
  </si>
  <si>
    <t>IS_OTHER_REVENUE</t>
  </si>
  <si>
    <t xml:space="preserve">  - Cost of Revenue</t>
  </si>
  <si>
    <t>IS_COGS_TO_FE_AND_PP_AND_G</t>
  </si>
  <si>
    <t xml:space="preserve">    + Cost of Goods &amp; Services</t>
  </si>
  <si>
    <t>IS_COG_AND_SERVICES_SOLD</t>
  </si>
  <si>
    <t xml:space="preserve">  + Other Operating Income</t>
  </si>
  <si>
    <t>IS_OTHER_OPER_INC</t>
  </si>
  <si>
    <t xml:space="preserve">  - Operating Expenses</t>
  </si>
  <si>
    <t>IS_OPERATING_EXPN</t>
  </si>
  <si>
    <t xml:space="preserve">    + Selling, General &amp; Admin</t>
  </si>
  <si>
    <t>IS_SGA_EXPENSE</t>
  </si>
  <si>
    <t xml:space="preserve">    + Research &amp; Development</t>
  </si>
  <si>
    <t>IS_OPERATING_EXPENSES_RD</t>
  </si>
  <si>
    <t xml:space="preserve">    + Other Operating Expense</t>
  </si>
  <si>
    <t>IS_OTHER_OPERATING_EXPENSES</t>
  </si>
  <si>
    <t>Operating Income (Loss)</t>
  </si>
  <si>
    <t xml:space="preserve">  - Non-Operating (Income) Loss</t>
  </si>
  <si>
    <t>IS_NONOP_INCOME_LOSS</t>
  </si>
  <si>
    <t xml:space="preserve">    + Interest Expense, Net</t>
  </si>
  <si>
    <t>IS_NET_INTEREST_EXPENSE</t>
  </si>
  <si>
    <t xml:space="preserve">    + Interest Expense</t>
  </si>
  <si>
    <t>IS_INT_EXPENSE</t>
  </si>
  <si>
    <t xml:space="preserve">    - Interest Income</t>
  </si>
  <si>
    <t>IS_INT_INC</t>
  </si>
  <si>
    <t xml:space="preserve">    + Other Non-Op (Income) Loss</t>
  </si>
  <si>
    <t>IS_OTHER_NON_OPERATING_INC_LOSS</t>
  </si>
  <si>
    <t>Pretax Income (Loss), Adjusted</t>
  </si>
  <si>
    <t xml:space="preserve">  - Abnormal Losses (Gains)</t>
  </si>
  <si>
    <t>IS_ABNORMAL_ITEM</t>
  </si>
  <si>
    <t xml:space="preserve">    + Acquired In-Process R&amp;D</t>
  </si>
  <si>
    <t>IS_ACQUIRED_PROCESS_RD</t>
  </si>
  <si>
    <t xml:space="preserve">    + Merger/Acquisition Expense</t>
  </si>
  <si>
    <t>IS_MERGER_ACQUISITION_EXPENSE</t>
  </si>
  <si>
    <t xml:space="preserve">    + Abnormal Derivatives</t>
  </si>
  <si>
    <t>IS_DERIVATIVES_HEDGING</t>
  </si>
  <si>
    <t xml:space="preserve">    + Disposal of Assets</t>
  </si>
  <si>
    <t>IS_GAIN_LOSS_DISPOSAL_ASSETS</t>
  </si>
  <si>
    <t xml:space="preserve">    + Early Extinguishment of Debt</t>
  </si>
  <si>
    <t>IS_G_L_ON_EXT_DBT_OR_SETTLE_DBT</t>
  </si>
  <si>
    <t xml:space="preserve">    + Asset Write-Down</t>
  </si>
  <si>
    <t>IS_IMPAIRMENT_ASSETS</t>
  </si>
  <si>
    <t xml:space="preserve">    + Legal Settlement</t>
  </si>
  <si>
    <t>IS_LEGAL_LITIGATION_SETTLEMENT</t>
  </si>
  <si>
    <t xml:space="preserve">    + Unrealized Investments</t>
  </si>
  <si>
    <t>IS_UNREALIZED_INVESTMENTS</t>
  </si>
  <si>
    <t xml:space="preserve">    + Other Abnormal Items</t>
  </si>
  <si>
    <t>IS_OTHER_ONE_TIME_ITEMS</t>
  </si>
  <si>
    <t>Pretax Income (Loss), GAAP</t>
  </si>
  <si>
    <t xml:space="preserve">  - Income Tax Expense (Benefit)</t>
  </si>
  <si>
    <t>IS_INC_TAX_EXP</t>
  </si>
  <si>
    <t xml:space="preserve">    + Current Income Tax</t>
  </si>
  <si>
    <t>IS_CURRENT_INCOME_TAX_BENEFIT</t>
  </si>
  <si>
    <t xml:space="preserve">    + Deferred Income Tax</t>
  </si>
  <si>
    <t>IS_DEFERRED_INCOME_TAX_BENEFIT</t>
  </si>
  <si>
    <t>Income (Loss) from Cont Ops</t>
  </si>
  <si>
    <t>IS_INC_BEF_XO_ITEM</t>
  </si>
  <si>
    <t xml:space="preserve">  - Net Extraordinary Losses (Gains)</t>
  </si>
  <si>
    <t>XO_GL_NET_OF_TAX</t>
  </si>
  <si>
    <t xml:space="preserve">    + Discontinued Operations</t>
  </si>
  <si>
    <t>IS_DISCONTINUED_OPERATIONS</t>
  </si>
  <si>
    <t xml:space="preserve">    + XO &amp; Accounting Changes</t>
  </si>
  <si>
    <t>EXTRAORD_ITEMS_ACCOUNTING_CHANGS</t>
  </si>
  <si>
    <t>Income (Loss) Incl. MI</t>
  </si>
  <si>
    <t>NI_INCLUDING_MINORITY_INT_RATIO</t>
  </si>
  <si>
    <t xml:space="preserve">  - Minority Interest</t>
  </si>
  <si>
    <t>MIN_NONCONTROL_INTEREST_CREDITS</t>
  </si>
  <si>
    <t>Net Income, GAAP</t>
  </si>
  <si>
    <t>NET_INCOME</t>
  </si>
  <si>
    <t xml:space="preserve">  - Preferred Dividends</t>
  </si>
  <si>
    <t>IS_TOT_CASH_PFD_DVD</t>
  </si>
  <si>
    <t xml:space="preserve">  - Other Adjustments</t>
  </si>
  <si>
    <t>OTHER_ADJUSTMENTS</t>
  </si>
  <si>
    <t>Net Income Avail to Common, GAAP</t>
  </si>
  <si>
    <t>Net Income Avail to Common, Adj</t>
  </si>
  <si>
    <t xml:space="preserve">  Net Abnormal Losses (Gains)</t>
  </si>
  <si>
    <t>IS_NET_ABNORMAL_ITEMS</t>
  </si>
  <si>
    <t xml:space="preserve">  Net Extraordinary Losses (Gains)</t>
  </si>
  <si>
    <t>Basic EPS from Cont Ops, GAAP</t>
  </si>
  <si>
    <t>Basic EPS from Cont Ops, Adjusted</t>
  </si>
  <si>
    <t>Diluted EPS from Cont Ops, GAAP</t>
  </si>
  <si>
    <t>Diluted EPS from Cont Ops, Adjusted</t>
  </si>
  <si>
    <t>Accounting Standard</t>
  </si>
  <si>
    <t>ACCOUNTING_STANDARD</t>
  </si>
  <si>
    <t>US GAAP</t>
  </si>
  <si>
    <t>EBITDA Margin (T12M)</t>
  </si>
  <si>
    <t>EBITDA_MARGIN</t>
  </si>
  <si>
    <t>EBITA</t>
  </si>
  <si>
    <t>Gross Margin</t>
  </si>
  <si>
    <t>Operating Margin</t>
  </si>
  <si>
    <t>OPER_MARGIN</t>
  </si>
  <si>
    <t>Profit Margin</t>
  </si>
  <si>
    <t>PROF_MARGIN</t>
  </si>
  <si>
    <t>Sales per Employee</t>
  </si>
  <si>
    <t>ACTUAL_SALES_PER_EMPL</t>
  </si>
  <si>
    <t>Dividends per Share</t>
  </si>
  <si>
    <t>Total Cash Common Dividends</t>
  </si>
  <si>
    <t>IS_TOT_CASH_COM_DVD</t>
  </si>
  <si>
    <t>Depreciation Expense</t>
  </si>
  <si>
    <t>IS_DEPR_EXP</t>
  </si>
  <si>
    <t>Rental Expense</t>
  </si>
  <si>
    <t>BS_CURR_RENTAL_EXPENSE</t>
  </si>
  <si>
    <t>Sarepta Therapeutics Inc (SRPT US) - GAAP</t>
  </si>
  <si>
    <t>IS_OPER_EXPENSES_RD_GAAP</t>
  </si>
  <si>
    <t>OTHER_OPERATING_EXPENSES_RATIO</t>
  </si>
  <si>
    <t>NONOP_INCOME_LOSS</t>
  </si>
  <si>
    <t>OTHER_NONOP_INCOME_LOSS</t>
  </si>
  <si>
    <t>Pretax Income</t>
  </si>
  <si>
    <t>Sarepta Therapeutics Inc (SRPT US) - As Reported</t>
  </si>
  <si>
    <t>Income Statement</t>
  </si>
  <si>
    <t xml:space="preserve">  Revenues</t>
  </si>
  <si>
    <t>Other Revenue</t>
  </si>
  <si>
    <t>ARD_OTHER_REV</t>
  </si>
  <si>
    <t>Product Revenue</t>
  </si>
  <si>
    <t>ARD_PRODUCT_REVENUE</t>
  </si>
  <si>
    <t>ARD_TOTAL_REVENUES</t>
  </si>
  <si>
    <t xml:space="preserve">  Operating Expenses</t>
  </si>
  <si>
    <t>Total Operating Expenses</t>
  </si>
  <si>
    <t>ARD_TOTAL_OPERATING_EXPENSES</t>
  </si>
  <si>
    <t>Cost of Goods Sold</t>
  </si>
  <si>
    <t>ARD_COST_OF_GOODS_SOLD</t>
  </si>
  <si>
    <t>R &amp; D Expenditures</t>
  </si>
  <si>
    <t>ARD_R&amp;D_EXPENDITURES</t>
  </si>
  <si>
    <t>Selling General and Administrative Expenses</t>
  </si>
  <si>
    <t>ARD_SELLING_GENERAL_ADMIN_EXP</t>
  </si>
  <si>
    <t>Other Operating Expenses</t>
  </si>
  <si>
    <t>ARD_OTHER_OPERATING_EXPENSES</t>
  </si>
  <si>
    <t>Acquired In-Process R&amp;D</t>
  </si>
  <si>
    <t>ARD_ACQUIRED_IN_PROCESS_R&amp;D</t>
  </si>
  <si>
    <t>Litigation Expense</t>
  </si>
  <si>
    <t>ARD_LITIGATION_EXP</t>
  </si>
  <si>
    <t>ARD_OPERATING_INCOME</t>
  </si>
  <si>
    <t>Amortization of Intangible Assets</t>
  </si>
  <si>
    <t>ARD_AMORT_OF_INTANGIBLE_ASSETS</t>
  </si>
  <si>
    <t xml:space="preserve">  Non-Operating Expenses</t>
  </si>
  <si>
    <t>Other Non-Operating Income</t>
  </si>
  <si>
    <t>ARD_OTHER_NON_OPERATING_INC</t>
  </si>
  <si>
    <t>Income Tax Expense (Benefit)</t>
  </si>
  <si>
    <t>ARD_INCOME_TAX_EXP_BENEFIT</t>
  </si>
  <si>
    <t>Income Before Income Taxes</t>
  </si>
  <si>
    <t>ARD_INCOME_BEFORE_INCOME_TAXES</t>
  </si>
  <si>
    <t>Income Before XO Items</t>
  </si>
  <si>
    <t>ARD_INCOME_BEFORE_XO_ITEMS</t>
  </si>
  <si>
    <t>GL On Early Ext of Debt -Non-Op</t>
  </si>
  <si>
    <t>ARD_GL_ON_EARLY_EXT_DEBT_NON_OP</t>
  </si>
  <si>
    <t>Current Income Tax Expense (Benefit)</t>
  </si>
  <si>
    <t>ARD_CUR_INCOME_TAX_EXP_BENEFIT</t>
  </si>
  <si>
    <t>Other Non-Operating (Income)/Expense - Net</t>
  </si>
  <si>
    <t>ARD_OTH_NON_OPER_INC_EXP_NET</t>
  </si>
  <si>
    <t>Disposal of Assets - Non-Operating</t>
  </si>
  <si>
    <t>ARD_DISPOSAL_ASSET_NON_OPERATING</t>
  </si>
  <si>
    <t>Other One - Time Items Non-Operating</t>
  </si>
  <si>
    <t>ARD_OTHER_ONE_TIME_ITEMS_NON_OP</t>
  </si>
  <si>
    <t xml:space="preserve">  Earnings</t>
  </si>
  <si>
    <t>Basic EPS</t>
  </si>
  <si>
    <t>ARD_BASIC_EPS</t>
  </si>
  <si>
    <t>Weighted Avg. Shares - Basic</t>
  </si>
  <si>
    <t>ARD_WEIGHTED_AVG_SHARES_BASIC</t>
  </si>
  <si>
    <t>Diluted EPS</t>
  </si>
  <si>
    <t>ARD_DILUTED_EPS</t>
  </si>
  <si>
    <t>Weighted Avg. Shares - Diluted</t>
  </si>
  <si>
    <t>ARD_WEIGHTED_AVG_SHARE_DILUTED</t>
  </si>
  <si>
    <t>Basic &amp; Diluted EPS</t>
  </si>
  <si>
    <t>ARD_BASIC_AND_DILUTED_EPS</t>
  </si>
  <si>
    <t>Weighted Avg. Shares - Basic &amp; Diluted</t>
  </si>
  <si>
    <t>ARD_WTD_AVG_SHS_BASIC_DILUTED</t>
  </si>
  <si>
    <t>Net Income Available For Common Shareholders</t>
  </si>
  <si>
    <t>ARD_NET_INC_AVAIL_COM_SHRHLDR</t>
  </si>
  <si>
    <t>Profit After Taxation Before Minority</t>
  </si>
  <si>
    <t>ARD_PROF_AFTER_TAX_BEF_MINORITY</t>
  </si>
  <si>
    <t>Cumulative Net Income</t>
  </si>
  <si>
    <t>ARD_CUMULATIVE_NET_INCOME</t>
  </si>
  <si>
    <t>ARD_NET_INC</t>
  </si>
  <si>
    <t xml:space="preserve">  Comprehensive Income</t>
  </si>
  <si>
    <t>Unrealized Gain (Loss) On Securities</t>
  </si>
  <si>
    <t>ARD_UNREALIZED_GL_ON_SECS</t>
  </si>
  <si>
    <t>Total Comprehensive Income</t>
  </si>
  <si>
    <t>ARD_TOTAL_COMPREHENSIVE_INCOME</t>
  </si>
  <si>
    <t>Net Income - Comprehensive Income</t>
  </si>
  <si>
    <t>ARD_COMPREHENSIVE_INCOME_NET_INC</t>
  </si>
  <si>
    <t xml:space="preserve">  Others</t>
  </si>
  <si>
    <t xml:space="preserve">  Reference Items</t>
  </si>
  <si>
    <t>ARDR_COST_OF_GOODS_SOLD</t>
  </si>
  <si>
    <t>Amortization Expense</t>
  </si>
  <si>
    <t>ARDR_AMORT_EXP</t>
  </si>
  <si>
    <t>ARDR_R&amp;D_EXPENDITURES</t>
  </si>
  <si>
    <t>ARDR_DEPRECIATION_EXP</t>
  </si>
  <si>
    <t>Selling General and Administrative Expense</t>
  </si>
  <si>
    <t>ARDR_SELLING_GENERAL_ADMIN_EXP</t>
  </si>
  <si>
    <t>Depreciation and Amortization</t>
  </si>
  <si>
    <t>ARDR_DEPRECIATION_AMORTIZATION</t>
  </si>
  <si>
    <t>Interest Expense</t>
  </si>
  <si>
    <t>ARDR_INT_EXP</t>
  </si>
  <si>
    <t>ARDR_ACQUIRED_IN_PROCESS_R&amp;D</t>
  </si>
  <si>
    <t>(Gain)/Loss On Sale of Assets</t>
  </si>
  <si>
    <t>ARDR_GL_ON_SALE_OF_ASSETS</t>
  </si>
  <si>
    <t>Restructuring Charges</t>
  </si>
  <si>
    <t>ARDR_RESTRUCTURING_CHARGES</t>
  </si>
  <si>
    <t>Other One-Time Charges</t>
  </si>
  <si>
    <t>ARDR_OTHER_ONE_TIME_CHARGES</t>
  </si>
  <si>
    <t>Interest Income</t>
  </si>
  <si>
    <t>ARDR_INT_INCOME</t>
  </si>
  <si>
    <t>ARDR_INCOME_TAX_EXP_BENEFIT</t>
  </si>
  <si>
    <t>ARDR_OTHER_REV</t>
  </si>
  <si>
    <t>ARDR_BASIC_EPS</t>
  </si>
  <si>
    <t>ARDR_WEIGHTED_AVG_SHARES_BASIC</t>
  </si>
  <si>
    <t>ARDR_DILUTED_EPS</t>
  </si>
  <si>
    <t>ARDR_WEIGHTED_AVG_SHARE_DILUTED</t>
  </si>
  <si>
    <t>Current Rental Expense</t>
  </si>
  <si>
    <t>ARDR_CURRENT_RENTAL_EXP</t>
  </si>
  <si>
    <t>Stock Based Compensation Expense</t>
  </si>
  <si>
    <t>ARDR_STK_BASED_COMPENSATION_EXP</t>
  </si>
  <si>
    <t>ARDR_BASIC_AND_DILUTED_EPS</t>
  </si>
  <si>
    <t>ARDR_WTD_AVG_SHS_BASIC_DILUTED</t>
  </si>
  <si>
    <t>ARDR_LITIGATION_EXP</t>
  </si>
  <si>
    <t>Merger/Acquisition Expense</t>
  </si>
  <si>
    <t>ARDR_MERGER_ACQUISITION_EXPENSE</t>
  </si>
  <si>
    <t>ARDR_AMORT_OF_INTANGIBLE_ASSETS</t>
  </si>
  <si>
    <t>ARDR_TOTAL_REVENUES</t>
  </si>
  <si>
    <t>ARDR_GL_ON_EARLY_EXT_DEBT_NON_OP</t>
  </si>
  <si>
    <t>ARDR_PRODUCT_REVENUE</t>
  </si>
  <si>
    <t>Net Inc Available For Common Shareholders</t>
  </si>
  <si>
    <t>ARDR_NET_INC_AVAIL_COM_SHRHLDR</t>
  </si>
  <si>
    <t>Basic &amp; Diluted EPS Before XO Items</t>
  </si>
  <si>
    <t>ARDR_BASIC_DIL_EPS_BEF_XO_ITEMS</t>
  </si>
  <si>
    <t>Adjusted Net Income-As Reported</t>
  </si>
  <si>
    <t>ARD_ADJ_NET_INCOME_AS_REPORTED</t>
  </si>
  <si>
    <t>Effective Tax Rate - %</t>
  </si>
  <si>
    <t>ARDR_EFFECTIVE_TAX_RATE_PCT</t>
  </si>
  <si>
    <t>Adjusted EPS</t>
  </si>
  <si>
    <t>ARDR_ADJUSTED_EPS</t>
  </si>
  <si>
    <t>Unrealized (Gain)/Loss From Secs Non-Op</t>
  </si>
  <si>
    <t>ARDR_UNREAL_GL_FROM_SECS_NON_OP</t>
  </si>
  <si>
    <t>(Gain)/Loss Derivative/Hedging Activities</t>
  </si>
  <si>
    <t>ARDR_GL_DERIV_HEDGING_ACTIVITIES</t>
  </si>
  <si>
    <t>ARDR In Process R&amp;D After Tax</t>
  </si>
  <si>
    <t>ARDR_IN_PROCESS_R&amp;D_AFTER_TAX</t>
  </si>
  <si>
    <t>ARDR Disposal Assets After Tax</t>
  </si>
  <si>
    <t>ARDR_DISPOSAL_ASSETS_AFTER_TAX</t>
  </si>
  <si>
    <t>ARDR Other One Time Charge After Tax</t>
  </si>
  <si>
    <t>ARDR_OTHER_ONE_TIME_CHRG_AFT_TAX</t>
  </si>
  <si>
    <t>Stock Option Expense (Before Tax)</t>
  </si>
  <si>
    <t>ARDR_STOCK_OPT_EXPENSE_BEF_TAX</t>
  </si>
  <si>
    <t>Stock-Based Compensation Attrib to R&amp;D</t>
  </si>
  <si>
    <t>ARDR_STOCK_BASED_CMPNSTN_IN_R&amp;D</t>
  </si>
  <si>
    <t>Stock-Based Compensation Attrib to SG&amp;A</t>
  </si>
  <si>
    <t>ARDR_STOCK_BASED_CMPNSTN_IN_SG&amp;A</t>
  </si>
  <si>
    <t>Non-GAAP Selling General &amp; Administrative</t>
  </si>
  <si>
    <t>ARDR_NON_GAAP_SG&amp;A</t>
  </si>
  <si>
    <t>Non-GAAP General &amp; Administrative</t>
  </si>
  <si>
    <t>ARDR_NON_GAAP_G&amp;A</t>
  </si>
  <si>
    <t>Non-GAAP Research and Development</t>
  </si>
  <si>
    <t>ARDR_NON_GAAP_R&amp;D</t>
  </si>
  <si>
    <t>Non-GAAP Other Income</t>
  </si>
  <si>
    <t>ARDR_NON_GAAP_OTHER_INCOME</t>
  </si>
  <si>
    <t>Stock-Based Compensation - Non-GAAP SG&amp;A</t>
  </si>
  <si>
    <t>ARDR_SBC_NON_GAAP_SG&amp;A</t>
  </si>
  <si>
    <t>Stock-Based Compensation - Non-GAAP G&amp;A</t>
  </si>
  <si>
    <t>ARDR_SBC_NON_GAAP_G&amp;A</t>
  </si>
  <si>
    <t>Stock-Based Compensation - Non-GAAP R&amp;D</t>
  </si>
  <si>
    <t>ARDR_SBC_NON_GAAP_R&amp;D</t>
  </si>
  <si>
    <t>Other Adjustments - Non-GAAP R&amp;D</t>
  </si>
  <si>
    <t>ARDR_OTH_ADJ_NON_GAAP_R&amp;D</t>
  </si>
  <si>
    <t>Tax Effect on Non-GAAP Adjustments</t>
  </si>
  <si>
    <t>ARDR_TAX_EFFECT_NON_GAAP_ADJ</t>
  </si>
  <si>
    <t>Non-GAAP Diluted Weighted Average Shares</t>
  </si>
  <si>
    <t>ARDR_NON_GAAP_DIL_WAVG_SHRS</t>
  </si>
  <si>
    <t>ARDR Revenue Growth</t>
  </si>
  <si>
    <t>ARDR_REVENUE_GROWTH</t>
  </si>
  <si>
    <t>ARDR Stock Based Compensation CF Pre Tax</t>
  </si>
  <si>
    <t>ARDR_STK_BSD_CMPNSTN_CF_PRE_TAX</t>
  </si>
  <si>
    <t>Sarepta Therapeutics Inc (SRPT US) - Reconciliation</t>
  </si>
  <si>
    <t>EBITDA Reconciliation</t>
  </si>
  <si>
    <t>EBIT, GAAP</t>
  </si>
  <si>
    <t xml:space="preserve">  + Revenue Adjustments</t>
  </si>
  <si>
    <t>IS_REVENUE_ADJUSTMENTS</t>
  </si>
  <si>
    <t xml:space="preserve">  + Cost of Revenue Adjustments</t>
  </si>
  <si>
    <t>IS_COST_OF_REVENUE_ADJUSTMENTS</t>
  </si>
  <si>
    <t xml:space="preserve">  + Other Op Inc Adjustments</t>
  </si>
  <si>
    <t>IS_OTHER_OPER_INC_NONGAAP_ADJUST</t>
  </si>
  <si>
    <t xml:space="preserve">  + SG&amp;A Adjustments</t>
  </si>
  <si>
    <t>IS_SGA_ADJ</t>
  </si>
  <si>
    <t xml:space="preserve">  + R&amp;D Expense Adjustments</t>
  </si>
  <si>
    <t>IS_RD_EXPENSE_NON_GAAP_ADJ</t>
  </si>
  <si>
    <t xml:space="preserve">  + D&amp;A Adjustments</t>
  </si>
  <si>
    <t>IS_DA_NON_GAAP_ADJ</t>
  </si>
  <si>
    <t xml:space="preserve">  + Prov for Doubtful Acct Adj</t>
  </si>
  <si>
    <t>IS_PDA_NONGAAP_ADJUSTMENTS</t>
  </si>
  <si>
    <t xml:space="preserve">  + Other Op Exp Adjustments</t>
  </si>
  <si>
    <t>IS_OTHER_OPERATING_EXPN_ADJUST</t>
  </si>
  <si>
    <t>EBIT, Adjusted</t>
  </si>
  <si>
    <t xml:space="preserve">  + Depreciation &amp; Amortization</t>
  </si>
  <si>
    <t>ADJUSTED_DA_EXPENSES</t>
  </si>
  <si>
    <t xml:space="preserve">  + Cost of Capitalized Operating Leases</t>
  </si>
  <si>
    <t>COST_CAPITALIZED_OPERATING_LEAS</t>
  </si>
  <si>
    <t>EBITDA, Adjusted</t>
  </si>
  <si>
    <t>EBIT Reconciliation</t>
  </si>
  <si>
    <t xml:space="preserve">  + Acquired In-Process R&amp;D</t>
  </si>
  <si>
    <t>IS_AIP_RD_EXPENSE_OPERATING</t>
  </si>
  <si>
    <t xml:space="preserve">  + Merger Expense</t>
  </si>
  <si>
    <t>IS_MERGER_ACQ_EXPENSE_OPERATING</t>
  </si>
  <si>
    <t xml:space="preserve">  + Disposal of Assets</t>
  </si>
  <si>
    <t>IS_GAIN_LOSS_ON_DISP_OF_AST_OP</t>
  </si>
  <si>
    <t xml:space="preserve">  + Legal Settlement</t>
  </si>
  <si>
    <t>IS_LEGAL_LIT_SETTLE_EXPN_OP</t>
  </si>
  <si>
    <t xml:space="preserve">  + Other Abnormal Items</t>
  </si>
  <si>
    <t>IS_OTHER_ONE_TIME_ITEMS_OP</t>
  </si>
  <si>
    <t>Pretax Income Reconciliation</t>
  </si>
  <si>
    <t xml:space="preserve">  + Abnormal Derivatives</t>
  </si>
  <si>
    <t xml:space="preserve">  + Early Extinguishment of Debt</t>
  </si>
  <si>
    <t xml:space="preserve">  + Asset Write-Down</t>
  </si>
  <si>
    <t xml:space="preserve">  + Unrealized Investments</t>
  </si>
  <si>
    <t>Net Income Reconciliation</t>
  </si>
  <si>
    <t>Net Inc Avail to Common, GAAP</t>
  </si>
  <si>
    <t xml:space="preserve">  + Discontinued Operations</t>
  </si>
  <si>
    <t xml:space="preserve">  + XO &amp; Accounting Changes</t>
  </si>
  <si>
    <t>Net Inc Avail to Common Cont, GAAP</t>
  </si>
  <si>
    <t>INC_BEF_XO_LESS_MIN_INT_PREF_DVD</t>
  </si>
  <si>
    <t>IS_AIP_RD_AFTER_TAX</t>
  </si>
  <si>
    <t>IS_MA_EXPENSE_AFTER_TAX</t>
  </si>
  <si>
    <t>IS_DERIVATIVES_HEDGING_AFTER_TAX</t>
  </si>
  <si>
    <t>IS_DISPOSAL_ASSETS_AFTER_TAX</t>
  </si>
  <si>
    <t>IS_EEOD_AFTER_TAX</t>
  </si>
  <si>
    <t>IS_WRTOFF_IMPAIR_ASSET_AFTER_TAX</t>
  </si>
  <si>
    <t>IS_LEGAL_LITIG_SETTLE_AFTER_TAX</t>
  </si>
  <si>
    <t>IS_UNREALIZED_INVEST_AFT_TAX</t>
  </si>
  <si>
    <t>IS_OTH_ONE_TIME_ITEMS_AFTER_TAX</t>
  </si>
  <si>
    <t>Earnings Per Share Reconciliation</t>
  </si>
  <si>
    <t>IS_DISC_OPS_DILUTED_SH</t>
  </si>
  <si>
    <t>IS_XO_ITEMS_ACCT_CHG_DIL_SH</t>
  </si>
  <si>
    <t>IS_AIP_RD_PER_DILUTED_SHARE</t>
  </si>
  <si>
    <t>IS_MERGER_ACQUIS_EXPN_DILUTED_SH</t>
  </si>
  <si>
    <t>IS_DERIV_HEDGING_DILUTED_SHARE</t>
  </si>
  <si>
    <t>IS_DISPOSAL_ASSETS_DILUTED_SHARE</t>
  </si>
  <si>
    <t>IS_EEOD_DILUTED_SHARE</t>
  </si>
  <si>
    <t>IS_WRTOFF_IMPAIR_AST_DILUTED_SH</t>
  </si>
  <si>
    <t>IS_LEGAL_LITIG_SETTLE_DILUTED_SH</t>
  </si>
  <si>
    <t>IS_UNREALIZED_INVEST_DILUTED_SH</t>
  </si>
  <si>
    <t>IS_OTH_ONE_TIME_ITEMS_DILUTED_SH</t>
  </si>
  <si>
    <t>Diluted EPS from Cont Ops, Adj</t>
  </si>
  <si>
    <t>Sarepta Therapeutics Inc (SRPT US) - SBC &amp; Amort</t>
  </si>
  <si>
    <t>Basic EPS Ex-SBC, Adj</t>
  </si>
  <si>
    <t>BASIC_EPS_EX_STK_BASED_COMP</t>
  </si>
  <si>
    <t>Diluted EPS Ex-SBC, Adj</t>
  </si>
  <si>
    <t>DILUTED_EPS_EX_STK_BASED_COMP</t>
  </si>
  <si>
    <t>Basic EPS Ex-Amortization, Adj</t>
  </si>
  <si>
    <t>ADJ_EPS_EX_AMORT_TOT_INTANG_BAS</t>
  </si>
  <si>
    <t>Diluted EPS Ex-Amortization, Adj</t>
  </si>
  <si>
    <t>ADJ_EPS_EX_AMORT_TOT_INTANG_DIL</t>
  </si>
  <si>
    <t>Basic EPS Ex-SBC &amp; Amort, Adj</t>
  </si>
  <si>
    <t>ADJ_EPS_EX_SBC_AMORT_TOT_INT_BAS</t>
  </si>
  <si>
    <t>Diluted EPS Ex-SBC &amp; Amort, Adj</t>
  </si>
  <si>
    <t>ADJ_EPS_EX_SBC_AMORT_TOT_INT_DIL</t>
  </si>
  <si>
    <t>Stock Based Compensation</t>
  </si>
  <si>
    <t>Pre-Tax</t>
  </si>
  <si>
    <t>IS_EXPENSE_STOCK_BASED_COMP</t>
  </si>
  <si>
    <t>After-Tax</t>
  </si>
  <si>
    <t>IS_STK_BASED_COMP_AFT_TAX</t>
  </si>
  <si>
    <t>Per Basic Share</t>
  </si>
  <si>
    <t>IS_STK_BASED_COMP_PER_BAS_SH</t>
  </si>
  <si>
    <t>Per Diluted Share</t>
  </si>
  <si>
    <t>IS_STK_BASED_COMP_PER_DIL_SH</t>
  </si>
  <si>
    <t>Selling, General &amp; Administrative</t>
  </si>
  <si>
    <t>IS_SBC_INCL_SELLING</t>
  </si>
  <si>
    <t>General &amp; Administrative</t>
  </si>
  <si>
    <t>IS_SBC_INCL_GEN_ADMIN</t>
  </si>
  <si>
    <t>Research &amp; Development</t>
  </si>
  <si>
    <t>IS_SBC_INCL_RD</t>
  </si>
  <si>
    <t>Amortization of Acquisition Related Intangibles</t>
  </si>
  <si>
    <t>Amortization of Total Intangibles</t>
  </si>
  <si>
    <t>IS_AMORT_OF_TOT_INTANG_PRETX</t>
  </si>
  <si>
    <t>IS_AMORT_OF_TOT_INTANG_AFT_TAX</t>
  </si>
  <si>
    <t>IS_AMORT_OF_TOT_INTANG_P_BAS_SH</t>
  </si>
  <si>
    <t>IS_AMORT_OF_TOT_INTANG_P_DIL_SH</t>
  </si>
  <si>
    <t>Sarepta Therapeutics Inc (SRPT US) - Adj %</t>
  </si>
  <si>
    <t>Sarepta Therapeutics Inc (SRPT US) - GAAP %</t>
  </si>
  <si>
    <t>Last 12M</t>
  </si>
  <si>
    <t>Sarepta Therapeutics Inc (SRPT US) - Standardized</t>
  </si>
  <si>
    <t xml:space="preserve">  + Cash, Cash Equivalents &amp; STI</t>
  </si>
  <si>
    <t>CASH_CASH_EQTY_STI_DETAILED</t>
  </si>
  <si>
    <t xml:space="preserve">    + Cash &amp; Cash Equivalents</t>
  </si>
  <si>
    <t>BS_CASH_NEAR_CASH_ITEM</t>
  </si>
  <si>
    <t xml:space="preserve">    + ST Investments</t>
  </si>
  <si>
    <t>BS_MKT_SEC_OTHER_ST_INVEST</t>
  </si>
  <si>
    <t xml:space="preserve">  + Accounts &amp; Notes Receiv</t>
  </si>
  <si>
    <t>BS_ACCT_NOTE_RCV</t>
  </si>
  <si>
    <t xml:space="preserve">    + Accounts Receivable, Net</t>
  </si>
  <si>
    <t>BS_ACCTS_REC_EXCL_NOTES_REC</t>
  </si>
  <si>
    <t xml:space="preserve">    + Notes Receivable, Net</t>
  </si>
  <si>
    <t>NOTES_RECEIVABLE</t>
  </si>
  <si>
    <t xml:space="preserve">  + Inventories</t>
  </si>
  <si>
    <t>BS_INVENTORIES</t>
  </si>
  <si>
    <t xml:space="preserve">    + Raw Materials</t>
  </si>
  <si>
    <t>INVTRY_RAW_MATERIALS</t>
  </si>
  <si>
    <t xml:space="preserve">    + Work In Process</t>
  </si>
  <si>
    <t>INVTRY_IN_PROGRESS</t>
  </si>
  <si>
    <t xml:space="preserve">    + Finished Goods</t>
  </si>
  <si>
    <t>INVTRY_FINISHED_GOODS</t>
  </si>
  <si>
    <t xml:space="preserve">    + Other Inventory</t>
  </si>
  <si>
    <t>BS_OTHER_INV</t>
  </si>
  <si>
    <t xml:space="preserve">  + Other ST Assets</t>
  </si>
  <si>
    <t>OTHER_CURRENT_ASSETS_DETAILED</t>
  </si>
  <si>
    <t xml:space="preserve">    + Prepaid Expenses</t>
  </si>
  <si>
    <t>BS_PREPAY</t>
  </si>
  <si>
    <t xml:space="preserve">    + Derivative &amp; Hedging Assets</t>
  </si>
  <si>
    <t>BS_DERIV_HEDGING_ASST_ST</t>
  </si>
  <si>
    <t xml:space="preserve">    + Misc ST Assets</t>
  </si>
  <si>
    <t>BS_OTHER_CUR_ASSET_LESS_PREPAY</t>
  </si>
  <si>
    <t xml:space="preserve">  + Property, Plant &amp; Equip, Net</t>
  </si>
  <si>
    <t>BS_NET_FIX_ASSET</t>
  </si>
  <si>
    <t xml:space="preserve">    + Property, Plant &amp; Equip</t>
  </si>
  <si>
    <t>BS_GROSS_FIX_ASSET</t>
  </si>
  <si>
    <t xml:space="preserve">    - Accumulated Depreciation</t>
  </si>
  <si>
    <t>BS_ACCUM_DEPR</t>
  </si>
  <si>
    <t xml:space="preserve">  + LT Investments &amp; Receivables</t>
  </si>
  <si>
    <t>BS_LT_INVEST</t>
  </si>
  <si>
    <t xml:space="preserve">    + LT Investments</t>
  </si>
  <si>
    <t>BS_LONG_TERM_INVESTMENTS</t>
  </si>
  <si>
    <t xml:space="preserve">    + LT Marketable Securities</t>
  </si>
  <si>
    <t>BS_LT_MARKETABLE_SECURITIES</t>
  </si>
  <si>
    <t xml:space="preserve">    + LT Receivables</t>
  </si>
  <si>
    <t>BS_LT_RECEIVABLES</t>
  </si>
  <si>
    <t xml:space="preserve">  + Other LT Assets</t>
  </si>
  <si>
    <t>BS_OTHER_ASSETS_DEF_CHRG_OTHER</t>
  </si>
  <si>
    <t xml:space="preserve">    + Total Intangible Assets</t>
  </si>
  <si>
    <t>BS_DISCLOSED_INTANGIBLES</t>
  </si>
  <si>
    <t xml:space="preserve">    + Goodwill</t>
  </si>
  <si>
    <t>BS_GOODWILL</t>
  </si>
  <si>
    <t xml:space="preserve">    + Other Intangible Assets</t>
  </si>
  <si>
    <t>OTHER_INTANGIBLE_ASSETS_DETAILED</t>
  </si>
  <si>
    <t xml:space="preserve">    + Prepaid Expense</t>
  </si>
  <si>
    <t>BS_PREPAID_EXPENSE_LT</t>
  </si>
  <si>
    <t>BS_DERIV_HEDGING_ASST_LT</t>
  </si>
  <si>
    <t xml:space="preserve">    + Misc LT Assets</t>
  </si>
  <si>
    <t>OTHER_NONCURRENT_ASSETS_DETAILED</t>
  </si>
  <si>
    <t>Total Noncurrent Assets</t>
  </si>
  <si>
    <t>BS_TOT_NON_CUR_ASSET</t>
  </si>
  <si>
    <t>Liabilities &amp; Shareholders' Equity</t>
  </si>
  <si>
    <t xml:space="preserve">  + Payables &amp; Accruals</t>
  </si>
  <si>
    <t>ACCT_PAYABLE_ACCRUALS_DETAILED</t>
  </si>
  <si>
    <t xml:space="preserve">    + Accounts Payable</t>
  </si>
  <si>
    <t>BS_ACCT_PAYABLE</t>
  </si>
  <si>
    <t xml:space="preserve">    + Other Payables &amp; Accruals</t>
  </si>
  <si>
    <t>BS_ACCRUAL</t>
  </si>
  <si>
    <t xml:space="preserve">  + ST Debt</t>
  </si>
  <si>
    <t>BS_ST_BORROW</t>
  </si>
  <si>
    <t xml:space="preserve">    + ST Borrowings</t>
  </si>
  <si>
    <t>SHORT_TERM_DEBT_DETAILED</t>
  </si>
  <si>
    <t xml:space="preserve">    + ST Lease Liabilities</t>
  </si>
  <si>
    <t>ST_CAPITALIZED_LEASE_LIABILITIES</t>
  </si>
  <si>
    <t xml:space="preserve">      + ST Finance Leases</t>
  </si>
  <si>
    <t>ST_CAPITAL_LEASE_OBLIGATIONS</t>
  </si>
  <si>
    <t xml:space="preserve">      + ST Operating Leases</t>
  </si>
  <si>
    <t>BS_ST_OPERATING_LEASE_LIABS</t>
  </si>
  <si>
    <t xml:space="preserve">    + Current Portion of LT Debt</t>
  </si>
  <si>
    <t>BS_CURR_PORTION_LT_DEBT</t>
  </si>
  <si>
    <t xml:space="preserve">  + Other ST Liabilities</t>
  </si>
  <si>
    <t>OTHER_CURRENT_LIABS_SUB_DETAILED</t>
  </si>
  <si>
    <t xml:space="preserve">    + Deferred Revenue</t>
  </si>
  <si>
    <t>ST_DEFERRED_REVENUE</t>
  </si>
  <si>
    <t xml:space="preserve">    + Derivatives &amp; Hedging</t>
  </si>
  <si>
    <t>BS_DERIV_HEDGING_LIAB_ST</t>
  </si>
  <si>
    <t xml:space="preserve">    + Misc ST Liabilities</t>
  </si>
  <si>
    <t>OTHER_CURRENT_LIABS_DETAILED</t>
  </si>
  <si>
    <t xml:space="preserve">  + LT Debt</t>
  </si>
  <si>
    <t>BS_LT_BORROW</t>
  </si>
  <si>
    <t xml:space="preserve">    + LT Borrowings</t>
  </si>
  <si>
    <t>LONG_TERM_BORROWINGS_DETAILED</t>
  </si>
  <si>
    <t xml:space="preserve">    + LT Lease Liabilities</t>
  </si>
  <si>
    <t>LT_CAPITALIZED_LEASE_LIABILITIES</t>
  </si>
  <si>
    <t xml:space="preserve">      + LT Finance Leases</t>
  </si>
  <si>
    <t>LT_CAPITAL_LEASE_OBLIGATIONS</t>
  </si>
  <si>
    <t xml:space="preserve">      + LT Operating Leases</t>
  </si>
  <si>
    <t>BS_LT_OPERATING_LEASE_LIABS</t>
  </si>
  <si>
    <t xml:space="preserve">  + Other LT Liabilities</t>
  </si>
  <si>
    <t>OTHER_NONCUR_LIABS_SUB_DETAILED</t>
  </si>
  <si>
    <t xml:space="preserve">    + Accrued Liabilities</t>
  </si>
  <si>
    <t>BS_ACCRUED_LIABILITIES</t>
  </si>
  <si>
    <t xml:space="preserve">    + Pension Liabilities</t>
  </si>
  <si>
    <t>PENSION_LIABILITIES</t>
  </si>
  <si>
    <t xml:space="preserve">    + Pensions</t>
  </si>
  <si>
    <t>BS_PENSIONS_LT_LIABS</t>
  </si>
  <si>
    <t xml:space="preserve">    + Other Post-Ret Benefits</t>
  </si>
  <si>
    <t>BS_OPRB_LT_LIABS</t>
  </si>
  <si>
    <t>LT_DEFERRED_REVENUE</t>
  </si>
  <si>
    <t>BS_DERIV_HEDGING_LIAB_LT</t>
  </si>
  <si>
    <t xml:space="preserve">    + Misc LT Liabilities</t>
  </si>
  <si>
    <t>OTHER_NONCURRENT_LIABS_DETAILED</t>
  </si>
  <si>
    <t>Total Noncurrent Liabilities</t>
  </si>
  <si>
    <t>NON_CUR_LIAB</t>
  </si>
  <si>
    <t xml:space="preserve">  + Preferred Equity and Hybrid Capital</t>
  </si>
  <si>
    <t xml:space="preserve">  + Share Capital &amp; APIC</t>
  </si>
  <si>
    <t>BS_SH_CAP_AND_APIC</t>
  </si>
  <si>
    <t xml:space="preserve">    + Common Stock</t>
  </si>
  <si>
    <t>BS_COMMON_STOCK</t>
  </si>
  <si>
    <t xml:space="preserve">    + Additional Paid in Capital</t>
  </si>
  <si>
    <t>BS_ADD_PAID_IN_CAP</t>
  </si>
  <si>
    <t xml:space="preserve">  - Treasury Stock</t>
  </si>
  <si>
    <t>BS_AMT_OF_TSY_STOCK</t>
  </si>
  <si>
    <t xml:space="preserve">  + Retained Earnings</t>
  </si>
  <si>
    <t>BS_PURE_RETAINED_EARNINGS</t>
  </si>
  <si>
    <t xml:space="preserve">  + Other Equity</t>
  </si>
  <si>
    <t>OTHER_EQUITY_RATIO</t>
  </si>
  <si>
    <t>Equity Before Minority Interest</t>
  </si>
  <si>
    <t>EQTY_BEF_MINORITY_INT_DETAILED</t>
  </si>
  <si>
    <t xml:space="preserve">  + Minority/Non Controlling Interest</t>
  </si>
  <si>
    <t>Total Liabilities &amp; Equity</t>
  </si>
  <si>
    <t>TOT_LIAB_AND_EQY</t>
  </si>
  <si>
    <t>Shares Outstanding</t>
  </si>
  <si>
    <t>Number of Treasury Shares</t>
  </si>
  <si>
    <t>BS_NUM_OF_TSY_SH</t>
  </si>
  <si>
    <t>Pension Obligations</t>
  </si>
  <si>
    <t>BS_PENSION_RSRV</t>
  </si>
  <si>
    <t>Future Minimum Operating Lease Obligations</t>
  </si>
  <si>
    <t>BS_FUTURE_MIN_OPER_LEASE_OBLIG</t>
  </si>
  <si>
    <t>Capital Leases - Total</t>
  </si>
  <si>
    <t>BS_TOTAL_CAPITAL_LEASES</t>
  </si>
  <si>
    <t>Options Granted During Period</t>
  </si>
  <si>
    <t>BS_OPTIONS_GRANTED</t>
  </si>
  <si>
    <t>Options Outstanding at Period End</t>
  </si>
  <si>
    <t>BS_OPTIONS_OUTSTANDING</t>
  </si>
  <si>
    <t>Net Debt</t>
  </si>
  <si>
    <t>NET_DEBT</t>
  </si>
  <si>
    <t>Net Debt to Equity</t>
  </si>
  <si>
    <t>NET_DEBT_TO_SHRHLDR_EQTY</t>
  </si>
  <si>
    <t>Tangible Common Equity Ratio</t>
  </si>
  <si>
    <t>TCE_RATIO</t>
  </si>
  <si>
    <t>Current Ratio</t>
  </si>
  <si>
    <t>CUR_RATIO</t>
  </si>
  <si>
    <t>Cash Conversion Cycle</t>
  </si>
  <si>
    <t>CASH_CONVERSION_CYCLE</t>
  </si>
  <si>
    <t>Number of Employees</t>
  </si>
  <si>
    <t>NUM_OF_EMPLOYEES</t>
  </si>
  <si>
    <t>Balance Sheet</t>
  </si>
  <si>
    <t xml:space="preserve">  Current Assets</t>
  </si>
  <si>
    <t>ARD_CASH_AND_EQUIVALENTS</t>
  </si>
  <si>
    <t>Accounts Receivable - Trade</t>
  </si>
  <si>
    <t>ARD_ACCTS_RECEIVABLE_TRADE</t>
  </si>
  <si>
    <t>Inventories</t>
  </si>
  <si>
    <t>ARD_INVENTORY</t>
  </si>
  <si>
    <t>Other Current Assets</t>
  </si>
  <si>
    <t>ARD_OTHER_CURRENT_ASSETS</t>
  </si>
  <si>
    <t>Short-Term Investments</t>
  </si>
  <si>
    <t>ARD_ST_INVEST</t>
  </si>
  <si>
    <t>ARD_TOTAL_CUR_ASSETS</t>
  </si>
  <si>
    <t xml:space="preserve">  Noncurrent Assets</t>
  </si>
  <si>
    <t>Long Term Investments</t>
  </si>
  <si>
    <t>ARD_LT_INVEST</t>
  </si>
  <si>
    <t>Accumulated Depreciation</t>
  </si>
  <si>
    <t>ARD_ACCUMULATED_DEPREC</t>
  </si>
  <si>
    <t>Property Plant &amp; Equipment - Net</t>
  </si>
  <si>
    <t>ARD_PROPERTY_PLANT_EQUIP_NET</t>
  </si>
  <si>
    <t>Total Intangible Assets - Net</t>
  </si>
  <si>
    <t>ARD_TOTAL_INTANGIBLE_ASSET_NET</t>
  </si>
  <si>
    <t>Patents/Trademarks/Copyrights</t>
  </si>
  <si>
    <t>ARD_PATENTS_TRADEMRK_COPYRIGHT</t>
  </si>
  <si>
    <t>Other Noncurrent Assets</t>
  </si>
  <si>
    <t>ARD_OTHER_NONCURRENT_ASSET</t>
  </si>
  <si>
    <t>Total Non-Current Assets</t>
  </si>
  <si>
    <t>ARD_TOTAL_NONCURRENT_ASSETS</t>
  </si>
  <si>
    <t>Inventories (Noncurrent)</t>
  </si>
  <si>
    <t>ARD_INVENTORIES_NONCURRENT</t>
  </si>
  <si>
    <t>ARD_TOT_ASSETS</t>
  </si>
  <si>
    <t xml:space="preserve">  Current Liabilities</t>
  </si>
  <si>
    <t>Accounts Payable - Trade</t>
  </si>
  <si>
    <t>ARD_ACCOUNTS_PAYABLE_TRADE</t>
  </si>
  <si>
    <t>Current Portion of Long-Term Debt</t>
  </si>
  <si>
    <t>ARD_CURRENT_PORTION_OF_LT_DEBT</t>
  </si>
  <si>
    <t>Accrued Expenses</t>
  </si>
  <si>
    <t>ARD_ACCRUED_EXPENSES</t>
  </si>
  <si>
    <t>Deferred/Unearned Revenue (Short-Term)</t>
  </si>
  <si>
    <t>ARD_DEFERRED_UNEARNED_REV_ST</t>
  </si>
  <si>
    <t>Other Current Liabilities</t>
  </si>
  <si>
    <t>ARD_OTHER_CURRENT_LIABILITIES</t>
  </si>
  <si>
    <t>ARD_TOTAL_CURRENT_LIABILITIES</t>
  </si>
  <si>
    <t xml:space="preserve">  Non Current Liabilities</t>
  </si>
  <si>
    <t>ARD_TOT_NONCURRENT_LIABILITIES</t>
  </si>
  <si>
    <t>Long Term Debt</t>
  </si>
  <si>
    <t>ARD_LT_DEBT</t>
  </si>
  <si>
    <t>Deferred/Unearned Revenue (Long-Term)</t>
  </si>
  <si>
    <t>ARD_DEFERRED_UNEARNED_REV_LT</t>
  </si>
  <si>
    <t>Other Noncurrent Liabilities</t>
  </si>
  <si>
    <t>ARD_OTH_NONCURRENT_LIABILITIES</t>
  </si>
  <si>
    <t>Long Term Operating Lease Liabilities</t>
  </si>
  <si>
    <t>ARD_LT_OPERATING_LEASE_LIABS</t>
  </si>
  <si>
    <t>ARD_TOT_LIABILITIES</t>
  </si>
  <si>
    <t xml:space="preserve">  Stockholder Equity</t>
  </si>
  <si>
    <t>Preferred Stock</t>
  </si>
  <si>
    <t>ARD_PREFERRED_STOCK</t>
  </si>
  <si>
    <t>Common Stock</t>
  </si>
  <si>
    <t>ARD_COMMON_STOCK</t>
  </si>
  <si>
    <t>Additional Paid In Capital</t>
  </si>
  <si>
    <t>ARD_ADDITIONAL_PAID_IN_CAPITAL</t>
  </si>
  <si>
    <t>Accumulated Other Comprehensive Income</t>
  </si>
  <si>
    <t>ARD_ACC_OTH_COMPREHENSIVE_INC</t>
  </si>
  <si>
    <t>Retained Earnings (Accumulated Deficit)</t>
  </si>
  <si>
    <t>ARD_RETAINED_EARN_ACC_DEFICIT</t>
  </si>
  <si>
    <t>ARD_SHARES_OUTSTANDING</t>
  </si>
  <si>
    <t>Par Value</t>
  </si>
  <si>
    <t>ARD_PAR_VALUE</t>
  </si>
  <si>
    <t>Shares Issued</t>
  </si>
  <si>
    <t>ARD_SHARES_ISSUED</t>
  </si>
  <si>
    <t>Total Shareholders Equity</t>
  </si>
  <si>
    <t>ARD_TOTAL_SHAREHOLDERS_EQUITY</t>
  </si>
  <si>
    <t>Shares Authorized</t>
  </si>
  <si>
    <t>ARD_SHARES_AUTHORIZED</t>
  </si>
  <si>
    <t>Preferred Stock Shares Outstanding</t>
  </si>
  <si>
    <t>ARD_PREFERRED_STOCK_SHARES_OUT</t>
  </si>
  <si>
    <t>Total Liabilities and Shareholders Equity</t>
  </si>
  <si>
    <t>ARD_TOT_LIAB_AND_SHAREHOLDER_EQY</t>
  </si>
  <si>
    <t>ARDR_ACCTS_RECEIVABLE_TRADE</t>
  </si>
  <si>
    <t>ARDR_INVENTORY</t>
  </si>
  <si>
    <t>Prepaid Expenses (ST)</t>
  </si>
  <si>
    <t>ARDR_PREPAID_EXPENSES_ST</t>
  </si>
  <si>
    <t>Non-Current Marketable Securities</t>
  </si>
  <si>
    <t>ARDR_NON_CUR_MKT_SEC</t>
  </si>
  <si>
    <t>ARDR_LT_INVEST</t>
  </si>
  <si>
    <t>Land</t>
  </si>
  <si>
    <t>ARDR_LAND</t>
  </si>
  <si>
    <t>Buildings</t>
  </si>
  <si>
    <t>ARDR_BUILDING</t>
  </si>
  <si>
    <t>Leasehold Improvements</t>
  </si>
  <si>
    <t>ARDR_LEASEHOLD_IMPROVEMENTS</t>
  </si>
  <si>
    <t>Construction In Progress</t>
  </si>
  <si>
    <t>ARDR_CONSTRUCTION_IN_PROGRESS</t>
  </si>
  <si>
    <t>Furniture/Machinery/Equipment</t>
  </si>
  <si>
    <t>ARDR_FURNITURE_MACHINERY_EQUIP</t>
  </si>
  <si>
    <t>Property Plant &amp; Equipment - Gross</t>
  </si>
  <si>
    <t>ARDR_PROPERTY_PLANT_EQUIP_GROSS</t>
  </si>
  <si>
    <t>ARDR_ACCUMULATED_DEPREC</t>
  </si>
  <si>
    <t>ARDR_PROPERTY_PLANT_EQUIP_NET</t>
  </si>
  <si>
    <t>Deferred Income Tax Asset (LT)</t>
  </si>
  <si>
    <t>ARDR_DEFERRED_INC_TAX_ASSET_LT</t>
  </si>
  <si>
    <t>ARDR_TOTAL_INTANGIBLE_ASSET_NET</t>
  </si>
  <si>
    <t>ARDR_PATENTS_TRADEMRK_COPYRIGHT</t>
  </si>
  <si>
    <t>ARDR_COMMON_STOCK</t>
  </si>
  <si>
    <t>ARDR_ADDITIONAL_PAID_IN_CAPITAL</t>
  </si>
  <si>
    <t>ARDR_ACC_OTH_COMPREHENSIVE_INC</t>
  </si>
  <si>
    <t>ARDR_RETAINED_EARN_ACC_DEFICIT</t>
  </si>
  <si>
    <t>ARDR_SHARES_OUTSTANDING</t>
  </si>
  <si>
    <t>ARDR_PAR_VALUE</t>
  </si>
  <si>
    <t>Raw Materials</t>
  </si>
  <si>
    <t>ARDR_RAW_MATERIAL</t>
  </si>
  <si>
    <t>Work In Progress</t>
  </si>
  <si>
    <t>ARDR_WORK_IN_PROGRESS</t>
  </si>
  <si>
    <t>Finished Goods</t>
  </si>
  <si>
    <t>ARDR_FINISHED_GOOD</t>
  </si>
  <si>
    <t>ARDR_SHARES_ISSUED</t>
  </si>
  <si>
    <t>Other Inventory</t>
  </si>
  <si>
    <t>ARDR_OTHER_INVENTORY</t>
  </si>
  <si>
    <t>ARDR_FUT_MIN_OPER_LEASE_OBLIG</t>
  </si>
  <si>
    <t>Rental Expense - Year 1</t>
  </si>
  <si>
    <t>ARDR_RENTAL_EXP_YR1</t>
  </si>
  <si>
    <t>Rental Expense - Year 2</t>
  </si>
  <si>
    <t>ARDR_RENTAL_EXP_YR2</t>
  </si>
  <si>
    <t>Rental Expense - Year 3</t>
  </si>
  <si>
    <t>ARDR_RENTAL_EXP_YR3</t>
  </si>
  <si>
    <t>Rental Expense - Year 4</t>
  </si>
  <si>
    <t>ARDR_RENTAL_EXP_YR4</t>
  </si>
  <si>
    <t>Rental Expense - Year 5</t>
  </si>
  <si>
    <t>ARDR_RENTAL_EXP_YR5</t>
  </si>
  <si>
    <t>Rental Expense - Beyond Year 5</t>
  </si>
  <si>
    <t>ARDR_RENTAL_EXP_BEYOND_YR5</t>
  </si>
  <si>
    <t>ARDR_TOTAL_SHAREHOLDERS_EQUITY</t>
  </si>
  <si>
    <t>Prepaid Expenses (LT)</t>
  </si>
  <si>
    <t>ARDR_PREPAID_EXPENSES_LT</t>
  </si>
  <si>
    <t>ARDR_NUMBER_EMPLOYEES</t>
  </si>
  <si>
    <t>Shares Outstanding From The Front Cover</t>
  </si>
  <si>
    <t>ARDR_SHARE_OUT_FROM_FRONT_COVER</t>
  </si>
  <si>
    <t>Finance Receivables (LT)</t>
  </si>
  <si>
    <t>ARDR_FINANCE_RECEIVABLES_LT</t>
  </si>
  <si>
    <t>Licenses</t>
  </si>
  <si>
    <t>ARDR_LICENSES</t>
  </si>
  <si>
    <t>Accumulated Amortization Intangible Assets</t>
  </si>
  <si>
    <t>ARDR_ACCCUM_AMORT_INTANG_ASSET</t>
  </si>
  <si>
    <t>Cash Equivalents And Marketable Securities</t>
  </si>
  <si>
    <t>ARDR_CASH_EQUIVALENTS_MKT_SECS</t>
  </si>
  <si>
    <t>ARDR_OPTIONS_GRANTED_DURING_PER</t>
  </si>
  <si>
    <t>Options Outstanding End Period</t>
  </si>
  <si>
    <t>ARDR_OPTIONS_OUTSTANDING_END_PER</t>
  </si>
  <si>
    <t>ARDR_SHARES_AUTHORIZED</t>
  </si>
  <si>
    <t>Other Commitments</t>
  </si>
  <si>
    <t>ARDR_OTHER_COMMITMENTS</t>
  </si>
  <si>
    <t>ARDR_PREFERRED_STOCK_SHARES_OUT</t>
  </si>
  <si>
    <t>Options Exercised During the Period</t>
  </si>
  <si>
    <t>ARDR_OPTIONS_EXERCISED_DUR_PER</t>
  </si>
  <si>
    <t>Cash Equivalents</t>
  </si>
  <si>
    <t>ARDR_CASH_EQUIVS</t>
  </si>
  <si>
    <t>Debt Schedule In Yr 1</t>
  </si>
  <si>
    <t>ARDR_DEBT_SCHEDULE_IN_YR1</t>
  </si>
  <si>
    <t>Debt Schedule In Yr 2</t>
  </si>
  <si>
    <t>ARDR_DEBT_SCHEDULE_IN_YR2</t>
  </si>
  <si>
    <t>Debt Schedule In Yr 3</t>
  </si>
  <si>
    <t>ARDR_DEBT_SCHEDULE_IN_YR3</t>
  </si>
  <si>
    <t>Debt Schedule In Yr 4</t>
  </si>
  <si>
    <t>ARDR_DEBT_SCHEDULE_IN_YR4</t>
  </si>
  <si>
    <t>Debt Schedule In Yr 5</t>
  </si>
  <si>
    <t>ARDR_DEBT_SCHEDULE_IN_YR5</t>
  </si>
  <si>
    <t>Debt Schedule Thereafter</t>
  </si>
  <si>
    <t>ARDR_DEBT_SCHEDULE_THEREAFTER</t>
  </si>
  <si>
    <t>Debt Schedule - Total Debt</t>
  </si>
  <si>
    <t>ARDR_DEBT_SCHEDULE_TOTAL_DEBT</t>
  </si>
  <si>
    <t>Debt Schedule - Total Long Term Debt</t>
  </si>
  <si>
    <t>ARDR_DEBT_SCHEDULE_TOTAL_LT_DEBT</t>
  </si>
  <si>
    <t>Number of Common Shares Repurchased</t>
  </si>
  <si>
    <t>ARDR_COMMON_SHARES_REPURCHASED</t>
  </si>
  <si>
    <t>Value of Common Shares Repurchased</t>
  </si>
  <si>
    <t>ARDR_VAL_COMMON_SHRS_REPURCHASED</t>
  </si>
  <si>
    <t>ARDR Total Operating Liabilities</t>
  </si>
  <si>
    <t>ARDR_TOTAL_OPERATING_LIABILITIES</t>
  </si>
  <si>
    <t>Fair Value Assets Recur - Level 1</t>
  </si>
  <si>
    <t>ARDR_FV_ASSETS_REC_LEVEL_1</t>
  </si>
  <si>
    <t>Fair Value Assets Recur - Level 2</t>
  </si>
  <si>
    <t>ARDR_FV_ASSETS_REC_LEVEL_2</t>
  </si>
  <si>
    <t>Fair Value Assets Recur - Level 3</t>
  </si>
  <si>
    <t>ARDR_FV_ASSETS_REC_LEVEL_3</t>
  </si>
  <si>
    <t>Fair Value Assets Recur - Total</t>
  </si>
  <si>
    <t>ARDR_FV_ASSETS_REC_TOTAL</t>
  </si>
  <si>
    <t>Fair Value Liab Recur - Level 1</t>
  </si>
  <si>
    <t>ARDR_FV_LIAB_REC_LEVEL_1</t>
  </si>
  <si>
    <t>Fair Value Liab Recur - Level 2</t>
  </si>
  <si>
    <t>ARDR_FV_LIAB_REC_LEVEL_2</t>
  </si>
  <si>
    <t>Fair Value Liab Recur - Level 3</t>
  </si>
  <si>
    <t>ARDR_FV_LIAB_REC_LEVEL_3</t>
  </si>
  <si>
    <t>Fair Value Liab Recur - Total</t>
  </si>
  <si>
    <t>ARDR_FV_LIAB_REC_TOTAL</t>
  </si>
  <si>
    <t>Contractual Obligations - Year 1</t>
  </si>
  <si>
    <t>ARDR_CONTRACTUAL_OBLIG_YEAR_1</t>
  </si>
  <si>
    <t>Contractual Obligations Years - 2 &amp; 3</t>
  </si>
  <si>
    <t>ARDR_CONTRACTUAL_OBLIG_YEAR_2_3</t>
  </si>
  <si>
    <t>Contractual Obligations Years - 4 &amp; 5</t>
  </si>
  <si>
    <t>ARDR_CONTRACTUAL_OBLIG_YEAR_4_5</t>
  </si>
  <si>
    <t>Contractual Obligations - Beyond Year 5</t>
  </si>
  <si>
    <t>ARDR_CONT_OBLIG_BEYOND_YEAR_5</t>
  </si>
  <si>
    <t>Total Contractual Obligations</t>
  </si>
  <si>
    <t>ARDR_CONTRACTUAL_OBLIG_TOTAL</t>
  </si>
  <si>
    <t>Rental Expense - Years 2 - 3</t>
  </si>
  <si>
    <t>ARDR_RENTAL_EXPENSE_YEARS_2_3</t>
  </si>
  <si>
    <t>Rental Expense - Years 4 - 5</t>
  </si>
  <si>
    <t>ARDR_RENTAL_EXPENSE_YEARS_4_5</t>
  </si>
  <si>
    <t>PV of Future Min Op Lease Obligations</t>
  </si>
  <si>
    <t>ARDR_PV_FUTURE_MIN_OP_LEASE_OBL</t>
  </si>
  <si>
    <t>Weighted Average Cost of Options Granted</t>
  </si>
  <si>
    <t>ARDR_WEI_AVG_COST_OPTIONS_GRANT</t>
  </si>
  <si>
    <t>Stock Opt Valuation - Expected Life (Yrs)</t>
  </si>
  <si>
    <t>ARDR_STOCK_OPTION_VAL_EXP_LIFE</t>
  </si>
  <si>
    <t>Stock Opt Valuation - Dividend Yield (%)</t>
  </si>
  <si>
    <t>ARDR_STOCK_OPTION_VAL_DVD_YLD</t>
  </si>
  <si>
    <t>Avg Exercise Price (Options Exercisable)</t>
  </si>
  <si>
    <t>ARDR_AVG_EXER_PX_OPT_EXERCISABLE</t>
  </si>
  <si>
    <t>Avg Exercise Price (Options Outstanding)</t>
  </si>
  <si>
    <t>ARDR_AVG_EXER_PX_OPT_OUTSTANDING</t>
  </si>
  <si>
    <t>Options Exercisable End of Period</t>
  </si>
  <si>
    <t>ARDR_OPTIONS_EXERCISABLE</t>
  </si>
  <si>
    <t>Deferred Tax Asset - Valuation Allowance</t>
  </si>
  <si>
    <t>ARDR_DEFERRED_TAX_ALLOWANCE</t>
  </si>
  <si>
    <t>FV Assets Rec L1: Trading Treasuries</t>
  </si>
  <si>
    <t>ARDR_FV_ASSETS_REC_L1_TRAD_TREAS</t>
  </si>
  <si>
    <t>FV Assets Rec L1: Trading Bonds</t>
  </si>
  <si>
    <t>ARDR_FV_ASSETS_REC_L1_TRAD_BONDS</t>
  </si>
  <si>
    <t>FV Assets Rec L1: Trading CDO CLO</t>
  </si>
  <si>
    <t>ARDR_FV_ASTS_REC_L1_TRAD_CDO_CLO</t>
  </si>
  <si>
    <t>FV Assets Rec L1: Trading Other</t>
  </si>
  <si>
    <t>ARDR_FV_ASSETS_REC_L1_TRAD_OTHER</t>
  </si>
  <si>
    <t>FV Assets Rec L1: AFS Corporate Bonds</t>
  </si>
  <si>
    <t>ARDR_FV_ASTS_REC_L1_AFS_CORP_BDS</t>
  </si>
  <si>
    <t>FV Assets Rec L1: Derivatives</t>
  </si>
  <si>
    <t>ARDR_FV_ASTS_REC_L1_DERIVATIVES</t>
  </si>
  <si>
    <t>FV Assets Rec L1: Other</t>
  </si>
  <si>
    <t>ARDR_FV_ASSETS_REC_L1_OTHER</t>
  </si>
  <si>
    <t>FV Assets Rec L2: Trading Treasuries</t>
  </si>
  <si>
    <t>ARDR_FV_ASTS_REC_L2_TRAD_TREAS</t>
  </si>
  <si>
    <t>FV Assets Rec L2: Trading Bonds</t>
  </si>
  <si>
    <t>ARDR_FV_ASTS_REC_L2_TRAD_BONDS</t>
  </si>
  <si>
    <t>FV Assets Rec L2: Trading CDO CLO</t>
  </si>
  <si>
    <t>ARDR_FV_ASTS_REC_L2_TRAD_CDO_CLO</t>
  </si>
  <si>
    <t>FV Assets Rec L2: Trading Other</t>
  </si>
  <si>
    <t>ARDR_FV_ASSETS_REC_L2_TRAD_OTHER</t>
  </si>
  <si>
    <t>FV Assets Rec L2: AFS Corp Bonds</t>
  </si>
  <si>
    <t>ARDR_FV_ASTS_REC_L2_AFS_CORP_BDS</t>
  </si>
  <si>
    <t>FV Assets Rec L2: Derivatives</t>
  </si>
  <si>
    <t>ARDR_FV_ASTS_REC_L2_DERIVATIVES</t>
  </si>
  <si>
    <t>FV Assets Rec L2: Other</t>
  </si>
  <si>
    <t>ARDR_FV_ASSETS_REC_L2_OTH</t>
  </si>
  <si>
    <t>FV Assets Rec L3: Trading Treasuries</t>
  </si>
  <si>
    <t>ARDR_FV_ASTS_REC_L3_TRAD_TREAS</t>
  </si>
  <si>
    <t>FV Assets Rec L3: Trading Bonds</t>
  </si>
  <si>
    <t>ARDR_FV_ASTS_REC_L3_TRAD_BONDS</t>
  </si>
  <si>
    <t>FV Assets Rec L3: Trading Other</t>
  </si>
  <si>
    <t>ARDR_FV_ASTS_REC_L3_TRAD_OTHER</t>
  </si>
  <si>
    <t>FV Assets Rec L3: AFS Corporate Bonds</t>
  </si>
  <si>
    <t>ARDR_FV_ASTS_REC_L3_AFS_CORP_BDS</t>
  </si>
  <si>
    <t>FV Assets Rec L3: Derivatives</t>
  </si>
  <si>
    <t>ARDR_FV_ASTS_REC_L3_DERIVATIVES</t>
  </si>
  <si>
    <t>FV Assets Rec L3: Other</t>
  </si>
  <si>
    <t>ARDR_FV_ASSETS_REC_L3_OTHER</t>
  </si>
  <si>
    <t>FV Assets Rec Total: Trading Account</t>
  </si>
  <si>
    <t>ARDR_FV_ASTS_REC_TOT_TRADING_ACC</t>
  </si>
  <si>
    <t>FV Assets Rec Total: CP</t>
  </si>
  <si>
    <t>ARDR_FV_ASSETS_REC_TOT_CP</t>
  </si>
  <si>
    <t>FV Assets Rec Total: Derivatives</t>
  </si>
  <si>
    <t>ARDR_FV_ASTS_REC_TOT_DERIVATIVES</t>
  </si>
  <si>
    <t>FV Assets Rec Total: Other</t>
  </si>
  <si>
    <t>ARDR_FV_ASSETS_REC_TOT_OTHER</t>
  </si>
  <si>
    <t>FV Liabs Rec L1: Other</t>
  </si>
  <si>
    <t>ARDR_FV_LIABS_REC_L1_OTHER</t>
  </si>
  <si>
    <t>FV Liabs Rec L2: Other</t>
  </si>
  <si>
    <t>ARDR_FV_LIABS_REC_L2_OTHER</t>
  </si>
  <si>
    <t>FV Liabs Rec L3: Other</t>
  </si>
  <si>
    <t>ARDR_FV_LIABS_REC_L3_OTHER</t>
  </si>
  <si>
    <t>FV Liabs Rec Total: Other</t>
  </si>
  <si>
    <t>ARDR_FV_LIABS_REC_TOT_OTHER</t>
  </si>
  <si>
    <t>Cr Derv Wrt Notl - bey 5 Yr - High Inv Grd</t>
  </si>
  <si>
    <t>ARDR_CD_WR_NOTL_B_YR_5_H_INV</t>
  </si>
  <si>
    <t>Options at Beginning of Period</t>
  </si>
  <si>
    <t>ARDR_OPTIONS_BEGINNING_OF_PERIOD</t>
  </si>
  <si>
    <t>Options Cancelled Forfeited or Expired</t>
  </si>
  <si>
    <t>ARDR_OPTIONS_CANCEL_FORFEIT_EXP</t>
  </si>
  <si>
    <t>Options Adjustment</t>
  </si>
  <si>
    <t>ARDR_OPTIONS_ADJUSTMENT</t>
  </si>
  <si>
    <t>As Reported Data Reference Restricted Stock Units</t>
  </si>
  <si>
    <t>ARDR_RESTRICTED_STOCK_UNITS</t>
  </si>
  <si>
    <t>ARDR Restricted Stock Unit WAvg FV PS</t>
  </si>
  <si>
    <t>ARDR_RSTR_STK_UNIT_WAVG_FV_PS</t>
  </si>
  <si>
    <t>Stock Option Valuation - RFR % - Low</t>
  </si>
  <si>
    <t>ARDR_STK_OPT_VALN_RFR_PCT_LO</t>
  </si>
  <si>
    <t>Stock Option Valuation - RFR % - High</t>
  </si>
  <si>
    <t>ARDR_STK_OPT_VALN_RFR_PCT_HI</t>
  </si>
  <si>
    <t>Stock Opt Val - Expected Life Years - Low</t>
  </si>
  <si>
    <t>ARDR_STK_OPT_VALN_EXPCTD_LF_Y_LO</t>
  </si>
  <si>
    <t>Stock Opt Val - Expctd Volatility % - Low</t>
  </si>
  <si>
    <t>ARDR_STK_OPT_VALN_EXP_VOL_PCT_LO</t>
  </si>
  <si>
    <t>Stock Opt Val - Expctd Volatility % - High</t>
  </si>
  <si>
    <t>ARDR_STK_OPT_VALN_EXP_VOL_PCT_HI</t>
  </si>
  <si>
    <t>ARDR Value Shares Repurchased Repurchase Program</t>
  </si>
  <si>
    <t>ARDR_VAL_SHS_REPURCH_FR_REP_PROG</t>
  </si>
  <si>
    <t>ARDR Number Shares Repurchased Repurchase Program</t>
  </si>
  <si>
    <t>ARDR_#_SHS_REPURCH_FR_REP_PROG</t>
  </si>
  <si>
    <t>Sarepta Therapeutics Inc (SRPT US) - Common Size</t>
  </si>
  <si>
    <t>Sarepta Therapeutics Inc (SRPT US) - Fair Value Analysis</t>
  </si>
  <si>
    <t xml:space="preserve">  Level 1 Assets</t>
  </si>
  <si>
    <t xml:space="preserve">  Level 2 Assets</t>
  </si>
  <si>
    <t xml:space="preserve">  Level 3 Assets</t>
  </si>
  <si>
    <t>Total FV Assets</t>
  </si>
  <si>
    <t xml:space="preserve">  Level 1 Liabilities</t>
  </si>
  <si>
    <t xml:space="preserve">  Level 2 Liabilities</t>
  </si>
  <si>
    <t xml:space="preserve">  Level 3 Liabilities</t>
  </si>
  <si>
    <t>Total FV Liabilities</t>
  </si>
  <si>
    <t xml:space="preserve">  Level 1 Assets/Total Equity</t>
  </si>
  <si>
    <t>LEVEL_1_ASSETS_TO_TOTAL_EQUITY</t>
  </si>
  <si>
    <t xml:space="preserve">  Level 2 Assets/Total Equity</t>
  </si>
  <si>
    <t>LEVEL_2_ASSETS_TO_TOTAL_EQUITY</t>
  </si>
  <si>
    <t xml:space="preserve">  Level 3 Assets/Total Equity</t>
  </si>
  <si>
    <t>LEVEL_3_ASSETS_TO_TOTAL_EQUITY</t>
  </si>
  <si>
    <t>Total FV Assets/Total Equity</t>
  </si>
  <si>
    <t>TOT_FAIR_VAL_ASSETS_TO_TOT_EQTY</t>
  </si>
  <si>
    <t xml:space="preserve">  Level 1 Assets/Total Assets</t>
  </si>
  <si>
    <t>LEVEL_1_ASSETS_TO_TOTAL_ASSETS</t>
  </si>
  <si>
    <t xml:space="preserve">  Level 2 Assets/Total Assets</t>
  </si>
  <si>
    <t>LEVEL_2_ASSETS_TO_TOTAL_ASSETS</t>
  </si>
  <si>
    <t xml:space="preserve">  Level 3 Assets/Total Assets</t>
  </si>
  <si>
    <t>LEVEL_3_ASSETS_TO_TOTAL_ASSETS</t>
  </si>
  <si>
    <t>Total FV Assets/Total Assets</t>
  </si>
  <si>
    <t>TOT_FAIR_VAL_ASSET_TO_TOT_ASSETS</t>
  </si>
  <si>
    <t>Cash from Operating Activities</t>
  </si>
  <si>
    <t xml:space="preserve">  + Net Income</t>
  </si>
  <si>
    <t>CF_NET_INC</t>
  </si>
  <si>
    <t>CF_DEPR_AMORT</t>
  </si>
  <si>
    <t xml:space="preserve">  + Non-Cash Items</t>
  </si>
  <si>
    <t>NON_CASH_ITEMS_DETAILED</t>
  </si>
  <si>
    <t xml:space="preserve">    + Stock-Based Compensation</t>
  </si>
  <si>
    <t>CF_STOCK_BASED_COMPENSATION</t>
  </si>
  <si>
    <t xml:space="preserve">    + Other Non-Cash Adj</t>
  </si>
  <si>
    <t>OTHER_NON_CASH_ADJ_LESS_DETAILED</t>
  </si>
  <si>
    <t xml:space="preserve">  + Chg in Non-Cash Work Cap</t>
  </si>
  <si>
    <t>CF_CHNG_NON_CASH_WORK_CAP</t>
  </si>
  <si>
    <t xml:space="preserve">    + (Inc) Dec in Accts Receiv</t>
  </si>
  <si>
    <t>CF_ACCT_RCV_UNBILLED_REV</t>
  </si>
  <si>
    <t xml:space="preserve">    + (Inc) Dec in Inventories</t>
  </si>
  <si>
    <t>CF_CHANGE_IN_INVENTORIES</t>
  </si>
  <si>
    <t xml:space="preserve">    + Inc (Dec) in Other</t>
  </si>
  <si>
    <t>INC_DEC_IN_OT_OP_AST_LIAB_DETAIL</t>
  </si>
  <si>
    <t xml:space="preserve">  + Net Cash From Disc Ops</t>
  </si>
  <si>
    <t>CF_NET_CASH_DISCONT_OPS_OPER</t>
  </si>
  <si>
    <t>Cash from Investing Activities</t>
  </si>
  <si>
    <t xml:space="preserve">  + Change in Fixed &amp; Intang</t>
  </si>
  <si>
    <t>FIXED_INTANG_ASST_CHANGE</t>
  </si>
  <si>
    <t xml:space="preserve">    + Disp in Fixed &amp; Intang</t>
  </si>
  <si>
    <t>DISPOSAL_OF_FIXED_INTANG</t>
  </si>
  <si>
    <t xml:space="preserve">    + Disp of Fixed Prod Assets</t>
  </si>
  <si>
    <t>CF_DISPOSAL_OF_FIXED_PROD_ASSETS</t>
  </si>
  <si>
    <t xml:space="preserve">    + Disp of Intangible Assets</t>
  </si>
  <si>
    <t>CF_DISPOSAL_OF_INTANGIBLE_ASSETS</t>
  </si>
  <si>
    <t xml:space="preserve">    + Acq of Fixed &amp; Intang</t>
  </si>
  <si>
    <t>ACQUIS_OF_FIXED_INTANG</t>
  </si>
  <si>
    <t xml:space="preserve">    + Acq of Fixed Prod Assets</t>
  </si>
  <si>
    <t>CF_PURCHASE_OF_FIXED_PROD_ASSETS</t>
  </si>
  <si>
    <t xml:space="preserve">    + Acq of Intangible Assets</t>
  </si>
  <si>
    <t>CF_ACQUISITION_OF_INTANG_ASSETS</t>
  </si>
  <si>
    <t xml:space="preserve">  + Net Change in LT Investment</t>
  </si>
  <si>
    <t>NET_CHG_IN_LT_INVEST_DETAILED</t>
  </si>
  <si>
    <t xml:space="preserve">    + Dec in LT Investment</t>
  </si>
  <si>
    <t>CF_DECR_INVEST</t>
  </si>
  <si>
    <t xml:space="preserve">    + Inc in LT Investment</t>
  </si>
  <si>
    <t>CF_INCR_INVEST</t>
  </si>
  <si>
    <t xml:space="preserve">  + Net Cash From Acq &amp; Div</t>
  </si>
  <si>
    <t>CF_NT_CSH_RCVD_PD_FOR_ACQUIS_DIV</t>
  </si>
  <si>
    <t xml:space="preserve">    + Cash from Divestitures</t>
  </si>
  <si>
    <t>CF_CASH_FOR_DIVESTITURES</t>
  </si>
  <si>
    <t xml:space="preserve">    + Cash for Acq of Subs</t>
  </si>
  <si>
    <t>CF_CASH_FOR_ACQUIS_SUBSIDIARIES</t>
  </si>
  <si>
    <t xml:space="preserve">    + Cash for JVs</t>
  </si>
  <si>
    <t>CF_CASH_FOR_JOINT_VENTURES_ASSOC</t>
  </si>
  <si>
    <t xml:space="preserve">  + Other Investing Activities</t>
  </si>
  <si>
    <t>OTHER_INVESTING_ACT_DETAILED</t>
  </si>
  <si>
    <t>CF_NET_CASH_DISCONTINUED_OPS_INV</t>
  </si>
  <si>
    <t>Cash from Financing Activities</t>
  </si>
  <si>
    <t xml:space="preserve">  + Dividends Paid</t>
  </si>
  <si>
    <t>CF_DVD_PAID</t>
  </si>
  <si>
    <t xml:space="preserve">  + Cash From (Repayment) Debt</t>
  </si>
  <si>
    <t>PROC_FR_REPAYMNTS_BOR_DETAILED</t>
  </si>
  <si>
    <t xml:space="preserve">    + Cash From (Repay) ST Debt</t>
  </si>
  <si>
    <t>CF_NET_CHG_ST_DEBT_CPTL_LEAS</t>
  </si>
  <si>
    <t xml:space="preserve">    + Cash From LT Debt</t>
  </si>
  <si>
    <t>CF_LT_DEBT_CAP_LEAS_PROCEEDS</t>
  </si>
  <si>
    <t xml:space="preserve">    + Repayments of LT Debt</t>
  </si>
  <si>
    <t>CF_LT_DEBT_CAP_LEAS_PAYMENT</t>
  </si>
  <si>
    <t xml:space="preserve">  + Cash (Repurchase) of Equity</t>
  </si>
  <si>
    <t>PROC_FR_REPURCH_EQTY_DETAILED</t>
  </si>
  <si>
    <t xml:space="preserve">    + Increase in Capital Stock</t>
  </si>
  <si>
    <t>CF_INCR_CAP_STOCK</t>
  </si>
  <si>
    <t xml:space="preserve">    + Decrease in Capital Stock</t>
  </si>
  <si>
    <t>CF_DECR_CAP_STOCK</t>
  </si>
  <si>
    <t xml:space="preserve">  + Other Financing Activities</t>
  </si>
  <si>
    <t>OTHER_FIN_AND_DEC_CAP</t>
  </si>
  <si>
    <t>CF_NET_CASH_DISCONTINUED_OPS_FIN</t>
  </si>
  <si>
    <t>CFF_ACTIVITIES_DETAILED</t>
  </si>
  <si>
    <t xml:space="preserve">  Effect of Foreign Exchange Rates</t>
  </si>
  <si>
    <t>CF_EFFECT_FOREIGN_EXCHANGES</t>
  </si>
  <si>
    <t>Net Changes in Cash</t>
  </si>
  <si>
    <t>CF_NET_CHNG_CASH</t>
  </si>
  <si>
    <t>Cash Paid for Taxes</t>
  </si>
  <si>
    <t>CF_CASH_PAID_FOR_TAX</t>
  </si>
  <si>
    <t>Cash Paid for Interest</t>
  </si>
  <si>
    <t>CF_ACT_CASH_PAID_FOR_INT_DEBT</t>
  </si>
  <si>
    <t>Trailing 12M EBITDA Margin</t>
  </si>
  <si>
    <t>Free Cash Flow to Firm</t>
  </si>
  <si>
    <t>CF_FREE_CASH_FLOW_FIRM</t>
  </si>
  <si>
    <t>Free Cash Flow to Equity</t>
  </si>
  <si>
    <t>FREE_CASH_FLOW_EQUITY</t>
  </si>
  <si>
    <t>Free Cash Flow per Basic Share</t>
  </si>
  <si>
    <t>Price to Free Cash Flow</t>
  </si>
  <si>
    <t>Cash Flow to Net Income</t>
  </si>
  <si>
    <t>CASH_FLOW_TO_NET_INC</t>
  </si>
  <si>
    <t xml:space="preserve">  Cash From Operating Activities</t>
  </si>
  <si>
    <t>Net Income - CF</t>
  </si>
  <si>
    <t>ARD_NET_INCOME_CF</t>
  </si>
  <si>
    <t>Depreciation And Amortization - CF</t>
  </si>
  <si>
    <t>ARD_DEPRECIATION_AND_AMORT_CF</t>
  </si>
  <si>
    <t>Restructuring Charges - CF</t>
  </si>
  <si>
    <t>ARD_RESTRUCTURING_CHARGES_CF</t>
  </si>
  <si>
    <t>Disposal/Sale of Assets</t>
  </si>
  <si>
    <t>ARD_DISPOSAL_SALE_OF_ASSETS</t>
  </si>
  <si>
    <t>ARD_STOCK_BASED_COMPENSATION</t>
  </si>
  <si>
    <t>Other Non-Cash Items</t>
  </si>
  <si>
    <t>ARD_OTHER_NON_CASH_ITEMS</t>
  </si>
  <si>
    <t>Change in Inventories</t>
  </si>
  <si>
    <t>ARD_CHANGE_IN_INVENTORIES</t>
  </si>
  <si>
    <t>Change in Accounts Receivable</t>
  </si>
  <si>
    <t>ARD_CHG_IN_ACCOUNTS_RECEIVABLE</t>
  </si>
  <si>
    <t>Change in Deferred/Unearned Revenue -ST</t>
  </si>
  <si>
    <t>ARD_CHG_IN_DEF_UNEARN_REVENUE_ST</t>
  </si>
  <si>
    <t>Change in Accounts Payable &amp; Accrued Expenses</t>
  </si>
  <si>
    <t>ARD_CHG_IN_ACCT_PAY_ACC_EXP</t>
  </si>
  <si>
    <t>Change in Other Current Assets</t>
  </si>
  <si>
    <t>ARD_CHANGE_IN_OTHER_CUR_ASSETS</t>
  </si>
  <si>
    <t>Impairments</t>
  </si>
  <si>
    <t>ARD_IMPAIRMENTS</t>
  </si>
  <si>
    <t>Acquired In-Process R&amp;D -CF</t>
  </si>
  <si>
    <t>ARD_ACQUIRED_IN_PROCESS_RD_CF</t>
  </si>
  <si>
    <t>Other Amortization of Non-Cash Expenses/Gains</t>
  </si>
  <si>
    <t>ARD_OTH_AMORT_NONCASH_EXP_GAINS</t>
  </si>
  <si>
    <t>Change in Other Assets</t>
  </si>
  <si>
    <t>ARD_CHANGE_IN_OTHER_ASSETS</t>
  </si>
  <si>
    <t>Total Cash Flows From Operations</t>
  </si>
  <si>
    <t>ARD_TOT_CASH_FLOWS_FROM_OPS</t>
  </si>
  <si>
    <t>Amortization of Debt Discount</t>
  </si>
  <si>
    <t>ARD_AMORT_OF_DEBT_DISCOUNT</t>
  </si>
  <si>
    <t>Extraordinary Items - CF</t>
  </si>
  <si>
    <t>ARD_EXTRAORDINARY_ITEMS_CF</t>
  </si>
  <si>
    <t>Gain/(Loss) On Early Extinguishment of Debt</t>
  </si>
  <si>
    <t>ARD_GL_ON_EARLY_EXT_OF_DEBT</t>
  </si>
  <si>
    <t>ARD_INTEREST_EXPENSE</t>
  </si>
  <si>
    <t>Gain/Loss On Derivative Transaction</t>
  </si>
  <si>
    <t>ARD_GAIN_LOSS_DERIVATIVE_TRANS</t>
  </si>
  <si>
    <t xml:space="preserve">  Cash From Investing Activities</t>
  </si>
  <si>
    <t>ARD_CAPITAL_EXPENDITURES</t>
  </si>
  <si>
    <t>Proceeds From Long-Term Investments</t>
  </si>
  <si>
    <t>ARD_PROCEEDS_FROM_LT_INVEST</t>
  </si>
  <si>
    <t>Purchases of Long-Term Investments</t>
  </si>
  <si>
    <t>ARD_PURCHASES_OF_LT_INVEST</t>
  </si>
  <si>
    <t>Acquisition of Business</t>
  </si>
  <si>
    <t>ARD_ACQUISITION_OF_BUSINESS</t>
  </si>
  <si>
    <t>Other Investing Activities</t>
  </si>
  <si>
    <t>ARD_OTHER_INVESTING_ACTIVITIES</t>
  </si>
  <si>
    <t>Divestiture of Business</t>
  </si>
  <si>
    <t>ARD_DIVESTITURE_OF_BUSINESS</t>
  </si>
  <si>
    <t>Purchases of Short-Term Marketable Securities</t>
  </si>
  <si>
    <t>ARD_PURCHASES_OF_ST_MKT_SEC</t>
  </si>
  <si>
    <t>Purchase of Intangibles</t>
  </si>
  <si>
    <t>ARD_PURCHASE_OF_INTANGIBLES</t>
  </si>
  <si>
    <t>Total Cash Flows From Investing</t>
  </si>
  <si>
    <t>ARD_TOT_CASHFLOWS_FROM_INVESTING</t>
  </si>
  <si>
    <t xml:space="preserve">  Cash from Financing Activities</t>
  </si>
  <si>
    <t>Decrease In St Borrowings</t>
  </si>
  <si>
    <t>ARD_DECR_IN_ST_BORROW</t>
  </si>
  <si>
    <t>Increase In Long-Term Borrowings</t>
  </si>
  <si>
    <t>ARD_INCR_IN_LT_BORROW</t>
  </si>
  <si>
    <t>Decrease In Long-Term Borrowings</t>
  </si>
  <si>
    <t>ARD_DECR_IN_LT_BORROW</t>
  </si>
  <si>
    <t>Issuance of Common Stock</t>
  </si>
  <si>
    <t>ARD_ISSUANCE_OF_COMMON_STOCK</t>
  </si>
  <si>
    <t>Repurchase of Common Stock</t>
  </si>
  <si>
    <t>ARD_REPURCHASE_OF_COMMON_STOCK</t>
  </si>
  <si>
    <t>Debt Financing/Issuance Costs</t>
  </si>
  <si>
    <t>ARD_DEBT_FIN_ISSUANCE_COSTS</t>
  </si>
  <si>
    <t>Other Financing Activities</t>
  </si>
  <si>
    <t>ARD_OTHER_FINANCING_ACTIVITIES</t>
  </si>
  <si>
    <t>Cash Paid For Taxes</t>
  </si>
  <si>
    <t>ARD_CASH_PAID_FOR_TAXES</t>
  </si>
  <si>
    <t>Cash Paid For Interest</t>
  </si>
  <si>
    <t>ARD_CASH_PAID_FOR_INTEREST</t>
  </si>
  <si>
    <t>Exercise of Stock Options</t>
  </si>
  <si>
    <t>ARD_EXERCISE_OF_STOCK_OPTIONS</t>
  </si>
  <si>
    <t>Net Change In Cash</t>
  </si>
  <si>
    <t>ARD_NET_CHANGE_IN_CASH</t>
  </si>
  <si>
    <t>Cash and Cash Equivalents (End of Period)</t>
  </si>
  <si>
    <t>ARD_CASH_CASH_EQUIV_END_OF_PER</t>
  </si>
  <si>
    <t>Cash and Cash Equivalents (Beg of Period)</t>
  </si>
  <si>
    <t>ARD_CASH_CASH_EQUIV_BEG_OF_PER</t>
  </si>
  <si>
    <t>Total Cash Flows From Financing</t>
  </si>
  <si>
    <t>ARD_TOT_CASHFLOWS_FROM_FINANCING</t>
  </si>
  <si>
    <t>Sarepta Therapeutics Inc (SRPT US) - Profitability</t>
  </si>
  <si>
    <t>Returns</t>
  </si>
  <si>
    <t>Return on Common Equity</t>
  </si>
  <si>
    <t>RETURN_COM_EQY</t>
  </si>
  <si>
    <t>Return on Assets</t>
  </si>
  <si>
    <t>RETURN_ON_ASSET</t>
  </si>
  <si>
    <t>Return on Capital</t>
  </si>
  <si>
    <t>RETURN_ON_CAP</t>
  </si>
  <si>
    <t>Return on Invested Capital</t>
  </si>
  <si>
    <t>RETURN_ON_INV_CAPITAL</t>
  </si>
  <si>
    <t>Margins</t>
  </si>
  <si>
    <t>EBITDA Margin</t>
  </si>
  <si>
    <t>EBITDA_TO_REVENUE</t>
  </si>
  <si>
    <t>Incremental Operating Margin</t>
  </si>
  <si>
    <t>INCREMENTAL_OPERATING_MARGIN</t>
  </si>
  <si>
    <t>Pretax Margin</t>
  </si>
  <si>
    <t>PRETAX_INC_TO_NET_SALES</t>
  </si>
  <si>
    <t>Income before XO Margin</t>
  </si>
  <si>
    <t>INC_BEF_XO_ITEMS_TO_NET_SALES</t>
  </si>
  <si>
    <t>Net Income Margin</t>
  </si>
  <si>
    <t>Net Income to Common Margin</t>
  </si>
  <si>
    <t>NET_INCOME_TO_COMMON_MARGIN</t>
  </si>
  <si>
    <t>Additional</t>
  </si>
  <si>
    <t>Effective Tax Rate</t>
  </si>
  <si>
    <t>EFF_TAX_RATE</t>
  </si>
  <si>
    <t>Dvd Payout Ratio</t>
  </si>
  <si>
    <t>DVD_PAYOUT_RATIO</t>
  </si>
  <si>
    <t>Sustainable Growth Rate</t>
  </si>
  <si>
    <t>SUSTAIN_GROWTH_RT</t>
  </si>
  <si>
    <t>Sarepta Therapeutics Inc (SRPT US) - Growth</t>
  </si>
  <si>
    <t>1 Year Growth</t>
  </si>
  <si>
    <t>EBITDA_GROWTH</t>
  </si>
  <si>
    <t>OPER_INC_GROWTH</t>
  </si>
  <si>
    <t>EARN_FOR_COM_GROWTH</t>
  </si>
  <si>
    <t>EPS Diluted</t>
  </si>
  <si>
    <t>EPS Diluted before XO</t>
  </si>
  <si>
    <t>DILUTED_EPS_BEF_XO_ITEMS_GROWTH</t>
  </si>
  <si>
    <t>EPS Diluted before Abnormal</t>
  </si>
  <si>
    <t>RR_DIL_EPS_CONT_OPS_GROWTH</t>
  </si>
  <si>
    <t>Accounts Receivable</t>
  </si>
  <si>
    <t>ACCOUNTS_RECEIVABLE_GROWTH</t>
  </si>
  <si>
    <t>Inventory</t>
  </si>
  <si>
    <t>INVENTORY_GROWTH</t>
  </si>
  <si>
    <t>Fixed Assets</t>
  </si>
  <si>
    <t>NET_FIXED_ASSETS_1_YEAR_GROWTH</t>
  </si>
  <si>
    <t>ASSET_GROWTH</t>
  </si>
  <si>
    <t>Modified Working Capital</t>
  </si>
  <si>
    <t>MODIFIED_WORK_CAP_GROWTH</t>
  </si>
  <si>
    <t>Working Capital</t>
  </si>
  <si>
    <t>WORK_CAP_GROWTH</t>
  </si>
  <si>
    <t>Employees</t>
  </si>
  <si>
    <t>EMPL_GROWTH</t>
  </si>
  <si>
    <t>Accounts Payable</t>
  </si>
  <si>
    <t>ACCOUNTS_PAYABLE_GROWTH_1YR</t>
  </si>
  <si>
    <t>Short-Term Debt</t>
  </si>
  <si>
    <t>SHORT_TERM_DEBT_1_YEAR_GROWTH</t>
  </si>
  <si>
    <t>Total Debt</t>
  </si>
  <si>
    <t>TOTAL_DEBT_1_YEAR_GROWTH</t>
  </si>
  <si>
    <t>TOTAL_EQUITY_1_YEAR_GROWTH</t>
  </si>
  <si>
    <t>Capital</t>
  </si>
  <si>
    <t>GROWTH_IN_CAP</t>
  </si>
  <si>
    <t>Book Value per Share</t>
  </si>
  <si>
    <t>BVPS_GROWTH</t>
  </si>
  <si>
    <t>CASH_FLOW_GROWTH</t>
  </si>
  <si>
    <t>TOT_CAP_EXPEND_GROWTH</t>
  </si>
  <si>
    <t>NET_CHANGE_IN_CASH_1_YEAR_GROWTH</t>
  </si>
  <si>
    <t>FREE_CASH_FLOW_1_YEAR_GROWTH</t>
  </si>
  <si>
    <t>5 Year Growth</t>
  </si>
  <si>
    <t>GEO_GROW_NET_SALES</t>
  </si>
  <si>
    <t>ACCOUNTS_RECEIVABLE_5_YR_GROWTH</t>
  </si>
  <si>
    <t>INVENTORY_5_YEAR_GROWTH</t>
  </si>
  <si>
    <t>NET_FIXED_ASSETS_5_YEAR_GROWTH</t>
  </si>
  <si>
    <t>GEO_GROW_TOT_ASSET</t>
  </si>
  <si>
    <t>MODIFIED_WORKING_CPTL_5YR_GRWTH</t>
  </si>
  <si>
    <t>WORKING_CAPITAL_5_YEAR_GROWTH</t>
  </si>
  <si>
    <t>EMPLOYEES_5_YEAR_GROWTH</t>
  </si>
  <si>
    <t>ACCOUNTS_PAYABLE_5_YEAR_GROWTH</t>
  </si>
  <si>
    <t>SHORT_TERM_DEBT_5_YEAR_GROWTH</t>
  </si>
  <si>
    <t>TOTAL_DEBT_5_YEAR_GROWTH</t>
  </si>
  <si>
    <t>GEO_GROW_TOT_SHRHLDR_EQY</t>
  </si>
  <si>
    <t>Total Capital 5 Year Growth</t>
  </si>
  <si>
    <t>TOTAL_CAPITAL_5_YEAR_GROWTH</t>
  </si>
  <si>
    <t>GEO_GROW_BOOK_VAL</t>
  </si>
  <si>
    <t>Sequential Growth</t>
  </si>
  <si>
    <t>REVENUE_SEQUENTIAL_GROWTH</t>
  </si>
  <si>
    <t>EBITDA_SEQUENTIAL_GROWTH</t>
  </si>
  <si>
    <t>OPERATING_INCOME_SEQ_GROWTH</t>
  </si>
  <si>
    <t>NET_INCOME_TO_COMMON_SEQ_GROWTH</t>
  </si>
  <si>
    <t>EPS_DILUTED_SEQUENTIAL_GROWTH</t>
  </si>
  <si>
    <t>EPS_DIL_BEF_EXTRAORD_SEQ_GRWTH</t>
  </si>
  <si>
    <t>EPS_DILUTED_BEF_ABNRML_SEQ_GRWTH</t>
  </si>
  <si>
    <t>ACCOUNTS_RECEIVABLE_SEQ_GROWTH</t>
  </si>
  <si>
    <t>INVENTORY_SEQUENTIAL_GROWTH</t>
  </si>
  <si>
    <t>FIXED_ASSETS_SEQUENTIAL_GROWTH</t>
  </si>
  <si>
    <t>TOTAL_ASSETS_SEQUENTIAL_GROWTH</t>
  </si>
  <si>
    <t>MODIFIED_WORKING_CPTL_SEQ_GRWTH</t>
  </si>
  <si>
    <t>WORKING_CAPITAL_SEQ_GROWTH</t>
  </si>
  <si>
    <t>ACCOUNTS_PAYABLE_SEQ_GROWTH</t>
  </si>
  <si>
    <t>ST_DEBT_SEQUENTIAL_GROWTH</t>
  </si>
  <si>
    <t>TOTAL_DEBT_SEQUENTIAL_GROWTH</t>
  </si>
  <si>
    <t>TOTAL_EQUITY_SEQUENTIAL_GROWTH</t>
  </si>
  <si>
    <t>TOTAL_CAPITAL_SEQUENTIAL_GROWTH</t>
  </si>
  <si>
    <t>BPS_SEQUENTIAL_GROWTH</t>
  </si>
  <si>
    <t>CFO_SEQUENTIAL_GROWTH</t>
  </si>
  <si>
    <t>CAPEX_SEQUENTIAL_GROWTH</t>
  </si>
  <si>
    <t>NET_CHANGE_IN_CASH_SEQ_GROWTH</t>
  </si>
  <si>
    <t>FREE_CASH_FLOW_SEQUENTIAL_GROWTH</t>
  </si>
  <si>
    <t>Cash Flow to Firm</t>
  </si>
  <si>
    <t>CF_TO_FIRM_SEQUENTIAL_GROWTH</t>
  </si>
  <si>
    <t>Sarepta Therapeutics Inc (SRPT US) - Credit</t>
  </si>
  <si>
    <t>No</t>
  </si>
  <si>
    <t xml:space="preserve">  Short-Term Debt</t>
  </si>
  <si>
    <t xml:space="preserve">  Long Term Debt</t>
  </si>
  <si>
    <t>Total Debt/T12M EBITDA</t>
  </si>
  <si>
    <t>TOT_DEBT_TO_EBITDA</t>
  </si>
  <si>
    <t>Net Debt/EBITDA</t>
  </si>
  <si>
    <t>NET_DEBT_TO_EBITDA</t>
  </si>
  <si>
    <t>Total Debt/EBIT</t>
  </si>
  <si>
    <t>TOTAL_DEBT_TO_EBIT</t>
  </si>
  <si>
    <t>Net Debt/EBIT</t>
  </si>
  <si>
    <t>NET_DEBT_TO_EBIT</t>
  </si>
  <si>
    <t>EBITDA to Interest Expense</t>
  </si>
  <si>
    <t>EBITDA_TO_INTEREST_EXPN</t>
  </si>
  <si>
    <t>EBITDA-CapEx/Interest Expense</t>
  </si>
  <si>
    <t>EBITDA_LES_CAP_EXPEND_TO_INT_EXP</t>
  </si>
  <si>
    <t>EBIT to Interest Expense</t>
  </si>
  <si>
    <t>OPER_INC_TO_INT_EXP</t>
  </si>
  <si>
    <t>EBITDA/Cash Interest Paid</t>
  </si>
  <si>
    <t>EBITDA_TO_CASH_INTEREST_PAID</t>
  </si>
  <si>
    <t>EBITDA-CapEx/Cash Interest Paid</t>
  </si>
  <si>
    <t>EBITDA_AFT_CAPEX_TO_CASH_INT_PD</t>
  </si>
  <si>
    <t>EBIT/Cash Interest Paid</t>
  </si>
  <si>
    <t>EBIT_TO_CASH_INTEREST_PAID</t>
  </si>
  <si>
    <t>Cash Interest Paid</t>
  </si>
  <si>
    <t>Common Equity/Total Assets</t>
  </si>
  <si>
    <t>COM_EQY_TO_TOT_ASSET</t>
  </si>
  <si>
    <t>Long-Term Debt/Equity</t>
  </si>
  <si>
    <t>LT_DEBT_TO_TOT_EQY</t>
  </si>
  <si>
    <t>Long-Term Debt/Capital</t>
  </si>
  <si>
    <t>LT_DEBT_TO_TOT_CAP</t>
  </si>
  <si>
    <t>Long-Term Debt/Total Assets</t>
  </si>
  <si>
    <t>LT_DEBT_TO_TOT_ASSET</t>
  </si>
  <si>
    <t>Total Debt/Equity</t>
  </si>
  <si>
    <t>TOT_DEBT_TO_TOT_EQY</t>
  </si>
  <si>
    <t>Total Debt/Capital</t>
  </si>
  <si>
    <t>Total Debt/Total Assets</t>
  </si>
  <si>
    <t>TOT_DEBT_TO_TOT_ASSET</t>
  </si>
  <si>
    <t>Net Debt/Equity</t>
  </si>
  <si>
    <t>Net Debt/Capital</t>
  </si>
  <si>
    <t>NET_DEBT_PCT_OF_TOT_CAPITAL</t>
  </si>
  <si>
    <t>EBITDA-CapEx</t>
  </si>
  <si>
    <t>EBITDA_AFTER_CAPEX</t>
  </si>
  <si>
    <t>Sarepta Therapeutics Inc (SRPT US) - Credit Ex Operating Leases</t>
  </si>
  <si>
    <t>ST_DEBT_EX_OPERATING_LEASE_LIABS</t>
  </si>
  <si>
    <t>LT_DEBT_EX_OPERATING_LEASE_LIABS</t>
  </si>
  <si>
    <t>TOT_DBT_TO_EBITDA_EX_OP_LEA_ACT</t>
  </si>
  <si>
    <t>NET_DEBT_EBITDA_EX_OPER_LEA_ACT</t>
  </si>
  <si>
    <t>TOT_DEBT_TO_EBIT_EX_OPER_LEA_ACT</t>
  </si>
  <si>
    <t>NET_DEBT_TO_EBIT_EX_OPER_LEA_ACT</t>
  </si>
  <si>
    <t>EBITDA_AFT_OP_LEA_EXP_TO_INT_EXP</t>
  </si>
  <si>
    <t>EBITDA_AFT_CAPEX_OP_LEA_EX_INT</t>
  </si>
  <si>
    <t>EBIT_AFT_OP_LEA_EXPN_TO_INT_EXPN</t>
  </si>
  <si>
    <t>EBITDA_OP_LEA_EX_CSH_INT_PD</t>
  </si>
  <si>
    <t>EBITDA_CAPEX_OP_LEA_EX_TO</t>
  </si>
  <si>
    <t>EBIT_AFT_OP_LEA_EX_TO_CSH_INT_PD</t>
  </si>
  <si>
    <t>CASH_INT_PAID_EX_OPERATING_LEASE</t>
  </si>
  <si>
    <t>INT_EXPN_AFTER_OPERATING_LEA_ACT</t>
  </si>
  <si>
    <t>CE_TO_TOT_AST_LESS_OPER_LEA_AST</t>
  </si>
  <si>
    <t>LT_DBT_EX_OPER_LEA_LIABS_TO_EQTY</t>
  </si>
  <si>
    <t>LT_DBT_TO_CPTL_EX_OPER_LEA_LIABS</t>
  </si>
  <si>
    <t>LT_DBT_AST_EX_OP_LEA_LIAB_AST</t>
  </si>
  <si>
    <t>TOT_DBT_EX_OP_LEA_LIABS_TO_EQTY</t>
  </si>
  <si>
    <t>TOT_DBT_AST_EX_OP_LEA_LIAB_AST</t>
  </si>
  <si>
    <t>NET_DBT_EX_OPER_LEA_LIABS_EQTY</t>
  </si>
  <si>
    <t>NET_DBT_CPTL_EX_OPER_LEA_LIABS</t>
  </si>
  <si>
    <t>EBITDA_AFTER_OPERATING_LEA_EXPN</t>
  </si>
  <si>
    <t>EBITDA_AFT_CAPEX_AND_OP_LEA_EXPN</t>
  </si>
  <si>
    <t>EBIT_AFTER_OPERATING_LEASE</t>
  </si>
  <si>
    <t>Sarepta Therapeutics Inc (SRPT US) - Liquidity</t>
  </si>
  <si>
    <t>Cash Ratio</t>
  </si>
  <si>
    <t>CASH_RATIO</t>
  </si>
  <si>
    <t>Quick Ratio</t>
  </si>
  <si>
    <t>QUICK_RATIO</t>
  </si>
  <si>
    <t>CFO/Avg Current Liab</t>
  </si>
  <si>
    <t>CFO_TO_AVG_CURRENT_LIABILITIES</t>
  </si>
  <si>
    <t>CFO/Total Liabilities</t>
  </si>
  <si>
    <t>CASH_FLOW_TO_TOT_LIAB</t>
  </si>
  <si>
    <t>CFO/CapEx</t>
  </si>
  <si>
    <t>CAP_EXPEND_RATIO</t>
  </si>
  <si>
    <t>Altman's Z-Score</t>
  </si>
  <si>
    <t>ALTMAN_Z_SCORE</t>
  </si>
  <si>
    <t>Sarepta Therapeutics Inc (SRPT US) - Working Capital</t>
  </si>
  <si>
    <t>Accounts Receivable Turnover</t>
  </si>
  <si>
    <t>ACCT_RCV_TURN</t>
  </si>
  <si>
    <t xml:space="preserve">  Days Sales Outstanding</t>
  </si>
  <si>
    <t>ACCT_RCV_DAYS</t>
  </si>
  <si>
    <t>Inventory Turnover</t>
  </si>
  <si>
    <t>INVENT_TURN</t>
  </si>
  <si>
    <t xml:space="preserve">  Days Inventory Outstanding</t>
  </si>
  <si>
    <t>INVENT_DAYS</t>
  </si>
  <si>
    <t>Accounts Payable Turnover</t>
  </si>
  <si>
    <t>ACCOUNTS_PAYABLE_TURNOVER</t>
  </si>
  <si>
    <t xml:space="preserve">  Accounts Payable Turnover Days</t>
  </si>
  <si>
    <t>ACCOUNTS_PAYABLE_TURNOVER_DAYS</t>
  </si>
  <si>
    <t>Inventory to Cash Days</t>
  </si>
  <si>
    <t>INV_TO_CASH_DAYS</t>
  </si>
  <si>
    <t>Total Inventory</t>
  </si>
  <si>
    <t xml:space="preserve">  Inventory Raw Materials</t>
  </si>
  <si>
    <t xml:space="preserve">  Inventory In Progress</t>
  </si>
  <si>
    <t xml:space="preserve">  Inventory Finished Goods</t>
  </si>
  <si>
    <t xml:space="preserve">  Other Inventory</t>
  </si>
  <si>
    <t>Sarepta Therapeutics Inc (SRPT US) - Yield Analysis</t>
  </si>
  <si>
    <t>T12 Cash Flows to Equity</t>
  </si>
  <si>
    <t>+ Cash From Operations</t>
  </si>
  <si>
    <t>TRAIL_12M_CASH_FROM_OPER</t>
  </si>
  <si>
    <t>+ Capital Expenditures</t>
  </si>
  <si>
    <t>TRAIL_12M_CAP_EXPEND</t>
  </si>
  <si>
    <t>TRAIL_12M_FREE_CASH_FLOW</t>
  </si>
  <si>
    <t>Free Cash Flow Yield</t>
  </si>
  <si>
    <t>FREE_CASH_FLOW_YIELD</t>
  </si>
  <si>
    <t>Dividends Paid</t>
  </si>
  <si>
    <t>T12M_DVDS_PAID</t>
  </si>
  <si>
    <t>Net Share Repurchases</t>
  </si>
  <si>
    <t>T12M_NET_CAPITAL_STOCK</t>
  </si>
  <si>
    <t>Net ST Debt Repayments</t>
  </si>
  <si>
    <t>T12M_CHG_ST_BORROWINGS</t>
  </si>
  <si>
    <t>Net LT Debt Repayments</t>
  </si>
  <si>
    <t>T12M_CHG_LT_DEBT</t>
  </si>
  <si>
    <t>T12_OTHER_CFF</t>
  </si>
  <si>
    <t>T12 Cash to Suppliers of Capital</t>
  </si>
  <si>
    <t>T12_CFF</t>
  </si>
  <si>
    <t>T12 Shareholder Yield</t>
  </si>
  <si>
    <t>SHAREHOLDER_YIELD_CFF</t>
  </si>
  <si>
    <t>- Dividends Paid</t>
  </si>
  <si>
    <t>- Net Share Repurchases</t>
  </si>
  <si>
    <t>T12 Cash to Shareholders</t>
  </si>
  <si>
    <t>RETURNED_CAPITAL_EX_DEBT</t>
  </si>
  <si>
    <t>T12 Shareholder Yield, Ex Debt</t>
  </si>
  <si>
    <t>SHAREHOLDER_YIELD_EX_DEBT</t>
  </si>
  <si>
    <t>T12 Cash Flows to the Firm</t>
  </si>
  <si>
    <t>+ After-Tax Interest Expense</t>
  </si>
  <si>
    <t>AFTER_TAX_INTEREST_EXPENSE</t>
  </si>
  <si>
    <t>Trailing 12M Free Cash Flow To Firm</t>
  </si>
  <si>
    <t>Periodic Enterprise Value</t>
  </si>
  <si>
    <t>T12 FCFF Yield</t>
  </si>
  <si>
    <t>T12M_FCF_TO_FIRM_YIELD</t>
  </si>
  <si>
    <t>- Net ST Debt Repayments</t>
  </si>
  <si>
    <t>- Net LT Debt Repayments</t>
  </si>
  <si>
    <t>- Other Financing Activities</t>
  </si>
  <si>
    <t>T12 Capital Yield</t>
  </si>
  <si>
    <t>CAPITAL_YIELD</t>
  </si>
  <si>
    <t>Sarepta Therapeutics Inc (SRPT US) - DuPont Analysis</t>
  </si>
  <si>
    <t>Tax Burden</t>
  </si>
  <si>
    <t xml:space="preserve">  Net Inc to Comn/Pre-Tax Profit %</t>
  </si>
  <si>
    <t>TAX_EFFICIENCY</t>
  </si>
  <si>
    <t>Adjustment Factor</t>
  </si>
  <si>
    <t xml:space="preserve">  Normlzd Net Inc/Net Inc to Cmn</t>
  </si>
  <si>
    <t>NORM_NET_INC_TO_NET_INC_FO_COM</t>
  </si>
  <si>
    <t>Interest Burden</t>
  </si>
  <si>
    <t xml:space="preserve">  Pre-Tax Profit/EBIT %</t>
  </si>
  <si>
    <t>INT_BURDEN</t>
  </si>
  <si>
    <t xml:space="preserve">  EBIT/Revenue %</t>
  </si>
  <si>
    <t>T12_EBIT_TO_REVENUE</t>
  </si>
  <si>
    <t>Asset Turnover</t>
  </si>
  <si>
    <t xml:space="preserve">  Revenue/Avg Assets</t>
  </si>
  <si>
    <t>ASSET_TURNOVER</t>
  </si>
  <si>
    <t>Leverage Ratio</t>
  </si>
  <si>
    <t xml:space="preserve">  Avg Assets/Avg Equity</t>
  </si>
  <si>
    <t>FNCL_LVRG</t>
  </si>
  <si>
    <t>Adjusted Return on Equity</t>
  </si>
  <si>
    <t>NORMALIZED_ROE</t>
  </si>
  <si>
    <t>5 Year Average Adj ROE</t>
  </si>
  <si>
    <t>5_YEAR_AVERAGE_ADJUSTED_ROE</t>
  </si>
  <si>
    <t>Payout Ratio</t>
  </si>
  <si>
    <t>Sarepta Therapeutics Inc (SRPT US) - By Measure</t>
  </si>
  <si>
    <t xml:space="preserve">  Products</t>
  </si>
  <si>
    <t xml:space="preserve">    PMO</t>
  </si>
  <si>
    <t xml:space="preserve">      United States</t>
  </si>
  <si>
    <t xml:space="preserve">      Rest Of World</t>
  </si>
  <si>
    <t xml:space="preserve">    ELEVIDYS</t>
  </si>
  <si>
    <t xml:space="preserve">    Amondys 45</t>
  </si>
  <si>
    <t xml:space="preserve">    Vyondys 53</t>
  </si>
  <si>
    <t xml:space="preserve">    EXONDYS 51</t>
  </si>
  <si>
    <t xml:space="preserve">  Collaboration</t>
  </si>
  <si>
    <t>R&amp;D Expenses</t>
  </si>
  <si>
    <t xml:space="preserve">  SRP-9001</t>
  </si>
  <si>
    <t xml:space="preserve">  Internal Research &amp; Development</t>
  </si>
  <si>
    <t xml:space="preserve">  LGMD Platform</t>
  </si>
  <si>
    <t xml:space="preserve">  Eteplirsen</t>
  </si>
  <si>
    <t xml:space="preserve">  Other Gene Therapies</t>
  </si>
  <si>
    <t xml:space="preserve">  PPMO Platform</t>
  </si>
  <si>
    <t xml:space="preserve">  Gene Editing</t>
  </si>
  <si>
    <t xml:space="preserve">  Golodirsen</t>
  </si>
  <si>
    <t xml:space="preserve">  Casimersen</t>
  </si>
  <si>
    <t xml:space="preserve">  Other Projects</t>
  </si>
  <si>
    <t xml:space="preserve">  Roche Collaboration Reimbursement</t>
  </si>
  <si>
    <t xml:space="preserve">  Gene Therapies</t>
  </si>
  <si>
    <t xml:space="preserve">  Up-Front Milestone &amp; Other</t>
  </si>
  <si>
    <t xml:space="preserve">  Collaboration Cost-Sharing</t>
  </si>
  <si>
    <t xml:space="preserve">  Selling General &amp; Administration</t>
  </si>
  <si>
    <t xml:space="preserve">  Research &amp; Development Activities</t>
  </si>
  <si>
    <t>Sarepta Therapeutics Inc (SRPT US) - By Geography</t>
  </si>
  <si>
    <t xml:space="preserve">  Worldwide</t>
  </si>
  <si>
    <t>Income Taxes</t>
  </si>
  <si>
    <t>Property/Plant/Equipment</t>
  </si>
  <si>
    <t>Goodwill</t>
  </si>
  <si>
    <t>Assets</t>
  </si>
  <si>
    <t>Liabilities</t>
  </si>
  <si>
    <t>Depreciation</t>
  </si>
  <si>
    <t>Sarepta Therapeutics Inc (SRPT US) - By Segment</t>
  </si>
  <si>
    <t>Products</t>
  </si>
  <si>
    <t xml:space="preserve">  Revenue</t>
  </si>
  <si>
    <t>Collaboration</t>
  </si>
  <si>
    <t>PPMO Platform</t>
  </si>
  <si>
    <t xml:space="preserve">  R&amp;D Expenses</t>
  </si>
  <si>
    <t>Other Projects</t>
  </si>
  <si>
    <t>Eteplirsen</t>
  </si>
  <si>
    <t>Casimersen</t>
  </si>
  <si>
    <t>Golodirsen</t>
  </si>
  <si>
    <t>Internal Research &amp; Development</t>
  </si>
  <si>
    <t>Roche Collaboration Reimbursement</t>
  </si>
  <si>
    <t>SRP-9001</t>
  </si>
  <si>
    <t>Other Gene Therapies</t>
  </si>
  <si>
    <t>LGMD Platform</t>
  </si>
  <si>
    <t>Gene Editing</t>
  </si>
  <si>
    <t>Collaboration Cost-Sharing</t>
  </si>
  <si>
    <t>Up-Front Milestone &amp; Other</t>
  </si>
  <si>
    <t>Research &amp; Development Activities</t>
  </si>
  <si>
    <t xml:space="preserve">  Number of Employees</t>
  </si>
  <si>
    <t>Selling General &amp; Administration</t>
  </si>
  <si>
    <t>Gene Therapies</t>
  </si>
  <si>
    <t>Sarepta Therapeutics Inc (SRPT US) - ESG Ratios</t>
  </si>
  <si>
    <t>FY 2002</t>
  </si>
  <si>
    <t>FY 2004</t>
  </si>
  <si>
    <t>FY 2006</t>
  </si>
  <si>
    <t>FY 2007</t>
  </si>
  <si>
    <t>FY 2008</t>
  </si>
  <si>
    <t>FY 2009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</si>
  <si>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</si>
  <si>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</si>
  <si>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</si>
  <si>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</si>
  <si>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</si>
  <si>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</si>
  <si>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</si>
  <si>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</si>
  <si>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</si>
  <si>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</si>
  <si>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</si>
  <si>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</si>
  <si>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</si>
  <si>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FY 2023</t>
  </si>
  <si>
    <t>FY 2024</t>
  </si>
  <si>
    <t>12/31/2002</t>
  </si>
  <si>
    <t>12/31/2004</t>
  </si>
  <si>
    <t>12/31/2005</t>
  </si>
  <si>
    <t>12/31/2006</t>
  </si>
  <si>
    <t>12/31/2007</t>
  </si>
  <si>
    <t>12/31/2008</t>
  </si>
  <si>
    <t>12/31/2009</t>
  </si>
  <si>
    <t>12/31/2010</t>
  </si>
  <si>
    <t>12/31/2011</t>
  </si>
  <si>
    <t>12/31/2012</t>
  </si>
  <si>
    <t>12/31/2013</t>
  </si>
  <si>
    <t>12/31/2014</t>
  </si>
  <si>
    <t>12/31/2015</t>
  </si>
  <si>
    <t>12/31/2016</t>
  </si>
  <si>
    <t>12/31/2017</t>
  </si>
  <si>
    <t>Disclosure Scores</t>
  </si>
  <si>
    <t>ESG Disclosure Score</t>
  </si>
  <si>
    <t>ESG_DISCLOSURE_SCORE</t>
  </si>
  <si>
    <t>Environmental Disclosure Score</t>
  </si>
  <si>
    <t>ENVIRON_DISCLOSURE_SCORE</t>
  </si>
  <si>
    <t>Social Disclosure Score</t>
  </si>
  <si>
    <t>SOCIAL_DISCLOSURE_SCORE</t>
  </si>
  <si>
    <t>Governance Disclosure Score</t>
  </si>
  <si>
    <t>GOVNCE_DISCLOSURE_SCORE</t>
  </si>
  <si>
    <t>Greenhouse Gases</t>
  </si>
  <si>
    <t>GHG Intensity per Sales</t>
  </si>
  <si>
    <t>GHG_INTENSITY_PER_SALES</t>
  </si>
  <si>
    <t>GHG Scope 1 Intensity per Sales</t>
  </si>
  <si>
    <t>GHG_SCOPE_1_INTENSITY_PER_SALES</t>
  </si>
  <si>
    <t>GHG Scope 2 Intensity per Sales</t>
  </si>
  <si>
    <t>GHG_SCOPE_2_INTENSITY_PER_SALES</t>
  </si>
  <si>
    <t>GHG/CO2 Intensity / Gross Fixed Assets</t>
  </si>
  <si>
    <t>TOT_GHG_CO2_EM_INT_P_GR_FXD_AST</t>
  </si>
  <si>
    <t>GHG/CO2 Intensity / Net Fixed Assets</t>
  </si>
  <si>
    <t>TOT_GHG_CO2_EM_INT_P_NT_FXD_AST</t>
  </si>
  <si>
    <t>GHG Intensity per Employee</t>
  </si>
  <si>
    <t>GHG_INTENSITY_PER_EMPLOYEE</t>
  </si>
  <si>
    <t>GHG Intensity per Assets</t>
  </si>
  <si>
    <t>GHG_INTENSITY_PER_ASSETS</t>
  </si>
  <si>
    <t>Carbon Dioxide</t>
  </si>
  <si>
    <t>Energy</t>
  </si>
  <si>
    <t>Water</t>
  </si>
  <si>
    <t>Waste</t>
  </si>
  <si>
    <t>Waste Intensity per Employee</t>
  </si>
  <si>
    <t>WASTE_INTENSITY_PER_EMPLOYEE</t>
  </si>
  <si>
    <t>Waste Generated per Assets</t>
  </si>
  <si>
    <t>WASTE_GENERATED_PER_ASSETS</t>
  </si>
  <si>
    <t>Waste Generated per Sales</t>
  </si>
  <si>
    <t>WASTE_GENERATED_PER_SALES</t>
  </si>
  <si>
    <t>Other Environmental</t>
  </si>
  <si>
    <t>Social</t>
  </si>
  <si>
    <t>Women Management to Employees Ratio</t>
  </si>
  <si>
    <t>WOMEN_MANAGEMENT_TO_EMPL_RATIO</t>
  </si>
  <si>
    <t>R&amp;D Expenditures per Cash Flow</t>
  </si>
  <si>
    <t>RD_EXPENDITURES_PER_CASH_FLOW</t>
  </si>
  <si>
    <t>Actual Net Income per Employee</t>
  </si>
  <si>
    <t>ACTUAL_NET_INCOME_PER_EMPLOYEE</t>
  </si>
  <si>
    <t>Actual Cash Flow per Employee</t>
  </si>
  <si>
    <t>CASH_FLOW_PER_EMPLOYEE</t>
  </si>
  <si>
    <t>Governance</t>
  </si>
  <si>
    <t>Percentage of Non-Executive Directors on Board</t>
  </si>
  <si>
    <t>PCT_OF_NON_EXEC_DIR_ON_BRD</t>
  </si>
  <si>
    <t>Pct Independent Directors</t>
  </si>
  <si>
    <t>PCT_INDEPENDENT_DIRECTORS</t>
  </si>
  <si>
    <t>% Women on Board</t>
  </si>
  <si>
    <t>PCT_WOMEN_ON_BOARD</t>
  </si>
  <si>
    <t>Percentage of Female Executives</t>
  </si>
  <si>
    <t>PERCENTAGE_OF_FEMALE_EXECUTIVES</t>
  </si>
  <si>
    <t>Board of Directors Age Range</t>
  </si>
  <si>
    <t>BOARD_OF_DIRECTORS_AGE_RANGE</t>
  </si>
  <si>
    <t>Board Average Age</t>
  </si>
  <si>
    <t>BOARD_AVERAGE_AGE</t>
  </si>
  <si>
    <t>Board Meeting Attendance Pct</t>
  </si>
  <si>
    <t>BOARD_MEETING_ATTENDANCE_PCT</t>
  </si>
  <si>
    <t>Independent Directors Board Meeting Attendance %</t>
  </si>
  <si>
    <t>IND_DIRECTORS_BRD_MTG_ATTEND_PCT</t>
  </si>
  <si>
    <t>Pct of Independent Directors on Audit Committee</t>
  </si>
  <si>
    <t>PCT_IND_DIRECTORS_ON_AUDIT_CMTE</t>
  </si>
  <si>
    <t>Audit Committee Meeting Attendance Percentage</t>
  </si>
  <si>
    <t>AUDIT_COMMITTEE_MTG_ATTEND_PCT</t>
  </si>
  <si>
    <t>Pct of Ind Directors on Compensation Committee</t>
  </si>
  <si>
    <t>PCT_IND_DIRECTORS_ON_COMP_CMTE</t>
  </si>
  <si>
    <t>Compensation Committee Meeting Attendance %</t>
  </si>
  <si>
    <t>COMPENSATION_CMTE_MTG_ATTEND_PCT</t>
  </si>
  <si>
    <t>Pct of Ind Directors on Nomination Committee</t>
  </si>
  <si>
    <t>PCT_OF_IND_DIRECTORS_ON_NOM_CMTE</t>
  </si>
  <si>
    <t>Pct Ownership Required for Special Meeting</t>
  </si>
  <si>
    <t>PCT_OWNERSHIP_REQ_SPECIAL_MTG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</si>
</sst>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81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6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164" fontId="1" fillId="34" borderId="2">
      <alignment horizontal="right"/>
    </xf>
    <xf numFmtId="4" fontId="1" fillId="34" borderId="2">
      <alignment horizontal="right"/>
    </xf>
    <xf numFmtId="3" fontId="1" fillId="35" borderId="2">
      <alignment horizontal="right"/>
    </xf>
    <xf numFmtId="164" fontId="1" fillId="35" borderId="2">
      <alignment horizontal="right"/>
    </xf>
    <xf numFmtId="4" fontId="1" fillId="35" borderId="2">
      <alignment horizontal="right"/>
    </xf>
    <xf numFmtId="3" fontId="8" fillId="34" borderId="2">
      <alignment horizontal="right"/>
    </xf>
    <xf numFmtId="164" fontId="8" fillId="34" borderId="2">
      <alignment horizontal="right"/>
    </xf>
    <xf numFmtId="4" fontId="8" fillId="34" borderId="2">
      <alignment horizontal="right"/>
    </xf>
    <xf numFmtId="3" fontId="8" fillId="35" borderId="2">
      <alignment horizontal="right"/>
    </xf>
    <xf numFmtId="164" fontId="8" fillId="35" borderId="2">
      <alignment horizontal="right"/>
    </xf>
    <xf numFmtId="4" fontId="8" fillId="35" borderId="2">
      <alignment horizontal="right"/>
    </xf>
    <xf numFmtId="3" fontId="11" fillId="34" borderId="2">
      <alignment horizontal="right"/>
    </xf>
    <xf numFmtId="164" fontId="11" fillId="34" borderId="2">
      <alignment horizontal="right"/>
    </xf>
    <xf numFmtId="4" fontId="11" fillId="34" borderId="2">
      <alignment horizontal="right"/>
    </xf>
    <xf numFmtId="3" fontId="11" fillId="35" borderId="2">
      <alignment horizontal="right"/>
    </xf>
    <xf numFmtId="164" fontId="11" fillId="35" borderId="2">
      <alignment horizontal="right"/>
    </xf>
    <xf numFmtId="4" fontId="11" fillId="35" borderId="2">
      <alignment horizontal="right"/>
    </xf>
    <xf numFmtId="0" fontId="7" fillId="33" borderId="16">
      <alignment horizontal="centerContinuous"/>
    </xf>
    <xf numFmtId="0" fontId="7" fillId="33" borderId="17">
      <alignment horizontal="centerContinuous"/>
    </xf>
    <xf numFmtId="164" fontId="1" fillId="34" borderId="18">
      <alignment horizontal="right"/>
    </xf>
    <xf numFmtId="165" fontId="1" fillId="34" borderId="19">
      <alignment horizontal="right"/>
    </xf>
    <xf numFmtId="4" fontId="1" fillId="34" borderId="18">
      <alignment horizontal="right"/>
    </xf>
    <xf numFmtId="10" fontId="1" fillId="34" borderId="19">
      <alignment horizontal="right"/>
    </xf>
    <xf numFmtId="164" fontId="8" fillId="34" borderId="18">
      <alignment horizontal="right"/>
    </xf>
    <xf numFmtId="165" fontId="8" fillId="34" borderId="19">
      <alignment horizontal="right"/>
    </xf>
    <xf numFmtId="4" fontId="8" fillId="34" borderId="18">
      <alignment horizontal="right"/>
    </xf>
    <xf numFmtId="10" fontId="8" fillId="34" borderId="19">
      <alignment horizontal="right"/>
    </xf>
  </cellStyleXfs>
  <cellXfs count="40">
    <xf numFmtId="0" fontId="0" fillId="0" borderId="0" xfId="0"/>
    <xf numFmtId="0" fontId="2" fillId="33" borderId="0" xfId="26"/>
    <xf numFmtId="0" fontId="6" fillId="34" borderId="0" xfId="31">
      <alignment horizontal="center"/>
    </xf>
    <xf numFmtId="0" fontId="7" fillId="33" borderId="3" xfId="33">
      <alignment horizontal="left"/>
    </xf>
    <xf numFmtId="0" fontId="7" fillId="33" borderId="3" xfId="32">
      <alignment horizontal="right"/>
    </xf>
    <xf numFmtId="0" fontId="7" fillId="33" borderId="1" xfId="30">
      <alignment horizontal="right"/>
    </xf>
    <xf numFmtId="0" fontId="8" fillId="34" borderId="5" xfId="35"/>
    <xf numFmtId="0" fontId="11" fillId="36" borderId="4" xfId="34"/>
    <xf numFmtId="0" fontId="5" fillId="33" borderId="15" xfId="51">
      <alignment horizontal="left" vertical="center" readingOrder="1"/>
    </xf>
    <xf numFmtId="0" fontId="7" fillId="33" borderId="1" xfId="52">
      <alignment horizontal="left"/>
    </xf>
    <xf numFmtId="0" fontId="3" fillId="34" borderId="5" xfId="37" applyFont="1"/>
    <xf numFmtId="0" fontId="4" fillId="34" borderId="5" xfId="36" applyFont="1"/>
    <xf numFmtId="3" fontId="1" fillId="34" borderId="2" xfId="53">
      <alignment horizontal="right"/>
    </xf>
    <xf numFmtId="164" fontId="1" fillId="34" borderId="2" xfId="54">
      <alignment horizontal="right"/>
    </xf>
    <xf numFmtId="4" fontId="1" fillId="34" borderId="2" xfId="55">
      <alignment horizontal="right"/>
    </xf>
    <xf numFmtId="3" fontId="1" fillId="35" borderId="2" xfId="56">
      <alignment horizontal="right"/>
    </xf>
    <xf numFmtId="164" fontId="1" fillId="35" borderId="2" xfId="57">
      <alignment horizontal="right"/>
    </xf>
    <xf numFmtId="4" fontId="1" fillId="35" borderId="2" xfId="58">
      <alignment horizontal="right"/>
    </xf>
    <xf numFmtId="3" fontId="8" fillId="34" borderId="2" xfId="59">
      <alignment horizontal="right"/>
    </xf>
    <xf numFmtId="164" fontId="8" fillId="34" borderId="2" xfId="60">
      <alignment horizontal="right"/>
    </xf>
    <xf numFmtId="4" fontId="8" fillId="34" borderId="2" xfId="61">
      <alignment horizontal="right"/>
    </xf>
    <xf numFmtId="3" fontId="8" fillId="35" borderId="2" xfId="62">
      <alignment horizontal="right"/>
    </xf>
    <xf numFmtId="164" fontId="8" fillId="35" borderId="2" xfId="63">
      <alignment horizontal="right"/>
    </xf>
    <xf numFmtId="4" fontId="8" fillId="35" borderId="2" xfId="64">
      <alignment horizontal="right"/>
    </xf>
    <xf numFmtId="3" fontId="11" fillId="34" borderId="2" xfId="65">
      <alignment horizontal="right"/>
    </xf>
    <xf numFmtId="164" fontId="11" fillId="34" borderId="2" xfId="66">
      <alignment horizontal="right"/>
    </xf>
    <xf numFmtId="4" fontId="11" fillId="34" borderId="2" xfId="67">
      <alignment horizontal="right"/>
    </xf>
    <xf numFmtId="3" fontId="11" fillId="35" borderId="2" xfId="68">
      <alignment horizontal="right"/>
    </xf>
    <xf numFmtId="164" fontId="11" fillId="35" borderId="2" xfId="69">
      <alignment horizontal="right"/>
    </xf>
    <xf numFmtId="4" fontId="11" fillId="35" borderId="2" xfId="70">
      <alignment horizontal="right"/>
    </xf>
    <xf numFmtId="0" fontId="7" fillId="33" borderId="16" xfId="71">
      <alignment horizontal="centerContinuous"/>
    </xf>
    <xf numFmtId="0" fontId="7" fillId="33" borderId="17" xfId="72">
      <alignment horizontal="centerContinuous"/>
    </xf>
    <xf numFmtId="164" fontId="1" fillId="34" borderId="18" xfId="73">
      <alignment horizontal="right"/>
    </xf>
    <xf numFmtId="165" fontId="1" fillId="34" borderId="19" xfId="74">
      <alignment horizontal="right"/>
    </xf>
    <xf numFmtId="4" fontId="1" fillId="34" borderId="18" xfId="75">
      <alignment horizontal="right"/>
    </xf>
    <xf numFmtId="10" fontId="1" fillId="34" borderId="19" xfId="76">
      <alignment horizontal="right"/>
    </xf>
    <xf numFmtId="164" fontId="8" fillId="34" borderId="18" xfId="77">
      <alignment horizontal="right"/>
    </xf>
    <xf numFmtId="165" fontId="8" fillId="34" borderId="19" xfId="78">
      <alignment horizontal="right"/>
    </xf>
    <xf numFmtId="4" fontId="8" fillId="34" borderId="18" xfId="79">
      <alignment horizontal="right"/>
    </xf>
    <xf numFmtId="10" fontId="8" fillId="34" borderId="19" xfId="80">
      <alignment horizontal="right"/>
    </xf>
  </cellXfs>
  <cellStyles count="8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1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centered" xfId="72" xr:uid="{00000000-0005-0000-0000-00001F000000}"/>
    <cellStyle name="fa_column_header_bottom_left" xfId="52" xr:uid="{00000000-0005-0000-0000-000020000000}"/>
    <cellStyle name="fa_column_header_empty" xfId="31" xr:uid="{00000000-0005-0000-0000-000021000000}"/>
    <cellStyle name="fa_column_header_top" xfId="32" xr:uid="{00000000-0005-0000-0000-000022000000}"/>
    <cellStyle name="fa_column_header_top_centered" xfId="71" xr:uid="{00000000-0005-0000-0000-000023000000}"/>
    <cellStyle name="fa_column_header_top_left" xfId="33" xr:uid="{00000000-0005-0000-0000-000024000000}"/>
    <cellStyle name="fa_data_bold_0_grouped" xfId="59" xr:uid="{00000000-0005-0000-0000-000025000000}"/>
    <cellStyle name="fa_data_bold_1_grouped" xfId="60" xr:uid="{00000000-0005-0000-0000-000026000000}"/>
    <cellStyle name="fa_data_bold_1_grouped_single_border" xfId="77" xr:uid="{00000000-0005-0000-0000-000027000000}"/>
    <cellStyle name="fa_data_bold_1_percent_single_border" xfId="78" xr:uid="{00000000-0005-0000-0000-000028000000}"/>
    <cellStyle name="fa_data_bold_2_grouped" xfId="61" xr:uid="{00000000-0005-0000-0000-000029000000}"/>
    <cellStyle name="fa_data_bold_2_grouped_single_border" xfId="79" xr:uid="{00000000-0005-0000-0000-00002A000000}"/>
    <cellStyle name="fa_data_bold_2_percent_single_border" xfId="80" xr:uid="{00000000-0005-0000-0000-00002B000000}"/>
    <cellStyle name="fa_data_current_bold_0_grouped" xfId="62" xr:uid="{00000000-0005-0000-0000-00002C000000}"/>
    <cellStyle name="fa_data_current_bold_1_grouped" xfId="63" xr:uid="{00000000-0005-0000-0000-00002D000000}"/>
    <cellStyle name="fa_data_current_bold_2_grouped" xfId="64" xr:uid="{00000000-0005-0000-0000-00002E000000}"/>
    <cellStyle name="fa_data_current_italic_0_grouped" xfId="68" xr:uid="{00000000-0005-0000-0000-00002F000000}"/>
    <cellStyle name="fa_data_current_italic_1_grouped" xfId="69" xr:uid="{00000000-0005-0000-0000-000030000000}"/>
    <cellStyle name="fa_data_current_italic_2_grouped" xfId="70" xr:uid="{00000000-0005-0000-0000-000031000000}"/>
    <cellStyle name="fa_data_current_standard_0_grouped" xfId="56" xr:uid="{00000000-0005-0000-0000-000032000000}"/>
    <cellStyle name="fa_data_current_standard_1_grouped" xfId="57" xr:uid="{00000000-0005-0000-0000-000033000000}"/>
    <cellStyle name="fa_data_current_standard_2_grouped" xfId="58" xr:uid="{00000000-0005-0000-0000-000034000000}"/>
    <cellStyle name="fa_data_italic_0_grouped" xfId="65" xr:uid="{00000000-0005-0000-0000-000035000000}"/>
    <cellStyle name="fa_data_italic_1_grouped" xfId="66" xr:uid="{00000000-0005-0000-0000-000036000000}"/>
    <cellStyle name="fa_data_italic_2_grouped" xfId="67" xr:uid="{00000000-0005-0000-0000-000037000000}"/>
    <cellStyle name="fa_data_standard_0_grouped" xfId="53" xr:uid="{00000000-0005-0000-0000-000038000000}"/>
    <cellStyle name="fa_data_standard_1_grouped" xfId="54" xr:uid="{00000000-0005-0000-0000-000039000000}"/>
    <cellStyle name="fa_data_standard_1_grouped_single_border" xfId="73" xr:uid="{00000000-0005-0000-0000-00003A000000}"/>
    <cellStyle name="fa_data_standard_1_percent_single_border" xfId="74" xr:uid="{00000000-0005-0000-0000-00003B000000}"/>
    <cellStyle name="fa_data_standard_2_grouped" xfId="55" xr:uid="{00000000-0005-0000-0000-00003C000000}"/>
    <cellStyle name="fa_data_standard_2_grouped_single_border" xfId="75" xr:uid="{00000000-0005-0000-0000-00003D000000}"/>
    <cellStyle name="fa_data_standard_2_percent_single_border" xfId="76" xr:uid="{00000000-0005-0000-0000-00003E000000}"/>
    <cellStyle name="fa_footer_italic" xfId="34" xr:uid="{00000000-0005-0000-0000-00003F000000}"/>
    <cellStyle name="fa_row_header_bold" xfId="35" xr:uid="{00000000-0005-0000-0000-000040000000}"/>
    <cellStyle name="fa_row_header_italic" xfId="36" xr:uid="{00000000-0005-0000-0000-000041000000}"/>
    <cellStyle name="fa_row_header_standard" xfId="37" xr:uid="{00000000-0005-0000-0000-000042000000}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BDH|10049594499531490757</stp>
        <tr r="J26" s="11"/>
        <tr r="J37" s="10"/>
      </tp>
      <tp t="e">
        <v>#N/A</v>
        <stp/>
        <stp>BDH|12571588336476955835</stp>
        <tr r="F23" s="9"/>
      </tp>
      <tp t="e">
        <v>#N/A</v>
        <stp/>
        <stp>BDH|14707634093565518439</stp>
        <tr r="S62" s="17"/>
      </tp>
      <tp t="e">
        <v>#N/A</v>
        <stp/>
        <stp>BDH|18302379727662707156</stp>
        <tr r="O55" s="12"/>
      </tp>
      <tp t="e">
        <v>#N/A</v>
        <stp/>
        <stp>BDH|16971225499900234711</stp>
        <tr r="O44" s="22"/>
      </tp>
      <tp t="e">
        <v>#N/A</v>
        <stp/>
        <stp>BDH|12533209685542107007</stp>
        <tr r="M11" s="30"/>
      </tp>
      <tp t="e">
        <v>#N/A</v>
        <stp/>
        <stp>BDH|11023533831294593962</stp>
        <tr r="P90" s="12"/>
      </tp>
      <tp t="e">
        <v>#N/A</v>
        <stp/>
        <stp>BDH|11503608546790670947</stp>
        <tr r="N7" s="30"/>
      </tp>
      <tp t="e">
        <v>#N/A</v>
        <stp/>
        <stp>BDH|11761348641625611957</stp>
        <tr r="K32" s="6"/>
      </tp>
      <tp t="e">
        <v>#N/A</v>
        <stp/>
        <stp>BDH|13041256873009567529</stp>
        <tr r="H28" s="21"/>
      </tp>
      <tp t="e">
        <v>#N/A</v>
        <stp/>
        <stp>BDH|18417031396563885880</stp>
        <tr r="U17" s="5"/>
        <tr r="U36" s="6"/>
      </tp>
      <tp t="e">
        <v>#N/A</v>
        <stp/>
        <stp>BDH|17976851488925663834</stp>
        <tr r="V58" s="17"/>
      </tp>
      <tp t="e">
        <v>#N/A</v>
        <stp/>
        <stp>BDH|12832045783294619489</stp>
        <tr r="P40" s="22"/>
      </tp>
      <tp t="e">
        <v>#N/A</v>
        <stp/>
        <stp>BDH|11879943858937443015</stp>
        <tr r="X15" s="25"/>
      </tp>
      <tp t="e">
        <v>#N/A</v>
        <stp/>
        <stp>BDH|16272274305387661975</stp>
        <tr r="P15" s="26"/>
      </tp>
      <tp t="e">
        <v>#N/A</v>
        <stp/>
        <stp>BDH|16634323925374002900</stp>
        <tr r="M43" s="21"/>
      </tp>
      <tp t="e">
        <v>#N/A</v>
        <stp/>
        <stp>BDH|15068371016605538851</stp>
        <tr r="N86" s="17"/>
      </tp>
      <tp t="e">
        <v>#N/A</v>
        <stp/>
        <stp>BDH|16009711086484151773</stp>
        <tr r="S49" s="6"/>
      </tp>
      <tp t="e">
        <v>#N/A</v>
        <stp/>
        <stp>BDH|10531853071076134310</stp>
        <tr r="P20" s="12"/>
      </tp>
      <tp t="e">
        <v>#N/A</v>
        <stp/>
        <stp>BDH|14382351443998643125</stp>
        <tr r="Z15" s="26"/>
      </tp>
      <tp t="e">
        <v>#N/A</v>
        <stp/>
        <stp>BDH|13139852023081541234</stp>
        <tr r="V18" s="20"/>
      </tp>
      <tp t="e">
        <v>#N/A</v>
        <stp/>
        <stp>BDH|13433353964718079441</stp>
        <tr r="V29" s="26"/>
      </tp>
      <tp t="e">
        <v>#N/A</v>
        <stp/>
        <stp>BDH|11998780783943266716</stp>
        <tr r="V13" s="27"/>
        <tr r="V31" s="25"/>
      </tp>
      <tp t="e">
        <v>#N/A</v>
        <stp/>
        <stp>BDH|12672984385688915134</stp>
        <tr r="F19" s="6"/>
      </tp>
      <tp t="e">
        <v>#N/A</v>
        <stp/>
        <stp>BDH|18012164323204745533</stp>
        <tr r="AA15" s="23"/>
        <tr r="Y59" s="11"/>
      </tp>
      <tp t="e">
        <v>#N/A</v>
        <stp/>
        <stp>BDH|12215213197621417212</stp>
        <tr r="N40" s="22"/>
      </tp>
      <tp t="e">
        <v>#N/A</v>
        <stp/>
        <stp>BDH|17682313326744384833</stp>
        <tr r="G8" s="27"/>
      </tp>
      <tp t="e">
        <v>#N/A</v>
        <stp/>
        <stp>BDH|13945084794318501814</stp>
        <tr r="M65" s="12"/>
      </tp>
      <tp t="e">
        <v>#N/A</v>
        <stp/>
        <stp>BDH|14854960161719648880</stp>
        <tr r="Z39" s="18"/>
      </tp>
      <tp t="e">
        <v>#N/A</v>
        <stp/>
        <stp>BDH|16422857186938319458</stp>
        <tr r="W18" s="29"/>
        <tr r="W41" s="29"/>
      </tp>
      <tp t="e">
        <v>#N/A</v>
        <stp/>
        <stp>BDH|15632050976141177950</stp>
        <tr r="S18" s="10"/>
      </tp>
      <tp t="e">
        <v>#N/A</v>
        <stp/>
        <stp>BDH|18308973310058314267</stp>
        <tr r="F30" s="29"/>
        <tr r="F8" s="29"/>
      </tp>
      <tp t="e">
        <v>#N/A</v>
        <stp/>
        <stp>BDH|14760840304523653503</stp>
        <tr r="AA29" s="21"/>
      </tp>
      <tp t="e">
        <v>#N/A</v>
        <stp/>
        <stp>BDH|17841114489052514645</stp>
        <tr r="R18" s="6"/>
      </tp>
      <tp t="e">
        <v>#N/A</v>
        <stp/>
        <stp>BDH|17155189859779327032</stp>
        <tr r="P8" s="24"/>
      </tp>
      <tp t="e">
        <v>#N/A</v>
        <stp/>
        <stp>BDH|15661549516863091845</stp>
        <tr r="P43" s="22"/>
      </tp>
      <tp t="e">
        <v>#N/A</v>
        <stp/>
        <stp>BDH|17894423658228719453</stp>
        <tr r="C15" s="11"/>
      </tp>
      <tp t="e">
        <v>#N/A</v>
        <stp/>
        <stp>BDH|11296106462669353536</stp>
        <tr r="C30" s="22"/>
      </tp>
      <tp t="e">
        <v>#N/A</v>
        <stp/>
        <stp>BDH|13045427055010116868</stp>
        <tr r="O14" s="21"/>
      </tp>
      <tp t="e">
        <v>#N/A</v>
        <stp/>
        <stp>BDH|10659233487446129639</stp>
        <tr r="R29" s="14"/>
      </tp>
      <tp t="e">
        <v>#N/A</v>
        <stp/>
        <stp>BDH|17552176716398107558</stp>
        <tr r="F84" s="18"/>
      </tp>
      <tp t="e">
        <v>#N/A</v>
        <stp/>
        <stp>BDH|16565425512961211873</stp>
        <tr r="M51" s="12"/>
      </tp>
      <tp t="e">
        <v>#N/A</v>
        <stp/>
        <stp>BDH|17422893300967457292</stp>
        <tr r="P25" s="7"/>
      </tp>
      <tp t="e">
        <v>#N/A</v>
        <stp/>
        <stp>BDH|16255379680455122244</stp>
        <tr r="P32" s="22"/>
      </tp>
      <tp t="e">
        <v>#N/A</v>
        <stp/>
        <stp>BDH|17245652194064528669</stp>
        <tr r="F161" s="18"/>
      </tp>
      <tp t="e">
        <v>#N/A</v>
        <stp/>
        <stp>BDH|16754218128069874567</stp>
        <tr r="X78" s="24"/>
      </tp>
      <tp t="e">
        <v>#N/A</v>
        <stp/>
        <stp>BDH|15695972642184457673</stp>
        <tr r="I25" s="13"/>
      </tp>
      <tp t="e">
        <v>#N/A</v>
        <stp/>
        <stp>BDH|15512351370739339237</stp>
        <tr r="V9" s="28"/>
      </tp>
      <tp t="e">
        <v>#N/A</v>
        <stp/>
        <stp>BDH|10044035052667116805</stp>
        <tr r="R11" s="17"/>
      </tp>
      <tp t="e">
        <v>#N/A</v>
        <stp/>
        <stp>BDH|15235144585240139624</stp>
        <tr r="D34" s="22"/>
      </tp>
      <tp t="e">
        <v>#N/A</v>
        <stp/>
        <stp>BDH|18072732013570418443</stp>
        <tr r="Y41" s="24"/>
      </tp>
      <tp t="e">
        <v>#N/A</v>
        <stp/>
        <stp>BDH|15447695661389866646</stp>
        <tr r="G17" s="6"/>
      </tp>
      <tp t="e">
        <v>#N/A</v>
        <stp/>
        <stp>BDH|13448627211076737802</stp>
        <tr r="Q69" s="17"/>
        <tr r="Q18" s="3"/>
      </tp>
      <tp t="e">
        <v>#N/A</v>
        <stp/>
        <stp>BDH|14472969617712334468</stp>
        <tr r="O89" s="18"/>
      </tp>
      <tp t="e">
        <v>#N/A</v>
        <stp/>
        <stp>BDH|12341555110345073964</stp>
        <tr r="I71" s="12"/>
      </tp>
      <tp t="e">
        <v>#N/A</v>
        <stp/>
        <stp>BDH|17348388431925359891</stp>
        <tr r="X53" s="34"/>
      </tp>
      <tp t="e">
        <v>#N/A</v>
        <stp/>
        <stp>BDH|17906620419049531372</stp>
        <tr r="Q29" s="26"/>
      </tp>
      <tp t="e">
        <v>#N/A</v>
        <stp/>
        <stp>BDH|12273215517112735931</stp>
        <tr r="Y91" s="18"/>
      </tp>
      <tp t="e">
        <v>#N/A</v>
        <stp/>
        <stp>BDH|12475681092792683589</stp>
        <tr r="S8" s="6"/>
      </tp>
      <tp t="e">
        <v>#N/A</v>
        <stp/>
        <stp>BDH|13755450290552658645</stp>
        <tr r="P8" s="23"/>
      </tp>
      <tp t="e">
        <v>#N/A</v>
        <stp/>
        <stp>BDH|10636744772628196218</stp>
        <tr r="X29" s="34"/>
      </tp>
      <tp t="e">
        <v>#N/A</v>
        <stp/>
        <stp>BDH|18260926081675272631</stp>
        <tr r="S52" s="17"/>
      </tp>
      <tp t="e">
        <v>#N/A</v>
        <stp/>
        <stp>BDH|18157198169750491553</stp>
        <tr r="E16" s="21"/>
      </tp>
      <tp t="e">
        <v>#N/A</v>
        <stp/>
        <stp>BDH|13718662315077121956</stp>
        <tr r="M161" s="18"/>
      </tp>
      <tp t="e">
        <v>#N/A</v>
        <stp/>
        <stp>BDH|10822916834233858355</stp>
        <tr r="P77" s="18"/>
      </tp>
      <tp t="e">
        <v>#N/A</v>
        <stp/>
        <stp>BDH|10941943554653010596</stp>
        <tr r="AA87" s="17"/>
      </tp>
      <tp t="e">
        <v>#N/A</v>
        <stp/>
        <stp>BDH|15410947676354158574</stp>
        <tr r="X148" s="18"/>
      </tp>
      <tp t="e">
        <v>#N/A</v>
        <stp/>
        <stp>BDH|15901803775990479089</stp>
        <tr r="T40" s="12"/>
      </tp>
      <tp t="e">
        <v>#N/A</v>
        <stp/>
        <stp>BDH|15410276385875519005</stp>
        <tr r="AA48" s="18"/>
      </tp>
      <tp t="e">
        <v>#N/A</v>
        <stp/>
        <stp>BDH|14266448818333535885</stp>
        <tr r="Y173" s="18"/>
      </tp>
      <tp t="e">
        <v>#N/A</v>
        <stp/>
        <stp>BDH|13748099918549305163</stp>
        <tr r="Z42" s="25"/>
      </tp>
      <tp t="e">
        <v>#N/A</v>
        <stp/>
        <stp>BDH|12213547183247457228</stp>
        <tr r="Z19" s="20"/>
      </tp>
      <tp t="e">
        <v>#N/A</v>
        <stp/>
        <stp>BDH|13698782671369498088</stp>
        <tr r="G75" s="18"/>
      </tp>
      <tp t="e">
        <v>#N/A</v>
        <stp/>
        <stp>BDH|16699993532690665683</stp>
        <tr r="O12" s="27"/>
        <tr r="O30" s="25"/>
      </tp>
      <tp t="e">
        <v>#N/A</v>
        <stp/>
        <stp>BDH|14195476135788931193</stp>
        <tr r="R43" s="18"/>
      </tp>
      <tp t="e">
        <v>#N/A</v>
        <stp/>
        <stp>BDH|16710119331648702636</stp>
        <tr r="Q15" s="24"/>
      </tp>
      <tp t="e">
        <v>#N/A</v>
        <stp/>
        <stp>BDH|16691045393636769353</stp>
        <tr r="X25" s="22"/>
      </tp>
      <tp t="e">
        <v>#N/A</v>
        <stp/>
        <stp>BDH|11745341556949314452</stp>
        <tr r="Y99" s="18"/>
      </tp>
      <tp t="e">
        <v>#N/A</v>
        <stp/>
        <stp>BDH|17904309605646836873</stp>
        <tr r="S12" s="27"/>
        <tr r="S30" s="25"/>
      </tp>
      <tp t="e">
        <v>#N/A</v>
        <stp/>
        <stp>BDH|14628546983831236201</stp>
        <tr r="J25" s="21"/>
      </tp>
      <tp t="e">
        <v>#N/A</v>
        <stp/>
        <stp>BDH|13322996651731141499</stp>
        <tr r="X69" s="18"/>
      </tp>
      <tp t="e">
        <v>#N/A</v>
        <stp/>
        <stp>BDH|16188398726568839558</stp>
        <tr r="U50" s="10"/>
        <tr r="U39" s="11"/>
      </tp>
      <tp t="e">
        <v>#N/A</v>
        <stp/>
        <stp>BDH|15518825086537054829</stp>
        <tr r="R51" s="13"/>
      </tp>
      <tp t="e">
        <v>#N/A</v>
        <stp/>
        <stp>BDH|12741785589882309564</stp>
        <tr r="N15" s="18"/>
      </tp>
      <tp t="e">
        <v>#N/A</v>
        <stp/>
        <stp>BDH|15974834009497433048</stp>
        <tr r="I6" s="8"/>
        <tr r="G51" s="6"/>
      </tp>
      <tp t="e">
        <v>#N/A</v>
        <stp/>
        <stp>BDH|12663788229718655520</stp>
        <tr r="W23" s="26"/>
      </tp>
      <tp t="e">
        <v>#N/A</v>
        <stp/>
        <stp>BDH|16799279625094541838</stp>
        <tr r="M16" s="20"/>
      </tp>
      <tp t="e">
        <v>#N/A</v>
        <stp/>
        <stp>BDH|15408110730799034468</stp>
        <tr r="J54" s="24"/>
      </tp>
      <tp t="e">
        <v>#N/A</v>
        <stp/>
        <stp>BDH|14169187088246755155</stp>
        <tr r="P16" s="14"/>
      </tp>
      <tp t="e">
        <v>#N/A</v>
        <stp/>
        <stp>BDH|11196193894123698091</stp>
        <tr r="X18" s="24"/>
      </tp>
      <tp t="e">
        <v>#N/A</v>
        <stp/>
        <stp>BDH|16278730602852656968</stp>
        <tr r="D39" s="25"/>
      </tp>
      <tp t="e">
        <v>#N/A</v>
        <stp/>
        <stp>BDH|11859067187685906636</stp>
        <tr r="M24" s="24"/>
      </tp>
      <tp t="e">
        <v>#N/A</v>
        <stp/>
        <stp>BDH|14353251580520659435</stp>
        <tr r="X9" s="25"/>
        <tr r="X44" s="17"/>
      </tp>
      <tp t="e">
        <v>#N/A</v>
        <stp/>
        <stp>BDH|17134756736668143106</stp>
        <tr r="P89" s="17"/>
      </tp>
      <tp t="e">
        <v>#N/A</v>
        <stp/>
        <stp>BDH|12079666002357145966</stp>
        <tr r="P43" s="29"/>
      </tp>
      <tp t="e">
        <v>#N/A</v>
        <stp/>
        <stp>BDH|11784608997675638152</stp>
        <tr r="K12" s="10"/>
      </tp>
      <tp t="e">
        <v>#N/A</v>
        <stp/>
        <stp>BDH|13023337392360563376</stp>
        <tr r="G7" s="6"/>
      </tp>
      <tp t="e">
        <v>#N/A</v>
        <stp/>
        <stp>BDH|11199413687485280260</stp>
        <tr r="I167" s="18"/>
      </tp>
      <tp t="e">
        <v>#N/A</v>
        <stp/>
        <stp>BDH|17501673806768474336</stp>
        <tr r="S66" s="18"/>
      </tp>
      <tp t="e">
        <v>#N/A</v>
        <stp/>
        <stp>BDH|15018848049945616684</stp>
        <tr r="G23" s="13"/>
      </tp>
      <tp t="e">
        <v>#N/A</v>
        <stp/>
        <stp>BDH|12711036304340307801</stp>
        <tr r="T16" s="26"/>
      </tp>
      <tp t="e">
        <v>#N/A</v>
        <stp/>
        <stp>BDH|14704872740721512361</stp>
        <tr r="Z166" s="18"/>
      </tp>
      <tp t="e">
        <v>#N/A</v>
        <stp/>
        <stp>BDH|11077210429699843231</stp>
        <tr r="D8" s="28"/>
      </tp>
      <tp t="e">
        <v>#N/A</v>
        <stp/>
        <stp>BDH|14835666822129977367</stp>
        <tr r="K63" s="18"/>
      </tp>
      <tp t="e">
        <v>#N/A</v>
        <stp/>
        <stp>BDH|10664306073908091664</stp>
        <tr r="V57" s="6"/>
      </tp>
      <tp t="e">
        <v>#N/A</v>
        <stp/>
        <stp>BDH|11442979265074303069</stp>
        <tr r="P60" s="12"/>
      </tp>
      <tp t="e">
        <v>#N/A</v>
        <stp/>
        <stp>BDH|18130938402123699848</stp>
        <tr r="X169" s="18"/>
      </tp>
      <tp t="e">
        <v>#N/A</v>
        <stp/>
        <stp>BDH|18302718927690029776</stp>
        <tr r="H84" s="17"/>
        <tr r="H20" s="3"/>
        <tr r="F6" s="7"/>
      </tp>
      <tp t="e">
        <v>#N/A</v>
        <stp/>
        <stp>BDH|15096883056603861140</stp>
        <tr r="F64" s="12"/>
      </tp>
      <tp t="e">
        <v>#N/A</v>
        <stp/>
        <stp>BDH|12647011787451423169</stp>
        <tr r="P57" s="12"/>
      </tp>
      <tp t="e">
        <v>#N/A</v>
        <stp/>
        <stp>BDH|15632502172915654807</stp>
        <tr r="G20" s="28"/>
        <tr r="G17" s="17"/>
      </tp>
      <tp t="e">
        <v>#N/A</v>
        <stp/>
        <stp>BDH|14585303653200571814</stp>
        <tr r="O68" s="10"/>
        <tr r="O25" s="4"/>
      </tp>
      <tp t="e">
        <v>#N/A</v>
        <stp/>
        <stp>BDH|14189660789382965254</stp>
        <tr r="S42" s="17"/>
      </tp>
      <tp t="e">
        <v>#N/A</v>
        <stp/>
        <stp>BDH|15149475597114183620</stp>
        <tr r="I174" s="18"/>
      </tp>
      <tp t="e">
        <v>#N/A</v>
        <stp/>
        <stp>BDH|12702477131999678651</stp>
        <tr r="F8" s="27"/>
      </tp>
      <tp t="e">
        <v>#N/A</v>
        <stp/>
        <stp>BDH|12092974374470249632</stp>
        <tr r="O35" s="24"/>
      </tp>
      <tp t="e">
        <v>#N/A</v>
        <stp/>
        <stp>BDH|16726709502319216256</stp>
        <tr r="D9" s="26"/>
      </tp>
      <tp t="e">
        <v>#N/A</v>
        <stp/>
        <stp>BDH|18305568177838175819</stp>
        <tr r="AA51" s="13"/>
      </tp>
      <tp t="e">
        <v>#N/A</v>
        <stp/>
        <stp>BDH|15991415099140718241</stp>
        <tr r="J21" s="2"/>
      </tp>
      <tp t="e">
        <v>#N/A</v>
        <stp/>
        <stp>BDH|11967210399580586067</stp>
        <tr r="Y26" s="26"/>
      </tp>
      <tp t="e">
        <v>#N/A</v>
        <stp/>
        <stp>BDH|15011919277493040244</stp>
        <tr r="Y90" s="18"/>
      </tp>
      <tp t="e">
        <v>#N/A</v>
        <stp/>
        <stp>BDH|11545848161326058328</stp>
        <tr r="J13" s="2"/>
      </tp>
      <tp t="e">
        <v>#N/A</v>
        <stp/>
        <stp>BDH|11302320747289564515</stp>
        <tr r="G73" s="10"/>
        <tr r="G62" s="11"/>
        <tr r="G20" s="7"/>
      </tp>
      <tp t="e">
        <v>#N/A</v>
        <stp/>
        <stp>BDH|12502870564196079047</stp>
        <tr r="I34" s="13"/>
        <tr r="G27" s="10"/>
      </tp>
      <tp t="e">
        <v>#N/A</v>
        <stp/>
        <stp>BDH|10067815562612722666</stp>
        <tr r="T28" s="21"/>
      </tp>
      <tp t="e">
        <v>#N/A</v>
        <stp/>
        <stp>BDH|12153478625048643678</stp>
        <tr r="F24" s="20"/>
      </tp>
      <tp t="e">
        <v>#N/A</v>
        <stp/>
        <stp>BDH|10372203791057179613</stp>
        <tr r="V53" s="13"/>
      </tp>
      <tp t="e">
        <v>#N/A</v>
        <stp/>
        <stp>BDH|15468197945502259881</stp>
        <tr r="H13" s="28"/>
        <tr r="H95" s="17"/>
      </tp>
      <tp t="e">
        <v>#N/A</v>
        <stp/>
        <stp>BDH|10864357385613838223</stp>
        <tr r="W19" s="5"/>
        <tr r="W46" s="6"/>
      </tp>
      <tp t="e">
        <v>#N/A</v>
        <stp/>
        <stp>BDH|10406081891075905667</stp>
        <tr r="V28" s="14"/>
      </tp>
      <tp t="e">
        <v>#N/A</v>
        <stp/>
        <stp>BDH|10515202094387468670</stp>
        <tr r="R18" s="27"/>
        <tr r="R36" s="25"/>
      </tp>
      <tp t="e">
        <v>#N/A</v>
        <stp/>
        <stp>BDH|14651900265748752961</stp>
        <tr r="E33" s="11"/>
        <tr r="E44" s="10"/>
      </tp>
      <tp t="e">
        <v>#N/A</v>
        <stp/>
        <stp>BDH|15567148792604299334</stp>
        <tr r="Z24" s="17"/>
      </tp>
      <tp t="e">
        <v>#N/A</v>
        <stp/>
        <stp>BDH|13244657724775375826</stp>
        <tr r="J30" s="26"/>
      </tp>
      <tp t="e">
        <v>#N/A</v>
        <stp/>
        <stp>BDH|10523874813392070137</stp>
        <tr r="T100" s="18"/>
      </tp>
      <tp t="e">
        <v>#N/A</v>
        <stp/>
        <stp>BDH|13680959716369627814</stp>
        <tr r="T51" s="13"/>
      </tp>
      <tp t="e">
        <v>#N/A</v>
        <stp/>
        <stp>BDH|11908150641876114892</stp>
        <tr r="J93" s="12"/>
      </tp>
      <tp t="e">
        <v>#N/A</v>
        <stp/>
        <stp>BDH|12164679834448157565</stp>
        <tr r="Q78" s="24"/>
      </tp>
      <tp t="e">
        <v>#N/A</v>
        <stp/>
        <stp>BDH|11614388189192139230</stp>
        <tr r="U13" s="2"/>
      </tp>
      <tp t="e">
        <v>#N/A</v>
        <stp/>
        <stp>BDH|10588119960104782962</stp>
        <tr r="Q59" s="17"/>
      </tp>
      <tp t="e">
        <v>#N/A</v>
        <stp/>
        <stp>BDH|14576573614909223315</stp>
        <tr r="T46" s="17"/>
      </tp>
      <tp t="e">
        <v>#N/A</v>
        <stp/>
        <stp>BDH|15508924681356185826</stp>
        <tr r="T67" s="18"/>
      </tp>
      <tp t="e">
        <v>#N/A</v>
        <stp/>
        <stp>BDH|14774787182261097082</stp>
        <tr r="H18" s="26"/>
      </tp>
      <tp t="e">
        <v>#N/A</v>
        <stp/>
        <stp>BDH|12516024081863117325</stp>
        <tr r="T18" s="28"/>
        <tr r="T15" s="17"/>
      </tp>
      <tp t="e">
        <v>#N/A</v>
        <stp/>
        <stp>BDH|13303687337015196986</stp>
        <tr r="H9" s="6"/>
      </tp>
      <tp t="e">
        <v>#N/A</v>
        <stp/>
        <stp>BDH|17593494331322955813</stp>
        <tr r="R31" s="22"/>
      </tp>
      <tp t="e">
        <v>#N/A</v>
        <stp/>
        <stp>BDH|14708768823392147960</stp>
        <tr r="P31" s="9"/>
      </tp>
      <tp t="e">
        <v>#N/A</v>
        <stp/>
        <stp>BDH|16914818063252679083</stp>
        <tr r="N85" s="17"/>
      </tp>
      <tp t="e">
        <v>#N/A</v>
        <stp/>
        <stp>BDH|17849839873044572685</stp>
        <tr r="O64" s="13"/>
      </tp>
      <tp t="e">
        <v>#N/A</v>
        <stp/>
        <stp>BDH|15247095823908477591</stp>
        <tr r="T26" s="7"/>
      </tp>
      <tp t="e">
        <v>#N/A</v>
        <stp/>
        <stp>BDH|15169305538536808948</stp>
        <tr r="H48" s="24"/>
      </tp>
      <tp t="e">
        <v>#N/A</v>
        <stp/>
        <stp>BDH|10778862375963632672</stp>
        <tr r="E99" s="12"/>
      </tp>
      <tp t="e">
        <v>#N/A</v>
        <stp/>
        <stp>BDH|10260580494691386785</stp>
        <tr r="I34" s="22"/>
      </tp>
      <tp t="e">
        <v>#N/A</v>
        <stp/>
        <stp>BDH|17451138829059818731</stp>
        <tr r="AA61" s="13"/>
      </tp>
      <tp t="e">
        <v>#N/A</v>
        <stp/>
        <stp>BDH|10515474529778746495</stp>
        <tr r="I120" s="18"/>
      </tp>
      <tp t="e">
        <v>#N/A</v>
        <stp/>
        <stp>BDH|10077501473440665807</stp>
        <tr r="I19" s="18"/>
      </tp>
      <tp t="e">
        <v>#N/A</v>
        <stp/>
        <stp>BDH|18142528629881805476</stp>
        <tr r="N56" s="11"/>
      </tp>
      <tp t="e">
        <v>#N/A</v>
        <stp/>
        <stp>BDH|10842170212502999819</stp>
        <tr r="N32" s="22"/>
      </tp>
      <tp t="e">
        <v>#N/A</v>
        <stp/>
        <stp>BDH|11240284599978088860</stp>
        <tr r="X22" s="30"/>
        <tr r="X24" s="23"/>
      </tp>
      <tp t="e">
        <v>#N/A</v>
        <stp/>
        <stp>BDH|16597043315548186506</stp>
        <tr r="W98" s="18"/>
      </tp>
      <tp t="e">
        <v>#N/A</v>
        <stp/>
        <stp>BDH|10325328233419176368</stp>
        <tr r="S36" s="26"/>
      </tp>
      <tp t="e">
        <v>#N/A</v>
        <stp/>
        <stp>BDH|12034605874578728160</stp>
        <tr r="W20" s="18"/>
      </tp>
      <tp t="e">
        <v>#N/A</v>
        <stp/>
        <stp>BDH|17606552320922384852</stp>
        <tr r="Q14" s="23"/>
      </tp>
      <tp t="e">
        <v>#N/A</v>
        <stp/>
        <stp>BDH|17669270706119743653</stp>
        <tr r="R11" s="28"/>
      </tp>
      <tp t="e">
        <v>#N/A</v>
        <stp/>
        <stp>BDH|14323814173385326470</stp>
        <tr r="P21" s="14"/>
      </tp>
      <tp t="e">
        <v>#N/A</v>
        <stp/>
        <stp>BDH|15943085105476402952</stp>
        <tr r="C49" s="34"/>
      </tp>
      <tp t="e">
        <v>#N/A</v>
        <stp/>
        <stp>BDH|16862985570357272570</stp>
        <tr r="K15" s="13"/>
      </tp>
      <tp t="e">
        <v>#N/A</v>
        <stp/>
        <stp>BDH|13632316895786000575</stp>
        <tr r="L7" s="24"/>
      </tp>
      <tp t="e">
        <v>#N/A</v>
        <stp/>
        <stp>BDH|17817682532720650817</stp>
        <tr r="G47" s="34"/>
      </tp>
      <tp t="e">
        <v>#N/A</v>
        <stp/>
        <stp>BDH|18312878062369698556</stp>
        <tr r="J20" s="10"/>
      </tp>
      <tp t="e">
        <v>#N/A</v>
        <stp/>
        <stp>BDH|11423458965959926084</stp>
        <tr r="AA6" s="27"/>
      </tp>
      <tp t="e">
        <v>#N/A</v>
        <stp/>
        <stp>BDH|12327228297941008236</stp>
        <tr r="P135" s="18"/>
      </tp>
      <tp t="e">
        <v>#N/A</v>
        <stp/>
        <stp>BDH|16675422611719366031</stp>
        <tr r="E66" s="18"/>
      </tp>
      <tp t="e">
        <v>#N/A</v>
        <stp/>
        <stp>BDH|13264799573809960044</stp>
        <tr r="G151" s="18"/>
      </tp>
      <tp t="e">
        <v>#N/A</v>
        <stp/>
        <stp>BDH|14465268096905975085</stp>
        <tr r="R17" s="9"/>
      </tp>
      <tp t="e">
        <v>#N/A</v>
        <stp/>
        <stp>BDH|15263535345656021813</stp>
        <tr r="T55" s="12"/>
      </tp>
      <tp t="e">
        <v>#N/A</v>
        <stp/>
        <stp>BDH|18322480587286869812</stp>
        <tr r="I12" s="25"/>
      </tp>
      <tp t="e">
        <v>#N/A</v>
        <stp/>
        <stp>BDH|12144467869829995339</stp>
        <tr r="L140" s="18"/>
      </tp>
      <tp t="e">
        <v>#N/A</v>
        <stp/>
        <stp>BDH|14415919537354285049</stp>
        <tr r="AA32" s="13"/>
        <tr r="Y25" s="10"/>
      </tp>
      <tp t="e">
        <v>#N/A</v>
        <stp/>
        <stp>BDH|14783632089895892513</stp>
        <tr r="M40" s="22"/>
      </tp>
      <tp t="e">
        <v>#N/A</v>
        <stp/>
        <stp>BDH|11951242679016991896</stp>
        <tr r="W25" s="7"/>
      </tp>
      <tp t="e">
        <v>#N/A</v>
        <stp/>
        <stp>BDH|12054561045349391046</stp>
        <tr r="Y156" s="18"/>
      </tp>
      <tp t="e">
        <v>#N/A</v>
        <stp/>
        <stp>BDH|17834988266532131032</stp>
        <tr r="C26" s="13"/>
      </tp>
      <tp t="e">
        <v>#N/A</v>
        <stp/>
        <stp>BDH|10787277526953206909</stp>
        <tr r="Q19" s="13"/>
        <tr r="O65" s="10"/>
        <tr r="O16" s="2"/>
        <tr r="O32" s="4"/>
      </tp>
      <tp t="e">
        <v>#N/A</v>
        <stp/>
        <stp>BDH|14999398502835220845</stp>
        <tr r="M13" s="22"/>
      </tp>
      <tp t="e">
        <v>#N/A</v>
        <stp/>
        <stp>BDH|18299451763606936693</stp>
        <tr r="U85" s="12"/>
      </tp>
      <tp t="e">
        <v>#N/A</v>
        <stp/>
        <stp>BDH|11713360853389349458</stp>
        <tr r="R36" s="21"/>
        <tr r="R24" s="3"/>
      </tp>
      <tp t="e">
        <v>#N/A</v>
        <stp/>
        <stp>BDH|13596251910689671327</stp>
        <tr r="R38" s="25"/>
        <tr r="R92" s="17"/>
      </tp>
      <tp t="e">
        <v>#N/A</v>
        <stp/>
        <stp>BDH|11726854917793557149</stp>
        <tr r="V73" s="12"/>
      </tp>
      <tp t="e">
        <v>#N/A</v>
        <stp/>
        <stp>BDH|10174425357249855286</stp>
        <tr r="Y56" s="13"/>
      </tp>
      <tp t="e">
        <v>#N/A</v>
        <stp/>
        <stp>BDH|11763417532514247823</stp>
        <tr r="D21" s="27"/>
      </tp>
      <tp t="e">
        <v>#N/A</v>
        <stp/>
        <stp>BDH|10371466287476658002</stp>
        <tr r="V22" s="14"/>
      </tp>
      <tp t="e">
        <v>#N/A</v>
        <stp/>
        <stp>BDH|13722389474458640599</stp>
        <tr r="T38" s="25"/>
        <tr r="T92" s="17"/>
      </tp>
      <tp t="e">
        <v>#N/A</v>
        <stp/>
        <stp>BDH|11191925359903810466</stp>
        <tr r="E22" s="9"/>
      </tp>
      <tp t="e">
        <v>#N/A</v>
        <stp/>
        <stp>BDH|15504342296383576667</stp>
        <tr r="P7" s="6"/>
      </tp>
      <tp t="e">
        <v>#N/A</v>
        <stp/>
        <stp>BDH|16261914462336561506</stp>
        <tr r="R59" s="12"/>
      </tp>
      <tp t="e">
        <v>#N/A</v>
        <stp/>
        <stp>BDH|18026210521073445107</stp>
        <tr r="F37" s="24"/>
      </tp>
      <tp t="e">
        <v>#N/A</v>
        <stp/>
        <stp>BDH|12443028286197595714</stp>
        <tr r="H172" s="18"/>
      </tp>
      <tp t="e">
        <v>#N/A</v>
        <stp/>
        <stp>BDH|12667289956328982754</stp>
        <tr r="E37" s="12"/>
      </tp>
      <tp t="e">
        <v>#N/A</v>
        <stp/>
        <stp>BDH|15644171703297516931</stp>
        <tr r="L170" s="18"/>
      </tp>
      <tp t="e">
        <v>#N/A</v>
        <stp/>
        <stp>BDH|10027175747349148656</stp>
        <tr r="G153" s="18"/>
      </tp>
      <tp t="e">
        <v>#N/A</v>
        <stp/>
        <stp>BDH|16998433314978962133</stp>
        <tr r="M37" s="6"/>
      </tp>
      <tp t="e">
        <v>#N/A</v>
        <stp/>
        <stp>BDH|17125045692626119226</stp>
        <tr r="F9" s="14"/>
      </tp>
      <tp t="e">
        <v>#N/A</v>
        <stp/>
        <stp>BDH|12562135004028162170</stp>
        <tr r="J40" s="29"/>
        <tr r="J17" s="29"/>
      </tp>
      <tp t="e">
        <v>#N/A</v>
        <stp/>
        <stp>BDH|17151454994532427202</stp>
        <tr r="L57" s="11"/>
        <tr r="L24" s="4"/>
      </tp>
      <tp t="e">
        <v>#N/A</v>
        <stp/>
        <stp>BDH|10305873237120251153</stp>
        <tr r="I36" s="21"/>
        <tr r="I24" s="3"/>
      </tp>
      <tp t="e">
        <v>#N/A</v>
        <stp/>
        <stp>BDH|15045022170289478127</stp>
        <tr r="H44" s="24"/>
      </tp>
      <tp t="e">
        <v>#N/A</v>
        <stp/>
        <stp>BDH|10220220681519655936</stp>
        <tr r="X16" s="34"/>
      </tp>
      <tp t="e">
        <v>#N/A</v>
        <stp/>
        <stp>BDH|17499111593264525143</stp>
        <tr r="Z148" s="18"/>
      </tp>
      <tp t="e">
        <v>#N/A</v>
        <stp/>
        <stp>BDH|16520466504368196017</stp>
        <tr r="S20" s="5"/>
      </tp>
      <tp t="e">
        <v>#N/A</v>
        <stp/>
        <stp>BDH|15624569487962282023</stp>
        <tr r="F52" s="12"/>
      </tp>
      <tp t="e">
        <v>#N/A</v>
        <stp/>
        <stp>BDH|14111537030898308067</stp>
        <tr r="P53" s="24"/>
      </tp>
      <tp t="e">
        <v>#N/A</v>
        <stp/>
        <stp>BDH|17001806737646911099</stp>
        <tr r="K54" s="12"/>
      </tp>
      <tp t="e">
        <v>#N/A</v>
        <stp/>
        <stp>BDH|11764871800047215459</stp>
        <tr r="O30" s="18"/>
      </tp>
      <tp t="e">
        <v>#N/A</v>
        <stp/>
        <stp>BDH|16273770421959673056</stp>
        <tr r="U100" s="18"/>
      </tp>
      <tp t="e">
        <v>#N/A</v>
        <stp/>
        <stp>BDH|18129158360161529467</stp>
        <tr r="I67" s="17"/>
      </tp>
      <tp t="e">
        <v>#N/A</v>
        <stp/>
        <stp>BDH|13290130587234762463</stp>
        <tr r="K22" s="11"/>
      </tp>
      <tp t="e">
        <v>#N/A</v>
        <stp/>
        <stp>BDH|11074495779160093874</stp>
        <tr r="V76" s="18"/>
      </tp>
      <tp t="e">
        <v>#N/A</v>
        <stp/>
        <stp>BDH|12709720091984672250</stp>
        <tr r="O13" s="6"/>
      </tp>
      <tp t="e">
        <v>#N/A</v>
        <stp/>
        <stp>BDH|12756970752881353565</stp>
        <tr r="Z49" s="18"/>
      </tp>
      <tp t="e">
        <v>#N/A</v>
        <stp/>
        <stp>BDH|18343488866040965037</stp>
        <tr r="X72" s="13"/>
      </tp>
      <tp t="e">
        <v>#N/A</v>
        <stp/>
        <stp>BDH|16703344388550981755</stp>
        <tr r="W27" s="26"/>
      </tp>
      <tp t="e">
        <v>#N/A</v>
        <stp/>
        <stp>BDH|12944215997503139094</stp>
        <tr r="Y55" s="12"/>
      </tp>
      <tp t="e">
        <v>#N/A</v>
        <stp/>
        <stp>BDH|14241917973584632416</stp>
        <tr r="R18" s="12"/>
      </tp>
      <tp t="e">
        <v>#N/A</v>
        <stp/>
        <stp>BDH|17504391238464318906</stp>
        <tr r="O25" s="24"/>
      </tp>
      <tp t="e">
        <v>#N/A</v>
        <stp/>
        <stp>BDH|10103632174282221933</stp>
        <tr r="L7" s="8"/>
      </tp>
      <tp t="e">
        <v>#N/A</v>
        <stp/>
        <stp>BDH|14633073713377202872</stp>
        <tr r="P11" s="9"/>
      </tp>
      <tp t="e">
        <v>#N/A</v>
        <stp/>
        <stp>BDH|17111130637387766854</stp>
        <tr r="U11" s="10"/>
        <tr r="U14" s="2"/>
      </tp>
      <tp t="e">
        <v>#N/A</v>
        <stp/>
        <stp>BDH|10953794207278753576</stp>
        <tr r="L49" s="12"/>
      </tp>
      <tp t="e">
        <v>#N/A</v>
        <stp/>
        <stp>BDH|12403563648221449892</stp>
        <tr r="E97" s="18"/>
      </tp>
      <tp t="e">
        <v>#N/A</v>
        <stp/>
        <stp>BDH|14978068077840792989</stp>
        <tr r="P28" s="18"/>
      </tp>
      <tp t="e">
        <v>#N/A</v>
        <stp/>
        <stp>BDH|16656961940258601911</stp>
        <tr r="L44" s="6"/>
      </tp>
      <tp t="e">
        <v>#N/A</v>
        <stp/>
        <stp>BDH|18277697316522341796</stp>
        <tr r="V16" s="21"/>
      </tp>
      <tp t="e">
        <v>#N/A</v>
        <stp/>
        <stp>BDH|17305337187341819783</stp>
        <tr r="O87" s="12"/>
      </tp>
      <tp t="e">
        <v>#N/A</v>
        <stp/>
        <stp>BDH|13666748594903047415</stp>
        <tr r="H60" s="17"/>
      </tp>
      <tp t="e">
        <v>#N/A</v>
        <stp/>
        <stp>BDH|12243144587477291648</stp>
        <tr r="W17" s="21"/>
        <tr r="U23" s="2"/>
        <tr r="W23" s="3"/>
      </tp>
      <tp t="e">
        <v>#N/A</v>
        <stp/>
        <stp>BDH|11349916360474264074</stp>
        <tr r="U38" s="22"/>
      </tp>
      <tp t="e">
        <v>#N/A</v>
        <stp/>
        <stp>BDH|10005462433044125934</stp>
        <tr r="N6" s="20"/>
        <tr r="N112" s="18"/>
      </tp>
      <tp t="e">
        <v>#N/A</v>
        <stp/>
        <stp>BDH|12434927330323259129</stp>
        <tr r="X54" s="18"/>
      </tp>
      <tp t="e">
        <v>#N/A</v>
        <stp/>
        <stp>BDH|12713097075756498993</stp>
        <tr r="Q47" s="24"/>
      </tp>
      <tp t="e">
        <v>#N/A</v>
        <stp/>
        <stp>BDH|18234353723994373715</stp>
        <tr r="Z74" s="12"/>
      </tp>
      <tp t="e">
        <v>#N/A</v>
        <stp/>
        <stp>BDH|18214895362659713589</stp>
        <tr r="N20" s="23"/>
      </tp>
      <tp t="e">
        <v>#N/A</v>
        <stp/>
        <stp>BDH|15056202697771234539</stp>
        <tr r="G8" s="21"/>
      </tp>
      <tp t="e">
        <v>#N/A</v>
        <stp/>
        <stp>BDH|16592845054292469372</stp>
        <tr r="I164" s="18"/>
      </tp>
      <tp t="e">
        <v>#N/A</v>
        <stp/>
        <stp>BDH|13081063905550312966</stp>
        <tr r="K53" s="22"/>
      </tp>
      <tp t="e">
        <v>#N/A</v>
        <stp/>
        <stp>BDH|12776936277816087058</stp>
        <tr r="W54" s="18"/>
      </tp>
      <tp t="e">
        <v>#N/A</v>
        <stp/>
        <stp>BDH|15586926936016327344</stp>
        <tr r="T28" s="12"/>
      </tp>
      <tp t="e">
        <v>#N/A</v>
        <stp/>
        <stp>BDH|11443577113217096860</stp>
        <tr r="V54" s="17"/>
        <tr r="V17" s="3"/>
      </tp>
      <tp t="e">
        <v>#N/A</v>
        <stp/>
        <stp>BDH|13287603623518565527</stp>
        <tr r="V77" s="24"/>
      </tp>
      <tp t="e">
        <v>#N/A</v>
        <stp/>
        <stp>BDH|17649400426429365258</stp>
        <tr r="D22" s="24"/>
      </tp>
      <tp t="e">
        <v>#N/A</v>
        <stp/>
        <stp>BDH|13195800106463502243</stp>
        <tr r="E9" s="27"/>
      </tp>
      <tp t="e">
        <v>#N/A</v>
        <stp/>
        <stp>BDH|16322540732682599860</stp>
        <tr r="S155" s="18"/>
      </tp>
      <tp t="e">
        <v>#N/A</v>
        <stp/>
        <stp>BDH|15378629987950494143</stp>
        <tr r="I66" s="21"/>
      </tp>
      <tp t="e">
        <v>#N/A</v>
        <stp/>
        <stp>BDH|12627917201959223823</stp>
        <tr r="S94" s="18"/>
      </tp>
      <tp t="e">
        <v>#N/A</v>
        <stp/>
        <stp>BDH|13522957212414498504</stp>
        <tr r="P38" s="26"/>
      </tp>
      <tp t="e">
        <v>#N/A</v>
        <stp/>
        <stp>BDH|15777573470865066869</stp>
        <tr r="K15" s="4"/>
      </tp>
      <tp t="e">
        <v>#N/A</v>
        <stp/>
        <stp>BDH|15450858882637390860</stp>
        <tr r="E6" s="19"/>
        <tr r="E38" s="17"/>
        <tr r="E16" s="3"/>
      </tp>
      <tp t="e">
        <v>#N/A</v>
        <stp/>
        <stp>BDH|18044630448873899354</stp>
        <tr r="H23" s="23"/>
      </tp>
      <tp t="e">
        <v>#N/A</v>
        <stp/>
        <stp>BDH|14266533735899381114</stp>
        <tr r="U27" s="13"/>
      </tp>
      <tp t="e">
        <v>#N/A</v>
        <stp/>
        <stp>BDH|16058520773327705907</stp>
        <tr r="Z69" s="24"/>
      </tp>
      <tp t="e">
        <v>#N/A</v>
        <stp/>
        <stp>BDH|10111951134134336452</stp>
        <tr r="T64" s="21"/>
        <tr r="R23" s="7"/>
      </tp>
      <tp t="e">
        <v>#N/A</v>
        <stp/>
        <stp>BDH|12481848107051242133</stp>
        <tr r="H18" s="20"/>
      </tp>
      <tp t="e">
        <v>#N/A</v>
        <stp/>
        <stp>BDH|18233154649682862501</stp>
        <tr r="V6" s="19"/>
        <tr r="V38" s="17"/>
        <tr r="V16" s="3"/>
      </tp>
      <tp t="e">
        <v>#N/A</v>
        <stp/>
        <stp>BDH|18274764965511793209</stp>
        <tr r="L25" s="21"/>
      </tp>
      <tp t="e">
        <v>#N/A</v>
        <stp/>
        <stp>BDH|18021284933083597089</stp>
        <tr r="N42" s="26"/>
      </tp>
      <tp t="e">
        <v>#N/A</v>
        <stp/>
        <stp>BDH|13020081439453227953</stp>
        <tr r="S52" s="18"/>
      </tp>
      <tp t="e">
        <v>#N/A</v>
        <stp/>
        <stp>BDH|18115544700185619253</stp>
        <tr r="I14" s="21"/>
      </tp>
      <tp t="e">
        <v>#N/A</v>
        <stp/>
        <stp>BDH|11292109175629753465</stp>
        <tr r="C14" s="8"/>
      </tp>
      <tp t="e">
        <v>#N/A</v>
        <stp/>
        <stp>BDH|15347864577612463205</stp>
        <tr r="E11" s="29"/>
      </tp>
      <tp t="e">
        <v>#N/A</v>
        <stp/>
        <stp>BDH|14542821970084560546</stp>
        <tr r="P15" s="13"/>
      </tp>
      <tp t="e">
        <v>#N/A</v>
        <stp/>
        <stp>BDH|16295832032920568700</stp>
        <tr r="R10" s="28"/>
      </tp>
      <tp t="e">
        <v>#N/A</v>
        <stp/>
        <stp>BDH|12009489456919957011</stp>
        <tr r="K28" s="34"/>
      </tp>
      <tp t="e">
        <v>#N/A</v>
        <stp/>
        <stp>BDH|16746171986882605769</stp>
        <tr r="F66" s="18"/>
      </tp>
      <tp t="e">
        <v>#N/A</v>
        <stp/>
        <stp>BDH|11899879604880578377</stp>
        <tr r="Q12" s="21"/>
      </tp>
      <tp t="e">
        <v>#N/A</v>
        <stp/>
        <stp>BDH|17871849920626795129</stp>
        <tr r="Y13" s="25"/>
      </tp>
      <tp t="e">
        <v>#N/A</v>
        <stp/>
        <stp>BDH|13765777459748583351</stp>
        <tr r="M7" s="17"/>
      </tp>
      <tp t="e">
        <v>#N/A</v>
        <stp/>
        <stp>BDH|16357303519139217719</stp>
        <tr r="U17" s="9"/>
      </tp>
      <tp t="e">
        <v>#N/A</v>
        <stp/>
        <stp>BDH|16055982767636593537</stp>
        <tr r="M11" s="28"/>
      </tp>
      <tp t="e">
        <v>#N/A</v>
        <stp/>
        <stp>BDH|12166198934978624238</stp>
        <tr r="F124" s="18"/>
      </tp>
      <tp t="e">
        <v>#N/A</v>
        <stp/>
        <stp>BDH|11059571084133989530</stp>
        <tr r="O22" s="26"/>
      </tp>
      <tp t="e">
        <v>#N/A</v>
        <stp/>
        <stp>BDH|12410189014249128104</stp>
        <tr r="J7" s="11"/>
      </tp>
      <tp t="e">
        <v>#N/A</v>
        <stp/>
        <stp>BDH|16368811021525962338</stp>
        <tr r="U73" s="18"/>
      </tp>
      <tp t="e">
        <v>#N/A</v>
        <stp/>
        <stp>BDH|12035043998413109248</stp>
        <tr r="L11" s="30"/>
      </tp>
      <tp t="e">
        <v>#N/A</v>
        <stp/>
        <stp>BDH|14040629280721805139</stp>
        <tr r="T63" s="11"/>
        <tr r="T74" s="10"/>
      </tp>
      <tp t="e">
        <v>#N/A</v>
        <stp/>
        <stp>BDH|11957301923819588367</stp>
        <tr r="G66" s="17"/>
      </tp>
      <tp t="e">
        <v>#N/A</v>
        <stp/>
        <stp>BDH|14783788741845690812</stp>
        <tr r="Z13" s="28"/>
        <tr r="Z95" s="17"/>
      </tp>
      <tp t="e">
        <v>#N/A</v>
        <stp/>
        <stp>BDH|16205278595582883514</stp>
        <tr r="M10" s="34"/>
      </tp>
      <tp t="e">
        <v>#N/A</v>
        <stp/>
        <stp>BDH|10776843352273045483</stp>
        <tr r="H20" s="21"/>
      </tp>
      <tp t="e">
        <v>#N/A</v>
        <stp/>
        <stp>BDH|11817170273135717820</stp>
        <tr r="T85" s="17"/>
      </tp>
      <tp t="e">
        <v>#N/A</v>
        <stp/>
        <stp>BDH|16938982927167836072</stp>
        <tr r="M59" s="18"/>
      </tp>
      <tp t="e">
        <v>#N/A</v>
        <stp/>
        <stp>BDH|11379074286232204191</stp>
        <tr r="U29" s="18"/>
      </tp>
      <tp t="e">
        <v>#N/A</v>
        <stp/>
        <stp>BDH|10079381770286354821</stp>
        <tr r="E18" s="24"/>
      </tp>
      <tp t="e">
        <v>#N/A</v>
        <stp/>
        <stp>BDH|15695095966168183112</stp>
        <tr r="Y85" s="17"/>
      </tp>
      <tp t="e">
        <v>#N/A</v>
        <stp/>
        <stp>BDH|13098730709979164723</stp>
        <tr r="O22" s="17"/>
        <tr r="O15" s="3"/>
      </tp>
      <tp t="e">
        <v>#N/A</v>
        <stp/>
        <stp>BDH|11563603468372273964</stp>
        <tr r="E12" s="27"/>
        <tr r="E30" s="25"/>
      </tp>
      <tp t="e">
        <v>#N/A</v>
        <stp/>
        <stp>BDH|12560299731608453108</stp>
        <tr r="J24" s="13"/>
      </tp>
      <tp t="e">
        <v>#N/A</v>
        <stp/>
        <stp>BDH|15071213382362865725</stp>
        <tr r="K38" s="10"/>
        <tr r="K27" s="11"/>
      </tp>
      <tp t="e">
        <v>#N/A</v>
        <stp/>
        <stp>BDH|16576813228223288565</stp>
        <tr r="E71" s="10"/>
      </tp>
      <tp t="e">
        <v>#N/A</v>
        <stp/>
        <stp>BDH|10920970716977076506</stp>
        <tr r="G21" s="9"/>
        <tr r="G23" s="5"/>
      </tp>
      <tp t="e">
        <v>#N/A</v>
        <stp/>
        <stp>BDH|17399360590290955744</stp>
        <tr r="Z39" s="12"/>
      </tp>
      <tp t="e">
        <v>#N/A</v>
        <stp/>
        <stp>BDH|18446349114907594797</stp>
        <tr r="L61" s="24"/>
      </tp>
      <tp t="e">
        <v>#N/A</v>
        <stp/>
        <stp>BDH|13080775987137175193</stp>
        <tr r="X74" s="18"/>
      </tp>
      <tp t="e">
        <v>#N/A</v>
        <stp/>
        <stp>BDH|16697126361283835851</stp>
        <tr r="S15" s="14"/>
      </tp>
      <tp t="e">
        <v>#N/A</v>
        <stp/>
        <stp>BDH|12738290381571308349</stp>
        <tr r="T89" s="12"/>
      </tp>
      <tp t="e">
        <v>#N/A</v>
        <stp/>
        <stp>BDH|14143672997197910609</stp>
        <tr r="J25" s="11"/>
        <tr r="J36" s="10"/>
      </tp>
      <tp t="e">
        <v>#N/A</v>
        <stp/>
        <stp>BDH|14080327045411714884</stp>
        <tr r="J43" s="34"/>
      </tp>
      <tp t="e">
        <v>#N/A</v>
        <stp/>
        <stp>BDH|12331508484864993167</stp>
        <tr r="P18" s="14"/>
      </tp>
      <tp t="e">
        <v>#N/A</v>
        <stp/>
        <stp>BDH|15665746166238985657</stp>
        <tr r="I39" s="6"/>
      </tp>
      <tp t="e">
        <v>#N/A</v>
        <stp/>
        <stp>BDH|14172646480852437296</stp>
        <tr r="M41" s="13"/>
        <tr r="K23" s="10"/>
        <tr r="K46" s="4"/>
      </tp>
      <tp t="e">
        <v>#N/A</v>
        <stp/>
        <stp>BDH|11689256516698945040</stp>
        <tr r="V6" s="16"/>
        <tr r="W6" s="11"/>
        <tr r="W10" s="4"/>
        <tr r="Y6" s="3"/>
      </tp>
      <tp t="e">
        <v>#N/A</v>
        <stp/>
        <stp>BDH|18253648737752822514</stp>
        <tr r="E59" s="18"/>
      </tp>
      <tp t="e">
        <v>#N/A</v>
        <stp/>
        <stp>BDH|11582298503658443131</stp>
        <tr r="V65" s="17"/>
      </tp>
      <tp t="e">
        <v>#N/A</v>
        <stp/>
        <stp>BDH|18107452818142416500</stp>
        <tr r="P28" s="14"/>
      </tp>
      <tp t="e">
        <v>#N/A</v>
        <stp/>
        <stp>BDH|14672359786095454099</stp>
        <tr r="I29" s="34"/>
      </tp>
      <tp t="e">
        <v>#N/A</v>
        <stp/>
        <stp>BDH|17943741191853087047</stp>
        <tr r="D32" s="9"/>
      </tp>
      <tp t="e">
        <v>#N/A</v>
        <stp/>
        <stp>BDH|12379080145804364858</stp>
        <tr r="D16" s="27"/>
        <tr r="D34" s="25"/>
      </tp>
      <tp t="e">
        <v>#N/A</v>
        <stp/>
        <stp>BDH|14221873172494816575</stp>
        <tr r="W120" s="18"/>
      </tp>
      <tp t="e">
        <v>#N/A</v>
        <stp/>
        <stp>BDH|10552983526721783048</stp>
        <tr r="H16" s="20"/>
      </tp>
      <tp t="e">
        <v>#N/A</v>
        <stp/>
        <stp>BDH|11904215796420333053</stp>
        <tr r="R56" s="12"/>
      </tp>
      <tp t="e">
        <v>#N/A</v>
        <stp/>
        <stp>BDH|12508610985750000697</stp>
        <tr r="E40" s="12"/>
      </tp>
      <tp t="e">
        <v>#N/A</v>
        <stp/>
        <stp>BDH|13247404518474129831</stp>
        <tr r="C66" s="21"/>
      </tp>
      <tp t="e">
        <v>#N/A</v>
        <stp/>
        <stp>BDH|17605447929169486279</stp>
        <tr r="I14" s="11"/>
      </tp>
      <tp t="e">
        <v>#N/A</v>
        <stp/>
        <stp>BDH|13353362369334117852</stp>
        <tr r="E15" s="5"/>
      </tp>
      <tp t="e">
        <v>#N/A</v>
        <stp/>
        <stp>BDH|13858154952329257450</stp>
        <tr r="J53" s="18"/>
      </tp>
      <tp t="e">
        <v>#N/A</v>
        <stp/>
        <stp>BDH|18028342370735904351</stp>
        <tr r="M44" s="22"/>
      </tp>
      <tp t="e">
        <v>#N/A</v>
        <stp/>
        <stp>BDH|15971874007872451558</stp>
        <tr r="D14" s="8"/>
      </tp>
      <tp t="e">
        <v>#N/A</v>
        <stp/>
        <stp>BDH|10149866225802988234</stp>
        <tr r="N30" s="29"/>
        <tr r="N8" s="29"/>
      </tp>
      <tp t="e">
        <v>#N/A</v>
        <stp/>
        <stp>BDH|16497265190777243089</stp>
        <tr r="W146" s="18"/>
      </tp>
      <tp t="e">
        <v>#N/A</v>
        <stp/>
        <stp>BDH|13645228654516899805</stp>
        <tr r="H8" s="4"/>
      </tp>
      <tp t="e">
        <v>#N/A</v>
        <stp/>
        <stp>BDH|10702984853595649320</stp>
        <tr r="P42" s="26"/>
      </tp>
      <tp t="e">
        <v>#N/A</v>
        <stp/>
        <stp>BDH|11018884207160365346</stp>
        <tr r="E138" s="18"/>
      </tp>
      <tp t="e">
        <v>#N/A</v>
        <stp/>
        <stp>BDH|13177882962960799741</stp>
        <tr r="G28" s="12"/>
      </tp>
      <tp t="e">
        <v>#N/A</v>
        <stp/>
        <stp>BDH|10553923717735932729</stp>
        <tr r="V23" s="22"/>
      </tp>
      <tp t="e">
        <v>#N/A</v>
        <stp/>
        <stp>BDH|16809523765987188858</stp>
        <tr r="X22" s="20"/>
      </tp>
      <tp t="e">
        <v>#N/A</v>
        <stp/>
        <stp>BDH|17100758288665453731</stp>
        <tr r="U23" s="25"/>
      </tp>
      <tp t="e">
        <v>#N/A</v>
        <stp/>
        <stp>BDH|15593772218528752161</stp>
        <tr r="K74" s="24"/>
      </tp>
      <tp t="e">
        <v>#N/A</v>
        <stp/>
        <stp>BDH|15983120105339550704</stp>
        <tr r="I28" s="34"/>
      </tp>
      <tp t="e">
        <v>#N/A</v>
        <stp/>
        <stp>BDH|16881162402138657514</stp>
        <tr r="W72" s="17"/>
      </tp>
      <tp t="e">
        <v>#N/A</v>
        <stp/>
        <stp>BDH|15279290030647298921</stp>
        <tr r="M28" s="9"/>
        <tr r="M30" s="5"/>
      </tp>
      <tp t="e">
        <v>#N/A</v>
        <stp/>
        <stp>BDH|17283814409503133602</stp>
        <tr r="Y39" s="18"/>
      </tp>
      <tp t="e">
        <v>#N/A</v>
        <stp/>
        <stp>BDH|12719003498599109858</stp>
        <tr r="Q73" s="12"/>
      </tp>
      <tp t="e">
        <v>#N/A</v>
        <stp/>
        <stp>BDH|15449812913651499796</stp>
        <tr r="Y22" s="26"/>
      </tp>
      <tp t="e">
        <v>#N/A</v>
        <stp/>
        <stp>BDH|11637854170793967719</stp>
        <tr r="AA35" s="12"/>
      </tp>
      <tp t="e">
        <v>#N/A</v>
        <stp/>
        <stp>BDH|17883560203208579033</stp>
        <tr r="X21" s="27"/>
      </tp>
      <tp t="e">
        <v>#N/A</v>
        <stp/>
        <stp>BDH|14470654027818845251</stp>
        <tr r="I52" s="6"/>
        <tr r="K9" s="8"/>
      </tp>
      <tp t="e">
        <v>#N/A</v>
        <stp/>
        <stp>BDH|13669847646981673492</stp>
        <tr r="D30" s="29"/>
        <tr r="D8" s="29"/>
      </tp>
      <tp t="e">
        <v>#N/A</v>
        <stp/>
        <stp>BDH|11972334891298685964</stp>
        <tr r="T73" s="12"/>
      </tp>
      <tp t="e">
        <v>#N/A</v>
        <stp/>
        <stp>BDH|12863946819463796391</stp>
        <tr r="L18" s="24"/>
      </tp>
      <tp t="e">
        <v>#N/A</v>
        <stp/>
        <stp>BDH|14936939657357200545</stp>
        <tr r="F27" s="13"/>
      </tp>
      <tp t="e">
        <v>#N/A</v>
        <stp/>
        <stp>BDH|13827445846250726964</stp>
        <tr r="E148" s="18"/>
      </tp>
      <tp t="e">
        <v>#N/A</v>
        <stp/>
        <stp>BDH|16437210968661126974</stp>
        <tr r="J17" s="5"/>
        <tr r="J36" s="6"/>
      </tp>
      <tp t="e">
        <v>#N/A</v>
        <stp/>
        <stp>BDH|18222461698289102662</stp>
        <tr r="F20" s="12"/>
      </tp>
      <tp t="e">
        <v>#N/A</v>
        <stp/>
        <stp>BDH|11046915519041258216</stp>
        <tr r="Q16" s="24"/>
      </tp>
      <tp t="e">
        <v>#N/A</v>
        <stp/>
        <stp>BDH|18294922692290091292</stp>
        <tr r="K72" s="18"/>
      </tp>
      <tp t="e">
        <v>#N/A</v>
        <stp/>
        <stp>BDH|16972123247481752804</stp>
        <tr r="Z8" s="25"/>
        <tr r="W10" s="5"/>
        <tr r="X9" s="2"/>
      </tp>
      <tp t="e">
        <v>#N/A</v>
        <stp/>
        <stp>BDH|14542945654671768391</stp>
        <tr r="G48" s="12"/>
      </tp>
      <tp t="e">
        <v>#N/A</v>
        <stp/>
        <stp>BDH|15070101838424240916</stp>
        <tr r="T15" s="5"/>
      </tp>
      <tp t="e">
        <v>#N/A</v>
        <stp/>
        <stp>BDH|16295952962985701692</stp>
        <tr r="AA139" s="18"/>
      </tp>
      <tp t="e">
        <v>#N/A</v>
        <stp/>
        <stp>BDH|11929906135036014772</stp>
        <tr r="D52" s="17"/>
      </tp>
      <tp t="e">
        <v>#N/A</v>
        <stp/>
        <stp>BDH|14833833745162757023</stp>
        <tr r="Q68" s="10"/>
        <tr r="Q25" s="4"/>
      </tp>
      <tp t="e">
        <v>#N/A</v>
        <stp/>
        <stp>BDH|15257407672214957822</stp>
        <tr r="C34" s="11"/>
        <tr r="C45" s="10"/>
      </tp>
      <tp t="e">
        <v>#N/A</v>
        <stp/>
        <stp>BDH|10610167771604824824</stp>
        <tr r="K38" s="6"/>
      </tp>
      <tp t="e">
        <v>#N/A</v>
        <stp/>
        <stp>BDH|17659990365521860393</stp>
        <tr r="I111" s="18"/>
      </tp>
      <tp t="e">
        <v>#N/A</v>
        <stp/>
        <stp>BDH|15248349658711294876</stp>
        <tr r="F18" s="22"/>
      </tp>
      <tp t="e">
        <v>#N/A</v>
        <stp/>
        <stp>BDH|16605275346619403386</stp>
        <tr r="H38" s="25"/>
        <tr r="H92" s="17"/>
      </tp>
      <tp t="e">
        <v>#N/A</v>
        <stp/>
        <stp>BDH|18273380422151176224</stp>
        <tr r="Z34" s="26"/>
      </tp>
      <tp t="e">
        <v>#N/A</v>
        <stp/>
        <stp>BDH|14344008278040704978</stp>
        <tr r="J28" s="14"/>
      </tp>
      <tp t="e">
        <v>#N/A</v>
        <stp/>
        <stp>BDH|16877648196115891693</stp>
        <tr r="I11" s="9"/>
      </tp>
      <tp t="e">
        <v>#N/A</v>
        <stp/>
        <stp>BDH|12114341798951202352</stp>
        <tr r="H67" s="13"/>
      </tp>
      <tp t="e">
        <v>#N/A</v>
        <stp/>
        <stp>BDH|17397557182222710296</stp>
        <tr r="V14" s="20"/>
        <tr r="V119" s="18"/>
      </tp>
      <tp t="e">
        <v>#N/A</v>
        <stp/>
        <stp>BDH|15432112899812508533</stp>
        <tr r="N65" s="12"/>
      </tp>
      <tp t="e">
        <v>#N/A</v>
        <stp/>
        <stp>BDH|17189681095497473520</stp>
        <tr r="J13" s="21"/>
      </tp>
      <tp t="e">
        <v>#N/A</v>
        <stp/>
        <stp>BDH|14269406929808395028</stp>
        <tr r="M43" s="25"/>
        <tr r="M22" s="13"/>
        <tr r="M7" s="13"/>
        <tr r="K17" s="11"/>
        <tr r="M7" s="3"/>
      </tp>
      <tp t="e">
        <v>#N/A</v>
        <stp/>
        <stp>BDH|15693777294613985269</stp>
        <tr r="W16" s="21"/>
      </tp>
      <tp t="e">
        <v>#N/A</v>
        <stp/>
        <stp>BDH|11575485689144637389</stp>
        <tr r="L68" s="17"/>
      </tp>
      <tp t="e">
        <v>#N/A</v>
        <stp/>
        <stp>BDH|18249389545166616335</stp>
        <tr r="H68" s="10"/>
        <tr r="H25" s="4"/>
      </tp>
      <tp t="e">
        <v>#N/A</v>
        <stp/>
        <stp>BDH|14964849374459007833</stp>
        <tr r="W69" s="17"/>
        <tr r="W18" s="3"/>
      </tp>
      <tp t="e">
        <v>#N/A</v>
        <stp/>
        <stp>BDH|12326378929188704104</stp>
        <tr r="O8" s="17"/>
      </tp>
      <tp t="e">
        <v>#N/A</v>
        <stp/>
        <stp>BDH|18121142098052799807</stp>
        <tr r="Y91" s="17"/>
      </tp>
      <tp t="e">
        <v>#N/A</v>
        <stp/>
        <stp>BDH|10369782463818613343</stp>
        <tr r="D79" s="17"/>
        <tr r="D19" s="3"/>
      </tp>
      <tp t="e">
        <v>#N/A</v>
        <stp/>
        <stp>BDH|12991864704039023911</stp>
        <tr r="O20" s="24"/>
      </tp>
      <tp t="e">
        <v>#N/A</v>
        <stp/>
        <stp>BDH|10041643581562791685</stp>
        <tr r="C8" s="20"/>
        <tr r="C114" s="18"/>
      </tp>
      <tp t="e">
        <v>#N/A</v>
        <stp/>
        <stp>BDH|13561485720526286950</stp>
        <tr r="P56" s="11"/>
      </tp>
      <tp t="e">
        <v>#N/A</v>
        <stp/>
        <stp>BDH|10805828720334754473</stp>
        <tr r="Y67" s="12"/>
      </tp>
      <tp t="e">
        <v>#N/A</v>
        <stp/>
        <stp>BDH|16214350910508809659</stp>
        <tr r="J12" s="22"/>
      </tp>
      <tp t="e">
        <v>#N/A</v>
        <stp/>
        <stp>BDH|13726756256493986874</stp>
        <tr r="M17" s="13"/>
      </tp>
      <tp t="e">
        <v>#N/A</v>
        <stp/>
        <stp>BDH|14654116960880415996</stp>
        <tr r="F8" s="18"/>
      </tp>
      <tp t="e">
        <v>#N/A</v>
        <stp/>
        <stp>BDH|17660827059482605216</stp>
        <tr r="U108" s="18"/>
      </tp>
      <tp t="e">
        <v>#N/A</v>
        <stp/>
        <stp>BDH|17007660728411771830</stp>
        <tr r="E52" s="34"/>
      </tp>
      <tp t="e">
        <v>#N/A</v>
        <stp/>
        <stp>BDH|16731877973757100481</stp>
        <tr r="E13" s="21"/>
      </tp>
      <tp t="e">
        <v>#N/A</v>
        <stp/>
        <stp>BDH|10948800607693048144</stp>
        <tr r="AA141" s="18"/>
      </tp>
      <tp t="e">
        <v>#N/A</v>
        <stp/>
        <stp>BDH|17501593787408558843</stp>
        <tr r="V30" s="25"/>
        <tr r="V12" s="27"/>
      </tp>
      <tp t="e">
        <v>#N/A</v>
        <stp/>
        <stp>BDH|17191241058508638219</stp>
        <tr r="W9" s="34"/>
      </tp>
      <tp t="e">
        <v>#N/A</v>
        <stp/>
        <stp>BDH|15256917730742046796</stp>
        <tr r="I23" s="12"/>
      </tp>
      <tp t="e">
        <v>#N/A</v>
        <stp/>
        <stp>BDH|16323542925779814200</stp>
        <tr r="M13" s="6"/>
      </tp>
      <tp t="e">
        <v>#N/A</v>
        <stp/>
        <stp>BDH|13617960779154332305</stp>
        <tr r="H21" s="4"/>
      </tp>
      <tp t="e">
        <v>#N/A</v>
        <stp/>
        <stp>BDH|10679898054411858698</stp>
        <tr r="T61" s="11"/>
      </tp>
      <tp t="e">
        <v>#N/A</v>
        <stp/>
        <stp>BDH|15106334899211511442</stp>
        <tr r="S61" s="18"/>
      </tp>
      <tp t="e">
        <v>#N/A</v>
        <stp/>
        <stp>BDH|10426783920497728813</stp>
        <tr r="P69" s="24"/>
      </tp>
      <tp t="e">
        <v>#N/A</v>
        <stp/>
        <stp>BDH|12931729621964739974</stp>
        <tr r="Z72" s="24"/>
      </tp>
      <tp t="e">
        <v>#N/A</v>
        <stp/>
        <stp>BDH|17172140788910096473</stp>
        <tr r="J62" s="12"/>
      </tp>
      <tp t="e">
        <v>#N/A</v>
        <stp/>
        <stp>BDH|17980974903654920093</stp>
        <tr r="T19" s="28"/>
        <tr r="T16" s="17"/>
      </tp>
      <tp t="e">
        <v>#N/A</v>
        <stp/>
        <stp>BDH|12891812725086421453</stp>
        <tr r="X13" s="18"/>
      </tp>
      <tp t="e">
        <v>#N/A</v>
        <stp/>
        <stp>BDH|14773213470783815838</stp>
        <tr r="C41" s="22"/>
      </tp>
      <tp t="e">
        <v>#N/A</v>
        <stp/>
        <stp>BDH|12102283944889515750</stp>
        <tr r="I17" s="5"/>
        <tr r="I36" s="6"/>
      </tp>
      <tp t="e">
        <v>#N/A</v>
        <stp/>
        <stp>BDH|17567250679750724839</stp>
        <tr r="Q26" s="17"/>
      </tp>
      <tp t="e">
        <v>#N/A</v>
        <stp/>
        <stp>BDH|12872859150327032207</stp>
        <tr r="K68" s="12"/>
      </tp>
      <tp t="e">
        <v>#N/A</v>
        <stp/>
        <stp>BDH|11425512208087094901</stp>
        <tr r="O11" s="7"/>
      </tp>
      <tp t="e">
        <v>#N/A</v>
        <stp/>
        <stp>BDH|12810457145481582904</stp>
        <tr r="Q8" s="12"/>
      </tp>
      <tp t="e">
        <v>#N/A</v>
        <stp/>
        <stp>BDH|15502962104807859121</stp>
        <tr r="X17" s="20"/>
      </tp>
      <tp t="e">
        <v>#N/A</v>
        <stp/>
        <stp>BDH|16697626690615954602</stp>
        <tr r="D8" s="11"/>
      </tp>
      <tp t="e">
        <v>#N/A</v>
        <stp/>
        <stp>BDH|17652039326049752694</stp>
        <tr r="T22" s="11"/>
      </tp>
      <tp t="e">
        <v>#N/A</v>
        <stp/>
        <stp>BDH|15412388010878587544</stp>
        <tr r="U44" s="24"/>
      </tp>
      <tp t="e">
        <v>#N/A</v>
        <stp/>
        <stp>BDH|13503503518884135914</stp>
        <tr r="U23" s="6"/>
      </tp>
      <tp t="e">
        <v>#N/A</v>
        <stp/>
        <stp>BDH|13194577628709073732</stp>
        <tr r="H68" s="24"/>
      </tp>
      <tp t="e">
        <v>#N/A</v>
        <stp/>
        <stp>BDH|18146105262402931774</stp>
        <tr r="H21" s="6"/>
      </tp>
      <tp t="e">
        <v>#N/A</v>
        <stp/>
        <stp>BDH|12055805705660970013</stp>
        <tr r="U155" s="18"/>
      </tp>
      <tp t="e">
        <v>#N/A</v>
        <stp/>
        <stp>BDH|15263025599697528115</stp>
        <tr r="K10" s="11"/>
      </tp>
      <tp t="e">
        <v>#N/A</v>
        <stp/>
        <stp>BDH|11514728286065899141</stp>
        <tr r="C20" s="23"/>
      </tp>
      <tp t="e">
        <v>#N/A</v>
        <stp/>
        <stp>BDH|16703213870778817134</stp>
        <tr r="U8" s="11"/>
      </tp>
      <tp t="e">
        <v>#N/A</v>
        <stp/>
        <stp>BDH|10607540729758176571</stp>
        <tr r="W56" s="17"/>
      </tp>
      <tp t="e">
        <v>#N/A</v>
        <stp/>
        <stp>BDH|15555173428519672515</stp>
        <tr r="H135" s="18"/>
      </tp>
      <tp t="e">
        <v>#N/A</v>
        <stp/>
        <stp>BDH|17200093817809988583</stp>
        <tr r="D7" s="34"/>
      </tp>
      <tp t="e">
        <v>#N/A</v>
        <stp/>
        <stp>BDH|11708835079143597758</stp>
        <tr r="L38" s="26"/>
      </tp>
      <tp t="e">
        <v>#N/A</v>
        <stp/>
        <stp>BDH|16002089940180389865</stp>
        <tr r="AA24" s="17"/>
      </tp>
      <tp t="e">
        <v>#N/A</v>
        <stp/>
        <stp>BDH|14027017577951383881</stp>
        <tr r="G72" s="18"/>
      </tp>
      <tp t="e">
        <v>#N/A</v>
        <stp/>
        <stp>BDH|10036499145479627379</stp>
        <tr r="U83" s="12"/>
      </tp>
      <tp t="e">
        <v>#N/A</v>
        <stp/>
        <stp>BDH|18201179608101395234</stp>
        <tr r="R65" s="21"/>
        <tr r="O31" s="6"/>
      </tp>
      <tp t="e">
        <v>#N/A</v>
        <stp/>
        <stp>BDH|15658003320564292981</stp>
        <tr r="Y9" s="27"/>
      </tp>
      <tp t="e">
        <v>#N/A</v>
        <stp/>
        <stp>BDH|15706652799081487131</stp>
        <tr r="K43" s="26"/>
      </tp>
      <tp t="e">
        <v>#N/A</v>
        <stp/>
        <stp>BDH|18278435935104016189</stp>
        <tr r="I17" s="20"/>
      </tp>
      <tp t="e">
        <v>#N/A</v>
        <stp/>
        <stp>BDH|12811833276572459558</stp>
        <tr r="K12" s="13"/>
      </tp>
      <tp t="e">
        <v>#N/A</v>
        <stp/>
        <stp>BDH|18417645129984448213</stp>
        <tr r="J123" s="18"/>
      </tp>
      <tp t="e">
        <v>#N/A</v>
        <stp/>
        <stp>BDH|12894650486540665610</stp>
        <tr r="J46" s="24"/>
      </tp>
      <tp t="e">
        <v>#N/A</v>
        <stp/>
        <stp>BDH|11719089766334450916</stp>
        <tr r="F65" s="17"/>
      </tp>
      <tp t="e">
        <v>#N/A</v>
        <stp/>
        <stp>BDH|15312173822868900432</stp>
        <tr r="G43" s="24"/>
      </tp>
      <tp t="e">
        <v>#N/A</v>
        <stp/>
        <stp>BDH|15519506096406647598</stp>
        <tr r="U39" s="18"/>
      </tp>
      <tp t="e">
        <v>#N/A</v>
        <stp/>
        <stp>BDH|10646285376988678720</stp>
        <tr r="L25" s="11"/>
        <tr r="L36" s="10"/>
      </tp>
      <tp t="e">
        <v>#N/A</v>
        <stp/>
        <stp>BDH|16725974208871607421</stp>
        <tr r="S63" s="11"/>
        <tr r="S74" s="10"/>
      </tp>
      <tp t="e">
        <v>#N/A</v>
        <stp/>
        <stp>BDH|15965155737985178863</stp>
        <tr r="I106" s="18"/>
      </tp>
      <tp t="e">
        <v>#N/A</v>
        <stp/>
        <stp>BDH|12060558512915391983</stp>
        <tr r="K31" s="9"/>
      </tp>
      <tp t="e">
        <v>#N/A</v>
        <stp/>
        <stp>BDH|15420766299335524428</stp>
        <tr r="L74" s="17"/>
      </tp>
      <tp t="e">
        <v>#N/A</v>
        <stp/>
        <stp>BDH|18233729289135017857</stp>
        <tr r="W12" s="21"/>
      </tp>
      <tp t="e">
        <v>#N/A</v>
        <stp/>
        <stp>BDH|11938125623058443001</stp>
        <tr r="M69" s="13"/>
      </tp>
      <tp t="e">
        <v>#N/A</v>
        <stp/>
        <stp>BDH|14304892509170927662</stp>
        <tr r="P43" s="12"/>
      </tp>
      <tp t="e">
        <v>#N/A</v>
        <stp/>
        <stp>BDH|17986599195349090898</stp>
        <tr r="E31" s="24"/>
      </tp>
      <tp t="e">
        <v>#N/A</v>
        <stp/>
        <stp>BDH|15946053196027412124</stp>
        <tr r="I33" s="17"/>
      </tp>
      <tp t="e">
        <v>#N/A</v>
        <stp/>
        <stp>BDH|11764140684563979125</stp>
        <tr r="L24" s="5"/>
      </tp>
      <tp t="e">
        <v>#N/A</v>
        <stp/>
        <stp>BDH|15175360925767986979</stp>
        <tr r="M166" s="18"/>
      </tp>
      <tp t="e">
        <v>#N/A</v>
        <stp/>
        <stp>BDH|12401516918675848995</stp>
        <tr r="Y22" s="20"/>
      </tp>
      <tp t="e">
        <v>#N/A</v>
        <stp/>
        <stp>BDH|10317758759821023932</stp>
        <tr r="S9" s="10"/>
      </tp>
      <tp t="e">
        <v>#N/A</v>
        <stp/>
        <stp>BDH|12147329598007282554</stp>
        <tr r="D66" s="24"/>
      </tp>
      <tp t="e">
        <v>#N/A</v>
        <stp/>
        <stp>BDH|10719340173766969850</stp>
        <tr r="Q29" s="12"/>
      </tp>
      <tp t="e">
        <v>#N/A</v>
        <stp/>
        <stp>BDH|10946241281126460642</stp>
        <tr r="C15" s="21"/>
      </tp>
      <tp t="e">
        <v>#N/A</v>
        <stp/>
        <stp>BDH|12008987506730108130</stp>
        <tr r="S29" s="26"/>
      </tp>
      <tp t="e">
        <v>#N/A</v>
        <stp/>
        <stp>BDH|10842835843864274268</stp>
        <tr r="Q10" s="10"/>
      </tp>
      <tp t="e">
        <v>#N/A</v>
        <stp/>
        <stp>BDH|12097476188857108321</stp>
        <tr r="X39" s="6"/>
      </tp>
      <tp t="e">
        <v>#N/A</v>
        <stp/>
        <stp>BDH|17065977499545531871</stp>
        <tr r="M53" s="12"/>
      </tp>
      <tp t="e">
        <v>#N/A</v>
        <stp/>
        <stp>BDH|13004001881793405290</stp>
        <tr r="Y28" s="21"/>
      </tp>
      <tp t="e">
        <v>#N/A</v>
        <stp/>
        <stp>BDH|16908220745353769953</stp>
        <tr r="Y31" s="22"/>
      </tp>
      <tp t="e">
        <v>#N/A</v>
        <stp/>
        <stp>BDH|11396364396779686897</stp>
        <tr r="J7" s="28"/>
      </tp>
      <tp t="e">
        <v>#N/A</v>
        <stp/>
        <stp>BDH|13671345047439943707</stp>
        <tr r="S54" s="24"/>
      </tp>
      <tp t="e">
        <v>#N/A</v>
        <stp/>
        <stp>BDH|16442582685676745720</stp>
        <tr r="H127" s="18"/>
      </tp>
      <tp t="e">
        <v>#N/A</v>
        <stp/>
        <stp>BDH|17964636271169724538</stp>
        <tr r="E106" s="18"/>
      </tp>
      <tp t="e">
        <v>#N/A</v>
        <stp/>
        <stp>BDH|15619939879523209217</stp>
        <tr r="J13" s="11"/>
      </tp>
      <tp t="e">
        <v>#N/A</v>
        <stp/>
        <stp>BDH|15613568740338726682</stp>
        <tr r="U49" s="34"/>
      </tp>
      <tp t="e">
        <v>#N/A</v>
        <stp/>
        <stp>BDH|15567249870723603981</stp>
        <tr r="Y29" s="24"/>
      </tp>
      <tp t="e">
        <v>#N/A</v>
        <stp/>
        <stp>BDH|16167793981706538538</stp>
        <tr r="T49" s="18"/>
      </tp>
      <tp t="e">
        <v>#N/A</v>
        <stp/>
        <stp>BDH|18189713672745456791</stp>
        <tr r="M66" s="18"/>
      </tp>
      <tp t="e">
        <v>#N/A</v>
        <stp/>
        <stp>BDH|13815254592800139216</stp>
        <tr r="W35" s="4"/>
      </tp>
      <tp t="e">
        <v>#N/A</v>
        <stp/>
        <stp>BDH|17626092293654509068</stp>
        <tr r="U76" s="18"/>
      </tp>
      <tp t="e">
        <v>#N/A</v>
        <stp/>
        <stp>BDH|17325041083771832439</stp>
        <tr r="I39" s="11"/>
        <tr r="I50" s="10"/>
      </tp>
      <tp t="e">
        <v>#N/A</v>
        <stp/>
        <stp>BDH|11099143199381407264</stp>
        <tr r="O16" s="6"/>
      </tp>
      <tp t="e">
        <v>#N/A</v>
        <stp/>
        <stp>BDH|12922920303941148063</stp>
        <tr r="Q20" s="28"/>
        <tr r="Q17" s="17"/>
      </tp>
      <tp t="e">
        <v>#N/A</v>
        <stp/>
        <stp>BDH|17870114382400522419</stp>
        <tr r="L29" s="34"/>
      </tp>
      <tp t="e">
        <v>#N/A</v>
        <stp/>
        <stp>BDH|15881832916335496363</stp>
        <tr r="Z81" s="18"/>
      </tp>
      <tp t="e">
        <v>#N/A</v>
        <stp/>
        <stp>BDH|10907303846054633963</stp>
        <tr r="I33" s="5"/>
      </tp>
      <tp t="e">
        <v>#N/A</v>
        <stp/>
        <stp>BDH|14203485996297758441</stp>
        <tr r="M32" s="9"/>
      </tp>
      <tp t="e">
        <v>#N/A</v>
        <stp/>
        <stp>BDH|16607072018068734512</stp>
        <tr r="Z43" s="21"/>
      </tp>
      <tp t="e">
        <v>#N/A</v>
        <stp/>
        <stp>BDH|12958946626052562117</stp>
        <tr r="X21" s="6"/>
      </tp>
      <tp t="e">
        <v>#N/A</v>
        <stp/>
        <stp>BDH|13443733197007750080</stp>
        <tr r="X16" s="13"/>
        <tr r="X28" s="13"/>
        <tr r="V17" s="10"/>
      </tp>
      <tp t="e">
        <v>#N/A</v>
        <stp/>
        <stp>BDH|11163570237544728990</stp>
        <tr r="I18" s="13"/>
      </tp>
      <tp t="e">
        <v>#N/A</v>
        <stp/>
        <stp>BDH|13237798269120929849</stp>
        <tr r="E33" s="22"/>
      </tp>
      <tp t="e">
        <v>#N/A</v>
        <stp/>
        <stp>BDH|18244523545272928136</stp>
        <tr r="U47" s="22"/>
      </tp>
      <tp t="e">
        <v>#N/A</v>
        <stp/>
        <stp>BDH|11834485009287665803</stp>
        <tr r="O30" s="21"/>
      </tp>
      <tp t="e">
        <v>#N/A</v>
        <stp/>
        <stp>BDH|13249035171218732681</stp>
        <tr r="R66" s="18"/>
      </tp>
      <tp t="e">
        <v>#N/A</v>
        <stp/>
        <stp>BDH|17829377778128816104</stp>
        <tr r="X6" s="28"/>
      </tp>
      <tp t="e">
        <v>#N/A</v>
        <stp/>
        <stp>BDH|12309294198795806652</stp>
        <tr r="N156" s="18"/>
      </tp>
      <tp t="e">
        <v>#N/A</v>
        <stp/>
        <stp>BDH|10758470628134560822</stp>
        <tr r="H16" s="12"/>
      </tp>
      <tp t="e">
        <v>#N/A</v>
        <stp/>
        <stp>BDH|16655202654493917842</stp>
        <tr r="N66" s="18"/>
      </tp>
      <tp t="e">
        <v>#N/A</v>
        <stp/>
        <stp>BDH|11966706820928381656</stp>
        <tr r="L43" s="6"/>
      </tp>
      <tp t="e">
        <v>#N/A</v>
        <stp/>
        <stp>BDH|12227293332769258044</stp>
        <tr r="L173" s="18"/>
      </tp>
      <tp t="e">
        <v>#N/A</v>
        <stp/>
        <stp>BDH|17779146523526674894</stp>
        <tr r="W67" s="12"/>
      </tp>
      <tp t="e">
        <v>#N/A</v>
        <stp/>
        <stp>BDH|11026930086008325297</stp>
        <tr r="H17" s="12"/>
      </tp>
      <tp t="e">
        <v>#N/A</v>
        <stp/>
        <stp>BDH|10997016668955973967</stp>
        <tr r="V15" s="12"/>
      </tp>
      <tp t="e">
        <v>#N/A</v>
        <stp/>
        <stp>BDH|10160064491596003592</stp>
        <tr r="V60" s="17"/>
      </tp>
      <tp t="e">
        <v>#N/A</v>
        <stp/>
        <stp>BDH|12815309102582715929</stp>
        <tr r="F21" s="4"/>
      </tp>
      <tp t="e">
        <v>#N/A</v>
        <stp/>
        <stp>BDH|14762110553489314396</stp>
        <tr r="L16" s="34"/>
      </tp>
      <tp t="e">
        <v>#N/A</v>
        <stp/>
        <stp>BDH|15177315789653609700</stp>
        <tr r="T27" s="26"/>
      </tp>
      <tp t="e">
        <v>#N/A</v>
        <stp/>
        <stp>BDH|14218185684153272436</stp>
        <tr r="W16" s="22"/>
      </tp>
      <tp t="e">
        <v>#N/A</v>
        <stp/>
        <stp>BDH|18408345532012987049</stp>
        <tr r="Q16" s="13"/>
        <tr r="Q28" s="13"/>
        <tr r="O17" s="10"/>
      </tp>
      <tp t="e">
        <v>#N/A</v>
        <stp/>
        <stp>BDH|16945456479988398796</stp>
        <tr r="Z76" s="18"/>
      </tp>
      <tp t="e">
        <v>#N/A</v>
        <stp/>
        <stp>BDH|18270430146820159281</stp>
        <tr r="T25" s="17"/>
      </tp>
      <tp t="e">
        <v>#N/A</v>
        <stp/>
        <stp>BDH|12870240985695481733</stp>
        <tr r="T22" s="14"/>
      </tp>
      <tp t="e">
        <v>#N/A</v>
        <stp/>
        <stp>BDH|17319129929038503632</stp>
        <tr r="G9" s="20"/>
        <tr r="G115" s="18"/>
      </tp>
      <tp t="e">
        <v>#N/A</v>
        <stp/>
        <stp>BDH|14123914075564317488</stp>
        <tr r="C13" s="23"/>
      </tp>
      <tp t="e">
        <v>#N/A</v>
        <stp/>
        <stp>BDH|10161298827752954885</stp>
        <tr r="D43" s="6"/>
      </tp>
      <tp t="e">
        <v>#N/A</v>
        <stp/>
        <stp>BDH|12842737485814433341</stp>
        <tr r="C170" s="18"/>
      </tp>
      <tp t="e">
        <v>#N/A</v>
        <stp/>
        <stp>BDH|13238962555434734189</stp>
        <tr r="D53" s="21"/>
      </tp>
      <tp t="e">
        <v>#N/A</v>
        <stp/>
        <stp>BDH|17136423296354343489</stp>
        <tr r="AA11" s="24"/>
      </tp>
      <tp t="e">
        <v>#N/A</v>
        <stp/>
        <stp>BDH|10548394113250185807</stp>
        <tr r="D38" s="12"/>
      </tp>
      <tp t="e">
        <v>#N/A</v>
        <stp/>
        <stp>BDH|11594516929624025836</stp>
        <tr r="F41" s="29"/>
        <tr r="F18" s="29"/>
      </tp>
      <tp t="e">
        <v>#N/A</v>
        <stp/>
        <stp>BDH|18160849750226371989</stp>
        <tr r="H43" s="34"/>
      </tp>
      <tp t="e">
        <v>#N/A</v>
        <stp/>
        <stp>BDH|11774468599273151579</stp>
        <tr r="H54" s="24"/>
      </tp>
      <tp t="e">
        <v>#N/A</v>
        <stp/>
        <stp>BDH|14875822202671362754</stp>
        <tr r="D49" s="12"/>
      </tp>
      <tp t="e">
        <v>#N/A</v>
        <stp/>
        <stp>BDH|14356667520342328883</stp>
        <tr r="X49" s="18"/>
      </tp>
      <tp t="e">
        <v>#N/A</v>
        <stp/>
        <stp>BDH|13345283988691842255</stp>
        <tr r="P8" s="25"/>
        <tr r="M10" s="5"/>
        <tr r="N9" s="2"/>
      </tp>
      <tp t="e">
        <v>#N/A</v>
        <stp/>
        <stp>BDH|12031742838754601841</stp>
        <tr r="Z129" s="18"/>
      </tp>
      <tp t="e">
        <v>#N/A</v>
        <stp/>
        <stp>BDH|16229328829654690912</stp>
        <tr r="U40" s="12"/>
      </tp>
      <tp t="e">
        <v>#N/A</v>
        <stp/>
        <stp>BDH|11261581645108177206</stp>
        <tr r="K28" s="9"/>
        <tr r="K30" s="5"/>
      </tp>
      <tp t="e">
        <v>#N/A</v>
        <stp/>
        <stp>BDH|12544668139245593810</stp>
        <tr r="U105" s="18"/>
      </tp>
      <tp t="e">
        <v>#N/A</v>
        <stp/>
        <stp>BDH|15818835324340934582</stp>
        <tr r="P17" s="13"/>
      </tp>
      <tp t="e">
        <v>#N/A</v>
        <stp/>
        <stp>BDH|16916601192437441416</stp>
        <tr r="Y35" s="22"/>
      </tp>
      <tp t="e">
        <v>#N/A</v>
        <stp/>
        <stp>BDH|14727606536759838275</stp>
        <tr r="D58" s="17"/>
      </tp>
      <tp t="e">
        <v>#N/A</v>
        <stp/>
        <stp>BDH|15710950365458060896</stp>
        <tr r="Z64" s="13"/>
      </tp>
      <tp t="e">
        <v>#N/A</v>
        <stp/>
        <stp>BDH|16108902152510417092</stp>
        <tr r="D77" s="18"/>
      </tp>
      <tp t="e">
        <v>#N/A</v>
        <stp/>
        <stp>BDH|11639938117850424385</stp>
        <tr r="T29" s="25"/>
        <tr r="T10" s="27"/>
      </tp>
      <tp t="e">
        <v>#N/A</v>
        <stp/>
        <stp>BDH|16421023778372760970</stp>
        <tr r="O15" s="23"/>
        <tr r="M59" s="11"/>
      </tp>
      <tp t="e">
        <v>#N/A</v>
        <stp/>
        <stp>BDH|10576038493912913123</stp>
        <tr r="X149" s="18"/>
      </tp>
      <tp t="e">
        <v>#N/A</v>
        <stp/>
        <stp>BDH|17002314600118187716</stp>
        <tr r="G21" s="6"/>
      </tp>
      <tp t="e">
        <v>#N/A</v>
        <stp/>
        <stp>BDH|16984094692530478477</stp>
        <tr r="Z21" s="24"/>
      </tp>
      <tp t="e">
        <v>#N/A</v>
        <stp/>
        <stp>BDH|12952478260619829270</stp>
        <tr r="M155" s="18"/>
      </tp>
      <tp t="e">
        <v>#N/A</v>
        <stp/>
        <stp>BDH|13631828408032871254</stp>
        <tr r="Y44" s="13"/>
        <tr r="W36" s="11"/>
        <tr r="W47" s="10"/>
        <tr r="Y8" s="3"/>
        <tr r="W52" s="4"/>
      </tp>
      <tp t="e">
        <v>#N/A</v>
        <stp/>
        <stp>BDH|11454138011159302344</stp>
        <tr r="R13" s="9"/>
      </tp>
      <tp t="e">
        <v>#N/A</v>
        <stp/>
        <stp>BDH|15185821935095726003</stp>
        <tr r="Q10" s="25"/>
        <tr r="Q55" s="17"/>
      </tp>
      <tp t="e">
        <v>#N/A</v>
        <stp/>
        <stp>BDH|10188323110918189134</stp>
        <tr r="L12" s="13"/>
      </tp>
      <tp t="e">
        <v>#N/A</v>
        <stp/>
        <stp>BDH|16488348130895521844</stp>
        <tr r="V39" s="18"/>
      </tp>
      <tp t="e">
        <v>#N/A</v>
        <stp/>
        <stp>BDH|11057664975433401868</stp>
        <tr r="W7" s="21"/>
      </tp>
      <tp t="e">
        <v>#N/A</v>
        <stp/>
        <stp>BDH|12344972967486273008</stp>
        <tr r="V53" s="17"/>
      </tp>
      <tp t="e">
        <v>#N/A</v>
        <stp/>
        <stp>BDH|14410277299757281394</stp>
        <tr r="G13" s="21"/>
      </tp>
      <tp t="e">
        <v>#N/A</v>
        <stp/>
        <stp>BDH|13650044549555810928</stp>
        <tr r="G30" s="9"/>
      </tp>
      <tp t="e">
        <v>#N/A</v>
        <stp/>
        <stp>BDH|18046721742917362727</stp>
        <tr r="O21" s="22"/>
      </tp>
      <tp t="e">
        <v>#N/A</v>
        <stp/>
        <stp>BDH|10571561581132720449</stp>
        <tr r="P19" s="9"/>
      </tp>
      <tp t="e">
        <v>#N/A</v>
        <stp/>
        <stp>BDH|12743911314346223717</stp>
        <tr r="H21" s="27"/>
      </tp>
      <tp t="e">
        <v>#N/A</v>
        <stp/>
        <stp>BDH|10034457386303775453</stp>
        <tr r="U11" s="9"/>
      </tp>
      <tp t="e">
        <v>#N/A</v>
        <stp/>
        <stp>BDH|11942153268014543900</stp>
        <tr r="S32" s="21"/>
      </tp>
      <tp t="e">
        <v>#N/A</v>
        <stp/>
        <stp>BDH|15386887129173699756</stp>
        <tr r="W37" s="12"/>
      </tp>
      <tp t="e">
        <v>#N/A</v>
        <stp/>
        <stp>BDH|14632232752108792019</stp>
        <tr r="AA85" s="17"/>
      </tp>
      <tp t="e">
        <v>#N/A</v>
        <stp/>
        <stp>BDH|15317725572976592874</stp>
        <tr r="F18" s="27"/>
        <tr r="F36" s="25"/>
      </tp>
      <tp t="e">
        <v>#N/A</v>
        <stp/>
        <stp>BDH|12668651537048228475</stp>
        <tr r="F24" s="2"/>
      </tp>
      <tp t="e">
        <v>#N/A</v>
        <stp/>
        <stp>BDH|12587951105509255969</stp>
        <tr r="E122" s="18"/>
      </tp>
      <tp t="e">
        <v>#N/A</v>
        <stp/>
        <stp>BDH|16449668090964175624</stp>
        <tr r="P22" s="10"/>
      </tp>
      <tp t="e">
        <v>#N/A</v>
        <stp/>
        <stp>BDH|17140227092535239223</stp>
        <tr r="D24" s="11"/>
        <tr r="D35" s="10"/>
      </tp>
      <tp t="e">
        <v>#N/A</v>
        <stp/>
        <stp>BDH|16390449556449814583</stp>
        <tr r="J22" s="20"/>
      </tp>
      <tp t="e">
        <v>#N/A</v>
        <stp/>
        <stp>BDH|17905324630444244882</stp>
        <tr r="S26" s="29"/>
      </tp>
      <tp t="e">
        <v>#N/A</v>
        <stp/>
        <stp>BDH|15705394381240666585</stp>
        <tr r="L9" s="10"/>
      </tp>
      <tp t="e">
        <v>#N/A</v>
        <stp/>
        <stp>BDH|17677916885009439477</stp>
        <tr r="R128" s="18"/>
      </tp>
      <tp t="e">
        <v>#N/A</v>
        <stp/>
        <stp>BDH|18209952884292019024</stp>
        <tr r="Z14" s="22"/>
      </tp>
      <tp t="e">
        <v>#N/A</v>
        <stp/>
        <stp>BDH|10403723897981091406</stp>
        <tr r="Y32" s="25"/>
        <tr r="Y14" s="27"/>
      </tp>
      <tp t="e">
        <v>#N/A</v>
        <stp/>
        <stp>BDH|13897738810518206680</stp>
        <tr r="Y17" s="24"/>
      </tp>
      <tp t="e">
        <v>#N/A</v>
        <stp/>
        <stp>BDH|14387241602774281962</stp>
        <tr r="X17" s="14"/>
      </tp>
      <tp t="e">
        <v>#N/A</v>
        <stp/>
        <stp>BDH|15294516083195218625</stp>
        <tr r="J39" s="13"/>
        <tr r="H32" s="10"/>
      </tp>
      <tp t="e">
        <v>#N/A</v>
        <stp/>
        <stp>BDH|13403666890905726254</stp>
        <tr r="G39" s="12"/>
      </tp>
      <tp t="e">
        <v>#N/A</v>
        <stp/>
        <stp>BDH|12338273113652493837</stp>
        <tr r="H58" s="18"/>
      </tp>
      <tp t="e">
        <v>#N/A</v>
        <stp/>
        <stp>BDH|13121209887571267340</stp>
        <tr r="Y11" s="22"/>
      </tp>
      <tp t="e">
        <v>#N/A</v>
        <stp/>
        <stp>BDH|12509908731007596419</stp>
        <tr r="D51" s="6"/>
        <tr r="F6" s="8"/>
      </tp>
      <tp t="e">
        <v>#N/A</v>
        <stp/>
        <stp>BDH|11674811834320649159</stp>
        <tr r="Y33" s="29"/>
        <tr r="Y42" s="29"/>
        <tr r="X10" s="2"/>
        <tr r="W55" s="6"/>
        <tr r="W11" s="5"/>
      </tp>
      <tp t="e">
        <v>#N/A</v>
        <stp/>
        <stp>BDH|18426129637905932489</stp>
        <tr r="Y21" s="2"/>
      </tp>
      <tp t="e">
        <v>#N/A</v>
        <stp/>
        <stp>BDH|11776302493927625721</stp>
        <tr r="X10" s="17"/>
      </tp>
      <tp t="e">
        <v>#N/A</v>
        <stp/>
        <stp>BDH|17071352685852566554</stp>
        <tr r="H12" s="18"/>
      </tp>
      <tp t="e">
        <v>#N/A</v>
        <stp/>
        <stp>BDH|16663579622409652351</stp>
        <tr r="K16" s="12"/>
      </tp>
      <tp t="e">
        <v>#N/A</v>
        <stp/>
        <stp>BDH|11905272138242399957</stp>
        <tr r="H54" s="17"/>
        <tr r="H17" s="3"/>
      </tp>
      <tp t="e">
        <v>#N/A</v>
        <stp/>
        <stp>BDH|16294549492141591016</stp>
        <tr r="G167" s="18"/>
      </tp>
      <tp t="e">
        <v>#N/A</v>
        <stp/>
        <stp>BDH|10542165417202198957</stp>
        <tr r="X48" s="6"/>
      </tp>
      <tp t="e">
        <v>#N/A</v>
        <stp/>
        <stp>BDH|15467206304958555451</stp>
        <tr r="S39" s="29"/>
        <tr r="S16" s="29"/>
      </tp>
      <tp t="e">
        <v>#N/A</v>
        <stp/>
        <stp>BDH|13381701785432736512</stp>
        <tr r="AA9" s="28"/>
      </tp>
      <tp t="e">
        <v>#N/A</v>
        <stp/>
        <stp>BDH|16177389559639842280</stp>
        <tr r="S9" s="26"/>
      </tp>
      <tp t="e">
        <v>#N/A</v>
        <stp/>
        <stp>BDH|13149257484224434641</stp>
        <tr r="E164" s="18"/>
      </tp>
      <tp t="e">
        <v>#N/A</v>
        <stp/>
        <stp>BDH|13577756654508617226</stp>
        <tr r="C82" s="18"/>
      </tp>
      <tp t="e">
        <v>#N/A</v>
        <stp/>
        <stp>BDH|14368583489344773653</stp>
        <tr r="H37" s="24"/>
      </tp>
      <tp t="e">
        <v>#N/A</v>
        <stp/>
        <stp>BDH|17906978448802640305</stp>
        <tr r="S86" s="17"/>
      </tp>
      <tp t="e">
        <v>#N/A</v>
        <stp/>
        <stp>BDH|15008325269609365285</stp>
        <tr r="I7" s="23"/>
      </tp>
      <tp t="e">
        <v>#N/A</v>
        <stp/>
        <stp>BDH|17638104183805467019</stp>
        <tr r="V52" s="18"/>
      </tp>
      <tp t="e">
        <v>#N/A</v>
        <stp/>
        <stp>BDH|18115270276163222522</stp>
        <tr r="H11" s="14"/>
      </tp>
      <tp t="e">
        <v>#N/A</v>
        <stp/>
        <stp>BDH|15000583691377935504</stp>
        <tr r="N23" s="5"/>
        <tr r="N21" s="9"/>
      </tp>
      <tp t="e">
        <v>#N/A</v>
        <stp/>
        <stp>BDH|12539916253273559624</stp>
        <tr r="E67" s="13"/>
      </tp>
      <tp t="e">
        <v>#N/A</v>
        <stp/>
        <stp>BDH|10096289799205330527</stp>
        <tr r="U88" s="18"/>
      </tp>
      <tp t="e">
        <v>#N/A</v>
        <stp/>
        <stp>BDH|14426544624448675023</stp>
        <tr r="I14" s="34"/>
      </tp>
      <tp t="e">
        <v>#N/A</v>
        <stp/>
        <stp>BDH|12861605647633669896</stp>
        <tr r="R19" s="10"/>
      </tp>
      <tp t="e">
        <v>#N/A</v>
        <stp/>
        <stp>BDH|13309935370523370532</stp>
        <tr r="G45" s="22"/>
      </tp>
      <tp t="e">
        <v>#N/A</v>
        <stp/>
        <stp>BDH|14448134775320006926</stp>
        <tr r="I46" s="17"/>
      </tp>
      <tp t="e">
        <v>#N/A</v>
        <stp/>
        <stp>BDH|18179069453266586010</stp>
        <tr r="AA148" s="18"/>
      </tp>
      <tp t="e">
        <v>#N/A</v>
        <stp/>
        <stp>BDH|12004627390546403066</stp>
        <tr r="J52" s="22"/>
      </tp>
      <tp t="e">
        <v>#N/A</v>
        <stp/>
        <stp>BDH|12216809860345481258</stp>
        <tr r="I11" s="28"/>
      </tp>
      <tp t="e">
        <v>#N/A</v>
        <stp/>
        <stp>BDH|11012378944995231828</stp>
        <tr r="E45" s="17"/>
      </tp>
      <tp t="e">
        <v>#N/A</v>
        <stp/>
        <stp>BDH|15382031427005219962</stp>
        <tr r="N101" s="18"/>
      </tp>
      <tp t="e">
        <v>#N/A</v>
        <stp/>
        <stp>BDH|14745336395193023628</stp>
        <tr r="M23" s="5"/>
        <tr r="M21" s="9"/>
      </tp>
      <tp t="e">
        <v>#N/A</v>
        <stp/>
        <stp>BDH|16303771187106487441</stp>
        <tr r="S129" s="18"/>
      </tp>
      <tp t="e">
        <v>#N/A</v>
        <stp/>
        <stp>BDH|17753199461682969955</stp>
        <tr r="T44" s="18"/>
      </tp>
      <tp t="e">
        <v>#N/A</v>
        <stp/>
        <stp>BDH|11626256414871178853</stp>
        <tr r="G145" s="18"/>
      </tp>
      <tp t="e">
        <v>#N/A</v>
        <stp/>
        <stp>BDH|16288958027836255015</stp>
        <tr r="I38" s="25"/>
        <tr r="I92" s="17"/>
      </tp>
      <tp t="e">
        <v>#N/A</v>
        <stp/>
        <stp>BDH|15612013345909179303</stp>
        <tr r="X61" s="24"/>
      </tp>
      <tp t="e">
        <v>#N/A</v>
        <stp/>
        <stp>BDH|12646540900955991989</stp>
        <tr r="E51" s="34"/>
      </tp>
      <tp t="e">
        <v>#N/A</v>
        <stp/>
        <stp>BDH|14609826474935045536</stp>
        <tr r="AA10" s="18"/>
      </tp>
      <tp t="e">
        <v>#N/A</v>
        <stp/>
        <stp>BDH|17907392933845830984</stp>
        <tr r="C65" s="24"/>
      </tp>
      <tp t="e">
        <v>#N/A</v>
        <stp/>
        <stp>BDH|16481903160015569721</stp>
        <tr r="J19" s="13"/>
        <tr r="H65" s="10"/>
        <tr r="H16" s="2"/>
        <tr r="H32" s="4"/>
      </tp>
      <tp t="e">
        <v>#N/A</v>
        <stp/>
        <stp>BDH|11502564314067261961</stp>
        <tr r="D8" s="2"/>
      </tp>
      <tp t="e">
        <v>#N/A</v>
        <stp/>
        <stp>BDH|16048403650559587568</stp>
        <tr r="E8" s="13"/>
      </tp>
      <tp t="e">
        <v>#N/A</v>
        <stp/>
        <stp>BDH|11652988327977906636</stp>
        <tr r="M29" s="12"/>
      </tp>
      <tp t="e">
        <v>#N/A</v>
        <stp/>
        <stp>BDH|10114850001601576232</stp>
        <tr r="R96" s="12"/>
      </tp>
      <tp t="e">
        <v>#N/A</v>
        <stp/>
        <stp>BDH|13059980696689405191</stp>
        <tr r="D33" s="21"/>
      </tp>
      <tp t="e">
        <v>#N/A</v>
        <stp/>
        <stp>BDH|11195486159989126225</stp>
        <tr r="S57" s="11"/>
        <tr r="S24" s="4"/>
      </tp>
      <tp t="e">
        <v>#N/A</v>
        <stp/>
        <stp>BDH|16333832406555555001</stp>
        <tr r="R13" s="21"/>
      </tp>
      <tp t="e">
        <v>#N/A</v>
        <stp/>
        <stp>BDH|16628796199246772526</stp>
        <tr r="T164" s="18"/>
      </tp>
      <tp t="e">
        <v>#N/A</v>
        <stp/>
        <stp>BDH|11225707232368171626</stp>
        <tr r="F29" s="24"/>
      </tp>
      <tp t="e">
        <v>#N/A</v>
        <stp/>
        <stp>BDH|17000026497145472027</stp>
        <tr r="E37" s="34"/>
      </tp>
      <tp t="e">
        <v>#N/A</v>
        <stp/>
        <stp>BDH|18105464074884691463</stp>
        <tr r="L18" s="11"/>
      </tp>
      <tp t="e">
        <v>#N/A</v>
        <stp/>
        <stp>BDH|11606323256405737962</stp>
        <tr r="W73" s="13"/>
        <tr r="U61" s="10"/>
        <tr r="U50" s="11"/>
        <tr r="U18" s="4"/>
        <tr r="U19" s="7"/>
        <tr r="U20" s="2"/>
      </tp>
      <tp t="e">
        <v>#N/A</v>
        <stp/>
        <stp>BDH|14667084550379869352</stp>
        <tr r="E42" s="4"/>
      </tp>
      <tp t="e">
        <v>#N/A</v>
        <stp/>
        <stp>BDH|15936600007978587087</stp>
        <tr r="L66" s="24"/>
      </tp>
      <tp t="e">
        <v>#N/A</v>
        <stp/>
        <stp>BDH|10252618032867485968</stp>
        <tr r="F57" s="17"/>
      </tp>
      <tp t="e">
        <v>#N/A</v>
        <stp/>
        <stp>BDH|11523956605015674606</stp>
        <tr r="G29" s="29"/>
        <tr r="G7" s="29"/>
      </tp>
      <tp t="e">
        <v>#N/A</v>
        <stp/>
        <stp>BDH|13501305130729642103</stp>
        <tr r="D7" s="24"/>
      </tp>
      <tp t="e">
        <v>#N/A</v>
        <stp/>
        <stp>BDH|12601373108519315393</stp>
        <tr r="Q10" s="29"/>
        <tr r="Q25" s="29"/>
        <tr r="Q19" s="29"/>
        <tr r="Q12" s="8"/>
        <tr r="P6" s="2"/>
        <tr r="O6" s="9"/>
        <tr r="O6" s="5"/>
      </tp>
      <tp t="e">
        <v>#N/A</v>
        <stp/>
        <stp>BDH|13271571301789327459</stp>
        <tr r="O157" s="18"/>
      </tp>
      <tp t="e">
        <v>#N/A</v>
        <stp/>
        <stp>BDH|17723271345332531829</stp>
        <tr r="V7" s="10"/>
      </tp>
      <tp t="e">
        <v>#N/A</v>
        <stp/>
        <stp>BDH|16767846751381836189</stp>
        <tr r="X67" s="24"/>
      </tp>
      <tp t="e">
        <v>#N/A</v>
        <stp/>
        <stp>BDH|15917791061496749948</stp>
        <tr r="M88" s="17"/>
      </tp>
      <tp t="e">
        <v>#N/A</v>
        <stp/>
        <stp>BDH|11936994117936388469</stp>
        <tr r="U9" s="8"/>
        <tr r="S52" s="6"/>
      </tp>
      <tp t="e">
        <v>#N/A</v>
        <stp/>
        <stp>BDH|13275223582940513253</stp>
        <tr r="F31" s="29"/>
      </tp>
      <tp t="e">
        <v>#N/A</v>
        <stp/>
        <stp>BDH|13638319971344174851</stp>
        <tr r="Q67" s="13"/>
      </tp>
      <tp t="e">
        <v>#N/A</v>
        <stp/>
        <stp>BDH|17068524650428216429</stp>
        <tr r="C21" s="11"/>
      </tp>
      <tp t="e">
        <v>#N/A</v>
        <stp/>
        <stp>BDH|16039462386262573379</stp>
        <tr r="Y53" s="24"/>
      </tp>
      <tp t="e">
        <v>#N/A</v>
        <stp/>
        <stp>BDH|17218406584863305372</stp>
        <tr r="W69" s="10"/>
        <tr r="W39" s="4"/>
      </tp>
      <tp t="e">
        <v>#N/A</v>
        <stp/>
        <stp>BDH|12891142592891874048</stp>
        <tr r="P11" s="29"/>
      </tp>
      <tp t="e">
        <v>#N/A</v>
        <stp/>
        <stp>BDH|16860123698976389337</stp>
        <tr r="O26" s="25"/>
        <tr r="O56" s="21"/>
      </tp>
      <tp t="e">
        <v>#N/A</v>
        <stp/>
        <stp>BDH|17455932246041029036</stp>
        <tr r="U32" s="18"/>
      </tp>
      <tp t="e">
        <v>#N/A</v>
        <stp/>
        <stp>BDH|17002716842247639874</stp>
        <tr r="J22" s="27"/>
      </tp>
      <tp t="e">
        <v>#N/A</v>
        <stp/>
        <stp>BDH|10035985307483828153</stp>
        <tr r="C25" s="12"/>
      </tp>
      <tp t="e">
        <v>#N/A</v>
        <stp/>
        <stp>BDH|12582035689388996945</stp>
        <tr r="Y13" s="11"/>
      </tp>
      <tp t="e">
        <v>#N/A</v>
        <stp/>
        <stp>BDH|14736486229648327173</stp>
        <tr r="AA24" s="24"/>
      </tp>
      <tp t="e">
        <v>#N/A</v>
        <stp/>
        <stp>BDH|16161973018242822747</stp>
        <tr r="C140" s="18"/>
      </tp>
      <tp t="e">
        <v>#N/A</v>
        <stp/>
        <stp>BDH|18214181128266414641</stp>
        <tr r="H169" s="18"/>
      </tp>
      <tp t="e">
        <v>#N/A</v>
        <stp/>
        <stp>BDH|11331064290532731103</stp>
        <tr r="E12" s="18"/>
      </tp>
      <tp t="e">
        <v>#N/A</v>
        <stp/>
        <stp>BDH|15528962361303201222</stp>
        <tr r="P8" s="8"/>
      </tp>
      <tp t="e">
        <v>#N/A</v>
        <stp/>
        <stp>BDH|10131177286765401762</stp>
        <tr r="Z35" s="18"/>
      </tp>
      <tp t="e">
        <v>#N/A</v>
        <stp/>
        <stp>BDH|14483334681766485202</stp>
        <tr r="L84" s="17"/>
        <tr r="J6" s="7"/>
        <tr r="L20" s="3"/>
      </tp>
      <tp t="e">
        <v>#N/A</v>
        <stp/>
        <stp>BDH|15034659284102090233</stp>
        <tr r="P84" s="18"/>
      </tp>
      <tp t="e">
        <v>#N/A</v>
        <stp/>
        <stp>BDH|10768695187816232398</stp>
        <tr r="W45" s="24"/>
      </tp>
      <tp t="e">
        <v>#N/A</v>
        <stp/>
        <stp>BDH|17045277536924498973</stp>
        <tr r="R39" s="13"/>
        <tr r="P32" s="10"/>
      </tp>
      <tp t="e">
        <v>#N/A</v>
        <stp/>
        <stp>BDH|17115838946305753518</stp>
        <tr r="AA32" s="22"/>
      </tp>
      <tp t="e">
        <v>#N/A</v>
        <stp/>
        <stp>BDH|18183748443959473909</stp>
        <tr r="M96" s="17"/>
      </tp>
      <tp t="e">
        <v>#N/A</v>
        <stp/>
        <stp>BDH|14042209317815263974</stp>
        <tr r="G56" s="24"/>
      </tp>
      <tp t="e">
        <v>#N/A</v>
        <stp/>
        <stp>BDH|12694157310039889090</stp>
        <tr r="T17" s="20"/>
      </tp>
      <tp t="e">
        <v>#N/A</v>
        <stp/>
        <stp>BDH|12538875234246659427</stp>
        <tr r="O8" s="4"/>
      </tp>
      <tp t="e">
        <v>#N/A</v>
        <stp/>
        <stp>BDH|11086658050079700005</stp>
        <tr r="R43" s="21"/>
      </tp>
      <tp t="e">
        <v>#N/A</v>
        <stp/>
        <stp>BDH|18100306829153862125</stp>
        <tr r="Q11" s="9"/>
      </tp>
      <tp t="e">
        <v>#N/A</v>
        <stp/>
        <stp>BDH|16369976545241026134</stp>
        <tr r="F6" s="28"/>
      </tp>
      <tp t="e">
        <v>#N/A</v>
        <stp/>
        <stp>BDH|14348944855544488736</stp>
        <tr r="Q46" s="34"/>
      </tp>
      <tp t="e">
        <v>#N/A</v>
        <stp/>
        <stp>BDH|14310934202142273459</stp>
        <tr r="X86" s="17"/>
      </tp>
      <tp t="e">
        <v>#N/A</v>
        <stp/>
        <stp>BDH|16368663913832167821</stp>
        <tr r="X14" s="12"/>
      </tp>
      <tp t="e">
        <v>#N/A</v>
        <stp/>
        <stp>BDH|11864089581433465107</stp>
        <tr r="N66" s="21"/>
      </tp>
      <tp t="e">
        <v>#N/A</v>
        <stp/>
        <stp>BDH|13211540024939132661</stp>
        <tr r="F13" s="24"/>
      </tp>
      <tp t="e">
        <v>#N/A</v>
        <stp/>
        <stp>BDH|10671976980233586912</stp>
        <tr r="W45" s="11"/>
        <tr r="W56" s="10"/>
        <tr r="W16" s="7"/>
      </tp>
      <tp t="e">
        <v>#N/A</v>
        <stp/>
        <stp>BDH|11760856848625886376</stp>
        <tr r="W10" s="22"/>
      </tp>
      <tp t="e">
        <v>#N/A</v>
        <stp/>
        <stp>BDH|14456652333363186964</stp>
        <tr r="AA26" s="17"/>
      </tp>
      <tp t="e">
        <v>#N/A</v>
        <stp/>
        <stp>BDH|16165019557488271003</stp>
        <tr r="D19" s="24"/>
      </tp>
      <tp t="e">
        <v>#N/A</v>
        <stp/>
        <stp>BDH|14249025159258475289</stp>
        <tr r="J136" s="18"/>
      </tp>
      <tp t="e">
        <v>#N/A</v>
        <stp/>
        <stp>BDH|13283005311050294949</stp>
        <tr r="G65" s="13"/>
      </tp>
      <tp t="e">
        <v>#N/A</v>
        <stp/>
        <stp>BDH|11260665743279690144</stp>
        <tr r="V61" s="12"/>
      </tp>
      <tp t="e">
        <v>#N/A</v>
        <stp/>
        <stp>BDH|18313108933543463219</stp>
        <tr r="AA15" s="25"/>
      </tp>
      <tp t="e">
        <v>#N/A</v>
        <stp/>
        <stp>BDH|14388839054245938783</stp>
        <tr r="P27" s="13"/>
      </tp>
      <tp t="e">
        <v>#N/A</v>
        <stp/>
        <stp>BDH|12742765979528419196</stp>
        <tr r="H48" s="22"/>
      </tp>
      <tp t="e">
        <v>#N/A</v>
        <stp/>
        <stp>BDH|15981241894465870048</stp>
        <tr r="C123" s="18"/>
      </tp>
      <tp t="e">
        <v>#N/A</v>
        <stp/>
        <stp>BDH|15559145013686229856</stp>
        <tr r="Y15" s="13"/>
      </tp>
      <tp t="e">
        <v>#N/A</v>
        <stp/>
        <stp>BDH|16868257580956139199</stp>
        <tr r="H36" s="18"/>
      </tp>
      <tp t="e">
        <v>#N/A</v>
        <stp/>
        <stp>BDH|13462984309443808287</stp>
        <tr r="G109" s="18"/>
      </tp>
      <tp t="e">
        <v>#N/A</v>
        <stp/>
        <stp>BDH|14779803217147224176</stp>
        <tr r="J10" s="22"/>
      </tp>
      <tp t="e">
        <v>#N/A</v>
        <stp/>
        <stp>BDH|10274977667617417336</stp>
        <tr r="R22" s="14"/>
      </tp>
      <tp t="e">
        <v>#N/A</v>
        <stp/>
        <stp>BDH|14187391516944250994</stp>
        <tr r="Z85" s="12"/>
      </tp>
      <tp t="e">
        <v>#N/A</v>
        <stp/>
        <stp>BDH|11313361797778123864</stp>
        <tr r="Z82" s="18"/>
      </tp>
      <tp t="e">
        <v>#N/A</v>
        <stp/>
        <stp>BDH|12864014866348967737</stp>
        <tr r="U97" s="18"/>
      </tp>
      <tp t="e">
        <v>#N/A</v>
        <stp/>
        <stp>BDH|10432263194246472675</stp>
        <tr r="R68" s="17"/>
      </tp>
      <tp t="e">
        <v>#N/A</v>
        <stp/>
        <stp>BDH|11064864307156557411</stp>
        <tr r="W75" s="12"/>
      </tp>
      <tp t="e">
        <v>#N/A</v>
        <stp/>
        <stp>BDH|11262740797423012744</stp>
        <tr r="X21" s="5"/>
      </tp>
      <tp t="e">
        <v>#N/A</v>
        <stp/>
        <stp>BDH|16352867931313528544</stp>
        <tr r="F27" s="22"/>
      </tp>
      <tp t="e">
        <v>#N/A</v>
        <stp/>
        <stp>BDH|14913193669299971151</stp>
        <tr r="J129" s="18"/>
      </tp>
      <tp t="e">
        <v>#N/A</v>
        <stp/>
        <stp>BDH|12405419050521028908</stp>
        <tr r="T73" s="13"/>
        <tr r="R61" s="10"/>
        <tr r="R50" s="11"/>
        <tr r="R19" s="7"/>
        <tr r="R18" s="4"/>
        <tr r="R20" s="2"/>
      </tp>
      <tp t="e">
        <v>#N/A</v>
        <stp/>
        <stp>BDH|12542123576149334673</stp>
        <tr r="Z15" s="24"/>
      </tp>
      <tp t="e">
        <v>#N/A</v>
        <stp/>
        <stp>BDH|14458999761660872019</stp>
        <tr r="F46" s="17"/>
      </tp>
      <tp t="e">
        <v>#N/A</v>
        <stp/>
        <stp>BDH|17800743691733980118</stp>
        <tr r="T66" s="24"/>
      </tp>
      <tp t="e">
        <v>#N/A</v>
        <stp/>
        <stp>BDH|12682339412593139833</stp>
        <tr r="H7" s="8"/>
      </tp>
      <tp t="e">
        <v>#N/A</v>
        <stp/>
        <stp>BDH|15444342996607681343</stp>
        <tr r="Z18" s="24"/>
      </tp>
      <tp t="e">
        <v>#N/A</v>
        <stp/>
        <stp>BDH|15532270392215328078</stp>
        <tr r="M13" s="28"/>
        <tr r="M95" s="17"/>
      </tp>
      <tp t="e">
        <v>#N/A</v>
        <stp/>
        <stp>BDH|15955356719405588944</stp>
        <tr r="V53" s="22"/>
      </tp>
      <tp t="e">
        <v>#N/A</v>
        <stp/>
        <stp>BDH|14219865161661296031</stp>
        <tr r="G44" s="34"/>
      </tp>
      <tp t="e">
        <v>#N/A</v>
        <stp/>
        <stp>BDH|16690933046882125269</stp>
        <tr r="R43" s="6"/>
      </tp>
      <tp t="e">
        <v>#N/A</v>
        <stp/>
        <stp>BDH|10765373896384481566</stp>
        <tr r="V24" s="2"/>
      </tp>
      <tp t="e">
        <v>#N/A</v>
        <stp/>
        <stp>BDH|16577299359303833996</stp>
        <tr r="S53" s="18"/>
      </tp>
      <tp t="e">
        <v>#N/A</v>
        <stp/>
        <stp>BDH|16446654712919776301</stp>
        <tr r="Q11" s="21"/>
      </tp>
      <tp t="e">
        <v>#N/A</v>
        <stp/>
        <stp>BDH|11798778290573331779</stp>
        <tr r="Y13" s="2"/>
      </tp>
      <tp t="e">
        <v>#N/A</v>
        <stp/>
        <stp>BDH|16502755391883363065</stp>
        <tr r="M150" s="18"/>
      </tp>
      <tp t="e">
        <v>#N/A</v>
        <stp/>
        <stp>BDH|12696790435744817961</stp>
        <tr r="L24" s="20"/>
      </tp>
      <tp t="e">
        <v>#N/A</v>
        <stp/>
        <stp>BDH|15735812655786785503</stp>
        <tr r="P46" s="17"/>
      </tp>
      <tp t="e">
        <v>#N/A</v>
        <stp/>
        <stp>BDH|18276499149367059465</stp>
        <tr r="Z95" s="12"/>
      </tp>
      <tp t="e">
        <v>#N/A</v>
        <stp/>
        <stp>BDH|17524864667040392232</stp>
        <tr r="E38" s="12"/>
      </tp>
      <tp t="e">
        <v>#N/A</v>
        <stp/>
        <stp>BDH|15748893079080396103</stp>
        <tr r="R44" s="34"/>
      </tp>
      <tp t="e">
        <v>#N/A</v>
        <stp/>
        <stp>BDH|17645227531948755562</stp>
        <tr r="O21" s="6"/>
      </tp>
      <tp t="e">
        <v>#N/A</v>
        <stp/>
        <stp>BDH|11888399585191586055</stp>
        <tr r="X27" s="18"/>
      </tp>
      <tp t="e">
        <v>#N/A</v>
        <stp/>
        <stp>BDH|11728620170329685275</stp>
        <tr r="S101" s="18"/>
      </tp>
      <tp t="e">
        <v>#N/A</v>
        <stp/>
        <stp>BDH|10208976167301432525</stp>
        <tr r="V60" s="12"/>
      </tp>
      <tp t="e">
        <v>#N/A</v>
        <stp/>
        <stp>BDH|10078934307786976490</stp>
        <tr r="Q59" s="24"/>
      </tp>
      <tp t="e">
        <v>#N/A</v>
        <stp/>
        <stp>BDH|10679114792582800194</stp>
        <tr r="K109" s="18"/>
      </tp>
      <tp t="e">
        <v>#N/A</v>
        <stp/>
        <stp>BDH|14852702198675092449</stp>
        <tr r="D137" s="18"/>
      </tp>
      <tp t="e">
        <v>#N/A</v>
        <stp/>
        <stp>BDH|13407454044249818197</stp>
        <tr r="R9" s="28"/>
      </tp>
      <tp t="e">
        <v>#N/A</v>
        <stp/>
        <stp>BDH|13071468566982302871</stp>
        <tr r="AA22" s="14"/>
      </tp>
      <tp t="e">
        <v>#N/A</v>
        <stp/>
        <stp>BDH|10157174483811179309</stp>
        <tr r="C18" s="6"/>
      </tp>
      <tp t="e">
        <v>#N/A</v>
        <stp/>
        <stp>BDH|17303387399224156277</stp>
        <tr r="Z16" s="27"/>
        <tr r="Z34" s="25"/>
      </tp>
      <tp t="e">
        <v>#N/A</v>
        <stp/>
        <stp>BDH|10467817611061540352</stp>
        <tr r="Y27" s="12"/>
      </tp>
      <tp t="e">
        <v>#N/A</v>
        <stp/>
        <stp>BDH|13673460494816215329</stp>
        <tr r="H22" s="30"/>
        <tr r="H24" s="23"/>
      </tp>
      <tp t="e">
        <v>#N/A</v>
        <stp/>
        <stp>BDH|14200154391643348410</stp>
        <tr r="J77" s="12"/>
      </tp>
      <tp t="e">
        <v>#N/A</v>
        <stp/>
        <stp>BDH|16406675821319397059</stp>
        <tr r="D98" s="12"/>
      </tp>
      <tp t="e">
        <v>#N/A</v>
        <stp/>
        <stp>BDH|15148169247149016248</stp>
        <tr r="Z23" s="26"/>
      </tp>
      <tp t="e">
        <v>#N/A</v>
        <stp/>
        <stp>BDH|15576893241946905408</stp>
        <tr r="D8" s="10"/>
      </tp>
      <tp t="e">
        <v>#N/A</v>
        <stp/>
        <stp>BDH|15571854918346518194</stp>
        <tr r="T63" s="21"/>
      </tp>
      <tp t="e">
        <v>#N/A</v>
        <stp/>
        <stp>BDH|13816020614098939137</stp>
        <tr r="Q43" s="21"/>
      </tp>
      <tp t="e">
        <v>#N/A</v>
        <stp/>
        <stp>BDH|10302969031288337903</stp>
        <tr r="L35" s="18"/>
      </tp>
      <tp t="e">
        <v>#N/A</v>
        <stp/>
        <stp>BDH|16177682995722909029</stp>
        <tr r="Q61" s="11"/>
      </tp>
      <tp t="e">
        <v>#N/A</v>
        <stp/>
        <stp>BDH|10850997093822752924</stp>
        <tr r="J49" s="6"/>
      </tp>
      <tp t="e">
        <v>#N/A</v>
        <stp/>
        <stp>BDH|11789246543064276853</stp>
        <tr r="V37" s="12"/>
      </tp>
      <tp t="e">
        <v>#N/A</v>
        <stp/>
        <stp>BDH|11469102168858306586</stp>
        <tr r="H39" s="12"/>
      </tp>
      <tp t="e">
        <v>#N/A</v>
        <stp/>
        <stp>BDH|17487775645488296739</stp>
        <tr r="N43" s="4"/>
      </tp>
      <tp t="e">
        <v>#N/A</v>
        <stp/>
        <stp>BDH|16766611813878520274</stp>
        <tr r="E49" s="4"/>
      </tp>
      <tp t="e">
        <v>#N/A</v>
        <stp/>
        <stp>BDH|11786799330549989705</stp>
        <tr r="M16" s="24"/>
      </tp>
      <tp t="e">
        <v>#N/A</v>
        <stp/>
        <stp>BDH|14517150726455681974</stp>
        <tr r="J6" s="27"/>
      </tp>
      <tp t="e">
        <v>#N/A</v>
        <stp/>
        <stp>BDH|16530881198335290901</stp>
        <tr r="I18" s="24"/>
      </tp>
      <tp t="e">
        <v>#N/A</v>
        <stp/>
        <stp>BDH|10108929413321113264</stp>
        <tr r="Y39" s="11"/>
        <tr r="Y50" s="10"/>
      </tp>
      <tp t="e">
        <v>#N/A</v>
        <stp/>
        <stp>BDH|14967808536275038180</stp>
        <tr r="M76" s="24"/>
      </tp>
      <tp t="e">
        <v>#N/A</v>
        <stp/>
        <stp>BDH|16693997658093684269</stp>
        <tr r="Y124" s="18"/>
      </tp>
      <tp t="e">
        <v>#N/A</v>
        <stp/>
        <stp>BDH|12100601232409798533</stp>
        <tr r="W7" s="10"/>
      </tp>
      <tp t="e">
        <v>#N/A</v>
        <stp/>
        <stp>BDH|13225547318444871819</stp>
        <tr r="V11" s="13"/>
      </tp>
      <tp t="e">
        <v>#N/A</v>
        <stp/>
        <stp>BDH|10289946937496340750</stp>
        <tr r="S26" s="18"/>
      </tp>
      <tp t="e">
        <v>#N/A</v>
        <stp/>
        <stp>BDH|10032577893930553766</stp>
        <tr r="H33" s="18"/>
      </tp>
      <tp t="e">
        <v>#N/A</v>
        <stp/>
        <stp>BDH|12765809266304462324</stp>
        <tr r="L9" s="13"/>
      </tp>
      <tp t="e">
        <v>#N/A</v>
        <stp/>
        <stp>BDH|11586277851124308970</stp>
        <tr r="M45" s="11"/>
        <tr r="M56" s="10"/>
        <tr r="M16" s="7"/>
      </tp>
      <tp t="e">
        <v>#N/A</v>
        <stp/>
        <stp>BDH|10555949847081289739</stp>
        <tr r="I20" s="18"/>
      </tp>
      <tp t="e">
        <v>#N/A</v>
        <stp/>
        <stp>BDH|18246905851606495903</stp>
        <tr r="I43" s="22"/>
      </tp>
      <tp t="e">
        <v>#N/A</v>
        <stp/>
        <stp>BDH|15491948778420981060</stp>
        <tr r="E76" s="17"/>
      </tp>
      <tp t="e">
        <v>#N/A</v>
        <stp/>
        <stp>BDH|11397223581749135963</stp>
        <tr r="T42" s="6"/>
      </tp>
      <tp t="e">
        <v>#N/A</v>
        <stp/>
        <stp>BDH|13939890320040680217</stp>
        <tr r="X28" s="4"/>
      </tp>
      <tp t="e">
        <v>#N/A</v>
        <stp/>
        <stp>BDH|17884029215448919518</stp>
        <tr r="I21" s="18"/>
      </tp>
      <tp t="e">
        <v>#N/A</v>
        <stp/>
        <stp>BDH|18359650719764992017</stp>
        <tr r="X33" s="22"/>
      </tp>
      <tp t="e">
        <v>#N/A</v>
        <stp/>
        <stp>BDH|15744332282732779765</stp>
        <tr r="R58" s="18"/>
      </tp>
      <tp t="e">
        <v>#N/A</v>
        <stp/>
        <stp>BDH|15247516534840699861</stp>
        <tr r="C7" s="28"/>
      </tp>
      <tp t="e">
        <v>#N/A</v>
        <stp/>
        <stp>BDH|16131660277138348444</stp>
        <tr r="G31" s="9"/>
      </tp>
      <tp t="e">
        <v>#N/A</v>
        <stp/>
        <stp>BDH|15485240260749249359</stp>
        <tr r="O16" s="21"/>
      </tp>
      <tp t="e">
        <v>#N/A</v>
        <stp/>
        <stp>BDH|14217642154105135943</stp>
        <tr r="G15" s="14"/>
      </tp>
      <tp t="e">
        <v>#N/A</v>
        <stp/>
        <stp>BDH|13610960547197892288</stp>
        <tr r="Q11" s="22"/>
      </tp>
      <tp t="e">
        <v>#N/A</v>
        <stp/>
        <stp>BDH|10569213226433669836</stp>
        <tr r="I147" s="18"/>
      </tp>
      <tp t="e">
        <v>#N/A</v>
        <stp/>
        <stp>BDH|15676837006653572510</stp>
        <tr r="K25" s="5"/>
      </tp>
      <tp t="e">
        <v>#N/A</v>
        <stp/>
        <stp>BDH|16311076128358819735</stp>
        <tr r="S11" s="28"/>
      </tp>
      <tp t="e">
        <v>#N/A</v>
        <stp/>
        <stp>BDH|15044970352254438665</stp>
        <tr r="I135" s="18"/>
      </tp>
      <tp t="e">
        <v>#N/A</v>
        <stp/>
        <stp>BDH|14464331912929778459</stp>
        <tr r="S72" s="10"/>
      </tp>
      <tp t="e">
        <v>#N/A</v>
        <stp/>
        <stp>BDH|13916056023422867805</stp>
        <tr r="L21" s="30"/>
      </tp>
      <tp t="e">
        <v>#N/A</v>
        <stp/>
        <stp>BDH|10394563596300068748</stp>
        <tr r="F36" s="13"/>
        <tr r="D29" s="10"/>
      </tp>
      <tp t="e">
        <v>#N/A</v>
        <stp/>
        <stp>BDH|13869080291902711319</stp>
        <tr r="Y17" s="21"/>
        <tr r="Y23" s="3"/>
        <tr r="W23" s="2"/>
      </tp>
      <tp t="e">
        <v>#N/A</v>
        <stp/>
        <stp>BDH|18022551750644566774</stp>
        <tr r="Z74" s="24"/>
      </tp>
      <tp t="e">
        <v>#N/A</v>
        <stp/>
        <stp>BDH|17383537005920772957</stp>
        <tr r="W91" s="17"/>
      </tp>
      <tp t="e">
        <v>#N/A</v>
        <stp/>
        <stp>BDH|15604702354068346463</stp>
        <tr r="C13" s="8"/>
      </tp>
      <tp t="e">
        <v>#N/A</v>
        <stp/>
        <stp>BDH|15762509083985625650</stp>
        <tr r="U69" s="17"/>
        <tr r="U18" s="3"/>
      </tp>
      <tp t="e">
        <v>#N/A</v>
        <stp/>
        <stp>BDH|15338247672543530876</stp>
        <tr r="G160" s="18"/>
      </tp>
      <tp t="e">
        <v>#N/A</v>
        <stp/>
        <stp>BDH|11278062612982005918</stp>
        <tr r="S20" s="25"/>
      </tp>
      <tp t="e">
        <v>#N/A</v>
        <stp/>
        <stp>BDH|13583792481832947532</stp>
        <tr r="Y90" s="12"/>
      </tp>
      <tp t="e">
        <v>#N/A</v>
        <stp/>
        <stp>BDH|11527447100699793701</stp>
        <tr r="M19" s="10"/>
      </tp>
      <tp t="e">
        <v>#N/A</v>
        <stp/>
        <stp>BDH|10700205149834017987</stp>
        <tr r="N45" s="12"/>
      </tp>
      <tp t="e">
        <v>#N/A</v>
        <stp/>
        <stp>BDH|16694762391577348440</stp>
        <tr r="P62" s="17"/>
      </tp>
      <tp t="e">
        <v>#N/A</v>
        <stp/>
        <stp>BDH|16497279982871023670</stp>
        <tr r="O24" s="26"/>
      </tp>
      <tp t="e">
        <v>#N/A</v>
        <stp/>
        <stp>BDH|15549770213868119067</stp>
        <tr r="E54" s="17"/>
        <tr r="E17" s="3"/>
      </tp>
      <tp t="e">
        <v>#N/A</v>
        <stp/>
        <stp>BDH|17202998260074434791</stp>
        <tr r="G60" s="12"/>
      </tp>
      <tp t="e">
        <v>#N/A</v>
        <stp/>
        <stp>BDH|13212930006876415751</stp>
        <tr r="G7" s="10"/>
      </tp>
      <tp t="e">
        <v>#N/A</v>
        <stp/>
        <stp>BDH|15339719586451039025</stp>
        <tr r="X56" s="13"/>
      </tp>
      <tp t="e">
        <v>#N/A</v>
        <stp/>
        <stp>BDH|17464552065969177635</stp>
        <tr r="I8" s="28"/>
      </tp>
      <tp t="e">
        <v>#N/A</v>
        <stp/>
        <stp>BDH|10747968385958330219</stp>
        <tr r="C43" s="25"/>
        <tr r="C22" s="13"/>
        <tr r="C7" s="13"/>
        <tr r="C7" s="3"/>
      </tp>
      <tp t="e">
        <v>#N/A</v>
        <stp/>
        <stp>BDH|13606917353651493567</stp>
        <tr r="S38" s="6"/>
      </tp>
      <tp t="e">
        <v>#N/A</v>
        <stp/>
        <stp>BDH|16493385580392987439</stp>
        <tr r="L15" s="21"/>
      </tp>
      <tp t="e">
        <v>#N/A</v>
        <stp/>
        <stp>BDH|16673548544818284421</stp>
        <tr r="V68" s="12"/>
      </tp>
      <tp t="e">
        <v>#N/A</v>
        <stp/>
        <stp>BDH|13369233774804637943</stp>
        <tr r="T48" s="24"/>
      </tp>
      <tp t="e">
        <v>#N/A</v>
        <stp/>
        <stp>BDH|13609791388243094417</stp>
        <tr r="J19" s="5"/>
        <tr r="J46" s="6"/>
      </tp>
      <tp t="e">
        <v>#N/A</v>
        <stp/>
        <stp>BDH|18437006575260785402</stp>
        <tr r="G27" s="25"/>
        <tr r="E20" s="11"/>
      </tp>
      <tp t="e">
        <v>#N/A</v>
        <stp/>
        <stp>BDH|15013176571591141915</stp>
        <tr r="P32" s="6"/>
      </tp>
      <tp t="e">
        <v>#N/A</v>
        <stp/>
        <stp>BDH|11135756875758730202</stp>
        <tr r="R147" s="18"/>
      </tp>
      <tp t="e">
        <v>#N/A</v>
        <stp/>
        <stp>BDH|12153747262101085918</stp>
        <tr r="P64" s="24"/>
      </tp>
      <tp t="e">
        <v>#N/A</v>
        <stp/>
        <stp>BDH|15632160567429470052</stp>
        <tr r="V62" s="17"/>
      </tp>
      <tp t="e">
        <v>#N/A</v>
        <stp/>
        <stp>BDH|10452203321803396805</stp>
        <tr r="D48" s="6"/>
      </tp>
      <tp t="e">
        <v>#N/A</v>
        <stp/>
        <stp>BDH|16901234191082813455</stp>
        <tr r="W34" s="26"/>
      </tp>
      <tp t="e">
        <v>#N/A</v>
        <stp/>
        <stp>BDH|16461058814185194926</stp>
        <tr r="L41" s="21"/>
      </tp>
      <tp t="e">
        <v>#N/A</v>
        <stp/>
        <stp>BDH|13342807613339011861</stp>
        <tr r="G32" s="9"/>
      </tp>
      <tp t="e">
        <v>#N/A</v>
        <stp/>
        <stp>BDH|10900587464478504064</stp>
        <tr r="H21" s="14"/>
      </tp>
      <tp t="e">
        <v>#N/A</v>
        <stp/>
        <stp>BDH|16064091205724923935</stp>
        <tr r="Q34" s="22"/>
      </tp>
      <tp t="e">
        <v>#N/A</v>
        <stp/>
        <stp>BDH|15742776903668671135</stp>
        <tr r="O44" s="34"/>
      </tp>
      <tp t="e">
        <v>#N/A</v>
        <stp/>
        <stp>BDH|17557551082352259364</stp>
        <tr r="T7" s="24"/>
      </tp>
      <tp t="e">
        <v>#N/A</v>
        <stp/>
        <stp>BDH|16253840555431763121</stp>
        <tr r="R43" s="26"/>
      </tp>
      <tp t="e">
        <v>#N/A</v>
        <stp/>
        <stp>BDH|12656855283979448028</stp>
        <tr r="S53" s="34"/>
      </tp>
      <tp t="e">
        <v>#N/A</v>
        <stp/>
        <stp>BDH|14254800807695621255</stp>
        <tr r="M39" s="11"/>
        <tr r="M50" s="10"/>
      </tp>
      <tp t="e">
        <v>#N/A</v>
        <stp/>
        <stp>BDH|15832084590915482222</stp>
        <tr r="U131" s="18"/>
      </tp>
      <tp t="e">
        <v>#N/A</v>
        <stp/>
        <stp>BDH|14828913575537672638</stp>
        <tr r="F7" s="11"/>
      </tp>
      <tp t="e">
        <v>#N/A</v>
        <stp/>
        <stp>BDH|10654089342176149942</stp>
        <tr r="F8" s="2"/>
      </tp>
      <tp t="e">
        <v>#N/A</v>
        <stp/>
        <stp>BDH|11659854977164932148</stp>
        <tr r="Y78" s="17"/>
        <tr r="V9" s="9"/>
        <tr r="V9" s="5"/>
      </tp>
      <tp t="e">
        <v>#N/A</v>
        <stp/>
        <stp>BDH|11087100578559905586</stp>
        <tr r="U8" s="13"/>
      </tp>
      <tp t="e">
        <v>#N/A</v>
        <stp/>
        <stp>BDH|10450219700071979852</stp>
        <tr r="E37" s="18"/>
      </tp>
      <tp t="e">
        <v>#N/A</v>
        <stp/>
        <stp>BDH|11563668965692926862</stp>
        <tr r="U85" s="18"/>
      </tp>
      <tp t="e">
        <v>#N/A</v>
        <stp/>
        <stp>BDH|16650883741859725814</stp>
        <tr r="U28" s="4"/>
      </tp>
      <tp t="e">
        <v>#N/A</v>
        <stp/>
        <stp>BDH|12917959313008547934</stp>
        <tr r="P91" s="17"/>
      </tp>
      <tp t="e">
        <v>#N/A</v>
        <stp/>
        <stp>BDH|14112764498524197571</stp>
        <tr r="R126" s="18"/>
      </tp>
      <tp t="e">
        <v>#N/A</v>
        <stp/>
        <stp>BDH|14192990364273018355</stp>
        <tr r="V26" s="21"/>
      </tp>
      <tp t="e">
        <v>#N/A</v>
        <stp/>
        <stp>BDH|12921165686107516758</stp>
        <tr r="J51" s="10"/>
        <tr r="J40" s="11"/>
        <tr r="J28" s="11"/>
        <tr r="J39" s="10"/>
      </tp>
      <tp t="e">
        <v>#N/A</v>
        <stp/>
        <stp>BDH|16740988494329098428</stp>
        <tr r="N23" s="21"/>
      </tp>
      <tp t="e">
        <v>#N/A</v>
        <stp/>
        <stp>BDH|14146033425449689488</stp>
        <tr r="K36" s="29"/>
        <tr r="K22" s="29"/>
        <tr r="K13" s="29"/>
      </tp>
      <tp t="e">
        <v>#N/A</v>
        <stp/>
        <stp>BDH|12727910874540311784</stp>
        <tr r="H66" s="24"/>
      </tp>
      <tp t="e">
        <v>#N/A</v>
        <stp/>
        <stp>BDH|18187282873155425378</stp>
        <tr r="R10" s="26"/>
      </tp>
      <tp t="e">
        <v>#N/A</v>
        <stp/>
        <stp>BDH|15841826544906583422</stp>
        <tr r="F75" s="24"/>
      </tp>
      <tp t="e">
        <v>#N/A</v>
        <stp/>
        <stp>BDH|12360946663937988141</stp>
        <tr r="K127" s="18"/>
      </tp>
      <tp t="e">
        <v>#N/A</v>
        <stp/>
        <stp>BDH|14558891625152257720</stp>
        <tr r="F19" s="25"/>
      </tp>
      <tp t="e">
        <v>#N/A</v>
        <stp/>
        <stp>BDH|14680363928836604874</stp>
        <tr r="T8" s="12"/>
      </tp>
      <tp t="e">
        <v>#N/A</v>
        <stp/>
        <stp>BDH|10616991201764413631</stp>
        <tr r="K12" s="21"/>
      </tp>
      <tp t="e">
        <v>#N/A</v>
        <stp/>
        <stp>BDH|18031313568952169419</stp>
        <tr r="Y7" s="10"/>
      </tp>
      <tp t="e">
        <v>#N/A</v>
        <stp/>
        <stp>BDH|17411798602049774218</stp>
        <tr r="S26" s="17"/>
      </tp>
      <tp t="e">
        <v>#N/A</v>
        <stp/>
        <stp>BDH|16446661331039865125</stp>
        <tr r="Q17" s="24"/>
      </tp>
      <tp t="e">
        <v>#N/A</v>
        <stp/>
        <stp>BDH|11625518879479508128</stp>
        <tr r="AA77" s="12"/>
      </tp>
      <tp t="e">
        <v>#N/A</v>
        <stp/>
        <stp>BDH|17287924423944854325</stp>
        <tr r="X21" s="2"/>
      </tp>
      <tp t="e">
        <v>#N/A</v>
        <stp/>
        <stp>BDH|10038891302500265305</stp>
        <tr r="J7" s="20"/>
        <tr r="J113" s="18"/>
      </tp>
      <tp t="e">
        <v>#N/A</v>
        <stp/>
        <stp>BDH|14968802324135783039</stp>
        <tr r="E10" s="22"/>
      </tp>
      <tp t="e">
        <v>#N/A</v>
        <stp/>
        <stp>BDH|10086256909431060847</stp>
        <tr r="J63" s="12"/>
      </tp>
      <tp t="e">
        <v>#N/A</v>
        <stp/>
        <stp>BDH|10912012113602787847</stp>
        <tr r="E137" s="18"/>
      </tp>
      <tp t="e">
        <v>#N/A</v>
        <stp/>
        <stp>BDH|13847671640228577229</stp>
        <tr r="T72" s="18"/>
      </tp>
      <tp t="e">
        <v>#N/A</v>
        <stp/>
        <stp>BDH|15238273948930073857</stp>
        <tr r="D28" s="13"/>
        <tr r="D16" s="13"/>
      </tp>
      <tp t="e">
        <v>#N/A</v>
        <stp/>
        <stp>BDH|14156677517998857016</stp>
        <tr r="I31" s="29"/>
      </tp>
      <tp t="e">
        <v>#N/A</v>
        <stp/>
        <stp>BDH|13066999048017122285</stp>
        <tr r="R7" s="34"/>
      </tp>
      <tp t="e">
        <v>#N/A</v>
        <stp/>
        <stp>BDH|10881696059168973090</stp>
        <tr r="P14" s="21"/>
      </tp>
      <tp t="e">
        <v>#N/A</v>
        <stp/>
        <stp>BDH|11179713640298889101</stp>
        <tr r="Q170" s="18"/>
      </tp>
      <tp t="e">
        <v>#N/A</v>
        <stp/>
        <stp>BDH|10122121780162989025</stp>
        <tr r="X37" s="17"/>
      </tp>
      <tp t="e">
        <v>#N/A</v>
        <stp/>
        <stp>BDH|17398794757366303860</stp>
        <tr r="D18" s="25"/>
      </tp>
      <tp t="e">
        <v>#N/A</v>
        <stp/>
        <stp>BDH|18239068729215113445</stp>
        <tr r="U10" s="18"/>
      </tp>
      <tp t="e">
        <v>#N/A</v>
        <stp/>
        <stp>BDH|15382540593506993459</stp>
        <tr r="Y9" s="10"/>
      </tp>
      <tp t="e">
        <v>#N/A</v>
        <stp/>
        <stp>BDH|11845487208497489942</stp>
        <tr r="U18" s="12"/>
      </tp>
      <tp t="e">
        <v>#N/A</v>
        <stp/>
        <stp>BDH|15741786281556385752</stp>
        <tr r="AA69" s="17"/>
        <tr r="AA18" s="3"/>
      </tp>
      <tp t="e">
        <v>#N/A</v>
        <stp/>
        <stp>BDH|10068012148848021712</stp>
        <tr r="L8" s="29"/>
        <tr r="L30" s="29"/>
      </tp>
      <tp t="e">
        <v>#N/A</v>
        <stp/>
        <stp>BDH|11519848074081407495</stp>
        <tr r="W7" s="30"/>
      </tp>
      <tp t="e">
        <v>#N/A</v>
        <stp/>
        <stp>BDH|11886129625628418135</stp>
        <tr r="Y46" s="18"/>
      </tp>
      <tp t="e">
        <v>#N/A</v>
        <stp/>
        <stp>BDH|17820801969524127686</stp>
        <tr r="K39" s="21"/>
      </tp>
      <tp t="e">
        <v>#N/A</v>
        <stp/>
        <stp>BDH|12002865979194474231</stp>
        <tr r="P7" s="34"/>
      </tp>
      <tp t="e">
        <v>#N/A</v>
        <stp/>
        <stp>BDH|15997184778890631877</stp>
        <tr r="G91" s="12"/>
      </tp>
      <tp t="e">
        <v>#N/A</v>
        <stp/>
        <stp>BDH|15266871474826967708</stp>
        <tr r="J80" s="17"/>
      </tp>
      <tp t="e">
        <v>#N/A</v>
        <stp/>
        <stp>BDH|12324881790701726946</stp>
        <tr r="Y53" s="21"/>
      </tp>
      <tp t="e">
        <v>#N/A</v>
        <stp/>
        <stp>BDH|17897738415159721312</stp>
        <tr r="G12" s="10"/>
      </tp>
      <tp t="e">
        <v>#N/A</v>
        <stp/>
        <stp>BDH|12568385261255449905</stp>
        <tr r="P28" s="34"/>
      </tp>
      <tp t="e">
        <v>#N/A</v>
        <stp/>
        <stp>BDH|15535599938070581895</stp>
        <tr r="W50" s="17"/>
      </tp>
      <tp t="e">
        <v>#N/A</v>
        <stp/>
        <stp>BDH|16689889840443440226</stp>
        <tr r="C31" s="13"/>
      </tp>
      <tp t="e">
        <v>#N/A</v>
        <stp/>
        <stp>BDH|14276931639661668463</stp>
        <tr r="W21" s="4"/>
      </tp>
      <tp t="e">
        <v>#N/A</v>
        <stp/>
        <stp>BDH|17902280281137953111</stp>
        <tr r="N14" s="21"/>
      </tp>
      <tp t="e">
        <v>#N/A</v>
        <stp/>
        <stp>BDH|16661924068586050446</stp>
        <tr r="I96" s="12"/>
      </tp>
      <tp t="e">
        <v>#N/A</v>
        <stp/>
        <stp>BDH|10907919125683389363</stp>
        <tr r="Y78" s="12"/>
      </tp>
      <tp t="e">
        <v>#N/A</v>
        <stp/>
        <stp>BDH|15148531319458748241</stp>
        <tr r="I58" s="12"/>
      </tp>
      <tp t="e">
        <v>#N/A</v>
        <stp/>
        <stp>BDH|10509762700659887507</stp>
        <tr r="T136" s="18"/>
      </tp>
      <tp t="e">
        <v>#N/A</v>
        <stp/>
        <stp>BDH|11208695993992525764</stp>
        <tr r="W61" s="12"/>
      </tp>
      <tp t="e">
        <v>#N/A</v>
        <stp/>
        <stp>BDH|17181414591676955736</stp>
        <tr r="S29" s="21"/>
      </tp>
      <tp t="e">
        <v>#N/A</v>
        <stp/>
        <stp>BDH|14123047835969244590</stp>
        <tr r="F128" s="18"/>
      </tp>
      <tp t="e">
        <v>#N/A</v>
        <stp/>
        <stp>BDH|10442797684697021328</stp>
        <tr r="C55" s="13"/>
      </tp>
      <tp t="e">
        <v>#N/A</v>
        <stp/>
        <stp>BDH|15386497840689478751</stp>
        <tr r="W64" s="24"/>
      </tp>
      <tp t="e">
        <v>#N/A</v>
        <stp/>
        <stp>BDH|14741251704135893852</stp>
        <tr r="W65" s="13"/>
      </tp>
      <tp t="e">
        <v>#N/A</v>
        <stp/>
        <stp>BDH|16631973653728194981</stp>
        <tr r="I8" s="18"/>
      </tp>
      <tp t="e">
        <v>#N/A</v>
        <stp/>
        <stp>BDH|11738367691348393880</stp>
        <tr r="D28" s="21"/>
      </tp>
      <tp t="e">
        <v>#N/A</v>
        <stp/>
        <stp>BDH|13059924826994761780</stp>
        <tr r="I44" s="18"/>
      </tp>
      <tp t="e">
        <v>#N/A</v>
        <stp/>
        <stp>BDH|11382767910259709593</stp>
        <tr r="N51" s="17"/>
      </tp>
      <tp t="e">
        <v>#N/A</v>
        <stp/>
        <stp>BDH|13183797734619118565</stp>
        <tr r="K13" s="22"/>
      </tp>
      <tp t="e">
        <v>#N/A</v>
        <stp/>
        <stp>BDH|15849113960288115139</stp>
        <tr r="N38" s="26"/>
      </tp>
      <tp t="e">
        <v>#N/A</v>
        <stp/>
        <stp>BDH|10769743691866947304</stp>
        <tr r="O39" s="21"/>
      </tp>
      <tp t="e">
        <v>#N/A</v>
        <stp/>
        <stp>BDH|10121496134769081576</stp>
        <tr r="V67" s="17"/>
      </tp>
      <tp t="e">
        <v>#N/A</v>
        <stp/>
        <stp>BDH|12061690943448758365</stp>
        <tr r="U14" s="12"/>
      </tp>
      <tp t="e">
        <v>#N/A</v>
        <stp/>
        <stp>BDH|11929610662193634972</stp>
        <tr r="Y16" s="25"/>
      </tp>
      <tp t="e">
        <v>#N/A</v>
        <stp/>
        <stp>BDH|18055430600140021786</stp>
        <tr r="U17" s="22"/>
      </tp>
      <tp t="e">
        <v>#N/A</v>
        <stp/>
        <stp>BDH|17911702066494396979</stp>
        <tr r="E8" s="10"/>
      </tp>
      <tp t="e">
        <v>#N/A</v>
        <stp/>
        <stp>BDH|11937942971072118667</stp>
        <tr r="Q15" s="23"/>
        <tr r="O59" s="11"/>
      </tp>
      <tp t="e">
        <v>#N/A</v>
        <stp/>
        <stp>BDH|16534065589656846393</stp>
        <tr r="R15" s="12"/>
      </tp>
      <tp t="e">
        <v>#N/A</v>
        <stp/>
        <stp>BDH|13065559928657381857</stp>
        <tr r="H24" s="26"/>
      </tp>
      <tp t="e">
        <v>#N/A</v>
        <stp/>
        <stp>BDH|17746637259999045668</stp>
        <tr r="Y48" s="24"/>
      </tp>
      <tp t="e">
        <v>#N/A</v>
        <stp/>
        <stp>BDH|10464562597561974673</stp>
        <tr r="X37" s="6"/>
      </tp>
      <tp t="e">
        <v>#N/A</v>
        <stp/>
        <stp>BDH|10850815913032313025</stp>
        <tr r="O55" s="21"/>
      </tp>
      <tp t="e">
        <v>#N/A</v>
        <stp/>
        <stp>BDH|11831447600819001778</stp>
        <tr r="J98" s="12"/>
      </tp>
      <tp t="e">
        <v>#N/A</v>
        <stp/>
        <stp>BDH|15794238681654682094</stp>
        <tr r="S73" s="12"/>
      </tp>
      <tp t="e">
        <v>#N/A</v>
        <stp/>
        <stp>BDH|12767239862909868449</stp>
        <tr r="J130" s="18"/>
      </tp>
      <tp t="e">
        <v>#N/A</v>
        <stp/>
        <stp>BDH|15897874948480557285</stp>
        <tr r="P8" s="22"/>
      </tp>
      <tp t="e">
        <v>#N/A</v>
        <stp/>
        <stp>BDH|18342065150591747788</stp>
        <tr r="C172" s="18"/>
      </tp>
      <tp t="e">
        <v>#N/A</v>
        <stp/>
        <stp>BDH|15872806325646015278</stp>
        <tr r="G42" s="25"/>
      </tp>
      <tp t="e">
        <v>#N/A</v>
        <stp/>
        <stp>BDH|14459399846160304820</stp>
        <tr r="F42" s="11"/>
        <tr r="F53" s="10"/>
        <tr r="F8" s="7"/>
        <tr r="H11" s="3"/>
      </tp>
      <tp t="e">
        <v>#N/A</v>
        <stp/>
        <stp>BDH|13435155336992445898</stp>
        <tr r="I16" s="22"/>
      </tp>
      <tp t="e">
        <v>#N/A</v>
        <stp/>
        <stp>BDH|17906900585954737919</stp>
        <tr r="AA33" s="21"/>
      </tp>
      <tp t="e">
        <v>#N/A</v>
        <stp/>
        <stp>BDH|14691244982302385794</stp>
        <tr r="L40" s="12"/>
      </tp>
      <tp t="e">
        <v>#N/A</v>
        <stp/>
        <stp>BDH|17829138446971171866</stp>
        <tr r="E64" s="13"/>
      </tp>
      <tp t="e">
        <v>#N/A</v>
        <stp/>
        <stp>BDH|18263463144573952037</stp>
        <tr r="E99" s="18"/>
      </tp>
      <tp t="e">
        <v>#N/A</v>
        <stp/>
        <stp>BDH|13258348591143457198</stp>
        <tr r="C14" s="20"/>
        <tr r="C119" s="18"/>
      </tp>
      <tp t="e">
        <v>#N/A</v>
        <stp/>
        <stp>BDH|16537486840348651512</stp>
        <tr r="N24" s="11"/>
        <tr r="N35" s="10"/>
      </tp>
      <tp t="e">
        <v>#N/A</v>
        <stp/>
        <stp>BDH|12274071999884783417</stp>
        <tr r="W145" s="18"/>
      </tp>
      <tp t="e">
        <v>#N/A</v>
        <stp/>
        <stp>BDH|13418352254297793989</stp>
        <tr r="O140" s="18"/>
      </tp>
      <tp t="e">
        <v>#N/A</v>
        <stp/>
        <stp>BDH|12793779715706916966</stp>
        <tr r="M31" s="21"/>
      </tp>
      <tp t="e">
        <v>#N/A</v>
        <stp/>
        <stp>BDH|11880154486833878094</stp>
        <tr r="X24" s="21"/>
      </tp>
      <tp t="e">
        <v>#N/A</v>
        <stp/>
        <stp>BDH|15638075389070268607</stp>
        <tr r="C150" s="18"/>
      </tp>
      <tp t="e">
        <v>#N/A</v>
        <stp/>
        <stp>BDH|12023895613046183618</stp>
        <tr r="R28" s="4"/>
      </tp>
      <tp t="e">
        <v>#N/A</v>
        <stp/>
        <stp>BDH|12165507868092366801</stp>
        <tr r="J91" s="17"/>
      </tp>
      <tp t="e">
        <v>#N/A</v>
        <stp/>
        <stp>BDH|15546915517354964202</stp>
        <tr r="W126" s="18"/>
      </tp>
      <tp t="e">
        <v>#N/A</v>
        <stp/>
        <stp>BDH|16713199869478886250</stp>
        <tr r="U99" s="12"/>
      </tp>
      <tp t="e">
        <v>#N/A</v>
        <stp/>
        <stp>BDH|17428897642470343061</stp>
        <tr r="N65" s="17"/>
      </tp>
      <tp t="e">
        <v>#N/A</v>
        <stp/>
        <stp>BDH|16757946076166666590</stp>
        <tr r="R35" s="17"/>
      </tp>
      <tp t="e">
        <v>#N/A</v>
        <stp/>
        <stp>BDH|14403831669333437205</stp>
        <tr r="L30" s="17"/>
      </tp>
      <tp t="e">
        <v>#N/A</v>
        <stp/>
        <stp>BDH|18131236369743484421</stp>
        <tr r="U18" s="20"/>
      </tp>
      <tp t="e">
        <v>#N/A</v>
        <stp/>
        <stp>BDH|10006070184166634588</stp>
        <tr r="L89" s="17"/>
      </tp>
      <tp t="e">
        <v>#N/A</v>
        <stp/>
        <stp>BDH|14063945667313995373</stp>
        <tr r="J59" s="17"/>
      </tp>
      <tp t="e">
        <v>#N/A</v>
        <stp/>
        <stp>BDH|13006899630782014146</stp>
        <tr r="O35" s="21"/>
      </tp>
      <tp t="e">
        <v>#N/A</v>
        <stp/>
        <stp>BDH|13270554795582864679</stp>
        <tr r="I47" s="13"/>
      </tp>
      <tp t="e">
        <v>#N/A</v>
        <stp/>
        <stp>BDH|15992678651688187536</stp>
        <tr r="K44" s="34"/>
      </tp>
      <tp t="e">
        <v>#N/A</v>
        <stp/>
        <stp>BDH|12489105531852156998</stp>
        <tr r="Y37" s="12"/>
      </tp>
      <tp t="e">
        <v>#N/A</v>
        <stp/>
        <stp>BDH|13788253267599072581</stp>
        <tr r="Y53" s="18"/>
      </tp>
      <tp t="e">
        <v>#N/A</v>
        <stp/>
        <stp>BDH|18309910935859894029</stp>
        <tr r="D18" s="20"/>
      </tp>
      <tp t="e">
        <v>#N/A</v>
        <stp/>
        <stp>BDH|17167874772352906109</stp>
        <tr r="N32" s="21"/>
      </tp>
      <tp t="e">
        <v>#N/A</v>
        <stp/>
        <stp>BDH|15025892408387547199</stp>
        <tr r="Q49" s="34"/>
      </tp>
      <tp t="e">
        <v>#N/A</v>
        <stp/>
        <stp>BDH|14102922244084359699</stp>
        <tr r="D66" s="12"/>
      </tp>
      <tp t="e">
        <v>#N/A</v>
        <stp/>
        <stp>BDH|17355620168924555817</stp>
        <tr r="M29" s="14"/>
      </tp>
      <tp t="e">
        <v>#N/A</v>
        <stp/>
        <stp>BDH|13029885046446011231</stp>
        <tr r="X28" s="11"/>
        <tr r="X40" s="11"/>
        <tr r="X39" s="10"/>
        <tr r="X51" s="10"/>
      </tp>
      <tp t="e">
        <v>#N/A</v>
        <stp/>
        <stp>BDH|15570661978028510734</stp>
        <tr r="F23" s="17"/>
      </tp>
      <tp t="e">
        <v>#N/A</v>
        <stp/>
        <stp>BDH|10934464186516394178</stp>
        <tr r="Q10" s="21"/>
      </tp>
      <tp t="e">
        <v>#N/A</v>
        <stp/>
        <stp>BDH|13354530986250345581</stp>
        <tr r="Y34" s="13"/>
        <tr r="W27" s="10"/>
      </tp>
      <tp t="e">
        <v>#N/A</v>
        <stp/>
        <stp>BDH|11031785970033361962</stp>
        <tr r="I65" s="21"/>
        <tr r="F31" s="6"/>
      </tp>
      <tp t="e">
        <v>#N/A</v>
        <stp/>
        <stp>BDH|13006314478608078444</stp>
        <tr r="S89" s="12"/>
      </tp>
      <tp t="e">
        <v>#N/A</v>
        <stp/>
        <stp>BDH|15428329290315391180</stp>
        <tr r="M67" s="18"/>
      </tp>
      <tp t="e">
        <v>#N/A</v>
        <stp/>
        <stp>BDH|10363816730015894578</stp>
        <tr r="X7" s="30"/>
      </tp>
      <tp t="e">
        <v>#N/A</v>
        <stp/>
        <stp>BDH|17420108024529962648</stp>
        <tr r="R23" s="30"/>
        <tr r="R25" s="23"/>
      </tp>
      <tp t="e">
        <v>#N/A</v>
        <stp/>
        <stp>BDH|14084039274811884920</stp>
        <tr r="E8" s="18"/>
      </tp>
      <tp t="e">
        <v>#N/A</v>
        <stp/>
        <stp>BDH|16267196917454208935</stp>
        <tr r="R24" s="17"/>
      </tp>
      <tp t="e">
        <v>#N/A</v>
        <stp/>
        <stp>BDH|14510040629808483511</stp>
        <tr r="K20" s="18"/>
      </tp>
      <tp t="e">
        <v>#N/A</v>
        <stp/>
        <stp>BDH|12337730096070934720</stp>
        <tr r="G19" s="25"/>
      </tp>
      <tp t="e">
        <v>#N/A</v>
        <stp/>
        <stp>BDH|17646056945148967022</stp>
        <tr r="G120" s="18"/>
      </tp>
      <tp t="e">
        <v>#N/A</v>
        <stp/>
        <stp>BDH|11889108373245514935</stp>
        <tr r="F37" s="6"/>
      </tp>
      <tp t="e">
        <v>#N/A</v>
        <stp/>
        <stp>BDH|16572887184318201565</stp>
        <tr r="O59" s="24"/>
      </tp>
      <tp t="e">
        <v>#N/A</v>
        <stp/>
        <stp>BDH|13506862706660102091</stp>
        <tr r="I40" s="21"/>
      </tp>
      <tp t="e">
        <v>#N/A</v>
        <stp/>
        <stp>BDH|15443443273264737993</stp>
        <tr r="E26" s="7"/>
      </tp>
      <tp t="e">
        <v>#N/A</v>
        <stp/>
        <stp>BDH|11279065250859087696</stp>
        <tr r="W19" s="23"/>
        <tr r="U60" s="11"/>
      </tp>
      <tp t="e">
        <v>#N/A</v>
        <stp/>
        <stp>BDH|16323737806438951220</stp>
        <tr r="Z123" s="18"/>
      </tp>
      <tp t="e">
        <v>#N/A</v>
        <stp/>
        <stp>BDH|11556908806154713786</stp>
        <tr r="V155" s="18"/>
      </tp>
      <tp t="e">
        <v>#N/A</v>
        <stp/>
        <stp>BDH|15913339651040225851</stp>
        <tr r="E41" s="12"/>
      </tp>
      <tp t="e">
        <v>#N/A</v>
        <stp/>
        <stp>BDH|15298125991265911344</stp>
        <tr r="R28" s="34"/>
      </tp>
      <tp t="e">
        <v>#N/A</v>
        <stp/>
        <stp>BDH|14388650509419405076</stp>
        <tr r="P175" s="18"/>
      </tp>
      <tp t="e">
        <v>#N/A</v>
        <stp/>
        <stp>BDH|17033023654321284881</stp>
        <tr r="R43" s="4"/>
      </tp>
      <tp t="e">
        <v>#N/A</v>
        <stp/>
        <stp>BDH|13449936484281604899</stp>
        <tr r="P42" s="17"/>
      </tp>
      <tp t="e">
        <v>#N/A</v>
        <stp/>
        <stp>BDH|15465876696296092994</stp>
        <tr r="W28" s="18"/>
      </tp>
      <tp t="e">
        <v>#N/A</v>
        <stp/>
        <stp>BDH|16614009566353855841</stp>
        <tr r="W30" s="12"/>
      </tp>
      <tp t="e">
        <v>#N/A</v>
        <stp/>
        <stp>BDH|16894176150421745841</stp>
        <tr r="D21" s="4"/>
      </tp>
      <tp t="e">
        <v>#N/A</v>
        <stp/>
        <stp>BDH|15153931023244828159</stp>
        <tr r="L21" s="9"/>
        <tr r="L23" s="5"/>
      </tp>
      <tp t="e">
        <v>#N/A</v>
        <stp/>
        <stp>BDH|10082552808649872797</stp>
        <tr r="P38" s="22"/>
      </tp>
      <tp t="e">
        <v>#N/A</v>
        <stp/>
        <stp>BDH|17135930349269088875</stp>
        <tr r="D22" s="25"/>
      </tp>
      <tp t="e">
        <v>#N/A</v>
        <stp/>
        <stp>BDH|15462638298865793443</stp>
        <tr r="K22" s="7"/>
      </tp>
      <tp t="e">
        <v>#N/A</v>
        <stp/>
        <stp>BDH|10440421288362620548</stp>
        <tr r="C13" s="6"/>
      </tp>
      <tp t="e">
        <v>#N/A</v>
        <stp/>
        <stp>BDH|12871102145174207838</stp>
        <tr r="C43" s="29"/>
      </tp>
      <tp t="e">
        <v>#N/A</v>
        <stp/>
        <stp>BDH|15743685754634337948</stp>
        <tr r="Q33" s="18"/>
      </tp>
      <tp t="e">
        <v>#N/A</v>
        <stp/>
        <stp>BDH|17800345997832549425</stp>
        <tr r="T31" s="21"/>
      </tp>
      <tp t="e">
        <v>#N/A</v>
        <stp/>
        <stp>BDH|12707971377382939522</stp>
        <tr r="E11" s="21"/>
      </tp>
      <tp t="e">
        <v>#N/A</v>
        <stp/>
        <stp>BDH|17029831705080853425</stp>
        <tr r="W34" s="29"/>
      </tp>
      <tp t="e">
        <v>#N/A</v>
        <stp/>
        <stp>BDH|17719137338699642767</stp>
        <tr r="U139" s="18"/>
      </tp>
      <tp t="e">
        <v>#N/A</v>
        <stp/>
        <stp>BDH|10022546990755114290</stp>
        <tr r="Y8" s="8"/>
      </tp>
      <tp t="e">
        <v>#N/A</v>
        <stp/>
        <stp>BDH|15672094994292567525</stp>
        <tr r="R22" s="30"/>
        <tr r="R24" s="23"/>
      </tp>
      <tp t="e">
        <v>#N/A</v>
        <stp/>
        <stp>BDH|18215730671507517497</stp>
        <tr r="D13" s="25"/>
      </tp>
      <tp t="e">
        <v>#N/A</v>
        <stp/>
        <stp>BDH|14947172983591427753</stp>
        <tr r="Z17" s="12"/>
      </tp>
      <tp t="e">
        <v>#N/A</v>
        <stp/>
        <stp>BDH|17800359453423380915</stp>
        <tr r="I62" s="12"/>
      </tp>
      <tp t="e">
        <v>#N/A</v>
        <stp/>
        <stp>BDH|16330412367158105780</stp>
        <tr r="X20" s="26"/>
      </tp>
      <tp t="e">
        <v>#N/A</v>
        <stp/>
        <stp>BDH|14535450885547957404</stp>
        <tr r="X64" s="12"/>
      </tp>
      <tp t="e">
        <v>#N/A</v>
        <stp/>
        <stp>BDH|18175057252654333293</stp>
        <tr r="L86" s="17"/>
      </tp>
      <tp t="e">
        <v>#N/A</v>
        <stp/>
        <stp>BDH|16372886749540811163</stp>
        <tr r="N76" s="18"/>
      </tp>
      <tp t="e">
        <v>#N/A</v>
        <stp/>
        <stp>BDH|11861452796256750105</stp>
        <tr r="H8" s="10"/>
      </tp>
      <tp t="e">
        <v>#N/A</v>
        <stp/>
        <stp>BDH|13994847255013014649</stp>
        <tr r="H17" s="28"/>
        <tr r="H14" s="17"/>
      </tp>
      <tp t="e">
        <v>#N/A</v>
        <stp/>
        <stp>BDH|13633208502778982211</stp>
        <tr r="Y19" s="10"/>
      </tp>
      <tp t="e">
        <v>#N/A</v>
        <stp/>
        <stp>BDH|11000467940042251886</stp>
        <tr r="G21" s="30"/>
      </tp>
      <tp t="e">
        <v>#N/A</v>
        <stp/>
        <stp>BDH|16389378603018216695</stp>
        <tr r="L72" s="13"/>
      </tp>
      <tp t="e">
        <v>#N/A</v>
        <stp/>
        <stp>BDH|17298801810697889262</stp>
        <tr r="I99" s="18"/>
      </tp>
      <tp t="e">
        <v>#N/A</v>
        <stp/>
        <stp>BDH|16618087754719590103</stp>
        <tr r="L9" s="30"/>
      </tp>
      <tp t="e">
        <v>#N/A</v>
        <stp/>
        <stp>BDH|13989043113151716862</stp>
        <tr r="Q115" s="18"/>
        <tr r="Q9" s="20"/>
      </tp>
      <tp t="e">
        <v>#N/A</v>
        <stp/>
        <stp>BDH|10495501272451831817</stp>
        <tr r="W48" s="22"/>
      </tp>
      <tp t="e">
        <v>#N/A</v>
        <stp/>
        <stp>BDH|11992962470134736071</stp>
        <tr r="K138" s="18"/>
      </tp>
      <tp t="e">
        <v>#N/A</v>
        <stp/>
        <stp>BDH|16399124310405906876</stp>
        <tr r="E172" s="18"/>
      </tp>
      <tp t="e">
        <v>#N/A</v>
        <stp/>
        <stp>BDH|15904599599396247441</stp>
        <tr r="V62" s="13"/>
      </tp>
      <tp t="e">
        <v>#N/A</v>
        <stp/>
        <stp>BDH|16482983119584985139</stp>
        <tr r="AA74" s="17"/>
      </tp>
      <tp t="e">
        <v>#N/A</v>
        <stp/>
        <stp>BDH|15898261266743218950</stp>
        <tr r="D48" s="13"/>
      </tp>
      <tp t="e">
        <v>#N/A</v>
        <stp/>
        <stp>BDH|14003339287852289694</stp>
        <tr r="E50" s="12"/>
      </tp>
      <tp t="e">
        <v>#N/A</v>
        <stp/>
        <stp>BDH|18434598165834598427</stp>
        <tr r="C39" s="26"/>
      </tp>
      <tp t="e">
        <v>#N/A</v>
        <stp/>
        <stp>BDH|14183433553248719695</stp>
        <tr r="F73" s="18"/>
      </tp>
      <tp t="e">
        <v>#N/A</v>
        <stp/>
        <stp>BDH|12871203058626880877</stp>
        <tr r="O23" s="24"/>
      </tp>
      <tp t="e">
        <v>#N/A</v>
        <stp/>
        <stp>BDH|15551225384526903258</stp>
        <tr r="I42" s="11"/>
        <tr r="I53" s="10"/>
        <tr r="I8" s="7"/>
        <tr r="K11" s="3"/>
      </tp>
      <tp t="e">
        <v>#N/A</v>
        <stp/>
        <stp>BDH|17129767399884779666</stp>
        <tr r="P16" s="26"/>
      </tp>
      <tp t="e">
        <v>#N/A</v>
        <stp/>
        <stp>BDH|11634994195523303961</stp>
        <tr r="M154" s="18"/>
      </tp>
      <tp t="e">
        <v>#N/A</v>
        <stp/>
        <stp>BDH|11638449382380691693</stp>
        <tr r="N10" s="11"/>
      </tp>
      <tp t="e">
        <v>#N/A</v>
        <stp/>
        <stp>BDH|14094943543611170399</stp>
        <tr r="L13" s="28"/>
        <tr r="L95" s="17"/>
      </tp>
      <tp t="e">
        <v>#N/A</v>
        <stp/>
        <stp>BDH|13617914714176967653</stp>
        <tr r="E163" s="18"/>
      </tp>
      <tp t="e">
        <v>#N/A</v>
        <stp/>
        <stp>BDH|11158195552177330962</stp>
        <tr r="T32" s="26"/>
      </tp>
      <tp t="e">
        <v>#N/A</v>
        <stp/>
        <stp>BDH|11603644131907486885</stp>
        <tr r="N165" s="18"/>
      </tp>
      <tp t="e">
        <v>#N/A</v>
        <stp/>
        <stp>BDH|12701447721716800950</stp>
        <tr r="Y9" s="28"/>
      </tp>
      <tp t="e">
        <v>#N/A</v>
        <stp/>
        <stp>BDH|13152247795660940360</stp>
        <tr r="V47" s="6"/>
      </tp>
      <tp t="e">
        <v>#N/A</v>
        <stp/>
        <stp>BDH|12630222681330874322</stp>
        <tr r="T18" s="24"/>
      </tp>
      <tp t="e">
        <v>#N/A</v>
        <stp/>
        <stp>BDH|16610414833648251290</stp>
        <tr r="S65" s="18"/>
      </tp>
      <tp t="e">
        <v>#N/A</v>
        <stp/>
        <stp>BDH|10836321912581631812</stp>
        <tr r="N49" s="12"/>
      </tp>
      <tp t="e">
        <v>#N/A</v>
        <stp/>
        <stp>BDH|12554046460889688685</stp>
        <tr r="O57" s="6"/>
      </tp>
      <tp t="e">
        <v>#N/A</v>
        <stp/>
        <stp>BDH|16571045589591120461</stp>
        <tr r="E45" s="22"/>
      </tp>
      <tp t="e">
        <v>#N/A</v>
        <stp/>
        <stp>BDH|17448180083612166710</stp>
        <tr r="Q27" s="26"/>
      </tp>
      <tp t="e">
        <v>#N/A</v>
        <stp/>
        <stp>BDH|13248923010061860175</stp>
        <tr r="J49" s="21"/>
      </tp>
      <tp t="e">
        <v>#N/A</v>
        <stp/>
        <stp>BDH|11521878512383697094</stp>
        <tr r="Y69" s="12"/>
      </tp>
      <tp t="e">
        <v>#N/A</v>
        <stp/>
        <stp>BDH|16324772045448805660</stp>
        <tr r="J58" s="12"/>
      </tp>
      <tp t="e">
        <v>#N/A</v>
        <stp/>
        <stp>BDH|12332686995885005319</stp>
        <tr r="R67" s="18"/>
      </tp>
      <tp t="e">
        <v>#N/A</v>
        <stp/>
        <stp>BDH|11941800962303568715</stp>
        <tr r="Z75" s="12"/>
      </tp>
      <tp t="e">
        <v>#N/A</v>
        <stp/>
        <stp>BDH|12135763146462902870</stp>
        <tr r="I86" s="12"/>
      </tp>
      <tp t="e">
        <v>#N/A</v>
        <stp/>
        <stp>BDH|16190757895711767284</stp>
        <tr r="R13" s="23"/>
        <tr r="P58" s="11"/>
        <tr r="P38" s="4"/>
      </tp>
      <tp t="e">
        <v>#N/A</v>
        <stp/>
        <stp>BDH|15445917878555643558</stp>
        <tr r="X32" s="24"/>
      </tp>
      <tp t="e">
        <v>#N/A</v>
        <stp/>
        <stp>BDH|12192287582036071553</stp>
        <tr r="J11" s="18"/>
      </tp>
      <tp t="e">
        <v>#N/A</v>
        <stp/>
        <stp>BDH|13628945107581980020</stp>
        <tr r="D34" s="13"/>
      </tp>
      <tp t="e">
        <v>#N/A</v>
        <stp/>
        <stp>BDH|15286082423728073470</stp>
        <tr r="Q17" s="21"/>
        <tr r="Q23" s="3"/>
        <tr r="O23" s="2"/>
      </tp>
      <tp t="e">
        <v>#N/A</v>
        <stp/>
        <stp>BDH|15228980867245099430</stp>
        <tr r="I51" s="13"/>
      </tp>
      <tp t="e">
        <v>#N/A</v>
        <stp/>
        <stp>BDH|17550609192111018295</stp>
        <tr r="O14" s="27"/>
        <tr r="O32" s="25"/>
      </tp>
      <tp t="e">
        <v>#N/A</v>
        <stp/>
        <stp>BDH|16189208908276137968</stp>
        <tr r="Y64" s="13"/>
      </tp>
      <tp t="e">
        <v>#N/A</v>
        <stp/>
        <stp>BDH|16342816411793552788</stp>
        <tr r="P23" s="30"/>
        <tr r="P25" s="23"/>
      </tp>
      <tp t="e">
        <v>#N/A</v>
        <stp/>
        <stp>BDH|17630968825142357587</stp>
        <tr r="I21" s="5"/>
      </tp>
      <tp t="e">
        <v>#N/A</v>
        <stp/>
        <stp>BDH|17504598740605279801</stp>
        <tr r="Y63" s="17"/>
      </tp>
      <tp t="e">
        <v>#N/A</v>
        <stp/>
        <stp>BDH|18391628740562837379</stp>
        <tr r="L40" s="22"/>
      </tp>
      <tp t="e">
        <v>#N/A</v>
        <stp/>
        <stp>BDH|12655369049688027675</stp>
        <tr r="M32" s="24"/>
      </tp>
      <tp t="e">
        <v>#N/A</v>
        <stp/>
        <stp>BDH|14480844066065812400</stp>
        <tr r="Y30" s="24"/>
      </tp>
      <tp t="e">
        <v>#N/A</v>
        <stp/>
        <stp>BDH|11852672361832773875</stp>
        <tr r="K36" s="22"/>
      </tp>
      <tp t="e">
        <v>#N/A</v>
        <stp/>
        <stp>BDH|14597612678448166634</stp>
        <tr r="V8" s="25"/>
        <tr r="S10" s="5"/>
        <tr r="T9" s="2"/>
      </tp>
      <tp t="e">
        <v>#N/A</v>
        <stp/>
        <stp>BDH|18083541974907940678</stp>
        <tr r="N32" s="29"/>
        <tr r="L34" s="5"/>
      </tp>
      <tp t="e">
        <v>#N/A</v>
        <stp/>
        <stp>BDH|17399278272531121895</stp>
        <tr r="L137" s="18"/>
      </tp>
      <tp t="e">
        <v>#N/A</v>
        <stp/>
        <stp>BDH|14728970818065494228</stp>
        <tr r="N34" s="12"/>
      </tp>
      <tp t="e">
        <v>#N/A</v>
        <stp/>
        <stp>BDH|17958120374293507945</stp>
        <tr r="I10" s="18"/>
      </tp>
      <tp t="e">
        <v>#N/A</v>
        <stp/>
        <stp>BDH|13938690887881891713</stp>
        <tr r="J39" s="11"/>
        <tr r="J50" s="10"/>
      </tp>
      <tp t="e">
        <v>#N/A</v>
        <stp/>
        <stp>BDH|10792324679207180830</stp>
        <tr r="T21" s="27"/>
      </tp>
      <tp t="e">
        <v>#N/A</v>
        <stp/>
        <stp>BDH|15270557197957782596</stp>
        <tr r="G64" s="18"/>
      </tp>
      <tp t="e">
        <v>#N/A</v>
        <stp/>
        <stp>BDH|18397798265815072719</stp>
        <tr r="P43" s="25"/>
        <tr r="P22" s="13"/>
        <tr r="P7" s="13"/>
        <tr r="N17" s="11"/>
        <tr r="P7" s="3"/>
      </tp>
      <tp t="e">
        <v>#N/A</v>
        <stp/>
        <stp>BDH|18329691613745768104</stp>
        <tr r="Q19" s="6"/>
      </tp>
      <tp t="e">
        <v>#N/A</v>
        <stp/>
        <stp>BDH|14533919175012891375</stp>
        <tr r="D167" s="18"/>
      </tp>
      <tp t="e">
        <v>#N/A</v>
        <stp/>
        <stp>BDH|15045206979649733202</stp>
        <tr r="Y49" s="13"/>
      </tp>
      <tp t="e">
        <v>#N/A</v>
        <stp/>
        <stp>BDH|14855052892553424554</stp>
        <tr r="X48" s="22"/>
      </tp>
      <tp t="e">
        <v>#N/A</v>
        <stp/>
        <stp>BDH|18423170848210020656</stp>
        <tr r="AA6" s="19"/>
        <tr r="AA38" s="17"/>
        <tr r="AA16" s="3"/>
      </tp>
      <tp t="e">
        <v>#N/A</v>
        <stp/>
        <stp>BDH|13222178611288179344</stp>
        <tr r="N17" s="29"/>
        <tr r="N40" s="29"/>
      </tp>
      <tp t="e">
        <v>#N/A</v>
        <stp/>
        <stp>BDH|13383723782850380411</stp>
        <tr r="J91" s="12"/>
      </tp>
      <tp t="e">
        <v>#N/A</v>
        <stp/>
        <stp>BDH|11825880736773077178</stp>
        <tr r="I39" s="25"/>
      </tp>
      <tp t="e">
        <v>#N/A</v>
        <stp/>
        <stp>BDH|10451889600297906747</stp>
        <tr r="V27" s="17"/>
      </tp>
      <tp t="e">
        <v>#N/A</v>
        <stp/>
        <stp>BDH|18357000124463217149</stp>
        <tr r="T64" s="12"/>
      </tp>
      <tp t="e">
        <v>#N/A</v>
        <stp/>
        <stp>BDH|10309318466735257872</stp>
        <tr r="W16" s="29"/>
        <tr r="W39" s="29"/>
      </tp>
      <tp t="e">
        <v>#N/A</v>
        <stp/>
        <stp>BDH|10489060552754813991</stp>
        <tr r="Q32" s="17"/>
      </tp>
      <tp t="e">
        <v>#N/A</v>
        <stp/>
        <stp>BDH|15336789090204967731</stp>
        <tr r="D8" s="14"/>
      </tp>
      <tp t="e">
        <v>#N/A</v>
        <stp/>
        <stp>BDH|11730899042777500283</stp>
        <tr r="J20" s="25"/>
      </tp>
      <tp t="e">
        <v>#N/A</v>
        <stp/>
        <stp>BDH|14162827219262891734</stp>
        <tr r="X23" s="26"/>
      </tp>
      <tp t="e">
        <v>#N/A</v>
        <stp/>
        <stp>BDH|11940203577908749487</stp>
        <tr r="Z43" s="18"/>
      </tp>
      <tp t="e">
        <v>#N/A</v>
        <stp/>
        <stp>BDH|17621118260530749816</stp>
        <tr r="N168" s="18"/>
      </tp>
      <tp t="e">
        <v>#N/A</v>
        <stp/>
        <stp>BDH|10347789796047837143</stp>
        <tr r="L147" s="18"/>
      </tp>
      <tp t="e">
        <v>#N/A</v>
        <stp/>
        <stp>BDH|11081432484784736112</stp>
        <tr r="K59" s="24"/>
      </tp>
      <tp t="e">
        <v>#N/A</v>
        <stp/>
        <stp>BDH|12359421646272733819</stp>
        <tr r="J24" s="25"/>
      </tp>
      <tp t="e">
        <v>#N/A</v>
        <stp/>
        <stp>BDH|12995088798034844709</stp>
        <tr r="Y16" s="18"/>
      </tp>
      <tp t="e">
        <v>#N/A</v>
        <stp/>
        <stp>BDH|13018615782436204303</stp>
        <tr r="C27" s="11"/>
        <tr r="C38" s="10"/>
      </tp>
      <tp t="e">
        <v>#N/A</v>
        <stp/>
        <stp>BDH|14807278685643243599</stp>
        <tr r="U30" s="18"/>
      </tp>
      <tp t="e">
        <v>#N/A</v>
        <stp/>
        <stp>BDH|13641881562217824256</stp>
        <tr r="V44" s="24"/>
      </tp>
      <tp t="e">
        <v>#N/A</v>
        <stp/>
        <stp>BDH|10565668977899638034</stp>
        <tr r="U9" s="25"/>
        <tr r="U44" s="17"/>
      </tp>
      <tp t="e">
        <v>#N/A</v>
        <stp/>
        <stp>BDH|10761956143923097601</stp>
        <tr r="AA21" s="18"/>
      </tp>
      <tp t="e">
        <v>#N/A</v>
        <stp/>
        <stp>BDH|10232826121200632265</stp>
        <tr r="C45" s="22"/>
      </tp>
      <tp t="e">
        <v>#N/A</v>
        <stp/>
        <stp>BDH|10750183102020518997</stp>
        <tr r="Y148" s="18"/>
      </tp>
      <tp t="e">
        <v>#N/A</v>
        <stp/>
        <stp>BDH|18091001573120495760</stp>
        <tr r="E11" s="7"/>
      </tp>
      <tp t="e">
        <v>#N/A</v>
        <stp/>
        <stp>BDH|10423111019640959847</stp>
        <tr r="X84" s="18"/>
      </tp>
      <tp t="e">
        <v>#N/A</v>
        <stp/>
        <stp>BDH|13350857987378675361</stp>
        <tr r="D56" s="11"/>
      </tp>
      <tp t="e">
        <v>#N/A</v>
        <stp/>
        <stp>BDH|11212445834098326601</stp>
        <tr r="L96" s="17"/>
      </tp>
      <tp t="e">
        <v>#N/A</v>
        <stp/>
        <stp>BDH|11203906531325324610</stp>
        <tr r="Z53" s="12"/>
      </tp>
      <tp t="e">
        <v>#N/A</v>
        <stp/>
        <stp>BDH|13175901531230801193</stp>
        <tr r="F41" s="12"/>
      </tp>
      <tp t="e">
        <v>#N/A</v>
        <stp/>
        <stp>BDH|17166666382018375971</stp>
        <tr r="I68" s="17"/>
      </tp>
      <tp t="e">
        <v>#N/A</v>
        <stp/>
        <stp>BDH|11332474993104077064</stp>
        <tr r="Z27" s="21"/>
      </tp>
      <tp t="e">
        <v>#N/A</v>
        <stp/>
        <stp>BDH|17744143834515733815</stp>
        <tr r="G36" s="26"/>
      </tp>
      <tp t="e">
        <v>#N/A</v>
        <stp/>
        <stp>BDH|16400421861198004464</stp>
        <tr r="J34" s="17"/>
      </tp>
      <tp t="e">
        <v>#N/A</v>
        <stp/>
        <stp>BDH|10749234356089510665</stp>
        <tr r="W66" s="17"/>
      </tp>
      <tp t="e">
        <v>#N/A</v>
        <stp/>
        <stp>BDH|13570492342862979971</stp>
        <tr r="C68" s="24"/>
      </tp>
      <tp t="e">
        <v>#N/A</v>
        <stp/>
        <stp>BDH|13045218814760706821</stp>
        <tr r="N7" s="20"/>
        <tr r="N113" s="18"/>
      </tp>
      <tp t="e">
        <v>#N/A</v>
        <stp/>
        <stp>BDH|14941825618851678454</stp>
        <tr r="P31" s="21"/>
      </tp>
      <tp t="e">
        <v>#N/A</v>
        <stp/>
        <stp>BDH|10912185147919341450</stp>
        <tr r="Z17" s="20"/>
      </tp>
      <tp t="e">
        <v>#N/A</v>
        <stp/>
        <stp>BDH|17478135316898410752</stp>
        <tr r="U24" s="20"/>
      </tp>
      <tp t="e">
        <v>#N/A</v>
        <stp/>
        <stp>BDH|17618864788378090787</stp>
        <tr r="K71" s="17"/>
      </tp>
      <tp t="e">
        <v>#N/A</v>
        <stp/>
        <stp>BDH|10498652791677803085</stp>
        <tr r="T21" s="30"/>
      </tp>
      <tp t="e">
        <v>#N/A</v>
        <stp/>
        <stp>BDH|13747588087261131795</stp>
        <tr r="V44" s="34"/>
      </tp>
      <tp t="e">
        <v>#N/A</v>
        <stp/>
        <stp>BDH|16192637783461850197</stp>
        <tr r="AA151" s="18"/>
      </tp>
      <tp t="e">
        <v>#N/A</v>
        <stp/>
        <stp>BDH|13717279695795480518</stp>
        <tr r="S31" s="26"/>
      </tp>
      <tp t="e">
        <v>#N/A</v>
        <stp/>
        <stp>BDH|15060935822774634278</stp>
        <tr r="N12" s="22"/>
      </tp>
      <tp t="e">
        <v>#N/A</v>
        <stp/>
        <stp>BDH|12327295001471844939</stp>
        <tr r="N8" s="26"/>
        <tr r="K10" s="9"/>
      </tp>
      <tp t="e">
        <v>#N/A</v>
        <stp/>
        <stp>BDH|12742970596158193272</stp>
        <tr r="C26" s="18"/>
      </tp>
      <tp t="e">
        <v>#N/A</v>
        <stp/>
        <stp>BDH|14407069097560277576</stp>
        <tr r="E127" s="18"/>
      </tp>
      <tp t="e">
        <v>#N/A</v>
        <stp/>
        <stp>BDH|16848390516295489932</stp>
        <tr r="M172" s="18"/>
      </tp>
      <tp t="e">
        <v>#N/A</v>
        <stp/>
        <stp>BDH|16557254425927747920</stp>
        <tr r="O57" s="18"/>
      </tp>
      <tp t="e">
        <v>#N/A</v>
        <stp/>
        <stp>BDH|10244320391681795368</stp>
        <tr r="E19" s="26"/>
      </tp>
      <tp t="e">
        <v>#N/A</v>
        <stp/>
        <stp>BDH|10958131228478109332</stp>
        <tr r="M30" s="21"/>
      </tp>
      <tp t="e">
        <v>#N/A</v>
        <stp/>
        <stp>BDH|16780778290420941092</stp>
        <tr r="T32" s="9"/>
      </tp>
      <tp t="e">
        <v>#N/A</v>
        <stp/>
        <stp>BDH|11042171798776702780</stp>
        <tr r="M13" s="12"/>
      </tp>
      <tp t="e">
        <v>#N/A</v>
        <stp/>
        <stp>BDH|11615672572008370006</stp>
        <tr r="Q141" s="18"/>
      </tp>
      <tp t="e">
        <v>#N/A</v>
        <stp/>
        <stp>BDH|12243751585644565175</stp>
        <tr r="I62" s="24"/>
      </tp>
      <tp t="e">
        <v>#N/A</v>
        <stp/>
        <stp>BDH|17255030656052357840</stp>
        <tr r="K16" s="21"/>
      </tp>
      <tp t="e">
        <v>#N/A</v>
        <stp/>
        <stp>BDH|14016409830829907297</stp>
        <tr r="J57" s="11"/>
        <tr r="J24" s="4"/>
      </tp>
      <tp t="e">
        <v>#N/A</v>
        <stp/>
        <stp>BDH|17292775113920414922</stp>
        <tr r="S19" s="12"/>
      </tp>
      <tp t="e">
        <v>#N/A</v>
        <stp/>
        <stp>BDH|15269954524561323700</stp>
        <tr r="X45" s="11"/>
        <tr r="X56" s="10"/>
        <tr r="X16" s="7"/>
      </tp>
      <tp t="e">
        <v>#N/A</v>
        <stp/>
        <stp>BDH|11907082696746675617</stp>
        <tr r="M19" s="26"/>
      </tp>
      <tp t="e">
        <v>#N/A</v>
        <stp/>
        <stp>BDH|12658409722099211556</stp>
        <tr r="F18" s="28"/>
        <tr r="F15" s="17"/>
      </tp>
      <tp t="e">
        <v>#N/A</v>
        <stp/>
        <stp>BDH|10376111343139487464</stp>
        <tr r="N50" s="4"/>
      </tp>
      <tp t="e">
        <v>#N/A</v>
        <stp/>
        <stp>BDH|10514835360657710128</stp>
        <tr r="T134" s="18"/>
      </tp>
      <tp t="e">
        <v>#N/A</v>
        <stp/>
        <stp>BDH|11641754551438399327</stp>
        <tr r="M89" s="12"/>
      </tp>
      <tp t="e">
        <v>#N/A</v>
        <stp/>
        <stp>BDH|11038723427829709512</stp>
        <tr r="F16" s="12"/>
      </tp>
      <tp t="e">
        <v>#N/A</v>
        <stp/>
        <stp>BDH|17802148362469546182</stp>
        <tr r="C12" s="3"/>
      </tp>
      <tp t="e">
        <v>#N/A</v>
        <stp/>
        <stp>BDH|10331288529258771064</stp>
        <tr r="C63" s="21"/>
      </tp>
      <tp t="e">
        <v>#N/A</v>
        <stp/>
        <stp>BDH|17774180416397299887</stp>
        <tr r="W16" s="13"/>
        <tr r="W28" s="13"/>
        <tr r="U17" s="10"/>
      </tp>
      <tp t="e">
        <v>#N/A</v>
        <stp/>
        <stp>BDH|11017929067124748214</stp>
        <tr r="K21" s="18"/>
      </tp>
      <tp t="e">
        <v>#N/A</v>
        <stp/>
        <stp>BDH|17551619350449440535</stp>
        <tr r="D7" s="28"/>
      </tp>
      <tp t="e">
        <v>#N/A</v>
        <stp/>
        <stp>BDH|11531708451613357841</stp>
        <tr r="Y29" s="21"/>
      </tp>
      <tp t="e">
        <v>#N/A</v>
        <stp/>
        <stp>BDH|15824768584581976300</stp>
        <tr r="R31" s="21"/>
      </tp>
      <tp t="e">
        <v>#N/A</v>
        <stp/>
        <stp>BDH|13449037193516088476</stp>
        <tr r="L14" s="34"/>
      </tp>
      <tp t="e">
        <v>#N/A</v>
        <stp/>
        <stp>BDH|10969919109148072926</stp>
        <tr r="P13" s="11"/>
      </tp>
      <tp t="e">
        <v>#N/A</v>
        <stp/>
        <stp>BDH|10992583876359734335</stp>
        <tr r="H8" s="27"/>
      </tp>
      <tp t="e">
        <v>#N/A</v>
        <stp/>
        <stp>BDH|11114460281877050253</stp>
        <tr r="E66" s="12"/>
      </tp>
      <tp t="e">
        <v>#N/A</v>
        <stp/>
        <stp>BDH|17399206160672545953</stp>
        <tr r="E13" s="10"/>
      </tp>
      <tp t="e">
        <v>#N/A</v>
        <stp/>
        <stp>BDH|10655934857402982680</stp>
        <tr r="V21" s="18"/>
      </tp>
      <tp t="e">
        <v>#N/A</v>
        <stp/>
        <stp>BDH|14258409293597641640</stp>
        <tr r="P11" s="21"/>
      </tp>
      <tp t="e">
        <v>#N/A</v>
        <stp/>
        <stp>BDH|12936823387932999863</stp>
        <tr r="T9" s="23"/>
      </tp>
      <tp t="e">
        <v>#N/A</v>
        <stp/>
        <stp>BDH|17874326673699819225</stp>
        <tr r="D158" s="18"/>
      </tp>
      <tp t="e">
        <v>#N/A</v>
        <stp/>
        <stp>BDH|14432808336213839498</stp>
        <tr r="D95" s="18"/>
      </tp>
      <tp t="e">
        <v>#N/A</v>
        <stp/>
        <stp>BDH|13351253392108549822</stp>
        <tr r="X18" s="26"/>
      </tp>
      <tp t="e">
        <v>#N/A</v>
        <stp/>
        <stp>BDH|18146694869628747853</stp>
        <tr r="W170" s="18"/>
      </tp>
      <tp t="e">
        <v>#N/A</v>
        <stp/>
        <stp>BDH|13378078895506086423</stp>
        <tr r="J66" s="18"/>
      </tp>
      <tp t="e">
        <v>#N/A</v>
        <stp/>
        <stp>BDH|13036943571307348257</stp>
        <tr r="Q76" s="12"/>
      </tp>
      <tp t="e">
        <v>#N/A</v>
        <stp/>
        <stp>BDH|17300285087630749587</stp>
        <tr r="G58" s="24"/>
      </tp>
      <tp t="e">
        <v>#N/A</v>
        <stp/>
        <stp>BDH|17177017344712743903</stp>
        <tr r="I7" s="8"/>
      </tp>
      <tp t="e">
        <v>#N/A</v>
        <stp/>
        <stp>BDH|12554217193662053341</stp>
        <tr r="F28" s="22"/>
      </tp>
      <tp t="e">
        <v>#N/A</v>
        <stp/>
        <stp>BDH|12576317681004746513</stp>
        <tr r="J9" s="22"/>
      </tp>
      <tp t="e">
        <v>#N/A</v>
        <stp/>
        <stp>BDH|15373435190109333907</stp>
        <tr r="S19" s="24"/>
      </tp>
      <tp t="e">
        <v>#N/A</v>
        <stp/>
        <stp>BDH|11397439606515353867</stp>
        <tr r="I47" s="24"/>
      </tp>
      <tp t="e">
        <v>#N/A</v>
        <stp/>
        <stp>BDH|17160056715758501670</stp>
        <tr r="D24" s="13"/>
      </tp>
      <tp t="e">
        <v>#N/A</v>
        <stp/>
        <stp>BDH|12107916228404328586</stp>
        <tr r="T27" s="13"/>
      </tp>
      <tp t="e">
        <v>#N/A</v>
        <stp/>
        <stp>BDH|15869098158670872829</stp>
        <tr r="O54" s="18"/>
      </tp>
      <tp t="e">
        <v>#N/A</v>
        <stp/>
        <stp>BDH|12696876524826002661</stp>
        <tr r="E9" s="10"/>
      </tp>
      <tp t="e">
        <v>#N/A</v>
        <stp/>
        <stp>BDH|13676256161746620971</stp>
        <tr r="K16" s="28"/>
        <tr r="K13" s="17"/>
      </tp>
      <tp t="e">
        <v>#N/A</v>
        <stp/>
        <stp>BDH|14289804597885649804</stp>
        <tr r="D166" s="18"/>
      </tp>
      <tp t="e">
        <v>#N/A</v>
        <stp/>
        <stp>BDH|17664801435514525054</stp>
        <tr r="N77" s="17"/>
      </tp>
      <tp t="e">
        <v>#N/A</v>
        <stp/>
        <stp>BDH|13273871776335084109</stp>
        <tr r="AA37" s="12"/>
      </tp>
      <tp t="e">
        <v>#N/A</v>
        <stp/>
        <stp>BDH|17254876403495398275</stp>
        <tr r="N24" s="24"/>
      </tp>
      <tp t="e">
        <v>#N/A</v>
        <stp/>
        <stp>BDH|11598844408206315784</stp>
        <tr r="C8" s="13"/>
      </tp>
      <tp t="e">
        <v>#N/A</v>
        <stp/>
        <stp>BDH|11524068778349152786</stp>
        <tr r="C68" s="12"/>
      </tp>
      <tp t="e">
        <v>#N/A</v>
        <stp/>
        <stp>BDH|15024749751229277656</stp>
        <tr r="F76" s="18"/>
      </tp>
      <tp t="e">
        <v>#N/A</v>
        <stp/>
        <stp>BDH|14990366830064944844</stp>
        <tr r="T142" s="18"/>
      </tp>
      <tp t="e">
        <v>#N/A</v>
        <stp/>
        <stp>BDH|18208179745351701454</stp>
        <tr r="H19" s="18"/>
      </tp>
      <tp t="e">
        <v>#N/A</v>
        <stp/>
        <stp>BDH|15223294313568898627</stp>
        <tr r="P74" s="17"/>
      </tp>
      <tp t="e">
        <v>#N/A</v>
        <stp/>
        <stp>BDH|13144988793449952211</stp>
        <tr r="N52" s="17"/>
      </tp>
      <tp t="e">
        <v>#N/A</v>
        <stp/>
        <stp>BDH|10484981258391129574</stp>
        <tr r="W13" s="28"/>
        <tr r="W95" s="17"/>
      </tp>
      <tp t="e">
        <v>#N/A</v>
        <stp/>
        <stp>BDH|14385168898031646597</stp>
        <tr r="L22" s="30"/>
        <tr r="L24" s="23"/>
      </tp>
      <tp t="e">
        <v>#N/A</v>
        <stp/>
        <stp>BDH|17578055411016725843</stp>
        <tr r="U41" s="17"/>
      </tp>
      <tp t="e">
        <v>#N/A</v>
        <stp/>
        <stp>BDH|14710570782325590458</stp>
        <tr r="G10" s="22"/>
      </tp>
      <tp t="e">
        <v>#N/A</v>
        <stp/>
        <stp>BDH|10715049268678156688</stp>
        <tr r="R59" s="18"/>
      </tp>
      <tp t="e">
        <v>#N/A</v>
        <stp/>
        <stp>BDH|17003428251379814799</stp>
        <tr r="M47" s="17"/>
      </tp>
      <tp t="e">
        <v>#N/A</v>
        <stp/>
        <stp>BDH|10598044998492933328</stp>
        <tr r="Z19" s="30"/>
      </tp>
      <tp t="e">
        <v>#N/A</v>
        <stp/>
        <stp>BDH|14096825106381663508</stp>
        <tr r="S15" s="22"/>
      </tp>
      <tp t="e">
        <v>#N/A</v>
        <stp/>
        <stp>BDH|18073694248544239614</stp>
        <tr r="E9" s="17"/>
      </tp>
      <tp t="e">
        <v>#N/A</v>
        <stp/>
        <stp>BDH|18355366903423357073</stp>
        <tr r="W18" s="26"/>
      </tp>
      <tp t="e">
        <v>#N/A</v>
        <stp/>
        <stp>BDH|14994449551624879960</stp>
        <tr r="J18" s="25"/>
      </tp>
      <tp t="e">
        <v>#N/A</v>
        <stp/>
        <stp>BDH|17505034641818158348</stp>
        <tr r="C35" s="25"/>
        <tr r="C17" s="27"/>
      </tp>
      <tp t="e">
        <v>#N/A</v>
        <stp/>
        <stp>BDH|12914597680617582079</stp>
        <tr r="S79" s="12"/>
      </tp>
      <tp t="e">
        <v>#N/A</v>
        <stp/>
        <stp>BDH|15158449946935718864</stp>
        <tr r="Q69" s="12"/>
      </tp>
      <tp t="e">
        <v>#N/A</v>
        <stp/>
        <stp>BDH|12411919222800271177</stp>
        <tr r="Z12" s="18"/>
      </tp>
      <tp t="e">
        <v>#N/A</v>
        <stp/>
        <stp>BDH|12440411050049516224</stp>
        <tr r="W15" s="25"/>
      </tp>
      <tp t="e">
        <v>#N/A</v>
        <stp/>
        <stp>BDH|11238506653638033137</stp>
        <tr r="O46" s="18"/>
      </tp>
      <tp t="e">
        <v>#N/A</v>
        <stp/>
        <stp>BDH|12818541878589487128</stp>
        <tr r="I25" s="24"/>
      </tp>
      <tp t="e">
        <v>#N/A</v>
        <stp/>
        <stp>BDH|15577436666698247706</stp>
        <tr r="J26" s="22"/>
      </tp>
      <tp t="e">
        <v>#N/A</v>
        <stp/>
        <stp>BDH|17662113058289475295</stp>
        <tr r="Q31" s="14"/>
      </tp>
      <tp t="e">
        <v>#N/A</v>
        <stp/>
        <stp>BDH|10604774570308221011</stp>
        <tr r="J19" s="9"/>
      </tp>
      <tp t="e">
        <v>#N/A</v>
        <stp/>
        <stp>BDH|13032886219276483405</stp>
        <tr r="Y131" s="18"/>
      </tp>
      <tp t="e">
        <v>#N/A</v>
        <stp/>
        <stp>BDH|14710954372832419015</stp>
        <tr r="AA12" s="25"/>
      </tp>
      <tp t="e">
        <v>#N/A</v>
        <stp/>
        <stp>BDH|13949386383460464039</stp>
        <tr r="N41" s="21"/>
      </tp>
      <tp t="e">
        <v>#N/A</v>
        <stp/>
        <stp>BDH|13586814039278046883</stp>
        <tr r="U13" s="27"/>
        <tr r="U31" s="25"/>
      </tp>
      <tp t="e">
        <v>#N/A</v>
        <stp/>
        <stp>BDH|18342765970070001009</stp>
        <tr r="O67" s="17"/>
      </tp>
      <tp t="e">
        <v>#N/A</v>
        <stp/>
        <stp>BDH|17807655897339664998</stp>
        <tr r="E18" s="28"/>
        <tr r="E15" s="17"/>
      </tp>
      <tp t="e">
        <v>#N/A</v>
        <stp/>
        <stp>BDH|12041458058618904312</stp>
        <tr r="AA165" s="18"/>
      </tp>
      <tp t="e">
        <v>#N/A</v>
        <stp/>
        <stp>BDH|17360762685180687032</stp>
        <tr r="H160" s="18"/>
      </tp>
      <tp t="e">
        <v>#N/A</v>
        <stp/>
        <stp>BDH|12901467418849024623</stp>
        <tr r="P33" s="6"/>
      </tp>
      <tp t="e">
        <v>#N/A</v>
        <stp/>
        <stp>BDH|16548990714786451098</stp>
        <tr r="E34" s="17"/>
      </tp>
      <tp t="e">
        <v>#N/A</v>
        <stp/>
        <stp>BDH|11945592402124783801</stp>
        <tr r="AA87" s="18"/>
      </tp>
      <tp t="e">
        <v>#N/A</v>
        <stp/>
        <stp>BDH|13836340018669530048</stp>
        <tr r="W93" s="12"/>
      </tp>
      <tp t="e">
        <v>#N/A</v>
        <stp/>
        <stp>BDH|17487737069328302681</stp>
        <tr r="R18" s="20"/>
      </tp>
      <tp t="e">
        <v>#N/A</v>
        <stp/>
        <stp>BDH|13421443041992648921</stp>
        <tr r="I15" s="10"/>
      </tp>
      <tp t="e">
        <v>#N/A</v>
        <stp/>
        <stp>BDH|17003344694573341668</stp>
        <tr r="Q55" s="13"/>
      </tp>
      <tp t="e">
        <v>#N/A</v>
        <stp/>
        <stp>BDH|16023904027896527370</stp>
        <tr r="R44" s="13"/>
        <tr r="P36" s="11"/>
        <tr r="P47" s="10"/>
        <tr r="P52" s="4"/>
        <tr r="R8" s="3"/>
      </tp>
      <tp t="e">
        <v>#N/A</v>
        <stp/>
        <stp>BDH|11432965109807663784</stp>
        <tr r="Y45" s="21"/>
      </tp>
      <tp t="e">
        <v>#N/A</v>
        <stp/>
        <stp>BDH|12359947592442337836</stp>
        <tr r="J9" s="25"/>
        <tr r="J44" s="17"/>
      </tp>
      <tp t="e">
        <v>#N/A</v>
        <stp/>
        <stp>BDH|14865166420696802935</stp>
        <tr r="M18" s="9"/>
      </tp>
      <tp t="e">
        <v>#N/A</v>
        <stp/>
        <stp>BDH|18149839487508399832</stp>
        <tr r="S12" s="26"/>
      </tp>
      <tp t="e">
        <v>#N/A</v>
        <stp/>
        <stp>BDH|15329560075286300963</stp>
        <tr r="Q12" s="13"/>
      </tp>
      <tp t="e">
        <v>#N/A</v>
        <stp/>
        <stp>BDH|17269272342888199137</stp>
        <tr r="H13" s="29"/>
        <tr r="H22" s="29"/>
        <tr r="H36" s="29"/>
      </tp>
      <tp t="e">
        <v>#N/A</v>
        <stp/>
        <stp>BDH|17687593982970876204</stp>
        <tr r="O43" s="17"/>
      </tp>
      <tp t="e">
        <v>#N/A</v>
        <stp/>
        <stp>BDH|12219625953639209043</stp>
        <tr r="G16" s="6"/>
      </tp>
      <tp t="e">
        <v>#N/A</v>
        <stp/>
        <stp>BDH|11460916077253240457</stp>
        <tr r="H75" s="24"/>
      </tp>
      <tp t="e">
        <v>#N/A</v>
        <stp/>
        <stp>BDH|13987898100776765520</stp>
        <tr r="M17" s="27"/>
        <tr r="M35" s="25"/>
        <tr r="J14" s="5"/>
      </tp>
      <tp t="e">
        <v>#N/A</v>
        <stp/>
        <stp>BDH|17145927665224506460</stp>
        <tr r="D47" s="6"/>
      </tp>
      <tp t="e">
        <v>#N/A</v>
        <stp/>
        <stp>BDH|11784948309353741386</stp>
        <tr r="T36" s="29"/>
        <tr r="T13" s="29"/>
        <tr r="T22" s="29"/>
      </tp>
      <tp t="e">
        <v>#N/A</v>
        <stp/>
        <stp>BDH|10384499264313269994</stp>
        <tr r="U22" s="25"/>
      </tp>
      <tp t="e">
        <v>#N/A</v>
        <stp/>
        <stp>BDH|17205628023942519930</stp>
        <tr r="AA79" s="17"/>
        <tr r="AA19" s="3"/>
      </tp>
      <tp t="e">
        <v>#N/A</v>
        <stp/>
        <stp>BDH|16765536372765420975</stp>
        <tr r="H66" s="18"/>
      </tp>
      <tp t="e">
        <v>#N/A</v>
        <stp/>
        <stp>BDH|16188849545474101642</stp>
        <tr r="I22" s="6"/>
      </tp>
      <tp t="e">
        <v>#N/A</v>
        <stp/>
        <stp>BDH|10559860829916924469</stp>
        <tr r="C33" s="17"/>
      </tp>
      <tp t="e">
        <v>#N/A</v>
        <stp/>
        <stp>BDH|13731096486270553385</stp>
        <tr r="Z25" s="3"/>
      </tp>
      <tp t="e">
        <v>#N/A</v>
        <stp/>
        <stp>BDH|12020093167275904924</stp>
        <tr r="P72" s="24"/>
      </tp>
      <tp t="e">
        <v>#N/A</v>
        <stp/>
        <stp>BDH|17915683776699418763</stp>
        <tr r="J6" s="16"/>
        <tr r="K6" s="11"/>
        <tr r="M6" s="3"/>
        <tr r="K10" s="4"/>
      </tp>
      <tp t="e">
        <v>#N/A</v>
        <stp/>
        <stp>BDH|13563200592291626143</stp>
        <tr r="I13" s="18"/>
      </tp>
      <tp t="e">
        <v>#N/A</v>
        <stp/>
        <stp>BDH|16048675196633743236</stp>
        <tr r="V7" s="11"/>
      </tp>
      <tp t="e">
        <v>#N/A</v>
        <stp/>
        <stp>BDH|14503963632102500416</stp>
        <tr r="V167" s="18"/>
      </tp>
      <tp t="e">
        <v>#N/A</v>
        <stp/>
        <stp>BDH|10139455628869169793</stp>
        <tr r="J8" s="25"/>
        <tr r="G10" s="5"/>
        <tr r="H9" s="2"/>
      </tp>
      <tp t="e">
        <v>#N/A</v>
        <stp/>
        <stp>BDH|14678702342616684961</stp>
        <tr r="C90" s="17"/>
      </tp>
      <tp t="e">
        <v>#N/A</v>
        <stp/>
        <stp>BDH|18280373181612569951</stp>
        <tr r="P40" s="24"/>
      </tp>
      <tp t="e">
        <v>#N/A</v>
        <stp/>
        <stp>BDH|12281515038089952562</stp>
        <tr r="Z16" s="18"/>
      </tp>
      <tp t="e">
        <v>#N/A</v>
        <stp/>
        <stp>BDH|12318453294612291547</stp>
        <tr r="E53" s="22"/>
      </tp>
      <tp t="e">
        <v>#N/A</v>
        <stp/>
        <stp>BDH|13598879424609392816</stp>
        <tr r="Q40" s="12"/>
      </tp>
      <tp t="e">
        <v>#N/A</v>
        <stp/>
        <stp>BDH|11764485912909824510</stp>
        <tr r="L31" s="22"/>
      </tp>
      <tp t="e">
        <v>#N/A</v>
        <stp/>
        <stp>BDH|10657855314275738449</stp>
        <tr r="P41" s="12"/>
      </tp>
      <tp t="e">
        <v>#N/A</v>
        <stp/>
        <stp>BDH|17909745514969901044</stp>
        <tr r="F123" s="18"/>
      </tp>
      <tp t="e">
        <v>#N/A</v>
        <stp/>
        <stp>BDH|14898819259810378170</stp>
        <tr r="U75" s="12"/>
      </tp>
      <tp t="e">
        <v>#N/A</v>
        <stp/>
        <stp>BDH|15259859120405453273</stp>
        <tr r="C6" s="27"/>
      </tp>
      <tp t="e">
        <v>#N/A</v>
        <stp/>
        <stp>BDH|15077581858035419809</stp>
        <tr r="W22" s="27"/>
      </tp>
      <tp t="e">
        <v>#N/A</v>
        <stp/>
        <stp>BDH|13076828761331445436</stp>
        <tr r="J14" s="11"/>
      </tp>
      <tp t="e">
        <v>#N/A</v>
        <stp/>
        <stp>BDH|10451532495424087065</stp>
        <tr r="T8" s="23"/>
      </tp>
      <tp t="e">
        <v>#N/A</v>
        <stp/>
        <stp>BDH|10977696824959568550</stp>
        <tr r="V31" s="29"/>
      </tp>
      <tp t="e">
        <v>#N/A</v>
        <stp/>
        <stp>BDH|12922383776336498876</stp>
        <tr r="D38" s="26"/>
      </tp>
      <tp t="e">
        <v>#N/A</v>
        <stp/>
        <stp>BDH|18281320815252537044</stp>
        <tr r="AA62" s="17"/>
      </tp>
      <tp t="e">
        <v>#N/A</v>
        <stp/>
        <stp>BDH|11193509940749311165</stp>
        <tr r="L18" s="6"/>
      </tp>
      <tp t="e">
        <v>#N/A</v>
        <stp/>
        <stp>BDH|12473657843381646904</stp>
        <tr r="F74" s="24"/>
      </tp>
      <tp t="e">
        <v>#N/A</v>
        <stp/>
        <stp>BDH|16011482898091795239</stp>
        <tr r="S82" s="12"/>
      </tp>
      <tp t="e">
        <v>#N/A</v>
        <stp/>
        <stp>BDH|17179588581556809449</stp>
        <tr r="Q90" s="18"/>
      </tp>
      <tp t="e">
        <v>#N/A</v>
        <stp/>
        <stp>BDH|14306912290269744516</stp>
        <tr r="D34" s="26"/>
      </tp>
      <tp t="e">
        <v>#N/A</v>
        <stp/>
        <stp>BDH|14279193596097954303</stp>
        <tr r="G18" s="17"/>
      </tp>
      <tp t="e">
        <v>#N/A</v>
        <stp/>
        <stp>BDH|17090479715239075367</stp>
        <tr r="W68" s="10"/>
        <tr r="W25" s="4"/>
      </tp>
      <tp t="e">
        <v>#N/A</v>
        <stp/>
        <stp>BDH|11310629371449482105</stp>
        <tr r="S51" s="12"/>
      </tp>
      <tp t="e">
        <v>#N/A</v>
        <stp/>
        <stp>BDH|10826683374100275926</stp>
        <tr r="J42" s="11"/>
        <tr r="J53" s="10"/>
        <tr r="J8" s="7"/>
        <tr r="L11" s="3"/>
      </tp>
      <tp t="e">
        <v>#N/A</v>
        <stp/>
        <stp>BDH|15394529139742971951</stp>
        <tr r="R34" s="6"/>
      </tp>
      <tp t="e">
        <v>#N/A</v>
        <stp/>
        <stp>BDH|12497815816623331049</stp>
        <tr r="J56" s="11"/>
      </tp>
      <tp t="e">
        <v>#N/A</v>
        <stp/>
        <stp>BDH|17883795083084147479</stp>
        <tr r="G88" s="12"/>
      </tp>
      <tp t="e">
        <v>#N/A</v>
        <stp/>
        <stp>BDH|12286851175277299242</stp>
        <tr r="K9" s="17"/>
      </tp>
      <tp t="e">
        <v>#N/A</v>
        <stp/>
        <stp>BDH|14804855914474852154</stp>
        <tr r="N151" s="18"/>
      </tp>
      <tp t="e">
        <v>#N/A</v>
        <stp/>
        <stp>BDH|11558917740340548455</stp>
        <tr r="G20" s="21"/>
      </tp>
      <tp t="e">
        <v>#N/A</v>
        <stp/>
        <stp>BDH|14351151821326304901</stp>
        <tr r="H25" s="3"/>
      </tp>
      <tp t="e">
        <v>#N/A</v>
        <stp/>
        <stp>BDH|16687048683625054355</stp>
        <tr r="O15" s="10"/>
      </tp>
      <tp t="e">
        <v>#N/A</v>
        <stp/>
        <stp>BDH|17465995039363160610</stp>
        <tr r="U8" s="26"/>
        <tr r="R10" s="9"/>
      </tp>
      <tp t="e">
        <v>#N/A</v>
        <stp/>
        <stp>BDH|13445836452755518341</stp>
        <tr r="W70" s="12"/>
      </tp>
      <tp t="e">
        <v>#N/A</v>
        <stp/>
        <stp>BDH|16535110666081271841</stp>
        <tr r="V64" s="18"/>
      </tp>
      <tp t="e">
        <v>#N/A</v>
        <stp/>
        <stp>BDH|10648075945334964891</stp>
        <tr r="K49" s="18"/>
      </tp>
      <tp t="e">
        <v>#N/A</v>
        <stp/>
        <stp>BDH|11341770690341625660</stp>
        <tr r="J121" s="18"/>
      </tp>
      <tp t="e">
        <v>#N/A</v>
        <stp/>
        <stp>BDH|12572231941278085438</stp>
        <tr r="G65" s="11"/>
        <tr r="G76" s="10"/>
      </tp>
      <tp t="e">
        <v>#N/A</v>
        <stp/>
        <stp>BDH|15230417205119536072</stp>
        <tr r="C22" s="14"/>
      </tp>
      <tp t="e">
        <v>#N/A</v>
        <stp/>
        <stp>BDH|16622300297014227074</stp>
        <tr r="U13" s="9"/>
      </tp>
      <tp t="e">
        <v>#N/A</v>
        <stp/>
        <stp>BDH|14422001599231867413</stp>
        <tr r="K8" s="11"/>
      </tp>
      <tp t="e">
        <v>#N/A</v>
        <stp/>
        <stp>BDH|15391966163340868291</stp>
        <tr r="N74" s="17"/>
      </tp>
      <tp t="e">
        <v>#N/A</v>
        <stp/>
        <stp>BDH|13883782585440358411</stp>
        <tr r="E68" s="13"/>
      </tp>
      <tp t="e">
        <v>#N/A</v>
        <stp/>
        <stp>BDH|15753668477799772564</stp>
        <tr r="C44" s="34"/>
      </tp>
      <tp t="e">
        <v>#N/A</v>
        <stp/>
        <stp>BDH|13413783797177529298</stp>
        <tr r="N8" s="27"/>
      </tp>
      <tp t="e">
        <v>#N/A</v>
        <stp/>
        <stp>BDH|15259569053705339831</stp>
        <tr r="T42" s="18"/>
      </tp>
      <tp t="e">
        <v>#N/A</v>
        <stp/>
        <stp>BDH|12542748598192665683</stp>
        <tr r="Y8" s="14"/>
      </tp>
      <tp t="e">
        <v>#N/A</v>
        <stp/>
        <stp>BDH|17455268632759148761</stp>
        <tr r="P15" s="12"/>
      </tp>
      <tp t="e">
        <v>#N/A</v>
        <stp/>
        <stp>BDH|11256810824281910299</stp>
        <tr r="V12" s="12"/>
      </tp>
      <tp t="e">
        <v>#N/A</v>
        <stp/>
        <stp>BDH|15716879333971599716</stp>
        <tr r="W17" s="12"/>
      </tp>
      <tp t="e">
        <v>#N/A</v>
        <stp/>
        <stp>BDH|11189177682468358800</stp>
        <tr r="T126" s="18"/>
      </tp>
      <tp t="e">
        <v>#N/A</v>
        <stp/>
        <stp>BDH|13662963221059710919</stp>
        <tr r="V23" s="9"/>
      </tp>
      <tp t="e">
        <v>#N/A</v>
        <stp/>
        <stp>BDH|17146247595345585125</stp>
        <tr r="Q7" s="23"/>
      </tp>
      <tp t="e">
        <v>#N/A</v>
        <stp/>
        <stp>BDH|17155518336671169801</stp>
        <tr r="P16" s="6"/>
      </tp>
      <tp t="e">
        <v>#N/A</v>
        <stp/>
        <stp>BDH|10592441178203868860</stp>
        <tr r="H18" s="10"/>
      </tp>
      <tp t="e">
        <v>#N/A</v>
        <stp/>
        <stp>BDH|10812938166410805721</stp>
        <tr r="S49" s="12"/>
      </tp>
      <tp t="e">
        <v>#N/A</v>
        <stp/>
        <stp>BDH|12651358822842305956</stp>
        <tr r="D76" s="24"/>
      </tp>
      <tp t="e">
        <v>#N/A</v>
        <stp/>
        <stp>BDH|13012926542674702202</stp>
        <tr r="W31" s="9"/>
      </tp>
      <tp t="e">
        <v>#N/A</v>
        <stp/>
        <stp>BDH|11751752184214847290</stp>
        <tr r="H32" s="6"/>
      </tp>
      <tp t="e">
        <v>#N/A</v>
        <stp/>
        <stp>BDH|17407941675133293208</stp>
        <tr r="Y52" s="17"/>
      </tp>
      <tp t="e">
        <v>#N/A</v>
        <stp/>
        <stp>BDH|11385580193607794286</stp>
        <tr r="X22" s="10"/>
      </tp>
      <tp t="e">
        <v>#N/A</v>
        <stp/>
        <stp>BDH|13346478609979263683</stp>
        <tr r="K14" s="22"/>
      </tp>
      <tp t="e">
        <v>#N/A</v>
        <stp/>
        <stp>BDH|13193126081555492714</stp>
        <tr r="W83" s="12"/>
      </tp>
      <tp t="e">
        <v>#N/A</v>
        <stp/>
        <stp>BDH|17962876623423272685</stp>
        <tr r="M36" s="18"/>
      </tp>
      <tp t="e">
        <v>#N/A</v>
        <stp/>
        <stp>BDH|15483227249243998811</stp>
        <tr r="P42" s="29"/>
        <tr r="P33" s="29"/>
        <tr r="N55" s="6"/>
        <tr r="N11" s="5"/>
        <tr r="O10" s="2"/>
      </tp>
      <tp t="e">
        <v>#N/A</v>
        <stp/>
        <stp>BDH|13603687839179905793</stp>
        <tr r="Q37" s="13"/>
        <tr r="O30" s="10"/>
      </tp>
      <tp t="e">
        <v>#N/A</v>
        <stp/>
        <stp>BDH|10134646891183790448</stp>
        <tr r="Y41" s="13"/>
        <tr r="W23" s="10"/>
        <tr r="W46" s="4"/>
      </tp>
      <tp t="e">
        <v>#N/A</v>
        <stp/>
        <stp>BDH|16295210774983754871</stp>
        <tr r="J72" s="17"/>
      </tp>
      <tp t="e">
        <v>#N/A</v>
        <stp/>
        <stp>BDH|17628650181363031256</stp>
        <tr r="X17" s="6"/>
      </tp>
      <tp t="e">
        <v>#N/A</v>
        <stp/>
        <stp>BDH|10278393862015958875</stp>
        <tr r="I8" s="29"/>
        <tr r="I30" s="29"/>
      </tp>
      <tp t="e">
        <v>#N/A</v>
        <stp/>
        <stp>BDH|16337730641079341453</stp>
        <tr r="U85" s="17"/>
      </tp>
      <tp t="e">
        <v>#N/A</v>
        <stp/>
        <stp>BDH|16540612506549556102</stp>
        <tr r="Z20" s="21"/>
      </tp>
      <tp t="e">
        <v>#N/A</v>
        <stp/>
        <stp>BDH|14830395356358916290</stp>
        <tr r="N39" s="29"/>
        <tr r="N16" s="29"/>
      </tp>
      <tp t="e">
        <v>#N/A</v>
        <stp/>
        <stp>BDH|10158100960019382646</stp>
        <tr r="D10" s="26"/>
      </tp>
      <tp t="e">
        <v>#N/A</v>
        <stp/>
        <stp>BDH|10057127827622076939</stp>
        <tr r="H40" s="18"/>
      </tp>
      <tp t="e">
        <v>#N/A</v>
        <stp/>
        <stp>BDH|13423902237736095757</stp>
        <tr r="K45" s="34"/>
      </tp>
      <tp t="e">
        <v>#N/A</v>
        <stp/>
        <stp>BDH|16775418711119573240</stp>
        <tr r="O23" s="21"/>
      </tp>
      <tp t="e">
        <v>#N/A</v>
        <stp/>
        <stp>BDH|16668488090112957112</stp>
        <tr r="V20" s="29"/>
      </tp>
      <tp t="e">
        <v>#N/A</v>
        <stp/>
        <stp>BDH|14933289276638775163</stp>
        <tr r="D44" s="21"/>
      </tp>
      <tp t="e">
        <v>#N/A</v>
        <stp/>
        <stp>BDH|17200948058436113595</stp>
        <tr r="T32" s="5"/>
      </tp>
      <tp t="e">
        <v>#N/A</v>
        <stp/>
        <stp>BDH|18292177133404420640</stp>
        <tr r="W22" s="18"/>
      </tp>
      <tp t="e">
        <v>#N/A</v>
        <stp/>
        <stp>BDH|10098800439506810572</stp>
        <tr r="M111" s="18"/>
      </tp>
      <tp t="e">
        <v>#N/A</v>
        <stp/>
        <stp>BDH|16574119777040472817</stp>
        <tr r="C34" s="21"/>
      </tp>
      <tp t="e">
        <v>#N/A</v>
        <stp/>
        <stp>BDH|12884809153835963243</stp>
        <tr r="O83" s="12"/>
      </tp>
      <tp t="e">
        <v>#N/A</v>
        <stp/>
        <stp>BDH|17554379495467617275</stp>
        <tr r="R76" s="12"/>
      </tp>
      <tp t="e">
        <v>#N/A</v>
        <stp/>
        <stp>BDH|11239655285010366773</stp>
        <tr r="W24" s="6"/>
      </tp>
      <tp t="e">
        <v>#N/A</v>
        <stp/>
        <stp>BDH|15529732735019040057</stp>
        <tr r="Z69" s="17"/>
        <tr r="Z18" s="3"/>
      </tp>
      <tp t="e">
        <v>#N/A</v>
        <stp/>
        <stp>BDH|11392855804319055849</stp>
        <tr r="Q62" s="18"/>
      </tp>
      <tp t="e">
        <v>#N/A</v>
        <stp/>
        <stp>BDH|16793888010311886619</stp>
        <tr r="V11" s="20"/>
        <tr r="V116" s="18"/>
      </tp>
      <tp t="e">
        <v>#N/A</v>
        <stp/>
        <stp>BDH|12990146468138746549</stp>
        <tr r="N160" s="18"/>
      </tp>
      <tp t="e">
        <v>#N/A</v>
        <stp/>
        <stp>BDH|14867634542769711786</stp>
        <tr r="D14" s="10"/>
      </tp>
      <tp t="e">
        <v>#N/A</v>
        <stp/>
        <stp>BDH|12142014599990938368</stp>
        <tr r="S92" s="18"/>
      </tp>
      <tp t="e">
        <v>#N/A</v>
        <stp/>
        <stp>BDH|14017437076889671658</stp>
        <tr r="M73" s="13"/>
        <tr r="K50" s="11"/>
        <tr r="K61" s="10"/>
        <tr r="K19" s="7"/>
        <tr r="K20" s="2"/>
        <tr r="K18" s="4"/>
      </tp>
      <tp t="e">
        <v>#N/A</v>
        <stp/>
        <stp>BDH|18032241372870428549</stp>
        <tr r="Q43" s="17"/>
      </tp>
      <tp t="e">
        <v>#N/A</v>
        <stp/>
        <stp>BDH|12668941845113368421</stp>
        <tr r="U94" s="12"/>
      </tp>
      <tp t="e">
        <v>#N/A</v>
        <stp/>
        <stp>BDH|12158173065248179542</stp>
        <tr r="W37" s="17"/>
      </tp>
      <tp t="e">
        <v>#N/A</v>
        <stp/>
        <stp>BDH|13458966076914788152</stp>
        <tr r="T82" s="12"/>
      </tp>
      <tp t="e">
        <v>#N/A</v>
        <stp/>
        <stp>BDH|12592959879314872073</stp>
        <tr r="M68" s="24"/>
      </tp>
      <tp t="e">
        <v>#N/A</v>
        <stp/>
        <stp>BDH|13499903481238484277</stp>
        <tr r="E48" s="21"/>
      </tp>
      <tp t="e">
        <v>#N/A</v>
        <stp/>
        <stp>BDH|18296767281578791745</stp>
        <tr r="Z64" s="12"/>
      </tp>
      <tp t="e">
        <v>#N/A</v>
        <stp/>
        <stp>BDH|14565005409489948535</stp>
        <tr r="AA48" s="12"/>
      </tp>
      <tp t="e">
        <v>#N/A</v>
        <stp/>
        <stp>BDH|15510248163948428107</stp>
        <tr r="C52" s="34"/>
      </tp>
      <tp t="e">
        <v>#N/A</v>
        <stp/>
        <stp>BDH|18213924830772556832</stp>
        <tr r="K61" s="12"/>
      </tp>
      <tp t="e">
        <v>#N/A</v>
        <stp/>
        <stp>BDH|13327762449468281088</stp>
        <tr r="Y42" s="24"/>
      </tp>
      <tp t="e">
        <v>#N/A</v>
        <stp/>
        <stp>BDH|11745091457725664990</stp>
        <tr r="F7" s="20"/>
        <tr r="F113" s="18"/>
      </tp>
      <tp t="e">
        <v>#N/A</v>
        <stp/>
        <stp>BDH|17644291689581722488</stp>
        <tr r="V42" s="11"/>
        <tr r="V53" s="10"/>
        <tr r="V8" s="7"/>
        <tr r="X11" s="3"/>
      </tp>
      <tp t="e">
        <v>#N/A</v>
        <stp/>
        <stp>BDH|10573971956127542389</stp>
        <tr r="X13" s="8"/>
      </tp>
      <tp t="e">
        <v>#N/A</v>
        <stp/>
        <stp>BDH|12585737360472677996</stp>
        <tr r="R20" s="28"/>
        <tr r="R17" s="17"/>
      </tp>
      <tp t="e">
        <v>#N/A</v>
        <stp/>
        <stp>BDH|16131581491853792169</stp>
        <tr r="I36" s="34"/>
      </tp>
      <tp t="e">
        <v>#N/A</v>
        <stp/>
        <stp>BDH|14401897299579839458</stp>
        <tr r="I39" s="13"/>
        <tr r="G32" s="10"/>
      </tp>
      <tp t="e">
        <v>#N/A</v>
        <stp/>
        <stp>BDH|17567690794395757568</stp>
        <tr r="J68" s="18"/>
      </tp>
      <tp t="e">
        <v>#N/A</v>
        <stp/>
        <stp>BDH|13919838121413159236</stp>
        <tr r="Z44" s="21"/>
      </tp>
      <tp t="e">
        <v>#N/A</v>
        <stp/>
        <stp>BDH|18153105110810106094</stp>
        <tr r="R14" s="29"/>
        <tr r="R37" s="29"/>
        <tr r="R23" s="29"/>
      </tp>
      <tp t="e">
        <v>#N/A</v>
        <stp/>
        <stp>BDH|10962663661230378843</stp>
        <tr r="Z23" s="18"/>
      </tp>
      <tp t="e">
        <v>#N/A</v>
        <stp/>
        <stp>BDH|16613443417119899249</stp>
        <tr r="C89" s="12"/>
      </tp>
      <tp t="e">
        <v>#N/A</v>
        <stp/>
        <stp>BDH|13434931439087622613</stp>
        <tr r="M57" s="6"/>
      </tp>
      <tp t="e">
        <v>#N/A</v>
        <stp/>
        <stp>BDH|18176684715881093651</stp>
        <tr r="C52" s="22"/>
      </tp>
      <tp t="e">
        <v>#N/A</v>
        <stp/>
        <stp>BDH|10172864561651727784</stp>
        <tr r="R20" s="21"/>
      </tp>
      <tp t="e">
        <v>#N/A</v>
        <stp/>
        <stp>BDH|11947894072667357180</stp>
        <tr r="J50" s="18"/>
      </tp>
      <tp t="e">
        <v>#N/A</v>
        <stp/>
        <stp>BDH|16535812338220729523</stp>
        <tr r="L33" s="22"/>
      </tp>
      <tp t="e">
        <v>#N/A</v>
        <stp/>
        <stp>BDH|10264120688285952483</stp>
        <tr r="G11" s="24"/>
      </tp>
      <tp t="e">
        <v>#N/A</v>
        <stp/>
        <stp>BDH|15498435998833136375</stp>
        <tr r="W169" s="18"/>
      </tp>
      <tp t="e">
        <v>#N/A</v>
        <stp/>
        <stp>BDH|18176003375281457692</stp>
        <tr r="N34" s="21"/>
      </tp>
      <tp t="e">
        <v>#N/A</v>
        <stp/>
        <stp>BDH|17587627323832461990</stp>
        <tr r="G53" s="21"/>
      </tp>
      <tp t="e">
        <v>#N/A</v>
        <stp/>
        <stp>BDH|12634346410411997928</stp>
        <tr r="X34" s="17"/>
      </tp>
      <tp t="e">
        <v>#N/A</v>
        <stp/>
        <stp>BDH|10031749185586902118</stp>
        <tr r="T41" s="22"/>
      </tp>
      <tp t="e">
        <v>#N/A</v>
        <stp/>
        <stp>BDH|14781079833706858924</stp>
        <tr r="L68" s="12"/>
      </tp>
      <tp t="e">
        <v>#N/A</v>
        <stp/>
        <stp>BDH|14471852869774657671</stp>
        <tr r="T13" s="18"/>
      </tp>
      <tp t="e">
        <v>#N/A</v>
        <stp/>
        <stp>BDH|10426893446294313014</stp>
        <tr r="C44" s="21"/>
      </tp>
      <tp t="e">
        <v>#N/A</v>
        <stp/>
        <stp>BDH|16986496388877527542</stp>
        <tr r="E7" s="11"/>
      </tp>
      <tp t="e">
        <v>#N/A</v>
        <stp/>
        <stp>BDH|15036891442924784555</stp>
        <tr r="F17" s="12"/>
      </tp>
      <tp t="e">
        <v>#N/A</v>
        <stp/>
        <stp>BDH|14519292861291218966</stp>
        <tr r="K10" s="23"/>
      </tp>
      <tp t="e">
        <v>#N/A</v>
        <stp/>
        <stp>BDH|17067765017319068083</stp>
        <tr r="W7" s="4"/>
      </tp>
      <tp t="e">
        <v>#N/A</v>
        <stp/>
        <stp>BDH|16002928814992974463</stp>
        <tr r="K70" s="17"/>
        <tr r="H8" s="5"/>
        <tr r="H8" s="9"/>
      </tp>
      <tp t="e">
        <v>#N/A</v>
        <stp/>
        <stp>BDH|11844263573674239866</stp>
        <tr r="C53" s="34"/>
      </tp>
      <tp t="e">
        <v>#N/A</v>
        <stp/>
        <stp>BDH|12080000788063392125</stp>
        <tr r="K33" s="6"/>
      </tp>
      <tp t="e">
        <v>#N/A</v>
        <stp/>
        <stp>BDH|12079568089073119465</stp>
        <tr r="R12" s="25"/>
      </tp>
      <tp t="e">
        <v>#N/A</v>
        <stp/>
        <stp>BDH|13753394790161734018</stp>
        <tr r="V166" s="18"/>
      </tp>
      <tp t="e">
        <v>#N/A</v>
        <stp/>
        <stp>BDH|14601288685554110227</stp>
        <tr r="N8" s="11"/>
      </tp>
      <tp t="e">
        <v>#N/A</v>
        <stp/>
        <stp>BDH|16582066689184430266</stp>
        <tr r="P58" s="24"/>
      </tp>
      <tp t="e">
        <v>#N/A</v>
        <stp/>
        <stp>BDH|16773930611931568781</stp>
        <tr r="D58" s="6"/>
      </tp>
      <tp t="e">
        <v>#N/A</v>
        <stp/>
        <stp>BDH|15488838935946212081</stp>
        <tr r="J20" s="23"/>
      </tp>
      <tp t="e">
        <v>#N/A</v>
        <stp/>
        <stp>BDH|18114706724070862558</stp>
        <tr r="X8" s="10"/>
      </tp>
      <tp t="e">
        <v>#N/A</v>
        <stp/>
        <stp>BDH|15778865238104736268</stp>
        <tr r="E13" s="26"/>
      </tp>
      <tp t="e">
        <v>#N/A</v>
        <stp/>
        <stp>BDH|17091738179956024922</stp>
        <tr r="I11" s="30"/>
      </tp>
      <tp t="e">
        <v>#N/A</v>
        <stp/>
        <stp>BDH|18422814397966845723</stp>
        <tr r="AA10" s="14"/>
      </tp>
      <tp t="e">
        <v>#N/A</v>
        <stp/>
        <stp>BDH|16054809558331882288</stp>
        <tr r="Y57" s="24"/>
      </tp>
      <tp t="e">
        <v>#N/A</v>
        <stp/>
        <stp>BDH|12794224438668065352</stp>
        <tr r="K7" s="14"/>
      </tp>
      <tp t="e">
        <v>#N/A</v>
        <stp/>
        <stp>BDH|15393052582045976052</stp>
        <tr r="AA91" s="18"/>
      </tp>
      <tp t="e">
        <v>#N/A</v>
        <stp/>
        <stp>BDH|12942880341877973117</stp>
        <tr r="R49" s="24"/>
      </tp>
      <tp t="e">
        <v>#N/A</v>
        <stp/>
        <stp>BDH|13691126338370092949</stp>
        <tr r="F43" s="26"/>
      </tp>
      <tp t="e">
        <v>#N/A</v>
        <stp/>
        <stp>BDH|13033191574728641532</stp>
        <tr r="L51" s="17"/>
      </tp>
      <tp t="e">
        <v>#N/A</v>
        <stp/>
        <stp>BDH|14790599126302567956</stp>
        <tr r="I45" s="13"/>
        <tr r="G29" s="11"/>
        <tr r="G40" s="10"/>
      </tp>
      <tp t="e">
        <v>#N/A</v>
        <stp/>
        <stp>BDH|10898958901661077043</stp>
        <tr r="F12" s="27"/>
        <tr r="F30" s="25"/>
      </tp>
      <tp t="e">
        <v>#N/A</v>
        <stp/>
        <stp>BDH|14898144965662631979</stp>
        <tr r="E151" s="18"/>
      </tp>
      <tp t="e">
        <v>#N/A</v>
        <stp/>
        <stp>BDH|12938324583554849587</stp>
        <tr r="N17" s="20"/>
      </tp>
      <tp t="e">
        <v>#N/A</v>
        <stp/>
        <stp>BDH|17293883751551177328</stp>
        <tr r="I78" s="18"/>
      </tp>
      <tp t="e">
        <v>#N/A</v>
        <stp/>
        <stp>BDH|12604174191835894705</stp>
        <tr r="E31" s="21"/>
      </tp>
      <tp t="e">
        <v>#N/A</v>
        <stp/>
        <stp>BDH|11250940578486351153</stp>
        <tr r="H29" s="14"/>
      </tp>
      <tp t="e">
        <v>#N/A</v>
        <stp/>
        <stp>BDH|10533602669581476904</stp>
        <tr r="S83" s="18"/>
      </tp>
      <tp t="e">
        <v>#N/A</v>
        <stp/>
        <stp>BDH|11299139788119745962</stp>
        <tr r="X35" s="18"/>
      </tp>
      <tp t="e">
        <v>#N/A</v>
        <stp/>
        <stp>BDH|13449177783120119294</stp>
        <tr r="U23" s="12"/>
      </tp>
      <tp t="e">
        <v>#N/A</v>
        <stp/>
        <stp>BDH|10837736324755715805</stp>
        <tr r="W58" s="6"/>
      </tp>
      <tp t="e">
        <v>#N/A</v>
        <stp/>
        <stp>BDH|17881084429635057819</stp>
        <tr r="L37" s="18"/>
      </tp>
      <tp t="e">
        <v>#N/A</v>
        <stp/>
        <stp>BDH|12550504602368945763</stp>
        <tr r="K32" s="17"/>
      </tp>
      <tp t="e">
        <v>#N/A</v>
        <stp/>
        <stp>BDH|17961756572408771716</stp>
        <tr r="M81" s="18"/>
      </tp>
      <tp t="e">
        <v>#N/A</v>
        <stp/>
        <stp>BDH|14085808759570392129</stp>
        <tr r="P16" s="34"/>
      </tp>
      <tp t="e">
        <v>#N/A</v>
        <stp/>
        <stp>BDH|17050984035371407417</stp>
        <tr r="R65" s="13"/>
      </tp>
      <tp t="e">
        <v>#N/A</v>
        <stp/>
        <stp>BDH|17972260691144371055</stp>
        <tr r="K89" s="17"/>
      </tp>
      <tp t="e">
        <v>#N/A</v>
        <stp/>
        <stp>BDH|12346285606778617033</stp>
        <tr r="C59" s="12"/>
      </tp>
      <tp t="e">
        <v>#N/A</v>
        <stp/>
        <stp>BDH|10324114324053671885</stp>
        <tr r="Z75" s="24"/>
      </tp>
      <tp t="e">
        <v>#N/A</v>
        <stp/>
        <stp>BDH|13004832558312632469</stp>
        <tr r="U39" s="25"/>
      </tp>
      <tp t="e">
        <v>#N/A</v>
        <stp/>
        <stp>BDH|18062186435645440729</stp>
        <tr r="J67" s="10"/>
      </tp>
      <tp t="e">
        <v>#N/A</v>
        <stp/>
        <stp>BDH|15843514521802205811</stp>
        <tr r="N13" s="8"/>
      </tp>
      <tp t="e">
        <v>#N/A</v>
        <stp/>
        <stp>BDH|14872733953839708744</stp>
        <tr r="M17" s="21"/>
        <tr r="M23" s="3"/>
        <tr r="K23" s="2"/>
      </tp>
      <tp t="e">
        <v>#N/A</v>
        <stp/>
        <stp>BDH|16626011275171041899</stp>
        <tr r="P7" s="23"/>
      </tp>
      <tp t="e">
        <v>#N/A</v>
        <stp/>
        <stp>BDH|10260911102491954038</stp>
        <tr r="H23" s="30"/>
        <tr r="H25" s="23"/>
      </tp>
      <tp t="e">
        <v>#N/A</v>
        <stp/>
        <stp>BDH|14812370092835129376</stp>
        <tr r="AA24" s="12"/>
      </tp>
      <tp t="e">
        <v>#N/A</v>
        <stp/>
        <stp>BDH|12819484388852545464</stp>
        <tr r="W30" s="14"/>
      </tp>
      <tp t="e">
        <v>#N/A</v>
        <stp/>
        <stp>BDH|13701178282012977002</stp>
        <tr r="S9" s="34"/>
      </tp>
      <tp t="e">
        <v>#N/A</v>
        <stp/>
        <stp>BDH|14145185712925307935</stp>
        <tr r="R6" s="28"/>
      </tp>
      <tp t="e">
        <v>#N/A</v>
        <stp/>
        <stp>BDH|13494606186487059292</stp>
        <tr r="V22" s="17"/>
        <tr r="V15" s="3"/>
      </tp>
      <tp t="e">
        <v>#N/A</v>
        <stp/>
        <stp>BDH|16287170480303904477</stp>
        <tr r="Y18" s="29"/>
        <tr r="Y41" s="29"/>
      </tp>
      <tp t="e">
        <v>#N/A</v>
        <stp/>
        <stp>BDH|10545267488784327635</stp>
        <tr r="Q55" s="18"/>
      </tp>
      <tp t="e">
        <v>#N/A</v>
        <stp/>
        <stp>BDH|15784991348951878154</stp>
        <tr r="AA45" s="12"/>
      </tp>
      <tp t="e">
        <v>#N/A</v>
        <stp/>
        <stp>BDH|13697051754146430889</stp>
        <tr r="E57" s="18"/>
      </tp>
      <tp t="e">
        <v>#N/A</v>
        <stp/>
        <stp>BDH|14376531545634800963</stp>
        <tr r="M69" s="24"/>
      </tp>
      <tp t="e">
        <v>#N/A</v>
        <stp/>
        <stp>BDH|15213964990624673996</stp>
        <tr r="G13" s="6"/>
      </tp>
      <tp t="e">
        <v>#N/A</v>
        <stp/>
        <stp>BDH|12366885833216555766</stp>
        <tr r="I16" s="23"/>
      </tp>
      <tp t="e">
        <v>#N/A</v>
        <stp/>
        <stp>BDH|17405717266887145999</stp>
        <tr r="N17" s="9"/>
      </tp>
      <tp t="e">
        <v>#N/A</v>
        <stp/>
        <stp>BDH|17490539233870703989</stp>
        <tr r="Q154" s="18"/>
      </tp>
      <tp t="e">
        <v>#N/A</v>
        <stp/>
        <stp>BDH|17642117488321639723</stp>
        <tr r="N17" s="12"/>
      </tp>
      <tp t="e">
        <v>#N/A</v>
        <stp/>
        <stp>BDH|12036464799074600327</stp>
        <tr r="G9" s="34"/>
      </tp>
      <tp t="e">
        <v>#N/A</v>
        <stp/>
        <stp>BDH|14169073194591935404</stp>
        <tr r="O22" s="4"/>
      </tp>
      <tp t="e">
        <v>#N/A</v>
        <stp/>
        <stp>BDH|14337993790249513544</stp>
        <tr r="P20" s="29"/>
      </tp>
      <tp t="e">
        <v>#N/A</v>
        <stp/>
        <stp>BDH|16184997057314528618</stp>
        <tr r="W18" s="13"/>
      </tp>
      <tp t="e">
        <v>#N/A</v>
        <stp/>
        <stp>BDH|12592414497383023489</stp>
        <tr r="R11" s="11"/>
      </tp>
      <tp t="e">
        <v>#N/A</v>
        <stp/>
        <stp>BDH|10038451335157845832</stp>
        <tr r="F19" s="12"/>
      </tp>
      <tp t="e">
        <v>#N/A</v>
        <stp/>
        <stp>BDH|15224263239798608403</stp>
        <tr r="I28" s="12"/>
      </tp>
      <tp t="e">
        <v>#N/A</v>
        <stp/>
        <stp>BDH|11772415027667393886</stp>
        <tr r="L10" s="21"/>
      </tp>
      <tp t="e">
        <v>#N/A</v>
        <stp/>
        <stp>BDH|16874120981743794463</stp>
        <tr r="D65" s="17"/>
      </tp>
      <tp t="e">
        <v>#N/A</v>
        <stp/>
        <stp>BDH|10297110488482560341</stp>
        <tr r="W8" s="22"/>
      </tp>
      <tp t="e">
        <v>#N/A</v>
        <stp/>
        <stp>BDH|11851359335108560171</stp>
        <tr r="F30" s="34"/>
      </tp>
      <tp t="e">
        <v>#N/A</v>
        <stp/>
        <stp>BDH|16212688070718342733</stp>
        <tr r="Y77" s="18"/>
      </tp>
      <tp t="e">
        <v>#N/A</v>
        <stp/>
        <stp>BDH|17830969215185969284</stp>
        <tr r="C75" s="12"/>
      </tp>
      <tp t="e">
        <v>#N/A</v>
        <stp/>
        <stp>BDH|15810168170293369875</stp>
        <tr r="AA84" s="18"/>
      </tp>
      <tp t="e">
        <v>#N/A</v>
        <stp/>
        <stp>BDH|18287218741945094388</stp>
        <tr r="K49" s="4"/>
      </tp>
      <tp t="e">
        <v>#N/A</v>
        <stp/>
        <stp>BDH|10716859119653405250</stp>
        <tr r="H18" s="18"/>
      </tp>
      <tp t="e">
        <v>#N/A</v>
        <stp/>
        <stp>BDH|14585590533763204972</stp>
        <tr r="T39" s="13"/>
        <tr r="R32" s="10"/>
      </tp>
      <tp t="e">
        <v>#N/A</v>
        <stp/>
        <stp>BDH|17505415509973388847</stp>
        <tr r="Q17" s="13"/>
      </tp>
      <tp t="e">
        <v>#N/A</v>
        <stp/>
        <stp>BDH|12400960839584511447</stp>
        <tr r="S60" s="13"/>
        <tr r="Q48" s="11"/>
        <tr r="Q59" s="10"/>
        <tr r="Q17" s="4"/>
        <tr r="S10" s="3"/>
        <tr r="Q17" s="7"/>
      </tp>
      <tp t="e">
        <v>#N/A</v>
        <stp/>
        <stp>BDH|16208481388677902515</stp>
        <tr r="N19" s="6"/>
      </tp>
      <tp t="e">
        <v>#N/A</v>
        <stp/>
        <stp>BDH|15440484850718635405</stp>
        <tr r="O13" s="23"/>
        <tr r="M58" s="11"/>
        <tr r="M38" s="4"/>
      </tp>
      <tp t="e">
        <v>#N/A</v>
        <stp/>
        <stp>BDH|11168864747087344297</stp>
        <tr r="M54" s="12"/>
      </tp>
      <tp t="e">
        <v>#N/A</v>
        <stp/>
        <stp>BDH|10199234849688225639</stp>
        <tr r="Y93" s="18"/>
      </tp>
      <tp t="e">
        <v>#N/A</v>
        <stp/>
        <stp>BDH|14730000657738940130</stp>
        <tr r="N27" s="25"/>
        <tr r="L20" s="11"/>
      </tp>
      <tp t="e">
        <v>#N/A</v>
        <stp/>
        <stp>BDH|10599597852569630128</stp>
        <tr r="U36" s="4"/>
      </tp>
      <tp t="e">
        <v>#N/A</v>
        <stp/>
        <stp>BDH|17782848548766808590</stp>
        <tr r="F34" s="6"/>
      </tp>
      <tp t="e">
        <v>#N/A</v>
        <stp/>
        <stp>BDH|13396976424878381898</stp>
        <tr r="N56" s="18"/>
      </tp>
      <tp t="e">
        <v>#N/A</v>
        <stp/>
        <stp>BDH|17856325341471574944</stp>
        <tr r="W44" s="18"/>
      </tp>
      <tp t="e">
        <v>#N/A</v>
        <stp/>
        <stp>BDH|16809715571968691643</stp>
        <tr r="J122" s="18"/>
      </tp>
      <tp t="e">
        <v>#N/A</v>
        <stp/>
        <stp>BDH|11872095175687993978</stp>
        <tr r="S31" s="9"/>
      </tp>
      <tp t="e">
        <v>#N/A</v>
        <stp/>
        <stp>BDH|12813527734169733531</stp>
        <tr r="R96" s="18"/>
      </tp>
      <tp t="e">
        <v>#N/A</v>
        <stp/>
        <stp>BDH|15494387273869418013</stp>
        <tr r="T25" s="11"/>
        <tr r="T36" s="10"/>
      </tp>
      <tp t="e">
        <v>#N/A</v>
        <stp/>
        <stp>BDH|17344666634529964325</stp>
        <tr r="Q13" s="18"/>
      </tp>
      <tp t="e">
        <v>#N/A</v>
        <stp/>
        <stp>BDH|15252877059740410020</stp>
        <tr r="P36" s="34"/>
      </tp>
      <tp t="e">
        <v>#N/A</v>
        <stp/>
        <stp>BDH|13912375760778170650</stp>
        <tr r="U32" s="22"/>
      </tp>
      <tp t="e">
        <v>#N/A</v>
        <stp/>
        <stp>BDH|16783281246098503012</stp>
        <tr r="N12" s="7"/>
      </tp>
      <tp t="e">
        <v>#N/A</v>
        <stp/>
        <stp>BDH|17431478389250363344</stp>
        <tr r="J51" s="21"/>
      </tp>
      <tp t="e">
        <v>#N/A</v>
        <stp/>
        <stp>BDH|17048824228816045376</stp>
        <tr r="M38" s="13"/>
        <tr r="K31" s="10"/>
      </tp>
      <tp t="e">
        <v>#N/A</v>
        <stp/>
        <stp>BDH|12274999405067430474</stp>
        <tr r="I45" s="17"/>
      </tp>
      <tp t="e">
        <v>#N/A</v>
        <stp/>
        <stp>BDH|13068706770659496297</stp>
        <tr r="U56" s="13"/>
      </tp>
      <tp t="e">
        <v>#N/A</v>
        <stp/>
        <stp>BDH|15882051890600622465</stp>
        <tr r="V14" s="6"/>
      </tp>
      <tp t="e">
        <v>#N/A</v>
        <stp/>
        <stp>BDH|18430010048833049701</stp>
        <tr r="D9" s="12"/>
      </tp>
      <tp t="e">
        <v>#N/A</v>
        <stp/>
        <stp>BDH|11376089348568967573</stp>
        <tr r="K47" s="22"/>
      </tp>
      <tp t="e">
        <v>#N/A</v>
        <stp/>
        <stp>BDH|10044496445120495857</stp>
        <tr r="H36" s="4"/>
      </tp>
      <tp t="e">
        <v>#N/A</v>
        <stp/>
        <stp>BDH|13831071872625008909</stp>
        <tr r="W20" s="27"/>
      </tp>
      <tp t="e">
        <v>#N/A</v>
        <stp/>
        <stp>BDH|14356270852489244298</stp>
        <tr r="R14" s="21"/>
      </tp>
      <tp t="e">
        <v>#N/A</v>
        <stp/>
        <stp>BDH|11409384960355286933</stp>
        <tr r="L18" s="17"/>
      </tp>
      <tp t="e">
        <v>#N/A</v>
        <stp/>
        <stp>BDH|17277957422625025187</stp>
        <tr r="AA15" s="18"/>
      </tp>
      <tp t="e">
        <v>#N/A</v>
        <stp/>
        <stp>BDH|16270070487105766383</stp>
        <tr r="L62" s="12"/>
      </tp>
      <tp t="e">
        <v>#N/A</v>
        <stp/>
        <stp>BDH|17842984628442372660</stp>
        <tr r="H16" s="25"/>
      </tp>
      <tp t="e">
        <v>#N/A</v>
        <stp/>
        <stp>BDH|16764821905263574580</stp>
        <tr r="X33" s="21"/>
      </tp>
      <tp t="e">
        <v>#N/A</v>
        <stp/>
        <stp>BDH|16903782740098894549</stp>
        <tr r="T65" s="12"/>
      </tp>
      <tp t="e">
        <v>#N/A</v>
        <stp/>
        <stp>BDH|18243122964070977703</stp>
        <tr r="T62" s="13"/>
      </tp>
      <tp t="e">
        <v>#N/A</v>
        <stp/>
        <stp>BDH|15984969668460924235</stp>
        <tr r="N25" s="21"/>
      </tp>
      <tp t="e">
        <v>#N/A</v>
        <stp/>
        <stp>BDH|11231933135926131588</stp>
        <tr r="C148" s="18"/>
      </tp>
      <tp t="e">
        <v>#N/A</v>
        <stp/>
        <stp>BDH|18303669358070709378</stp>
        <tr r="O72" s="18"/>
      </tp>
      <tp t="e">
        <v>#N/A</v>
        <stp/>
        <stp>BDH|12829048614769341268</stp>
        <tr r="D61" s="24"/>
      </tp>
      <tp t="e">
        <v>#N/A</v>
        <stp/>
        <stp>BDH|15457583048339810515</stp>
        <tr r="K34" s="26"/>
      </tp>
      <tp t="e">
        <v>#N/A</v>
        <stp/>
        <stp>BDH|11627564370112578980</stp>
        <tr r="J40" s="22"/>
      </tp>
      <tp t="e">
        <v>#N/A</v>
        <stp/>
        <stp>BDH|15412727096782957144</stp>
        <tr r="K63" s="17"/>
      </tp>
      <tp t="e">
        <v>#N/A</v>
        <stp/>
        <stp>BDH|10101886922281347350</stp>
        <tr r="K51" s="34"/>
      </tp>
      <tp t="e">
        <v>#N/A</v>
        <stp/>
        <stp>BDH|14983620797044877798</stp>
        <tr r="Z64" s="24"/>
      </tp>
      <tp t="e">
        <v>#N/A</v>
        <stp/>
        <stp>BDH|14378254673399122094</stp>
        <tr r="K9" s="14"/>
      </tp>
      <tp t="e">
        <v>#N/A</v>
        <stp/>
        <stp>BDH|17659870661618869950</stp>
        <tr r="S6" s="16"/>
        <tr r="T6" s="11"/>
        <tr r="T10" s="4"/>
        <tr r="V6" s="3"/>
      </tp>
      <tp t="e">
        <v>#N/A</v>
        <stp/>
        <stp>BDH|17869733347694755863</stp>
        <tr r="Y14" s="11"/>
      </tp>
      <tp t="e">
        <v>#N/A</v>
        <stp/>
        <stp>BDH|17534864463351877056</stp>
        <tr r="P8" s="20"/>
        <tr r="P114" s="18"/>
      </tp>
      <tp t="e">
        <v>#N/A</v>
        <stp/>
        <stp>BDH|10938931912262462212</stp>
        <tr r="T50" s="4"/>
      </tp>
      <tp t="e">
        <v>#N/A</v>
        <stp/>
        <stp>BDH|11422986770860094711</stp>
        <tr r="G13" s="27"/>
        <tr r="G31" s="25"/>
      </tp>
      <tp t="e">
        <v>#N/A</v>
        <stp/>
        <stp>BDH|13961718789526469296</stp>
        <tr r="V36" s="17"/>
      </tp>
      <tp t="e">
        <v>#N/A</v>
        <stp/>
        <stp>BDH|10562281074108545509</stp>
        <tr r="G8" s="20"/>
        <tr r="G114" s="18"/>
      </tp>
      <tp t="e">
        <v>#N/A</v>
        <stp/>
        <stp>BDH|13155444083303805429</stp>
        <tr r="I8" s="24"/>
      </tp>
      <tp t="e">
        <v>#N/A</v>
        <stp/>
        <stp>BDH|10265267851528883716</stp>
        <tr r="T21" s="11"/>
      </tp>
      <tp t="e">
        <v>#N/A</v>
        <stp/>
        <stp>BDH|13055618746090927926</stp>
        <tr r="M12" s="25"/>
      </tp>
      <tp t="e">
        <v>#N/A</v>
        <stp/>
        <stp>BDH|13429888349257803011</stp>
        <tr r="F75" s="17"/>
      </tp>
      <tp t="e">
        <v>#N/A</v>
        <stp/>
        <stp>BDH|13293868398179019308</stp>
        <tr r="C120" s="18"/>
      </tp>
      <tp t="e">
        <v>#N/A</v>
        <stp/>
        <stp>BDH|11589554727308974621</stp>
        <tr r="U50" s="22"/>
      </tp>
      <tp t="e">
        <v>#N/A</v>
        <stp/>
        <stp>BDH|11805453263818703352</stp>
        <tr r="C43" s="26"/>
      </tp>
      <tp t="e">
        <v>#N/A</v>
        <stp/>
        <stp>BDH|11420770386734183284</stp>
        <tr r="O165" s="18"/>
      </tp>
      <tp t="e">
        <v>#N/A</v>
        <stp/>
        <stp>BDH|15857009715918583445</stp>
        <tr r="D18" s="28"/>
        <tr r="D15" s="17"/>
      </tp>
      <tp t="e">
        <v>#N/A</v>
        <stp/>
        <stp>BDH|16415294542829437171</stp>
        <tr r="T31" s="24"/>
      </tp>
      <tp t="e">
        <v>#N/A</v>
        <stp/>
        <stp>BDH|12865813004014092613</stp>
        <tr r="E21" s="30"/>
      </tp>
      <tp t="e">
        <v>#N/A</v>
        <stp/>
        <stp>BDH|16699196659709203386</stp>
        <tr r="Z31" s="14"/>
      </tp>
      <tp t="e">
        <v>#N/A</v>
        <stp/>
        <stp>BDH|16092877966958511888</stp>
        <tr r="V168" s="18"/>
      </tp>
      <tp t="e">
        <v>#N/A</v>
        <stp/>
        <stp>BDH|18175078485260858876</stp>
        <tr r="L18" s="34"/>
      </tp>
      <tp t="e">
        <v>#N/A</v>
        <stp/>
        <stp>BDH|10454092624812386869</stp>
        <tr r="Y28" s="18"/>
      </tp>
      <tp t="e">
        <v>#N/A</v>
        <stp/>
        <stp>BDH|17987014489102850556</stp>
        <tr r="F13" s="27"/>
        <tr r="F31" s="25"/>
      </tp>
      <tp t="e">
        <v>#N/A</v>
        <stp/>
        <stp>BDH|13990724733288037741</stp>
        <tr r="AA92" s="18"/>
      </tp>
      <tp t="e">
        <v>#N/A</v>
        <stp/>
        <stp>BDH|14570689342778411675</stp>
        <tr r="V25" s="11"/>
        <tr r="V36" s="10"/>
      </tp>
      <tp t="e">
        <v>#N/A</v>
        <stp/>
        <stp>BDH|16988306373183435921</stp>
        <tr r="C142" s="18"/>
      </tp>
      <tp t="e">
        <v>#N/A</v>
        <stp/>
        <stp>BDH|15250669394313552197</stp>
        <tr r="C137" s="18"/>
      </tp>
      <tp t="e">
        <v>#N/A</v>
        <stp/>
        <stp>BDH|13169734949651706909</stp>
        <tr r="H13" s="30"/>
      </tp>
      <tp t="e">
        <v>#N/A</v>
        <stp/>
        <stp>BDH|15001239681071715694</stp>
        <tr r="L57" s="13"/>
        <tr r="J38" s="11"/>
        <tr r="J49" s="10"/>
        <tr r="J53" s="4"/>
        <tr r="J18" s="2"/>
      </tp>
      <tp t="e">
        <v>#N/A</v>
        <stp/>
        <stp>BDH|14630604393846814512</stp>
        <tr r="M79" s="18"/>
      </tp>
      <tp t="e">
        <v>#N/A</v>
        <stp/>
        <stp>BDH|17150144860288004090</stp>
        <tr r="I69" s="10"/>
        <tr r="I39" s="4"/>
      </tp>
      <tp t="e">
        <v>#N/A</v>
        <stp/>
        <stp>BDH|17900973150240005323</stp>
        <tr r="N10" s="24"/>
      </tp>
      <tp t="e">
        <v>#N/A</v>
        <stp/>
        <stp>BDH|16809536371699320550</stp>
        <tr r="R33" s="18"/>
      </tp>
      <tp t="e">
        <v>#N/A</v>
        <stp/>
        <stp>BDH|15145674199270481278</stp>
        <tr r="V67" s="24"/>
      </tp>
      <tp t="e">
        <v>#N/A</v>
        <stp/>
        <stp>BDH|16345025057449926237</stp>
        <tr r="V40" s="21"/>
      </tp>
      <tp t="e">
        <v>#N/A</v>
        <stp/>
        <stp>BDH|17508463481394822762</stp>
        <tr r="G102" s="18"/>
      </tp>
      <tp t="e">
        <v>#N/A</v>
        <stp/>
        <stp>BDH|12870946900347460443</stp>
        <tr r="Q10" s="28"/>
      </tp>
      <tp t="e">
        <v>#N/A</v>
        <stp/>
        <stp>BDH|11516516295015401090</stp>
        <tr r="G20" s="10"/>
      </tp>
      <tp t="e">
        <v>#N/A</v>
        <stp/>
        <stp>BDH|15332058910545290981</stp>
        <tr r="E38" s="34"/>
      </tp>
      <tp t="e">
        <v>#N/A</v>
        <stp/>
        <stp>BDH|11855876861926584174</stp>
        <tr r="Q62" s="11"/>
        <tr r="Q73" s="10"/>
        <tr r="Q20" s="7"/>
      </tp>
      <tp t="e">
        <v>#N/A</v>
        <stp/>
        <stp>BDH|15555904328053208537</stp>
        <tr r="U10" s="27"/>
        <tr r="U29" s="25"/>
      </tp>
      <tp t="e">
        <v>#N/A</v>
        <stp/>
        <stp>BDH|13312480590947267158</stp>
        <tr r="H24" s="25"/>
      </tp>
      <tp t="e">
        <v>#N/A</v>
        <stp/>
        <stp>BDH|17958491984134953716</stp>
        <tr r="W60" s="21"/>
        <tr r="U55" s="11"/>
      </tp>
      <tp t="e">
        <v>#N/A</v>
        <stp/>
        <stp>BDH|17971430559777823974</stp>
        <tr r="E38" s="13"/>
        <tr r="C31" s="10"/>
      </tp>
      <tp t="e">
        <v>#N/A</v>
        <stp/>
        <stp>BDH|15733776983077730583</stp>
        <tr r="S93" s="12"/>
      </tp>
      <tp t="e">
        <v>#N/A</v>
        <stp/>
        <stp>BDH|11605007351908389483</stp>
        <tr r="O49" s="22"/>
      </tp>
      <tp t="e">
        <v>#N/A</v>
        <stp/>
        <stp>BDH|15784993948596930638</stp>
        <tr r="F61" s="17"/>
      </tp>
      <tp t="e">
        <v>#N/A</v>
        <stp/>
        <stp>BDH|18209195161403207445</stp>
        <tr r="X8" s="23"/>
      </tp>
      <tp t="e">
        <v>#N/A</v>
        <stp/>
        <stp>BDH|15443465829482404931</stp>
        <tr r="X44" s="13"/>
        <tr r="V36" s="11"/>
        <tr r="V47" s="10"/>
        <tr r="X8" s="3"/>
        <tr r="V52" s="4"/>
      </tp>
      <tp t="e">
        <v>#N/A</v>
        <stp/>
        <stp>BDH|11497374428190435804</stp>
        <tr r="O43" s="34"/>
      </tp>
      <tp t="e">
        <v>#N/A</v>
        <stp/>
        <stp>BDH|10609898733583229015</stp>
        <tr r="T40" s="24"/>
      </tp>
      <tp t="e">
        <v>#N/A</v>
        <stp/>
        <stp>BDH|16306599382797677413</stp>
        <tr r="X11" s="6"/>
      </tp>
      <tp t="e">
        <v>#N/A</v>
        <stp/>
        <stp>BDH|12281885743677712110</stp>
        <tr r="F44" s="22"/>
      </tp>
      <tp t="e">
        <v>#N/A</v>
        <stp/>
        <stp>BDH|12957861442884475264</stp>
        <tr r="T29" s="24"/>
      </tp>
      <tp t="e">
        <v>#N/A</v>
        <stp/>
        <stp>BDH|12267112379879474514</stp>
        <tr r="L49" s="13"/>
      </tp>
      <tp t="e">
        <v>#N/A</v>
        <stp/>
        <stp>BDH|16644186586475008278</stp>
        <tr r="X15" s="10"/>
      </tp>
      <tp t="e">
        <v>#N/A</v>
        <stp/>
        <stp>BDH|13683779479809022275</stp>
        <tr r="Z39" s="24"/>
      </tp>
      <tp t="e">
        <v>#N/A</v>
        <stp/>
        <stp>BDH|15254710130928950157</stp>
        <tr r="Y97" s="18"/>
      </tp>
      <tp t="e">
        <v>#N/A</v>
        <stp/>
        <stp>BDH|13112481754323287905</stp>
        <tr r="P17" s="14"/>
      </tp>
      <tp t="e">
        <v>#N/A</v>
        <stp/>
        <stp>BDH|14541110584291625499</stp>
        <tr r="Z73" s="12"/>
      </tp>
      <tp t="e">
        <v>#N/A</v>
        <stp/>
        <stp>BDH|11866458462019105213</stp>
        <tr r="X19" s="26"/>
      </tp>
      <tp t="e">
        <v>#N/A</v>
        <stp/>
        <stp>BDH|11743863860112735599</stp>
        <tr r="D31" s="21"/>
      </tp>
      <tp t="e">
        <v>#N/A</v>
        <stp/>
        <stp>BDH|13719504992244302394</stp>
        <tr r="W56" s="12"/>
      </tp>
      <tp t="e">
        <v>#N/A</v>
        <stp/>
        <stp>BDH|14406983936100302660</stp>
        <tr r="C22" s="18"/>
      </tp>
      <tp t="e">
        <v>#N/A</v>
        <stp/>
        <stp>BDH|16118896075488472966</stp>
        <tr r="L45" s="11"/>
        <tr r="L56" s="10"/>
        <tr r="L16" s="7"/>
      </tp>
      <tp t="e">
        <v>#N/A</v>
        <stp/>
        <stp>BDH|16142122481387922046</stp>
        <tr r="T10" s="13"/>
      </tp>
      <tp t="e">
        <v>#N/A</v>
        <stp/>
        <stp>BDH|14865947457235349576</stp>
        <tr r="U24" s="12"/>
      </tp>
      <tp t="e">
        <v>#N/A</v>
        <stp/>
        <stp>BDH|13977475099724800204</stp>
        <tr r="C15" s="18"/>
      </tp>
      <tp t="e">
        <v>#N/A</v>
        <stp/>
        <stp>BDH|17318669830849910330</stp>
        <tr r="P15" s="34"/>
      </tp>
      <tp t="e">
        <v>#N/A</v>
        <stp/>
        <stp>BDH|17077778969816509846</stp>
        <tr r="Z7" s="27"/>
        <tr r="Z94" s="17"/>
      </tp>
      <tp t="e">
        <v>#N/A</v>
        <stp/>
        <stp>BDH|12145183430630773816</stp>
        <tr r="X96" s="12"/>
      </tp>
      <tp t="e">
        <v>#N/A</v>
        <stp/>
        <stp>BDH|13585209086971467089</stp>
        <tr r="E52" s="22"/>
      </tp>
      <tp t="e">
        <v>#N/A</v>
        <stp/>
        <stp>BDH|14992921576790106239</stp>
        <tr r="Q134" s="18"/>
      </tp>
      <tp t="e">
        <v>#N/A</v>
        <stp/>
        <stp>BDH|16143486827960170808</stp>
        <tr r="O19" s="24"/>
      </tp>
      <tp t="e">
        <v>#N/A</v>
        <stp/>
        <stp>BDH|10210264059329069639</stp>
        <tr r="D36" s="13"/>
      </tp>
      <tp t="e">
        <v>#N/A</v>
        <stp/>
        <stp>BDH|13753628295281629584</stp>
        <tr r="S56" s="12"/>
      </tp>
      <tp t="e">
        <v>#N/A</v>
        <stp/>
        <stp>BDH|13588601835388635681</stp>
        <tr r="F13" s="2"/>
      </tp>
      <tp t="e">
        <v>#N/A</v>
        <stp/>
        <stp>BDH|15444011585657737298</stp>
        <tr r="C74" s="18"/>
      </tp>
      <tp t="e">
        <v>#N/A</v>
        <stp/>
        <stp>BDH|14138986042771599004</stp>
        <tr r="R13" s="7"/>
      </tp>
      <tp t="e">
        <v>#N/A</v>
        <stp/>
        <stp>BDH|12085265451779970403</stp>
        <tr r="S15" s="11"/>
      </tp>
      <tp t="e">
        <v>#N/A</v>
        <stp/>
        <stp>BDH|13170724401254561899</stp>
        <tr r="Y69" s="17"/>
        <tr r="Y18" s="3"/>
      </tp>
      <tp t="e">
        <v>#N/A</v>
        <stp/>
        <stp>BDH|15267330726735096995</stp>
        <tr r="AA26" s="18"/>
      </tp>
      <tp t="e">
        <v>#N/A</v>
        <stp/>
        <stp>BDH|14528001030446344980</stp>
        <tr r="J88" s="18"/>
      </tp>
      <tp t="e">
        <v>#N/A</v>
        <stp/>
        <stp>BDH|11832182347225933903</stp>
        <tr r="H134" s="18"/>
      </tp>
      <tp t="e">
        <v>#N/A</v>
        <stp/>
        <stp>BDH|15259884671432511006</stp>
        <tr r="M50" s="12"/>
      </tp>
      <tp t="e">
        <v>#N/A</v>
        <stp/>
        <stp>BDH|13112872427540659191</stp>
        <tr r="J19" s="26"/>
      </tp>
      <tp t="e">
        <v>#N/A</v>
        <stp/>
        <stp>BDH|12176533081620931743</stp>
        <tr r="L23" s="9"/>
      </tp>
      <tp t="e">
        <v>#N/A</v>
        <stp/>
        <stp>BDH|11890684289801449630</stp>
        <tr r="L65" s="13"/>
      </tp>
      <tp t="e">
        <v>#N/A</v>
        <stp/>
        <stp>BDH|13438437541503957814</stp>
        <tr r="D66" s="21"/>
      </tp>
      <tp t="e">
        <v>#N/A</v>
        <stp/>
        <stp>BDH|14834814927627145115</stp>
        <tr r="I42" s="24"/>
      </tp>
      <tp t="e">
        <v>#N/A</v>
        <stp/>
        <stp>BDH|10166642494241814677</stp>
        <tr r="Z38" s="25"/>
        <tr r="Z92" s="17"/>
      </tp>
      <tp t="e">
        <v>#N/A</v>
        <stp/>
        <stp>BDH|14799820039351142639</stp>
        <tr r="D159" s="18"/>
      </tp>
      <tp t="e">
        <v>#N/A</v>
        <stp/>
        <stp>BDH|11480486542009990090</stp>
        <tr r="O68" s="18"/>
      </tp>
      <tp t="e">
        <v>#N/A</v>
        <stp/>
        <stp>BDH|10310542735958555699</stp>
        <tr r="U15" s="4"/>
      </tp>
      <tp t="e">
        <v>#N/A</v>
        <stp/>
        <stp>BDH|13800974204182735022</stp>
        <tr r="R90" s="18"/>
      </tp>
      <tp t="e">
        <v>#N/A</v>
        <stp/>
        <stp>BDH|17341482575139020501</stp>
        <tr r="C25" s="22"/>
      </tp>
      <tp t="e">
        <v>#N/A</v>
        <stp/>
        <stp>BDH|16283525579449780505</stp>
        <tr r="R56" s="11"/>
      </tp>
      <tp t="e">
        <v>#N/A</v>
        <stp/>
        <stp>BDH|12392754333818288766</stp>
        <tr r="I24" s="20"/>
      </tp>
      <tp t="e">
        <v>#N/A</v>
        <stp/>
        <stp>BDH|10785828529186832559</stp>
        <tr r="F41" s="17"/>
      </tp>
      <tp t="e">
        <v>#N/A</v>
        <stp/>
        <stp>BDH|13528199175164022882</stp>
        <tr r="F21" s="24"/>
      </tp>
      <tp t="e">
        <v>#N/A</v>
        <stp/>
        <stp>BDH|13042508960660226932</stp>
        <tr r="O27" s="26"/>
      </tp>
      <tp t="e">
        <v>#N/A</v>
        <stp/>
        <stp>BDH|10675411193914348062</stp>
        <tr r="I20" s="12"/>
      </tp>
      <tp t="e">
        <v>#N/A</v>
        <stp/>
        <stp>BDH|13473238485239621956</stp>
        <tr r="X25" s="13"/>
      </tp>
      <tp t="e">
        <v>#N/A</v>
        <stp/>
        <stp>BDH|15751056237049637629</stp>
        <tr r="I94" s="12"/>
      </tp>
      <tp t="e">
        <v>#N/A</v>
        <stp/>
        <stp>BDH|11501429523187140942</stp>
        <tr r="G12" s="22"/>
      </tp>
      <tp t="e">
        <v>#N/A</v>
        <stp/>
        <stp>BDH|15307339007969372659</stp>
        <tr r="Q17" s="27"/>
        <tr r="Q35" s="25"/>
        <tr r="N14" s="5"/>
      </tp>
      <tp t="e">
        <v>#N/A</v>
        <stp/>
        <stp>BDH|13189806047015727301</stp>
        <tr r="H35" s="34"/>
      </tp>
      <tp t="e">
        <v>#N/A</v>
        <stp/>
        <stp>BDH|12162299098753307325</stp>
        <tr r="Q45" s="22"/>
      </tp>
      <tp t="e">
        <v>#N/A</v>
        <stp/>
        <stp>BDH|11148842227336407479</stp>
        <tr r="P40" s="21"/>
      </tp>
      <tp t="e">
        <v>#N/A</v>
        <stp/>
        <stp>BDH|12506322290548628909</stp>
        <tr r="L36" s="4"/>
      </tp>
      <tp t="e">
        <v>#N/A</v>
        <stp/>
        <stp>BDH|12485596290324885349</stp>
        <tr r="W173" s="18"/>
      </tp>
      <tp t="e">
        <v>#N/A</v>
        <stp/>
        <stp>BDH|17220472760935527917</stp>
        <tr r="U33" s="6"/>
      </tp>
      <tp t="e">
        <v>#N/A</v>
        <stp/>
        <stp>BDH|10227291065389627491</stp>
        <tr r="G45" s="34"/>
      </tp>
      <tp t="e">
        <v>#N/A</v>
        <stp/>
        <stp>BDH|12318881979831537569</stp>
        <tr r="S30" s="24"/>
      </tp>
      <tp t="e">
        <v>#N/A</v>
        <stp/>
        <stp>BDH|10206803837410718234</stp>
        <tr r="K86" s="18"/>
      </tp>
      <tp t="e">
        <v>#N/A</v>
        <stp/>
        <stp>BDH|13210922601040461347</stp>
        <tr r="P131" s="18"/>
      </tp>
      <tp t="e">
        <v>#N/A</v>
        <stp/>
        <stp>BDH|17199098691445044280</stp>
        <tr r="T14" s="27"/>
        <tr r="T32" s="25"/>
      </tp>
      <tp t="e">
        <v>#N/A</v>
        <stp/>
        <stp>BDH|15847164098242406633</stp>
        <tr r="I18" s="20"/>
      </tp>
      <tp t="e">
        <v>#N/A</v>
        <stp/>
        <stp>BDH|16652831262896081764</stp>
        <tr r="Q29" s="4"/>
      </tp>
      <tp t="e">
        <v>#N/A</v>
        <stp/>
        <stp>BDH|17279260716495503863</stp>
        <tr r="E7" s="30"/>
      </tp>
      <tp t="e">
        <v>#N/A</v>
        <stp/>
        <stp>BDH|15093466249679972579</stp>
        <tr r="C43" s="4"/>
      </tp>
      <tp t="e">
        <v>#N/A</v>
        <stp/>
        <stp>BDH|18181078230035764701</stp>
        <tr r="I38" s="12"/>
      </tp>
      <tp t="e">
        <v>#N/A</v>
        <stp/>
        <stp>BDH|11861567289921188476</stp>
        <tr r="K49" s="21"/>
      </tp>
      <tp t="e">
        <v>#N/A</v>
        <stp/>
        <stp>BDH|10843187246038205455</stp>
        <tr r="O168" s="18"/>
      </tp>
      <tp t="e">
        <v>#N/A</v>
        <stp/>
        <stp>BDH|11096342207032640949</stp>
        <tr r="P24" s="10"/>
      </tp>
      <tp t="e">
        <v>#N/A</v>
        <stp/>
        <stp>BDH|15029783276685953964</stp>
        <tr r="C58" s="17"/>
      </tp>
      <tp t="e">
        <v>#N/A</v>
        <stp/>
        <stp>BDH|15061713390433660162</stp>
        <tr r="G24" s="25"/>
      </tp>
      <tp t="e">
        <v>#N/A</v>
        <stp/>
        <stp>BDH|10110245106459054220</stp>
        <tr r="P49" s="21"/>
      </tp>
      <tp t="e">
        <v>#N/A</v>
        <stp/>
        <stp>BDH|12237763740811149948</stp>
        <tr r="H58" s="12"/>
      </tp>
      <tp t="e">
        <v>#N/A</v>
        <stp/>
        <stp>BDH|12743944763905651178</stp>
        <tr r="C45" s="24"/>
      </tp>
      <tp t="e">
        <v>#N/A</v>
        <stp/>
        <stp>BDH|16445062992602825489</stp>
        <tr r="AA72" s="18"/>
      </tp>
      <tp t="e">
        <v>#N/A</v>
        <stp/>
        <stp>BDH|13866806602635956738</stp>
        <tr r="C17" s="22"/>
      </tp>
      <tp t="e">
        <v>#N/A</v>
        <stp/>
        <stp>BDH|14171106324467583906</stp>
        <tr r="F47" s="11"/>
        <tr r="F58" s="10"/>
        <tr r="F7" s="7"/>
        <tr r="H12" s="3"/>
      </tp>
      <tp t="e">
        <v>#N/A</v>
        <stp/>
        <stp>BDH|17326507778918841433</stp>
        <tr r="G144" s="18"/>
      </tp>
      <tp t="e">
        <v>#N/A</v>
        <stp/>
        <stp>BDH|12754906861892305650</stp>
        <tr r="N11" s="18"/>
      </tp>
      <tp t="e">
        <v>#N/A</v>
        <stp/>
        <stp>BDH|13582008491400783336</stp>
        <tr r="X30" s="17"/>
      </tp>
      <tp t="e">
        <v>#N/A</v>
        <stp/>
        <stp>BDH|14104340259633842848</stp>
        <tr r="O73" s="10"/>
        <tr r="O62" s="11"/>
        <tr r="O20" s="7"/>
      </tp>
      <tp t="e">
        <v>#N/A</v>
        <stp/>
        <stp>BDH|17985732486165986459</stp>
        <tr r="G65" s="17"/>
      </tp>
      <tp t="e">
        <v>#N/A</v>
        <stp/>
        <stp>BDH|15323953127957725060</stp>
        <tr r="J27" s="18"/>
      </tp>
      <tp t="e">
        <v>#N/A</v>
        <stp/>
        <stp>BDH|14078857850781574109</stp>
        <tr r="AA60" s="13"/>
        <tr r="Y48" s="11"/>
        <tr r="Y59" s="10"/>
        <tr r="Y17" s="7"/>
        <tr r="Y17" s="4"/>
        <tr r="AA10" s="3"/>
      </tp>
      <tp t="e">
        <v>#N/A</v>
        <stp/>
        <stp>BDH|14815822910406260288</stp>
        <tr r="E31" s="22"/>
      </tp>
      <tp t="e">
        <v>#N/A</v>
        <stp/>
        <stp>BDH|13536133915218536268</stp>
        <tr r="V26" s="17"/>
      </tp>
      <tp t="e">
        <v>#N/A</v>
        <stp/>
        <stp>BDH|11523813945472481655</stp>
        <tr r="F79" s="17"/>
        <tr r="F19" s="3"/>
      </tp>
      <tp t="e">
        <v>#N/A</v>
        <stp/>
        <stp>BDH|10107059943698512526</stp>
        <tr r="S43" s="29"/>
      </tp>
      <tp t="e">
        <v>#N/A</v>
        <stp/>
        <stp>BDH|18051195017470695185</stp>
        <tr r="D70" s="12"/>
      </tp>
      <tp t="e">
        <v>#N/A</v>
        <stp/>
        <stp>BDH|15148757937219498177</stp>
        <tr r="V52" s="22"/>
      </tp>
      <tp t="e">
        <v>#N/A</v>
        <stp/>
        <stp>BDH|12146135341497199923</stp>
        <tr r="L19" s="10"/>
      </tp>
      <tp t="e">
        <v>#N/A</v>
        <stp/>
        <stp>BDH|10877599890097277236</stp>
        <tr r="W67" s="13"/>
      </tp>
      <tp t="e">
        <v>#N/A</v>
        <stp/>
        <stp>BDH|14089665141738335747</stp>
        <tr r="M14" s="13"/>
      </tp>
      <tp t="e">
        <v>#N/A</v>
        <stp/>
        <stp>BDH|15869513924723849858</stp>
        <tr r="U34" s="17"/>
      </tp>
      <tp t="e">
        <v>#N/A</v>
        <stp/>
        <stp>BDH|15475667901083688955</stp>
        <tr r="J39" s="12"/>
      </tp>
      <tp t="e">
        <v>#N/A</v>
        <stp/>
        <stp>BDH|18260389901274990629</stp>
        <tr r="N63" s="12"/>
      </tp>
      <tp t="e">
        <v>#N/A</v>
        <stp/>
        <stp>BDH|11805951540274572189</stp>
        <tr r="K20" s="28"/>
        <tr r="K17" s="17"/>
      </tp>
      <tp t="e">
        <v>#N/A</v>
        <stp/>
        <stp>BDH|12776948002006118402</stp>
        <tr r="D9" s="22"/>
      </tp>
      <tp t="e">
        <v>#N/A</v>
        <stp/>
        <stp>BDH|16440936083346040849</stp>
        <tr r="X71" s="18"/>
      </tp>
      <tp t="e">
        <v>#N/A</v>
        <stp/>
        <stp>BDH|14922191397551337449</stp>
        <tr r="S77" s="17"/>
      </tp>
      <tp t="e">
        <v>#N/A</v>
        <stp/>
        <stp>BDH|18185324121801386110</stp>
        <tr r="S19" s="25"/>
      </tp>
      <tp t="e">
        <v>#N/A</v>
        <stp/>
        <stp>BDH|12824804389059626277</stp>
        <tr r="C32" s="9"/>
      </tp>
      <tp t="e">
        <v>#N/A</v>
        <stp/>
        <stp>BDH|15501171264153740817</stp>
        <tr r="S12" s="6"/>
      </tp>
      <tp t="e">
        <v>#N/A</v>
        <stp/>
        <stp>BDH|13407362215721247952</stp>
        <tr r="N24" s="2"/>
      </tp>
      <tp t="e">
        <v>#N/A</v>
        <stp/>
        <stp>BDH|15345176083066263357</stp>
        <tr r="O30" s="12"/>
      </tp>
      <tp t="e">
        <v>#N/A</v>
        <stp/>
        <stp>BDH|15779390538659661506</stp>
        <tr r="W20" s="22"/>
      </tp>
      <tp t="e">
        <v>#N/A</v>
        <stp/>
        <stp>BDH|18021326477355776021</stp>
        <tr r="S10" s="13"/>
      </tp>
      <tp t="e">
        <v>#N/A</v>
        <stp/>
        <stp>BDH|11650073873667715851</stp>
        <tr r="S120" s="18"/>
      </tp>
      <tp t="e">
        <v>#N/A</v>
        <stp/>
        <stp>BDH|16374787889588204805</stp>
        <tr r="X13" s="27"/>
        <tr r="X31" s="25"/>
      </tp>
      <tp t="e">
        <v>#N/A</v>
        <stp/>
        <stp>BDH|18039927764339474727</stp>
        <tr r="V30" s="26"/>
      </tp>
      <tp t="e">
        <v>#N/A</v>
        <stp/>
        <stp>BDH|12012470769050753993</stp>
        <tr r="P14" s="29"/>
        <tr r="P37" s="29"/>
        <tr r="P23" s="29"/>
      </tp>
      <tp t="e">
        <v>#N/A</v>
        <stp/>
        <stp>BDH|11549999897069991122</stp>
        <tr r="E141" s="18"/>
      </tp>
      <tp t="e">
        <v>#N/A</v>
        <stp/>
        <stp>BDH|14302066441529532016</stp>
        <tr r="R25" s="7"/>
      </tp>
      <tp t="e">
        <v>#N/A</v>
        <stp/>
        <stp>BDH|14757482289305324450</stp>
        <tr r="H17" s="34"/>
      </tp>
      <tp t="e">
        <v>#N/A</v>
        <stp/>
        <stp>BDH|10116933367967488116</stp>
        <tr r="K38" s="25"/>
        <tr r="K92" s="17"/>
      </tp>
      <tp t="e">
        <v>#N/A</v>
        <stp/>
        <stp>BDH|10503699719408713629</stp>
        <tr r="D32" s="13"/>
      </tp>
      <tp t="e">
        <v>#N/A</v>
        <stp/>
        <stp>BDH|15182863826950749663</stp>
        <tr r="AA16" s="26"/>
      </tp>
      <tp t="e">
        <v>#N/A</v>
        <stp/>
        <stp>BDH|11499836852004121148</stp>
        <tr r="N90" s="18"/>
      </tp>
      <tp t="e">
        <v>#N/A</v>
        <stp/>
        <stp>BDH|11278380690537923534</stp>
        <tr r="M66" s="10"/>
      </tp>
      <tp t="e">
        <v>#N/A</v>
        <stp/>
        <stp>BDH|10160228125958671104</stp>
        <tr r="P13" s="22"/>
      </tp>
      <tp t="e">
        <v>#N/A</v>
        <stp/>
        <stp>BDH|16107442417239764352</stp>
        <tr r="Q23" s="26"/>
      </tp>
      <tp t="e">
        <v>#N/A</v>
        <stp/>
        <stp>BDH|18347542506583300718</stp>
        <tr r="Q12" s="25"/>
      </tp>
      <tp t="e">
        <v>#N/A</v>
        <stp/>
        <stp>BDH|10727827856841403547</stp>
        <tr r="U11" s="24"/>
      </tp>
      <tp t="e">
        <v>#N/A</v>
        <stp/>
        <stp>BDH|15551378388130002796</stp>
        <tr r="V73" s="10"/>
        <tr r="V62" s="11"/>
        <tr r="V20" s="7"/>
      </tp>
      <tp t="e">
        <v>#N/A</v>
        <stp/>
        <stp>BDH|17575153632919836597</stp>
        <tr r="M14" s="34"/>
      </tp>
      <tp t="e">
        <v>#N/A</v>
        <stp/>
        <stp>BDH|14936254198945514326</stp>
        <tr r="Z22" s="30"/>
        <tr r="Z24" s="23"/>
      </tp>
      <tp t="e">
        <v>#N/A</v>
        <stp/>
        <stp>BDH|15914169848849615029</stp>
        <tr r="F71" s="10"/>
      </tp>
      <tp t="e">
        <v>#N/A</v>
        <stp/>
        <stp>BDH|15465399774030838824</stp>
        <tr r="K46" s="18"/>
      </tp>
      <tp t="e">
        <v>#N/A</v>
        <stp/>
        <stp>BDH|16013339918778809507</stp>
        <tr r="K14" s="34"/>
      </tp>
      <tp t="e">
        <v>#N/A</v>
        <stp/>
        <stp>BDH|16282145622764076875</stp>
        <tr r="D23" s="24"/>
      </tp>
      <tp t="e">
        <v>#N/A</v>
        <stp/>
        <stp>BDH|10053400386892648731</stp>
        <tr r="E26" s="13"/>
      </tp>
      <tp t="e">
        <v>#N/A</v>
        <stp/>
        <stp>BDH|15093527171028632665</stp>
        <tr r="Y17" s="22"/>
      </tp>
      <tp t="e">
        <v>#N/A</v>
        <stp/>
        <stp>BDH|12983328999989850893</stp>
        <tr r="R50" s="22"/>
      </tp>
      <tp t="e">
        <v>#N/A</v>
        <stp/>
        <stp>BDH|18175382663563862718</stp>
        <tr r="W11" s="30"/>
      </tp>
      <tp t="e">
        <v>#N/A</v>
        <stp/>
        <stp>BDH|11513982049821347441</stp>
        <tr r="W49" s="22"/>
      </tp>
      <tp t="e">
        <v>#N/A</v>
        <stp/>
        <stp>BDH|18140132450844844197</stp>
        <tr r="H19" s="17"/>
      </tp>
      <tp t="e">
        <v>#N/A</v>
        <stp/>
        <stp>BDH|12673185171964972950</stp>
        <tr r="W23" s="9"/>
      </tp>
      <tp t="e">
        <v>#N/A</v>
        <stp/>
        <stp>BDH|10071879478127925151</stp>
        <tr r="F49" s="17"/>
      </tp>
      <tp t="e">
        <v>#N/A</v>
        <stp/>
        <stp>BDH|14746249732908251403</stp>
        <tr r="X82" s="12"/>
      </tp>
      <tp t="e">
        <v>#N/A</v>
        <stp/>
        <stp>BDH|16156372381531022541</stp>
        <tr r="W37" s="13"/>
        <tr r="U30" s="10"/>
      </tp>
      <tp t="e">
        <v>#N/A</v>
        <stp/>
        <stp>BDH|18146333137493565235</stp>
        <tr r="U50" s="34"/>
      </tp>
      <tp t="e">
        <v>#N/A</v>
        <stp/>
        <stp>BDH|15680883718673747629</stp>
        <tr r="L72" s="17"/>
      </tp>
      <tp t="e">
        <v>#N/A</v>
        <stp/>
        <stp>BDH|11650641057522202941</stp>
        <tr r="X170" s="18"/>
      </tp>
      <tp t="e">
        <v>#N/A</v>
        <stp/>
        <stp>BDH|11188679524855377929</stp>
        <tr r="I37" s="17"/>
      </tp>
      <tp t="e">
        <v>#N/A</v>
        <stp/>
        <stp>BDH|10625125991891606008</stp>
        <tr r="Q17" s="12"/>
      </tp>
      <tp t="e">
        <v>#N/A</v>
        <stp/>
        <stp>BDH|16339565063318550406</stp>
        <tr r="W129" s="18"/>
      </tp>
      <tp t="e">
        <v>#N/A</v>
        <stp/>
        <stp>BDH|17057844076611632072</stp>
        <tr r="X43" s="29"/>
      </tp>
      <tp t="e">
        <v>#N/A</v>
        <stp/>
        <stp>BDH|14413765593176162535</stp>
        <tr r="F53" s="18"/>
      </tp>
      <tp t="e">
        <v>#N/A</v>
        <stp/>
        <stp>BDH|17386319072823158929</stp>
        <tr r="G42" s="24"/>
      </tp>
      <tp t="e">
        <v>#N/A</v>
        <stp/>
        <stp>BDH|15800906628351359605</stp>
        <tr r="N36" s="4"/>
      </tp>
      <tp t="e">
        <v>#N/A</v>
        <stp/>
        <stp>BDH|12170624680602926792</stp>
        <tr r="Z65" s="21"/>
        <tr r="W31" s="6"/>
      </tp>
      <tp t="e">
        <v>#N/A</v>
        <stp/>
        <stp>BDH|14470504895588038921</stp>
        <tr r="R26" s="29"/>
      </tp>
      <tp t="e">
        <v>#N/A</v>
        <stp/>
        <stp>BDH|10798109997475717441</stp>
        <tr r="U23" s="13"/>
      </tp>
      <tp t="e">
        <v>#N/A</v>
        <stp/>
        <stp>BDH|11747869807702178257</stp>
        <tr r="N78" s="17"/>
        <tr r="K9" s="9"/>
        <tr r="K9" s="5"/>
      </tp>
      <tp t="e">
        <v>#N/A</v>
        <stp/>
        <stp>BDH|14930273644013096883</stp>
        <tr r="Q59" s="12"/>
      </tp>
      <tp t="e">
        <v>#N/A</v>
        <stp/>
        <stp>BDH|17426560773064406878</stp>
        <tr r="P130" s="18"/>
      </tp>
      <tp t="e">
        <v>#N/A</v>
        <stp/>
        <stp>BDH|12911918973364924101</stp>
        <tr r="E75" s="18"/>
      </tp>
      <tp t="e">
        <v>#N/A</v>
        <stp/>
        <stp>BDH|11639653052799477279</stp>
        <tr r="F18" s="23"/>
      </tp>
      <tp t="e">
        <v>#N/A</v>
        <stp/>
        <stp>BDH|14993876410274476083</stp>
        <tr r="U32" s="29"/>
        <tr r="S34" s="5"/>
      </tp>
      <tp t="e">
        <v>#N/A</v>
        <stp/>
        <stp>BDH|10869063638182794835</stp>
        <tr r="M37" s="17"/>
      </tp>
      <tp t="e">
        <v>#N/A</v>
        <stp/>
        <stp>BDH|16398965378284658594</stp>
        <tr r="I32" s="21"/>
      </tp>
      <tp t="e">
        <v>#N/A</v>
        <stp/>
        <stp>BDH|17424066001349990781</stp>
        <tr r="U37" s="24"/>
      </tp>
      <tp t="e">
        <v>#N/A</v>
        <stp/>
        <stp>BDH|11668893813888642987</stp>
        <tr r="W39" s="6"/>
      </tp>
      <tp t="e">
        <v>#N/A</v>
        <stp/>
        <stp>BDH|13902588086093245471</stp>
        <tr r="E86" s="12"/>
      </tp>
      <tp t="e">
        <v>#N/A</v>
        <stp/>
        <stp>BDH|16156552693052285172</stp>
        <tr r="Y42" s="4"/>
      </tp>
      <tp t="e">
        <v>#N/A</v>
        <stp/>
        <stp>BDH|11570176392302791256</stp>
        <tr r="Z8" s="12"/>
      </tp>
      <tp t="e">
        <v>#N/A</v>
        <stp/>
        <stp>BDH|17339421705833466920</stp>
        <tr r="E60" s="17"/>
      </tp>
      <tp t="e">
        <v>#N/A</v>
        <stp/>
        <stp>BDH|15044413830359465271</stp>
        <tr r="I32" s="12"/>
      </tp>
      <tp t="e">
        <v>#N/A</v>
        <stp/>
        <stp>BDH|18042662277701013133</stp>
        <tr r="G59" s="17"/>
      </tp>
      <tp t="e">
        <v>#N/A</v>
        <stp/>
        <stp>BDH|14865032751179810106</stp>
        <tr r="N29" s="18"/>
      </tp>
      <tp t="e">
        <v>#N/A</v>
        <stp/>
        <stp>BDH|16653799952145689897</stp>
        <tr r="L31" s="24"/>
      </tp>
      <tp t="e">
        <v>#N/A</v>
        <stp/>
        <stp>BDH|13445647936896088944</stp>
        <tr r="E9" s="8"/>
        <tr r="C52" s="6"/>
      </tp>
      <tp t="e">
        <v>#N/A</v>
        <stp/>
        <stp>BDH|10811712688867691155</stp>
        <tr r="F47" s="18"/>
      </tp>
      <tp t="e">
        <v>#N/A</v>
        <stp/>
        <stp>BDH|11467053280348223813</stp>
        <tr r="G7" s="21"/>
      </tp>
      <tp t="e">
        <v>#N/A</v>
        <stp/>
        <stp>BDH|17527828065998363833</stp>
        <tr r="I83" s="18"/>
      </tp>
      <tp t="e">
        <v>#N/A</v>
        <stp/>
        <stp>BDH|16974707538623588868</stp>
        <tr r="D87" s="18"/>
      </tp>
      <tp t="e">
        <v>#N/A</v>
        <stp/>
        <stp>BDH|13137124256268736600</stp>
        <tr r="I15" s="4"/>
      </tp>
      <tp t="e">
        <v>#N/A</v>
        <stp/>
        <stp>BDH|15825950499189676500</stp>
        <tr r="Q13" s="27"/>
        <tr r="Q31" s="25"/>
      </tp>
      <tp t="e">
        <v>#N/A</v>
        <stp/>
        <stp>BDH|13009134530040366826</stp>
        <tr r="I16" s="26"/>
      </tp>
      <tp t="e">
        <v>#N/A</v>
        <stp/>
        <stp>BDH|16993030966251021892</stp>
        <tr r="X6" s="27"/>
      </tp>
      <tp t="e">
        <v>#N/A</v>
        <stp/>
        <stp>BDH|15361699666458038493</stp>
        <tr r="H52" s="22"/>
      </tp>
      <tp t="e">
        <v>#N/A</v>
        <stp/>
        <stp>BDH|14836878116165420183</stp>
        <tr r="Y49" s="4"/>
      </tp>
      <tp t="e">
        <v>#N/A</v>
        <stp/>
        <stp>BDH|14263889314033368783</stp>
        <tr r="U39" s="26"/>
      </tp>
      <tp t="e">
        <v>#N/A</v>
        <stp/>
        <stp>BDH|13244806425805447567</stp>
        <tr r="H22" s="6"/>
      </tp>
      <tp t="e">
        <v>#N/A</v>
        <stp/>
        <stp>BDH|14077975158831954036</stp>
        <tr r="Q60" s="13"/>
        <tr r="O48" s="11"/>
        <tr r="O59" s="10"/>
        <tr r="O17" s="7"/>
        <tr r="Q10" s="3"/>
        <tr r="O17" s="4"/>
      </tp>
      <tp t="e">
        <v>#N/A</v>
        <stp/>
        <stp>BDH|15411941135744467248</stp>
        <tr r="G66" s="12"/>
      </tp>
      <tp t="e">
        <v>#N/A</v>
        <stp/>
        <stp>BDH|10906039558378105462</stp>
        <tr r="S17" s="6"/>
      </tp>
      <tp t="e">
        <v>#N/A</v>
        <stp/>
        <stp>BDH|14746304081246623058</stp>
        <tr r="O25" s="12"/>
      </tp>
      <tp t="e">
        <v>#N/A</v>
        <stp/>
        <stp>BDH|15101140685043793621</stp>
        <tr r="X26" s="18"/>
      </tp>
      <tp t="e">
        <v>#N/A</v>
        <stp/>
        <stp>BDH|12194571391927089027</stp>
        <tr r="F42" s="17"/>
      </tp>
      <tp t="e">
        <v>#N/A</v>
        <stp/>
        <stp>BDH|12828844709897650466</stp>
        <tr r="R19" s="20"/>
      </tp>
      <tp t="e">
        <v>#N/A</v>
        <stp/>
        <stp>BDH|14650419320699558272</stp>
        <tr r="O7" s="23"/>
      </tp>
      <tp t="e">
        <v>#N/A</v>
        <stp/>
        <stp>BDH|11022824311480263148</stp>
        <tr r="W17" s="9"/>
      </tp>
      <tp t="e">
        <v>#N/A</v>
        <stp/>
        <stp>BDH|11483611124698069445</stp>
        <tr r="U97" s="12"/>
      </tp>
      <tp t="e">
        <v>#N/A</v>
        <stp/>
        <stp>BDH|10188133013848501110</stp>
        <tr r="T52" s="6"/>
        <tr r="V9" s="8"/>
      </tp>
      <tp t="e">
        <v>#N/A</v>
        <stp/>
        <stp>BDH|13848131194134834624</stp>
        <tr r="E84" s="17"/>
        <tr r="C6" s="7"/>
        <tr r="E20" s="3"/>
      </tp>
      <tp t="e">
        <v>#N/A</v>
        <stp/>
        <stp>BDH|14345855783308542555</stp>
        <tr r="M13" s="10"/>
      </tp>
      <tp t="e">
        <v>#N/A</v>
        <stp/>
        <stp>BDH|12671074161434230977</stp>
        <tr r="S27" s="26"/>
      </tp>
      <tp t="e">
        <v>#N/A</v>
        <stp/>
        <stp>BDH|15335391029724669901</stp>
        <tr r="M50" s="17"/>
      </tp>
      <tp t="e">
        <v>#N/A</v>
        <stp/>
        <stp>BDH|15419207427639224540</stp>
        <tr r="Q64" s="17"/>
      </tp>
      <tp t="e">
        <v>#N/A</v>
        <stp/>
        <stp>BDH|15871644810709853213</stp>
        <tr r="L22" s="10"/>
      </tp>
      <tp t="e">
        <v>#N/A</v>
        <stp/>
        <stp>BDH|13501752596027613351</stp>
        <tr r="D30" s="21"/>
      </tp>
      <tp t="e">
        <v>#N/A</v>
        <stp/>
        <stp>BDH|12547683459061615974</stp>
        <tr r="H26" s="17"/>
      </tp>
      <tp t="e">
        <v>#N/A</v>
        <stp/>
        <stp>BDH|12042374844199210542</stp>
        <tr r="AA86" s="12"/>
      </tp>
      <tp t="e">
        <v>#N/A</v>
        <stp/>
        <stp>BDH|11152266725329370146</stp>
        <tr r="V90" s="18"/>
      </tp>
      <tp t="e">
        <v>#N/A</v>
        <stp/>
        <stp>BDH|12144038086266984587</stp>
        <tr r="K86" s="17"/>
      </tp>
      <tp t="e">
        <v>#N/A</v>
        <stp/>
        <stp>BDH|12618503057008778334</stp>
        <tr r="S24" s="2"/>
      </tp>
      <tp t="e">
        <v>#N/A</v>
        <stp/>
        <stp>BDH|11364573939458862607</stp>
        <tr r="C32" s="5"/>
      </tp>
      <tp t="e">
        <v>#N/A</v>
        <stp/>
        <stp>BDH|18180540840947643763</stp>
        <tr r="R63" s="21"/>
      </tp>
      <tp t="e">
        <v>#N/A</v>
        <stp/>
        <stp>BDH|12643023563575155831</stp>
        <tr r="W16" s="34"/>
      </tp>
      <tp t="e">
        <v>#N/A</v>
        <stp/>
        <stp>BDH|12637170851278438714</stp>
        <tr r="O56" s="24"/>
      </tp>
      <tp t="e">
        <v>#N/A</v>
        <stp/>
        <stp>BDH|17754694871168907735</stp>
        <tr r="P35" s="18"/>
      </tp>
      <tp t="e">
        <v>#N/A</v>
        <stp/>
        <stp>BDH|16339860276671759115</stp>
        <tr r="V131" s="18"/>
      </tp>
      <tp t="e">
        <v>#N/A</v>
        <stp/>
        <stp>BDH|12113626541319031072</stp>
        <tr r="R72" s="24"/>
      </tp>
      <tp t="e">
        <v>#N/A</v>
        <stp/>
        <stp>BDH|15719564091184673436</stp>
        <tr r="P14" s="11"/>
      </tp>
      <tp t="e">
        <v>#N/A</v>
        <stp/>
        <stp>BDH|12177123293405612635</stp>
        <tr r="L62" s="24"/>
      </tp>
      <tp t="e">
        <v>#N/A</v>
        <stp/>
        <stp>BDH|14059297998696658025</stp>
        <tr r="S21" s="18"/>
      </tp>
      <tp t="e">
        <v>#N/A</v>
        <stp/>
        <stp>BDH|10525852712073066372</stp>
        <tr r="U20" s="26"/>
      </tp>
      <tp t="e">
        <v>#N/A</v>
        <stp/>
        <stp>BDH|12689336085744410403</stp>
        <tr r="O92" s="18"/>
      </tp>
      <tp t="e">
        <v>#N/A</v>
        <stp/>
        <stp>BDH|14079559331293122814</stp>
        <tr r="G54" s="13"/>
      </tp>
      <tp t="e">
        <v>#N/A</v>
        <stp/>
        <stp>BDH|12495589663879269196</stp>
        <tr r="G32" s="21"/>
      </tp>
      <tp t="e">
        <v>#N/A</v>
        <stp/>
        <stp>BDH|12799162973789217445</stp>
        <tr r="S34" s="17"/>
      </tp>
      <tp t="e">
        <v>#N/A</v>
        <stp/>
        <stp>BDH|17390328653251596937</stp>
        <tr r="T39" s="18"/>
      </tp>
      <tp t="e">
        <v>#N/A</v>
        <stp/>
        <stp>BDH|18124385449012621428</stp>
        <tr r="S161" s="18"/>
      </tp>
      <tp t="e">
        <v>#N/A</v>
        <stp/>
        <stp>BDH|12228424766988566175</stp>
        <tr r="X124" s="18"/>
      </tp>
      <tp t="e">
        <v>#N/A</v>
        <stp/>
        <stp>BDH|12516083748086013910</stp>
        <tr r="K65" s="17"/>
      </tp>
      <tp t="e">
        <v>#N/A</v>
        <stp/>
        <stp>BDH|10616742632499675422</stp>
        <tr r="K48" s="17"/>
      </tp>
      <tp t="e">
        <v>#N/A</v>
        <stp/>
        <stp>BDH|15110906877406097428</stp>
        <tr r="T38" s="13"/>
        <tr r="R31" s="10"/>
      </tp>
      <tp t="e">
        <v>#N/A</v>
        <stp/>
        <stp>BDH|12392258250129168534</stp>
        <tr r="N57" s="17"/>
      </tp>
      <tp t="e">
        <v>#N/A</v>
        <stp/>
        <stp>BDH|15432942063713122066</stp>
        <tr r="Z36" s="12"/>
      </tp>
      <tp t="e">
        <v>#N/A</v>
        <stp/>
        <stp>BDH|16133057227289074470</stp>
        <tr r="Q37" s="10"/>
        <tr r="Q26" s="11"/>
      </tp>
      <tp t="e">
        <v>#N/A</v>
        <stp/>
        <stp>BDH|16121630424699303215</stp>
        <tr r="K13" s="25"/>
      </tp>
      <tp t="e">
        <v>#N/A</v>
        <stp/>
        <stp>BDH|10099758217259646606</stp>
        <tr r="I44" s="21"/>
      </tp>
      <tp t="e">
        <v>#N/A</v>
        <stp/>
        <stp>BDH|10168065590321377106</stp>
        <tr r="T33" s="21"/>
      </tp>
      <tp t="e">
        <v>#N/A</v>
        <stp/>
        <stp>BDH|12009230100601360841</stp>
        <tr r="T11" s="18"/>
      </tp>
      <tp t="e">
        <v>#N/A</v>
        <stp/>
        <stp>BDH|14675853083314345972</stp>
        <tr r="L163" s="18"/>
      </tp>
      <tp t="e">
        <v>#N/A</v>
        <stp/>
        <stp>BDH|18327673014460358670</stp>
        <tr r="T41" s="24"/>
      </tp>
      <tp t="e">
        <v>#N/A</v>
        <stp/>
        <stp>BDH|16069013850509035353</stp>
        <tr r="T70" s="13"/>
      </tp>
      <tp t="e">
        <v>#N/A</v>
        <stp/>
        <stp>BDH|14932286768978553189</stp>
        <tr r="R7" s="21"/>
      </tp>
      <tp t="e">
        <v>#N/A</v>
        <stp/>
        <stp>BDH|10156888654052888612</stp>
        <tr r="E12" s="7"/>
      </tp>
      <tp t="e">
        <v>#N/A</v>
        <stp/>
        <stp>BDH|10037006257635518964</stp>
        <tr r="V129" s="18"/>
      </tp>
      <tp t="e">
        <v>#N/A</v>
        <stp/>
        <stp>BDH|13215599496507097192</stp>
        <tr r="T38" s="34"/>
      </tp>
      <tp t="e">
        <v>#N/A</v>
        <stp/>
        <stp>BDH|10942270719682511866</stp>
        <tr r="O62" s="24"/>
      </tp>
      <tp t="e">
        <v>#N/A</v>
        <stp/>
        <stp>BDH|16890618499734074444</stp>
        <tr r="AA10" s="25"/>
        <tr r="AA55" s="17"/>
      </tp>
      <tp t="e">
        <v>#N/A</v>
        <stp/>
        <stp>BDH|15331057582011997598</stp>
        <tr r="K174" s="18"/>
      </tp>
      <tp t="e">
        <v>#N/A</v>
        <stp/>
        <stp>BDH|10008227723410239974</stp>
        <tr r="H31" s="11"/>
        <tr r="H42" s="10"/>
      </tp>
      <tp t="e">
        <v>#N/A</v>
        <stp/>
        <stp>BDH|13992714405945905800</stp>
        <tr r="K26" s="26"/>
      </tp>
      <tp t="e">
        <v>#N/A</v>
        <stp/>
        <stp>BDH|11249472887210583407</stp>
        <tr r="W15" s="4"/>
      </tp>
      <tp t="e">
        <v>#N/A</v>
        <stp/>
        <stp>BDH|15127739377189005520</stp>
        <tr r="H18" s="28"/>
        <tr r="H15" s="17"/>
      </tp>
      <tp t="e">
        <v>#N/A</v>
        <stp/>
        <stp>BDH|15440375075328086010</stp>
        <tr r="P81" s="18"/>
      </tp>
      <tp t="e">
        <v>#N/A</v>
        <stp/>
        <stp>BDH|15644380418056049819</stp>
        <tr r="S38" s="34"/>
      </tp>
      <tp t="e">
        <v>#N/A</v>
        <stp/>
        <stp>BDH|15482946328211678692</stp>
        <tr r="G13" s="5"/>
      </tp>
      <tp t="e">
        <v>#N/A</v>
        <stp/>
        <stp>BDH|16712163920974112872</stp>
        <tr r="E33" s="17"/>
      </tp>
      <tp t="e">
        <v>#N/A</v>
        <stp/>
        <stp>BDH|11000161194935192549</stp>
        <tr r="K19" s="30"/>
      </tp>
      <tp t="e">
        <v>#N/A</v>
        <stp/>
        <stp>BDH|11106630388817467196</stp>
        <tr r="J56" s="18"/>
      </tp>
      <tp t="e">
        <v>#N/A</v>
        <stp/>
        <stp>BDH|11656810160966764075</stp>
        <tr r="Y18" s="24"/>
      </tp>
      <tp t="e">
        <v>#N/A</v>
        <stp/>
        <stp>BDH|10754049484623950290</stp>
        <tr r="T13" s="9"/>
      </tp>
      <tp t="e">
        <v>#N/A</v>
        <stp/>
        <stp>BDH|14264390943588647298</stp>
        <tr r="E41" s="34"/>
      </tp>
      <tp t="e">
        <v>#N/A</v>
        <stp/>
        <stp>BDH|12134158888345230795</stp>
        <tr r="D43" s="29"/>
      </tp>
      <tp t="e">
        <v>#N/A</v>
        <stp/>
        <stp>BDH|13542374785979249823</stp>
        <tr r="P124" s="18"/>
      </tp>
      <tp t="e">
        <v>#N/A</v>
        <stp/>
        <stp>BDH|10371885414344095486</stp>
        <tr r="F53" s="21"/>
      </tp>
      <tp t="e">
        <v>#N/A</v>
        <stp/>
        <stp>BDH|11946088743074022850</stp>
        <tr r="G41" s="25"/>
        <tr r="G59" s="21"/>
        <tr r="E54" s="11"/>
        <tr r="E31" s="4"/>
      </tp>
      <tp t="e">
        <v>#N/A</v>
        <stp/>
        <stp>BDH|10806307552619873658</stp>
        <tr r="F86" s="12"/>
      </tp>
      <tp t="e">
        <v>#N/A</v>
        <stp/>
        <stp>BDH|14860729414178123382</stp>
        <tr r="L61" s="17"/>
      </tp>
      <tp t="e">
        <v>#N/A</v>
        <stp/>
        <stp>BDH|18271593979996562505</stp>
        <tr r="M63" s="11"/>
        <tr r="M74" s="10"/>
      </tp>
      <tp t="e">
        <v>#N/A</v>
        <stp/>
        <stp>BDH|10804138337198933327</stp>
        <tr r="Q76" s="18"/>
      </tp>
      <tp t="e">
        <v>#N/A</v>
        <stp/>
        <stp>BDH|17898339243678892173</stp>
        <tr r="R45" s="21"/>
      </tp>
      <tp t="e">
        <v>#N/A</v>
        <stp/>
        <stp>BDH|17408800133567904296</stp>
        <tr r="C56" s="17"/>
      </tp>
      <tp t="e">
        <v>#N/A</v>
        <stp/>
        <stp>BDH|15263335999441716784</stp>
        <tr r="I12" s="18"/>
      </tp>
      <tp t="e">
        <v>#N/A</v>
        <stp/>
        <stp>BDH|16797085597942646493</stp>
        <tr r="X87" s="17"/>
      </tp>
      <tp t="e">
        <v>#N/A</v>
        <stp/>
        <stp>BDH|14296229112046358864</stp>
        <tr r="H39" s="6"/>
      </tp>
      <tp t="e">
        <v>#N/A</v>
        <stp/>
        <stp>BDH|11733713800387930881</stp>
        <tr r="Z30" s="12"/>
      </tp>
      <tp t="e">
        <v>#N/A</v>
        <stp/>
        <stp>BDH|12589363534288906398</stp>
        <tr r="J66" s="13"/>
      </tp>
      <tp t="e">
        <v>#N/A</v>
        <stp/>
        <stp>BDH|16842355818315539871</stp>
        <tr r="C23" s="17"/>
      </tp>
      <tp t="e">
        <v>#N/A</v>
        <stp/>
        <stp>BDH|16256870488946389993</stp>
        <tr r="AA35" s="17"/>
      </tp>
      <tp t="e">
        <v>#N/A</v>
        <stp/>
        <stp>BDH|11059311106749575252</stp>
        <tr r="O33" s="21"/>
      </tp>
      <tp t="e">
        <v>#N/A</v>
        <stp/>
        <stp>BDH|11833254268668644443</stp>
        <tr r="G33" s="5"/>
      </tp>
      <tp t="e">
        <v>#N/A</v>
        <stp/>
        <stp>BDH|17707934276043252377</stp>
        <tr r="T29" s="4"/>
      </tp>
      <tp t="e">
        <v>#N/A</v>
        <stp/>
        <stp>BDH|18097895245894806931</stp>
        <tr r="E61" s="21"/>
        <tr r="C25" s="2"/>
      </tp>
      <tp t="e">
        <v>#N/A</v>
        <stp/>
        <stp>BDH|16975970319497779071</stp>
        <tr r="N61" s="17"/>
      </tp>
      <tp t="e">
        <v>#N/A</v>
        <stp/>
        <stp>BDH|10366442061643710866</stp>
        <tr r="O14" s="4"/>
      </tp>
      <tp t="e">
        <v>#N/A</v>
        <stp/>
        <stp>BDH|11860503811915606988</stp>
        <tr r="E18" s="27"/>
        <tr r="E36" s="25"/>
      </tp>
      <tp t="e">
        <v>#N/A</v>
        <stp/>
        <stp>BDH|12375535545443121930</stp>
        <tr r="F40" s="21"/>
      </tp>
      <tp t="e">
        <v>#N/A</v>
        <stp/>
        <stp>BDH|11997969226121711294</stp>
        <tr r="L18" s="18"/>
      </tp>
      <tp t="e">
        <v>#N/A</v>
        <stp/>
        <stp>BDH|13246437553303722826</stp>
        <tr r="V33" s="11"/>
        <tr r="V44" s="10"/>
      </tp>
      <tp t="e">
        <v>#N/A</v>
        <stp/>
        <stp>BDH|13138351428559887224</stp>
        <tr r="G13" s="25"/>
      </tp>
      <tp t="e">
        <v>#N/A</v>
        <stp/>
        <stp>BDH|15137458192454834587</stp>
        <tr r="D9" s="24"/>
      </tp>
      <tp t="e">
        <v>#N/A</v>
        <stp/>
        <stp>BDH|16751068933664032842</stp>
        <tr r="M71" s="18"/>
      </tp>
      <tp t="e">
        <v>#N/A</v>
        <stp/>
        <stp>BDH|14541327075981406800</stp>
        <tr r="Y76" s="18"/>
      </tp>
      <tp t="e">
        <v>#N/A</v>
        <stp/>
        <stp>BDH|17757843284989312726</stp>
        <tr r="C21" s="4"/>
      </tp>
      <tp t="e">
        <v>#N/A</v>
        <stp/>
        <stp>BDH|13440408847308636234</stp>
        <tr r="I110" s="18"/>
      </tp>
      <tp t="e">
        <v>#N/A</v>
        <stp/>
        <stp>BDH|14624723820978511076</stp>
        <tr r="E27" s="11"/>
        <tr r="E38" s="10"/>
      </tp>
      <tp t="e">
        <v>#N/A</v>
        <stp/>
        <stp>BDH|10704563250378195166</stp>
        <tr r="J13" s="13"/>
      </tp>
      <tp t="e">
        <v>#N/A</v>
        <stp/>
        <stp>BDH|16690537363688022404</stp>
        <tr r="T47" s="11"/>
        <tr r="T58" s="10"/>
        <tr r="T7" s="7"/>
        <tr r="V12" s="3"/>
      </tp>
      <tp t="e">
        <v>#N/A</v>
        <stp/>
        <stp>BDH|14967306020979811576</stp>
        <tr r="K141" s="18"/>
      </tp>
      <tp t="e">
        <v>#N/A</v>
        <stp/>
        <stp>BDH|18150523195948034502</stp>
        <tr r="Y82" s="18"/>
      </tp>
      <tp t="e">
        <v>#N/A</v>
        <stp/>
        <stp>BDH|13767227697500221168</stp>
        <tr r="E12" s="22"/>
      </tp>
      <tp t="e">
        <v>#N/A</v>
        <stp/>
        <stp>BDH|13756170565815308800</stp>
        <tr r="S100" s="12"/>
      </tp>
      <tp t="e">
        <v>#N/A</v>
        <stp/>
        <stp>BDH|14471654781960711316</stp>
        <tr r="T7" s="11"/>
      </tp>
      <tp t="e">
        <v>#N/A</v>
        <stp/>
        <stp>BDH|16381350494141002444</stp>
        <tr r="T27" s="22"/>
      </tp>
      <tp t="e">
        <v>#N/A</v>
        <stp/>
        <stp>BDH|17307592539458035058</stp>
        <tr r="N47" s="24"/>
      </tp>
      <tp t="e">
        <v>#N/A</v>
        <stp/>
        <stp>BDH|10848891139372993073</stp>
        <tr r="Y39" s="12"/>
      </tp>
      <tp t="e">
        <v>#N/A</v>
        <stp/>
        <stp>BDH|11174578398455041183</stp>
        <tr r="U9" s="30"/>
      </tp>
      <tp t="e">
        <v>#N/A</v>
        <stp/>
        <stp>BDH|18046604252437329575</stp>
        <tr r="L35" s="17"/>
      </tp>
      <tp t="e">
        <v>#N/A</v>
        <stp/>
        <stp>BDH|18428710492006617970</stp>
        <tr r="AA9" s="14"/>
      </tp>
      <tp t="e">
        <v>#N/A</v>
        <stp/>
        <stp>BDH|15675677491557612407</stp>
        <tr r="L131" s="18"/>
      </tp>
      <tp t="e">
        <v>#N/A</v>
        <stp/>
        <stp>BDH|11943405184642355681</stp>
        <tr r="J39" s="24"/>
      </tp>
      <tp t="e">
        <v>#N/A</v>
        <stp/>
        <stp>BDH|12325565262868889095</stp>
        <tr r="J50" s="34"/>
      </tp>
      <tp t="e">
        <v>#N/A</v>
        <stp/>
        <stp>BDH|15135734561348238576</stp>
        <tr r="U83" s="18"/>
      </tp>
      <tp t="e">
        <v>#N/A</v>
        <stp/>
        <stp>BDH|10896148506350843847</stp>
        <tr r="X29" s="17"/>
      </tp>
      <tp t="e">
        <v>#N/A</v>
        <stp/>
        <stp>BDH|14914689925488742159</stp>
        <tr r="K39" s="26"/>
      </tp>
      <tp t="e">
        <v>#N/A</v>
        <stp/>
        <stp>BDH|13651169847976735966</stp>
        <tr r="V72" s="17"/>
      </tp>
      <tp t="e">
        <v>#N/A</v>
        <stp/>
        <stp>BDH|18085687748236251548</stp>
        <tr r="L6" s="28"/>
      </tp>
      <tp t="e">
        <v>#N/A</v>
        <stp/>
        <stp>BDH|10781835124604423729</stp>
        <tr r="C144" s="18"/>
      </tp>
      <tp t="e">
        <v>#N/A</v>
        <stp/>
        <stp>BDH|16035984465387931720</stp>
        <tr r="W45" s="34"/>
      </tp>
      <tp t="e">
        <v>#N/A</v>
        <stp/>
        <stp>BDH|18253744456584331751</stp>
        <tr r="D154" s="18"/>
      </tp>
      <tp t="e">
        <v>#N/A</v>
        <stp/>
        <stp>BDH|11668464508835956979</stp>
        <tr r="P46" s="21"/>
      </tp>
      <tp t="e">
        <v>#N/A</v>
        <stp/>
        <stp>BDH|12451825621453701262</stp>
        <tr r="M18" s="24"/>
      </tp>
      <tp t="e">
        <v>#N/A</v>
        <stp/>
        <stp>BDH|11685191585649933859</stp>
        <tr r="E11" s="20"/>
        <tr r="E116" s="18"/>
      </tp>
      <tp t="e">
        <v>#N/A</v>
        <stp/>
        <stp>BDH|10268946432994188735</stp>
        <tr r="E79" s="17"/>
        <tr r="E19" s="3"/>
      </tp>
      <tp t="e">
        <v>#N/A</v>
        <stp/>
        <stp>BDH|11090570731519711779</stp>
        <tr r="K8" s="4"/>
      </tp>
      <tp t="e">
        <v>#N/A</v>
        <stp/>
        <stp>BDH|11732729488397362074</stp>
        <tr r="L42" s="6"/>
      </tp>
      <tp t="e">
        <v>#N/A</v>
        <stp/>
        <stp>BDH|11499908588940362965</stp>
        <tr r="AA40" s="13"/>
        <tr r="Y33" s="10"/>
      </tp>
      <tp t="e">
        <v>#N/A</v>
        <stp/>
        <stp>BDH|15119399142338253314</stp>
        <tr r="Y79" s="17"/>
        <tr r="Y19" s="3"/>
      </tp>
      <tp t="e">
        <v>#N/A</v>
        <stp/>
        <stp>BDH|13897707123638473765</stp>
        <tr r="Z9" s="29"/>
      </tp>
      <tp t="e">
        <v>#N/A</v>
        <stp/>
        <stp>BDH|10719249349817296810</stp>
        <tr r="S31" s="13"/>
        <tr r="Q23" s="11"/>
        <tr r="Q34" s="10"/>
        <tr r="Q45" s="4"/>
      </tp>
      <tp t="e">
        <v>#N/A</v>
        <stp/>
        <stp>BDH|16257489792242532044</stp>
        <tr r="H9" s="17"/>
      </tp>
      <tp t="e">
        <v>#N/A</v>
        <stp/>
        <stp>BDH|13295486781670097629</stp>
        <tr r="E46" s="34"/>
      </tp>
      <tp t="e">
        <v>#N/A</v>
        <stp/>
        <stp>BDH|15847993841824033594</stp>
        <tr r="I124" s="18"/>
      </tp>
      <tp t="e">
        <v>#N/A</v>
        <stp/>
        <stp>BDH|12303708685776916266</stp>
        <tr r="J25" s="29"/>
        <tr r="J19" s="29"/>
        <tr r="J10" s="29"/>
        <tr r="J12" s="8"/>
        <tr r="H6" s="9"/>
        <tr r="H6" s="5"/>
        <tr r="I6" s="2"/>
      </tp>
      <tp t="e">
        <v>#N/A</v>
        <stp/>
        <stp>BDH|17919612764417599906</stp>
        <tr r="G44" s="24"/>
      </tp>
      <tp t="e">
        <v>#N/A</v>
        <stp/>
        <stp>BDH|11798466588403678763</stp>
        <tr r="Y35" s="11"/>
        <tr r="Y46" s="10"/>
      </tp>
      <tp t="e">
        <v>#N/A</v>
        <stp/>
        <stp>BDH|15914394543702850928</stp>
        <tr r="K31" s="11"/>
        <tr r="K42" s="10"/>
      </tp>
      <tp t="e">
        <v>#N/A</v>
        <stp/>
        <stp>BDH|12428588291593270465</stp>
        <tr r="G8" s="18"/>
      </tp>
      <tp t="e">
        <v>#N/A</v>
        <stp/>
        <stp>BDH|15108889658789928810</stp>
        <tr r="E40" s="22"/>
      </tp>
      <tp t="e">
        <v>#N/A</v>
        <stp/>
        <stp>BDH|15358590083726864788</stp>
        <tr r="G9" s="18"/>
      </tp>
      <tp t="e">
        <v>#N/A</v>
        <stp/>
        <stp>BDH|10768748902319839702</stp>
        <tr r="L43" s="29"/>
      </tp>
      <tp t="e">
        <v>#N/A</v>
        <stp/>
        <stp>BDH|17854989859302907093</stp>
        <tr r="C16" s="27"/>
        <tr r="C34" s="25"/>
      </tp>
      <tp t="e">
        <v>#N/A</v>
        <stp/>
        <stp>BDH|13203074487805985728</stp>
        <tr r="G35" s="13"/>
        <tr r="E28" s="10"/>
      </tp>
      <tp t="e">
        <v>#N/A</v>
        <stp/>
        <stp>BDH|15599872714761670498</stp>
        <tr r="E53" s="34"/>
      </tp>
      <tp t="e">
        <v>#N/A</v>
        <stp/>
        <stp>BDH|10280439940408835107</stp>
        <tr r="N30" s="12"/>
      </tp>
      <tp t="e">
        <v>#N/A</v>
        <stp/>
        <stp>BDH|16689145487956973052</stp>
        <tr r="Z21" s="18"/>
      </tp>
      <tp t="e">
        <v>#N/A</v>
        <stp/>
        <stp>BDH|15829035580361430566</stp>
        <tr r="G23" s="30"/>
        <tr r="G25" s="23"/>
      </tp>
      <tp t="e">
        <v>#N/A</v>
        <stp/>
        <stp>BDH|16900124402739552757</stp>
        <tr r="J22" s="14"/>
      </tp>
      <tp t="e">
        <v>#N/A</v>
        <stp/>
        <stp>BDH|14319154883870493484</stp>
        <tr r="L19" s="6"/>
      </tp>
      <tp t="e">
        <v>#N/A</v>
        <stp/>
        <stp>BDH|16626830968996797732</stp>
        <tr r="W43" s="12"/>
      </tp>
      <tp t="e">
        <v>#N/A</v>
        <stp/>
        <stp>BDH|13287246290231854079</stp>
        <tr r="P21" s="30"/>
      </tp>
      <tp t="e">
        <v>#N/A</v>
        <stp/>
        <stp>BDH|13502120447746849914</stp>
        <tr r="V43" s="34"/>
      </tp>
      <tp t="e">
        <v>#N/A</v>
        <stp/>
        <stp>BDH|10686220180242946149</stp>
        <tr r="W31" s="26"/>
      </tp>
      <tp t="e">
        <v>#N/A</v>
        <stp/>
        <stp>BDH|16907226014234121871</stp>
        <tr r="I21" s="22"/>
      </tp>
      <tp t="e">
        <v>#N/A</v>
        <stp/>
        <stp>BDH|17239605583856189691</stp>
        <tr r="G32" s="18"/>
      </tp>
      <tp t="e">
        <v>#N/A</v>
        <stp/>
        <stp>BDH|15544932889535041861</stp>
        <tr r="S26" s="26"/>
      </tp>
      <tp t="e">
        <v>#N/A</v>
        <stp/>
        <stp>BDH|10245615890121952730</stp>
        <tr r="T68" s="10"/>
        <tr r="T25" s="4"/>
      </tp>
      <tp t="e">
        <v>#N/A</v>
        <stp/>
        <stp>BDH|17060334996142456683</stp>
        <tr r="M18" s="26"/>
      </tp>
      <tp t="e">
        <v>#N/A</v>
        <stp/>
        <stp>BDH|14622690993483543107</stp>
        <tr r="AA41" s="18"/>
      </tp>
      <tp t="e">
        <v>#N/A</v>
        <stp/>
        <stp>BDH|14552202179221052955</stp>
        <tr r="V43" s="11"/>
        <tr r="V14" s="7"/>
        <tr r="V54" s="10"/>
        <tr r="X9" s="3"/>
      </tp>
      <tp t="e">
        <v>#N/A</v>
        <stp/>
        <stp>BDH|15842732790231775356</stp>
        <tr r="H30" s="29"/>
        <tr r="H8" s="29"/>
      </tp>
      <tp t="e">
        <v>#N/A</v>
        <stp/>
        <stp>BDH|13149211046335654997</stp>
        <tr r="K31" s="13"/>
        <tr r="I23" s="11"/>
        <tr r="I34" s="10"/>
        <tr r="I45" s="4"/>
      </tp>
      <tp t="e">
        <v>#N/A</v>
        <stp/>
        <stp>BDH|16534873039454138033</stp>
        <tr r="N31" s="22"/>
      </tp>
      <tp t="e">
        <v>#N/A</v>
        <stp/>
        <stp>BDH|14890044412935552925</stp>
        <tr r="S17" s="20"/>
      </tp>
      <tp t="e">
        <v>#N/A</v>
        <stp/>
        <stp>BDH|17388683739339911232</stp>
        <tr r="Y7" s="27"/>
        <tr r="Y94" s="17"/>
      </tp>
      <tp t="e">
        <v>#N/A</v>
        <stp/>
        <stp>BDH|15893807316551189478</stp>
        <tr r="T92" s="18"/>
      </tp>
      <tp t="e">
        <v>#N/A</v>
        <stp/>
        <stp>BDH|10274975205628981817</stp>
        <tr r="R10" s="34"/>
      </tp>
      <tp t="e">
        <v>#N/A</v>
        <stp/>
        <stp>BDH|12791480113036113853</stp>
        <tr r="U36" s="17"/>
      </tp>
      <tp t="e">
        <v>#N/A</v>
        <stp/>
        <stp>BDH|15572352090416121098</stp>
        <tr r="X52" s="13"/>
      </tp>
      <tp t="e">
        <v>#N/A</v>
        <stp/>
        <stp>BDH|11217407980971301595</stp>
        <tr r="U30" s="12"/>
      </tp>
      <tp t="e">
        <v>#N/A</v>
        <stp/>
        <stp>BDH|11841030352834223934</stp>
        <tr r="T88" s="17"/>
      </tp>
      <tp t="e">
        <v>#N/A</v>
        <stp/>
        <stp>BDH|10662012210250794887</stp>
        <tr r="R18" s="25"/>
      </tp>
      <tp t="e">
        <v>#N/A</v>
        <stp/>
        <stp>BDH|14896716288093913101</stp>
        <tr r="R10" s="17"/>
      </tp>
      <tp t="e">
        <v>#N/A</v>
        <stp/>
        <stp>BDH|14021366758438171378</stp>
        <tr r="I69" s="13"/>
      </tp>
      <tp t="e">
        <v>#N/A</v>
        <stp/>
        <stp>BDH|17873908770028160816</stp>
        <tr r="Q8" s="2"/>
      </tp>
      <tp t="e">
        <v>#N/A</v>
        <stp/>
        <stp>BDH|13246109580326388598</stp>
        <tr r="O101" s="18"/>
      </tp>
      <tp t="e">
        <v>#N/A</v>
        <stp/>
        <stp>BDH|15692180099452820671</stp>
        <tr r="W29" s="4"/>
      </tp>
      <tp t="e">
        <v>#N/A</v>
        <stp/>
        <stp>BDH|12159123607848866245</stp>
        <tr r="P45" s="13"/>
        <tr r="N40" s="10"/>
        <tr r="N29" s="11"/>
      </tp>
      <tp t="e">
        <v>#N/A</v>
        <stp/>
        <stp>BDH|10287206826479964051</stp>
        <tr r="J46" s="21"/>
      </tp>
      <tp t="e">
        <v>#N/A</v>
        <stp/>
        <stp>BDH|10651865123733899033</stp>
        <tr r="E7" s="8"/>
      </tp>
      <tp t="e">
        <v>#N/A</v>
        <stp/>
        <stp>BDH|11522445491864004182</stp>
        <tr r="D14" s="4"/>
      </tp>
      <tp t="e">
        <v>#N/A</v>
        <stp/>
        <stp>BDH|15975025831548534778</stp>
        <tr r="O11" s="17"/>
      </tp>
      <tp t="e">
        <v>#N/A</v>
        <stp/>
        <stp>BDH|13287854119727538434</stp>
        <tr r="P51" s="21"/>
      </tp>
      <tp t="e">
        <v>#N/A</v>
        <stp/>
        <stp>BDH|14957807791345928990</stp>
        <tr r="Q105" s="18"/>
      </tp>
      <tp t="e">
        <v>#N/A</v>
        <stp/>
        <stp>BDH|13942593374220406887</stp>
        <tr r="J23" s="18"/>
      </tp>
      <tp t="e">
        <v>#N/A</v>
        <stp/>
        <stp>BDH|15476211642099634394</stp>
        <tr r="G110" s="18"/>
      </tp>
      <tp t="e">
        <v>#N/A</v>
        <stp/>
        <stp>BDH|11796834019207689636</stp>
        <tr r="H9" s="23"/>
      </tp>
      <tp t="e">
        <v>#N/A</v>
        <stp/>
        <stp>BDH|15033411097299765897</stp>
        <tr r="I26" s="7"/>
      </tp>
      <tp t="e">
        <v>#N/A</v>
        <stp/>
        <stp>BDH|13348861940023904544</stp>
        <tr r="D103" s="18"/>
      </tp>
      <tp t="e">
        <v>#N/A</v>
        <stp/>
        <stp>BDH|12705195795334370701</stp>
        <tr r="P67" s="24"/>
      </tp>
      <tp t="e">
        <v>#N/A</v>
        <stp/>
        <stp>BDH|16906661784576208713</stp>
        <tr r="G24" s="20"/>
      </tp>
      <tp t="e">
        <v>#N/A</v>
        <stp/>
        <stp>BDH|14228789110899152231</stp>
        <tr r="R7" s="27"/>
        <tr r="R94" s="17"/>
      </tp>
      <tp t="e">
        <v>#N/A</v>
        <stp/>
        <stp>BDH|14131823959556474664</stp>
        <tr r="N35" s="12"/>
      </tp>
      <tp t="e">
        <v>#N/A</v>
        <stp/>
        <stp>BDH|15408340478559144114</stp>
        <tr r="M74" s="12"/>
      </tp>
      <tp t="e">
        <v>#N/A</v>
        <stp/>
        <stp>BDH|14938965838995925268</stp>
        <tr r="Z54" s="24"/>
      </tp>
      <tp t="e">
        <v>#N/A</v>
        <stp/>
        <stp>BDH|13525961142993084496</stp>
        <tr r="M7" s="27"/>
        <tr r="M94" s="17"/>
      </tp>
      <tp t="e">
        <v>#N/A</v>
        <stp/>
        <stp>BDH|11063487695136297342</stp>
        <tr r="P64" s="18"/>
      </tp>
      <tp t="e">
        <v>#N/A</v>
        <stp/>
        <stp>BDH|15488431286948921838</stp>
        <tr r="L29" s="4"/>
      </tp>
      <tp t="e">
        <v>#N/A</v>
        <stp/>
        <stp>BDH|13302134523741888801</stp>
        <tr r="F13" s="18"/>
      </tp>
      <tp t="e">
        <v>#N/A</v>
        <stp/>
        <stp>BDH|14884450570237635903</stp>
        <tr r="V43" s="17"/>
      </tp>
      <tp t="e">
        <v>#N/A</v>
        <stp/>
        <stp>BDH|14697283187700148730</stp>
        <tr r="U18" s="23"/>
      </tp>
      <tp t="e">
        <v>#N/A</v>
        <stp/>
        <stp>BDH|16780976822412152686</stp>
        <tr r="V7" s="28"/>
      </tp>
      <tp t="e">
        <v>#N/A</v>
        <stp/>
        <stp>BDH|13971816435006412729</stp>
        <tr r="AA8" s="21"/>
      </tp>
      <tp t="e">
        <v>#N/A</v>
        <stp/>
        <stp>BDH|11792690227858213408</stp>
        <tr r="S61" s="11"/>
      </tp>
      <tp t="e">
        <v>#N/A</v>
        <stp/>
        <stp>BDH|11470929376974384287</stp>
        <tr r="Q28" s="17"/>
      </tp>
      <tp t="e">
        <v>#N/A</v>
        <stp/>
        <stp>BDH|12870284862556000999</stp>
        <tr r="Z59" s="12"/>
      </tp>
      <tp t="e">
        <v>#N/A</v>
        <stp/>
        <stp>BDH|10923918702461307121</stp>
        <tr r="F75" s="18"/>
      </tp>
      <tp t="e">
        <v>#N/A</v>
        <stp/>
        <stp>BDH|15239684791834557757</stp>
        <tr r="V35" s="17"/>
      </tp>
      <tp t="e">
        <v>#N/A</v>
        <stp/>
        <stp>BDH|13630310848438022549</stp>
        <tr r="W18" s="12"/>
      </tp>
      <tp t="e">
        <v>#N/A</v>
        <stp/>
        <stp>BDH|16924526089043864111</stp>
        <tr r="L14" s="8"/>
      </tp>
      <tp t="e">
        <v>#N/A</v>
        <stp/>
        <stp>BDH|12899073414832699868</stp>
        <tr r="U171" s="18"/>
      </tp>
      <tp t="e">
        <v>#N/A</v>
        <stp/>
        <stp>BDH|17080412581271925329</stp>
        <tr r="K65" s="24"/>
      </tp>
      <tp t="e">
        <v>#N/A</v>
        <stp/>
        <stp>BDH|12293325111991801827</stp>
        <tr r="R44" s="21"/>
      </tp>
      <tp t="e">
        <v>#N/A</v>
        <stp/>
        <stp>BDH|16609983747094557674</stp>
        <tr r="X10" s="34"/>
      </tp>
      <tp t="e">
        <v>#N/A</v>
        <stp/>
        <stp>BDH|10894460047448193136</stp>
        <tr r="U72" s="18"/>
      </tp>
      <tp t="e">
        <v>#N/A</v>
        <stp/>
        <stp>BDH|11849778237034694854</stp>
        <tr r="M11" s="21"/>
      </tp>
      <tp t="e">
        <v>#N/A</v>
        <stp/>
        <stp>BDH|16536932708942603439</stp>
        <tr r="E12" s="21"/>
      </tp>
      <tp t="e">
        <v>#N/A</v>
        <stp/>
        <stp>BDH|10552632107536933930</stp>
        <tr r="J107" s="18"/>
      </tp>
      <tp t="e">
        <v>#N/A</v>
        <stp/>
        <stp>BDH|10529122998365073444</stp>
        <tr r="K33" s="18"/>
      </tp>
      <tp t="e">
        <v>#N/A</v>
        <stp/>
        <stp>BDH|11633147281240944112</stp>
        <tr r="U18" s="17"/>
      </tp>
      <tp t="e">
        <v>#N/A</v>
        <stp/>
        <stp>BDH|11815495893644039191</stp>
        <tr r="D15" s="22"/>
      </tp>
      <tp t="e">
        <v>#N/A</v>
        <stp/>
        <stp>BDH|17449707036043878913</stp>
        <tr r="H26" s="11"/>
        <tr r="H37" s="10"/>
      </tp>
      <tp t="e">
        <v>#N/A</v>
        <stp/>
        <stp>BDH|11409418710654785990</stp>
        <tr r="U57" s="13"/>
        <tr r="S38" s="11"/>
        <tr r="S49" s="10"/>
        <tr r="S53" s="4"/>
        <tr r="S18" s="2"/>
      </tp>
      <tp t="e">
        <v>#N/A</v>
        <stp/>
        <stp>BDH|17255286511919485444</stp>
        <tr r="U9" s="20"/>
        <tr r="U115" s="18"/>
      </tp>
      <tp t="e">
        <v>#N/A</v>
        <stp/>
        <stp>BDH|13123528878800228826</stp>
        <tr r="R23" s="18"/>
      </tp>
      <tp t="e">
        <v>#N/A</v>
        <stp/>
        <stp>BDH|12360552249239062345</stp>
        <tr r="U17" s="6"/>
      </tp>
      <tp t="e">
        <v>#N/A</v>
        <stp/>
        <stp>BDH|18115297855270554635</stp>
        <tr r="V77" s="12"/>
      </tp>
      <tp t="e">
        <v>#N/A</v>
        <stp/>
        <stp>BDH|10291559808949424510</stp>
        <tr r="S156" s="18"/>
      </tp>
      <tp t="e">
        <v>#N/A</v>
        <stp/>
        <stp>BDH|18318523218270785543</stp>
        <tr r="E68" s="18"/>
      </tp>
      <tp t="e">
        <v>#N/A</v>
        <stp/>
        <stp>BDH|12553904010975850676</stp>
        <tr r="Q26" s="21"/>
      </tp>
      <tp t="e">
        <v>#N/A</v>
        <stp/>
        <stp>BDH|16699088430059426509</stp>
        <tr r="I30" s="26"/>
      </tp>
      <tp t="e">
        <v>#N/A</v>
        <stp/>
        <stp>BDH|10947288592287003594</stp>
        <tr r="O90" s="12"/>
      </tp>
      <tp t="e">
        <v>#N/A</v>
        <stp/>
        <stp>BDH|18029074257895350191</stp>
        <tr r="AA63" s="18"/>
      </tp>
      <tp t="e">
        <v>#N/A</v>
        <stp/>
        <stp>BDH|16112196322504489843</stp>
        <tr r="P12" s="24"/>
      </tp>
      <tp t="e">
        <v>#N/A</v>
        <stp/>
        <stp>BDH|17734257021106985804</stp>
        <tr r="F25" s="21"/>
      </tp>
      <tp t="e">
        <v>#N/A</v>
        <stp/>
        <stp>BDH|17102731887924603590</stp>
        <tr r="U23" s="18"/>
      </tp>
      <tp t="e">
        <v>#N/A</v>
        <stp/>
        <stp>BDH|18102573988944357870</stp>
        <tr r="S27" s="22"/>
      </tp>
      <tp t="e">
        <v>#N/A</v>
        <stp/>
        <stp>BDH|11080914904089917862</stp>
        <tr r="W150" s="18"/>
      </tp>
      <tp t="e">
        <v>#N/A</v>
        <stp/>
        <stp>BDH|17583584683077764435</stp>
        <tr r="I33" s="11"/>
        <tr r="I44" s="10"/>
      </tp>
      <tp t="e">
        <v>#N/A</v>
        <stp/>
        <stp>BDH|13078363793161824179</stp>
        <tr r="P28" s="4"/>
      </tp>
      <tp t="e">
        <v>#N/A</v>
        <stp/>
        <stp>BDH|14195887242142727363</stp>
        <tr r="D100" s="18"/>
      </tp>
      <tp t="e">
        <v>#N/A</v>
        <stp/>
        <stp>BDH|10388965733234517793</stp>
        <tr r="I14" s="22"/>
      </tp>
      <tp t="e">
        <v>#N/A</v>
        <stp/>
        <stp>BDH|13001551684906323187</stp>
        <tr r="F39" s="24"/>
      </tp>
      <tp t="e">
        <v>#N/A</v>
        <stp/>
        <stp>BDH|13952823423769142939</stp>
        <tr r="G34" s="18"/>
      </tp>
      <tp t="e">
        <v>#N/A</v>
        <stp/>
        <stp>BDH|13890173599860499288</stp>
        <tr r="S13" s="12"/>
      </tp>
      <tp t="e">
        <v>#N/A</v>
        <stp/>
        <stp>BDH|17614596618172468892</stp>
        <tr r="E40" s="29"/>
        <tr r="E17" s="29"/>
      </tp>
      <tp t="e">
        <v>#N/A</v>
        <stp/>
        <stp>BDH|18047427970116945417</stp>
        <tr r="S43" s="22"/>
      </tp>
      <tp t="e">
        <v>#N/A</v>
        <stp/>
        <stp>BDH|14812853547175370435</stp>
        <tr r="S7" s="9"/>
        <tr r="V14" s="3"/>
        <tr r="T7" s="2"/>
        <tr r="S7" s="5"/>
      </tp>
      <tp t="e">
        <v>#N/A</v>
        <stp/>
        <stp>BDH|14886952563187291565</stp>
        <tr r="W38" s="24"/>
      </tp>
      <tp t="e">
        <v>#N/A</v>
        <stp/>
        <stp>BDH|14189858110772911670</stp>
        <tr r="N43" s="12"/>
      </tp>
      <tp t="e">
        <v>#N/A</v>
        <stp/>
        <stp>BDH|11692519281901481485</stp>
        <tr r="S22" s="21"/>
      </tp>
      <tp t="e">
        <v>#N/A</v>
        <stp/>
        <stp>BDH|12722248553488425497</stp>
        <tr r="R15" s="21"/>
      </tp>
      <tp t="e">
        <v>#N/A</v>
        <stp/>
        <stp>BDH|13597337937239432385</stp>
        <tr r="V49" s="4"/>
      </tp>
      <tp t="e">
        <v>#N/A</v>
        <stp/>
        <stp>BDH|14678709599005665641</stp>
        <tr r="L45" s="34"/>
      </tp>
      <tp t="e">
        <v>#N/A</v>
        <stp/>
        <stp>BDH|17966704996895410563</stp>
        <tr r="N39" s="24"/>
      </tp>
      <tp t="e">
        <v>#N/A</v>
        <stp/>
        <stp>BDH|10389070589694741575</stp>
        <tr r="AA47" s="18"/>
      </tp>
      <tp t="e">
        <v>#N/A</v>
        <stp/>
        <stp>BDH|11412048698315277472</stp>
        <tr r="G40" s="22"/>
      </tp>
      <tp t="e">
        <v>#N/A</v>
        <stp/>
        <stp>BDH|17557800588877539953</stp>
        <tr r="V15" s="4"/>
      </tp>
      <tp t="e">
        <v>#N/A</v>
        <stp/>
        <stp>BDH|17811087484934810213</stp>
        <tr r="I41" s="6"/>
        <tr r="I18" s="5"/>
      </tp>
      <tp t="e">
        <v>#N/A</v>
        <stp/>
        <stp>BDH|13795305878269115733</stp>
        <tr r="Y22" s="7"/>
      </tp>
      <tp t="e">
        <v>#N/A</v>
        <stp/>
        <stp>BDH|11957449915175532802</stp>
        <tr r="E58" s="12"/>
      </tp>
      <tp t="e">
        <v>#N/A</v>
        <stp/>
        <stp>BDH|14422214953353315988</stp>
        <tr r="AA52" s="13"/>
      </tp>
      <tp t="e">
        <v>#N/A</v>
        <stp/>
        <stp>BDH|10086777224164858867</stp>
        <tr r="M42" s="25"/>
      </tp>
      <tp t="e">
        <v>#N/A</v>
        <stp/>
        <stp>BDH|15889004793573143671</stp>
        <tr r="H9" s="20"/>
        <tr r="H115" s="18"/>
      </tp>
      <tp t="e">
        <v>#N/A</v>
        <stp/>
        <stp>BDH|15847076297926212376</stp>
        <tr r="I27" s="25"/>
        <tr r="G20" s="11"/>
      </tp>
      <tp t="e">
        <v>#N/A</v>
        <stp/>
        <stp>BDH|15020098204619330533</stp>
        <tr r="K51" s="12"/>
      </tp>
      <tp t="e">
        <v>#N/A</v>
        <stp/>
        <stp>BDH|16891232715324436877</stp>
        <tr r="T21" s="2"/>
      </tp>
      <tp t="e">
        <v>#N/A</v>
        <stp/>
        <stp>BDH|12840827589868608388</stp>
        <tr r="L13" s="9"/>
      </tp>
      <tp t="e">
        <v>#N/A</v>
        <stp/>
        <stp>BDH|17408996020243126615</stp>
        <tr r="E8" s="20"/>
        <tr r="E114" s="18"/>
      </tp>
      <tp t="e">
        <v>#N/A</v>
        <stp/>
        <stp>BDH|14423938535920632793</stp>
        <tr r="O66" s="21"/>
      </tp>
      <tp t="e">
        <v>#N/A</v>
        <stp/>
        <stp>BDH|13619443328644015877</stp>
        <tr r="H87" s="18"/>
      </tp>
      <tp t="e">
        <v>#N/A</v>
        <stp/>
        <stp>BDH|10426066998791070176</stp>
        <tr r="S64" s="21"/>
        <tr r="Q23" s="7"/>
      </tp>
      <tp t="e">
        <v>#N/A</v>
        <stp/>
        <stp>BDH|10516722008627712956</stp>
        <tr r="M12" s="7"/>
      </tp>
      <tp t="e">
        <v>#N/A</v>
        <stp/>
        <stp>BDH|12150180688706975454</stp>
        <tr r="L9" s="18"/>
      </tp>
      <tp t="e">
        <v>#N/A</v>
        <stp/>
        <stp>BDH|14364341940603970936</stp>
        <tr r="Z99" s="12"/>
      </tp>
      <tp t="e">
        <v>#N/A</v>
        <stp/>
        <stp>BDH|12184915557581905638</stp>
        <tr r="M19" s="17"/>
      </tp>
      <tp t="e">
        <v>#N/A</v>
        <stp/>
        <stp>BDH|11569861805401301183</stp>
        <tr r="S31" s="24"/>
      </tp>
      <tp t="e">
        <v>#N/A</v>
        <stp/>
        <stp>BDH|10777808246937844242</stp>
        <tr r="F21" s="14"/>
      </tp>
      <tp t="e">
        <v>#N/A</v>
        <stp/>
        <stp>BDH|13608798192873742771</stp>
        <tr r="J31" s="13"/>
        <tr r="H34" s="10"/>
        <tr r="H23" s="11"/>
        <tr r="H45" s="4"/>
      </tp>
      <tp t="e">
        <v>#N/A</v>
        <stp/>
        <stp>BDH|12919588618216766938</stp>
        <tr r="F67" s="12"/>
      </tp>
      <tp t="e">
        <v>#N/A</v>
        <stp/>
        <stp>BDH|13713071488623711122</stp>
        <tr r="X141" s="18"/>
      </tp>
      <tp t="e">
        <v>#N/A</v>
        <stp/>
        <stp>BDH|14103965258109550874</stp>
        <tr r="Z19" s="13"/>
        <tr r="X65" s="10"/>
        <tr r="X16" s="2"/>
        <tr r="X32" s="4"/>
      </tp>
      <tp t="e">
        <v>#N/A</v>
        <stp/>
        <stp>BDH|11111116338162664834</stp>
        <tr r="M61" s="12"/>
      </tp>
      <tp t="e">
        <v>#N/A</v>
        <stp/>
        <stp>BDH|12944855041342653563</stp>
        <tr r="J31" s="9"/>
      </tp>
      <tp t="e">
        <v>#N/A</v>
        <stp/>
        <stp>BDH|17696155339105404926</stp>
        <tr r="G10" s="11"/>
      </tp>
      <tp t="e">
        <v>#N/A</v>
        <stp/>
        <stp>BDH|14413706699047641479</stp>
        <tr r="X42" s="18"/>
      </tp>
      <tp t="e">
        <v>#N/A</v>
        <stp/>
        <stp>BDH|15488641299071017251</stp>
        <tr r="Z80" s="18"/>
      </tp>
      <tp t="e">
        <v>#N/A</v>
        <stp/>
        <stp>BDH|11806940953800758444</stp>
        <tr r="Y96" s="18"/>
      </tp>
      <tp t="e">
        <v>#N/A</v>
        <stp/>
        <stp>BDH|12275276806768792187</stp>
        <tr r="E79" s="18"/>
      </tp>
      <tp t="e">
        <v>#N/A</v>
        <stp/>
        <stp>BDH|11457885875417659039</stp>
        <tr r="O18" s="17"/>
      </tp>
      <tp t="e">
        <v>#N/A</v>
        <stp/>
        <stp>BDH|12368586159708779398</stp>
        <tr r="Y8" s="27"/>
      </tp>
      <tp t="e">
        <v>#N/A</v>
        <stp/>
        <stp>BDH|12523491349408170388</stp>
        <tr r="Z31" s="17"/>
      </tp>
      <tp t="e">
        <v>#N/A</v>
        <stp/>
        <stp>BDH|11003878606127927744</stp>
        <tr r="C43" s="21"/>
      </tp>
      <tp t="e">
        <v>#N/A</v>
        <stp/>
        <stp>BDH|13719500399115695347</stp>
        <tr r="C69" s="12"/>
      </tp>
      <tp t="e">
        <v>#N/A</v>
        <stp/>
        <stp>BDH|12826865151515481376</stp>
        <tr r="N50" s="12"/>
      </tp>
      <tp t="e">
        <v>#N/A</v>
        <stp/>
        <stp>BDH|14992266791042220401</stp>
        <tr r="R49" s="34"/>
      </tp>
      <tp t="e">
        <v>#N/A</v>
        <stp/>
        <stp>BDH|18432405214950589494</stp>
        <tr r="H46" s="6"/>
        <tr r="H19" s="5"/>
      </tp>
      <tp t="e">
        <v>#N/A</v>
        <stp/>
        <stp>BDH|13423096968244817814</stp>
        <tr r="K17" s="6"/>
      </tp>
      <tp t="e">
        <v>#N/A</v>
        <stp/>
        <stp>BDH|10934266085560357356</stp>
        <tr r="K61" s="13"/>
      </tp>
      <tp t="e">
        <v>#N/A</v>
        <stp/>
        <stp>BDH|11658722699546404050</stp>
        <tr r="K166" s="18"/>
      </tp>
      <tp t="e">
        <v>#N/A</v>
        <stp/>
        <stp>BDH|17762165333975798991</stp>
        <tr r="J63" s="13"/>
        <tr r="H49" s="11"/>
        <tr r="H60" s="10"/>
        <tr r="H18" s="7"/>
      </tp>
      <tp t="e">
        <v>#N/A</v>
        <stp/>
        <stp>BDH|11528388896944232651</stp>
        <tr r="Q33" s="17"/>
      </tp>
      <tp t="e">
        <v>#N/A</v>
        <stp/>
        <stp>BDH|18203841325109763287</stp>
        <tr r="X58" s="24"/>
      </tp>
      <tp t="e">
        <v>#N/A</v>
        <stp/>
        <stp>BDH|17341610879479071677</stp>
        <tr r="N27" s="26"/>
      </tp>
      <tp t="e">
        <v>#N/A</v>
        <stp/>
        <stp>BDH|13908308032432253859</stp>
        <tr r="W15" s="12"/>
      </tp>
      <tp t="e">
        <v>#N/A</v>
        <stp/>
        <stp>BDH|11765511486403440687</stp>
        <tr r="Z66" s="24"/>
      </tp>
      <tp t="e">
        <v>#N/A</v>
        <stp/>
        <stp>BDH|16115270688615343013</stp>
        <tr r="F9" s="13"/>
      </tp>
      <tp t="e">
        <v>#N/A</v>
        <stp/>
        <stp>BDH|14469357535055954813</stp>
        <tr r="W18" s="10"/>
      </tp>
      <tp t="e">
        <v>#N/A</v>
        <stp/>
        <stp>BDH|16987251457808763000</stp>
        <tr r="Z40" s="29"/>
        <tr r="Z17" s="29"/>
      </tp>
      <tp t="e">
        <v>#N/A</v>
        <stp/>
        <stp>BDH|17070743084314571597</stp>
        <tr r="N21" s="17"/>
      </tp>
      <tp t="e">
        <v>#N/A</v>
        <stp/>
        <stp>BDH|13620023095985492697</stp>
        <tr r="V48" s="21"/>
      </tp>
      <tp t="e">
        <v>#N/A</v>
        <stp/>
        <stp>BDH|15503887314383194649</stp>
        <tr r="N79" s="12"/>
      </tp>
      <tp t="e">
        <v>#N/A</v>
        <stp/>
        <stp>BDH|16826461780825316620</stp>
        <tr r="F78" s="17"/>
        <tr r="C9" s="9"/>
        <tr r="C9" s="5"/>
      </tp>
      <tp t="e">
        <v>#N/A</v>
        <stp/>
        <stp>BDH|12985351344794775800</stp>
        <tr r="N34" s="22"/>
      </tp>
      <tp t="e">
        <v>#N/A</v>
        <stp/>
        <stp>BDH|16923555985406599433</stp>
        <tr r="X67" s="17"/>
      </tp>
      <tp t="e">
        <v>#N/A</v>
        <stp/>
        <stp>BDH|11940140789223267299</stp>
        <tr r="S25" s="24"/>
      </tp>
      <tp t="e">
        <v>#N/A</v>
        <stp/>
        <stp>BDH|12692835843805053299</stp>
        <tr r="D64" s="12"/>
      </tp>
      <tp t="e">
        <v>#N/A</v>
        <stp/>
        <stp>BDH|10299928478022714508</stp>
        <tr r="C29" s="9"/>
      </tp>
      <tp t="e">
        <v>#N/A</v>
        <stp/>
        <stp>BDH|10324039099718102874</stp>
        <tr r="T50" s="17"/>
      </tp>
      <tp t="e">
        <v>#N/A</v>
        <stp/>
        <stp>BDH|14459670382903824061</stp>
        <tr r="G19" s="11"/>
      </tp>
      <tp t="e">
        <v>#N/A</v>
        <stp/>
        <stp>BDH|11566669239714256972</stp>
        <tr r="P22" s="17"/>
        <tr r="P15" s="3"/>
      </tp>
      <tp t="e">
        <v>#N/A</v>
        <stp/>
        <stp>BDH|14952854565216257548</stp>
        <tr r="Q71" s="12"/>
      </tp>
      <tp t="e">
        <v>#N/A</v>
        <stp/>
        <stp>BDH|13550459752372472996</stp>
        <tr r="W79" s="17"/>
        <tr r="W19" s="3"/>
      </tp>
      <tp t="e">
        <v>#N/A</v>
        <stp/>
        <stp>BDH|10683497689180876514</stp>
        <tr r="P98" s="18"/>
      </tp>
      <tp t="e">
        <v>#N/A</v>
        <stp/>
        <stp>BDH|11227482590111199445</stp>
        <tr r="M6" s="15"/>
        <tr r="M12" s="2"/>
        <tr r="M11" s="4"/>
        <tr r="M6" s="10"/>
      </tp>
      <tp t="e">
        <v>#N/A</v>
        <stp/>
        <stp>BDH|18130076176671876779</stp>
        <tr r="Y8" s="4"/>
      </tp>
      <tp t="e">
        <v>#N/A</v>
        <stp/>
        <stp>BDH|15038496671948716701</stp>
        <tr r="V8" s="24"/>
      </tp>
      <tp t="e">
        <v>#N/A</v>
        <stp/>
        <stp>BDH|14546486327098425312</stp>
        <tr r="P13" s="24"/>
      </tp>
      <tp t="e">
        <v>#N/A</v>
        <stp/>
        <stp>BDH|15433035837756616992</stp>
        <tr r="C84" s="18"/>
      </tp>
      <tp t="e">
        <v>#N/A</v>
        <stp/>
        <stp>BDH|14937174681374811087</stp>
        <tr r="N99" s="12"/>
      </tp>
      <tp t="e">
        <v>#N/A</v>
        <stp/>
        <stp>BDH|10865854866336380179</stp>
        <tr r="S32" s="11"/>
        <tr r="S43" s="10"/>
      </tp>
      <tp t="e">
        <v>#N/A</v>
        <stp/>
        <stp>BDH|17068818876077081686</stp>
        <tr r="M16" s="12"/>
      </tp>
      <tp t="e">
        <v>#N/A</v>
        <stp/>
        <stp>BDH|16053184546379606375</stp>
        <tr r="Q38" s="25"/>
        <tr r="Q92" s="17"/>
      </tp>
      <tp t="e">
        <v>#N/A</v>
        <stp/>
        <stp>BDH|15542126398506295228</stp>
        <tr r="W7" s="34"/>
      </tp>
      <tp t="e">
        <v>#N/A</v>
        <stp/>
        <stp>BDH|15563927579930666278</stp>
        <tr r="O24" s="5"/>
      </tp>
      <tp t="e">
        <v>#N/A</v>
        <stp/>
        <stp>BDH|11061623811558915754</stp>
        <tr r="U58" s="12"/>
      </tp>
      <tp t="e">
        <v>#N/A</v>
        <stp/>
        <stp>BDH|18126592256777208632</stp>
        <tr r="C109" s="18"/>
      </tp>
      <tp t="e">
        <v>#N/A</v>
        <stp/>
        <stp>BDH|10802664741592765973</stp>
        <tr r="O24" s="22"/>
      </tp>
      <tp t="e">
        <v>#N/A</v>
        <stp/>
        <stp>BDH|11814189248785285853</stp>
        <tr r="G19" s="18"/>
      </tp>
      <tp t="e">
        <v>#N/A</v>
        <stp/>
        <stp>BDH|10130469191997068391</stp>
        <tr r="E53" s="17"/>
      </tp>
      <tp t="e">
        <v>#N/A</v>
        <stp/>
        <stp>BDH|14047962745232523292</stp>
        <tr r="X66" s="17"/>
      </tp>
      <tp t="e">
        <v>#N/A</v>
        <stp/>
        <stp>BDH|15838538093779515936</stp>
        <tr r="V50" s="12"/>
      </tp>
      <tp t="e">
        <v>#N/A</v>
        <stp/>
        <stp>BDH|16405439717808891263</stp>
        <tr r="D42" s="4"/>
      </tp>
      <tp t="e">
        <v>#N/A</v>
        <stp/>
        <stp>BDH|18307364153857003086</stp>
        <tr r="O84" s="18"/>
      </tp>
      <tp t="e">
        <v>#N/A</v>
        <stp/>
        <stp>BDH|16726908426810999462</stp>
        <tr r="E85" s="12"/>
      </tp>
      <tp t="e">
        <v>#N/A</v>
        <stp/>
        <stp>BDH|17994803876058737961</stp>
        <tr r="Z27" s="13"/>
      </tp>
      <tp t="e">
        <v>#N/A</v>
        <stp/>
        <stp>BDH|14096519989956400626</stp>
        <tr r="I141" s="18"/>
      </tp>
      <tp t="e">
        <v>#N/A</v>
        <stp/>
        <stp>BDH|16231895519984551294</stp>
        <tr r="F86" s="18"/>
      </tp>
      <tp t="e">
        <v>#N/A</v>
        <stp/>
        <stp>BDH|17297795537398774256</stp>
        <tr r="X74" s="12"/>
      </tp>
      <tp t="e">
        <v>#N/A</v>
        <stp/>
        <stp>BDH|14905124700904516801</stp>
        <tr r="E69" s="10"/>
        <tr r="E39" s="4"/>
      </tp>
      <tp t="e">
        <v>#N/A</v>
        <stp/>
        <stp>BDH|12343602317345896921</stp>
        <tr r="I22" s="22"/>
      </tp>
      <tp t="e">
        <v>#N/A</v>
        <stp/>
        <stp>BDH|13803920737212068238</stp>
        <tr r="X24" s="11"/>
        <tr r="X35" s="10"/>
      </tp>
      <tp t="e">
        <v>#N/A</v>
        <stp/>
        <stp>BDH|17003979409610869785</stp>
        <tr r="K8" s="22"/>
      </tp>
      <tp t="e">
        <v>#N/A</v>
        <stp/>
        <stp>BDH|10586991025163760102</stp>
        <tr r="E20" s="18"/>
      </tp>
      <tp t="e">
        <v>#N/A</v>
        <stp/>
        <stp>BDH|14816840578421913338</stp>
        <tr r="S127" s="18"/>
      </tp>
      <tp t="e">
        <v>#N/A</v>
        <stp/>
        <stp>BDH|13720011518732227925</stp>
        <tr r="X57" s="24"/>
      </tp>
      <tp t="e">
        <v>#N/A</v>
        <stp/>
        <stp>BDH|17869148037889311564</stp>
        <tr r="AA95" s="12"/>
      </tp>
      <tp t="e">
        <v>#N/A</v>
        <stp/>
        <stp>BDH|11198992723054791720</stp>
        <tr r="S17" s="30"/>
      </tp>
      <tp t="e">
        <v>#N/A</v>
        <stp/>
        <stp>BDH|11645584017518560421</stp>
        <tr r="W11" s="10"/>
        <tr r="W14" s="2"/>
      </tp>
      <tp t="e">
        <v>#N/A</v>
        <stp/>
        <stp>BDH|12841072511179651360</stp>
        <tr r="X9" s="10"/>
      </tp>
      <tp t="e">
        <v>#N/A</v>
        <stp/>
        <stp>BDH|12259984618067402481</stp>
        <tr r="W168" s="18"/>
      </tp>
      <tp t="e">
        <v>#N/A</v>
        <stp/>
        <stp>BDH|13486576135028119498</stp>
        <tr r="K20" s="5"/>
      </tp>
      <tp t="e">
        <v>#N/A</v>
        <stp/>
        <stp>BDH|11339279595790930369</stp>
        <tr r="L142" s="18"/>
      </tp>
      <tp t="e">
        <v>#N/A</v>
        <stp/>
        <stp>BDH|10242328249909059776</stp>
        <tr r="J20" s="5"/>
      </tp>
      <tp t="e">
        <v>#N/A</v>
        <stp/>
        <stp>BDH|16379127648539755306</stp>
        <tr r="H11" s="29"/>
      </tp>
      <tp t="e">
        <v>#N/A</v>
        <stp/>
        <stp>BDH|17874927366363508275</stp>
        <tr r="J7" s="23"/>
      </tp>
      <tp t="e">
        <v>#N/A</v>
        <stp/>
        <stp>BDH|16760190609289834711</stp>
        <tr r="G27" s="6"/>
      </tp>
      <tp t="e">
        <v>#N/A</v>
        <stp/>
        <stp>BDH|17221851991626032983</stp>
        <tr r="D140" s="18"/>
      </tp>
      <tp t="e">
        <v>#N/A</v>
        <stp/>
        <stp>BDH|17254568781624374789</stp>
        <tr r="I10" s="13"/>
      </tp>
      <tp t="e">
        <v>#N/A</v>
        <stp/>
        <stp>BDH|11782590972499201309</stp>
        <tr r="K151" s="18"/>
      </tp>
      <tp t="e">
        <v>#N/A</v>
        <stp/>
        <stp>BDH|17917776727342107961</stp>
        <tr r="K32" s="22"/>
      </tp>
      <tp t="e">
        <v>#N/A</v>
        <stp/>
        <stp>BDH|10328614333999124216</stp>
        <tr r="V57" s="18"/>
      </tp>
      <tp t="e">
        <v>#N/A</v>
        <stp/>
        <stp>BDH|14759577813417050928</stp>
        <tr r="N32" s="5"/>
      </tp>
      <tp t="e">
        <v>#N/A</v>
        <stp/>
        <stp>BDH|12712909170634703615</stp>
        <tr r="F13" s="7"/>
      </tp>
      <tp t="e">
        <v>#N/A</v>
        <stp/>
        <stp>BDH|11291862044822198100</stp>
        <tr r="Y38" s="12"/>
      </tp>
      <tp t="e">
        <v>#N/A</v>
        <stp/>
        <stp>BDH|10028869360094626413</stp>
        <tr r="S58" s="24"/>
      </tp>
      <tp t="e">
        <v>#N/A</v>
        <stp/>
        <stp>BDH|17659512601088796404</stp>
        <tr r="U52" s="22"/>
      </tp>
      <tp t="e">
        <v>#N/A</v>
        <stp/>
        <stp>BDH|12301773380651446218</stp>
        <tr r="O26" s="21"/>
      </tp>
      <tp t="e">
        <v>#N/A</v>
        <stp/>
        <stp>BDH|13217950531230780702</stp>
        <tr r="T33" s="5"/>
      </tp>
      <tp t="e">
        <v>#N/A</v>
        <stp/>
        <stp>BDH|15476231396882861280</stp>
        <tr r="U49" s="24"/>
      </tp>
      <tp t="e">
        <v>#N/A</v>
        <stp/>
        <stp>BDH|14455780425026944919</stp>
        <tr r="E58" s="18"/>
      </tp>
      <tp t="e">
        <v>#N/A</v>
        <stp/>
        <stp>BDH|15631159628408365090</stp>
        <tr r="H12" s="24"/>
      </tp>
      <tp t="e">
        <v>#N/A</v>
        <stp/>
        <stp>BDH|17685240763554905995</stp>
        <tr r="N8" s="4"/>
      </tp>
      <tp t="e">
        <v>#N/A</v>
        <stp/>
        <stp>BDH|16662478894320107552</stp>
        <tr r="G36" s="21"/>
        <tr r="G24" s="3"/>
      </tp>
      <tp t="e">
        <v>#N/A</v>
        <stp/>
        <stp>BDH|15349290096910431091</stp>
        <tr r="C18" s="11"/>
      </tp>
      <tp t="e">
        <v>#N/A</v>
        <stp/>
        <stp>BDH|12276924164761382263</stp>
        <tr r="X13" s="34"/>
      </tp>
      <tp t="e">
        <v>#N/A</v>
        <stp/>
        <stp>BDH|16039059685889388924</stp>
        <tr r="Q108" s="18"/>
      </tp>
      <tp t="e">
        <v>#N/A</v>
        <stp/>
        <stp>BDH|10655078591224258337</stp>
        <tr r="T25" s="22"/>
      </tp>
      <tp t="e">
        <v>#N/A</v>
        <stp/>
        <stp>BDH|17155058392518773802</stp>
        <tr r="Z19" s="26"/>
      </tp>
      <tp t="e">
        <v>#N/A</v>
        <stp/>
        <stp>BDH|10353862290367016848</stp>
        <tr r="AA32" s="17"/>
      </tp>
      <tp t="e">
        <v>#N/A</v>
        <stp/>
        <stp>BDH|14188482842129940332</stp>
        <tr r="N84" s="18"/>
      </tp>
      <tp t="e">
        <v>#N/A</v>
        <stp/>
        <stp>BDH|14444815903100090275</stp>
        <tr r="T35" s="12"/>
      </tp>
      <tp t="e">
        <v>#N/A</v>
        <stp/>
        <stp>BDH|17312235809893073887</stp>
        <tr r="K133" s="18"/>
      </tp>
      <tp t="e">
        <v>#N/A</v>
        <stp/>
        <stp>BDH|17295930951582167706</stp>
        <tr r="AA13" s="18"/>
      </tp>
      <tp t="e">
        <v>#N/A</v>
        <stp/>
        <stp>BDH|11133648673129196760</stp>
        <tr r="G69" s="12"/>
      </tp>
      <tp t="e">
        <v>#N/A</v>
        <stp/>
        <stp>BDH|12237834040145169512</stp>
        <tr r="V39" s="12"/>
      </tp>
      <tp t="e">
        <v>#N/A</v>
        <stp/>
        <stp>BDH|15653792386445944115</stp>
        <tr r="C40" s="11"/>
        <tr r="C28" s="11"/>
        <tr r="C39" s="10"/>
        <tr r="C51" s="10"/>
      </tp>
      <tp t="e">
        <v>#N/A</v>
        <stp/>
        <stp>BDH|16539938723134198752</stp>
        <tr r="C18" s="26"/>
      </tp>
      <tp t="e">
        <v>#N/A</v>
        <stp/>
        <stp>BDH|10129052719328868744</stp>
        <tr r="AA17" s="28"/>
        <tr r="AA14" s="17"/>
      </tp>
      <tp t="e">
        <v>#N/A</v>
        <stp/>
        <stp>BDH|16066320903788715371</stp>
        <tr r="O48" s="22"/>
      </tp>
      <tp t="e">
        <v>#N/A</v>
        <stp/>
        <stp>BDH|18061333516982193655</stp>
        <tr r="F41" s="26"/>
      </tp>
      <tp t="e">
        <v>#N/A</v>
        <stp/>
        <stp>BDH|11049663711061570930</stp>
        <tr r="U78" s="12"/>
      </tp>
      <tp t="e">
        <v>#N/A</v>
        <stp/>
        <stp>BDH|16303816756516023351</stp>
        <tr r="G55" s="24"/>
      </tp>
      <tp t="e">
        <v>#N/A</v>
        <stp/>
        <stp>BDH|10724128597185388303</stp>
        <tr r="J25" s="3"/>
      </tp>
      <tp t="e">
        <v>#N/A</v>
        <stp/>
        <stp>BDH|12403199679933126942</stp>
        <tr r="L7" s="17"/>
      </tp>
      <tp t="e">
        <v>#N/A</v>
        <stp/>
        <stp>BDH|12720236582951435739</stp>
        <tr r="Q12" s="24"/>
      </tp>
      <tp t="e">
        <v>#N/A</v>
        <stp/>
        <stp>BDH|18235724967430528736</stp>
        <tr r="S9" s="6"/>
      </tp>
      <tp t="e">
        <v>#N/A</v>
        <stp/>
        <stp>BDH|16164891968221223731</stp>
        <tr r="W12" s="18"/>
      </tp>
      <tp t="e">
        <v>#N/A</v>
        <stp/>
        <stp>BDH|15224308829142842829</stp>
        <tr r="H107" s="18"/>
      </tp>
      <tp t="e">
        <v>#N/A</v>
        <stp/>
        <stp>BDH|14770249983488279838</stp>
        <tr r="AA108" s="18"/>
      </tp>
      <tp t="e">
        <v>#N/A</v>
        <stp/>
        <stp>BDH|14659749099102219689</stp>
        <tr r="T103" s="18"/>
      </tp>
      <tp t="e">
        <v>#N/A</v>
        <stp/>
        <stp>BDH|15823044190567956542</stp>
        <tr r="S14" s="27"/>
        <tr r="S32" s="25"/>
      </tp>
      <tp t="e">
        <v>#N/A</v>
        <stp/>
        <stp>BDH|18254957367218374123</stp>
        <tr r="N15" s="5"/>
      </tp>
      <tp t="e">
        <v>#N/A</v>
        <stp/>
        <stp>BDH|10494083748159588319</stp>
        <tr r="G21" s="11"/>
      </tp>
      <tp t="e">
        <v>#N/A</v>
        <stp/>
        <stp>BDH|14469109503568524322</stp>
        <tr r="D12" s="10"/>
      </tp>
      <tp t="e">
        <v>#N/A</v>
        <stp/>
        <stp>BDH|14783824490698790329</stp>
        <tr r="S53" s="17"/>
      </tp>
      <tp t="e">
        <v>#N/A</v>
        <stp/>
        <stp>BDH|17350393144918600685</stp>
        <tr r="R15" s="11"/>
      </tp>
      <tp t="e">
        <v>#N/A</v>
        <stp/>
        <stp>BDH|18195735102437719670</stp>
        <tr r="I62" s="21"/>
      </tp>
      <tp t="e">
        <v>#N/A</v>
        <stp/>
        <stp>BDH|18284780696020514891</stp>
        <tr r="C14" s="21"/>
      </tp>
      <tp t="e">
        <v>#N/A</v>
        <stp/>
        <stp>BDH|12277128996566718213</stp>
        <tr r="C18" s="18"/>
      </tp>
      <tp t="e">
        <v>#N/A</v>
        <stp/>
        <stp>BDH|12260805134930060763</stp>
        <tr r="Z13" s="27"/>
        <tr r="Z31" s="25"/>
      </tp>
      <tp t="e">
        <v>#N/A</v>
        <stp/>
        <stp>BDH|13183862052730459016</stp>
        <tr r="R44" s="18"/>
      </tp>
      <tp t="e">
        <v>#N/A</v>
        <stp/>
        <stp>BDH|15988924641511216786</stp>
        <tr r="W18" s="6"/>
      </tp>
      <tp t="e">
        <v>#N/A</v>
        <stp/>
        <stp>BDH|14075278423059472306</stp>
        <tr r="D29" s="6"/>
      </tp>
      <tp t="e">
        <v>#N/A</v>
        <stp/>
        <stp>BDH|11332641052655008959</stp>
        <tr r="G49" s="6"/>
      </tp>
      <tp t="e">
        <v>#N/A</v>
        <stp/>
        <stp>BDH|17663159369618228687</stp>
        <tr r="T43" s="17"/>
      </tp>
      <tp t="e">
        <v>#N/A</v>
        <stp/>
        <stp>BDH|12447866801631034534</stp>
        <tr r="G42" s="17"/>
      </tp>
      <tp t="e">
        <v>#N/A</v>
        <stp/>
        <stp>BDH|10110464384415217713</stp>
        <tr r="O42" s="17"/>
      </tp>
      <tp t="e">
        <v>#N/A</v>
        <stp/>
        <stp>BDH|10904987546774430730</stp>
        <tr r="M46" s="22"/>
      </tp>
      <tp t="e">
        <v>#N/A</v>
        <stp/>
        <stp>BDH|14617341800728053120</stp>
        <tr r="S87" s="18"/>
      </tp>
      <tp t="e">
        <v>#N/A</v>
        <stp/>
        <stp>BDH|12351563946345105824</stp>
        <tr r="X16" s="18"/>
      </tp>
      <tp t="e">
        <v>#N/A</v>
        <stp/>
        <stp>BDH|15357312705380623817</stp>
        <tr r="O28" s="4"/>
      </tp>
      <tp t="e">
        <v>#N/A</v>
        <stp/>
        <stp>BDH|15505287197009260980</stp>
        <tr r="L51" s="34"/>
      </tp>
      <tp t="e">
        <v>#N/A</v>
        <stp/>
        <stp>BDH|13283355950122391945</stp>
        <tr r="R18" s="11"/>
      </tp>
      <tp t="e">
        <v>#N/A</v>
        <stp/>
        <stp>BDH|12429929245542775349</stp>
        <tr r="P47" s="21"/>
      </tp>
      <tp t="e">
        <v>#N/A</v>
        <stp/>
        <stp>BDH|14380923658870165685</stp>
        <tr r="T69" s="12"/>
      </tp>
      <tp t="e">
        <v>#N/A</v>
        <stp/>
        <stp>BDH|10563214974083603862</stp>
        <tr r="P96" s="12"/>
      </tp>
      <tp t="e">
        <v>#N/A</v>
        <stp/>
        <stp>BDH|12717656217098345364</stp>
        <tr r="P22" s="26"/>
      </tp>
      <tp t="e">
        <v>#N/A</v>
        <stp/>
        <stp>BDH|14150461137625318834</stp>
        <tr r="O23" s="6"/>
      </tp>
      <tp t="e">
        <v>#N/A</v>
        <stp/>
        <stp>BDH|16996960063847844042</stp>
        <tr r="E59" s="24"/>
      </tp>
      <tp t="e">
        <v>#N/A</v>
        <stp/>
        <stp>BDH|12431606781391516302</stp>
        <tr r="F74" s="17"/>
      </tp>
      <tp t="e">
        <v>#N/A</v>
        <stp/>
        <stp>BDH|14991245299900171157</stp>
        <tr r="K7" s="11"/>
      </tp>
      <tp t="e">
        <v>#N/A</v>
        <stp/>
        <stp>BDH|16087913900926658773</stp>
        <tr r="Y19" s="26"/>
      </tp>
      <tp t="e">
        <v>#N/A</v>
        <stp/>
        <stp>BDH|17203926083009554167</stp>
        <tr r="Y17" s="18"/>
      </tp>
      <tp t="e">
        <v>#N/A</v>
        <stp/>
        <stp>BDH|15537037590720741213</stp>
        <tr r="Z18" s="23"/>
      </tp>
      <tp t="e">
        <v>#N/A</v>
        <stp/>
        <stp>BDH|12058667329089960160</stp>
        <tr r="P78" s="17"/>
        <tr r="M9" s="9"/>
        <tr r="M9" s="5"/>
      </tp>
      <tp t="e">
        <v>#N/A</v>
        <stp/>
        <stp>BDH|11553176622575420940</stp>
        <tr r="D67" s="12"/>
      </tp>
      <tp t="e">
        <v>#N/A</v>
        <stp/>
        <stp>BDH|10457958635544638010</stp>
        <tr r="Y27" s="26"/>
      </tp>
      <tp t="e">
        <v>#N/A</v>
        <stp/>
        <stp>BDH|17201378979688649591</stp>
        <tr r="H41" s="34"/>
      </tp>
      <tp t="e">
        <v>#N/A</v>
        <stp/>
        <stp>BDH|12916169185877895212</stp>
        <tr r="T68" s="24"/>
      </tp>
      <tp t="e">
        <v>#N/A</v>
        <stp/>
        <stp>BDH|16733139524712110927</stp>
        <tr r="X30" s="14"/>
      </tp>
      <tp t="e">
        <v>#N/A</v>
        <stp/>
        <stp>BDH|14388012161628228425</stp>
        <tr r="H27" s="6"/>
      </tp>
      <tp t="e">
        <v>#N/A</v>
        <stp/>
        <stp>BDH|10910424268445924998</stp>
        <tr r="E41" s="25"/>
        <tr r="E59" s="21"/>
        <tr r="C54" s="11"/>
        <tr r="C31" s="4"/>
      </tp>
      <tp t="e">
        <v>#N/A</v>
        <stp/>
        <stp>BDH|17532018664007736843</stp>
        <tr r="L50" s="12"/>
      </tp>
      <tp t="e">
        <v>#N/A</v>
        <stp/>
        <stp>BDH|15973015592870930203</stp>
        <tr r="L19" s="30"/>
      </tp>
      <tp t="e">
        <v>#N/A</v>
        <stp/>
        <stp>BDH|14772167682940202323</stp>
        <tr r="AA82" s="12"/>
      </tp>
      <tp t="e">
        <v>#N/A</v>
        <stp/>
        <stp>BDH|16479625884091780763</stp>
        <tr r="N38" s="24"/>
      </tp>
      <tp t="e">
        <v>#N/A</v>
        <stp/>
        <stp>BDH|18233483129950654065</stp>
        <tr r="J24" s="10"/>
      </tp>
      <tp t="e">
        <v>#N/A</v>
        <stp/>
        <stp>BDH|15372343594025388434</stp>
        <tr r="C22" s="27"/>
      </tp>
      <tp t="e">
        <v>#N/A</v>
        <stp/>
        <stp>BDH|16535838712898435938</stp>
        <tr r="U23" s="30"/>
        <tr r="U25" s="23"/>
      </tp>
      <tp t="e">
        <v>#N/A</v>
        <stp/>
        <stp>BDH|16620727332339685536</stp>
        <tr r="M46" s="24"/>
      </tp>
      <tp t="e">
        <v>#N/A</v>
        <stp/>
        <stp>BDH|15393123463479576541</stp>
        <tr r="N9" s="25"/>
        <tr r="N44" s="17"/>
      </tp>
      <tp t="e">
        <v>#N/A</v>
        <stp/>
        <stp>BDH|10790861093117657873</stp>
        <tr r="S13" s="25"/>
      </tp>
      <tp t="e">
        <v>#N/A</v>
        <stp/>
        <stp>BDH|17064463020138537708</stp>
        <tr r="T21" s="21"/>
      </tp>
      <tp t="e">
        <v>#N/A</v>
        <stp/>
        <stp>BDH|10737129113718117641</stp>
        <tr r="E10" s="25"/>
        <tr r="E55" s="17"/>
      </tp>
      <tp t="e">
        <v>#N/A</v>
        <stp/>
        <stp>BDH|18409421155083383434</stp>
        <tr r="E26" s="6"/>
      </tp>
      <tp t="e">
        <v>#N/A</v>
        <stp/>
        <stp>BDH|17255099699191004111</stp>
        <tr r="X69" s="24"/>
      </tp>
      <tp t="e">
        <v>#N/A</v>
        <stp/>
        <stp>BDH|16698730363061704825</stp>
        <tr r="R71" s="12"/>
      </tp>
      <tp t="e">
        <v>#N/A</v>
        <stp/>
        <stp>BDH|12607995946610375198</stp>
        <tr r="X36" s="18"/>
      </tp>
      <tp t="e">
        <v>#N/A</v>
        <stp/>
        <stp>BDH|10101807140862653046</stp>
        <tr r="Z30" s="21"/>
      </tp>
      <tp t="e">
        <v>#N/A</v>
        <stp/>
        <stp>BDH|16276340884063355021</stp>
        <tr r="I11" s="10"/>
        <tr r="I14" s="2"/>
      </tp>
      <tp t="e">
        <v>#N/A</v>
        <stp/>
        <stp>BDH|13982838908156000310</stp>
        <tr r="N38" s="12"/>
      </tp>
      <tp t="e">
        <v>#N/A</v>
        <stp/>
        <stp>BDH|17655389898805067653</stp>
        <tr r="R37" s="6"/>
      </tp>
      <tp t="e">
        <v>#N/A</v>
        <stp/>
        <stp>BDH|10000854444581723353</stp>
        <tr r="S22" s="4"/>
      </tp>
      <tp t="e">
        <v>#N/A</v>
        <stp/>
        <stp>BDH|16044764314006536844</stp>
        <tr r="E8" s="21"/>
      </tp>
      <tp t="e">
        <v>#N/A</v>
        <stp/>
        <stp>BDH|11583335005215691961</stp>
        <tr r="X73" s="17"/>
      </tp>
      <tp t="e">
        <v>#N/A</v>
        <stp/>
        <stp>BDH|17007549987064277028</stp>
        <tr r="G21" s="27"/>
      </tp>
      <tp t="e">
        <v>#N/A</v>
        <stp/>
        <stp>BDH|15820720007495728992</stp>
        <tr r="L19" s="12"/>
      </tp>
      <tp t="e">
        <v>#N/A</v>
        <stp/>
        <stp>BDH|11432494897100167285</stp>
        <tr r="I27" s="13"/>
      </tp>
      <tp t="e">
        <v>#N/A</v>
        <stp/>
        <stp>BDH|14677393771958812659</stp>
        <tr r="V17" s="28"/>
        <tr r="V14" s="17"/>
      </tp>
      <tp t="e">
        <v>#N/A</v>
        <stp/>
        <stp>BDH|11195221831736236838</stp>
        <tr r="R95" s="18"/>
      </tp>
      <tp t="e">
        <v>#N/A</v>
        <stp/>
        <stp>BDH|13914831039897750166</stp>
        <tr r="N75" s="17"/>
      </tp>
      <tp t="e">
        <v>#N/A</v>
        <stp/>
        <stp>BDH|10702908261491665021</stp>
        <tr r="Q22" s="30"/>
        <tr r="Q24" s="23"/>
      </tp>
      <tp t="e">
        <v>#N/A</v>
        <stp/>
        <stp>BDH|10137528385767308477</stp>
        <tr r="Q22" s="6"/>
      </tp>
      <tp t="e">
        <v>#N/A</v>
        <stp/>
        <stp>BDH|16794653459468917304</stp>
        <tr r="K150" s="18"/>
      </tp>
      <tp t="e">
        <v>#N/A</v>
        <stp/>
        <stp>BDH|15153808243666697169</stp>
        <tr r="I9" s="18"/>
      </tp>
      <tp t="e">
        <v>#N/A</v>
        <stp/>
        <stp>BDH|13653463632789038308</stp>
        <tr r="AA97" s="12"/>
      </tp>
      <tp t="e">
        <v>#N/A</v>
        <stp/>
        <stp>BDH|16788874600356712657</stp>
        <tr r="E27" s="17"/>
      </tp>
      <tp t="e">
        <v>#N/A</v>
        <stp/>
        <stp>BDH|15562650250441236908</stp>
        <tr r="W18" s="28"/>
        <tr r="W15" s="17"/>
      </tp>
      <tp t="e">
        <v>#N/A</v>
        <stp/>
        <stp>BDH|11089701395255713402</stp>
        <tr r="Y65" s="18"/>
      </tp>
      <tp t="e">
        <v>#N/A</v>
        <stp/>
        <stp>BDH|10727740201529269029</stp>
        <tr r="I40" s="29"/>
        <tr r="I17" s="29"/>
      </tp>
      <tp t="e">
        <v>#N/A</v>
        <stp/>
        <stp>BDH|16092653138949999462</stp>
        <tr r="X29" s="14"/>
      </tp>
      <tp t="e">
        <v>#N/A</v>
        <stp/>
        <stp>BDH|11739978871220135122</stp>
        <tr r="L14" s="13"/>
      </tp>
      <tp t="e">
        <v>#N/A</v>
        <stp/>
        <stp>BDH|17346865616444525448</stp>
        <tr r="H72" s="18"/>
      </tp>
      <tp t="e">
        <v>#N/A</v>
        <stp/>
        <stp>BDH|16668265826249295166</stp>
        <tr r="U32" s="26"/>
      </tp>
      <tp t="e">
        <v>#N/A</v>
        <stp/>
        <stp>BDH|16357909053305109132</stp>
        <tr r="F125" s="18"/>
      </tp>
      <tp t="e">
        <v>#N/A</v>
        <stp/>
        <stp>BDH|16090242324168744053</stp>
        <tr r="C97" s="12"/>
      </tp>
      <tp t="e">
        <v>#N/A</v>
        <stp/>
        <stp>BDH|10913854284907305990</stp>
        <tr r="F30" s="9"/>
      </tp>
      <tp t="e">
        <v>#N/A</v>
        <stp/>
        <stp>BDH|10353623282037232739</stp>
        <tr r="I86" s="18"/>
      </tp>
      <tp t="e">
        <v>#N/A</v>
        <stp/>
        <stp>BDH|12202072744340681855</stp>
        <tr r="L21" s="22"/>
      </tp>
      <tp t="e">
        <v>#N/A</v>
        <stp/>
        <stp>BDH|13084385687981530784</stp>
        <tr r="E96" s="17"/>
      </tp>
      <tp t="e">
        <v>#N/A</v>
        <stp/>
        <stp>BDH|11623357493025520074</stp>
        <tr r="R20" s="5"/>
      </tp>
      <tp t="e">
        <v>#N/A</v>
        <stp/>
        <stp>BDH|12586090397991859417</stp>
        <tr r="AA15" s="24"/>
      </tp>
      <tp t="e">
        <v>#N/A</v>
        <stp/>
        <stp>BDH|13368470136722539851</stp>
        <tr r="L41" s="18"/>
      </tp>
      <tp t="e">
        <v>#N/A</v>
        <stp/>
        <stp>BDH|16113966103377018667</stp>
        <tr r="X46" s="21"/>
      </tp>
      <tp t="e">
        <v>#N/A</v>
        <stp/>
        <stp>BDH|10679603201529153146</stp>
        <tr r="X40" s="22"/>
      </tp>
      <tp t="e">
        <v>#N/A</v>
        <stp/>
        <stp>BDH|13074637795003537111</stp>
        <tr r="X23" s="6"/>
      </tp>
      <tp t="e">
        <v>#N/A</v>
        <stp/>
        <stp>BDH|15501832817544670651</stp>
        <tr r="J19" s="25"/>
      </tp>
      <tp t="e">
        <v>#N/A</v>
        <stp/>
        <stp>BDH|12938937441096819714</stp>
        <tr r="L22" s="6"/>
      </tp>
      <tp t="e">
        <v>#N/A</v>
        <stp/>
        <stp>BDH|17255545797617272211</stp>
        <tr r="U17" s="24"/>
      </tp>
      <tp t="e">
        <v>#N/A</v>
        <stp/>
        <stp>BDH|10271449217959716246</stp>
        <tr r="Y14" s="3"/>
        <tr r="V7" s="9"/>
        <tr r="W7" s="2"/>
        <tr r="V7" s="5"/>
      </tp>
      <tp t="e">
        <v>#N/A</v>
        <stp/>
        <stp>BDH|11720996055014842717</stp>
        <tr r="K26" s="17"/>
      </tp>
      <tp t="e">
        <v>#N/A</v>
        <stp/>
        <stp>BDH|14424670682671156526</stp>
        <tr r="W96" s="18"/>
      </tp>
      <tp t="e">
        <v>#N/A</v>
        <stp/>
        <stp>BDH|15472316452335249872</stp>
        <tr r="V35" s="11"/>
        <tr r="V46" s="10"/>
      </tp>
      <tp t="e">
        <v>#N/A</v>
        <stp/>
        <stp>BDH|18327436532090994199</stp>
        <tr r="O41" s="22"/>
      </tp>
      <tp t="e">
        <v>#N/A</v>
        <stp/>
        <stp>BDH|17888829198271418946</stp>
        <tr r="Y47" s="11"/>
        <tr r="Y58" s="10"/>
        <tr r="Y7" s="7"/>
        <tr r="AA12" s="3"/>
      </tp>
      <tp t="e">
        <v>#N/A</v>
        <stp/>
        <stp>BDH|17740742395752144551</stp>
        <tr r="F35" s="22"/>
      </tp>
      <tp t="e">
        <v>#N/A</v>
        <stp/>
        <stp>BDH|18192738934224685650</stp>
        <tr r="X9" s="21"/>
      </tp>
      <tp t="e">
        <v>#N/A</v>
        <stp/>
        <stp>BDH|15641698273539936301</stp>
        <tr r="E32" s="9"/>
      </tp>
      <tp t="e">
        <v>#N/A</v>
        <stp/>
        <stp>BDH|12826868818232440776</stp>
        <tr r="C40" s="12"/>
      </tp>
      <tp t="e">
        <v>#N/A</v>
        <stp/>
        <stp>BDH|16843392652539116778</stp>
        <tr r="W13" s="24"/>
      </tp>
      <tp t="e">
        <v>#N/A</v>
        <stp/>
        <stp>BDH|13081455371167771963</stp>
        <tr r="I103" s="18"/>
      </tp>
      <tp t="e">
        <v>#N/A</v>
        <stp/>
        <stp>BDH|17448228195033567135</stp>
        <tr r="L63" s="17"/>
      </tp>
      <tp t="e">
        <v>#N/A</v>
        <stp/>
        <stp>BDH|10274918602540059741</stp>
        <tr r="M8" s="20"/>
        <tr r="M114" s="18"/>
      </tp>
      <tp t="e">
        <v>#N/A</v>
        <stp/>
        <stp>BDH|14182444582545756352</stp>
        <tr r="M21" s="30"/>
      </tp>
      <tp t="e">
        <v>#N/A</v>
        <stp/>
        <stp>BDH|16396227162965688902</stp>
        <tr r="S14" s="11"/>
      </tp>
      <tp t="e">
        <v>#N/A</v>
        <stp/>
        <stp>BDH|13660559783412001256</stp>
        <tr r="F9" s="21"/>
      </tp>
      <tp t="e">
        <v>#N/A</v>
        <stp/>
        <stp>BDH|13100506687579262916</stp>
        <tr r="R56" s="6"/>
      </tp>
      <tp t="e">
        <v>#N/A</v>
        <stp/>
        <stp>BDH|18016712142613145673</stp>
        <tr r="M28" s="6"/>
      </tp>
      <tp t="e">
        <v>#N/A</v>
        <stp/>
        <stp>BDH|11954690724379128205</stp>
        <tr r="D60" s="17"/>
      </tp>
      <tp t="e">
        <v>#N/A</v>
        <stp/>
        <stp>BDH|17596492254430599887</stp>
        <tr r="V9" s="23"/>
      </tp>
      <tp t="e">
        <v>#N/A</v>
        <stp/>
        <stp>BDH|16859879127137452599</stp>
        <tr r="T13" s="6"/>
      </tp>
      <tp t="e">
        <v>#N/A</v>
        <stp/>
        <stp>BDH|18026426849555716390</stp>
        <tr r="E48" s="18"/>
      </tp>
      <tp t="e">
        <v>#N/A</v>
        <stp/>
        <stp>BDH|17844179886914475483</stp>
        <tr r="J41" s="21"/>
      </tp>
      <tp t="e">
        <v>#N/A</v>
        <stp/>
        <stp>BDH|13167617244137362826</stp>
        <tr r="E7" s="20"/>
        <tr r="E113" s="18"/>
      </tp>
      <tp t="e">
        <v>#N/A</v>
        <stp/>
        <stp>BDH|14354309397969106905</stp>
        <tr r="L24" s="13"/>
      </tp>
      <tp t="e">
        <v>#N/A</v>
        <stp/>
        <stp>BDH|10155605734258851387</stp>
        <tr r="Q28" s="34"/>
      </tp>
      <tp t="e">
        <v>#N/A</v>
        <stp/>
        <stp>BDH|11646896678567577770</stp>
        <tr r="H7" s="30"/>
      </tp>
      <tp t="e">
        <v>#N/A</v>
        <stp/>
        <stp>BDH|16741509196331460508</stp>
        <tr r="G23" s="18"/>
      </tp>
      <tp t="e">
        <v>#N/A</v>
        <stp/>
        <stp>BDH|16211443017789459407</stp>
        <tr r="K88" s="12"/>
      </tp>
      <tp t="e">
        <v>#N/A</v>
        <stp/>
        <stp>BDH|10844174581272926526</stp>
        <tr r="Y43" s="18"/>
      </tp>
      <tp t="e">
        <v>#N/A</v>
        <stp/>
        <stp>BDH|11448743431989014249</stp>
        <tr r="N64" s="13"/>
      </tp>
      <tp t="e">
        <v>#N/A</v>
        <stp/>
        <stp>BDH|15691847701826068565</stp>
        <tr r="F14" s="8"/>
      </tp>
      <tp t="e">
        <v>#N/A</v>
        <stp/>
        <stp>BDH|12256274376181225847</stp>
        <tr r="F20" s="22"/>
      </tp>
      <tp t="e">
        <v>#N/A</v>
        <stp/>
        <stp>BDH|14540405631435793869</stp>
        <tr r="X31" s="26"/>
      </tp>
      <tp t="e">
        <v>#N/A</v>
        <stp/>
        <stp>BDH|11811755262058397698</stp>
        <tr r="K43" s="6"/>
      </tp>
      <tp t="e">
        <v>#N/A</v>
        <stp/>
        <stp>BDH|16034983819530306071</stp>
        <tr r="S165" s="18"/>
      </tp>
      <tp t="e">
        <v>#N/A</v>
        <stp/>
        <stp>BDH|10694809292796625971</stp>
        <tr r="Y21" s="21"/>
      </tp>
      <tp t="e">
        <v>#N/A</v>
        <stp/>
        <stp>BDH|17882190810021248868</stp>
        <tr r="P65" s="13"/>
      </tp>
      <tp t="e">
        <v>#N/A</v>
        <stp/>
        <stp>BDH|11110651946908017563</stp>
        <tr r="E125" s="18"/>
      </tp>
      <tp t="e">
        <v>#N/A</v>
        <stp/>
        <stp>BDH|18007689259245764024</stp>
        <tr r="N7" s="17"/>
      </tp>
      <tp t="e">
        <v>#N/A</v>
        <stp/>
        <stp>BDH|12560641943448681604</stp>
        <tr r="J13" s="30"/>
      </tp>
      <tp t="e">
        <v>#N/A</v>
        <stp/>
        <stp>BDH|17589606585741453603</stp>
        <tr r="Z22" s="20"/>
      </tp>
      <tp t="e">
        <v>#N/A</v>
        <stp/>
        <stp>BDH|15102039694895280707</stp>
        <tr r="F9" s="6"/>
      </tp>
      <tp t="e">
        <v>#N/A</v>
        <stp/>
        <stp>BDH|12166847292095774848</stp>
        <tr r="H73" s="18"/>
      </tp>
      <tp t="e">
        <v>#N/A</v>
        <stp/>
        <stp>BDH|12077730434618771048</stp>
        <tr r="K13" s="20"/>
        <tr r="K118" s="18"/>
      </tp>
      <tp t="e">
        <v>#N/A</v>
        <stp/>
        <stp>BDH|14688157724138737140</stp>
        <tr r="W38" s="25"/>
        <tr r="W92" s="17"/>
      </tp>
      <tp t="e">
        <v>#N/A</v>
        <stp/>
        <stp>BDH|10286539693414080660</stp>
        <tr r="C79" s="18"/>
      </tp>
      <tp t="e">
        <v>#N/A</v>
        <stp/>
        <stp>BDH|17193518512825555831</stp>
        <tr r="H31" s="26"/>
      </tp>
      <tp t="e">
        <v>#N/A</v>
        <stp/>
        <stp>BDH|15711547865299519179</stp>
        <tr r="F24" s="17"/>
      </tp>
      <tp t="e">
        <v>#N/A</v>
        <stp/>
        <stp>BDH|18245437275974373131</stp>
        <tr r="Z45" s="17"/>
      </tp>
      <tp t="e">
        <v>#N/A</v>
        <stp/>
        <stp>BDH|17807502891063971646</stp>
        <tr r="X7" s="24"/>
      </tp>
      <tp t="e">
        <v>#N/A</v>
        <stp/>
        <stp>BDH|13060994908186188249</stp>
        <tr r="W49" s="13"/>
      </tp>
      <tp t="e">
        <v>#N/A</v>
        <stp/>
        <stp>BDH|16135220693417067443</stp>
        <tr r="S36" s="12"/>
      </tp>
      <tp t="e">
        <v>#N/A</v>
        <stp/>
        <stp>BDH|10851727107770160981</stp>
        <tr r="P13" s="18"/>
      </tp>
      <tp t="e">
        <v>#N/A</v>
        <stp/>
        <stp>BDH|12401898267865729793</stp>
        <tr r="R92" s="18"/>
      </tp>
      <tp t="e">
        <v>#N/A</v>
        <stp/>
        <stp>BDH|13571472193590423013</stp>
        <tr r="D13" s="5"/>
      </tp>
      <tp t="e">
        <v>#N/A</v>
        <stp/>
        <stp>BDH|16020388449729444618</stp>
        <tr r="L39" s="26"/>
      </tp>
      <tp t="e">
        <v>#N/A</v>
        <stp/>
        <stp>BDH|17178527787577200325</stp>
        <tr r="Z14" s="27"/>
        <tr r="Z32" s="25"/>
      </tp>
      <tp t="e">
        <v>#N/A</v>
        <stp/>
        <stp>BDH|18307269300783186706</stp>
        <tr r="P94" s="12"/>
      </tp>
      <tp t="e">
        <v>#N/A</v>
        <stp/>
        <stp>BDH|12051562599194842435</stp>
        <tr r="S33" s="11"/>
        <tr r="S44" s="10"/>
      </tp>
      <tp t="e">
        <v>#N/A</v>
        <stp/>
        <stp>BDH|18224157927981123459</stp>
        <tr r="D32" s="26"/>
      </tp>
      <tp t="e">
        <v>#N/A</v>
        <stp/>
        <stp>BDH|11226317339389913671</stp>
        <tr r="F57" s="11"/>
        <tr r="F24" s="4"/>
      </tp>
      <tp t="e">
        <v>#N/A</v>
        <stp/>
        <stp>BDH|14611856758417659090</stp>
        <tr r="U53" s="12"/>
      </tp>
      <tp t="e">
        <v>#N/A</v>
        <stp/>
        <stp>BDH|18195211565022481056</stp>
        <tr r="U15" s="30"/>
      </tp>
      <tp t="e">
        <v>#N/A</v>
        <stp/>
        <stp>BDH|14680766157699455178</stp>
        <tr r="M48" s="21"/>
      </tp>
      <tp t="e">
        <v>#N/A</v>
        <stp/>
        <stp>BDH|17742989709996060627</stp>
        <tr r="R49" s="21"/>
      </tp>
      <tp t="e">
        <v>#N/A</v>
        <stp/>
        <stp>BDH|17345746505206644801</stp>
        <tr r="K33" s="11"/>
        <tr r="K44" s="10"/>
      </tp>
      <tp t="e">
        <v>#N/A</v>
        <stp/>
        <stp>BDH|13168835824026542172</stp>
        <tr r="R8" s="26"/>
        <tr r="O10" s="9"/>
      </tp>
      <tp t="e">
        <v>#N/A</v>
        <stp/>
        <stp>BDH|13262658458438272699</stp>
        <tr r="H157" s="18"/>
      </tp>
      <tp t="e">
        <v>#N/A</v>
        <stp/>
        <stp>BDH|16854259989157388531</stp>
        <tr r="L13" s="8"/>
      </tp>
      <tp t="e">
        <v>#N/A</v>
        <stp/>
        <stp>BDH|11318341973138201325</stp>
        <tr r="H22" s="18"/>
      </tp>
      <tp t="e">
        <v>#N/A</v>
        <stp/>
        <stp>BDH|17308325482595117765</stp>
        <tr r="L12" s="24"/>
      </tp>
      <tp t="e">
        <v>#N/A</v>
        <stp/>
        <stp>BDH|18373953158918124284</stp>
        <tr r="U9" s="28"/>
      </tp>
      <tp t="e">
        <v>#N/A</v>
        <stp/>
        <stp>BDH|13681284232044806837</stp>
        <tr r="AA25" s="3"/>
      </tp>
      <tp t="e">
        <v>#N/A</v>
        <stp/>
        <stp>BDH|15795754193737180278</stp>
        <tr r="C10" s="27"/>
        <tr r="C29" s="25"/>
      </tp>
      <tp t="e">
        <v>#N/A</v>
        <stp/>
        <stp>BDH|17896610766898984110</stp>
        <tr r="R34" s="26"/>
      </tp>
      <tp t="e">
        <v>#N/A</v>
        <stp/>
        <stp>BDH|14299004274339643473</stp>
        <tr r="C161" s="18"/>
      </tp>
      <tp t="e">
        <v>#N/A</v>
        <stp/>
        <stp>BDH|12062310916478191613</stp>
        <tr r="T16" s="23"/>
      </tp>
      <tp t="e">
        <v>#N/A</v>
        <stp/>
        <stp>BDH|14696825327222278261</stp>
        <tr r="Z22" s="21"/>
      </tp>
      <tp t="e">
        <v>#N/A</v>
        <stp/>
        <stp>BDH|14314178642397058817</stp>
        <tr r="AA173" s="18"/>
      </tp>
      <tp t="e">
        <v>#N/A</v>
        <stp/>
        <stp>BDH|13233850075880166242</stp>
        <tr r="Y23" s="23"/>
      </tp>
      <tp t="e">
        <v>#N/A</v>
        <stp/>
        <stp>BDH|16430015459188314588</stp>
        <tr r="S162" s="18"/>
      </tp>
      <tp t="e">
        <v>#N/A</v>
        <stp/>
        <stp>BDH|13771240592240287643</stp>
        <tr r="I40" s="18"/>
      </tp>
      <tp t="e">
        <v>#N/A</v>
        <stp/>
        <stp>BDH|17856393616842730970</stp>
        <tr r="E26" s="22"/>
      </tp>
      <tp t="e">
        <v>#N/A</v>
        <stp/>
        <stp>BDH|17676279617798539247</stp>
        <tr r="N14" s="22"/>
      </tp>
      <tp t="e">
        <v>#N/A</v>
        <stp/>
        <stp>BDH|12870671289981338321</stp>
        <tr r="D70" s="24"/>
      </tp>
      <tp t="e">
        <v>#N/A</v>
        <stp/>
        <stp>BDH|16338663093832318525</stp>
        <tr r="I13" s="6"/>
      </tp>
      <tp t="e">
        <v>#N/A</v>
        <stp/>
        <stp>BDH|15864786239547680881</stp>
        <tr r="Q62" s="24"/>
      </tp>
      <tp t="e">
        <v>#N/A</v>
        <stp/>
        <stp>BDH|17754243492120579233</stp>
        <tr r="O46" s="6"/>
        <tr r="O19" s="5"/>
      </tp>
      <tp t="e">
        <v>#N/A</v>
        <stp/>
        <stp>BDH|12738922121780255710</stp>
        <tr r="C57" s="11"/>
        <tr r="C24" s="4"/>
      </tp>
      <tp t="e">
        <v>#N/A</v>
        <stp/>
        <stp>BDH|16855881581430374854</stp>
        <tr r="P11" s="28"/>
      </tp>
      <tp t="e">
        <v>#N/A</v>
        <stp/>
        <stp>BDH|17080978878335935212</stp>
        <tr r="Z173" s="18"/>
      </tp>
      <tp t="e">
        <v>#N/A</v>
        <stp/>
        <stp>BDH|15724979624491043139</stp>
        <tr r="O48" s="13"/>
      </tp>
      <tp t="e">
        <v>#N/A</v>
        <stp/>
        <stp>BDH|14341651466883667919</stp>
        <tr r="N121" s="18"/>
      </tp>
      <tp t="e">
        <v>#N/A</v>
        <stp/>
        <stp>BDH|15789829913334246636</stp>
        <tr r="C47" s="21"/>
      </tp>
      <tp t="e">
        <v>#N/A</v>
        <stp/>
        <stp>BDH|12075870827676089079</stp>
        <tr r="U50" s="4"/>
      </tp>
      <tp t="e">
        <v>#N/A</v>
        <stp/>
        <stp>BDH|11156827769658909943</stp>
        <tr r="I12" s="24"/>
      </tp>
      <tp t="e">
        <v>#N/A</v>
        <stp/>
        <stp>BDH|16175219789901733393</stp>
        <tr r="F97" s="12"/>
      </tp>
      <tp t="e">
        <v>#N/A</v>
        <stp/>
        <stp>BDH|13637971711542023773</stp>
        <tr r="C17" s="12"/>
      </tp>
      <tp t="e">
        <v>#N/A</v>
        <stp/>
        <stp>BDH|16491977307125092430</stp>
        <tr r="V27" s="13"/>
      </tp>
      <tp t="e">
        <v>#N/A</v>
        <stp/>
        <stp>BDH|11090338252888195175</stp>
        <tr r="T40" s="29"/>
        <tr r="T17" s="29"/>
      </tp>
      <tp t="e">
        <v>#N/A</v>
        <stp/>
        <stp>BDH|16737439757738390171</stp>
        <tr r="L39" s="18"/>
      </tp>
      <tp t="e">
        <v>#N/A</v>
        <stp/>
        <stp>BDH|17846781694567535066</stp>
        <tr r="O30" s="22"/>
      </tp>
      <tp t="e">
        <v>#N/A</v>
        <stp/>
        <stp>BDH|16858973814690917055</stp>
        <tr r="R7" s="24"/>
      </tp>
      <tp t="e">
        <v>#N/A</v>
        <stp/>
        <stp>BDH|17113253621149438064</stp>
        <tr r="L11" s="20"/>
        <tr r="L116" s="18"/>
      </tp>
      <tp t="e">
        <v>#N/A</v>
        <stp/>
        <stp>BDH|15371176882141258331</stp>
        <tr r="J13" s="18"/>
      </tp>
      <tp t="e">
        <v>#N/A</v>
        <stp/>
        <stp>BDH|12926496460029206750</stp>
        <tr r="O38" s="13"/>
        <tr r="M31" s="10"/>
      </tp>
      <tp t="e">
        <v>#N/A</v>
        <stp/>
        <stp>BDH|15500027380995404655</stp>
        <tr r="O49" s="24"/>
      </tp>
      <tp t="e">
        <v>#N/A</v>
        <stp/>
        <stp>BDH|15816889830647204745</stp>
        <tr r="O52" s="17"/>
      </tp>
      <tp t="e">
        <v>#N/A</v>
        <stp/>
        <stp>BDH|11074170481427997191</stp>
        <tr r="D37" s="17"/>
      </tp>
      <tp t="e">
        <v>#N/A</v>
        <stp/>
        <stp>BDH|12846076437157996871</stp>
        <tr r="U22" s="9"/>
      </tp>
      <tp t="e">
        <v>#N/A</v>
        <stp/>
        <stp>BDH|13461614673578398434</stp>
        <tr r="O65" s="12"/>
      </tp>
      <tp t="e">
        <v>#N/A</v>
        <stp/>
        <stp>BDH|15356106483615575738</stp>
        <tr r="AA56" s="17"/>
      </tp>
      <tp t="e">
        <v>#N/A</v>
        <stp/>
        <stp>BDH|14906311810749792197</stp>
        <tr r="G13" s="10"/>
      </tp>
      <tp t="e">
        <v>#N/A</v>
        <stp/>
        <stp>BDH|12407357016998464657</stp>
        <tr r="E57" s="13"/>
        <tr r="C38" s="11"/>
        <tr r="C49" s="10"/>
        <tr r="C18" s="2"/>
        <tr r="C53" s="4"/>
      </tp>
      <tp t="e">
        <v>#N/A</v>
        <stp/>
        <stp>BDH|11043398885462251683</stp>
        <tr r="W31" s="13"/>
        <tr r="U23" s="11"/>
        <tr r="U34" s="10"/>
        <tr r="U45" s="4"/>
      </tp>
      <tp t="e">
        <v>#N/A</v>
        <stp/>
        <stp>BDH|11536966016873225412</stp>
        <tr r="J22" s="22"/>
      </tp>
      <tp t="e">
        <v>#N/A</v>
        <stp/>
        <stp>BDH|15483943331651304040</stp>
        <tr r="O14" s="34"/>
      </tp>
      <tp t="e">
        <v>#N/A</v>
        <stp/>
        <stp>BDH|14660849960396522213</stp>
        <tr r="AA73" s="17"/>
      </tp>
      <tp t="e">
        <v>#N/A</v>
        <stp/>
        <stp>BDH|10466332884773265679</stp>
        <tr r="H14" s="10"/>
      </tp>
      <tp t="e">
        <v>#N/A</v>
        <stp/>
        <stp>BDH|12461871843874065465</stp>
        <tr r="H22" s="4"/>
      </tp>
      <tp t="e">
        <v>#N/A</v>
        <stp/>
        <stp>BDH|18110343676742315068</stp>
        <tr r="AA170" s="18"/>
      </tp>
      <tp t="e">
        <v>#N/A</v>
        <stp/>
        <stp>BDH|14646085039809175002</stp>
        <tr r="C25" s="24"/>
      </tp>
      <tp t="e">
        <v>#N/A</v>
        <stp/>
        <stp>BDH|16740994912377282788</stp>
        <tr r="Q103" s="18"/>
      </tp>
      <tp t="e">
        <v>#N/A</v>
        <stp/>
        <stp>BDH|15527513059183344887</stp>
        <tr r="P58" s="18"/>
      </tp>
      <tp t="e">
        <v>#N/A</v>
        <stp/>
        <stp>BDH|17964194933158738322</stp>
        <tr r="Q43" s="11"/>
        <tr r="Q54" s="10"/>
        <tr r="Q14" s="7"/>
        <tr r="S9" s="3"/>
      </tp>
      <tp t="e">
        <v>#N/A</v>
        <stp/>
        <stp>BDH|12098865356038491924</stp>
        <tr r="F41" s="6"/>
        <tr r="F18" s="5"/>
      </tp>
      <tp t="e">
        <v>#N/A</v>
        <stp/>
        <stp>BDH|14412965853324210257</stp>
        <tr r="V21" s="4"/>
      </tp>
      <tp t="e">
        <v>#N/A</v>
        <stp/>
        <stp>BDH|14491999072882893610</stp>
        <tr r="X8" s="13"/>
      </tp>
      <tp t="e">
        <v>#N/A</v>
        <stp/>
        <stp>BDH|18259785827970204398</stp>
        <tr r="V11" s="6"/>
      </tp>
      <tp t="e">
        <v>#N/A</v>
        <stp/>
        <stp>BDH|10936364857930788896</stp>
        <tr r="Y16" s="21"/>
      </tp>
      <tp t="e">
        <v>#N/A</v>
        <stp/>
        <stp>BDH|14152236332269203241</stp>
        <tr r="W144" s="18"/>
      </tp>
      <tp t="e">
        <v>#N/A</v>
        <stp/>
        <stp>BDH|11486824570160456048</stp>
        <tr r="H56" s="6"/>
      </tp>
      <tp t="e">
        <v>#N/A</v>
        <stp/>
        <stp>BDH|13260929294498480564</stp>
        <tr r="M97" s="18"/>
      </tp>
      <tp t="e">
        <v>#N/A</v>
        <stp/>
        <stp>BDH|10604203494332623725</stp>
        <tr r="N22" s="10"/>
      </tp>
      <tp t="e">
        <v>#N/A</v>
        <stp/>
        <stp>BDH|16674420454280371954</stp>
        <tr r="Y49" s="21"/>
      </tp>
      <tp t="e">
        <v>#N/A</v>
        <stp/>
        <stp>BDH|10342902625452651761</stp>
        <tr r="T86" s="17"/>
      </tp>
      <tp t="e">
        <v>#N/A</v>
        <stp/>
        <stp>BDH|13339400055778720473</stp>
        <tr r="U57" s="24"/>
      </tp>
      <tp t="e">
        <v>#N/A</v>
        <stp/>
        <stp>BDH|14281373134059793307</stp>
        <tr r="U24" s="22"/>
      </tp>
      <tp t="e">
        <v>#N/A</v>
        <stp/>
        <stp>BDH|12050183742291497889</stp>
        <tr r="P86" s="17"/>
      </tp>
      <tp t="e">
        <v>#N/A</v>
        <stp/>
        <stp>BDH|14923414829278174467</stp>
        <tr r="H77" s="24"/>
      </tp>
      <tp t="e">
        <v>#N/A</v>
        <stp/>
        <stp>BDH|15862034610148785250</stp>
        <tr r="W14" s="28"/>
      </tp>
      <tp t="e">
        <v>#N/A</v>
        <stp/>
        <stp>BDH|12875730007033491815</stp>
        <tr r="V15" s="34"/>
      </tp>
      <tp t="e">
        <v>#N/A</v>
        <stp/>
        <stp>BDH|16202221219322583951</stp>
        <tr r="G25" s="24"/>
      </tp>
      <tp t="e">
        <v>#N/A</v>
        <stp/>
        <stp>BDH|17403801649317416208</stp>
        <tr r="Z26" s="25"/>
        <tr r="Z56" s="21"/>
      </tp>
      <tp t="e">
        <v>#N/A</v>
        <stp/>
        <stp>BDH|12336380921914164924</stp>
        <tr r="Z55" s="12"/>
      </tp>
      <tp t="e">
        <v>#N/A</v>
        <stp/>
        <stp>BDH|10215179639149040555</stp>
        <tr r="W72" s="18"/>
      </tp>
      <tp t="e">
        <v>#N/A</v>
        <stp/>
        <stp>BDH|10757876538674545149</stp>
        <tr r="I14" s="13"/>
      </tp>
      <tp t="e">
        <v>#N/A</v>
        <stp/>
        <stp>BDH|13226586852268096510</stp>
        <tr r="G36" s="13"/>
        <tr r="E29" s="10"/>
      </tp>
      <tp t="e">
        <v>#N/A</v>
        <stp/>
        <stp>BDH|17584406609259051456</stp>
        <tr r="U18" s="25"/>
      </tp>
      <tp t="e">
        <v>#N/A</v>
        <stp/>
        <stp>BDH|14911563810409201748</stp>
        <tr r="D11" s="17"/>
      </tp>
      <tp t="e">
        <v>#N/A</v>
        <stp/>
        <stp>BDH|13955816587695623809</stp>
        <tr r="E39" s="11"/>
        <tr r="E50" s="10"/>
      </tp>
      <tp t="e">
        <v>#N/A</v>
        <stp/>
        <stp>BDH|13016070431198689696</stp>
        <tr r="W30" s="18"/>
      </tp>
      <tp t="e">
        <v>#N/A</v>
        <stp/>
        <stp>BDH|11666971109107639179</stp>
        <tr r="E48" s="22"/>
      </tp>
      <tp t="e">
        <v>#N/A</v>
        <stp/>
        <stp>BDH|15340035623219387097</stp>
        <tr r="D20" s="12"/>
      </tp>
      <tp t="e">
        <v>#N/A</v>
        <stp/>
        <stp>BDH|12410995842020462121</stp>
        <tr r="C37" s="12"/>
      </tp>
      <tp t="e">
        <v>#N/A</v>
        <stp/>
        <stp>BDH|17623211931780746883</stp>
        <tr r="O70" s="10"/>
      </tp>
      <tp t="e">
        <v>#N/A</v>
        <stp/>
        <stp>BDH|12550456689613973390</stp>
        <tr r="S37" s="6"/>
      </tp>
      <tp t="e">
        <v>#N/A</v>
        <stp/>
        <stp>BDH|15744425299543264570</stp>
        <tr r="V53" s="6"/>
        <tr r="X10" s="8"/>
      </tp>
      <tp t="e">
        <v>#N/A</v>
        <stp/>
        <stp>BDH|11963471760524536921</stp>
        <tr r="R94" s="18"/>
      </tp>
      <tp t="e">
        <v>#N/A</v>
        <stp/>
        <stp>BDH|11486295121908463715</stp>
        <tr r="AA8" s="27"/>
      </tp>
      <tp t="e">
        <v>#N/A</v>
        <stp/>
        <stp>BDH|10388992758275393787</stp>
        <tr r="H33" s="29"/>
        <tr r="H42" s="29"/>
        <tr r="F11" s="5"/>
        <tr r="F55" s="6"/>
        <tr r="G10" s="2"/>
      </tp>
      <tp t="e">
        <v>#N/A</v>
        <stp/>
        <stp>BDH|12929198193853217787</stp>
        <tr r="H43" s="17"/>
      </tp>
      <tp t="e">
        <v>#N/A</v>
        <stp/>
        <stp>BDH|13410986257296641758</stp>
        <tr r="D26" s="7"/>
      </tp>
      <tp t="e">
        <v>#N/A</v>
        <stp/>
        <stp>BDH|10755988569741843067</stp>
        <tr r="V50" s="4"/>
      </tp>
      <tp t="e">
        <v>#N/A</v>
        <stp/>
        <stp>BDH|14800934997289387377</stp>
        <tr r="I47" s="17"/>
      </tp>
      <tp t="e">
        <v>#N/A</v>
        <stp/>
        <stp>BDH|10120365089044799111</stp>
        <tr r="C9" s="23"/>
      </tp>
      <tp t="e">
        <v>#N/A</v>
        <stp/>
        <stp>BDH|18180339063971149283</stp>
        <tr r="N11" s="6"/>
      </tp>
      <tp t="e">
        <v>#N/A</v>
        <stp/>
        <stp>BDH|11946079512737773932</stp>
        <tr r="K90" s="18"/>
      </tp>
      <tp t="e">
        <v>#N/A</v>
        <stp/>
        <stp>BDH|17027049448164628926</stp>
        <tr r="R110" s="18"/>
      </tp>
      <tp t="e">
        <v>#N/A</v>
        <stp/>
        <stp>BDH|15972170647987985988</stp>
        <tr r="R36" s="34"/>
      </tp>
      <tp t="e">
        <v>#N/A</v>
        <stp/>
        <stp>BDH|14479588783020396748</stp>
        <tr r="D41" s="22"/>
      </tp>
      <tp t="e">
        <v>#N/A</v>
        <stp/>
        <stp>BDH|17615109071067837875</stp>
        <tr r="E8" s="4"/>
      </tp>
      <tp t="e">
        <v>#N/A</v>
        <stp/>
        <stp>BDH|15658066965828815557</stp>
        <tr r="J35" s="12"/>
      </tp>
      <tp t="e">
        <v>#N/A</v>
        <stp/>
        <stp>BDH|18240896851318595374</stp>
        <tr r="V28" s="11"/>
        <tr r="V40" s="11"/>
        <tr r="V51" s="10"/>
        <tr r="V39" s="10"/>
      </tp>
      <tp t="e">
        <v>#N/A</v>
        <stp/>
        <stp>BDH|10071199051332429843</stp>
        <tr r="O97" s="18"/>
      </tp>
      <tp t="e">
        <v>#N/A</v>
        <stp/>
        <stp>BDH|12941044867368227202</stp>
        <tr r="D18" s="26"/>
      </tp>
      <tp t="e">
        <v>#N/A</v>
        <stp/>
        <stp>BDH|17371782785347710114</stp>
        <tr r="P37" s="17"/>
      </tp>
      <tp t="e">
        <v>#N/A</v>
        <stp/>
        <stp>BDH|14802332375578446621</stp>
        <tr r="P53" s="17"/>
      </tp>
      <tp t="e">
        <v>#N/A</v>
        <stp/>
        <stp>BDH|16609627499513501403</stp>
        <tr r="L153" s="18"/>
      </tp>
      <tp t="e">
        <v>#N/A</v>
        <stp/>
        <stp>BDH|13510350374619417087</stp>
        <tr r="R19" s="12"/>
      </tp>
      <tp t="e">
        <v>#N/A</v>
        <stp/>
        <stp>BDH|11841392432548221790</stp>
        <tr r="S32" s="13"/>
        <tr r="Q25" s="10"/>
      </tp>
      <tp t="e">
        <v>#N/A</v>
        <stp/>
        <stp>BDH|12004613582113240197</stp>
        <tr r="N13" s="5"/>
      </tp>
      <tp t="e">
        <v>#N/A</v>
        <stp/>
        <stp>BDH|16662445405434821875</stp>
        <tr r="Q15" s="25"/>
      </tp>
      <tp t="e">
        <v>#N/A</v>
        <stp/>
        <stp>BDH|18323890785524061271</stp>
        <tr r="V24" s="11"/>
        <tr r="V35" s="10"/>
      </tp>
      <tp t="e">
        <v>#N/A</v>
        <stp/>
        <stp>BDH|12794884357685683464</stp>
        <tr r="Z103" s="18"/>
      </tp>
      <tp t="e">
        <v>#N/A</v>
        <stp/>
        <stp>BDH|11228381196970448509</stp>
        <tr r="Y50" s="13"/>
      </tp>
      <tp t="e">
        <v>#N/A</v>
        <stp/>
        <stp>BDH|17891594108635752969</stp>
        <tr r="O8" s="6"/>
      </tp>
      <tp t="e">
        <v>#N/A</v>
        <stp/>
        <stp>BDH|12856884943338820836</stp>
        <tr r="G57" s="17"/>
      </tp>
      <tp t="e">
        <v>#N/A</v>
        <stp/>
        <stp>BDH|10440891909292508491</stp>
        <tr r="Q9" s="23"/>
      </tp>
      <tp t="e">
        <v>#N/A</v>
        <stp/>
        <stp>BDH|12250996620782658557</stp>
        <tr r="R116" s="18"/>
        <tr r="R11" s="20"/>
      </tp>
      <tp t="e">
        <v>#N/A</v>
        <stp/>
        <stp>BDH|17900773140708549235</stp>
        <tr r="O34" s="21"/>
      </tp>
      <tp t="e">
        <v>#N/A</v>
        <stp/>
        <stp>BDH|18183576232848942857</stp>
        <tr r="U11" s="28"/>
      </tp>
      <tp t="e">
        <v>#N/A</v>
        <stp/>
        <stp>BDH|13875432660026583968</stp>
        <tr r="M30" s="17"/>
      </tp>
      <tp t="e">
        <v>#N/A</v>
        <stp/>
        <stp>BDH|13865464545014500966</stp>
        <tr r="C72" s="12"/>
      </tp>
      <tp t="e">
        <v>#N/A</v>
        <stp/>
        <stp>BDH|17428386232189763017</stp>
        <tr r="G19" s="13"/>
        <tr r="E65" s="10"/>
        <tr r="E16" s="2"/>
        <tr r="E32" s="4"/>
      </tp>
      <tp t="e">
        <v>#N/A</v>
        <stp/>
        <stp>BDH|11855857141835152664</stp>
        <tr r="N13" s="18"/>
      </tp>
      <tp t="e">
        <v>#N/A</v>
        <stp/>
        <stp>BDH|14871112196855318776</stp>
        <tr r="U67" s="12"/>
      </tp>
      <tp t="e">
        <v>#N/A</v>
        <stp/>
        <stp>BDH|16823275355398880796</stp>
        <tr r="I18" s="27"/>
        <tr r="I36" s="25"/>
      </tp>
      <tp t="e">
        <v>#N/A</v>
        <stp/>
        <stp>BDH|11777964029847589369</stp>
        <tr r="D16" s="34"/>
      </tp>
      <tp t="e">
        <v>#N/A</v>
        <stp/>
        <stp>BDH|17175132971258985716</stp>
        <tr r="J9" s="28"/>
      </tp>
      <tp t="e">
        <v>#N/A</v>
        <stp/>
        <stp>BDH|10709732837902957816</stp>
        <tr r="I43" s="25"/>
        <tr r="I7" s="13"/>
        <tr r="I22" s="13"/>
        <tr r="G17" s="11"/>
        <tr r="I7" s="3"/>
      </tp>
      <tp t="e">
        <v>#N/A</v>
        <stp/>
        <stp>BDH|14374880925164092450</stp>
        <tr r="Z46" s="24"/>
      </tp>
      <tp t="e">
        <v>#N/A</v>
        <stp/>
        <stp>BDH|15579497229484786993</stp>
        <tr r="E69" s="13"/>
      </tp>
      <tp t="e">
        <v>#N/A</v>
        <stp/>
        <stp>BDH|12368889646619233944</stp>
        <tr r="X56" s="11"/>
      </tp>
      <tp t="e">
        <v>#N/A</v>
        <stp/>
        <stp>BDH|14305954025725880405</stp>
        <tr r="J23" s="30"/>
        <tr r="J25" s="23"/>
      </tp>
      <tp t="e">
        <v>#N/A</v>
        <stp/>
        <stp>BDH|13906967722915430323</stp>
        <tr r="C130" s="18"/>
      </tp>
      <tp t="e">
        <v>#N/A</v>
        <stp/>
        <stp>BDH|12981270234319439454</stp>
        <tr r="L62" s="18"/>
      </tp>
      <tp t="e">
        <v>#N/A</v>
        <stp/>
        <stp>BDH|17475683123345179853</stp>
        <tr r="D23" s="23"/>
      </tp>
      <tp t="e">
        <v>#N/A</v>
        <stp/>
        <stp>BDH|17233637209076333904</stp>
        <tr r="AA138" s="18"/>
      </tp>
      <tp t="e">
        <v>#N/A</v>
        <stp/>
        <stp>BDH|13262198691235080017</stp>
        <tr r="Q9" s="6"/>
      </tp>
      <tp t="e">
        <v>#N/A</v>
        <stp/>
        <stp>BDH|15744490696863661558</stp>
        <tr r="J23" s="20"/>
      </tp>
      <tp t="e">
        <v>#N/A</v>
        <stp/>
        <stp>BDH|17807279646897683848</stp>
        <tr r="P13" s="23"/>
        <tr r="N58" s="11"/>
        <tr r="N38" s="4"/>
      </tp>
      <tp t="e">
        <v>#N/A</v>
        <stp/>
        <stp>BDH|12441384518138980668</stp>
        <tr r="R30" s="18"/>
      </tp>
      <tp t="e">
        <v>#N/A</v>
        <stp/>
        <stp>BDH|16893914301420785140</stp>
        <tr r="M85" s="12"/>
      </tp>
      <tp t="e">
        <v>#N/A</v>
        <stp/>
        <stp>BDH|14006229779979421642</stp>
        <tr r="V18" s="14"/>
      </tp>
      <tp t="e">
        <v>#N/A</v>
        <stp/>
        <stp>BDH|15820066546497049833</stp>
        <tr r="AA38" s="13"/>
        <tr r="Y31" s="10"/>
      </tp>
      <tp t="e">
        <v>#N/A</v>
        <stp/>
        <stp>BDH|16512992164947683055</stp>
        <tr r="T32" s="24"/>
      </tp>
      <tp t="e">
        <v>#N/A</v>
        <stp/>
        <stp>BDH|17725697084325066217</stp>
        <tr r="H23" s="9"/>
      </tp>
      <tp t="e">
        <v>#N/A</v>
        <stp/>
        <stp>BDH|12887921124955630234</stp>
        <tr r="AA12" s="26"/>
      </tp>
      <tp t="e">
        <v>#N/A</v>
        <stp/>
        <stp>BDH|16758532875362305893</stp>
        <tr r="G83" s="12"/>
      </tp>
      <tp t="e">
        <v>#N/A</v>
        <stp/>
        <stp>BDH|13332382677740190969</stp>
        <tr r="T14" s="10"/>
      </tp>
      <tp t="e">
        <v>#N/A</v>
        <stp/>
        <stp>BDH|12861617460245172932</stp>
        <tr r="AA8" s="13"/>
      </tp>
      <tp t="e">
        <v>#N/A</v>
        <stp/>
        <stp>BDH|17595637678230582802</stp>
        <tr r="V62" s="18"/>
      </tp>
      <tp t="e">
        <v>#N/A</v>
        <stp/>
        <stp>BDH|13852818146522553318</stp>
        <tr r="G48" s="24"/>
      </tp>
      <tp t="e">
        <v>#N/A</v>
        <stp/>
        <stp>BDH|11108297119229805521</stp>
        <tr r="F25" s="29"/>
        <tr r="F19" s="29"/>
        <tr r="F10" s="29"/>
        <tr r="F12" s="8"/>
        <tr r="D6" s="9"/>
        <tr r="D6" s="5"/>
        <tr r="E6" s="2"/>
      </tp>
      <tp t="e">
        <v>#N/A</v>
        <stp/>
        <stp>BDH|17613572293202054790</stp>
        <tr r="O7" s="30"/>
      </tp>
      <tp t="e">
        <v>#N/A</v>
        <stp/>
        <stp>BDH|17630237985061860229</stp>
        <tr r="N41" s="12"/>
      </tp>
      <tp t="e">
        <v>#N/A</v>
        <stp/>
        <stp>BDH|14819730817008023468</stp>
        <tr r="J56" s="24"/>
      </tp>
      <tp t="e">
        <v>#N/A</v>
        <stp/>
        <stp>BDH|13008511136903531881</stp>
        <tr r="S100" s="18"/>
      </tp>
      <tp t="e">
        <v>#N/A</v>
        <stp/>
        <stp>BDH|14728582595123401548</stp>
        <tr r="X32" s="6"/>
      </tp>
      <tp t="e">
        <v>#N/A</v>
        <stp/>
        <stp>BDH|16680043928322261827</stp>
        <tr r="Z79" s="18"/>
      </tp>
      <tp t="e">
        <v>#N/A</v>
        <stp/>
        <stp>BDH|12289852978204056754</stp>
        <tr r="S30" s="14"/>
      </tp>
      <tp t="e">
        <v>#N/A</v>
        <stp/>
        <stp>BDH|11263933779662423368</stp>
        <tr r="G105" s="18"/>
      </tp>
      <tp t="e">
        <v>#N/A</v>
        <stp/>
        <stp>BDH|11097668387914881538</stp>
        <tr r="Y75" s="24"/>
      </tp>
      <tp t="e">
        <v>#N/A</v>
        <stp/>
        <stp>BDH|16904009490283570263</stp>
        <tr r="P75" s="24"/>
      </tp>
      <tp t="e">
        <v>#N/A</v>
        <stp/>
        <stp>BDH|15065940526835817500</stp>
        <tr r="P34" s="6"/>
      </tp>
      <tp t="e">
        <v>#N/A</v>
        <stp/>
        <stp>BDH|14504497471001208859</stp>
        <tr r="W96" s="17"/>
      </tp>
      <tp t="e">
        <v>#N/A</v>
        <stp/>
        <stp>BDH|10605672652109046499</stp>
        <tr r="C93" s="17"/>
      </tp>
      <tp t="e">
        <v>#N/A</v>
        <stp/>
        <stp>BDH|11680185247723335907</stp>
        <tr r="D13" s="30"/>
      </tp>
      <tp t="e">
        <v>#N/A</v>
        <stp/>
        <stp>BDH|14983741427539140614</stp>
        <tr r="D38" s="6"/>
      </tp>
      <tp t="e">
        <v>#N/A</v>
        <stp/>
        <stp>BDH|16861758589143624481</stp>
        <tr r="X72" s="18"/>
      </tp>
      <tp t="e">
        <v>#N/A</v>
        <stp/>
        <stp>BDH|17506582901694468821</stp>
        <tr r="K13" s="2"/>
      </tp>
      <tp t="e">
        <v>#N/A</v>
        <stp/>
        <stp>BDH|10575581530838342048</stp>
        <tr r="I20" s="5"/>
      </tp>
      <tp t="e">
        <v>#N/A</v>
        <stp/>
        <stp>BDH|14970303147065166850</stp>
        <tr r="J16" s="22"/>
      </tp>
      <tp t="e">
        <v>#N/A</v>
        <stp/>
        <stp>BDH|16871877146164365005</stp>
        <tr r="S15" s="23"/>
        <tr r="Q59" s="11"/>
      </tp>
      <tp t="e">
        <v>#N/A</v>
        <stp/>
        <stp>BDH|11373762703089545190</stp>
        <tr r="J23" s="6"/>
      </tp>
      <tp t="e">
        <v>#N/A</v>
        <stp/>
        <stp>BDH|15281215898254576449</stp>
        <tr r="K26" s="22"/>
      </tp>
      <tp t="e">
        <v>#N/A</v>
        <stp/>
        <stp>BDH|17711080687114297508</stp>
        <tr r="H30" s="24"/>
      </tp>
      <tp t="e">
        <v>#N/A</v>
        <stp/>
        <stp>BDH|12193896434732786511</stp>
        <tr r="T34" s="11"/>
        <tr r="T45" s="10"/>
      </tp>
      <tp t="e">
        <v>#N/A</v>
        <stp/>
        <stp>BDH|17821797428025673952</stp>
        <tr r="M15" s="29"/>
        <tr r="M38" s="29"/>
      </tp>
      <tp t="e">
        <v>#N/A</v>
        <stp/>
        <stp>BDH|17926073283775275451</stp>
        <tr r="K56" s="18"/>
      </tp>
      <tp t="e">
        <v>#N/A</v>
        <stp/>
        <stp>BDH|13148600170499949523</stp>
        <tr r="Z26" s="12"/>
      </tp>
      <tp t="e">
        <v>#N/A</v>
        <stp/>
        <stp>BDH|16861621820325643966</stp>
        <tr r="H39" s="26"/>
      </tp>
      <tp t="e">
        <v>#N/A</v>
        <stp/>
        <stp>BDH|10576690746568010405</stp>
        <tr r="D44" s="12"/>
      </tp>
      <tp t="e">
        <v>#N/A</v>
        <stp/>
        <stp>BDH|11274584483374649651</stp>
        <tr r="U95" s="12"/>
      </tp>
      <tp t="e">
        <v>#N/A</v>
        <stp/>
        <stp>BDH|16905780837169412585</stp>
        <tr r="H35" s="18"/>
      </tp>
      <tp t="e">
        <v>#N/A</v>
        <stp/>
        <stp>BDH|14513694594471407464</stp>
        <tr r="Z24" s="29"/>
      </tp>
      <tp t="e">
        <v>#N/A</v>
        <stp/>
        <stp>BDH|13449804213032529687</stp>
        <tr r="L13" s="24"/>
      </tp>
      <tp t="e">
        <v>#N/A</v>
        <stp/>
        <stp>BDH|14116507297463531594</stp>
        <tr r="J51" s="34"/>
      </tp>
      <tp t="e">
        <v>#N/A</v>
        <stp/>
        <stp>BDH|17027527795722510786</stp>
        <tr r="T29" s="14"/>
      </tp>
      <tp t="e">
        <v>#N/A</v>
        <stp/>
        <stp>BDH|15468697689761842466</stp>
        <tr r="AA61" s="12"/>
      </tp>
      <tp t="e">
        <v>#N/A</v>
        <stp/>
        <stp>BDH|15740927902491885324</stp>
        <tr r="P8" s="27"/>
      </tp>
      <tp t="e">
        <v>#N/A</v>
        <stp/>
        <stp>BDH|17888857062161247600</stp>
        <tr r="G16" s="25"/>
      </tp>
      <tp t="e">
        <v>#N/A</v>
        <stp/>
        <stp>BDH|12247992160994315757</stp>
        <tr r="T18" s="12"/>
      </tp>
      <tp t="e">
        <v>#N/A</v>
        <stp/>
        <stp>BDH|17240163504921863951</stp>
        <tr r="AA32" s="21"/>
      </tp>
      <tp t="e">
        <v>#N/A</v>
        <stp/>
        <stp>BDH|17159123888808550832</stp>
        <tr r="M13" s="21"/>
      </tp>
      <tp t="e">
        <v>#N/A</v>
        <stp/>
        <stp>BDH|12255029999561492408</stp>
        <tr r="K152" s="18"/>
      </tp>
      <tp t="e">
        <v>#N/A</v>
        <stp/>
        <stp>BDH|17256590941531172968</stp>
        <tr r="O65" s="13"/>
      </tp>
      <tp t="e">
        <v>#N/A</v>
        <stp/>
        <stp>BDH|11053953914563456489</stp>
        <tr r="AA53" s="12"/>
      </tp>
      <tp t="e">
        <v>#N/A</v>
        <stp/>
        <stp>BDH|16182774851388917231</stp>
        <tr r="X19" s="25"/>
      </tp>
      <tp t="e">
        <v>#N/A</v>
        <stp/>
        <stp>BDH|11930248736077223946</stp>
        <tr r="L71" s="18"/>
      </tp>
      <tp t="e">
        <v>#N/A</v>
        <stp/>
        <stp>BDH|12566110676083617999</stp>
        <tr r="Q15" s="21"/>
      </tp>
      <tp t="e">
        <v>#N/A</v>
        <stp/>
        <stp>BDH|18019255213127287293</stp>
        <tr r="V133" s="18"/>
      </tp>
      <tp t="e">
        <v>#N/A</v>
        <stp/>
        <stp>BDH|15922767681446299216</stp>
        <tr r="N24" s="6"/>
      </tp>
      <tp t="e">
        <v>#N/A</v>
        <stp/>
        <stp>BDH|12981301159698827250</stp>
        <tr r="U49" s="22"/>
      </tp>
      <tp t="e">
        <v>#N/A</v>
        <stp/>
        <stp>BDH|12299936748841493002</stp>
        <tr r="X122" s="18"/>
      </tp>
      <tp t="e">
        <v>#N/A</v>
        <stp/>
        <stp>BDH|10879729655234317811</stp>
        <tr r="U61" s="13"/>
      </tp>
      <tp t="e">
        <v>#N/A</v>
        <stp/>
        <stp>BDH|10835608344728904480</stp>
        <tr r="P14" s="6"/>
      </tp>
      <tp t="e">
        <v>#N/A</v>
        <stp/>
        <stp>BDH|18271259046830832049</stp>
        <tr r="U79" s="17"/>
        <tr r="U19" s="3"/>
      </tp>
      <tp t="e">
        <v>#N/A</v>
        <stp/>
        <stp>BDH|14203235269397430916</stp>
        <tr r="O139" s="18"/>
      </tp>
      <tp t="e">
        <v>#N/A</v>
        <stp/>
        <stp>BDH|10328848152962088188</stp>
        <tr r="R24" s="20"/>
      </tp>
      <tp t="e">
        <v>#N/A</v>
        <stp/>
        <stp>BDH|10275162381284161393</stp>
        <tr r="S39" s="18"/>
      </tp>
      <tp t="e">
        <v>#N/A</v>
        <stp/>
        <stp>BDH|16744464505118003493</stp>
        <tr r="R93" s="12"/>
      </tp>
      <tp t="e">
        <v>#N/A</v>
        <stp/>
        <stp>BDH|13387853420590982727</stp>
        <tr r="N21" s="27"/>
      </tp>
      <tp t="e">
        <v>#N/A</v>
        <stp/>
        <stp>BDH|11348520475298031594</stp>
        <tr r="U72" s="17"/>
      </tp>
      <tp t="e">
        <v>#N/A</v>
        <stp/>
        <stp>BDH|12808377885330041770</stp>
        <tr r="F55" s="21"/>
      </tp>
      <tp t="e">
        <v>#N/A</v>
        <stp/>
        <stp>BDH|18041238047653958308</stp>
        <tr r="L79" s="17"/>
        <tr r="L19" s="3"/>
      </tp>
      <tp t="e">
        <v>#N/A</v>
        <stp/>
        <stp>BDH|11829600551575331973</stp>
        <tr r="L59" s="17"/>
      </tp>
      <tp t="e">
        <v>#N/A</v>
        <stp/>
        <stp>BDH|11138899717345590376</stp>
        <tr r="X20" s="10"/>
      </tp>
      <tp t="e">
        <v>#N/A</v>
        <stp/>
        <stp>BDH|10274234332457885869</stp>
        <tr r="Q19" s="12"/>
      </tp>
      <tp t="e">
        <v>#N/A</v>
        <stp/>
        <stp>BDH|11249952395307735883</stp>
        <tr r="S35" s="12"/>
      </tp>
      <tp t="e">
        <v>#N/A</v>
        <stp/>
        <stp>BDH|15679495302139452643</stp>
        <tr r="V151" s="18"/>
      </tp>
      <tp t="e">
        <v>#N/A</v>
        <stp/>
        <stp>BDH|16524806868281892794</stp>
        <tr r="F35" s="4"/>
      </tp>
      <tp t="e">
        <v>#N/A</v>
        <stp/>
        <stp>BDH|17257635371921535991</stp>
        <tr r="N36" s="22"/>
      </tp>
      <tp t="e">
        <v>#N/A</v>
        <stp/>
        <stp>BDH|16473800813842229397</stp>
        <tr r="W14" s="12"/>
      </tp>
      <tp t="e">
        <v>#N/A</v>
        <stp/>
        <stp>BDH|11136087085985317235</stp>
        <tr r="C52" s="13"/>
      </tp>
      <tp t="e">
        <v>#N/A</v>
        <stp/>
        <stp>BDH|10094278086260996443</stp>
        <tr r="H74" s="24"/>
      </tp>
      <tp t="e">
        <v>#N/A</v>
        <stp/>
        <stp>BDH|16092859577701770699</stp>
        <tr r="Y15" s="22"/>
      </tp>
      <tp t="e">
        <v>#N/A</v>
        <stp/>
        <stp>BDH|17885893114724005495</stp>
        <tr r="F27" s="26"/>
      </tp>
      <tp t="e">
        <v>#N/A</v>
        <stp/>
        <stp>BDH|15296117894703863037</stp>
        <tr r="Y18" s="11"/>
      </tp>
      <tp t="e">
        <v>#N/A</v>
        <stp/>
        <stp>BDH|17850041766056487924</stp>
        <tr r="F23" s="24"/>
      </tp>
      <tp t="e">
        <v>#N/A</v>
        <stp/>
        <stp>BDH|11957396288111722538</stp>
        <tr r="AA14" s="23"/>
      </tp>
      <tp t="e">
        <v>#N/A</v>
        <stp/>
        <stp>BDH|15250657480976370383</stp>
        <tr r="K16" s="10"/>
      </tp>
      <tp t="e">
        <v>#N/A</v>
        <stp/>
        <stp>BDH|15860879227009658824</stp>
        <tr r="M7" s="34"/>
      </tp>
      <tp t="e">
        <v>#N/A</v>
        <stp/>
        <stp>BDH|18257699364321740745</stp>
        <tr r="J52" s="12"/>
      </tp>
      <tp t="e">
        <v>#N/A</v>
        <stp/>
        <stp>BDH|12601888172981791274</stp>
        <tr r="V135" s="18"/>
      </tp>
      <tp t="e">
        <v>#N/A</v>
        <stp/>
        <stp>BDH|12625312552092086899</stp>
        <tr r="F173" s="18"/>
      </tp>
      <tp t="e">
        <v>#N/A</v>
        <stp/>
        <stp>BDH|16811805710370748132</stp>
        <tr r="U16" s="26"/>
      </tp>
      <tp t="e">
        <v>#N/A</v>
        <stp/>
        <stp>BDH|12699181995073283751</stp>
        <tr r="O28" s="6"/>
      </tp>
      <tp t="e">
        <v>#N/A</v>
        <stp/>
        <stp>BDH|16873925627376774567</stp>
        <tr r="E49" s="24"/>
      </tp>
      <tp t="e">
        <v>#N/A</v>
        <stp/>
        <stp>BDH|16980619016396201902</stp>
        <tr r="T19" s="24"/>
      </tp>
      <tp t="e">
        <v>#N/A</v>
        <stp/>
        <stp>BDH|11112307582336978265</stp>
        <tr r="I29" s="18"/>
      </tp>
      <tp t="e">
        <v>#N/A</v>
        <stp/>
        <stp>BDH|14043983904077011401</stp>
        <tr r="D56" s="12"/>
      </tp>
      <tp t="e">
        <v>#N/A</v>
        <stp/>
        <stp>BDH|16209951575520872665</stp>
        <tr r="G27" s="21"/>
      </tp>
      <tp t="e">
        <v>#N/A</v>
        <stp/>
        <stp>BDH|12882847874910050345</stp>
        <tr r="M15" s="30"/>
      </tp>
      <tp t="e">
        <v>#N/A</v>
        <stp/>
        <stp>BDH|15617997345091370754</stp>
        <tr r="R25" s="21"/>
      </tp>
      <tp t="e">
        <v>#N/A</v>
        <stp/>
        <stp>BDH|10358321421589918655</stp>
        <tr r="Y14" s="4"/>
      </tp>
      <tp t="e">
        <v>#N/A</v>
        <stp/>
        <stp>BDH|11698165494774975319</stp>
        <tr r="X63" s="21"/>
      </tp>
      <tp t="e">
        <v>#N/A</v>
        <stp/>
        <stp>BDH|12055971346368538981</stp>
        <tr r="T71" s="12"/>
      </tp>
      <tp t="e">
        <v>#N/A</v>
        <stp/>
        <stp>BDH|10980937462895527410</stp>
        <tr r="K19" s="24"/>
      </tp>
      <tp t="e">
        <v>#N/A</v>
        <stp/>
        <stp>BDH|10232337783121645485</stp>
        <tr r="C35" s="13"/>
      </tp>
      <tp t="e">
        <v>#N/A</v>
        <stp/>
        <stp>BDH|17295831914549204986</stp>
        <tr r="K53" s="21"/>
      </tp>
      <tp t="e">
        <v>#N/A</v>
        <stp/>
        <stp>BDH|14057318493558827851</stp>
        <tr r="H10" s="14"/>
      </tp>
      <tp t="e">
        <v>#N/A</v>
        <stp/>
        <stp>BDH|11826973930990025501</stp>
        <tr r="F96" s="12"/>
      </tp>
      <tp t="e">
        <v>#N/A</v>
        <stp/>
        <stp>BDH|18378919894133079592</stp>
        <tr r="N29" s="14"/>
      </tp>
      <tp t="e">
        <v>#N/A</v>
        <stp/>
        <stp>BDH|14274546348513095817</stp>
        <tr r="U53" s="22"/>
      </tp>
      <tp t="e">
        <v>#N/A</v>
        <stp/>
        <stp>BDH|18058656951006922328</stp>
        <tr r="C19" s="10"/>
      </tp>
      <tp t="e">
        <v>#N/A</v>
        <stp/>
        <stp>BDH|17114864768490908798</stp>
        <tr r="E7" s="28"/>
      </tp>
      <tp t="e">
        <v>#N/A</v>
        <stp/>
        <stp>BDH|16399090794610364121</stp>
        <tr r="Q76" s="17"/>
      </tp>
      <tp t="e">
        <v>#N/A</v>
        <stp/>
        <stp>BDH|15339507936525296880</stp>
        <tr r="K29" s="24"/>
      </tp>
      <tp t="e">
        <v>#N/A</v>
        <stp/>
        <stp>BDH|16810445688685299193</stp>
        <tr r="G150" s="18"/>
      </tp>
      <tp t="e">
        <v>#N/A</v>
        <stp/>
        <stp>BDH|12598234647229823362</stp>
        <tr r="I13" s="9"/>
      </tp>
      <tp t="e">
        <v>#N/A</v>
        <stp/>
        <stp>BDH|15964890007720194397</stp>
        <tr r="M164" s="18"/>
      </tp>
      <tp t="e">
        <v>#N/A</v>
        <stp/>
        <stp>BDH|15366858215037569596</stp>
        <tr r="T96" s="17"/>
      </tp>
      <tp t="e">
        <v>#N/A</v>
        <stp/>
        <stp>BDH|15714882622336589776</stp>
        <tr r="H31" s="13"/>
        <tr r="F34" s="10"/>
        <tr r="F23" s="11"/>
        <tr r="F45" s="4"/>
      </tp>
      <tp t="e">
        <v>#N/A</v>
        <stp/>
        <stp>BDH|12479790573835819992</stp>
        <tr r="T23" s="6"/>
      </tp>
      <tp t="e">
        <v>#N/A</v>
        <stp/>
        <stp>BDH|13539291741513230807</stp>
        <tr r="J10" s="24"/>
      </tp>
      <tp t="e">
        <v>#N/A</v>
        <stp/>
        <stp>BDH|16743897152036588368</stp>
        <tr r="L133" s="18"/>
      </tp>
      <tp t="e">
        <v>#N/A</v>
        <stp/>
        <stp>BDH|13417886094085328947</stp>
        <tr r="G11" s="17"/>
      </tp>
      <tp t="e">
        <v>#N/A</v>
        <stp/>
        <stp>BDH|13348633449899178679</stp>
        <tr r="O96" s="18"/>
      </tp>
      <tp t="e">
        <v>#N/A</v>
        <stp/>
        <stp>BDH|17359225172524945850</stp>
        <tr r="U12" s="7"/>
      </tp>
      <tp t="e">
        <v>#N/A</v>
        <stp/>
        <stp>BDH|15974090152189477790</stp>
        <tr r="J65" s="24"/>
      </tp>
      <tp t="e">
        <v>#N/A</v>
        <stp/>
        <stp>BDH|14859044675025197878</stp>
        <tr r="J43" s="18"/>
      </tp>
      <tp t="e">
        <v>#N/A</v>
        <stp/>
        <stp>BDH|15653974607006960407</stp>
        <tr r="X25" s="29"/>
        <tr r="X19" s="29"/>
        <tr r="X10" s="29"/>
        <tr r="V6" s="5"/>
        <tr r="V6" s="9"/>
        <tr r="X12" s="8"/>
        <tr r="W6" s="2"/>
      </tp>
      <tp t="e">
        <v>#N/A</v>
        <stp/>
        <stp>BDH|10972855123316633262</stp>
        <tr r="AA17" s="18"/>
      </tp>
      <tp t="e">
        <v>#N/A</v>
        <stp/>
        <stp>BDH|11472086642779668277</stp>
        <tr r="K158" s="18"/>
      </tp>
      <tp t="e">
        <v>#N/A</v>
        <stp/>
        <stp>BDH|12871143512274395828</stp>
        <tr r="I67" s="24"/>
      </tp>
      <tp t="e">
        <v>#N/A</v>
        <stp/>
        <stp>BDH|17327970920567939523</stp>
        <tr r="J9" s="14"/>
      </tp>
      <tp t="e">
        <v>#N/A</v>
        <stp/>
        <stp>BDH|16273975004628952976</stp>
        <tr r="S55" s="18"/>
      </tp>
      <tp t="e">
        <v>#N/A</v>
        <stp/>
        <stp>BDH|16037673899523379424</stp>
        <tr r="P26" s="22"/>
      </tp>
      <tp t="e">
        <v>#N/A</v>
        <stp/>
        <stp>BDH|18232406334248851914</stp>
        <tr r="K31" s="24"/>
      </tp>
      <tp t="e">
        <v>#N/A</v>
        <stp/>
        <stp>BDH|14000945485062712992</stp>
        <tr r="O23" s="20"/>
      </tp>
      <tp t="e">
        <v>#N/A</v>
        <stp/>
        <stp>BDH|13906601662465165856</stp>
        <tr r="I34" s="11"/>
        <tr r="I45" s="10"/>
      </tp>
      <tp t="e">
        <v>#N/A</v>
        <stp/>
        <stp>BDH|18357334073993846148</stp>
        <tr r="X43" s="24"/>
      </tp>
      <tp t="e">
        <v>#N/A</v>
        <stp/>
        <stp>BDH|15096560338125644878</stp>
        <tr r="X15" s="26"/>
      </tp>
      <tp t="e">
        <v>#N/A</v>
        <stp/>
        <stp>BDH|18128330051537418782</stp>
        <tr r="Q92" s="12"/>
      </tp>
      <tp t="e">
        <v>#N/A</v>
        <stp/>
        <stp>BDH|12593598849944916922</stp>
        <tr r="AA75" s="24"/>
      </tp>
      <tp t="e">
        <v>#N/A</v>
        <stp/>
        <stp>BDH|18445408759071459673</stp>
        <tr r="W15" s="21"/>
      </tp>
      <tp t="e">
        <v>#N/A</v>
        <stp/>
        <stp>BDH|14983982856743905507</stp>
        <tr r="Z146" s="18"/>
      </tp>
      <tp t="e">
        <v>#N/A</v>
        <stp/>
        <stp>BDH|12616516948158261539</stp>
        <tr r="O67" s="13"/>
      </tp>
      <tp t="e">
        <v>#N/A</v>
        <stp/>
        <stp>BDH|17342438797217171381</stp>
        <tr r="V67" s="13"/>
      </tp>
      <tp t="e">
        <v>#N/A</v>
        <stp/>
        <stp>BDH|11009418168438508524</stp>
        <tr r="D25" s="29"/>
        <tr r="D19" s="29"/>
        <tr r="D10" s="29"/>
        <tr r="D12" s="8"/>
        <tr r="C6" s="2"/>
      </tp>
      <tp t="e">
        <v>#N/A</v>
        <stp/>
        <stp>BDH|16947316030181053968</stp>
        <tr r="Y13" s="28"/>
        <tr r="Y95" s="17"/>
      </tp>
      <tp t="e">
        <v>#N/A</v>
        <stp/>
        <stp>BDH|16158587196794786060</stp>
        <tr r="Y34" s="17"/>
      </tp>
      <tp t="e">
        <v>#N/A</v>
        <stp/>
        <stp>BDH|15980104253846307979</stp>
        <tr r="D76" s="12"/>
      </tp>
      <tp t="e">
        <v>#N/A</v>
        <stp/>
        <stp>BDH|10140791376869077707</stp>
        <tr r="C48" s="21"/>
      </tp>
      <tp t="e">
        <v>#N/A</v>
        <stp/>
        <stp>BDH|11093543294574853766</stp>
        <tr r="Y23" s="30"/>
        <tr r="Y25" s="23"/>
      </tp>
      <tp t="e">
        <v>#N/A</v>
        <stp/>
        <stp>BDH|16085398082763221079</stp>
        <tr r="K41" s="13"/>
        <tr r="I23" s="10"/>
        <tr r="I46" s="4"/>
      </tp>
      <tp t="e">
        <v>#N/A</v>
        <stp/>
        <stp>BDH|17975963218009149883</stp>
        <tr r="R62" s="11"/>
        <tr r="R73" s="10"/>
        <tr r="R20" s="7"/>
      </tp>
      <tp t="e">
        <v>#N/A</v>
        <stp/>
        <stp>BDH|17166296997815929788</stp>
        <tr r="V67" s="10"/>
      </tp>
      <tp t="e">
        <v>#N/A</v>
        <stp/>
        <stp>BDH|12336870372306075586</stp>
        <tr r="L75" s="24"/>
      </tp>
      <tp t="e">
        <v>#N/A</v>
        <stp/>
        <stp>BDH|11760548739580780933</stp>
        <tr r="E36" s="29"/>
        <tr r="E13" s="29"/>
        <tr r="E22" s="29"/>
      </tp>
      <tp t="e">
        <v>#N/A</v>
        <stp/>
        <stp>BDH|11653761764139341791</stp>
        <tr r="V61" s="18"/>
      </tp>
      <tp t="e">
        <v>#N/A</v>
        <stp/>
        <stp>BDH|17933007190703612312</stp>
        <tr r="Q129" s="18"/>
      </tp>
      <tp t="e">
        <v>#N/A</v>
        <stp/>
        <stp>BDH|11602066994666929035</stp>
        <tr r="V23" s="23"/>
      </tp>
      <tp t="e">
        <v>#N/A</v>
        <stp/>
        <stp>BDH|14887300063538492713</stp>
        <tr r="M37" s="13"/>
        <tr r="K30" s="10"/>
      </tp>
      <tp t="e">
        <v>#N/A</v>
        <stp/>
        <stp>BDH|15729063227199853002</stp>
        <tr r="W31" s="11"/>
        <tr r="W42" s="10"/>
      </tp>
      <tp t="e">
        <v>#N/A</v>
        <stp/>
        <stp>BDH|14933991076062827607</stp>
        <tr r="E15" s="30"/>
      </tp>
      <tp t="e">
        <v>#N/A</v>
        <stp/>
        <stp>BDH|10651973224757206297</stp>
        <tr r="F48" s="17"/>
      </tp>
      <tp t="e">
        <v>#N/A</v>
        <stp/>
        <stp>BDH|18423185469658271990</stp>
        <tr r="S53" s="13"/>
      </tp>
      <tp t="e">
        <v>#N/A</v>
        <stp/>
        <stp>BDH|17962616785772378504</stp>
        <tr r="K46" s="24"/>
      </tp>
      <tp t="e">
        <v>#N/A</v>
        <stp/>
        <stp>BDH|16040505179703474935</stp>
        <tr r="Z85" s="17"/>
      </tp>
      <tp t="e">
        <v>#N/A</v>
        <stp/>
        <stp>BDH|15282931722668674943</stp>
        <tr r="H13" s="26"/>
      </tp>
      <tp t="e">
        <v>#N/A</v>
        <stp/>
        <stp>BDH|17044813211401298033</stp>
        <tr r="U15" s="13"/>
      </tp>
      <tp t="e">
        <v>#N/A</v>
        <stp/>
        <stp>BDH|18196227169082267191</stp>
        <tr r="V24" s="10"/>
      </tp>
      <tp t="e">
        <v>#N/A</v>
        <stp/>
        <stp>BDH|10268840606021479658</stp>
        <tr r="Y20" s="21"/>
      </tp>
      <tp t="e">
        <v>#N/A</v>
        <stp/>
        <stp>BDH|18284104704053434536</stp>
        <tr r="T8" s="11"/>
      </tp>
      <tp t="e">
        <v>#N/A</v>
        <stp/>
        <stp>BDH|16248252752919365771</stp>
        <tr r="H80" s="12"/>
      </tp>
      <tp t="e">
        <v>#N/A</v>
        <stp/>
        <stp>BDH|16442088949569059444</stp>
        <tr r="E100" s="12"/>
      </tp>
      <tp t="e">
        <v>#N/A</v>
        <stp/>
        <stp>BDH|12149827109431898436</stp>
        <tr r="K8" s="18"/>
      </tp>
      <tp t="e">
        <v>#N/A</v>
        <stp/>
        <stp>BDH|11630309073072107855</stp>
        <tr r="I9" s="11"/>
      </tp>
      <tp t="e">
        <v>#N/A</v>
        <stp/>
        <stp>BDH|11167348151490638837</stp>
        <tr r="Z57" s="18"/>
      </tp>
      <tp t="e">
        <v>#N/A</v>
        <stp/>
        <stp>BDH|17210740436934610874</stp>
        <tr r="P72" s="13"/>
      </tp>
      <tp t="e">
        <v>#N/A</v>
        <stp/>
        <stp>BDH|15402066923870164814</stp>
        <tr r="F22" s="10"/>
      </tp>
      <tp t="e">
        <v>#N/A</v>
        <stp/>
        <stp>BDH|17074894001207894714</stp>
        <tr r="R51" s="17"/>
      </tp>
      <tp t="e">
        <v>#N/A</v>
        <stp/>
        <stp>BDH|17411103584313787265</stp>
        <tr r="Y121" s="18"/>
      </tp>
      <tp t="e">
        <v>#N/A</v>
        <stp/>
        <stp>BDH|10196941872860717112</stp>
        <tr r="Q16" s="27"/>
        <tr r="Q34" s="25"/>
      </tp>
      <tp t="e">
        <v>#N/A</v>
        <stp/>
        <stp>BDH|11142785181796913704</stp>
        <tr r="N23" s="9"/>
      </tp>
      <tp t="e">
        <v>#N/A</v>
        <stp/>
        <stp>BDH|12477263344392525926</stp>
        <tr r="R10" s="8"/>
        <tr r="P53" s="6"/>
      </tp>
      <tp t="e">
        <v>#N/A</v>
        <stp/>
        <stp>BDH|10834145807807350999</stp>
        <tr r="AA45" s="18"/>
      </tp>
      <tp t="e">
        <v>#N/A</v>
        <stp/>
        <stp>BDH|13578910945315468440</stp>
        <tr r="J36" s="34"/>
      </tp>
      <tp t="e">
        <v>#N/A</v>
        <stp/>
        <stp>BDH|16570224011212281858</stp>
        <tr r="T79" s="17"/>
        <tr r="T19" s="3"/>
      </tp>
      <tp t="e">
        <v>#N/A</v>
        <stp/>
        <stp>BDH|16141156646075556967</stp>
        <tr r="H133" s="18"/>
      </tp>
      <tp t="e">
        <v>#N/A</v>
        <stp/>
        <stp>BDH|14319009501723286810</stp>
        <tr r="W25" s="11"/>
        <tr r="W36" s="10"/>
      </tp>
      <tp t="e">
        <v>#N/A</v>
        <stp/>
        <stp>BDH|14709149509262890835</stp>
        <tr r="W16" s="18"/>
      </tp>
      <tp t="e">
        <v>#N/A</v>
        <stp/>
        <stp>BDH|15384109696004708637</stp>
        <tr r="P21" s="6"/>
      </tp>
      <tp t="e">
        <v>#N/A</v>
        <stp/>
        <stp>BDH|16260035087549404830</stp>
        <tr r="X50" s="13"/>
      </tp>
      <tp t="e">
        <v>#N/A</v>
        <stp/>
        <stp>BDH|14358072147789123634</stp>
        <tr r="D33" s="12"/>
      </tp>
      <tp t="e">
        <v>#N/A</v>
        <stp/>
        <stp>BDH|17641934555401069517</stp>
        <tr r="S15" s="21"/>
      </tp>
      <tp t="e">
        <v>#N/A</v>
        <stp/>
        <stp>BDH|12390915620296333008</stp>
        <tr r="H19" s="28"/>
        <tr r="H16" s="17"/>
      </tp>
      <tp t="e">
        <v>#N/A</v>
        <stp/>
        <stp>BDH|14468340731019517252</stp>
        <tr r="V41" s="18"/>
      </tp>
      <tp t="e">
        <v>#N/A</v>
        <stp/>
        <stp>BDH|17230976641026441315</stp>
        <tr r="H29" s="18"/>
      </tp>
      <tp t="e">
        <v>#N/A</v>
        <stp/>
        <stp>BDH|15246704387511222463</stp>
        <tr r="L25" s="17"/>
      </tp>
      <tp t="e">
        <v>#N/A</v>
        <stp/>
        <stp>BDH|13795409046588671479</stp>
        <tr r="R54" s="24"/>
      </tp>
      <tp t="e">
        <v>#N/A</v>
        <stp/>
        <stp>BDH|18423131056407948489</stp>
        <tr r="C98" s="18"/>
      </tp>
      <tp t="e">
        <v>#N/A</v>
        <stp/>
        <stp>BDH|18087587824212924255</stp>
        <tr r="T38" s="29"/>
        <tr r="T15" s="29"/>
      </tp>
      <tp t="e">
        <v>#N/A</v>
        <stp/>
        <stp>BDH|17819465419794390940</stp>
        <tr r="M130" s="18"/>
      </tp>
      <tp t="e">
        <v>#N/A</v>
        <stp/>
        <stp>BDH|11273846035335707048</stp>
        <tr r="S31" s="11"/>
        <tr r="S42" s="10"/>
      </tp>
      <tp t="e">
        <v>#N/A</v>
        <stp/>
        <stp>BDH|14322037830940939895</stp>
        <tr r="O29" s="34"/>
      </tp>
      <tp t="e">
        <v>#N/A</v>
        <stp/>
        <stp>BDH|15767044927028290062</stp>
        <tr r="D15" s="34"/>
      </tp>
      <tp t="e">
        <v>#N/A</v>
        <stp/>
        <stp>BDH|16301667985371594654</stp>
        <tr r="N35" s="4"/>
      </tp>
      <tp t="e">
        <v>#N/A</v>
        <stp/>
        <stp>BDH|16957381196034244759</stp>
        <tr r="J70" s="18"/>
      </tp>
      <tp t="e">
        <v>#N/A</v>
        <stp/>
        <stp>BDH|13885372739305498928</stp>
        <tr r="K21" s="3"/>
      </tp>
      <tp t="e">
        <v>#N/A</v>
        <stp/>
        <stp>BDH|14096973725556172630</stp>
        <tr r="S9" s="29"/>
      </tp>
      <tp t="e">
        <v>#N/A</v>
        <stp/>
        <stp>BDH|15501234656985169813</stp>
        <tr r="R41" s="17"/>
      </tp>
      <tp t="e">
        <v>#N/A</v>
        <stp/>
        <stp>BDH|10648349135067767804</stp>
        <tr r="X108" s="18"/>
      </tp>
      <tp t="e">
        <v>#N/A</v>
        <stp/>
        <stp>BDH|17224028499562197389</stp>
        <tr r="D46" s="18"/>
      </tp>
      <tp t="e">
        <v>#N/A</v>
        <stp/>
        <stp>BDH|17695491230527916863</stp>
        <tr r="P69" s="10"/>
        <tr r="P39" s="4"/>
      </tp>
      <tp t="e">
        <v>#N/A</v>
        <stp/>
        <stp>BDH|13369865302914626016</stp>
        <tr r="N40" s="11"/>
        <tr r="N28" s="11"/>
        <tr r="N39" s="10"/>
        <tr r="N51" s="10"/>
      </tp>
      <tp t="e">
        <v>#N/A</v>
        <stp/>
        <stp>BDH|10021754850945432812</stp>
        <tr r="Q85" s="18"/>
      </tp>
      <tp t="e">
        <v>#N/A</v>
        <stp/>
        <stp>BDH|17344099999008478974</stp>
        <tr r="E59" s="12"/>
      </tp>
      <tp t="e">
        <v>#N/A</v>
        <stp/>
        <stp>BDH|17376014296962065342</stp>
        <tr r="S23" s="6"/>
      </tp>
      <tp t="e">
        <v>#N/A</v>
        <stp/>
        <stp>BDH|12762945120913104524</stp>
        <tr r="J18" s="28"/>
        <tr r="J15" s="17"/>
      </tp>
      <tp t="e">
        <v>#N/A</v>
        <stp/>
        <stp>BDH|17947867891858742192</stp>
        <tr r="AA64" s="24"/>
      </tp>
      <tp t="e">
        <v>#N/A</v>
        <stp/>
        <stp>BDH|12608762704168278269</stp>
        <tr r="N78" s="12"/>
      </tp>
      <tp t="e">
        <v>#N/A</v>
        <stp/>
        <stp>BDH|12700031916269393516</stp>
        <tr r="D92" s="12"/>
      </tp>
      <tp t="e">
        <v>#N/A</v>
        <stp/>
        <stp>BDH|11158665116319496059</stp>
        <tr r="L24" s="6"/>
      </tp>
      <tp t="e">
        <v>#N/A</v>
        <stp/>
        <stp>BDH|13215216458732821931</stp>
        <tr r="AA50" s="13"/>
      </tp>
      <tp t="e">
        <v>#N/A</v>
        <stp/>
        <stp>BDH|16266128025162250878</stp>
        <tr r="X28" s="17"/>
      </tp>
      <tp t="e">
        <v>#N/A</v>
        <stp/>
        <stp>BDH|14864281592616133630</stp>
        <tr r="M23" s="9"/>
      </tp>
      <tp t="e">
        <v>#N/A</v>
        <stp/>
        <stp>BDH|12764141161602027821</stp>
        <tr r="P30" s="12"/>
      </tp>
      <tp t="e">
        <v>#N/A</v>
        <stp/>
        <stp>BDH|17735316311628103262</stp>
        <tr r="K88" s="18"/>
      </tp>
      <tp t="e">
        <v>#N/A</v>
        <stp/>
        <stp>BDH|13755294508767300957</stp>
        <tr r="Y43" s="24"/>
      </tp>
      <tp t="e">
        <v>#N/A</v>
        <stp/>
        <stp>BDH|13101482167237881969</stp>
        <tr r="H19" s="13"/>
        <tr r="F65" s="10"/>
        <tr r="F32" s="4"/>
        <tr r="F16" s="2"/>
      </tp>
      <tp t="e">
        <v>#N/A</v>
        <stp/>
        <stp>BDH|17185147434583880992</stp>
        <tr r="T8" s="26"/>
        <tr r="Q10" s="9"/>
      </tp>
      <tp t="e">
        <v>#N/A</v>
        <stp/>
        <stp>BDH|11596378482836189311</stp>
        <tr r="T20" s="22"/>
      </tp>
      <tp t="e">
        <v>#N/A</v>
        <stp/>
        <stp>BDH|17245350021499509037</stp>
        <tr r="W22" s="7"/>
      </tp>
      <tp t="e">
        <v>#N/A</v>
        <stp/>
        <stp>BDH|10062957234442255737</stp>
        <tr r="I31" s="5"/>
      </tp>
      <tp t="e">
        <v>#N/A</v>
        <stp/>
        <stp>BDH|10042285751559003193</stp>
        <tr r="M36" s="4"/>
      </tp>
      <tp t="e">
        <v>#N/A</v>
        <stp/>
        <stp>BDH|17910051194271014084</stp>
        <tr r="D23" s="18"/>
      </tp>
      <tp t="e">
        <v>#N/A</v>
        <stp/>
        <stp>BDH|10615453615222126874</stp>
        <tr r="J11" s="28"/>
      </tp>
      <tp t="e">
        <v>#N/A</v>
        <stp/>
        <stp>BDH|14906637734037864967</stp>
        <tr r="R19" s="6"/>
      </tp>
      <tp t="e">
        <v>#N/A</v>
        <stp/>
        <stp>BDH|17542400383225575137</stp>
        <tr r="E28" s="22"/>
      </tp>
      <tp t="e">
        <v>#N/A</v>
        <stp/>
        <stp>BDH|10335820879653921312</stp>
        <tr r="R18" s="18"/>
      </tp>
      <tp t="e">
        <v>#N/A</v>
        <stp/>
        <stp>BDH|11837184525039573405</stp>
        <tr r="D44" s="6"/>
      </tp>
      <tp t="e">
        <v>#N/A</v>
        <stp/>
        <stp>BDH|16640890525327352496</stp>
        <tr r="I9" s="20"/>
        <tr r="I115" s="18"/>
      </tp>
      <tp t="e">
        <v>#N/A</v>
        <stp/>
        <stp>BDH|17104663353723471807</stp>
        <tr r="V84" s="17"/>
        <tr r="T6" s="7"/>
        <tr r="V20" s="3"/>
      </tp>
      <tp t="e">
        <v>#N/A</v>
        <stp/>
        <stp>BDH|10146554881591189376</stp>
        <tr r="J12" s="21"/>
      </tp>
      <tp t="e">
        <v>#N/A</v>
        <stp/>
        <stp>BDH|10559933011113459409</stp>
        <tr r="Q80" s="17"/>
      </tp>
      <tp t="e">
        <v>#N/A</v>
        <stp/>
        <stp>BDH|18199050526135425050</stp>
        <tr r="T13" s="26"/>
      </tp>
      <tp t="e">
        <v>#N/A</v>
        <stp/>
        <stp>BDH|18148084346183534098</stp>
        <tr r="W60" s="13"/>
        <tr r="U48" s="11"/>
        <tr r="U59" s="10"/>
        <tr r="U17" s="7"/>
        <tr r="U17" s="4"/>
        <tr r="W10" s="3"/>
      </tp>
      <tp t="e">
        <v>#N/A</v>
        <stp/>
        <stp>BDH|14721548156292526933</stp>
        <tr r="I70" s="24"/>
      </tp>
      <tp t="e">
        <v>#N/A</v>
        <stp/>
        <stp>BDH|11434333793406749209</stp>
        <tr r="M13" s="25"/>
      </tp>
      <tp t="e">
        <v>#N/A</v>
        <stp/>
        <stp>BDH|15271330836883742932</stp>
        <tr r="P6" s="27"/>
      </tp>
      <tp t="e">
        <v>#N/A</v>
        <stp/>
        <stp>BDH|17546132782972266351</stp>
        <tr r="Z58" s="17"/>
      </tp>
      <tp t="e">
        <v>#N/A</v>
        <stp/>
        <stp>BDH|12769468183020565146</stp>
        <tr r="N163" s="18"/>
      </tp>
      <tp t="e">
        <v>#N/A</v>
        <stp/>
        <stp>BDH|12187720769118042490</stp>
        <tr r="Q10" s="34"/>
      </tp>
      <tp t="e">
        <v>#N/A</v>
        <stp/>
        <stp>BDH|14860932522809852925</stp>
        <tr r="Z149" s="18"/>
      </tp>
      <tp t="e">
        <v>#N/A</v>
        <stp/>
        <stp>BDH|16939110233789911219</stp>
        <tr r="Z8" s="22"/>
      </tp>
      <tp t="e">
        <v>#N/A</v>
        <stp/>
        <stp>BDH|12004257205586445974</stp>
        <tr r="Q47" s="22"/>
      </tp>
      <tp t="e">
        <v>#N/A</v>
        <stp/>
        <stp>BDH|11372701998131963110</stp>
        <tr r="Q30" s="29"/>
        <tr r="Q8" s="29"/>
      </tp>
      <tp t="e">
        <v>#N/A</v>
        <stp/>
        <stp>BDH|13703225092704614322</stp>
        <tr r="H35" s="21"/>
      </tp>
      <tp t="e">
        <v>#N/A</v>
        <stp/>
        <stp>BDH|17915624319489074616</stp>
        <tr r="F46" s="6"/>
        <tr r="F19" s="5"/>
      </tp>
      <tp t="e">
        <v>#N/A</v>
        <stp/>
        <stp>BDH|15296512605918745726</stp>
        <tr r="S7" s="10"/>
      </tp>
      <tp t="e">
        <v>#N/A</v>
        <stp/>
        <stp>BDH|13741002746601424962</stp>
        <tr r="V21" s="27"/>
      </tp>
      <tp t="e">
        <v>#N/A</v>
        <stp/>
        <stp>BDH|14830191030790635941</stp>
        <tr r="T27" s="6"/>
      </tp>
      <tp t="e">
        <v>#N/A</v>
        <stp/>
        <stp>BDH|14049804517161375371</stp>
        <tr r="C77" s="24"/>
      </tp>
      <tp t="e">
        <v>#N/A</v>
        <stp/>
        <stp>BDH|12411626120068690139</stp>
        <tr r="S16" s="25"/>
      </tp>
      <tp t="e">
        <v>#N/A</v>
        <stp/>
        <stp>BDH|12726228788356662188</stp>
        <tr r="O20" s="12"/>
      </tp>
      <tp t="e">
        <v>#N/A</v>
        <stp/>
        <stp>BDH|17508710200869089676</stp>
        <tr r="S108" s="18"/>
      </tp>
      <tp t="e">
        <v>#N/A</v>
        <stp/>
        <stp>BDH|10296921578287964629</stp>
        <tr r="U26" s="6"/>
      </tp>
      <tp t="e">
        <v>#N/A</v>
        <stp/>
        <stp>BDH|12301368217399574648</stp>
        <tr r="Q41" s="21"/>
      </tp>
      <tp t="e">
        <v>#N/A</v>
        <stp/>
        <stp>BDH|14747932274104537160</stp>
        <tr r="K41" s="12"/>
      </tp>
      <tp t="e">
        <v>#N/A</v>
        <stp/>
        <stp>BDH|18032805676028652028</stp>
        <tr r="Y7" s="30"/>
      </tp>
      <tp t="e">
        <v>#N/A</v>
        <stp/>
        <stp>BDH|15750601551931165852</stp>
        <tr r="P107" s="18"/>
      </tp>
      <tp t="e">
        <v>#N/A</v>
        <stp/>
        <stp>BDH|14277511186186733009</stp>
        <tr r="X9" s="12"/>
      </tp>
      <tp t="e">
        <v>#N/A</v>
        <stp/>
        <stp>BDH|17196222114898087357</stp>
        <tr r="W16" s="23"/>
      </tp>
      <tp t="e">
        <v>#N/A</v>
        <stp/>
        <stp>BDH|11426021287580720647</stp>
        <tr r="S18" s="22"/>
      </tp>
      <tp t="e">
        <v>#N/A</v>
        <stp/>
        <stp>BDH|18413553919152380198</stp>
        <tr r="G143" s="18"/>
      </tp>
      <tp t="e">
        <v>#N/A</v>
        <stp/>
        <stp>BDH|14619901135306230733</stp>
        <tr r="U31" s="14"/>
      </tp>
      <tp t="e">
        <v>#N/A</v>
        <stp/>
        <stp>BDH|14200905897199336244</stp>
        <tr r="X25" s="5"/>
      </tp>
      <tp t="e">
        <v>#N/A</v>
        <stp/>
        <stp>BDH|17697950125683157058</stp>
        <tr r="K14" s="27"/>
        <tr r="K32" s="25"/>
      </tp>
      <tp t="e">
        <v>#N/A</v>
        <stp/>
        <stp>BDH|13748234990466163170</stp>
        <tr r="R37" s="10"/>
        <tr r="R26" s="11"/>
      </tp>
      <tp t="e">
        <v>#N/A</v>
        <stp/>
        <stp>BDH|13747610101193160942</stp>
        <tr r="C15" s="14"/>
      </tp>
      <tp t="e">
        <v>#N/A</v>
        <stp/>
        <stp>BDH|16855371843909789794</stp>
        <tr r="Y11" s="21"/>
      </tp>
      <tp t="e">
        <v>#N/A</v>
        <stp/>
        <stp>BDH|12860402394780818063</stp>
        <tr r="P22" s="12"/>
      </tp>
      <tp t="e">
        <v>#N/A</v>
        <stp/>
        <stp>BDH|14196199708709273301</stp>
        <tr r="I51" s="12"/>
      </tp>
      <tp t="e">
        <v>#N/A</v>
        <stp/>
        <stp>BDH|15797767477088573219</stp>
        <tr r="S74" s="24"/>
      </tp>
      <tp t="e">
        <v>#N/A</v>
        <stp/>
        <stp>BDH|11148173947868292316</stp>
        <tr r="W46" s="34"/>
      </tp>
      <tp t="e">
        <v>#N/A</v>
        <stp/>
        <stp>BDH|13170857380244310853</stp>
        <tr r="M27" s="11"/>
        <tr r="M38" s="10"/>
      </tp>
      <tp t="e">
        <v>#N/A</v>
        <stp/>
        <stp>BDH|12644363140773794959</stp>
        <tr r="O54" s="34"/>
      </tp>
      <tp t="e">
        <v>#N/A</v>
        <stp/>
        <stp>BDH|10180866917245289303</stp>
        <tr r="I66" s="12"/>
      </tp>
      <tp t="e">
        <v>#N/A</v>
        <stp/>
        <stp>BDH|13569892862654543691</stp>
        <tr r="F35" s="13"/>
        <tr r="D28" s="10"/>
      </tp>
      <tp t="e">
        <v>#N/A</v>
        <stp/>
        <stp>BDH|15653173011573568973</stp>
        <tr r="J83" s="12"/>
      </tp>
      <tp t="e">
        <v>#N/A</v>
        <stp/>
        <stp>BDH|10698546565559097555</stp>
        <tr r="T68" s="18"/>
      </tp>
      <tp t="e">
        <v>#N/A</v>
        <stp/>
        <stp>BDH|18174282314271869577</stp>
        <tr r="G15" s="34"/>
      </tp>
      <tp t="e">
        <v>#N/A</v>
        <stp/>
        <stp>BDH|13991799988713931032</stp>
        <tr r="O49" s="17"/>
      </tp>
      <tp t="e">
        <v>#N/A</v>
        <stp/>
        <stp>BDH|15910193882473027002</stp>
        <tr r="T8" s="2"/>
      </tp>
      <tp t="e">
        <v>#N/A</v>
        <stp/>
        <stp>BDH|13457939165665141618</stp>
        <tr r="Z37" s="13"/>
        <tr r="X30" s="10"/>
      </tp>
      <tp t="e">
        <v>#N/A</v>
        <stp/>
        <stp>BDH|12662812674700362220</stp>
        <tr r="S14" s="20"/>
        <tr r="S119" s="18"/>
      </tp>
      <tp t="e">
        <v>#N/A</v>
        <stp/>
        <stp>BDH|11013024436044332953</stp>
        <tr r="Y50" s="4"/>
      </tp>
      <tp t="e">
        <v>#N/A</v>
        <stp/>
        <stp>BDH|13626944178141802302</stp>
        <tr r="W41" s="26"/>
      </tp>
      <tp t="e">
        <v>#N/A</v>
        <stp/>
        <stp>BDH|10451606484709223802</stp>
        <tr r="R142" s="18"/>
      </tp>
      <tp t="e">
        <v>#N/A</v>
        <stp/>
        <stp>BDH|18017658151730727418</stp>
        <tr r="O34" s="6"/>
      </tp>
      <tp t="e">
        <v>#N/A</v>
        <stp/>
        <stp>BDH|11787842692406515914</stp>
        <tr r="S41" s="34"/>
      </tp>
      <tp t="e">
        <v>#N/A</v>
        <stp/>
        <stp>BDH|11102374681946707356</stp>
        <tr r="S30" s="22"/>
      </tp>
      <tp t="e">
        <v>#N/A</v>
        <stp/>
        <stp>BDH|10885490097826084433</stp>
        <tr r="Q8" s="20"/>
        <tr r="Q114" s="18"/>
      </tp>
      <tp t="e">
        <v>#N/A</v>
        <stp/>
        <stp>BDH|13866673543856877810</stp>
        <tr r="V55" s="18"/>
      </tp>
      <tp t="e">
        <v>#N/A</v>
        <stp/>
        <stp>BDH|13135198989282749734</stp>
        <tr r="U24" s="10"/>
      </tp>
      <tp t="e">
        <v>#N/A</v>
        <stp/>
        <stp>BDH|11593632337642211965</stp>
        <tr r="G7" s="24"/>
      </tp>
      <tp t="e">
        <v>#N/A</v>
        <stp/>
        <stp>BDH|17654953306880021104</stp>
        <tr r="T22" s="17"/>
        <tr r="T15" s="3"/>
      </tp>
      <tp t="e">
        <v>#N/A</v>
        <stp/>
        <stp>BDH|13775765768965445887</stp>
        <tr r="U61" s="18"/>
      </tp>
      <tp t="e">
        <v>#N/A</v>
        <stp/>
        <stp>BDH|10112464383183735068</stp>
        <tr r="T23" s="24"/>
      </tp>
      <tp t="e">
        <v>#N/A</v>
        <stp/>
        <stp>BDH|13582280009356568842</stp>
        <tr r="N84" s="12"/>
      </tp>
      <tp t="e">
        <v>#N/A</v>
        <stp/>
        <stp>BDH|15335428485695809392</stp>
        <tr r="I12" s="12"/>
      </tp>
      <tp t="e">
        <v>#N/A</v>
        <stp/>
        <stp>BDH|15735098450676303983</stp>
        <tr r="C27" s="13"/>
      </tp>
      <tp t="e">
        <v>#N/A</v>
        <stp/>
        <stp>BDH|15426454487946607051</stp>
        <tr r="F20" s="5"/>
      </tp>
      <tp t="e">
        <v>#N/A</v>
        <stp/>
        <stp>BDH|14578466172930445800</stp>
        <tr r="H28" s="4"/>
      </tp>
      <tp t="e">
        <v>#N/A</v>
        <stp/>
        <stp>BDH|15484270195698062934</stp>
        <tr r="H40" s="21"/>
      </tp>
      <tp t="e">
        <v>#N/A</v>
        <stp/>
        <stp>BDH|17626573662299179278</stp>
        <tr r="Z29" s="17"/>
      </tp>
      <tp t="e">
        <v>#N/A</v>
        <stp/>
        <stp>BDH|10463240254431919980</stp>
        <tr r="S50" s="12"/>
      </tp>
      <tp t="e">
        <v>#N/A</v>
        <stp/>
        <stp>BDH|11971874757281867245</stp>
        <tr r="R48" s="34"/>
      </tp>
      <tp t="e">
        <v>#N/A</v>
        <stp/>
        <stp>BDH|15633571907198789749</stp>
        <tr r="N53" s="24"/>
      </tp>
      <tp t="e">
        <v>#N/A</v>
        <stp/>
        <stp>BDH|10732829619103184581</stp>
        <tr r="I63" s="18"/>
      </tp>
      <tp t="e">
        <v>#N/A</v>
        <stp/>
        <stp>BDH|14011708409664840849</stp>
        <tr r="Q9" s="8"/>
        <tr r="O52" s="6"/>
      </tp>
      <tp t="e">
        <v>#N/A</v>
        <stp/>
        <stp>BDH|14219103424438134024</stp>
        <tr r="U19" s="22"/>
      </tp>
      <tp t="e">
        <v>#N/A</v>
        <stp/>
        <stp>BDH|15094017899310858359</stp>
        <tr r="Y18" s="14"/>
      </tp>
      <tp t="e">
        <v>#N/A</v>
        <stp/>
        <stp>BDH|11886003168920714822</stp>
        <tr r="U129" s="18"/>
      </tp>
      <tp t="e">
        <v>#N/A</v>
        <stp/>
        <stp>BDH|16977921448686576237</stp>
        <tr r="H40" s="22"/>
      </tp>
      <tp t="e">
        <v>#N/A</v>
        <stp/>
        <stp>BDH|10503886051725909701</stp>
        <tr r="N9" s="17"/>
      </tp>
      <tp t="e">
        <v>#N/A</v>
        <stp/>
        <stp>BDH|12968682279299446592</stp>
        <tr r="N44" s="13"/>
        <tr r="L36" s="11"/>
        <tr r="L47" s="10"/>
        <tr r="L52" s="4"/>
        <tr r="N8" s="3"/>
      </tp>
      <tp t="e">
        <v>#N/A</v>
        <stp/>
        <stp>BDH|11076890365601097198</stp>
        <tr r="I23" s="26"/>
      </tp>
      <tp t="e">
        <v>#N/A</v>
        <stp/>
        <stp>BDH|11270631318279476083</stp>
        <tr r="W59" s="17"/>
      </tp>
      <tp t="e">
        <v>#N/A</v>
        <stp/>
        <stp>BDH|16024808631336188456</stp>
        <tr r="L45" s="13"/>
        <tr r="J29" s="11"/>
        <tr r="J40" s="10"/>
      </tp>
      <tp t="e">
        <v>#N/A</v>
        <stp/>
        <stp>BDH|16320634484057024013</stp>
        <tr r="E55" s="13"/>
      </tp>
      <tp t="e">
        <v>#N/A</v>
        <stp/>
        <stp>BDH|14632008041976638944</stp>
        <tr r="S175" s="18"/>
      </tp>
      <tp t="e">
        <v>#N/A</v>
        <stp/>
        <stp>BDH|17578515280716134303</stp>
        <tr r="P13" s="6"/>
      </tp>
      <tp t="e">
        <v>#N/A</v>
        <stp/>
        <stp>BDH|15080017892057380453</stp>
        <tr r="M28" s="4"/>
      </tp>
      <tp t="e">
        <v>#N/A</v>
        <stp/>
        <stp>BDH|12811766286720819255</stp>
        <tr r="U44" s="34"/>
      </tp>
      <tp t="e">
        <v>#N/A</v>
        <stp/>
        <stp>BDH|13357801732026680128</stp>
        <tr r="Y160" s="18"/>
      </tp>
      <tp t="e">
        <v>#N/A</v>
        <stp/>
        <stp>BDH|12311805242281752028</stp>
        <tr r="G50" s="13"/>
      </tp>
      <tp t="e">
        <v>#N/A</v>
        <stp/>
        <stp>BDH|17118830036531691266</stp>
        <tr r="F45" s="24"/>
      </tp>
      <tp t="e">
        <v>#N/A</v>
        <stp/>
        <stp>BDH|17520228303433357930</stp>
        <tr r="D15" s="11"/>
      </tp>
      <tp t="e">
        <v>#N/A</v>
        <stp/>
        <stp>BDH|16586503897451126477</stp>
        <tr r="V88" s="17"/>
      </tp>
      <tp t="e">
        <v>#N/A</v>
        <stp/>
        <stp>BDH|16586903916132133363</stp>
        <tr r="W16" s="27"/>
        <tr r="W34" s="25"/>
      </tp>
      <tp t="e">
        <v>#N/A</v>
        <stp/>
        <stp>BDH|15119968360077546267</stp>
        <tr r="E62" s="21"/>
      </tp>
      <tp t="e">
        <v>#N/A</v>
        <stp/>
        <stp>BDH|18108248113366175236</stp>
        <tr r="X14" s="23"/>
      </tp>
      <tp t="e">
        <v>#N/A</v>
        <stp/>
        <stp>BDH|10784132333829607458</stp>
        <tr r="S7" s="17"/>
      </tp>
      <tp t="e">
        <v>#N/A</v>
        <stp/>
        <stp>BDH|16168178999277954623</stp>
        <tr r="K37" s="18"/>
      </tp>
      <tp t="e">
        <v>#N/A</v>
        <stp/>
        <stp>BDH|16410876629194892767</stp>
        <tr r="S7" s="21"/>
      </tp>
      <tp t="e">
        <v>#N/A</v>
        <stp/>
        <stp>BDH|18159426220296104769</stp>
        <tr r="V112" s="18"/>
        <tr r="V6" s="20"/>
      </tp>
      <tp t="e">
        <v>#N/A</v>
        <stp/>
        <stp>BDH|10306615669017687892</stp>
        <tr r="L46" s="22"/>
      </tp>
      <tp t="e">
        <v>#N/A</v>
        <stp/>
        <stp>BDH|11114536629821716881</stp>
        <tr r="F102" s="18"/>
      </tp>
      <tp t="e">
        <v>#N/A</v>
        <stp/>
        <stp>BDH|13799550642284135957</stp>
        <tr r="R22" s="6"/>
      </tp>
      <tp t="e">
        <v>#N/A</v>
        <stp/>
        <stp>BDH|15341709750449275150</stp>
        <tr r="J23" s="24"/>
      </tp>
      <tp t="e">
        <v>#N/A</v>
        <stp/>
        <stp>BDH|17028059182025640552</stp>
        <tr r="F35" s="21"/>
      </tp>
      <tp t="e">
        <v>#N/A</v>
        <stp/>
        <stp>BDH|14185217447599522465</stp>
        <tr r="J36" s="13"/>
        <tr r="H29" s="10"/>
      </tp>
      <tp t="e">
        <v>#N/A</v>
        <stp/>
        <stp>BDH|15655082499962424171</stp>
        <tr r="P7" s="29"/>
        <tr r="P29" s="29"/>
      </tp>
      <tp t="e">
        <v>#N/A</v>
        <stp/>
        <stp>BDH|12467483260927988817</stp>
        <tr r="X111" s="18"/>
      </tp>
      <tp t="e">
        <v>#N/A</v>
        <stp/>
        <stp>BDH|13112743036729117167</stp>
        <tr r="P21" s="2"/>
      </tp>
      <tp t="e">
        <v>#N/A</v>
        <stp/>
        <stp>BDH|12399127884595499151</stp>
        <tr r="E18" s="9"/>
      </tp>
      <tp t="e">
        <v>#N/A</v>
        <stp/>
        <stp>BDH|10105133445402351801</stp>
        <tr r="K44" s="18"/>
      </tp>
      <tp t="e">
        <v>#N/A</v>
        <stp/>
        <stp>BDH|13376279651959718264</stp>
        <tr r="O22" s="11"/>
      </tp>
      <tp t="e">
        <v>#N/A</v>
        <stp/>
        <stp>BDH|13068406548445532995</stp>
        <tr r="O58" s="17"/>
      </tp>
      <tp t="e">
        <v>#N/A</v>
        <stp/>
        <stp>BDH|10365916961081741103</stp>
        <tr r="L28" s="13"/>
        <tr r="L16" s="13"/>
        <tr r="J17" s="10"/>
      </tp>
      <tp t="e">
        <v>#N/A</v>
        <stp/>
        <stp>BDH|14968113535961999802</stp>
        <tr r="G78" s="17"/>
        <tr r="D9" s="9"/>
        <tr r="D9" s="5"/>
      </tp>
      <tp t="e">
        <v>#N/A</v>
        <stp/>
        <stp>BDH|12738857736830390633</stp>
        <tr r="W18" s="18"/>
      </tp>
      <tp t="e">
        <v>#N/A</v>
        <stp/>
        <stp>BDH|15152919453200603618</stp>
        <tr r="L26" s="18"/>
      </tp>
      <tp t="e">
        <v>#N/A</v>
        <stp/>
        <stp>BDH|14829662929508229712</stp>
        <tr r="W85" s="12"/>
      </tp>
      <tp t="e">
        <v>#N/A</v>
        <stp/>
        <stp>BDH|15408850355630760775</stp>
        <tr r="L30" s="12"/>
      </tp>
      <tp t="e">
        <v>#N/A</v>
        <stp/>
        <stp>BDH|11814295295394548156</stp>
        <tr r="O13" s="26"/>
      </tp>
      <tp t="e">
        <v>#N/A</v>
        <stp/>
        <stp>BDH|15636030640358902685</stp>
        <tr r="R29" s="21"/>
      </tp>
      <tp t="e">
        <v>#N/A</v>
        <stp/>
        <stp>BDH|16183820216190659079</stp>
        <tr r="H140" s="18"/>
      </tp>
      <tp t="e">
        <v>#N/A</v>
        <stp/>
        <stp>BDH|13598168497636216222</stp>
        <tr r="G133" s="18"/>
      </tp>
      <tp t="e">
        <v>#N/A</v>
        <stp/>
        <stp>BDH|11654679091866229762</stp>
        <tr r="Z18" s="18"/>
      </tp>
      <tp t="e">
        <v>#N/A</v>
        <stp/>
        <stp>BDH|12069900220360009641</stp>
        <tr r="E72" s="17"/>
      </tp>
      <tp t="e">
        <v>#N/A</v>
        <stp/>
        <stp>BDH|17635986245942797781</stp>
        <tr r="X44" s="24"/>
      </tp>
      <tp t="e">
        <v>#N/A</v>
        <stp/>
        <stp>BDH|10724301482647253334</stp>
        <tr r="K23" s="22"/>
      </tp>
      <tp t="e">
        <v>#N/A</v>
        <stp/>
        <stp>BDH|11401268023659533709</stp>
        <tr r="Q40" s="24"/>
      </tp>
      <tp t="e">
        <v>#N/A</v>
        <stp/>
        <stp>BDH|11771019392933411442</stp>
        <tr r="T35" s="13"/>
        <tr r="R28" s="10"/>
      </tp>
      <tp t="e">
        <v>#N/A</v>
        <stp/>
        <stp>BDH|14067332920993068940</stp>
        <tr r="E15" s="14"/>
      </tp>
      <tp t="e">
        <v>#N/A</v>
        <stp/>
        <stp>BDH|14594792283216131291</stp>
        <tr r="X7" s="4"/>
      </tp>
      <tp t="e">
        <v>#N/A</v>
        <stp/>
        <stp>BDH|15972211299432203349</stp>
        <tr r="Q21" s="27"/>
      </tp>
      <tp t="e">
        <v>#N/A</v>
        <stp/>
        <stp>BDH|18369931590927136067</stp>
        <tr r="U8" s="2"/>
      </tp>
      <tp t="e">
        <v>#N/A</v>
        <stp/>
        <stp>BDH|12149716097990515350</stp>
        <tr r="G50" s="34"/>
      </tp>
      <tp t="e">
        <v>#N/A</v>
        <stp/>
        <stp>BDH|10890846968571462075</stp>
        <tr r="L171" s="18"/>
      </tp>
      <tp t="e">
        <v>#N/A</v>
        <stp/>
        <stp>BDH|18242700446164655059</stp>
        <tr r="N66" s="24"/>
      </tp>
      <tp t="e">
        <v>#N/A</v>
        <stp/>
        <stp>BDH|10488355561993055978</stp>
        <tr r="U132" s="18"/>
      </tp>
      <tp t="e">
        <v>#N/A</v>
        <stp/>
        <stp>BDH|15558830250726090113</stp>
        <tr r="H16" s="22"/>
      </tp>
      <tp t="e">
        <v>#N/A</v>
        <stp/>
        <stp>BDH|13819298617008621774</stp>
        <tr r="T19" s="9"/>
      </tp>
      <tp t="e">
        <v>#N/A</v>
        <stp/>
        <stp>BDH|11804669549225724976</stp>
        <tr r="O32" s="9"/>
      </tp>
      <tp t="e">
        <v>#N/A</v>
        <stp/>
        <stp>BDH|18117721844400883482</stp>
        <tr r="S15" s="26"/>
      </tp>
      <tp t="e">
        <v>#N/A</v>
        <stp/>
        <stp>BDH|12202477426179085243</stp>
        <tr r="G15" s="4"/>
      </tp>
      <tp t="e">
        <v>#N/A</v>
        <stp/>
        <stp>BDH|11645649194614122505</stp>
        <tr r="W62" s="18"/>
      </tp>
      <tp t="e">
        <v>#N/A</v>
        <stp/>
        <stp>BDH|16474769486643680553</stp>
        <tr r="P50" s="12"/>
      </tp>
      <tp t="e">
        <v>#N/A</v>
        <stp/>
        <stp>BDH|18227738734712083126</stp>
        <tr r="C66" s="13"/>
      </tp>
      <tp t="e">
        <v>#N/A</v>
        <stp/>
        <stp>BDH|17179103305450662954</stp>
        <tr r="S61" s="12"/>
      </tp>
      <tp t="e">
        <v>#N/A</v>
        <stp/>
        <stp>BDH|13167149042820322937</stp>
        <tr r="J30" s="12"/>
      </tp>
      <tp t="e">
        <v>#N/A</v>
        <stp/>
        <stp>BDH|14835202997798126896</stp>
        <tr r="E8" s="28"/>
      </tp>
      <tp t="e">
        <v>#N/A</v>
        <stp/>
        <stp>BDH|14871893859732601492</stp>
        <tr r="U64" s="21"/>
        <tr r="S23" s="7"/>
      </tp>
      <tp t="e">
        <v>#N/A</v>
        <stp/>
        <stp>BDH|13549026404628160452</stp>
        <tr r="I36" s="26"/>
      </tp>
      <tp t="e">
        <v>#N/A</v>
        <stp/>
        <stp>BDH|17832920314881181183</stp>
        <tr r="M39" s="21"/>
      </tp>
      <tp t="e">
        <v>#N/A</v>
        <stp/>
        <stp>BDH|16646354331748404117</stp>
        <tr r="G71" s="12"/>
      </tp>
      <tp t="e">
        <v>#N/A</v>
        <stp/>
        <stp>BDH|16301439452861717920</stp>
        <tr r="D46" s="17"/>
      </tp>
      <tp t="e">
        <v>#N/A</v>
        <stp/>
        <stp>BDH|10275624677257171916</stp>
        <tr r="AA125" s="18"/>
      </tp>
      <tp t="e">
        <v>#N/A</v>
        <stp/>
        <stp>BDH|10071431280645126652</stp>
        <tr r="Y41" s="12"/>
      </tp>
      <tp t="e">
        <v>#N/A</v>
        <stp/>
        <stp>BDH|12919188596942769776</stp>
        <tr r="J25" s="12"/>
      </tp>
      <tp t="e">
        <v>#N/A</v>
        <stp/>
        <stp>BDH|15562361540324769935</stp>
        <tr r="N7" s="27"/>
        <tr r="N94" s="17"/>
      </tp>
      <tp t="e">
        <v>#N/A</v>
        <stp/>
        <stp>BDH|16594928592738335112</stp>
        <tr r="C47" s="34"/>
      </tp>
      <tp t="e">
        <v>#N/A</v>
        <stp/>
        <stp>BDH|14541818324825550426</stp>
        <tr r="V26" s="26"/>
      </tp>
      <tp t="e">
        <v>#N/A</v>
        <stp/>
        <stp>BDH|13138892637882064588</stp>
        <tr r="X84" s="12"/>
      </tp>
      <tp t="e">
        <v>#N/A</v>
        <stp/>
        <stp>BDH|15284045650858205732</stp>
        <tr r="T61" s="24"/>
      </tp>
      <tp t="e">
        <v>#N/A</v>
        <stp/>
        <stp>BDH|18077239971005484710</stp>
        <tr r="I12" s="21"/>
      </tp>
      <tp t="e">
        <v>#N/A</v>
        <stp/>
        <stp>BDH|12103564630079960294</stp>
        <tr r="M42" s="17"/>
      </tp>
      <tp t="e">
        <v>#N/A</v>
        <stp/>
        <stp>BDH|12967786393663647037</stp>
        <tr r="H162" s="18"/>
      </tp>
      <tp t="e">
        <v>#N/A</v>
        <stp/>
        <stp>BDH|14156227831593203972</stp>
        <tr r="X23" s="22"/>
      </tp>
      <tp t="e">
        <v>#N/A</v>
        <stp/>
        <stp>BDH|16974215997612098089</stp>
        <tr r="W15" s="22"/>
      </tp>
      <tp t="e">
        <v>#N/A</v>
        <stp/>
        <stp>BDH|15750227248615382998</stp>
        <tr r="T53" s="22"/>
      </tp>
      <tp t="e">
        <v>#N/A</v>
        <stp/>
        <stp>BDH|13538710441997093838</stp>
        <tr r="E25" s="5"/>
      </tp>
      <tp t="e">
        <v>#N/A</v>
        <stp/>
        <stp>BDH|10652861817907665171</stp>
        <tr r="C8" s="10"/>
      </tp>
      <tp t="e">
        <v>#N/A</v>
        <stp/>
        <stp>BDH|10512778744069263525</stp>
        <tr r="H20" s="28"/>
        <tr r="H17" s="17"/>
      </tp>
      <tp t="e">
        <v>#N/A</v>
        <stp/>
        <stp>BDH|11422138345063107850</stp>
        <tr r="X45" s="24"/>
      </tp>
      <tp t="e">
        <v>#N/A</v>
        <stp/>
        <stp>BDH|11403239997407326256</stp>
        <tr r="N13" s="34"/>
      </tp>
      <tp t="e">
        <v>#N/A</v>
        <stp/>
        <stp>BDH|11870603791098887975</stp>
        <tr r="N10" s="34"/>
      </tp>
      <tp t="e">
        <v>#N/A</v>
        <stp/>
        <stp>BDH|15898795599096971272</stp>
        <tr r="F77" s="18"/>
      </tp>
      <tp t="e">
        <v>#N/A</v>
        <stp/>
        <stp>BDH|12478538887157564731</stp>
        <tr r="G19" s="34"/>
      </tp>
      <tp t="e">
        <v>#N/A</v>
        <stp/>
        <stp>BDH|17944960609538401948</stp>
        <tr r="H66" s="10"/>
      </tp>
      <tp t="e">
        <v>#N/A</v>
        <stp/>
        <stp>BDH|14716969907261319333</stp>
        <tr r="Q79" s="18"/>
      </tp>
      <tp t="e">
        <v>#N/A</v>
        <stp/>
        <stp>BDH|15580927718406943400</stp>
        <tr r="F63" s="24"/>
      </tp>
      <tp t="e">
        <v>#N/A</v>
        <stp/>
        <stp>BDH|11481577771585743930</stp>
        <tr r="T6" s="28"/>
      </tp>
      <tp t="e">
        <v>#N/A</v>
        <stp/>
        <stp>BDH|11775109185780039744</stp>
        <tr r="R8" s="21"/>
      </tp>
      <tp t="e">
        <v>#N/A</v>
        <stp/>
        <stp>BDH|15499908233491399121</stp>
        <tr r="Y24" s="17"/>
      </tp>
      <tp t="e">
        <v>#N/A</v>
        <stp/>
        <stp>BDH|16863150080092937229</stp>
        <tr r="Q9" s="18"/>
      </tp>
      <tp t="e">
        <v>#N/A</v>
        <stp/>
        <stp>BDH|12194221676520539862</stp>
        <tr r="N44" s="24"/>
      </tp>
      <tp t="e">
        <v>#N/A</v>
        <stp/>
        <stp>BDH|13281474831749609247</stp>
        <tr r="G82" s="18"/>
      </tp>
      <tp t="e">
        <v>#N/A</v>
        <stp/>
        <stp>BDH|18123704214919003833</stp>
        <tr r="I157" s="18"/>
      </tp>
      <tp t="e">
        <v>#N/A</v>
        <stp/>
        <stp>BDH|16332000792168109861</stp>
        <tr r="E45" s="21"/>
      </tp>
      <tp t="e">
        <v>#N/A</v>
        <stp/>
        <stp>BDH|17061246029951280992</stp>
        <tr r="I16" s="28"/>
        <tr r="I13" s="17"/>
      </tp>
      <tp t="e">
        <v>#N/A</v>
        <stp/>
        <stp>BDH|12605748283927469535</stp>
        <tr r="S44" s="18"/>
      </tp>
      <tp t="e">
        <v>#N/A</v>
        <stp/>
        <stp>BDH|13719337777339425115</stp>
        <tr r="T87" s="18"/>
      </tp>
      <tp t="e">
        <v>#N/A</v>
        <stp/>
        <stp>BDH|14434177338620892959</stp>
        <tr r="Y83" s="18"/>
      </tp>
      <tp t="e">
        <v>#N/A</v>
        <stp/>
        <stp>BDH|11812293993652550710</stp>
        <tr r="V57" s="11"/>
        <tr r="V24" s="4"/>
      </tp>
      <tp t="e">
        <v>#N/A</v>
        <stp/>
        <stp>BDH|14424836569396926315</stp>
        <tr r="C18" s="23"/>
      </tp>
      <tp t="e">
        <v>#N/A</v>
        <stp/>
        <stp>BDH|11755133985101377640</stp>
        <tr r="H26" s="6"/>
      </tp>
      <tp t="e">
        <v>#N/A</v>
        <stp/>
        <stp>BDH|10284841151860519247</stp>
        <tr r="R9" s="20"/>
        <tr r="R115" s="18"/>
      </tp>
      <tp t="e">
        <v>#N/A</v>
        <stp/>
        <stp>BDH|11328366435366210841</stp>
        <tr r="D48" s="21"/>
      </tp>
      <tp t="e">
        <v>#N/A</v>
        <stp/>
        <stp>BDH|11546661615409925094</stp>
        <tr r="R30" s="34"/>
      </tp>
      <tp t="e">
        <v>#N/A</v>
        <stp/>
        <stp>BDH|17966823993781603884</stp>
        <tr r="X10" s="26"/>
      </tp>
      <tp t="e">
        <v>#N/A</v>
        <stp/>
        <stp>BDH|16044267785796536502</stp>
        <tr r="H22" s="12"/>
      </tp>
      <tp t="e">
        <v>#N/A</v>
        <stp/>
        <stp>BDH|16184814716490645069</stp>
        <tr r="H63" s="18"/>
      </tp>
      <tp t="e">
        <v>#N/A</v>
        <stp/>
        <stp>BDH|17025458491364696145</stp>
        <tr r="G24" s="21"/>
      </tp>
      <tp t="e">
        <v>#N/A</v>
        <stp/>
        <stp>BDH|15043716405808165539</stp>
        <tr r="V34" s="12"/>
      </tp>
      <tp t="e">
        <v>#N/A</v>
        <stp/>
        <stp>BDH|11422966185276809992</stp>
        <tr r="I49" s="17"/>
      </tp>
      <tp t="e">
        <v>#N/A</v>
        <stp/>
        <stp>BDH|17209330513933443909</stp>
        <tr r="S27" s="11"/>
        <tr r="S38" s="10"/>
      </tp>
      <tp t="e">
        <v>#N/A</v>
        <stp/>
        <stp>BDH|14445935016521466236</stp>
        <tr r="G84" s="12"/>
      </tp>
      <tp t="e">
        <v>#N/A</v>
        <stp/>
        <stp>BDH|18340031580716314957</stp>
        <tr r="K30" s="9"/>
      </tp>
      <tp t="e">
        <v>#N/A</v>
        <stp/>
        <stp>BDH|11410465464374870884</stp>
        <tr r="W7" s="23"/>
      </tp>
      <tp t="e">
        <v>#N/A</v>
        <stp/>
        <stp>BDH|15972874424017690751</stp>
        <tr r="S11" s="21"/>
      </tp>
      <tp t="e">
        <v>#N/A</v>
        <stp/>
        <stp>BDH|15681897064010519477</stp>
        <tr r="M30" s="9"/>
      </tp>
      <tp t="e">
        <v>#N/A</v>
        <stp/>
        <stp>BDH|15153755405688168599</stp>
        <tr r="P23" s="20"/>
      </tp>
      <tp t="e">
        <v>#N/A</v>
        <stp/>
        <stp>BDH|11474411707708909229</stp>
        <tr r="F65" s="24"/>
      </tp>
      <tp t="e">
        <v>#N/A</v>
        <stp/>
        <stp>BDH|17396590442048745165</stp>
        <tr r="J27" s="26"/>
      </tp>
      <tp t="e">
        <v>#N/A</v>
        <stp/>
        <stp>BDH|12014033926066442989</stp>
        <tr r="G20" s="23"/>
      </tp>
      <tp t="e">
        <v>#N/A</v>
        <stp/>
        <stp>BDH|10099460795334309695</stp>
        <tr r="S68" s="17"/>
      </tp>
      <tp t="e">
        <v>#N/A</v>
        <stp/>
        <stp>BDH|15306198424710322942</stp>
        <tr r="V10" s="13"/>
      </tp>
      <tp t="e">
        <v>#N/A</v>
        <stp/>
        <stp>BDH|18294641513881895147</stp>
        <tr r="R64" s="13"/>
      </tp>
      <tp t="e">
        <v>#N/A</v>
        <stp/>
        <stp>BDH|10315728276618641785</stp>
        <tr r="P10" s="18"/>
      </tp>
      <tp t="e">
        <v>#N/A</v>
        <stp/>
        <stp>BDH|15780467501206822811</stp>
        <tr r="N10" s="21"/>
      </tp>
      <tp t="e">
        <v>#N/A</v>
        <stp/>
        <stp>BDH|10400498352678209642</stp>
        <tr r="M56" s="6"/>
      </tp>
      <tp t="e">
        <v>#N/A</v>
        <stp/>
        <stp>BDH|14148451158382534809</stp>
        <tr r="N11" s="24"/>
      </tp>
      <tp t="e">
        <v>#N/A</v>
        <stp/>
        <stp>BDH|15977309593479021934</stp>
        <tr r="S63" s="17"/>
      </tp>
      <tp t="e">
        <v>#N/A</v>
        <stp/>
        <stp>BDH|16956889424251865244</stp>
        <tr r="O30" s="14"/>
      </tp>
      <tp t="e">
        <v>#N/A</v>
        <stp/>
        <stp>BDH|11164122998713349514</stp>
        <tr r="E32" s="12"/>
      </tp>
      <tp t="e">
        <v>#N/A</v>
        <stp/>
        <stp>BDH|13044680794681527201</stp>
        <tr r="H64" s="18"/>
      </tp>
      <tp t="e">
        <v>#N/A</v>
        <stp/>
        <stp>BDH|15995327369479834638</stp>
        <tr r="Y41" s="26"/>
      </tp>
      <tp t="e">
        <v>#N/A</v>
        <stp/>
        <stp>BDH|17993061437912935983</stp>
        <tr r="Q137" s="18"/>
      </tp>
      <tp t="e">
        <v>#N/A</v>
        <stp/>
        <stp>BDH|12028707190295822614</stp>
        <tr r="Z13" s="13"/>
      </tp>
      <tp t="e">
        <v>#N/A</v>
        <stp/>
        <stp>BDH|17210841688961589921</stp>
        <tr r="P18" s="22"/>
      </tp>
      <tp t="e">
        <v>#N/A</v>
        <stp/>
        <stp>BDH|13952897801372927613</stp>
        <tr r="X7" s="27"/>
        <tr r="X94" s="17"/>
      </tp>
      <tp t="e">
        <v>#N/A</v>
        <stp/>
        <stp>BDH|15011571731219876575</stp>
        <tr r="V21" s="21"/>
      </tp>
      <tp t="e">
        <v>#N/A</v>
        <stp/>
        <stp>BDH|13403196595296570244</stp>
        <tr r="J120" s="18"/>
      </tp>
      <tp t="e">
        <v>#N/A</v>
        <stp/>
        <stp>BDH|12246317288113675542</stp>
        <tr r="W19" s="25"/>
      </tp>
      <tp t="e">
        <v>#N/A</v>
        <stp/>
        <stp>BDH|13717990897338072403</stp>
        <tr r="V42" s="25"/>
      </tp>
      <tp t="e">
        <v>#N/A</v>
        <stp/>
        <stp>BDH|12717197022758067651</stp>
        <tr r="I66" s="13"/>
      </tp>
      <tp t="e">
        <v>#N/A</v>
        <stp/>
        <stp>BDH|13067733604359683288</stp>
        <tr r="U15" s="22"/>
      </tp>
      <tp t="e">
        <v>#N/A</v>
        <stp/>
        <stp>BDH|16652987723013053141</stp>
        <tr r="D66" s="17"/>
      </tp>
      <tp t="e">
        <v>#N/A</v>
        <stp/>
        <stp>BDH|11965125356003345971</stp>
        <tr r="J16" s="25"/>
      </tp>
      <tp t="e">
        <v>#N/A</v>
        <stp/>
        <stp>BDH|15719045927129871157</stp>
        <tr r="P24" s="6"/>
      </tp>
      <tp t="e">
        <v>#N/A</v>
        <stp/>
        <stp>BDH|17538622194011997623</stp>
        <tr r="C20" s="18"/>
      </tp>
      <tp t="e">
        <v>#N/A</v>
        <stp/>
        <stp>BDH|13971973282304159958</stp>
        <tr r="K13" s="18"/>
      </tp>
      <tp t="e">
        <v>#N/A</v>
        <stp/>
        <stp>BDH|14458394813320705918</stp>
        <tr r="G26" s="7"/>
      </tp>
      <tp t="e">
        <v>#N/A</v>
        <stp/>
        <stp>BDH|10723539178188000543</stp>
        <tr r="N20" s="14"/>
      </tp>
      <tp t="e">
        <v>#N/A</v>
        <stp/>
        <stp>BDH|13640349621025943820</stp>
        <tr r="M43" s="29"/>
      </tp>
      <tp t="e">
        <v>#N/A</v>
        <stp/>
        <stp>BDH|13390872144125001583</stp>
        <tr r="O42" s="21"/>
      </tp>
      <tp t="e">
        <v>#N/A</v>
        <stp/>
        <stp>BDH|16178922108724426478</stp>
        <tr r="X43" s="12"/>
      </tp>
      <tp t="e">
        <v>#N/A</v>
        <stp/>
        <stp>BDH|14455987810784456708</stp>
        <tr r="U19" s="13"/>
        <tr r="S65" s="10"/>
        <tr r="S16" s="2"/>
        <tr r="S32" s="4"/>
      </tp>
      <tp t="e">
        <v>#N/A</v>
        <stp/>
        <stp>BDH|16125087491329297920</stp>
        <tr r="G12" s="26"/>
      </tp>
      <tp t="e">
        <v>#N/A</v>
        <stp/>
        <stp>BDH|15705887680748488236</stp>
        <tr r="Q38" s="26"/>
      </tp>
      <tp t="e">
        <v>#N/A</v>
        <stp/>
        <stp>BDH|10597505776574273990</stp>
        <tr r="C132" s="18"/>
      </tp>
      <tp t="e">
        <v>#N/A</v>
        <stp/>
        <stp>BDH|10967708793762070323</stp>
        <tr r="C16" s="24"/>
      </tp>
      <tp t="e">
        <v>#N/A</v>
        <stp/>
        <stp>BDH|10076677825932350990</stp>
        <tr r="J15" s="11"/>
      </tp>
      <tp t="e">
        <v>#N/A</v>
        <stp/>
        <stp>BDH|17877537597905403105</stp>
        <tr r="W24" s="11"/>
        <tr r="W35" s="10"/>
      </tp>
      <tp t="e">
        <v>#N/A</v>
        <stp/>
        <stp>BDH|13093790425918284164</stp>
        <tr r="P38" s="25"/>
        <tr r="P92" s="17"/>
      </tp>
      <tp t="e">
        <v>#N/A</v>
        <stp/>
        <stp>BDH|13590330935725343989</stp>
        <tr r="T63" s="18"/>
      </tp>
      <tp t="e">
        <v>#N/A</v>
        <stp/>
        <stp>BDH|11665521295532804011</stp>
        <tr r="L32" s="13"/>
        <tr r="J25" s="10"/>
      </tp>
      <tp t="e">
        <v>#N/A</v>
        <stp/>
        <stp>BDH|17539632915657228897</stp>
        <tr r="R10" s="11"/>
      </tp>
      <tp t="e">
        <v>#N/A</v>
        <stp/>
        <stp>BDH|18071256423065874264</stp>
        <tr r="S48" s="6"/>
      </tp>
      <tp t="e">
        <v>#N/A</v>
        <stp/>
        <stp>BDH|18192234254128685886</stp>
        <tr r="C35" s="22"/>
      </tp>
      <tp t="e">
        <v>#N/A</v>
        <stp/>
        <stp>BDH|10058702224983468989</stp>
        <tr r="C66" s="18"/>
      </tp>
      <tp t="e">
        <v>#N/A</v>
        <stp/>
        <stp>BDH|13662113262458933343</stp>
        <tr r="V22" s="12"/>
      </tp>
      <tp t="e">
        <v>#N/A</v>
        <stp/>
        <stp>BDH|14105115219413367826</stp>
        <tr r="R11" s="30"/>
      </tp>
      <tp t="e">
        <v>#N/A</v>
        <stp/>
        <stp>BDH|16478281487412656150</stp>
        <tr r="C62" s="12"/>
      </tp>
      <tp t="e">
        <v>#N/A</v>
        <stp/>
        <stp>BDH|16694511599120394557</stp>
        <tr r="C15" s="26"/>
      </tp>
      <tp t="e">
        <v>#N/A</v>
        <stp/>
        <stp>BDH|13885987328812807580</stp>
        <tr r="V31" s="13"/>
        <tr r="T23" s="11"/>
        <tr r="T34" s="10"/>
        <tr r="T45" s="4"/>
      </tp>
      <tp t="e">
        <v>#N/A</v>
        <stp/>
        <stp>BDH|11672917176094150483</stp>
        <tr r="C134" s="18"/>
      </tp>
      <tp t="e">
        <v>#N/A</v>
        <stp/>
        <stp>BDH|11336987705326266144</stp>
        <tr r="K50" s="22"/>
      </tp>
      <tp t="e">
        <v>#N/A</v>
        <stp/>
        <stp>BDH|10463487090420300270</stp>
        <tr r="M47" s="22"/>
      </tp>
      <tp t="e">
        <v>#N/A</v>
        <stp/>
        <stp>BDH|15691110703933564893</stp>
        <tr r="X24" s="13"/>
      </tp>
      <tp t="e">
        <v>#N/A</v>
        <stp/>
        <stp>BDH|11184943148336196544</stp>
        <tr r="R71" s="18"/>
      </tp>
      <tp t="e">
        <v>#N/A</v>
        <stp/>
        <stp>BDH|11577590215203131902</stp>
        <tr r="P22" s="20"/>
      </tp>
      <tp t="e">
        <v>#N/A</v>
        <stp/>
        <stp>BDH|15980301026708025346</stp>
        <tr r="Q44" s="18"/>
      </tp>
      <tp t="e">
        <v>#N/A</v>
        <stp/>
        <stp>BDH|15906370681507084647</stp>
        <tr r="L71" s="13"/>
      </tp>
      <tp t="e">
        <v>#N/A</v>
        <stp/>
        <stp>BDH|14330097884151550209</stp>
        <tr r="S80" s="17"/>
      </tp>
      <tp t="e">
        <v>#N/A</v>
        <stp/>
        <stp>BDH|14467361661938037684</stp>
        <tr r="C151" s="18"/>
      </tp>
      <tp t="e">
        <v>#N/A</v>
        <stp/>
        <stp>BDH|12336229838454466860</stp>
        <tr r="Y79" s="12"/>
      </tp>
      <tp t="e">
        <v>#N/A</v>
        <stp/>
        <stp>BDH|14562897831209527939</stp>
        <tr r="AA44" s="13"/>
        <tr r="Y36" s="11"/>
        <tr r="Y47" s="10"/>
        <tr r="AA8" s="3"/>
        <tr r="Y52" s="4"/>
      </tp>
      <tp t="e">
        <v>#N/A</v>
        <stp/>
        <stp>BDH|16569698605009542672</stp>
        <tr r="N11" s="21"/>
      </tp>
      <tp t="e">
        <v>#N/A</v>
        <stp/>
        <stp>BDH|10682225426358078791</stp>
        <tr r="S68" s="13"/>
      </tp>
      <tp t="e">
        <v>#N/A</v>
        <stp/>
        <stp>BDH|14844798238037322816</stp>
        <tr r="O28" s="11"/>
        <tr r="O40" s="11"/>
        <tr r="O51" s="10"/>
        <tr r="O39" s="10"/>
      </tp>
      <tp t="e">
        <v>#N/A</v>
        <stp/>
        <stp>BDH|14653139602518403286</stp>
        <tr r="C23" s="25"/>
      </tp>
      <tp t="e">
        <v>#N/A</v>
        <stp/>
        <stp>BDH|15582874638103539243</stp>
        <tr r="G22" s="10"/>
      </tp>
      <tp t="e">
        <v>#N/A</v>
        <stp/>
        <stp>BDH|18248912386807861165</stp>
        <tr r="W49" s="18"/>
      </tp>
      <tp t="e">
        <v>#N/A</v>
        <stp/>
        <stp>BDH|18375469516240873207</stp>
        <tr r="H109" s="18"/>
      </tp>
      <tp t="e">
        <v>#N/A</v>
        <stp/>
        <stp>BDH|15670965528634301507</stp>
        <tr r="J18" s="14"/>
      </tp>
      <tp t="e">
        <v>#N/A</v>
        <stp/>
        <stp>BDH|14100873977234205080</stp>
        <tr r="L48" s="21"/>
      </tp>
      <tp t="e">
        <v>#N/A</v>
        <stp/>
        <stp>BDH|16422657803847045898</stp>
        <tr r="U49" s="6"/>
      </tp>
      <tp t="e">
        <v>#N/A</v>
        <stp/>
        <stp>BDH|11476893530647557236</stp>
        <tr r="J42" s="17"/>
      </tp>
      <tp t="e">
        <v>#N/A</v>
        <stp/>
        <stp>BDH|16965602086803594413</stp>
        <tr r="V45" s="24"/>
      </tp>
      <tp t="e">
        <v>#N/A</v>
        <stp/>
        <stp>BDH|11438184983316650127</stp>
        <tr r="M18" s="27"/>
        <tr r="M36" s="25"/>
      </tp>
      <tp t="e">
        <v>#N/A</v>
        <stp/>
        <stp>BDH|14088327791644894505</stp>
        <tr r="X33" s="5"/>
      </tp>
      <tp t="e">
        <v>#N/A</v>
        <stp/>
        <stp>BDH|14491488457802448849</stp>
        <tr r="R16" s="10"/>
      </tp>
      <tp t="e">
        <v>#N/A</v>
        <stp/>
        <stp>BDH|10324832918534100221</stp>
        <tr r="W17" s="22"/>
      </tp>
      <tp t="e">
        <v>#N/A</v>
        <stp/>
        <stp>BDH|17500324528700099951</stp>
        <tr r="I13" s="11"/>
      </tp>
      <tp t="e">
        <v>#N/A</v>
        <stp/>
        <stp>BDH|14632433574248883031</stp>
        <tr r="S47" s="11"/>
        <tr r="S58" s="10"/>
        <tr r="S7" s="7"/>
        <tr r="U12" s="3"/>
      </tp>
      <tp t="e">
        <v>#N/A</v>
        <stp/>
        <stp>BDH|17466494316295329828</stp>
        <tr r="H35" s="24"/>
      </tp>
      <tp t="e">
        <v>#N/A</v>
        <stp/>
        <stp>BDH|15762897070855498009</stp>
        <tr r="W18" s="23"/>
      </tp>
      <tp t="e">
        <v>#N/A</v>
        <stp/>
        <stp>BDH|10580724791042956350</stp>
        <tr r="W44" s="21"/>
      </tp>
      <tp t="e">
        <v>#N/A</v>
        <stp/>
        <stp>BDH|11297606589523511343</stp>
        <tr r="V29" s="6"/>
      </tp>
      <tp t="e">
        <v>#N/A</v>
        <stp/>
        <stp>BDH|12298580005440477815</stp>
        <tr r="U13" s="34"/>
      </tp>
      <tp t="e">
        <v>#N/A</v>
        <stp/>
        <stp>BDH|14214091713823376910</stp>
        <tr r="N68" s="24"/>
      </tp>
      <tp t="e">
        <v>#N/A</v>
        <stp/>
        <stp>BDH|18416398310712662716</stp>
        <tr r="S23" s="5"/>
        <tr r="S21" s="9"/>
      </tp>
      <tp t="e">
        <v>#N/A</v>
        <stp/>
        <stp>BDH|11405685385992443275</stp>
        <tr r="N128" s="18"/>
      </tp>
      <tp t="e">
        <v>#N/A</v>
        <stp/>
        <stp>BDH|13618648903153938926</stp>
        <tr r="Y31" s="11"/>
        <tr r="Y42" s="10"/>
      </tp>
      <tp t="e">
        <v>#N/A</v>
        <stp/>
        <stp>BDH|13175082648040991821</stp>
        <tr r="L33" s="18"/>
      </tp>
      <tp t="e">
        <v>#N/A</v>
        <stp/>
        <stp>BDH|11715672932239151298</stp>
        <tr r="U48" s="17"/>
      </tp>
      <tp t="e">
        <v>#N/A</v>
        <stp/>
        <stp>BDH|16874929719371061097</stp>
        <tr r="C49" s="6"/>
      </tp>
      <tp t="e">
        <v>#N/A</v>
        <stp/>
        <stp>BDH|14665849809601039218</stp>
        <tr r="Z61" s="13"/>
      </tp>
      <tp t="e">
        <v>#N/A</v>
        <stp/>
        <stp>BDH|18337716828273273121</stp>
        <tr r="D50" s="34"/>
      </tp>
      <tp t="e">
        <v>#N/A</v>
        <stp/>
        <stp>BDH|18392194760748187813</stp>
        <tr r="K121" s="18"/>
      </tp>
      <tp t="e">
        <v>#N/A</v>
        <stp/>
        <stp>BDH|14495628407599818434</stp>
        <tr r="L76" s="17"/>
      </tp>
      <tp t="e">
        <v>#N/A</v>
        <stp/>
        <stp>BDH|11355976317390862611</stp>
        <tr r="K67" s="24"/>
      </tp>
      <tp t="e">
        <v>#N/A</v>
        <stp/>
        <stp>BDH|11883629245508709423</stp>
        <tr r="M33" s="21"/>
      </tp>
      <tp t="e">
        <v>#N/A</v>
        <stp/>
        <stp>BDH|14063966912512803162</stp>
        <tr r="F36" s="12"/>
      </tp>
      <tp t="e">
        <v>#N/A</v>
        <stp/>
        <stp>BDH|14292707294627895246</stp>
        <tr r="F131" s="18"/>
      </tp>
      <tp t="e">
        <v>#N/A</v>
        <stp/>
        <stp>BDH|13957047083922540619</stp>
        <tr r="Q41" s="18"/>
      </tp>
      <tp t="e">
        <v>#N/A</v>
        <stp/>
        <stp>BDH|14940263134642551842</stp>
        <tr r="H49" s="4"/>
      </tp>
      <tp t="e">
        <v>#N/A</v>
        <stp/>
        <stp>BDH|11973030983504259211</stp>
        <tr r="C71" s="24"/>
      </tp>
      <tp t="e">
        <v>#N/A</v>
        <stp/>
        <stp>BDH|17275111693519816927</stp>
        <tr r="I36" s="12"/>
      </tp>
      <tp t="e">
        <v>#N/A</v>
        <stp/>
        <stp>BDH|14818448536188784475</stp>
        <tr r="W45" s="17"/>
      </tp>
      <tp t="e">
        <v>#N/A</v>
        <stp/>
        <stp>BDH|17059867678165346273</stp>
        <tr r="D31" s="24"/>
      </tp>
      <tp t="e">
        <v>#N/A</v>
        <stp/>
        <stp>BDH|13389837024980978675</stp>
        <tr r="R132" s="18"/>
      </tp>
      <tp t="e">
        <v>#N/A</v>
        <stp/>
        <stp>BDH|18135344918202414730</stp>
        <tr r="AA21" s="30"/>
      </tp>
      <tp t="e">
        <v>#N/A</v>
        <stp/>
        <stp>BDH|16834942455886248319</stp>
        <tr r="K54" s="13"/>
      </tp>
      <tp t="e">
        <v>#N/A</v>
        <stp/>
        <stp>BDH|18237306000221646599</stp>
        <tr r="X19" s="22"/>
      </tp>
      <tp t="e">
        <v>#N/A</v>
        <stp/>
        <stp>BDH|11268076587280881673</stp>
        <tr r="Y11" s="13"/>
      </tp>
      <tp t="e">
        <v>#N/A</v>
        <stp/>
        <stp>BDH|15858256721892772865</stp>
        <tr r="X102" s="18"/>
      </tp>
      <tp t="e">
        <v>#N/A</v>
        <stp/>
        <stp>BDH|13602288695103204440</stp>
        <tr r="V35" s="21"/>
      </tp>
      <tp t="e">
        <v>#N/A</v>
        <stp/>
        <stp>BDH|14239803155087902139</stp>
        <tr r="J110" s="18"/>
      </tp>
      <tp t="e">
        <v>#N/A</v>
        <stp/>
        <stp>BDH|17246020241929954551</stp>
        <tr r="L9" s="25"/>
        <tr r="L44" s="17"/>
      </tp>
      <tp t="e">
        <v>#N/A</v>
        <stp/>
        <stp>BDH|13485597055419708523</stp>
        <tr r="Y11" s="14"/>
      </tp>
      <tp t="e">
        <v>#N/A</v>
        <stp/>
        <stp>BDH|15577905318280774278</stp>
        <tr r="C152" s="18"/>
      </tp>
      <tp t="e">
        <v>#N/A</v>
        <stp/>
        <stp>BDH|14027431498880741610</stp>
        <tr r="K41" s="25"/>
        <tr r="K59" s="21"/>
        <tr r="I54" s="11"/>
        <tr r="I31" s="4"/>
      </tp>
      <tp t="e">
        <v>#N/A</v>
        <stp/>
        <stp>BDH|11123224409798184467</stp>
        <tr r="H32" s="17"/>
      </tp>
      <tp t="e">
        <v>#N/A</v>
        <stp/>
        <stp>BDH|16659677319388188647</stp>
        <tr r="Z130" s="18"/>
      </tp>
      <tp t="e">
        <v>#N/A</v>
        <stp/>
        <stp>BDH|16704350594260953329</stp>
        <tr r="U10" s="8"/>
        <tr r="S53" s="6"/>
      </tp>
      <tp t="e">
        <v>#N/A</v>
        <stp/>
        <stp>BDH|13754560790205591590</stp>
        <tr r="C23" s="30"/>
        <tr r="C25" s="23"/>
      </tp>
      <tp t="e">
        <v>#N/A</v>
        <stp/>
        <stp>BDH|15249615485752267693</stp>
        <tr r="D85" s="17"/>
      </tp>
      <tp t="e">
        <v>#N/A</v>
        <stp/>
        <stp>BDH|15804336576389636765</stp>
        <tr r="Z60" s="18"/>
      </tp>
      <tp t="e">
        <v>#N/A</v>
        <stp/>
        <stp>BDH|13255252538425576877</stp>
        <tr r="C85" s="17"/>
      </tp>
      <tp t="e">
        <v>#N/A</v>
        <stp/>
        <stp>BDH|10388790664906719843</stp>
        <tr r="V79" s="17"/>
        <tr r="V19" s="3"/>
      </tp>
      <tp t="e">
        <v>#N/A</v>
        <stp/>
        <stp>BDH|11305165324484408982</stp>
        <tr r="T8" s="25"/>
        <tr r="R9" s="2"/>
        <tr r="Q10" s="5"/>
      </tp>
      <tp t="e">
        <v>#N/A</v>
        <stp/>
        <stp>BDH|13836516280009644822</stp>
        <tr r="D34" s="29"/>
      </tp>
      <tp t="e">
        <v>#N/A</v>
        <stp/>
        <stp>BDH|14956962779135852031</stp>
        <tr r="R15" s="14"/>
      </tp>
      <tp t="e">
        <v>#N/A</v>
        <stp/>
        <stp>BDH|12506782637149358047</stp>
        <tr r="Y43" s="21"/>
      </tp>
      <tp t="e">
        <v>#N/A</v>
        <stp/>
        <stp>BDH|11623181963259511051</stp>
        <tr r="K160" s="18"/>
      </tp>
      <tp t="e">
        <v>#N/A</v>
        <stp/>
        <stp>BDH|11857677082561519157</stp>
        <tr r="V8" s="6"/>
      </tp>
      <tp t="e">
        <v>#N/A</v>
        <stp/>
        <stp>BDH|10356896335797100333</stp>
        <tr r="Y39" s="25"/>
      </tp>
      <tp t="e">
        <v>#N/A</v>
        <stp/>
        <stp>BDH|13758383593440357620</stp>
        <tr r="E21" s="24"/>
      </tp>
      <tp t="e">
        <v>#N/A</v>
        <stp/>
        <stp>BDH|12967181242658834065</stp>
        <tr r="R16" s="20"/>
      </tp>
      <tp t="e">
        <v>#N/A</v>
        <stp/>
        <stp>BDH|17968371250169771747</stp>
        <tr r="M71" s="10"/>
      </tp>
      <tp t="e">
        <v>#N/A</v>
        <stp/>
        <stp>BDH|16858322691066707513</stp>
        <tr r="I88" s="18"/>
      </tp>
      <tp t="e">
        <v>#N/A</v>
        <stp/>
        <stp>BDH|12857755965378540403</stp>
        <tr r="M45" s="22"/>
      </tp>
      <tp t="e">
        <v>#N/A</v>
        <stp/>
        <stp>BDH|17810665809009803720</stp>
        <tr r="K21" s="4"/>
      </tp>
      <tp t="e">
        <v>#N/A</v>
        <stp/>
        <stp>BDH|17561107128208414346</stp>
        <tr r="W58" s="18"/>
      </tp>
      <tp t="e">
        <v>#N/A</v>
        <stp/>
        <stp>BDH|17678564192323758781</stp>
        <tr r="M13" s="2"/>
      </tp>
      <tp t="e">
        <v>#N/A</v>
        <stp/>
        <stp>BDH|15226487887211390724</stp>
        <tr r="K26" s="12"/>
      </tp>
      <tp t="e">
        <v>#N/A</v>
        <stp/>
        <stp>BDH|14418628187533874651</stp>
        <tr r="D31" s="29"/>
      </tp>
      <tp t="e">
        <v>#N/A</v>
        <stp/>
        <stp>BDH|16021859743322204782</stp>
        <tr r="S150" s="18"/>
      </tp>
      <tp t="e">
        <v>#N/A</v>
        <stp/>
        <stp>BDH|12569406373399380791</stp>
        <tr r="X93" s="17"/>
      </tp>
      <tp t="e">
        <v>#N/A</v>
        <stp/>
        <stp>BDH|11592183687374351356</stp>
        <tr r="S40" s="11"/>
        <tr r="S28" s="11"/>
        <tr r="S39" s="10"/>
        <tr r="S51" s="10"/>
      </tp>
      <tp t="e">
        <v>#N/A</v>
        <stp/>
        <stp>BDH|10144792763386394844</stp>
        <tr r="I12" s="10"/>
      </tp>
      <tp t="e">
        <v>#N/A</v>
        <stp/>
        <stp>BDH|15126400458059322268</stp>
        <tr r="E62" s="17"/>
      </tp>
      <tp t="e">
        <v>#N/A</v>
        <stp/>
        <stp>BDH|15887876773574608165</stp>
        <tr r="Q36" s="22"/>
      </tp>
      <tp t="e">
        <v>#N/A</v>
        <stp/>
        <stp>BDH|13482578293298486887</stp>
        <tr r="U50" s="17"/>
      </tp>
      <tp t="e">
        <v>#N/A</v>
        <stp/>
        <stp>BDH|16959824616439893991</stp>
        <tr r="O41" s="34"/>
      </tp>
      <tp t="e">
        <v>#N/A</v>
        <stp/>
        <stp>BDH|14289378133943817825</stp>
        <tr r="R6" s="16"/>
        <tr r="S6" s="11"/>
        <tr r="S10" s="4"/>
        <tr r="U6" s="3"/>
      </tp>
      <tp t="e">
        <v>#N/A</v>
        <stp/>
        <stp>BDH|14188920406967824510</stp>
        <tr r="X62" s="21"/>
      </tp>
      <tp t="e">
        <v>#N/A</v>
        <stp/>
        <stp>BDH|16227497857989170118</stp>
        <tr r="C26" s="6"/>
      </tp>
      <tp t="e">
        <v>#N/A</v>
        <stp/>
        <stp>BDH|15432643217498350583</stp>
        <tr r="D21" s="22"/>
      </tp>
      <tp t="e">
        <v>#N/A</v>
        <stp/>
        <stp>BDH|14030672968433232814</stp>
        <tr r="W12" s="20"/>
        <tr r="W117" s="18"/>
      </tp>
      <tp t="e">
        <v>#N/A</v>
        <stp/>
        <stp>BDH|10043975087488848643</stp>
        <tr r="Q29" s="9"/>
      </tp>
      <tp t="e">
        <v>#N/A</v>
        <stp/>
        <stp>BDH|15082557702868270792</stp>
        <tr r="C88" s="12"/>
      </tp>
      <tp t="e">
        <v>#N/A</v>
        <stp/>
        <stp>BDH|17817348452539248709</stp>
        <tr r="L23" s="13"/>
      </tp>
      <tp t="e">
        <v>#N/A</v>
        <stp/>
        <stp>BDH|11172886667063678347</stp>
        <tr r="O124" s="18"/>
      </tp>
      <tp t="e">
        <v>#N/A</v>
        <stp/>
        <stp>BDH|12898682787736856538</stp>
        <tr r="L68" s="24"/>
      </tp>
      <tp t="e">
        <v>#N/A</v>
        <stp/>
        <stp>BDH|14585761181875899168</stp>
        <tr r="T54" s="34"/>
      </tp>
      <tp t="e">
        <v>#N/A</v>
        <stp/>
        <stp>BDH|18248613834221964323</stp>
        <tr r="P30" s="17"/>
      </tp>
      <tp t="e">
        <v>#N/A</v>
        <stp/>
        <stp>BDH|13147065440921298996</stp>
        <tr r="M27" s="18"/>
      </tp>
      <tp t="e">
        <v>#N/A</v>
        <stp/>
        <stp>BDH|17289815860131695792</stp>
        <tr r="E74" s="17"/>
      </tp>
      <tp t="e">
        <v>#N/A</v>
        <stp/>
        <stp>BDH|14266944164362847663</stp>
        <tr r="J45" s="17"/>
      </tp>
      <tp t="e">
        <v>#N/A</v>
        <stp/>
        <stp>BDH|17116657822048398499</stp>
        <tr r="Y26" s="21"/>
      </tp>
      <tp t="e">
        <v>#N/A</v>
        <stp/>
        <stp>BDH|12675769734668989115</stp>
        <tr r="O69" s="12"/>
      </tp>
      <tp t="e">
        <v>#N/A</v>
        <stp/>
        <stp>BDH|14447311752548869533</stp>
        <tr r="P17" s="30"/>
      </tp>
      <tp t="e">
        <v>#N/A</v>
        <stp/>
        <stp>BDH|15609307585903693293</stp>
        <tr r="X41" s="22"/>
      </tp>
      <tp t="e">
        <v>#N/A</v>
        <stp/>
        <stp>BDH|16797351888401707318</stp>
        <tr r="H22" s="20"/>
      </tp>
      <tp t="e">
        <v>#N/A</v>
        <stp/>
        <stp>BDH|15087662687551930577</stp>
        <tr r="V14" s="34"/>
      </tp>
      <tp t="e">
        <v>#N/A</v>
        <stp/>
        <stp>BDH|10408641731013729998</stp>
        <tr r="G96" s="17"/>
      </tp>
      <tp t="e">
        <v>#N/A</v>
        <stp/>
        <stp>BDH|13803078111885892891</stp>
        <tr r="V50" s="22"/>
      </tp>
      <tp t="e">
        <v>#N/A</v>
        <stp/>
        <stp>BDH|11888206595016538375</stp>
        <tr r="J12" s="27"/>
        <tr r="J30" s="25"/>
      </tp>
      <tp t="e">
        <v>#N/A</v>
        <stp/>
        <stp>BDH|16705632488030534769</stp>
        <tr r="G21" s="4"/>
      </tp>
      <tp t="e">
        <v>#N/A</v>
        <stp/>
        <stp>BDH|17312705649059299272</stp>
        <tr r="E28" s="9"/>
        <tr r="E30" s="5"/>
      </tp>
      <tp t="e">
        <v>#N/A</v>
        <stp/>
        <stp>BDH|18099371928034848283</stp>
        <tr r="C41" s="29"/>
        <tr r="C18" s="29"/>
      </tp>
      <tp t="e">
        <v>#N/A</v>
        <stp/>
        <stp>BDH|15141173218112696870</stp>
        <tr r="T95" s="18"/>
      </tp>
      <tp t="e">
        <v>#N/A</v>
        <stp/>
        <stp>BDH|17079798266778046102</stp>
        <tr r="G22" s="6"/>
      </tp>
      <tp t="e">
        <v>#N/A</v>
        <stp/>
        <stp>BDH|18414695471103215519</stp>
        <tr r="Y24" s="26"/>
      </tp>
      <tp t="e">
        <v>#N/A</v>
        <stp/>
        <stp>BDH|14940356260876751842</stp>
        <tr r="L22" s="4"/>
      </tp>
      <tp t="e">
        <v>#N/A</v>
        <stp/>
        <stp>BDH|15937774024077185843</stp>
        <tr r="E38" s="26"/>
      </tp>
      <tp t="e">
        <v>#N/A</v>
        <stp/>
        <stp>BDH|13978864540640421044</stp>
        <tr r="AA20" s="22"/>
      </tp>
      <tp t="e">
        <v>#N/A</v>
        <stp/>
        <stp>BDH|17394729609459257652</stp>
        <tr r="X75" s="17"/>
      </tp>
      <tp t="e">
        <v>#N/A</v>
        <stp/>
        <stp>BDH|12730821675420968262</stp>
        <tr r="K95" s="12"/>
      </tp>
      <tp t="e">
        <v>#N/A</v>
        <stp/>
        <stp>BDH|13265404660728863651</stp>
        <tr r="U78" s="18"/>
      </tp>
      <tp t="e">
        <v>#N/A</v>
        <stp/>
        <stp>BDH|15024826954092852511</stp>
        <tr r="U30" s="26"/>
      </tp>
      <tp t="e">
        <v>#N/A</v>
        <stp/>
        <stp>BDH|15964995050137911163</stp>
        <tr r="J16" s="21"/>
      </tp>
      <tp t="e">
        <v>#N/A</v>
        <stp/>
        <stp>BDH|14957854286193447813</stp>
        <tr r="L10" s="27"/>
        <tr r="L29" s="25"/>
      </tp>
      <tp t="e">
        <v>#N/A</v>
        <stp/>
        <stp>BDH|18007296377453904185</stp>
        <tr r="V21" s="6"/>
      </tp>
      <tp t="e">
        <v>#N/A</v>
        <stp/>
        <stp>BDH|12790878519092707617</stp>
        <tr r="U45" s="21"/>
      </tp>
      <tp t="e">
        <v>#N/A</v>
        <stp/>
        <stp>BDH|18294530359921371641</stp>
        <tr r="U35" s="10"/>
        <tr r="U24" s="11"/>
      </tp>
      <tp t="e">
        <v>#N/A</v>
        <stp/>
        <stp>BDH|17145196430432694819</stp>
        <tr r="C19" s="18"/>
      </tp>
      <tp t="e">
        <v>#N/A</v>
        <stp/>
        <stp>BDH|10586514188976440477</stp>
        <tr r="R49" s="17"/>
      </tp>
      <tp t="e">
        <v>#N/A</v>
        <stp/>
        <stp>BDH|12132722888451084348</stp>
        <tr r="Q10" s="8"/>
        <tr r="O53" s="6"/>
      </tp>
      <tp t="e">
        <v>#N/A</v>
        <stp/>
        <stp>BDH|15779718384174597182</stp>
        <tr r="S160" s="18"/>
      </tp>
      <tp t="e">
        <v>#N/A</v>
        <stp/>
        <stp>BDH|10866570985796420416</stp>
        <tr r="M87" s="12"/>
      </tp>
      <tp t="e">
        <v>#N/A</v>
        <stp/>
        <stp>BDH|18354701718443077242</stp>
        <tr r="Z7" s="14"/>
      </tp>
      <tp t="e">
        <v>#N/A</v>
        <stp/>
        <stp>BDH|14778212227618972370</stp>
        <tr r="H63" s="13"/>
        <tr r="F60" s="10"/>
        <tr r="F49" s="11"/>
        <tr r="F18" s="7"/>
      </tp>
      <tp t="e">
        <v>#N/A</v>
        <stp/>
        <stp>BDH|16713391647156733816</stp>
        <tr r="I43" s="24"/>
      </tp>
      <tp t="e">
        <v>#N/A</v>
        <stp/>
        <stp>BDH|18152392445240787046</stp>
        <tr r="X60" s="17"/>
      </tp>
      <tp t="e">
        <v>#N/A</v>
        <stp/>
        <stp>BDH|16986060941668945590</stp>
        <tr r="AA45" s="13"/>
        <tr r="Y40" s="10"/>
        <tr r="Y29" s="11"/>
      </tp>
      <tp t="e">
        <v>#N/A</v>
        <stp/>
        <stp>BDH|15749514116937924971</stp>
        <tr r="H44" s="6"/>
      </tp>
      <tp t="e">
        <v>#N/A</v>
        <stp/>
        <stp>BDH|15251261499964726545</stp>
        <tr r="O24" s="11"/>
        <tr r="O35" s="10"/>
      </tp>
      <tp t="e">
        <v>#N/A</v>
        <stp/>
        <stp>BDH|11473924829957289238</stp>
        <tr r="D65" s="12"/>
      </tp>
      <tp t="e">
        <v>#N/A</v>
        <stp/>
        <stp>BDH|17039536609869205464</stp>
        <tr r="D47" s="13"/>
      </tp>
      <tp t="e">
        <v>#N/A</v>
        <stp/>
        <stp>BDH|10613482936039192173</stp>
        <tr r="U13" s="13"/>
      </tp>
      <tp t="e">
        <v>#N/A</v>
        <stp/>
        <stp>BDH|11758440194691191283</stp>
        <tr r="E34" s="13"/>
        <tr r="C27" s="10"/>
      </tp>
      <tp t="e">
        <v>#N/A</v>
        <stp/>
        <stp>BDH|18186726991640979956</stp>
        <tr r="P16" s="28"/>
        <tr r="P13" s="17"/>
      </tp>
      <tp t="e">
        <v>#N/A</v>
        <stp/>
        <stp>BDH|15359181951997410904</stp>
        <tr r="G14" s="11"/>
      </tp>
      <tp t="e">
        <v>#N/A</v>
        <stp/>
        <stp>BDH|15732437892012942518</stp>
        <tr r="H68" s="13"/>
      </tp>
      <tp t="e">
        <v>#N/A</v>
        <stp/>
        <stp>BDH|11389773752408068486</stp>
        <tr r="O23" s="22"/>
      </tp>
      <tp t="e">
        <v>#N/A</v>
        <stp/>
        <stp>BDH|11226879109461472767</stp>
        <tr r="O111" s="18"/>
      </tp>
      <tp t="e">
        <v>#N/A</v>
        <stp/>
        <stp>BDH|11871848752126566557</stp>
        <tr r="S55" s="24"/>
      </tp>
      <tp t="e">
        <v>#N/A</v>
        <stp/>
        <stp>BDH|16354644697097897165</stp>
        <tr r="AA65" s="17"/>
      </tp>
      <tp t="e">
        <v>#N/A</v>
        <stp/>
        <stp>BDH|12029548782361030187</stp>
        <tr r="C50" s="13"/>
      </tp>
      <tp t="e">
        <v>#N/A</v>
        <stp/>
        <stp>BDH|11078799579746702894</stp>
        <tr r="Y20" s="28"/>
        <tr r="Y17" s="17"/>
      </tp>
      <tp t="e">
        <v>#N/A</v>
        <stp/>
        <stp>BDH|16792434885395615092</stp>
        <tr r="W12" s="10"/>
      </tp>
      <tp t="e">
        <v>#N/A</v>
        <stp/>
        <stp>BDH|11949080130684614990</stp>
        <tr r="F28" s="11"/>
        <tr r="F51" s="10"/>
        <tr r="F40" s="11"/>
        <tr r="F39" s="10"/>
      </tp>
      <tp t="e">
        <v>#N/A</v>
        <stp/>
        <stp>BDH|13450481093709592849</stp>
        <tr r="T11" s="6"/>
      </tp>
      <tp t="e">
        <v>#N/A</v>
        <stp/>
        <stp>BDH|14992468240082875994</stp>
        <tr r="D42" s="10"/>
        <tr r="D31" s="11"/>
      </tp>
      <tp t="e">
        <v>#N/A</v>
        <stp/>
        <stp>BDH|16634645889541261677</stp>
        <tr r="S23" s="20"/>
      </tp>
      <tp t="e">
        <v>#N/A</v>
        <stp/>
        <stp>BDH|10929936632776058364</stp>
        <tr r="H57" s="11"/>
        <tr r="H24" s="4"/>
      </tp>
      <tp t="e">
        <v>#N/A</v>
        <stp/>
        <stp>BDH|15364941418103075111</stp>
        <tr r="L87" s="12"/>
      </tp>
      <tp t="e">
        <v>#N/A</v>
        <stp/>
        <stp>BDH|16971919241813274751</stp>
        <tr r="H6" s="19"/>
        <tr r="H38" s="17"/>
        <tr r="H16" s="3"/>
      </tp>
      <tp t="e">
        <v>#N/A</v>
        <stp/>
        <stp>BDH|12360857121030878711</stp>
        <tr r="H93" s="18"/>
      </tp>
      <tp t="e">
        <v>#N/A</v>
        <stp/>
        <stp>BDH|16463696620309322407</stp>
        <tr r="S50" s="17"/>
      </tp>
      <tp t="e">
        <v>#N/A</v>
        <stp/>
        <stp>BDH|14710095886764114777</stp>
        <tr r="M66" s="13"/>
      </tp>
      <tp t="e">
        <v>#N/A</v>
        <stp/>
        <stp>BDH|14280073367179399708</stp>
        <tr r="J84" s="18"/>
      </tp>
      <tp t="e">
        <v>#N/A</v>
        <stp/>
        <stp>BDH|11826201328445387824</stp>
        <tr r="L27" s="22"/>
      </tp>
      <tp t="e">
        <v>#N/A</v>
        <stp/>
        <stp>BDH|17662256710878472064</stp>
        <tr r="AA22" s="21"/>
      </tp>
      <tp t="e">
        <v>#N/A</v>
        <stp/>
        <stp>BDH|14453889758462460714</stp>
        <tr r="O7" s="24"/>
      </tp>
      <tp t="e">
        <v>#N/A</v>
        <stp/>
        <stp>BDH|17946269417451008990</stp>
        <tr r="S33" s="21"/>
      </tp>
      <tp t="e">
        <v>#N/A</v>
        <stp/>
        <stp>BDH|12552691071307497887</stp>
        <tr r="L26" s="12"/>
      </tp>
      <tp t="e">
        <v>#N/A</v>
        <stp/>
        <stp>BDH|11963559587234947430</stp>
        <tr r="K13" s="9"/>
      </tp>
      <tp t="e">
        <v>#N/A</v>
        <stp/>
        <stp>BDH|14387918624551256259</stp>
        <tr r="U47" s="18"/>
      </tp>
      <tp t="e">
        <v>#N/A</v>
        <stp/>
        <stp>BDH|16715848518720871321</stp>
        <tr r="AA43" s="25"/>
        <tr r="AA7" s="13"/>
        <tr r="AA22" s="13"/>
        <tr r="Y17" s="11"/>
        <tr r="AA7" s="3"/>
      </tp>
      <tp t="e">
        <v>#N/A</v>
        <stp/>
        <stp>BDH|17476779709108905422</stp>
        <tr r="T133" s="18"/>
      </tp>
      <tp t="e">
        <v>#N/A</v>
        <stp/>
        <stp>BDH|13351825200861005604</stp>
        <tr r="L12" s="21"/>
      </tp>
      <tp t="e">
        <v>#N/A</v>
        <stp/>
        <stp>BDH|17268422422105549862</stp>
        <tr r="R17" s="13"/>
      </tp>
      <tp t="e">
        <v>#N/A</v>
        <stp/>
        <stp>BDH|15983848756187853326</stp>
        <tr r="S15" s="30"/>
      </tp>
      <tp t="e">
        <v>#N/A</v>
        <stp/>
        <stp>BDH|12105166003188048751</stp>
        <tr r="D14" s="28"/>
      </tp>
      <tp t="e">
        <v>#N/A</v>
        <stp/>
        <stp>BDH|14517106251424437812</stp>
        <tr r="I42" s="25"/>
      </tp>
      <tp t="e">
        <v>#N/A</v>
        <stp/>
        <stp>BDH|18308743248194814363</stp>
        <tr r="O77" s="12"/>
      </tp>
      <tp t="e">
        <v>#N/A</v>
        <stp/>
        <stp>BDH|12023757976167679944</stp>
        <tr r="T96" s="12"/>
      </tp>
      <tp t="e">
        <v>#N/A</v>
        <stp/>
        <stp>BDH|10276211743939684370</stp>
        <tr r="H57" s="12"/>
      </tp>
      <tp t="e">
        <v>#N/A</v>
        <stp/>
        <stp>BDH|11501032213995193954</stp>
        <tr r="Y18" s="23"/>
      </tp>
      <tp t="e">
        <v>#N/A</v>
        <stp/>
        <stp>BDH|12326744095242423270</stp>
        <tr r="J8" s="11"/>
      </tp>
      <tp t="e">
        <v>#N/A</v>
        <stp/>
        <stp>BDH|14802864618177353645</stp>
        <tr r="T34" s="29"/>
      </tp>
      <tp t="e">
        <v>#N/A</v>
        <stp/>
        <stp>BDH|11607772080425258727</stp>
        <tr r="C19" s="28"/>
        <tr r="C16" s="17"/>
      </tp>
      <tp t="e">
        <v>#N/A</v>
        <stp/>
        <stp>BDH|17858637459128537064</stp>
        <tr r="C106" s="18"/>
      </tp>
      <tp t="e">
        <v>#N/A</v>
        <stp/>
        <stp>BDH|15546007909230427997</stp>
        <tr r="T6" s="20"/>
        <tr r="T112" s="18"/>
      </tp>
      <tp t="e">
        <v>#N/A</v>
        <stp/>
        <stp>BDH|14860687535245374870</stp>
        <tr r="F48" s="12"/>
      </tp>
      <tp t="e">
        <v>#N/A</v>
        <stp/>
        <stp>BDH|12476199586886208182</stp>
        <tr r="J155" s="18"/>
      </tp>
      <tp t="e">
        <v>#N/A</v>
        <stp/>
        <stp>BDH|16035611604538542417</stp>
        <tr r="J30" s="24"/>
      </tp>
      <tp t="e">
        <v>#N/A</v>
        <stp/>
        <stp>BDH|10806845983159787587</stp>
        <tr r="E77" s="24"/>
      </tp>
      <tp t="e">
        <v>#N/A</v>
        <stp/>
        <stp>BDH|13691731489244819440</stp>
        <tr r="O9" s="22"/>
      </tp>
      <tp t="e">
        <v>#N/A</v>
        <stp/>
        <stp>BDH|10516453032058188331</stp>
        <tr r="X16" s="24"/>
      </tp>
      <tp t="e">
        <v>#N/A</v>
        <stp/>
        <stp>BDH|14514363882720084316</stp>
        <tr r="Q82" s="12"/>
      </tp>
      <tp t="e">
        <v>#N/A</v>
        <stp/>
        <stp>BDH|12411057600206864899</stp>
        <tr r="M24" s="26"/>
      </tp>
      <tp t="e">
        <v>#N/A</v>
        <stp/>
        <stp>BDH|12586727584621439070</stp>
        <tr r="T25" s="3"/>
      </tp>
      <tp t="e">
        <v>#N/A</v>
        <stp/>
        <stp>BDH|13006917115956217165</stp>
        <tr r="D32" s="11"/>
        <tr r="D43" s="10"/>
      </tp>
      <tp t="e">
        <v>#N/A</v>
        <stp/>
        <stp>BDH|18327920491651291527</stp>
        <tr r="D43" s="18"/>
      </tp>
      <tp t="e">
        <v>#N/A</v>
        <stp/>
        <stp>BDH|17490724230167123877</stp>
        <tr r="G45" s="18"/>
      </tp>
      <tp t="e">
        <v>#N/A</v>
        <stp/>
        <stp>BDH|13590736288124915477</stp>
        <tr r="H142" s="18"/>
      </tp>
      <tp t="e">
        <v>#N/A</v>
        <stp/>
        <stp>BDH|12263590189577733458</stp>
        <tr r="F38" s="29"/>
        <tr r="F15" s="29"/>
      </tp>
      <tp t="e">
        <v>#N/A</v>
        <stp/>
        <stp>BDH|12469959462786511766</stp>
        <tr r="N52" s="34"/>
      </tp>
      <tp t="e">
        <v>#N/A</v>
        <stp/>
        <stp>BDH|10076866057427123608</stp>
        <tr r="I6" s="20"/>
        <tr r="I112" s="18"/>
      </tp>
      <tp t="e">
        <v>#N/A</v>
        <stp/>
        <stp>BDH|14117020798194878538</stp>
        <tr r="P24" s="2"/>
      </tp>
      <tp t="e">
        <v>#N/A</v>
        <stp/>
        <stp>BDH|17489256910389706163</stp>
        <tr r="G39" s="11"/>
        <tr r="G50" s="10"/>
      </tp>
      <tp t="e">
        <v>#N/A</v>
        <stp/>
        <stp>BDH|12163705215050299867</stp>
        <tr r="X100" s="12"/>
      </tp>
      <tp t="e">
        <v>#N/A</v>
        <stp/>
        <stp>BDH|16847616401338999415</stp>
        <tr r="M159" s="18"/>
      </tp>
      <tp t="e">
        <v>#N/A</v>
        <stp/>
        <stp>BDH|13031258697470010423</stp>
        <tr r="U10" s="12"/>
      </tp>
      <tp t="e">
        <v>#N/A</v>
        <stp/>
        <stp>BDH|12558716473586433839</stp>
        <tr r="I74" s="12"/>
      </tp>
      <tp t="e">
        <v>#N/A</v>
        <stp/>
        <stp>BDH|14756896706986939615</stp>
        <tr r="F17" s="23"/>
      </tp>
      <tp t="e">
        <v>#N/A</v>
        <stp/>
        <stp>BDH|11254286875269644196</stp>
        <tr r="S11" s="6"/>
      </tp>
      <tp t="e">
        <v>#N/A</v>
        <stp/>
        <stp>BDH|13009948133796045379</stp>
        <tr r="O32" s="24"/>
      </tp>
      <tp t="e">
        <v>#N/A</v>
        <stp/>
        <stp>BDH|15786423986292794741</stp>
        <tr r="X9" s="8"/>
        <tr r="V52" s="6"/>
      </tp>
      <tp t="e">
        <v>#N/A</v>
        <stp/>
        <stp>BDH|16975952438741056147</stp>
        <tr r="G173" s="18"/>
      </tp>
      <tp t="e">
        <v>#N/A</v>
        <stp/>
        <stp>BDH|14594883336521999221</stp>
        <tr r="S58" s="6"/>
      </tp>
      <tp t="e">
        <v>#N/A</v>
        <stp/>
        <stp>BDH|12771919477822008211</stp>
        <tr r="S65" s="21"/>
        <tr r="P31" s="6"/>
      </tp>
      <tp t="e">
        <v>#N/A</v>
        <stp/>
        <stp>BDH|11768128171832554914</stp>
        <tr r="K68" s="13"/>
      </tp>
      <tp t="e">
        <v>#N/A</v>
        <stp/>
        <stp>BDH|14855878776350019799</stp>
        <tr r="G64" s="11"/>
        <tr r="G75" s="10"/>
      </tp>
      <tp t="e">
        <v>#N/A</v>
        <stp/>
        <stp>BDH|10051051886505501167</stp>
        <tr r="X47" s="34"/>
      </tp>
      <tp t="e">
        <v>#N/A</v>
        <stp/>
        <stp>BDH|10825427494171976075</stp>
        <tr r="Y29" s="4"/>
      </tp>
      <tp t="e">
        <v>#N/A</v>
        <stp/>
        <stp>BDH|17164579566900013801</stp>
        <tr r="AA162" s="18"/>
      </tp>
      <tp t="e">
        <v>#N/A</v>
        <stp/>
        <stp>BDH|15955504939236876981</stp>
        <tr r="U21" s="18"/>
      </tp>
      <tp t="e">
        <v>#N/A</v>
        <stp/>
        <stp>BDH|12853177680392946560</stp>
        <tr r="U24" s="6"/>
      </tp>
      <tp t="e">
        <v>#N/A</v>
        <stp/>
        <stp>BDH|18040907473512220811</stp>
        <tr r="O55" s="24"/>
      </tp>
      <tp t="e">
        <v>#N/A</v>
        <stp/>
        <stp>BDH|17160943511520453300</stp>
        <tr r="V9" s="17"/>
      </tp>
      <tp t="e">
        <v>#N/A</v>
        <stp/>
        <stp>BDH|13183958819695815252</stp>
        <tr r="E23" s="24"/>
      </tp>
      <tp t="e">
        <v>#N/A</v>
        <stp/>
        <stp>BDH|14398409282683020711</stp>
        <tr r="N6" s="8"/>
        <tr r="L51" s="6"/>
      </tp>
      <tp t="e">
        <v>#N/A</v>
        <stp/>
        <stp>BDH|11985907322072221499</stp>
        <tr r="K18" s="18"/>
      </tp>
      <tp t="e">
        <v>#N/A</v>
        <stp/>
        <stp>BDH|18309607906127020550</stp>
        <tr r="I17" s="34"/>
      </tp>
      <tp t="e">
        <v>#N/A</v>
        <stp/>
        <stp>BDH|10673479783680834090</stp>
        <tr r="T18" s="27"/>
        <tr r="T36" s="25"/>
      </tp>
      <tp t="e">
        <v>#N/A</v>
        <stp/>
        <stp>BDH|14103623394863082448</stp>
        <tr r="G24" s="13"/>
      </tp>
      <tp t="e">
        <v>#N/A</v>
        <stp/>
        <stp>BDH|13715802882038589730</stp>
        <tr r="P9" s="34"/>
      </tp>
      <tp t="e">
        <v>#N/A</v>
        <stp/>
        <stp>BDH|17389900212815292603</stp>
        <tr r="P30" s="34"/>
      </tp>
      <tp t="e">
        <v>#N/A</v>
        <stp/>
        <stp>BDH|12686123591284521231</stp>
        <tr r="F8" s="25"/>
        <tr r="C10" s="5"/>
        <tr r="D9" s="2"/>
      </tp>
      <tp t="e">
        <v>#N/A</v>
        <stp/>
        <stp>BDH|10350402051804035916</stp>
        <tr r="J22" s="26"/>
      </tp>
      <tp t="e">
        <v>#N/A</v>
        <stp/>
        <stp>BDH|14293142273266221841</stp>
        <tr r="S16" s="27"/>
        <tr r="S34" s="25"/>
      </tp>
      <tp t="e">
        <v>#N/A</v>
        <stp/>
        <stp>BDH|11025929095738406506</stp>
        <tr r="G43" s="29"/>
      </tp>
      <tp t="e">
        <v>#N/A</v>
        <stp/>
        <stp>BDH|14774905164385301238</stp>
        <tr r="T48" s="18"/>
      </tp>
      <tp t="e">
        <v>#N/A</v>
        <stp/>
        <stp>BDH|15692694878431726932</stp>
        <tr r="F81" s="18"/>
      </tp>
      <tp t="e">
        <v>#N/A</v>
        <stp/>
        <stp>BDH|12854488892131142200</stp>
        <tr r="V8" s="18"/>
      </tp>
      <tp t="e">
        <v>#N/A</v>
        <stp/>
        <stp>BDH|16571468852452464963</stp>
        <tr r="Z175" s="18"/>
      </tp>
      <tp t="e">
        <v>#N/A</v>
        <stp/>
        <stp>BDH|10200435481753454379</stp>
        <tr r="D43" s="12"/>
      </tp>
      <tp t="e">
        <v>#N/A</v>
        <stp/>
        <stp>BDH|10936798882566638573</stp>
        <tr r="Q95" s="18"/>
      </tp>
      <tp t="e">
        <v>#N/A</v>
        <stp/>
        <stp>BDH|13559489618062609802</stp>
        <tr r="F24" s="22"/>
      </tp>
      <tp t="e">
        <v>#N/A</v>
        <stp/>
        <stp>BDH|18352457561972372472</stp>
        <tr r="U56" s="24"/>
      </tp>
      <tp t="e">
        <v>#N/A</v>
        <stp/>
        <stp>BDH|15646635080684718315</stp>
        <tr r="Q36" s="21"/>
        <tr r="Q24" s="3"/>
      </tp>
      <tp t="e">
        <v>#N/A</v>
        <stp/>
        <stp>BDH|11795278292012977485</stp>
        <tr r="K171" s="18"/>
      </tp>
      <tp t="e">
        <v>#N/A</v>
        <stp/>
        <stp>BDH|13894559218779568233</stp>
        <tr r="K39" s="6"/>
      </tp>
      <tp t="e">
        <v>#N/A</v>
        <stp/>
        <stp>BDH|14356672553888152358</stp>
        <tr r="D17" s="5"/>
        <tr r="D36" s="6"/>
      </tp>
      <tp t="e">
        <v>#N/A</v>
        <stp/>
        <stp>BDH|13308832890718141623</stp>
        <tr r="H21" s="11"/>
      </tp>
      <tp t="e">
        <v>#N/A</v>
        <stp/>
        <stp>BDH|12226934860309267802</stp>
        <tr r="R61" s="17"/>
      </tp>
      <tp t="e">
        <v>#N/A</v>
        <stp/>
        <stp>BDH|12399173991124588232</stp>
        <tr r="I9" s="10"/>
      </tp>
      <tp t="e">
        <v>#N/A</v>
        <stp/>
        <stp>BDH|17398076805353297804</stp>
        <tr r="X33" s="18"/>
      </tp>
      <tp t="e">
        <v>#N/A</v>
        <stp/>
        <stp>BDH|14880054561688983662</stp>
        <tr r="Q15" s="13"/>
      </tp>
      <tp t="e">
        <v>#N/A</v>
        <stp/>
        <stp>BDH|15340910107656716614</stp>
        <tr r="E8" s="26"/>
      </tp>
      <tp t="e">
        <v>#N/A</v>
        <stp/>
        <stp>BDH|13719312481170363472</stp>
        <tr r="R26" s="21"/>
      </tp>
      <tp t="e">
        <v>#N/A</v>
        <stp/>
        <stp>BDH|15118344186562005006</stp>
        <tr r="W63" s="12"/>
      </tp>
      <tp t="e">
        <v>#N/A</v>
        <stp/>
        <stp>BDH|14243012387172743205</stp>
        <tr r="F40" s="22"/>
      </tp>
      <tp t="e">
        <v>#N/A</v>
        <stp/>
        <stp>BDH|16657929401341284241</stp>
        <tr r="U63" s="24"/>
      </tp>
      <tp t="e">
        <v>#N/A</v>
        <stp/>
        <stp>BDH|14504426935427222835</stp>
        <tr r="O87" s="18"/>
      </tp>
      <tp t="e">
        <v>#N/A</v>
        <stp/>
        <stp>BDH|14551161516751509936</stp>
        <tr r="O74" s="24"/>
      </tp>
      <tp t="e">
        <v>#N/A</v>
        <stp/>
        <stp>BDH|16118608320178047629</stp>
        <tr r="P17" s="9"/>
      </tp>
      <tp t="e">
        <v>#N/A</v>
        <stp/>
        <stp>BDH|18301308401406581141</stp>
        <tr r="F9" s="10"/>
      </tp>
      <tp t="e">
        <v>#N/A</v>
        <stp/>
        <stp>BDH|13741439540509093675</stp>
        <tr r="J23" s="21"/>
      </tp>
      <tp t="e">
        <v>#N/A</v>
        <stp/>
        <stp>BDH|12379717825578456304</stp>
        <tr r="X32" s="5"/>
      </tp>
      <tp t="e">
        <v>#N/A</v>
        <stp/>
        <stp>BDH|14255358571749249564</stp>
        <tr r="E10" s="24"/>
      </tp>
      <tp t="e">
        <v>#N/A</v>
        <stp/>
        <stp>BDH|12510818204096061025</stp>
        <tr r="N13" s="6"/>
      </tp>
      <tp t="e">
        <v>#N/A</v>
        <stp/>
        <stp>BDH|10105530785974226571</stp>
        <tr r="U22" s="27"/>
      </tp>
      <tp t="e">
        <v>#N/A</v>
        <stp/>
        <stp>BDH|15240935950130494570</stp>
        <tr r="S50" s="18"/>
      </tp>
      <tp t="e">
        <v>#N/A</v>
        <stp/>
        <stp>BDH|13320693938959320332</stp>
        <tr r="S57" s="17"/>
      </tp>
      <tp t="e">
        <v>#N/A</v>
        <stp/>
        <stp>BDH|14368606632828667556</stp>
        <tr r="J59" s="12"/>
      </tp>
      <tp t="e">
        <v>#N/A</v>
        <stp/>
        <stp>BDH|15611816822990610317</stp>
        <tr r="AA47" s="21"/>
      </tp>
      <tp t="e">
        <v>#N/A</v>
        <stp/>
        <stp>BDH|11902284098824362282</stp>
        <tr r="AA30" s="24"/>
      </tp>
      <tp t="e">
        <v>#N/A</v>
        <stp/>
        <stp>BDH|18165396768293458268</stp>
        <tr r="S38" s="29"/>
        <tr r="S15" s="29"/>
      </tp>
      <tp t="e">
        <v>#N/A</v>
        <stp/>
        <stp>BDH|16348815339630905109</stp>
        <tr r="L17" s="30"/>
      </tp>
      <tp t="e">
        <v>#N/A</v>
        <stp/>
        <stp>BDH|11404631561485091842</stp>
        <tr r="L7" s="11"/>
      </tp>
      <tp t="e">
        <v>#N/A</v>
        <stp/>
        <stp>BDH|10446355294801161761</stp>
        <tr r="L17" s="22"/>
      </tp>
      <tp t="e">
        <v>#N/A</v>
        <stp/>
        <stp>BDH|17311829130348213814</stp>
        <tr r="R47" s="18"/>
      </tp>
      <tp t="e">
        <v>#N/A</v>
        <stp/>
        <stp>BDH|17198905269021219583</stp>
        <tr r="C11" s="13"/>
      </tp>
      <tp t="e">
        <v>#N/A</v>
        <stp/>
        <stp>BDH|12620200288984907057</stp>
        <tr r="L46" s="34"/>
      </tp>
      <tp t="e">
        <v>#N/A</v>
        <stp/>
        <stp>BDH|11728340672770625954</stp>
        <tr r="Y33" s="17"/>
      </tp>
      <tp t="e">
        <v>#N/A</v>
        <stp/>
        <stp>BDH|13755639987627512648</stp>
        <tr r="D9" s="25"/>
        <tr r="D44" s="17"/>
      </tp>
      <tp t="e">
        <v>#N/A</v>
        <stp/>
        <stp>BDH|13149740986464919482</stp>
        <tr r="D16" s="11"/>
      </tp>
      <tp t="e">
        <v>#N/A</v>
        <stp/>
        <stp>BDH|15405027570499043744</stp>
        <tr r="J41" s="29"/>
        <tr r="J18" s="29"/>
      </tp>
      <tp t="e">
        <v>#N/A</v>
        <stp/>
        <stp>BDH|12674871070561137023</stp>
        <tr r="G42" s="4"/>
      </tp>
      <tp t="e">
        <v>#N/A</v>
        <stp/>
        <stp>BDH|12699234616195399824</stp>
        <tr r="W20" s="14"/>
      </tp>
      <tp t="e">
        <v>#N/A</v>
        <stp/>
        <stp>BDH|18151359246174149719</stp>
        <tr r="Z67" s="24"/>
      </tp>
      <tp t="e">
        <v>#N/A</v>
        <stp/>
        <stp>BDH|17142038938728890002</stp>
        <tr r="N19" s="26"/>
      </tp>
      <tp t="e">
        <v>#N/A</v>
        <stp/>
        <stp>BDH|14243240339341851852</stp>
        <tr r="L91" s="18"/>
      </tp>
      <tp t="e">
        <v>#N/A</v>
        <stp/>
        <stp>BDH|16536712443718147142</stp>
        <tr r="E169" s="18"/>
      </tp>
      <tp t="e">
        <v>#N/A</v>
        <stp/>
        <stp>BDH|15594911927674295630</stp>
        <tr r="G19" s="12"/>
      </tp>
      <tp t="e">
        <v>#N/A</v>
        <stp/>
        <stp>BDH|11137196093687001294</stp>
        <tr r="T8" s="24"/>
      </tp>
      <tp t="e">
        <v>#N/A</v>
        <stp/>
        <stp>BDH|10988629379278852580</stp>
        <tr r="J11" s="22"/>
      </tp>
      <tp t="e">
        <v>#N/A</v>
        <stp/>
        <stp>BDH|15535809164480225719</stp>
        <tr r="X43" s="17"/>
      </tp>
      <tp t="e">
        <v>#N/A</v>
        <stp/>
        <stp>BDH|16571828233535380457</stp>
        <tr r="I16" s="21"/>
      </tp>
      <tp t="e">
        <v>#N/A</v>
        <stp/>
        <stp>BDH|17856387283064032414</stp>
        <tr r="K19" s="13"/>
        <tr r="I65" s="10"/>
        <tr r="I16" s="2"/>
        <tr r="I32" s="4"/>
      </tp>
      <tp t="e">
        <v>#N/A</v>
        <stp/>
        <stp>BDH|11271454196397772743</stp>
        <tr r="C95" s="12"/>
      </tp>
      <tp t="e">
        <v>#N/A</v>
        <stp/>
        <stp>BDH|15215420847780702922</stp>
        <tr r="G10" s="17"/>
      </tp>
      <tp t="e">
        <v>#N/A</v>
        <stp/>
        <stp>BDH|11982584663136316847</stp>
        <tr r="W53" s="34"/>
      </tp>
      <tp t="e">
        <v>#N/A</v>
        <stp/>
        <stp>BDH|10362181514949325596</stp>
        <tr r="E87" s="17"/>
      </tp>
      <tp t="e">
        <v>#N/A</v>
        <stp/>
        <stp>BDH|18115492228843165147</stp>
        <tr r="E36" s="22"/>
      </tp>
      <tp t="e">
        <v>#N/A</v>
        <stp/>
        <stp>BDH|13367228265078042310</stp>
        <tr r="AA62" s="24"/>
      </tp>
      <tp t="e">
        <v>#N/A</v>
        <stp/>
        <stp>BDH|16775799779663188939</stp>
        <tr r="G26" s="29"/>
      </tp>
      <tp t="e">
        <v>#N/A</v>
        <stp/>
        <stp>BDH|10256205591946672107</stp>
        <tr r="D121" s="18"/>
      </tp>
      <tp t="e">
        <v>#N/A</v>
        <stp/>
        <stp>BDH|11092411633772016877</stp>
        <tr r="O95" s="18"/>
      </tp>
      <tp t="e">
        <v>#N/A</v>
        <stp/>
        <stp>BDH|17298344805011345950</stp>
        <tr r="N31" s="9"/>
      </tp>
      <tp t="e">
        <v>#N/A</v>
        <stp/>
        <stp>BDH|12442721649125250888</stp>
        <tr r="Z93" s="17"/>
      </tp>
      <tp t="e">
        <v>#N/A</v>
        <stp/>
        <stp>BDH|10672908344854080577</stp>
        <tr r="K40" s="12"/>
      </tp>
      <tp t="e">
        <v>#N/A</v>
        <stp/>
        <stp>BDH|10894332594416225082</stp>
        <tr r="R34" s="22"/>
      </tp>
      <tp t="e">
        <v>#N/A</v>
        <stp/>
        <stp>BDH|10015560766907273870</stp>
        <tr r="G52" s="17"/>
      </tp>
      <tp t="e">
        <v>#N/A</v>
        <stp/>
        <stp>BDH|11773536987003287347</stp>
        <tr r="W74" s="17"/>
      </tp>
      <tp t="e">
        <v>#N/A</v>
        <stp/>
        <stp>BDH|13171259984967301269</stp>
        <tr r="S39" s="6"/>
      </tp>
      <tp t="e">
        <v>#N/A</v>
        <stp/>
        <stp>BDH|16918645129867206932</stp>
        <tr r="G56" s="11"/>
      </tp>
      <tp t="e">
        <v>#N/A</v>
        <stp/>
        <stp>BDH|10033757950246780873</stp>
        <tr r="O51" s="22"/>
      </tp>
      <tp t="e">
        <v>#N/A</v>
        <stp/>
        <stp>BDH|11408909005184718034</stp>
        <tr r="M53" s="21"/>
      </tp>
      <tp t="e">
        <v>#N/A</v>
        <stp/>
        <stp>BDH|18114386502085889262</stp>
        <tr r="Y24" s="29"/>
      </tp>
      <tp t="e">
        <v>#N/A</v>
        <stp/>
        <stp>BDH|17286307691178464925</stp>
        <tr r="C35" s="21"/>
      </tp>
      <tp t="e">
        <v>#N/A</v>
        <stp/>
        <stp>BDH|17067949566455633114</stp>
        <tr r="T57" s="11"/>
        <tr r="T24" s="4"/>
      </tp>
      <tp t="e">
        <v>#N/A</v>
        <stp/>
        <stp>BDH|11758100574939149274</stp>
        <tr r="T88" s="12"/>
      </tp>
      <tp t="e">
        <v>#N/A</v>
        <stp/>
        <stp>BDH|18310724825019551843</stp>
        <tr r="P19" s="10"/>
      </tp>
      <tp t="e">
        <v>#N/A</v>
        <stp/>
        <stp>BDH|14814075169819790747</stp>
        <tr r="O13" s="2"/>
      </tp>
      <tp t="e">
        <v>#N/A</v>
        <stp/>
        <stp>BDH|14613028424413183944</stp>
        <tr r="S19" s="17"/>
      </tp>
      <tp t="e">
        <v>#N/A</v>
        <stp/>
        <stp>BDH|15172530174772720943</stp>
        <tr r="K47" s="17"/>
      </tp>
      <tp t="e">
        <v>#N/A</v>
        <stp/>
        <stp>BDH|10667630571779177407</stp>
        <tr r="Z56" s="24"/>
      </tp>
      <tp t="e">
        <v>#N/A</v>
        <stp/>
        <stp>BDH|13234976880217612966</stp>
        <tr r="J60" s="17"/>
      </tp>
      <tp t="e">
        <v>#N/A</v>
        <stp/>
        <stp>BDH|13735832990186044814</stp>
        <tr r="M61" s="18"/>
      </tp>
      <tp t="e">
        <v>#N/A</v>
        <stp/>
        <stp>BDH|11833385328268413492</stp>
        <tr r="C47" s="24"/>
      </tp>
      <tp t="e">
        <v>#N/A</v>
        <stp/>
        <stp>BDH|14195410553179365059</stp>
        <tr r="T22" s="10"/>
      </tp>
      <tp t="e">
        <v>#N/A</v>
        <stp/>
        <stp>BDH|13033927976467069613</stp>
        <tr r="I57" s="11"/>
        <tr r="I24" s="4"/>
      </tp>
      <tp t="e">
        <v>#N/A</v>
        <stp/>
        <stp>BDH|11501925662746352432</stp>
        <tr r="S13" s="7"/>
      </tp>
      <tp t="e">
        <v>#N/A</v>
        <stp/>
        <stp>BDH|16156356815790044845</stp>
        <tr r="AA132" s="18"/>
      </tp>
      <tp t="e">
        <v>#N/A</v>
        <stp/>
        <stp>BDH|17329393099042263343</stp>
        <tr r="N6" s="15"/>
        <tr r="N6" s="10"/>
        <tr r="N12" s="2"/>
        <tr r="N11" s="4"/>
      </tp>
      <tp t="e">
        <v>#N/A</v>
        <stp/>
        <stp>BDH|15749988971973200491</stp>
        <tr r="D6" s="15"/>
        <tr r="D6" s="10"/>
        <tr r="D12" s="2"/>
        <tr r="D11" s="4"/>
      </tp>
      <tp t="e">
        <v>#N/A</v>
        <stp/>
        <stp>BDH|16125640497563576624</stp>
        <tr r="V65" s="24"/>
      </tp>
      <tp t="e">
        <v>#N/A</v>
        <stp/>
        <stp>BDH|10577133311109434562</stp>
        <tr r="O26" s="18"/>
      </tp>
      <tp t="e">
        <v>#N/A</v>
        <stp/>
        <stp>BDH|17577983922290956028</stp>
        <tr r="L39" s="13"/>
        <tr r="J32" s="10"/>
      </tp>
      <tp t="e">
        <v>#N/A</v>
        <stp/>
        <stp>BDH|15375937556090036529</stp>
        <tr r="H11" s="13"/>
      </tp>
      <tp t="e">
        <v>#N/A</v>
        <stp/>
        <stp>BDH|11615675211152278868</stp>
        <tr r="Y36" s="10"/>
        <tr r="Y25" s="11"/>
      </tp>
      <tp t="e">
        <v>#N/A</v>
        <stp/>
        <stp>BDH|13035403347379484671</stp>
        <tr r="R81" s="18"/>
      </tp>
      <tp t="e">
        <v>#N/A</v>
        <stp/>
        <stp>BDH|13031839655050111232</stp>
        <tr r="G6" s="8"/>
        <tr r="E51" s="6"/>
      </tp>
      <tp t="e">
        <v>#N/A</v>
        <stp/>
        <stp>BDH|17085909954121695661</stp>
        <tr r="AA13" s="21"/>
      </tp>
      <tp t="e">
        <v>#N/A</v>
        <stp/>
        <stp>BDH|15497396498382861192</stp>
        <tr r="P31" s="17"/>
      </tp>
      <tp t="e">
        <v>#N/A</v>
        <stp/>
        <stp>BDH|12178525934838768043</stp>
        <tr r="K22" s="27"/>
      </tp>
      <tp t="e">
        <v>#N/A</v>
        <stp/>
        <stp>BDH|18234268173522750344</stp>
        <tr r="R45" s="24"/>
      </tp>
      <tp t="e">
        <v>#N/A</v>
        <stp/>
        <stp>BDH|14519009794279666832</stp>
        <tr r="R167" s="18"/>
      </tp>
      <tp t="e">
        <v>#N/A</v>
        <stp/>
        <stp>BDH|16097963272277654363</stp>
        <tr r="X72" s="24"/>
      </tp>
      <tp t="e">
        <v>#N/A</v>
        <stp/>
        <stp>BDH|18194158135240191644</stp>
        <tr r="C12" s="7"/>
      </tp>
      <tp t="e">
        <v>#N/A</v>
        <stp/>
        <stp>BDH|16647214445588698402</stp>
        <tr r="Z27" s="22"/>
      </tp>
      <tp t="e">
        <v>#N/A</v>
        <stp/>
        <stp>BDH|11991210279709521102</stp>
        <tr r="T14" s="22"/>
      </tp>
      <tp t="e">
        <v>#N/A</v>
        <stp/>
        <stp>BDH|17018831240670237758</stp>
        <tr r="G29" s="26"/>
      </tp>
      <tp t="e">
        <v>#N/A</v>
        <stp/>
        <stp>BDH|17907118915763041897</stp>
        <tr r="V51" s="22"/>
      </tp>
      <tp t="e">
        <v>#N/A</v>
        <stp/>
        <stp>BDH|16716511996491668721</stp>
        <tr r="E80" s="12"/>
      </tp>
      <tp t="e">
        <v>#N/A</v>
        <stp/>
        <stp>BDH|12239416880751721303</stp>
        <tr r="M68" s="13"/>
      </tp>
      <tp t="e">
        <v>#N/A</v>
        <stp/>
        <stp>BDH|14004449612429184436</stp>
        <tr r="S39" s="21"/>
      </tp>
      <tp t="e">
        <v>#N/A</v>
        <stp/>
        <stp>BDH|15687257896832729067</stp>
        <tr r="T53" s="34"/>
      </tp>
      <tp t="e">
        <v>#N/A</v>
        <stp/>
        <stp>BDH|12957205799380069547</stp>
        <tr r="AA27" s="25"/>
        <tr r="Y20" s="11"/>
      </tp>
      <tp t="e">
        <v>#N/A</v>
        <stp/>
        <stp>BDH|17178145633320761956</stp>
        <tr r="V68" s="13"/>
      </tp>
      <tp t="e">
        <v>#N/A</v>
        <stp/>
        <stp>BDH|17344271657264038875</stp>
        <tr r="P37" s="22"/>
      </tp>
      <tp t="e">
        <v>#N/A</v>
        <stp/>
        <stp>BDH|15143263997734394679</stp>
        <tr r="I51" s="17"/>
      </tp>
      <tp t="e">
        <v>#N/A</v>
        <stp/>
        <stp>BDH|11987280695903429544</stp>
        <tr r="E105" s="18"/>
      </tp>
      <tp t="e">
        <v>#N/A</v>
        <stp/>
        <stp>BDH|10532282712686336983</stp>
        <tr r="P56" s="12"/>
      </tp>
      <tp t="e">
        <v>#N/A</v>
        <stp/>
        <stp>BDH|15368753061811626959</stp>
        <tr r="E14" s="6"/>
      </tp>
      <tp t="e">
        <v>#N/A</v>
        <stp/>
        <stp>BDH|12161082449063506912</stp>
        <tr r="Y40" s="13"/>
        <tr r="W33" s="10"/>
      </tp>
      <tp t="e">
        <v>#N/A</v>
        <stp/>
        <stp>BDH|15647840070562455421</stp>
        <tr r="H57" s="6"/>
      </tp>
      <tp t="e">
        <v>#N/A</v>
        <stp/>
        <stp>BDH|10184760961798634549</stp>
        <tr r="S95" s="12"/>
      </tp>
      <tp t="e">
        <v>#N/A</v>
        <stp/>
        <stp>BDH|11231996005597978332</stp>
        <tr r="G53" s="12"/>
      </tp>
      <tp t="e">
        <v>#N/A</v>
        <stp/>
        <stp>BDH|12902872109474269214</stp>
        <tr r="Y25" s="18"/>
      </tp>
      <tp t="e">
        <v>#N/A</v>
        <stp/>
        <stp>BDH|17481248780105741431</stp>
        <tr r="L19" s="17"/>
      </tp>
      <tp t="e">
        <v>#N/A</v>
        <stp/>
        <stp>BDH|18160327865420181107</stp>
        <tr r="X135" s="18"/>
      </tp>
      <tp t="e">
        <v>#N/A</v>
        <stp/>
        <stp>BDH|16207015053488795702</stp>
        <tr r="R7" s="30"/>
      </tp>
      <tp t="e">
        <v>#N/A</v>
        <stp/>
        <stp>BDH|18240955404559674429</stp>
        <tr r="F70" s="17"/>
        <tr r="C8" s="9"/>
        <tr r="C8" s="5"/>
      </tp>
      <tp t="e">
        <v>#N/A</v>
        <stp/>
        <stp>BDH|18064425644264808098</stp>
        <tr r="Y8" s="28"/>
      </tp>
      <tp t="e">
        <v>#N/A</v>
        <stp/>
        <stp>BDH|16506370911361221968</stp>
        <tr r="K169" s="18"/>
      </tp>
      <tp t="e">
        <v>#N/A</v>
        <stp/>
        <stp>BDH|15381589241648475099</stp>
        <tr r="L41" s="34"/>
      </tp>
      <tp t="e">
        <v>#N/A</v>
        <stp/>
        <stp>BDH|16507733505248014549</stp>
        <tr r="Z43" s="22"/>
      </tp>
      <tp t="e">
        <v>#N/A</v>
        <stp/>
        <stp>BDH|17658264934338330208</stp>
        <tr r="P66" s="21"/>
      </tp>
      <tp t="e">
        <v>#N/A</v>
        <stp/>
        <stp>BDH|13697155924708706473</stp>
        <tr r="W105" s="18"/>
      </tp>
      <tp t="e">
        <v>#N/A</v>
        <stp/>
        <stp>BDH|18161375360896132707</stp>
        <tr r="T47" s="18"/>
      </tp>
      <tp t="e">
        <v>#N/A</v>
        <stp/>
        <stp>BDH|13298419830619009149</stp>
        <tr r="E70" s="17"/>
      </tp>
      <tp t="e">
        <v>#N/A</v>
        <stp/>
        <stp>BDH|15271055197080252059</stp>
        <tr r="R22" s="26"/>
      </tp>
      <tp t="e">
        <v>#N/A</v>
        <stp/>
        <stp>BDH|14196304384220091328</stp>
        <tr r="G19" s="24"/>
      </tp>
      <tp t="e">
        <v>#N/A</v>
        <stp/>
        <stp>BDH|18442167984048899594</stp>
        <tr r="AA13" s="12"/>
      </tp>
      <tp t="e">
        <v>#N/A</v>
        <stp/>
        <stp>BDH|15350728617626104905</stp>
        <tr r="L28" s="18"/>
      </tp>
      <tp t="e">
        <v>#N/A</v>
        <stp/>
        <stp>BDH|15492026540248314521</stp>
        <tr r="F17" s="6"/>
      </tp>
      <tp t="e">
        <v>#N/A</v>
        <stp/>
        <stp>BDH|16187662037219310645</stp>
        <tr r="K30" s="34"/>
      </tp>
      <tp t="e">
        <v>#N/A</v>
        <stp/>
        <stp>BDH|16645837257725432214</stp>
        <tr r="M8" s="8"/>
      </tp>
      <tp t="e">
        <v>#N/A</v>
        <stp/>
        <stp>BDH|10796007592243296606</stp>
        <tr r="J66" s="17"/>
      </tp>
      <tp t="e">
        <v>#N/A</v>
        <stp/>
        <stp>BDH|12171125574221927991</stp>
        <tr r="Z44" s="12"/>
      </tp>
      <tp t="e">
        <v>#N/A</v>
        <stp/>
        <stp>BDH|10723089253981309881</stp>
        <tr r="O24" s="29"/>
      </tp>
      <tp t="e">
        <v>#N/A</v>
        <stp/>
        <stp>BDH|13303349112845214803</stp>
        <tr r="W85" s="18"/>
      </tp>
      <tp t="e">
        <v>#N/A</v>
        <stp/>
        <stp>BDH|16339850072640103527</stp>
        <tr r="J45" s="11"/>
        <tr r="J56" s="10"/>
        <tr r="J16" s="7"/>
      </tp>
      <tp t="e">
        <v>#N/A</v>
        <stp/>
        <stp>BDH|11261355984617170150</stp>
        <tr r="O30" s="34"/>
      </tp>
      <tp t="e">
        <v>#N/A</v>
        <stp/>
        <stp>BDH|17408851897148810293</stp>
        <tr r="Q92" s="18"/>
      </tp>
      <tp t="e">
        <v>#N/A</v>
        <stp/>
        <stp>BDH|13054842092218122605</stp>
        <tr r="N171" s="18"/>
      </tp>
      <tp t="e">
        <v>#N/A</v>
        <stp/>
        <stp>BDH|10285935257073076318</stp>
        <tr r="W51" s="12"/>
      </tp>
      <tp t="e">
        <v>#N/A</v>
        <stp/>
        <stp>BDH|12647855623070220451</stp>
        <tr r="H18" s="24"/>
      </tp>
      <tp t="e">
        <v>#N/A</v>
        <stp/>
        <stp>BDH|14591942273680240678</stp>
        <tr r="Q32" s="29"/>
        <tr r="O34" s="5"/>
      </tp>
      <tp t="e">
        <v>#N/A</v>
        <stp/>
        <stp>BDH|15718885941421019490</stp>
        <tr r="E55" s="24"/>
      </tp>
      <tp t="e">
        <v>#N/A</v>
        <stp/>
        <stp>BDH|14403652597406512146</stp>
        <tr r="R7" s="20"/>
        <tr r="R113" s="18"/>
      </tp>
      <tp t="e">
        <v>#N/A</v>
        <stp/>
        <stp>BDH|10662580443739363496</stp>
        <tr r="S98" s="18"/>
      </tp>
      <tp t="e">
        <v>#N/A</v>
        <stp/>
        <stp>BDH|13585516092367550448</stp>
        <tr r="Y40" s="22"/>
      </tp>
      <tp t="e">
        <v>#N/A</v>
        <stp/>
        <stp>BDH|17118865092463423965</stp>
        <tr r="Z36" s="17"/>
      </tp>
      <tp t="e">
        <v>#N/A</v>
        <stp/>
        <stp>BDH|17372448502416784954</stp>
        <tr r="AA154" s="18"/>
      </tp>
      <tp t="e">
        <v>#N/A</v>
        <stp/>
        <stp>BDH|12172593518479654313</stp>
        <tr r="D20" s="5"/>
      </tp>
      <tp t="e">
        <v>#N/A</v>
        <stp/>
        <stp>BDH|16563948233894055456</stp>
        <tr r="U11" s="13"/>
      </tp>
      <tp t="e">
        <v>#N/A</v>
        <stp/>
        <stp>BDH|10539292224494971867</stp>
        <tr r="O48" s="21"/>
      </tp>
      <tp t="e">
        <v>#N/A</v>
        <stp/>
        <stp>BDH|10238063090443019631</stp>
        <tr r="S24" s="21"/>
      </tp>
      <tp t="e">
        <v>#N/A</v>
        <stp/>
        <stp>BDH|10657650696235256606</stp>
        <tr r="L27" s="25"/>
        <tr r="J20" s="11"/>
      </tp>
      <tp t="e">
        <v>#N/A</v>
        <stp/>
        <stp>BDH|14665073185119643954</stp>
        <tr r="U34" s="22"/>
      </tp>
      <tp t="e">
        <v>#N/A</v>
        <stp/>
        <stp>BDH|15189810604213473266</stp>
        <tr r="F76" s="17"/>
      </tp>
      <tp t="e">
        <v>#N/A</v>
        <stp/>
        <stp>BDH|10849816087634088887</stp>
        <tr r="R32" s="18"/>
      </tp>
      <tp t="e">
        <v>#N/A</v>
        <stp/>
        <stp>BDH|18115349510643145520</stp>
        <tr r="C6" s="6"/>
      </tp>
      <tp t="e">
        <v>#N/A</v>
        <stp/>
        <stp>BDH|14437080988475375519</stp>
        <tr r="S39" s="11"/>
        <tr r="S50" s="10"/>
      </tp>
      <tp t="e">
        <v>#N/A</v>
        <stp/>
        <stp>BDH|14402421185875433113</stp>
        <tr r="D40" s="22"/>
      </tp>
      <tp t="e">
        <v>#N/A</v>
        <stp/>
        <stp>BDH|18184224471153507214</stp>
        <tr r="J7" s="21"/>
      </tp>
      <tp t="e">
        <v>#N/A</v>
        <stp/>
        <stp>BDH|14587370378688461480</stp>
        <tr r="E63" s="11"/>
        <tr r="E74" s="10"/>
      </tp>
      <tp t="e">
        <v>#N/A</v>
        <stp/>
        <stp>BDH|17077224990257193750</stp>
        <tr r="P60" s="13"/>
        <tr r="N48" s="11"/>
        <tr r="N59" s="10"/>
        <tr r="N17" s="7"/>
        <tr r="P10" s="3"/>
        <tr r="N17" s="4"/>
      </tp>
      <tp t="e">
        <v>#N/A</v>
        <stp/>
        <stp>BDH|10485181958379313114</stp>
        <tr r="E35" s="17"/>
      </tp>
      <tp t="e">
        <v>#N/A</v>
        <stp/>
        <stp>BDH|17964580263239737139</stp>
        <tr r="Y18" s="22"/>
      </tp>
      <tp t="e">
        <v>#N/A</v>
        <stp/>
        <stp>BDH|13640779732369075254</stp>
        <tr r="G38" s="25"/>
        <tr r="G92" s="17"/>
      </tp>
      <tp t="e">
        <v>#N/A</v>
        <stp/>
        <stp>BDH|14631108055198109449</stp>
        <tr r="P55" s="10"/>
        <tr r="P44" s="11"/>
        <tr r="P15" s="7"/>
      </tp>
      <tp t="e">
        <v>#N/A</v>
        <stp/>
        <stp>BDH|11355693492906743498</stp>
        <tr r="W13" s="9"/>
      </tp>
      <tp t="e">
        <v>#N/A</v>
        <stp/>
        <stp>BDH|12707615144794344874</stp>
        <tr r="F68" s="18"/>
      </tp>
      <tp t="e">
        <v>#N/A</v>
        <stp/>
        <stp>BDH|13625248096103781751</stp>
        <tr r="L52" s="18"/>
      </tp>
      <tp t="e">
        <v>#N/A</v>
        <stp/>
        <stp>BDH|11618425572429747775</stp>
        <tr r="P171" s="18"/>
      </tp>
      <tp t="e">
        <v>#N/A</v>
        <stp/>
        <stp>BDH|13864187971218729100</stp>
        <tr r="O56" s="11"/>
      </tp>
      <tp t="e">
        <v>#N/A</v>
        <stp/>
        <stp>BDH|14334128257325613968</stp>
        <tr r="I18" s="28"/>
        <tr r="I15" s="17"/>
      </tp>
      <tp t="e">
        <v>#N/A</v>
        <stp/>
        <stp>BDH|18203433751760171572</stp>
        <tr r="K23" s="26"/>
      </tp>
      <tp t="e">
        <v>#N/A</v>
        <stp/>
        <stp>BDH|12158364516505003974</stp>
        <tr r="P26" s="12"/>
      </tp>
      <tp t="e">
        <v>#N/A</v>
        <stp/>
        <stp>BDH|17714822333488774870</stp>
        <tr r="L22" s="26"/>
      </tp>
      <tp t="e">
        <v>#N/A</v>
        <stp/>
        <stp>BDH|12886790790159383941</stp>
        <tr r="E16" s="25"/>
      </tp>
      <tp t="e">
        <v>#N/A</v>
        <stp/>
        <stp>BDH|13997837329467621238</stp>
        <tr r="L12" s="6"/>
      </tp>
      <tp t="e">
        <v>#N/A</v>
        <stp/>
        <stp>BDH|17317095356459993739</stp>
        <tr r="V43" s="25"/>
        <tr r="V7" s="13"/>
        <tr r="V22" s="13"/>
        <tr r="T17" s="11"/>
        <tr r="V7" s="3"/>
      </tp>
      <tp t="e">
        <v>#N/A</v>
        <stp/>
        <stp>BDH|14046162781101143004</stp>
        <tr r="F7" s="8"/>
      </tp>
      <tp t="e">
        <v>#N/A</v>
        <stp/>
        <stp>BDH|15040221827991797843</stp>
        <tr r="V19" s="11"/>
      </tp>
      <tp t="e">
        <v>#N/A</v>
        <stp/>
        <stp>BDH|11100967958255013491</stp>
        <tr r="U41" s="21"/>
      </tp>
      <tp t="e">
        <v>#N/A</v>
        <stp/>
        <stp>BDH|17050244211791202913</stp>
        <tr r="O36" s="4"/>
      </tp>
      <tp t="e">
        <v>#N/A</v>
        <stp/>
        <stp>BDH|18320914307115320800</stp>
        <tr r="X13" s="26"/>
      </tp>
      <tp t="e">
        <v>#N/A</v>
        <stp/>
        <stp>BDH|10274512937653318916</stp>
        <tr r="Z53" s="18"/>
      </tp>
      <tp t="e">
        <v>#N/A</v>
        <stp/>
        <stp>BDH|16314007920961099952</stp>
        <tr r="V24" s="13"/>
      </tp>
      <tp t="e">
        <v>#N/A</v>
        <stp/>
        <stp>BDH|14002988867523351453</stp>
        <tr r="H29" s="6"/>
      </tp>
      <tp t="e">
        <v>#N/A</v>
        <stp/>
        <stp>BDH|14116668014209325692</stp>
        <tr r="R54" s="17"/>
        <tr r="R17" s="3"/>
      </tp>
      <tp t="e">
        <v>#N/A</v>
        <stp/>
        <stp>BDH|14715223062854845867</stp>
        <tr r="U93" s="12"/>
      </tp>
      <tp t="e">
        <v>#N/A</v>
        <stp/>
        <stp>BDH|14863986664576991145</stp>
        <tr r="AA40" s="18"/>
      </tp>
      <tp t="e">
        <v>#N/A</v>
        <stp/>
        <stp>BDH|12211733110868044087</stp>
        <tr r="L65" s="18"/>
      </tp>
      <tp t="e">
        <v>#N/A</v>
        <stp/>
        <stp>BDH|17782276385882470389</stp>
        <tr r="M64" s="17"/>
      </tp>
      <tp t="e">
        <v>#N/A</v>
        <stp/>
        <stp>BDH|17295621945080472987</stp>
        <tr r="V87" s="18"/>
      </tp>
      <tp t="e">
        <v>#N/A</v>
        <stp/>
        <stp>BDH|11483287966259342006</stp>
        <tr r="F22" s="6"/>
      </tp>
      <tp t="e">
        <v>#N/A</v>
        <stp/>
        <stp>BDH|13815967404187015139</stp>
        <tr r="R39" s="18"/>
      </tp>
      <tp t="e">
        <v>#N/A</v>
        <stp/>
        <stp>BDH|15314768977079370081</stp>
        <tr r="I19" s="34"/>
      </tp>
      <tp t="e">
        <v>#N/A</v>
        <stp/>
        <stp>BDH|12195596681336021501</stp>
        <tr r="I47" s="22"/>
      </tp>
      <tp t="e">
        <v>#N/A</v>
        <stp/>
        <stp>BDH|10566178299950002428</stp>
        <tr r="E17" s="18"/>
      </tp>
      <tp t="e">
        <v>#N/A</v>
        <stp/>
        <stp>BDH|10488282585975955398</stp>
        <tr r="P152" s="18"/>
      </tp>
      <tp t="e">
        <v>#N/A</v>
        <stp/>
        <stp>BDH|13303595054126299953</stp>
        <tr r="H62" s="13"/>
      </tp>
      <tp t="e">
        <v>#N/A</v>
        <stp/>
        <stp>BDH|14752110988359394841</stp>
        <tr r="U14" s="34"/>
      </tp>
      <tp t="e">
        <v>#N/A</v>
        <stp/>
        <stp>BDH|11804235498133320598</stp>
        <tr r="S51" s="13"/>
      </tp>
      <tp t="e">
        <v>#N/A</v>
        <stp/>
        <stp>BDH|15319266761329497490</stp>
        <tr r="O37" s="22"/>
      </tp>
      <tp t="e">
        <v>#N/A</v>
        <stp/>
        <stp>BDH|13609968059541767276</stp>
        <tr r="X42" s="6"/>
      </tp>
      <tp t="e">
        <v>#N/A</v>
        <stp/>
        <stp>BDH|11123371292860542783</stp>
        <tr r="P66" s="18"/>
      </tp>
      <tp t="e">
        <v>#N/A</v>
        <stp/>
        <stp>BDH|17997609912044615842</stp>
        <tr r="R70" s="10"/>
      </tp>
      <tp t="e">
        <v>#N/A</v>
        <stp/>
        <stp>BDH|17292619410228808420</stp>
        <tr r="S17" s="14"/>
      </tp>
      <tp t="e">
        <v>#N/A</v>
        <stp/>
        <stp>BDH|12544071890535851237</stp>
        <tr r="U82" s="12"/>
      </tp>
      <tp t="e">
        <v>#N/A</v>
        <stp/>
        <stp>BDH|10503229694774254389</stp>
        <tr r="I76" s="12"/>
      </tp>
      <tp t="e">
        <v>#N/A</v>
        <stp/>
        <stp>BDH|11601036665742812912</stp>
        <tr r="V17" s="34"/>
      </tp>
      <tp t="e">
        <v>#N/A</v>
        <stp/>
        <stp>BDH|17592422799692657419</stp>
        <tr r="R36" s="4"/>
      </tp>
      <tp t="e">
        <v>#N/A</v>
        <stp/>
        <stp>BDH|15364683621424138922</stp>
        <tr r="F80" s="12"/>
      </tp>
      <tp t="e">
        <v>#N/A</v>
        <stp/>
        <stp>BDH|13761292796340126405</stp>
        <tr r="V72" s="24"/>
      </tp>
      <tp t="e">
        <v>#N/A</v>
        <stp/>
        <stp>BDH|16157521268389209007</stp>
        <tr r="T11" s="30"/>
      </tp>
      <tp t="e">
        <v>#N/A</v>
        <stp/>
        <stp>BDH|17456470039769716543</stp>
        <tr r="U23" s="20"/>
      </tp>
      <tp t="e">
        <v>#N/A</v>
        <stp/>
        <stp>BDH|11174597184856083650</stp>
        <tr r="Q8" s="8"/>
      </tp>
      <tp t="e">
        <v>#N/A</v>
        <stp/>
        <stp>BDH|12212641851508966574</stp>
        <tr r="F20" s="24"/>
      </tp>
      <tp t="e">
        <v>#N/A</v>
        <stp/>
        <stp>BDH|11144916538022348521</stp>
        <tr r="H63" s="24"/>
      </tp>
      <tp t="e">
        <v>#N/A</v>
        <stp/>
        <stp>BDH|13210589294692191161</stp>
        <tr r="K28" s="18"/>
      </tp>
      <tp t="e">
        <v>#N/A</v>
        <stp/>
        <stp>BDH|13161525358279161631</stp>
        <tr r="J33" s="5"/>
      </tp>
      <tp t="e">
        <v>#N/A</v>
        <stp/>
        <stp>BDH|14462295858238973753</stp>
        <tr r="I13" s="13"/>
      </tp>
      <tp t="e">
        <v>#N/A</v>
        <stp/>
        <stp>BDH|17637023044778108783</stp>
        <tr r="M12" s="14"/>
      </tp>
      <tp t="e">
        <v>#N/A</v>
        <stp/>
        <stp>BDH|12845278945649784159</stp>
        <tr r="V26" s="22"/>
      </tp>
      <tp t="e">
        <v>#N/A</v>
        <stp/>
        <stp>BDH|16075732259221694945</stp>
        <tr r="R85" s="17"/>
      </tp>
      <tp t="e">
        <v>#N/A</v>
        <stp/>
        <stp>BDH|16883573570880211858</stp>
        <tr r="C29" s="26"/>
      </tp>
      <tp t="e">
        <v>#N/A</v>
        <stp/>
        <stp>BDH|11791861246358633992</stp>
        <tr r="X53" s="24"/>
      </tp>
      <tp t="e">
        <v>#N/A</v>
        <stp/>
        <stp>BDH|11582593083742421234</stp>
        <tr r="K13" s="8"/>
      </tp>
      <tp t="e">
        <v>#N/A</v>
        <stp/>
        <stp>BDH|18431049174527404486</stp>
        <tr r="D37" s="22"/>
      </tp>
      <tp t="e">
        <v>#N/A</v>
        <stp/>
        <stp>BDH|15241006802690998915</stp>
        <tr r="F10" s="17"/>
      </tp>
      <tp t="e">
        <v>#N/A</v>
        <stp/>
        <stp>BDH|10884260755759365207</stp>
        <tr r="F21" s="5"/>
      </tp>
      <tp t="e">
        <v>#N/A</v>
        <stp/>
        <stp>BDH|16624529348839691227</stp>
        <tr r="Z27" s="26"/>
      </tp>
      <tp t="e">
        <v>#N/A</v>
        <stp/>
        <stp>BDH|12984956018250873646</stp>
        <tr r="N84" s="17"/>
        <tr r="L6" s="7"/>
        <tr r="N20" s="3"/>
      </tp>
      <tp t="e">
        <v>#N/A</v>
        <stp/>
        <stp>BDH|14300913537542827058</stp>
        <tr r="Y17" s="20"/>
      </tp>
      <tp t="e">
        <v>#N/A</v>
        <stp/>
        <stp>BDH|15022598407158375450</stp>
        <tr r="F7" s="34"/>
      </tp>
      <tp t="e">
        <v>#N/A</v>
        <stp/>
        <stp>BDH|11227835925265909259</stp>
        <tr r="X42" s="17"/>
      </tp>
      <tp t="e">
        <v>#N/A</v>
        <stp/>
        <stp>BDH|18441804348381332973</stp>
        <tr r="C13" s="27"/>
        <tr r="C31" s="25"/>
      </tp>
      <tp t="e">
        <v>#N/A</v>
        <stp/>
        <stp>BDH|10976882775573514092</stp>
        <tr r="Z27" s="25"/>
        <tr r="X20" s="11"/>
      </tp>
      <tp t="e">
        <v>#N/A</v>
        <stp/>
        <stp>BDH|10109604079759840485</stp>
        <tr r="F88" s="17"/>
      </tp>
      <tp t="e">
        <v>#N/A</v>
        <stp/>
        <stp>BDH|12044485320508309036</stp>
        <tr r="G163" s="18"/>
      </tp>
      <tp t="e">
        <v>#N/A</v>
        <stp/>
        <stp>BDH|10884198838467571941</stp>
        <tr r="H19" s="6"/>
      </tp>
      <tp t="e">
        <v>#N/A</v>
        <stp/>
        <stp>BDH|17137166127648168097</stp>
        <tr r="X43" s="6"/>
      </tp>
      <tp t="e">
        <v>#N/A</v>
        <stp/>
        <stp>BDH|11983969560304081678</stp>
        <tr r="F30" s="26"/>
      </tp>
      <tp t="e">
        <v>#N/A</v>
        <stp/>
        <stp>BDH|15071965014159344895</stp>
        <tr r="Q24" s="2"/>
      </tp>
      <tp t="e">
        <v>#N/A</v>
        <stp/>
        <stp>BDH|11684719393280860344</stp>
        <tr r="S71" s="12"/>
      </tp>
      <tp t="e">
        <v>#N/A</v>
        <stp/>
        <stp>BDH|11840236369999327099</stp>
        <tr r="Y46" s="21"/>
      </tp>
      <tp t="e">
        <v>#N/A</v>
        <stp/>
        <stp>BDH|17321983821643700357</stp>
        <tr r="P12" s="25"/>
      </tp>
      <tp t="e">
        <v>#N/A</v>
        <stp/>
        <stp>BDH|10048973169453547030</stp>
        <tr r="T168" s="18"/>
      </tp>
      <tp t="e">
        <v>#N/A</v>
        <stp/>
        <stp>BDH|16452826078071557431</stp>
        <tr r="Y32" s="29"/>
        <tr r="W34" s="5"/>
      </tp>
      <tp t="e">
        <v>#N/A</v>
        <stp/>
        <stp>BDH|11698717595220934339</stp>
        <tr r="D53" s="24"/>
      </tp>
      <tp t="e">
        <v>#N/A</v>
        <stp/>
        <stp>BDH|12994719727508203353</stp>
        <tr r="E21" s="5"/>
      </tp>
      <tp t="e">
        <v>#N/A</v>
        <stp/>
        <stp>BDH|11856144496942543779</stp>
        <tr r="Y157" s="18"/>
      </tp>
      <tp t="e">
        <v>#N/A</v>
        <stp/>
        <stp>BDH|10971672110528738317</stp>
        <tr r="Y27" s="11"/>
        <tr r="Y38" s="10"/>
      </tp>
      <tp t="e">
        <v>#N/A</v>
        <stp/>
        <stp>BDH|18307723829902593369</stp>
        <tr r="D18" s="18"/>
      </tp>
      <tp t="e">
        <v>#N/A</v>
        <stp/>
        <stp>BDH|13052457415983325981</stp>
        <tr r="E58" s="24"/>
      </tp>
      <tp t="e">
        <v>#N/A</v>
        <stp/>
        <stp>BDH|17363254882553701288</stp>
        <tr r="D11" s="14"/>
      </tp>
      <tp t="e">
        <v>#N/A</v>
        <stp/>
        <stp>BDH|16775394092386369649</stp>
        <tr r="L72" s="12"/>
      </tp>
      <tp t="e">
        <v>#N/A</v>
        <stp/>
        <stp>BDH|17952308655739220457</stp>
        <tr r="O7" s="28"/>
      </tp>
      <tp t="e">
        <v>#N/A</v>
        <stp/>
        <stp>BDH|17997956697369420241</stp>
        <tr r="D12" s="12"/>
      </tp>
      <tp t="e">
        <v>#N/A</v>
        <stp/>
        <stp>BDH|10440085897295676069</stp>
        <tr r="I43" s="17"/>
      </tp>
      <tp t="e">
        <v>#N/A</v>
        <stp/>
        <stp>BDH|10505593775879200707</stp>
        <tr r="Q43" s="18"/>
      </tp>
      <tp t="e">
        <v>#N/A</v>
        <stp/>
        <stp>BDH|10211489584405550505</stp>
        <tr r="U37" s="17"/>
      </tp>
      <tp t="e">
        <v>#N/A</v>
        <stp/>
        <stp>BDH|17550949566672974651</stp>
        <tr r="H12" s="14"/>
      </tp>
      <tp t="e">
        <v>#N/A</v>
        <stp/>
        <stp>BDH|16092387855215464929</stp>
        <tr r="J29" s="4"/>
      </tp>
      <tp t="e">
        <v>#N/A</v>
        <stp/>
        <stp>BDH|12773276034427658893</stp>
        <tr r="D24" s="25"/>
      </tp>
      <tp t="e">
        <v>#N/A</v>
        <stp/>
        <stp>BDH|12949067340533110954</stp>
        <tr r="X16" s="25"/>
      </tp>
      <tp t="e">
        <v>#N/A</v>
        <stp/>
        <stp>BDH|16714476372010017995</stp>
        <tr r="H19" s="26"/>
      </tp>
      <tp t="e">
        <v>#N/A</v>
        <stp/>
        <stp>BDH|15862054387885685470</stp>
        <tr r="N146" s="18"/>
      </tp>
      <tp t="e">
        <v>#N/A</v>
        <stp/>
        <stp>BDH|12956647810128395158</stp>
        <tr r="S25" s="12"/>
      </tp>
      <tp t="e">
        <v>#N/A</v>
        <stp/>
        <stp>BDH|11480248458678147220</stp>
        <tr r="C39" s="11"/>
        <tr r="C50" s="10"/>
      </tp>
      <tp t="e">
        <v>#N/A</v>
        <stp/>
        <stp>BDH|10033290742302405842</stp>
        <tr r="J12" s="24"/>
      </tp>
      <tp t="e">
        <v>#N/A</v>
        <stp/>
        <stp>BDH|12652805210435856251</stp>
        <tr r="N43" s="17"/>
      </tp>
      <tp t="e">
        <v>#N/A</v>
        <stp/>
        <stp>BDH|12497474192470992330</stp>
        <tr r="L35" s="26"/>
        <tr r="I14" s="9"/>
      </tp>
      <tp t="e">
        <v>#N/A</v>
        <stp/>
        <stp>BDH|11302835656604874453</stp>
        <tr r="L37" s="29"/>
        <tr r="L23" s="29"/>
        <tr r="L14" s="29"/>
      </tp>
      <tp t="e">
        <v>#N/A</v>
        <stp/>
        <stp>BDH|17414658784776789390</stp>
        <tr r="X6" s="15"/>
        <tr r="X6" s="10"/>
        <tr r="X11" s="4"/>
        <tr r="X12" s="2"/>
      </tp>
      <tp t="e">
        <v>#N/A</v>
        <stp/>
        <stp>BDH|16337320097099442991</stp>
        <tr r="W64" s="17"/>
      </tp>
      <tp t="e">
        <v>#N/A</v>
        <stp/>
        <stp>BDH|18193436309794268428</stp>
        <tr r="J8" s="14"/>
      </tp>
      <tp t="e">
        <v>#N/A</v>
        <stp/>
        <stp>BDH|11994630889725039688</stp>
        <tr r="U15" s="12"/>
      </tp>
      <tp t="e">
        <v>#N/A</v>
        <stp/>
        <stp>BDH|14460832853684813176</stp>
        <tr r="K96" s="12"/>
      </tp>
      <tp t="e">
        <v>#N/A</v>
        <stp/>
        <stp>BDH|12702305879882514808</stp>
        <tr r="J168" s="18"/>
      </tp>
      <tp t="e">
        <v>#N/A</v>
        <stp/>
        <stp>BDH|13073438188905987685</stp>
        <tr r="Q27" s="13"/>
      </tp>
      <tp t="e">
        <v>#N/A</v>
        <stp/>
        <stp>BDH|11571413212180572898</stp>
        <tr r="G8" s="25"/>
        <tr r="D10" s="5"/>
        <tr r="E9" s="2"/>
      </tp>
      <tp t="e">
        <v>#N/A</v>
        <stp/>
        <stp>BDH|13233617115060571899</stp>
        <tr r="V14" s="10"/>
      </tp>
      <tp t="e">
        <v>#N/A</v>
        <stp/>
        <stp>BDH|10105989791929084522</stp>
        <tr r="H55" s="13"/>
      </tp>
      <tp t="e">
        <v>#N/A</v>
        <stp/>
        <stp>BDH|11985702637719110056</stp>
        <tr r="W10" s="11"/>
      </tp>
      <tp t="e">
        <v>#N/A</v>
        <stp/>
        <stp>BDH|13038980223146737268</stp>
        <tr r="J159" s="18"/>
      </tp>
      <tp t="e">
        <v>#N/A</v>
        <stp/>
        <stp>BDH|14346682930865270831</stp>
        <tr r="X155" s="18"/>
      </tp>
      <tp t="e">
        <v>#N/A</v>
        <stp/>
        <stp>BDH|13191746848214363843</stp>
        <tr r="D17" s="22"/>
      </tp>
      <tp t="e">
        <v>#N/A</v>
        <stp/>
        <stp>BDH|14288575439576580838</stp>
        <tr r="P11" s="13"/>
      </tp>
      <tp t="e">
        <v>#N/A</v>
        <stp/>
        <stp>BDH|15423342213199003299</stp>
        <tr r="L80" s="12"/>
      </tp>
      <tp t="e">
        <v>#N/A</v>
        <stp/>
        <stp>BDH|17901828800472874193</stp>
        <tr r="O24" s="2"/>
      </tp>
      <tp t="e">
        <v>#N/A</v>
        <stp/>
        <stp>BDH|11894146901608298458</stp>
        <tr r="S10" s="24"/>
      </tp>
      <tp t="e">
        <v>#N/A</v>
        <stp/>
        <stp>BDH|13036398611008669542</stp>
        <tr r="N72" s="13"/>
      </tp>
      <tp t="e">
        <v>#N/A</v>
        <stp/>
        <stp>BDH|14844383758369723759</stp>
        <tr r="O23" s="17"/>
      </tp>
      <tp t="e">
        <v>#N/A</v>
        <stp/>
        <stp>BDH|10875012749718841029</stp>
        <tr r="O21" s="4"/>
      </tp>
      <tp t="e">
        <v>#N/A</v>
        <stp/>
        <stp>BDH|12950799969247583868</stp>
        <tr r="C11" s="18"/>
      </tp>
      <tp t="e">
        <v>#N/A</v>
        <stp/>
        <stp>BDH|14606340308669187210</stp>
        <tr r="V13" s="8"/>
      </tp>
      <tp t="e">
        <v>#N/A</v>
        <stp/>
        <stp>BDH|17775507289981059742</stp>
        <tr r="G63" s="17"/>
      </tp>
      <tp t="e">
        <v>#N/A</v>
        <stp/>
        <stp>BDH|14195594360923227808</stp>
        <tr r="V69" s="10"/>
        <tr r="V39" s="4"/>
      </tp>
      <tp t="e">
        <v>#N/A</v>
        <stp/>
        <stp>BDH|18348780221907158616</stp>
        <tr r="O13" s="9"/>
      </tp>
      <tp t="e">
        <v>#N/A</v>
        <stp/>
        <stp>BDH|13149804945317789496</stp>
        <tr r="R68" s="13"/>
      </tp>
      <tp t="e">
        <v>#N/A</v>
        <stp/>
        <stp>BDH|14742900428063308069</stp>
        <tr r="P67" s="17"/>
      </tp>
      <tp t="e">
        <v>#N/A</v>
        <stp/>
        <stp>BDH|10041858790024993968</stp>
        <tr r="H69" s="12"/>
      </tp>
      <tp t="e">
        <v>#N/A</v>
        <stp/>
        <stp>BDH|14668856222556902429</stp>
        <tr r="I53" s="17"/>
      </tp>
      <tp t="e">
        <v>#N/A</v>
        <stp/>
        <stp>BDH|14404921031154542687</stp>
        <tr r="Y28" s="17"/>
      </tp>
      <tp t="e">
        <v>#N/A</v>
        <stp/>
        <stp>BDH|14840653741243345953</stp>
        <tr r="O14" s="13"/>
      </tp>
      <tp t="e">
        <v>#N/A</v>
        <stp/>
        <stp>BDH|16226815036058712987</stp>
        <tr r="S20" s="24"/>
      </tp>
      <tp t="e">
        <v>#N/A</v>
        <stp/>
        <stp>BDH|16811151088794817776</stp>
        <tr r="T63" s="24"/>
      </tp>
      <tp t="e">
        <v>#N/A</v>
        <stp/>
        <stp>BDH|13097139528349448557</stp>
        <tr r="W7" s="27"/>
        <tr r="W94" s="17"/>
      </tp>
      <tp t="e">
        <v>#N/A</v>
        <stp/>
        <stp>BDH|18402596607323463243</stp>
        <tr r="O44" s="18"/>
      </tp>
      <tp t="e">
        <v>#N/A</v>
        <stp/>
        <stp>BDH|12761168066680990947</stp>
        <tr r="U45" s="12"/>
      </tp>
      <tp t="e">
        <v>#N/A</v>
        <stp/>
        <stp>BDH|17564389535803085829</stp>
        <tr r="Z24" s="25"/>
      </tp>
      <tp t="e">
        <v>#N/A</v>
        <stp/>
        <stp>BDH|12897640353889629436</stp>
        <tr r="V25" s="13"/>
      </tp>
      <tp t="e">
        <v>#N/A</v>
        <stp/>
        <stp>BDH|13694779007631848946</stp>
        <tr r="F7" s="21"/>
      </tp>
      <tp t="e">
        <v>#N/A</v>
        <stp/>
        <stp>BDH|14563776552553245985</stp>
        <tr r="U80" s="17"/>
      </tp>
      <tp t="e">
        <v>#N/A</v>
        <stp/>
        <stp>BDH|15198239554627241999</stp>
        <tr r="AA42" s="22"/>
      </tp>
      <tp t="e">
        <v>#N/A</v>
        <stp/>
        <stp>BDH|14383297993771269265</stp>
        <tr r="M14" s="10"/>
      </tp>
      <tp t="e">
        <v>#N/A</v>
        <stp/>
        <stp>BDH|12990175012638472657</stp>
        <tr r="K22" s="21"/>
      </tp>
      <tp t="e">
        <v>#N/A</v>
        <stp/>
        <stp>BDH|11506582891658399927</stp>
        <tr r="T38" s="22"/>
      </tp>
      <tp t="e">
        <v>#N/A</v>
        <stp/>
        <stp>BDH|16647745619718665409</stp>
        <tr r="V14" s="8"/>
      </tp>
      <tp t="e">
        <v>#N/A</v>
        <stp/>
        <stp>BDH|12380884547374216637</stp>
        <tr r="C46" s="17"/>
      </tp>
      <tp t="e">
        <v>#N/A</v>
        <stp/>
        <stp>BDH|12218684780928360845</stp>
        <tr r="W65" s="11"/>
        <tr r="W76" s="10"/>
      </tp>
      <tp t="e">
        <v>#N/A</v>
        <stp/>
        <stp>BDH|15562100196057886661</stp>
        <tr r="AA46" s="22"/>
      </tp>
      <tp t="e">
        <v>#N/A</v>
        <stp/>
        <stp>BDH|14445959036056802423</stp>
        <tr r="H30" s="26"/>
      </tp>
      <tp t="e">
        <v>#N/A</v>
        <stp/>
        <stp>BDH|16395807083499475391</stp>
        <tr r="G40" s="24"/>
      </tp>
      <tp t="e">
        <v>#N/A</v>
        <stp/>
        <stp>BDH|12995526246268176716</stp>
        <tr r="T11" s="28"/>
      </tp>
      <tp t="e">
        <v>#N/A</v>
        <stp/>
        <stp>BDH|15245602074531389988</stp>
        <tr r="H77" s="18"/>
      </tp>
      <tp t="e">
        <v>#N/A</v>
        <stp/>
        <stp>BDH|10631737877694723883</stp>
        <tr r="AA30" s="26"/>
      </tp>
      <tp t="e">
        <v>#N/A</v>
        <stp/>
        <stp>BDH|10857537623732125945</stp>
        <tr r="AA67" s="18"/>
      </tp>
      <tp t="e">
        <v>#N/A</v>
        <stp/>
        <stp>BDH|17845853344145642220</stp>
        <tr r="L37" s="34"/>
      </tp>
      <tp t="e">
        <v>#N/A</v>
        <stp/>
        <stp>BDH|17241225590195528583</stp>
        <tr r="O77" s="18"/>
      </tp>
      <tp t="e">
        <v>#N/A</v>
        <stp/>
        <stp>BDH|17923751381210628463</stp>
        <tr r="R8" s="27"/>
      </tp>
      <tp t="e">
        <v>#N/A</v>
        <stp/>
        <stp>BDH|13238963445103968157</stp>
        <tr r="H100" s="12"/>
      </tp>
      <tp t="e">
        <v>#N/A</v>
        <stp/>
        <stp>BDH|11976531512730426913</stp>
        <tr r="P19" s="23"/>
        <tr r="N60" s="11"/>
      </tp>
      <tp t="e">
        <v>#N/A</v>
        <stp/>
        <stp>BDH|16975054276155274855</stp>
        <tr r="M16" s="23"/>
      </tp>
      <tp t="e">
        <v>#N/A</v>
        <stp/>
        <stp>BDH|14713996343952518758</stp>
        <tr r="S43" s="18"/>
      </tp>
      <tp t="e">
        <v>#N/A</v>
        <stp/>
        <stp>BDH|16878817284338110215</stp>
        <tr r="Z8" s="21"/>
      </tp>
      <tp t="e">
        <v>#N/A</v>
        <stp/>
        <stp>BDH|14356870208072249236</stp>
        <tr r="P91" s="12"/>
      </tp>
      <tp t="e">
        <v>#N/A</v>
        <stp/>
        <stp>BDH|17985324695564091537</stp>
        <tr r="J43" s="12"/>
      </tp>
      <tp t="e">
        <v>#N/A</v>
        <stp/>
        <stp>BDH|14152217648539200771</stp>
        <tr r="C10" s="26"/>
      </tp>
      <tp t="e">
        <v>#N/A</v>
        <stp/>
        <stp>BDH|13763424414572510890</stp>
        <tr r="AA46" s="18"/>
      </tp>
      <tp t="e">
        <v>#N/A</v>
        <stp/>
        <stp>BDH|12261366199697617362</stp>
        <tr r="Q28" s="21"/>
      </tp>
      <tp t="e">
        <v>#N/A</v>
        <stp/>
        <stp>BDH|13815306360902222879</stp>
        <tr r="E47" s="21"/>
      </tp>
      <tp t="e">
        <v>#N/A</v>
        <stp/>
        <stp>BDH|15485409158170047811</stp>
        <tr r="U18" s="28"/>
        <tr r="U15" s="17"/>
      </tp>
      <tp t="e">
        <v>#N/A</v>
        <stp/>
        <stp>BDH|15433925362717810115</stp>
        <tr r="G11" s="6"/>
      </tp>
      <tp t="e">
        <v>#N/A</v>
        <stp/>
        <stp>BDH|17726773498685546007</stp>
        <tr r="E56" s="17"/>
      </tp>
      <tp t="e">
        <v>#N/A</v>
        <stp/>
        <stp>BDH|12108359211075152998</stp>
        <tr r="W34" s="17"/>
      </tp>
      <tp t="e">
        <v>#N/A</v>
        <stp/>
        <stp>BDH|12464611163217993928</stp>
        <tr r="R27" s="24"/>
      </tp>
      <tp t="e">
        <v>#N/A</v>
        <stp/>
        <stp>BDH|11593960545255972537</stp>
        <tr r="K110" s="18"/>
      </tp>
      <tp t="e">
        <v>#N/A</v>
        <stp/>
        <stp>BDH|17715630397260683490</stp>
        <tr r="Q71" s="13"/>
      </tp>
      <tp t="e">
        <v>#N/A</v>
        <stp/>
        <stp>BDH|17475644098094781031</stp>
        <tr r="Z31" s="22"/>
      </tp>
      <tp t="e">
        <v>#N/A</v>
        <stp/>
        <stp>BDH|10336332478001183953</stp>
        <tr r="U28" s="21"/>
      </tp>
      <tp t="e">
        <v>#N/A</v>
        <stp/>
        <stp>BDH|10271422363837712986</stp>
        <tr r="G36" s="29"/>
        <tr r="G22" s="29"/>
        <tr r="G13" s="29"/>
      </tp>
      <tp t="e">
        <v>#N/A</v>
        <stp/>
        <stp>BDH|17749234058378227428</stp>
        <tr r="O48" s="6"/>
      </tp>
      <tp t="e">
        <v>#N/A</v>
        <stp/>
        <stp>BDH|11339408019888157079</stp>
        <tr r="L108" s="18"/>
      </tp>
      <tp t="e">
        <v>#N/A</v>
        <stp/>
        <stp>BDH|13033553834081961849</stp>
        <tr r="D63" s="18"/>
      </tp>
      <tp t="e">
        <v>#N/A</v>
        <stp/>
        <stp>BDH|14179196090235498505</stp>
        <tr r="F160" s="18"/>
      </tp>
      <tp t="e">
        <v>#N/A</v>
        <stp/>
        <stp>BDH|14289645185472632494</stp>
        <tr r="H53" s="18"/>
      </tp>
      <tp t="e">
        <v>#N/A</v>
        <stp/>
        <stp>BDH|14565156324069092287</stp>
        <tr r="X45" s="34"/>
      </tp>
      <tp t="e">
        <v>#N/A</v>
        <stp/>
        <stp>BDH|17946823603157791432</stp>
        <tr r="X10" s="10"/>
      </tp>
      <tp t="e">
        <v>#N/A</v>
        <stp/>
        <stp>BDH|10785122447011717896</stp>
        <tr r="R59" s="24"/>
      </tp>
      <tp t="e">
        <v>#N/A</v>
        <stp/>
        <stp>BDH|12710279525559083798</stp>
        <tr r="T53" s="18"/>
      </tp>
      <tp t="e">
        <v>#N/A</v>
        <stp/>
        <stp>BDH|15068983712243297242</stp>
        <tr r="T18" s="6"/>
      </tp>
      <tp t="e">
        <v>#N/A</v>
        <stp/>
        <stp>BDH|17404376299976021761</stp>
        <tr r="F94" s="18"/>
      </tp>
      <tp t="e">
        <v>#N/A</v>
        <stp/>
        <stp>BDH|11432448026223972832</stp>
        <tr r="W128" s="18"/>
      </tp>
      <tp t="e">
        <v>#N/A</v>
        <stp/>
        <stp>BDH|10926721694560230216</stp>
        <tr r="Y70" s="18"/>
      </tp>
      <tp t="e">
        <v>#N/A</v>
        <stp/>
        <stp>BDH|15846153141648303432</stp>
        <tr r="H31" s="29"/>
      </tp>
      <tp t="e">
        <v>#N/A</v>
        <stp/>
        <stp>BDH|11976961421024479263</stp>
        <tr r="F61" s="24"/>
      </tp>
      <tp t="e">
        <v>#N/A</v>
        <stp/>
        <stp>BDH|13276447936651970953</stp>
        <tr r="I15" s="14"/>
      </tp>
      <tp t="e">
        <v>#N/A</v>
        <stp/>
        <stp>BDH|13899609405001897898</stp>
        <tr r="AA50" s="12"/>
      </tp>
      <tp t="e">
        <v>#N/A</v>
        <stp/>
        <stp>BDH|17854782303644894878</stp>
        <tr r="G70" s="18"/>
      </tp>
      <tp t="e">
        <v>#N/A</v>
        <stp/>
        <stp>BDH|18130200067950926038</stp>
        <tr r="X46" s="17"/>
      </tp>
      <tp t="e">
        <v>#N/A</v>
        <stp/>
        <stp>BDH|11790484445098038569</stp>
        <tr r="Y52" s="18"/>
      </tp>
      <tp t="e">
        <v>#N/A</v>
        <stp/>
        <stp>BDH|11712115099357165226</stp>
        <tr r="H28" s="17"/>
      </tp>
      <tp t="e">
        <v>#N/A</v>
        <stp/>
        <stp>BDH|12710141766171158882</stp>
        <tr r="S42" s="21"/>
      </tp>
      <tp t="e">
        <v>#N/A</v>
        <stp/>
        <stp>BDH|15520802140366124387</stp>
        <tr r="H19" s="23"/>
        <tr r="F60" s="11"/>
      </tp>
      <tp t="e">
        <v>#N/A</v>
        <stp/>
        <stp>BDH|10752527132349818335</stp>
        <tr r="F19" s="10"/>
      </tp>
      <tp t="e">
        <v>#N/A</v>
        <stp/>
        <stp>BDH|16084089652117118874</stp>
        <tr r="R86" s="12"/>
      </tp>
      <tp t="e">
        <v>#N/A</v>
        <stp/>
        <stp>BDH|15633267184680110396</stp>
        <tr r="D41" s="17"/>
      </tp>
      <tp t="e">
        <v>#N/A</v>
        <stp/>
        <stp>BDH|13761604839459334311</stp>
        <tr r="C58" s="6"/>
      </tp>
      <tp t="e">
        <v>#N/A</v>
        <stp/>
        <stp>BDH|16419990260132022716</stp>
        <tr r="I166" s="18"/>
      </tp>
      <tp t="e">
        <v>#N/A</v>
        <stp/>
        <stp>BDH|12282590275575831995</stp>
        <tr r="V18" s="25"/>
      </tp>
      <tp t="e">
        <v>#N/A</v>
        <stp/>
        <stp>BDH|15024338267239263595</stp>
        <tr r="T94" s="12"/>
      </tp>
      <tp t="e">
        <v>#N/A</v>
        <stp/>
        <stp>BDH|10688992961493576043</stp>
        <tr r="X46" s="6"/>
        <tr r="X19" s="5"/>
      </tp>
      <tp t="e">
        <v>#N/A</v>
        <stp/>
        <stp>BDH|14429088324298445236</stp>
        <tr r="P76" s="24"/>
      </tp>
      <tp t="e">
        <v>#N/A</v>
        <stp/>
        <stp>BDH|16490119895971817371</stp>
        <tr r="E32" s="6"/>
      </tp>
      <tp t="e">
        <v>#N/A</v>
        <stp/>
        <stp>BDH|13113830458801352365</stp>
        <tr r="Y74" s="12"/>
      </tp>
      <tp t="e">
        <v>#N/A</v>
        <stp/>
        <stp>BDH|17157968835475984449</stp>
        <tr r="R26" s="12"/>
      </tp>
      <tp t="e">
        <v>#N/A</v>
        <stp/>
        <stp>BDH|11335568392746162792</stp>
        <tr r="T31" s="29"/>
      </tp>
      <tp t="e">
        <v>#N/A</v>
        <stp/>
        <stp>BDH|10882401002210611832</stp>
        <tr r="D9" s="13"/>
      </tp>
      <tp t="e">
        <v>#N/A</v>
        <stp/>
        <stp>BDH|14366679627685437985</stp>
        <tr r="T10" s="11"/>
      </tp>
      <tp t="e">
        <v>#N/A</v>
        <stp/>
        <stp>BDH|16803936594253095902</stp>
        <tr r="C18" s="10"/>
      </tp>
      <tp t="e">
        <v>#N/A</v>
        <stp/>
        <stp>BDH|18254411738100585312</stp>
        <tr r="S84" s="12"/>
      </tp>
      <tp t="e">
        <v>#N/A</v>
        <stp/>
        <stp>BDH|17478993633224492551</stp>
        <tr r="D21" s="10"/>
      </tp>
      <tp t="e">
        <v>#N/A</v>
        <stp/>
        <stp>BDH|18312613897928356390</stp>
        <tr r="J91" s="18"/>
      </tp>
      <tp t="e">
        <v>#N/A</v>
        <stp/>
        <stp>BDH|15472876949126795324</stp>
        <tr r="P42" s="18"/>
      </tp>
      <tp t="e">
        <v>#N/A</v>
        <stp/>
        <stp>BDH|17872023994990639273</stp>
        <tr r="U28" s="14"/>
      </tp>
      <tp t="e">
        <v>#N/A</v>
        <stp/>
        <stp>BDH|14562525599451684572</stp>
        <tr r="AA20" s="28"/>
        <tr r="AA17" s="17"/>
      </tp>
      <tp t="e">
        <v>#N/A</v>
        <stp/>
        <stp>BDH|13980418851416397851</stp>
        <tr r="F61" s="11"/>
      </tp>
      <tp t="e">
        <v>#N/A</v>
        <stp/>
        <stp>BDH|15515845309896711701</stp>
        <tr r="V66" s="12"/>
      </tp>
      <tp t="e">
        <v>#N/A</v>
        <stp/>
        <stp>BDH|13876913463148408816</stp>
        <tr r="X41" s="6"/>
        <tr r="X18" s="5"/>
      </tp>
      <tp t="e">
        <v>#N/A</v>
        <stp/>
        <stp>BDH|11249923909763642707</stp>
        <tr r="Z41" s="25"/>
        <tr r="Z59" s="21"/>
        <tr r="X54" s="11"/>
        <tr r="X31" s="4"/>
      </tp>
      <tp t="e">
        <v>#N/A</v>
        <stp/>
        <stp>BDH|16742886428119867906</stp>
        <tr r="Y70" s="17"/>
        <tr r="V8" s="9"/>
        <tr r="V8" s="5"/>
      </tp>
      <tp t="e">
        <v>#N/A</v>
        <stp/>
        <stp>BDH|15238758198011214628</stp>
        <tr r="W65" s="18"/>
      </tp>
      <tp t="e">
        <v>#N/A</v>
        <stp/>
        <stp>BDH|15824079084464047549</stp>
        <tr r="F132" s="18"/>
      </tp>
      <tp t="e">
        <v>#N/A</v>
        <stp/>
        <stp>BDH|13122990975544108535</stp>
        <tr r="Y43" s="22"/>
      </tp>
      <tp t="e">
        <v>#N/A</v>
        <stp/>
        <stp>BDH|10888966005464238168</stp>
        <tr r="R8" s="10"/>
      </tp>
      <tp t="e">
        <v>#N/A</v>
        <stp/>
        <stp>BDH|16853801244037730146</stp>
        <tr r="E32" s="11"/>
        <tr r="E43" s="10"/>
      </tp>
      <tp t="e">
        <v>#N/A</v>
        <stp/>
        <stp>BDH|17209827839340164072</stp>
        <tr r="U60" s="21"/>
        <tr r="S55" s="11"/>
      </tp>
      <tp t="e">
        <v>#N/A</v>
        <stp/>
        <stp>BDH|12255507358956090855</stp>
        <tr r="C16" s="28"/>
        <tr r="C13" s="17"/>
      </tp>
      <tp t="e">
        <v>#N/A</v>
        <stp/>
        <stp>BDH|17830116956148373735</stp>
        <tr r="E39" s="6"/>
      </tp>
      <tp t="e">
        <v>#N/A</v>
        <stp/>
        <stp>BDH|13303875979367713752</stp>
        <tr r="V30" s="24"/>
      </tp>
      <tp t="e">
        <v>#N/A</v>
        <stp/>
        <stp>BDH|13514863426176869321</stp>
        <tr r="O110" s="18"/>
      </tp>
      <tp t="e">
        <v>#N/A</v>
        <stp/>
        <stp>BDH|15224063749719436461</stp>
        <tr r="T18" s="20"/>
      </tp>
      <tp t="e">
        <v>#N/A</v>
        <stp/>
        <stp>BDH|17128424363699922066</stp>
        <tr r="E44" s="24"/>
      </tp>
      <tp t="e">
        <v>#N/A</v>
        <stp/>
        <stp>BDH|15304041331093824908</stp>
        <tr r="K40" s="29"/>
        <tr r="K17" s="29"/>
      </tp>
      <tp t="e">
        <v>#N/A</v>
        <stp/>
        <stp>BDH|16066185357106605879</stp>
        <tr r="E32" s="25"/>
        <tr r="E14" s="27"/>
      </tp>
      <tp t="e">
        <v>#N/A</v>
        <stp/>
        <stp>BDH|16940960753481111738</stp>
        <tr r="H42" s="18"/>
      </tp>
      <tp t="e">
        <v>#N/A</v>
        <stp/>
        <stp>BDH|12504870090986475987</stp>
        <tr r="C39" s="24"/>
      </tp>
      <tp t="e">
        <v>#N/A</v>
        <stp/>
        <stp>BDH|13750840361396890746</stp>
        <tr r="P64" s="12"/>
      </tp>
      <tp t="e">
        <v>#N/A</v>
        <stp/>
        <stp>BDH|14813446496760692520</stp>
        <tr r="I35" s="11"/>
        <tr r="I46" s="10"/>
      </tp>
      <tp t="e">
        <v>#N/A</v>
        <stp/>
        <stp>BDH|15989090176528171692</stp>
        <tr r="D88" s="18"/>
      </tp>
      <tp t="e">
        <v>#N/A</v>
        <stp/>
        <stp>BDH|12702757493883969361</stp>
        <tr r="W53" s="18"/>
      </tp>
      <tp t="e">
        <v>#N/A</v>
        <stp/>
        <stp>BDH|17805852740167483073</stp>
        <tr r="E32" s="13"/>
        <tr r="C25" s="10"/>
      </tp>
      <tp t="e">
        <v>#N/A</v>
        <stp/>
        <stp>BDH|12069379262219239296</stp>
        <tr r="N33" s="5"/>
      </tp>
      <tp t="e">
        <v>#N/A</v>
        <stp/>
        <stp>BDH|14031899777223377437</stp>
        <tr r="J70" s="13"/>
      </tp>
      <tp t="e">
        <v>#N/A</v>
        <stp/>
        <stp>BDH|13790840668755000451</stp>
        <tr r="E9" s="12"/>
      </tp>
      <tp t="e">
        <v>#N/A</v>
        <stp/>
        <stp>BDH|17020594480610274659</stp>
        <tr r="AA17" s="27"/>
        <tr r="AA35" s="25"/>
        <tr r="X14" s="5"/>
      </tp>
      <tp t="e">
        <v>#N/A</v>
        <stp/>
        <stp>BDH|10603811402935209195</stp>
        <tr r="P11" s="14"/>
      </tp>
      <tp t="e">
        <v>#N/A</v>
        <stp/>
        <stp>BDH|14978098232033518893</stp>
        <tr r="M9" s="6"/>
      </tp>
      <tp t="e">
        <v>#N/A</v>
        <stp/>
        <stp>BDH|13038477457916904871</stp>
        <tr r="D52" s="34"/>
      </tp>
      <tp t="e">
        <v>#N/A</v>
        <stp/>
        <stp>BDH|17831121689553923149</stp>
        <tr r="J11" s="30"/>
      </tp>
      <tp t="e">
        <v>#N/A</v>
        <stp/>
        <stp>BDH|10524698418103217888</stp>
        <tr r="E66" s="21"/>
      </tp>
      <tp t="e">
        <v>#N/A</v>
        <stp/>
        <stp>BDH|13139474866845842869</stp>
        <tr r="C43" s="24"/>
      </tp>
      <tp t="e">
        <v>#N/A</v>
        <stp/>
        <stp>BDH|13589793937253282870</stp>
        <tr r="O62" s="12"/>
      </tp>
      <tp t="e">
        <v>#N/A</v>
        <stp/>
        <stp>BDH|16484793469272884920</stp>
        <tr r="L35" s="21"/>
      </tp>
      <tp t="e">
        <v>#N/A</v>
        <stp/>
        <stp>BDH|15174704984422836434</stp>
        <tr r="M29" s="6"/>
      </tp>
      <tp t="e">
        <v>#N/A</v>
        <stp/>
        <stp>BDH|17454396790286462777</stp>
        <tr r="D62" s="13"/>
      </tp>
      <tp t="e">
        <v>#N/A</v>
        <stp/>
        <stp>BDH|14429867104032102292</stp>
        <tr r="V16" s="13"/>
        <tr r="V28" s="13"/>
        <tr r="T17" s="10"/>
      </tp>
      <tp t="e">
        <v>#N/A</v>
        <stp/>
        <stp>BDH|10694913644722598383</stp>
        <tr r="E13" s="25"/>
      </tp>
      <tp t="e">
        <v>#N/A</v>
        <stp/>
        <stp>BDH|13540501288717751540</stp>
        <tr r="J20" s="22"/>
      </tp>
      <tp t="e">
        <v>#N/A</v>
        <stp/>
        <stp>BDH|14327409518844744920</stp>
        <tr r="H16" s="34"/>
      </tp>
      <tp t="e">
        <v>#N/A</v>
        <stp/>
        <stp>BDH|17135887040543013477</stp>
        <tr r="U14" s="28"/>
      </tp>
      <tp t="e">
        <v>#N/A</v>
        <stp/>
        <stp>BDH|13579154281720953664</stp>
        <tr r="I171" s="18"/>
      </tp>
      <tp t="e">
        <v>#N/A</v>
        <stp/>
        <stp>BDH|16225902059876593004</stp>
        <tr r="R38" s="26"/>
      </tp>
      <tp t="e">
        <v>#N/A</v>
        <stp/>
        <stp>BDH|12113502168778409530</stp>
        <tr r="M46" s="18"/>
      </tp>
      <tp t="e">
        <v>#N/A</v>
        <stp/>
        <stp>BDH|15310011836209917337</stp>
        <tr r="Z13" s="21"/>
      </tp>
      <tp t="e">
        <v>#N/A</v>
        <stp/>
        <stp>BDH|10859240025568225456</stp>
        <tr r="W26" s="12"/>
      </tp>
      <tp t="e">
        <v>#N/A</v>
        <stp/>
        <stp>BDH|14511517886177838240</stp>
        <tr r="H18" s="27"/>
        <tr r="H36" s="25"/>
      </tp>
      <tp t="e">
        <v>#N/A</v>
        <stp/>
        <stp>BDH|18076131778266471417</stp>
        <tr r="S7" s="30"/>
      </tp>
      <tp t="e">
        <v>#N/A</v>
        <stp/>
        <stp>BDH|16227421782465043238</stp>
        <tr r="U20" s="10"/>
      </tp>
      <tp t="e">
        <v>#N/A</v>
        <stp/>
        <stp>BDH|10844325380443383587</stp>
        <tr r="H30" s="18"/>
      </tp>
      <tp t="e">
        <v>#N/A</v>
        <stp/>
        <stp>BDH|15461199245468849516</stp>
        <tr r="Y7" s="11"/>
      </tp>
      <tp t="e">
        <v>#N/A</v>
        <stp/>
        <stp>BDH|10653220441853437807</stp>
        <tr r="X14" s="8"/>
      </tp>
      <tp t="e">
        <v>#N/A</v>
        <stp/>
        <stp>BDH|17999490915248651727</stp>
        <tr r="K45" s="24"/>
      </tp>
      <tp t="e">
        <v>#N/A</v>
        <stp/>
        <stp>BDH|16585147060368731476</stp>
        <tr r="F66" s="13"/>
      </tp>
      <tp t="e">
        <v>#N/A</v>
        <stp/>
        <stp>BDH|10851158862132632887</stp>
        <tr r="Z152" s="18"/>
      </tp>
      <tp t="e">
        <v>#N/A</v>
        <stp/>
        <stp>BDH|13565408192211434227</stp>
        <tr r="J35" s="13"/>
        <tr r="H28" s="10"/>
      </tp>
      <tp t="e">
        <v>#N/A</v>
        <stp/>
        <stp>BDH|15389223551428461756</stp>
        <tr r="C43" s="18"/>
      </tp>
      <tp t="e">
        <v>#N/A</v>
        <stp/>
        <stp>BDH|13697442571089150431</stp>
        <tr r="H17" s="23"/>
      </tp>
      <tp t="e">
        <v>#N/A</v>
        <stp/>
        <stp>BDH|14795555480525339105</stp>
        <tr r="S17" s="13"/>
      </tp>
      <tp t="e">
        <v>#N/A</v>
        <stp/>
        <stp>BDH|14417778369139848132</stp>
        <tr r="P25" s="12"/>
      </tp>
      <tp t="e">
        <v>#N/A</v>
        <stp/>
        <stp>BDH|15927610239018354539</stp>
        <tr r="L45" s="17"/>
      </tp>
      <tp t="e">
        <v>#N/A</v>
        <stp/>
        <stp>BDH|11628918805221430475</stp>
        <tr r="I13" s="8"/>
      </tp>
      <tp t="e">
        <v>#N/A</v>
        <stp/>
        <stp>BDH|17635322882723434238</stp>
        <tr r="F30" s="22"/>
      </tp>
      <tp t="e">
        <v>#N/A</v>
        <stp/>
        <stp>BDH|10435864046874400512</stp>
        <tr r="E43" s="25"/>
        <tr r="E7" s="13"/>
        <tr r="E22" s="13"/>
        <tr r="C17" s="11"/>
        <tr r="E7" s="3"/>
      </tp>
      <tp t="e">
        <v>#N/A</v>
        <stp/>
        <stp>BDH|10971303648412744879</stp>
        <tr r="T75" s="24"/>
      </tp>
      <tp t="e">
        <v>#N/A</v>
        <stp/>
        <stp>BDH|10498626329920895963</stp>
        <tr r="S57" s="18"/>
      </tp>
      <tp t="e">
        <v>#N/A</v>
        <stp/>
        <stp>BDH|12418499289672554107</stp>
        <tr r="N17" s="27"/>
        <tr r="N35" s="25"/>
        <tr r="K14" s="5"/>
      </tp>
      <tp t="e">
        <v>#N/A</v>
        <stp/>
        <stp>BDH|17297205922018704260</stp>
        <tr r="T159" s="18"/>
      </tp>
      <tp t="e">
        <v>#N/A</v>
        <stp/>
        <stp>BDH|12879677549854779903</stp>
        <tr r="X42" s="25"/>
      </tp>
      <tp t="e">
        <v>#N/A</v>
        <stp/>
        <stp>BDH|15088294088131259324</stp>
        <tr r="P154" s="18"/>
      </tp>
      <tp t="e">
        <v>#N/A</v>
        <stp/>
        <stp>BDH|10519922841643571321</stp>
        <tr r="H26" s="26"/>
      </tp>
      <tp t="e">
        <v>#N/A</v>
        <stp/>
        <stp>BDH|15347707883194842395</stp>
        <tr r="K61" s="24"/>
      </tp>
      <tp t="e">
        <v>#N/A</v>
        <stp/>
        <stp>BDH|12908254266269221296</stp>
        <tr r="J153" s="18"/>
      </tp>
      <tp t="e">
        <v>#N/A</v>
        <stp/>
        <stp>BDH|11300806955239274851</stp>
        <tr r="Q30" s="17"/>
      </tp>
      <tp t="e">
        <v>#N/A</v>
        <stp/>
        <stp>BDH|11114672158759918667</stp>
        <tr r="F21" s="21"/>
      </tp>
      <tp t="e">
        <v>#N/A</v>
        <stp/>
        <stp>BDH|12603880229710224547</stp>
        <tr r="Y24" s="11"/>
        <tr r="Y35" s="10"/>
      </tp>
      <tp t="e">
        <v>#N/A</v>
        <stp/>
        <stp>BDH|14223736610749481649</stp>
        <tr r="M26" s="11"/>
        <tr r="M37" s="10"/>
      </tp>
      <tp t="e">
        <v>#N/A</v>
        <stp/>
        <stp>BDH|12436617304571975897</stp>
        <tr r="U64" s="18"/>
      </tp>
      <tp t="e">
        <v>#N/A</v>
        <stp/>
        <stp>BDH|12258864922671348443</stp>
        <tr r="X166" s="18"/>
      </tp>
      <tp t="e">
        <v>#N/A</v>
        <stp/>
        <stp>BDH|14443430746261317837</stp>
        <tr r="F19" s="28"/>
        <tr r="F16" s="17"/>
      </tp>
      <tp t="e">
        <v>#N/A</v>
        <stp/>
        <stp>BDH|15037749836914370803</stp>
        <tr r="F7" s="24"/>
      </tp>
      <tp t="e">
        <v>#N/A</v>
        <stp/>
        <stp>BDH|10999732942319875718</stp>
        <tr r="U164" s="18"/>
      </tp>
      <tp t="e">
        <v>#N/A</v>
        <stp/>
        <stp>BDH|10284858877003550143</stp>
        <tr r="L83" s="12"/>
      </tp>
      <tp t="e">
        <v>#N/A</v>
        <stp/>
        <stp>BDH|11880278167880976809</stp>
        <tr r="Y9" s="24"/>
      </tp>
      <tp t="e">
        <v>#N/A</v>
        <stp/>
        <stp>BDH|17952998206343410039</stp>
        <tr r="J154" s="18"/>
      </tp>
      <tp t="e">
        <v>#N/A</v>
        <stp/>
        <stp>BDH|12716985041105865775</stp>
        <tr r="N22" s="6"/>
      </tp>
      <tp t="e">
        <v>#N/A</v>
        <stp/>
        <stp>BDH|10300004936399730731</stp>
        <tr r="S19" s="10"/>
      </tp>
      <tp t="e">
        <v>#N/A</v>
        <stp/>
        <stp>BDH|12667513185380055228</stp>
        <tr r="M54" s="18"/>
      </tp>
      <tp t="e">
        <v>#N/A</v>
        <stp/>
        <stp>BDH|14277943431853737005</stp>
        <tr r="C29" s="6"/>
      </tp>
      <tp t="e">
        <v>#N/A</v>
        <stp/>
        <stp>BDH|15101846964885961382</stp>
        <tr r="Q36" s="26"/>
      </tp>
      <tp t="e">
        <v>#N/A</v>
        <stp/>
        <stp>BDH|12041624582307107619</stp>
        <tr r="P39" s="25"/>
      </tp>
      <tp t="e">
        <v>#N/A</v>
        <stp/>
        <stp>BDH|10545876012657359338</stp>
        <tr r="C65" s="12"/>
      </tp>
      <tp t="e">
        <v>#N/A</v>
        <stp/>
        <stp>BDH|14794919039921650295</stp>
        <tr r="L48" s="24"/>
      </tp>
      <tp t="e">
        <v>#N/A</v>
        <stp/>
        <stp>BDH|17282804346201260761</stp>
        <tr r="G8" s="23"/>
      </tp>
      <tp t="e">
        <v>#N/A</v>
        <stp/>
        <stp>BDH|15174719335148732424</stp>
        <tr r="S139" s="18"/>
      </tp>
      <tp t="e">
        <v>#N/A</v>
        <stp/>
        <stp>BDH|14662544090576187337</stp>
        <tr r="F20" s="28"/>
        <tr r="F17" s="17"/>
      </tp>
      <tp t="e">
        <v>#N/A</v>
        <stp/>
        <stp>BDH|18360552603808042857</stp>
        <tr r="M37" s="34"/>
      </tp>
      <tp t="e">
        <v>#N/A</v>
        <stp/>
        <stp>BDH|10902601489294040709</stp>
        <tr r="P79" s="12"/>
      </tp>
      <tp t="e">
        <v>#N/A</v>
        <stp/>
        <stp>BDH|16175343566249393701</stp>
        <tr r="L8" s="26"/>
        <tr r="I10" s="9"/>
      </tp>
      <tp t="e">
        <v>#N/A</v>
        <stp/>
        <stp>BDH|10461105912104087967</stp>
        <tr r="N43" s="25"/>
        <tr r="L17" s="11"/>
        <tr r="N22" s="13"/>
        <tr r="N7" s="13"/>
        <tr r="N7" s="3"/>
      </tp>
      <tp t="e">
        <v>#N/A</v>
        <stp/>
        <stp>BDH|10750515148205960979</stp>
        <tr r="S23" s="22"/>
      </tp>
      <tp t="e">
        <v>#N/A</v>
        <stp/>
        <stp>BDH|12556434709833999863</stp>
        <tr r="S30" s="12"/>
      </tp>
      <tp t="e">
        <v>#N/A</v>
        <stp/>
        <stp>BDH|13716176773670062834</stp>
        <tr r="G15" s="30"/>
      </tp>
      <tp t="e">
        <v>#N/A</v>
        <stp/>
        <stp>BDH|12176234101578636556</stp>
        <tr r="M25" s="3"/>
      </tp>
      <tp t="e">
        <v>#N/A</v>
        <stp/>
        <stp>BDH|12892784309938875011</stp>
        <tr r="C71" s="18"/>
      </tp>
      <tp t="e">
        <v>#N/A</v>
        <stp/>
        <stp>BDH|15118292442716911834</stp>
        <tr r="K32" s="24"/>
      </tp>
      <tp t="e">
        <v>#N/A</v>
        <stp/>
        <stp>BDH|16311307402128472051</stp>
        <tr r="I28" s="14"/>
      </tp>
      <tp t="e">
        <v>#N/A</v>
        <stp/>
        <stp>BDH|13216420904662016846</stp>
        <tr r="S8" s="27"/>
      </tp>
      <tp t="e">
        <v>#N/A</v>
        <stp/>
        <stp>BDH|12682452019129320399</stp>
        <tr r="G23" s="6"/>
      </tp>
      <tp t="e">
        <v>#N/A</v>
        <stp/>
        <stp>BDH|15428372220919673059</stp>
        <tr r="D16" s="22"/>
      </tp>
      <tp t="e">
        <v>#N/A</v>
        <stp/>
        <stp>BDH|11601011481253211745</stp>
        <tr r="K84" s="17"/>
        <tr r="I6" s="7"/>
        <tr r="K20" s="3"/>
      </tp>
      <tp t="e">
        <v>#N/A</v>
        <stp/>
        <stp>BDH|11803205577348812170</stp>
        <tr r="Q13" s="10"/>
      </tp>
      <tp t="e">
        <v>#N/A</v>
        <stp/>
        <stp>BDH|13184719042519355416</stp>
        <tr r="D44" s="18"/>
      </tp>
      <tp t="e">
        <v>#N/A</v>
        <stp/>
        <stp>BDH|16380040099047768598</stp>
        <tr r="N21" s="30"/>
      </tp>
      <tp t="e">
        <v>#N/A</v>
        <stp/>
        <stp>BDH|15695326290423183155</stp>
        <tr r="T32" s="18"/>
      </tp>
      <tp t="e">
        <v>#N/A</v>
        <stp/>
        <stp>BDH|15838206429418754061</stp>
        <tr r="Y12" s="13"/>
      </tp>
      <tp t="e">
        <v>#N/A</v>
        <stp/>
        <stp>BDH|10460937123253074541</stp>
        <tr r="F129" s="18"/>
      </tp>
      <tp t="e">
        <v>#N/A</v>
        <stp/>
        <stp>BDH|12368067355378331235</stp>
        <tr r="S32" s="12"/>
      </tp>
      <tp t="e">
        <v>#N/A</v>
        <stp/>
        <stp>BDH|11507137795150649469</stp>
        <tr r="U51" s="21"/>
      </tp>
      <tp t="e">
        <v>#N/A</v>
        <stp/>
        <stp>BDH|16980401878700544871</stp>
        <tr r="I59" s="18"/>
      </tp>
      <tp t="e">
        <v>#N/A</v>
        <stp/>
        <stp>BDH|17518835601924105656</stp>
        <tr r="K41" s="17"/>
      </tp>
      <tp t="e">
        <v>#N/A</v>
        <stp/>
        <stp>BDH|13390695890180850113</stp>
        <tr r="P31" s="26"/>
      </tp>
      <tp t="e">
        <v>#N/A</v>
        <stp/>
        <stp>BDH|13118392068778588366</stp>
        <tr r="M18" s="12"/>
      </tp>
      <tp t="e">
        <v>#N/A</v>
        <stp/>
        <stp>BDH|18073454350921562536</stp>
        <tr r="G74" s="10"/>
        <tr r="G63" s="11"/>
      </tp>
      <tp t="e">
        <v>#N/A</v>
        <stp/>
        <stp>BDH|13265356290300482402</stp>
        <tr r="G38" s="29"/>
        <tr r="G15" s="29"/>
      </tp>
      <tp t="e">
        <v>#N/A</v>
        <stp/>
        <stp>BDH|15294550037626242812</stp>
        <tr r="Y9" s="26"/>
      </tp>
      <tp t="e">
        <v>#N/A</v>
        <stp/>
        <stp>BDH|11189420255135016850</stp>
        <tr r="I7" s="34"/>
      </tp>
      <tp t="e">
        <v>#N/A</v>
        <stp/>
        <stp>BDH|13774049962708116030</stp>
        <tr r="V57" s="12"/>
      </tp>
      <tp t="e">
        <v>#N/A</v>
        <stp/>
        <stp>BDH|14448563641948501056</stp>
        <tr r="C18" s="17"/>
      </tp>
      <tp t="e">
        <v>#N/A</v>
        <stp/>
        <stp>BDH|16959393800839058133</stp>
        <tr r="E14" s="3"/>
        <tr r="C7" s="2"/>
      </tp>
      <tp t="e">
        <v>#N/A</v>
        <stp/>
        <stp>BDH|14981738580953077596</stp>
        <tr r="V82" s="12"/>
      </tp>
      <tp t="e">
        <v>#N/A</v>
        <stp/>
        <stp>BDH|16697015497170300202</stp>
        <tr r="E42" s="17"/>
      </tp>
      <tp t="e">
        <v>#N/A</v>
        <stp/>
        <stp>BDH|15843457548549604109</stp>
        <tr r="X19" s="17"/>
      </tp>
      <tp t="e">
        <v>#N/A</v>
        <stp/>
        <stp>BDH|13679426083797503519</stp>
        <tr r="Z16" s="22"/>
      </tp>
      <tp t="e">
        <v>#N/A</v>
        <stp/>
        <stp>BDH|13971308174799659380</stp>
        <tr r="G25" s="29"/>
        <tr r="G19" s="29"/>
        <tr r="G10" s="29"/>
        <tr r="G12" s="8"/>
        <tr r="E6" s="9"/>
        <tr r="E6" s="5"/>
        <tr r="F6" s="2"/>
      </tp>
      <tp t="e">
        <v>#N/A</v>
        <stp/>
        <stp>BDH|11406120002228793507</stp>
        <tr r="X38" s="26"/>
      </tp>
      <tp t="e">
        <v>#N/A</v>
        <stp/>
        <stp>BDH|15362546025859351621</stp>
        <tr r="T15" s="30"/>
      </tp>
      <tp t="e">
        <v>#N/A</v>
        <stp/>
        <stp>BDH|15435139684547582654</stp>
        <tr r="I35" s="17"/>
      </tp>
      <tp t="e">
        <v>#N/A</v>
        <stp/>
        <stp>BDH|10055106790131000431</stp>
        <tr r="V59" s="12"/>
      </tp>
      <tp t="e">
        <v>#N/A</v>
        <stp/>
        <stp>BDH|13108937227043260643</stp>
        <tr r="E24" s="21"/>
      </tp>
      <tp t="e">
        <v>#N/A</v>
        <stp/>
        <stp>BDH|18200615574116072241</stp>
        <tr r="Y168" s="18"/>
      </tp>
      <tp t="e">
        <v>#N/A</v>
        <stp/>
        <stp>BDH|14414767685600098649</stp>
        <tr r="W54" s="12"/>
      </tp>
      <tp t="e">
        <v>#N/A</v>
        <stp/>
        <stp>BDH|17176180102692894908</stp>
        <tr r="P10" s="34"/>
      </tp>
      <tp t="e">
        <v>#N/A</v>
        <stp/>
        <stp>BDH|18339453025266925590</stp>
        <tr r="S77" s="24"/>
      </tp>
      <tp t="e">
        <v>#N/A</v>
        <stp/>
        <stp>BDH|11820899057678345969</stp>
        <tr r="X18" s="22"/>
      </tp>
      <tp t="e">
        <v>#N/A</v>
        <stp/>
        <stp>BDH|12804651198741648105</stp>
        <tr r="Y30" s="17"/>
      </tp>
      <tp t="e">
        <v>#N/A</v>
        <stp/>
        <stp>BDH|10200414599542959203</stp>
        <tr r="T30" s="22"/>
      </tp>
      <tp t="e">
        <v>#N/A</v>
        <stp/>
        <stp>BDH|13237181259172668862</stp>
        <tr r="M31" s="17"/>
      </tp>
      <tp t="e">
        <v>#N/A</v>
        <stp/>
        <stp>BDH|16601062057578387679</stp>
        <tr r="X57" s="11"/>
        <tr r="X24" s="4"/>
      </tp>
      <tp t="e">
        <v>#N/A</v>
        <stp/>
        <stp>BDH|17609800820714010450</stp>
        <tr r="S8" s="4"/>
      </tp>
      <tp t="e">
        <v>#N/A</v>
        <stp/>
        <stp>BDH|13030804921194704053</stp>
        <tr r="Z37" s="29"/>
        <tr r="Z23" s="29"/>
        <tr r="Z14" s="29"/>
      </tp>
      <tp t="e">
        <v>#N/A</v>
        <stp/>
        <stp>BDH|18001542055424415163</stp>
        <tr r="P20" s="25"/>
      </tp>
      <tp t="e">
        <v>#N/A</v>
        <stp/>
        <stp>BDH|11362555685956888799</stp>
        <tr r="D14" s="13"/>
      </tp>
      <tp t="e">
        <v>#N/A</v>
        <stp/>
        <stp>BDH|15674723593983030555</stp>
        <tr r="F9" s="20"/>
        <tr r="F115" s="18"/>
      </tp>
      <tp t="e">
        <v>#N/A</v>
        <stp/>
        <stp>BDH|11520923769987545497</stp>
        <tr r="I95" s="12"/>
      </tp>
      <tp t="e">
        <v>#N/A</v>
        <stp/>
        <stp>BDH|15406559095320723413</stp>
        <tr r="K27" s="13"/>
      </tp>
      <tp t="e">
        <v>#N/A</v>
        <stp/>
        <stp>BDH|14192747192534251375</stp>
        <tr r="J174" s="18"/>
      </tp>
      <tp t="e">
        <v>#N/A</v>
        <stp/>
        <stp>BDH|10337305220855250930</stp>
        <tr r="S7" s="20"/>
        <tr r="S113" s="18"/>
      </tp>
      <tp t="e">
        <v>#N/A</v>
        <stp/>
        <stp>BDH|10576365411356127919</stp>
        <tr r="K9" s="12"/>
      </tp>
      <tp t="e">
        <v>#N/A</v>
        <stp/>
        <stp>BDH|11821918460022347184</stp>
        <tr r="X51" s="12"/>
      </tp>
      <tp t="e">
        <v>#N/A</v>
        <stp/>
        <stp>BDH|16260681793336876239</stp>
        <tr r="W18" s="24"/>
      </tp>
      <tp t="e">
        <v>#N/A</v>
        <stp/>
        <stp>BDH|12085817161121112036</stp>
        <tr r="L38" s="10"/>
        <tr r="L27" s="11"/>
      </tp>
      <tp t="e">
        <v>#N/A</v>
        <stp/>
        <stp>BDH|13785871635252711703</stp>
        <tr r="G78" s="12"/>
      </tp>
      <tp t="e">
        <v>#N/A</v>
        <stp/>
        <stp>BDH|12275130798271940629</stp>
        <tr r="S11" s="30"/>
      </tp>
      <tp t="e">
        <v>#N/A</v>
        <stp/>
        <stp>BDH|10166193399871510464</stp>
        <tr r="N34" s="13"/>
        <tr r="L27" s="10"/>
      </tp>
      <tp t="e">
        <v>#N/A</v>
        <stp/>
        <stp>BDH|12069863124775843089</stp>
        <tr r="N13" s="20"/>
        <tr r="N118" s="18"/>
      </tp>
      <tp t="e">
        <v>#N/A</v>
        <stp/>
        <stp>BDH|18027605864494792115</stp>
        <tr r="L20" s="12"/>
      </tp>
      <tp t="e">
        <v>#N/A</v>
        <stp/>
        <stp>BDH|10875990747949615920</stp>
        <tr r="L68" s="10"/>
        <tr r="L25" s="4"/>
      </tp>
      <tp t="e">
        <v>#N/A</v>
        <stp/>
        <stp>BDH|13288483635789525081</stp>
        <tr r="H30" s="9"/>
      </tp>
      <tp t="e">
        <v>#N/A</v>
        <stp/>
        <stp>BDH|14159892931975808733</stp>
        <tr r="AA100" s="18"/>
      </tp>
      <tp t="e">
        <v>#N/A</v>
        <stp/>
        <stp>BDH|17066539255519200367</stp>
        <tr r="Z18" s="26"/>
      </tp>
      <tp t="e">
        <v>#N/A</v>
        <stp/>
        <stp>BDH|11267713416903513920</stp>
        <tr r="P13" s="20"/>
        <tr r="P118" s="18"/>
      </tp>
      <tp t="e">
        <v>#N/A</v>
        <stp/>
        <stp>BDH|14422820760552433509</stp>
        <tr r="X9" s="29"/>
      </tp>
      <tp t="e">
        <v>#N/A</v>
        <stp/>
        <stp>BDH|15667388982781917274</stp>
        <tr r="D13" s="21"/>
      </tp>
      <tp t="e">
        <v>#N/A</v>
        <stp/>
        <stp>BDH|15117700342953183803</stp>
        <tr r="T47" s="21"/>
      </tp>
      <tp t="e">
        <v>#N/A</v>
        <stp/>
        <stp>BDH|13630547203108007337</stp>
        <tr r="Y13" s="7"/>
      </tp>
      <tp t="e">
        <v>#N/A</v>
        <stp/>
        <stp>BDH|14932027728059255233</stp>
        <tr r="O6" s="16"/>
        <tr r="P6" s="11"/>
        <tr r="P10" s="4"/>
        <tr r="R6" s="3"/>
      </tp>
      <tp t="e">
        <v>#N/A</v>
        <stp/>
        <stp>BDH|17528353492012198219</stp>
        <tr r="E26" s="21"/>
      </tp>
      <tp t="e">
        <v>#N/A</v>
        <stp/>
        <stp>BDH|18372701931981190017</stp>
        <tr r="U27" s="7"/>
      </tp>
      <tp t="e">
        <v>#N/A</v>
        <stp/>
        <stp>BDH|16622741066323499929</stp>
        <tr r="R14" s="12"/>
      </tp>
      <tp t="e">
        <v>#N/A</v>
        <stp/>
        <stp>BDH|16935007529229520074</stp>
        <tr r="U57" s="11"/>
        <tr r="U24" s="4"/>
      </tp>
      <tp t="e">
        <v>#N/A</v>
        <stp/>
        <stp>BDH|10034579645624127819</stp>
        <tr r="T56" s="24"/>
      </tp>
      <tp t="e">
        <v>#N/A</v>
        <stp/>
        <stp>BDH|13199239414739660427</stp>
        <tr r="G68" s="10"/>
        <tr r="G25" s="4"/>
      </tp>
      <tp t="e">
        <v>#N/A</v>
        <stp/>
        <stp>BDH|12201049596305653349</stp>
        <tr r="J78" s="18"/>
      </tp>
      <tp t="e">
        <v>#N/A</v>
        <stp/>
        <stp>BDH|15188958875784026230</stp>
        <tr r="Y21" s="22"/>
      </tp>
      <tp t="e">
        <v>#N/A</v>
        <stp/>
        <stp>BDH|17604839972972104745</stp>
        <tr r="Y21" s="4"/>
      </tp>
      <tp t="e">
        <v>#N/A</v>
        <stp/>
        <stp>BDH|10867907209271738545</stp>
        <tr r="S32" s="22"/>
      </tp>
      <tp t="e">
        <v>#N/A</v>
        <stp/>
        <stp>BDH|17697311291154587414</stp>
        <tr r="Y15" s="10"/>
      </tp>
      <tp t="e">
        <v>#N/A</v>
        <stp/>
        <stp>BDH|18326787869197525353</stp>
        <tr r="J11" s="7"/>
      </tp>
      <tp t="e">
        <v>#N/A</v>
        <stp/>
        <stp>BDH|15047159093838171856</stp>
        <tr r="R32" s="24"/>
      </tp>
      <tp t="e">
        <v>#N/A</v>
        <stp/>
        <stp>BDH|11010367245109336220</stp>
        <tr r="AA63" s="24"/>
      </tp>
      <tp t="e">
        <v>#N/A</v>
        <stp/>
        <stp>BDH|18181207367586582769</stp>
        <tr r="T76" s="24"/>
      </tp>
      <tp t="e">
        <v>#N/A</v>
        <stp/>
        <stp>BDH|11347067649838928002</stp>
        <tr r="C37" s="10"/>
        <tr r="C26" s="11"/>
      </tp>
      <tp t="e">
        <v>#N/A</v>
        <stp/>
        <stp>BDH|11642584528513292817</stp>
        <tr r="E88" s="12"/>
      </tp>
      <tp t="e">
        <v>#N/A</v>
        <stp/>
        <stp>BDH|15243177465559145649</stp>
        <tr r="V72" s="10"/>
      </tp>
      <tp t="e">
        <v>#N/A</v>
        <stp/>
        <stp>BDH|11145650126468123068</stp>
        <tr r="J24" s="21"/>
      </tp>
      <tp t="e">
        <v>#N/A</v>
        <stp/>
        <stp>BDH|15637132245944432911</stp>
        <tr r="N52" s="18"/>
      </tp>
      <tp t="e">
        <v>#N/A</v>
        <stp/>
        <stp>BDH|13418275455589384000</stp>
        <tr r="T78" s="17"/>
        <tr r="Q9" s="9"/>
        <tr r="Q9" s="5"/>
      </tp>
      <tp t="e">
        <v>#N/A</v>
        <stp/>
        <stp>BDH|16658110768304362898</stp>
        <tr r="X24" s="25"/>
      </tp>
      <tp t="e">
        <v>#N/A</v>
        <stp/>
        <stp>BDH|10845748429611840981</stp>
        <tr r="P41" s="29"/>
        <tr r="P18" s="29"/>
      </tp>
      <tp t="e">
        <v>#N/A</v>
        <stp/>
        <stp>BDH|11367314432525398960</stp>
        <tr r="T7" s="8"/>
      </tp>
      <tp t="e">
        <v>#N/A</v>
        <stp/>
        <stp>BDH|15823924724897214491</stp>
        <tr r="R21" s="4"/>
      </tp>
      <tp t="e">
        <v>#N/A</v>
        <stp/>
        <stp>BDH|15167375388466986521</stp>
        <tr r="X39" s="26"/>
      </tp>
      <tp t="e">
        <v>#N/A</v>
        <stp/>
        <stp>BDH|11585700821180923985</stp>
        <tr r="C127" s="18"/>
      </tp>
      <tp t="e">
        <v>#N/A</v>
        <stp/>
        <stp>BDH|10435810374231781334</stp>
        <tr r="E25" s="3"/>
      </tp>
      <tp t="e">
        <v>#N/A</v>
        <stp/>
        <stp>BDH|17903782300205646829</stp>
        <tr r="S70" s="17"/>
        <tr r="P8" s="9"/>
        <tr r="P8" s="5"/>
      </tp>
      <tp t="e">
        <v>#N/A</v>
        <stp/>
        <stp>BDH|11875138279202166866</stp>
        <tr r="V46" s="17"/>
      </tp>
      <tp t="e">
        <v>#N/A</v>
        <stp/>
        <stp>BDH|11923186186881465466</stp>
        <tr r="J28" s="22"/>
      </tp>
      <tp t="e">
        <v>#N/A</v>
        <stp/>
        <stp>BDH|17219462510249341626</stp>
        <tr r="R153" s="18"/>
      </tp>
      <tp t="e">
        <v>#N/A</v>
        <stp/>
        <stp>BDH|18005578390150431969</stp>
        <tr r="X32" s="26"/>
      </tp>
      <tp t="e">
        <v>#N/A</v>
        <stp/>
        <stp>BDH|17186929706701608264</stp>
        <tr r="S9" s="17"/>
      </tp>
      <tp t="e">
        <v>#N/A</v>
        <stp/>
        <stp>BDH|16835067693570956216</stp>
        <tr r="G34" s="29"/>
      </tp>
      <tp t="e">
        <v>#N/A</v>
        <stp/>
        <stp>BDH|15115514234117949981</stp>
        <tr r="U26" s="21"/>
      </tp>
      <tp t="e">
        <v>#N/A</v>
        <stp/>
        <stp>BDH|18360700654484267305</stp>
        <tr r="C25" s="3"/>
      </tp>
      <tp t="e">
        <v>#N/A</v>
        <stp/>
        <stp>BDH|10021807660540196348</stp>
        <tr r="K17" s="9"/>
      </tp>
      <tp t="e">
        <v>#N/A</v>
        <stp/>
        <stp>BDH|14125232031120233843</stp>
        <tr r="P65" s="18"/>
      </tp>
      <tp t="e">
        <v>#N/A</v>
        <stp/>
        <stp>BDH|11088883948927753726</stp>
        <tr r="R47" s="21"/>
      </tp>
      <tp t="e">
        <v>#N/A</v>
        <stp/>
        <stp>BDH|12751607106619351070</stp>
        <tr r="J11" s="17"/>
      </tp>
      <tp t="e">
        <v>#N/A</v>
        <stp/>
        <stp>BDH|10707451561258435721</stp>
        <tr r="M36" s="17"/>
      </tp>
      <tp t="e">
        <v>#N/A</v>
        <stp/>
        <stp>BDH|16048423614226623857</stp>
        <tr r="U25" s="22"/>
      </tp>
      <tp t="e">
        <v>#N/A</v>
        <stp/>
        <stp>BDH|12070603093934398454</stp>
        <tr r="F26" s="29"/>
      </tp>
      <tp t="e">
        <v>#N/A</v>
        <stp/>
        <stp>BDH|13485870765195471579</stp>
        <tr r="L13" s="6"/>
      </tp>
      <tp t="e">
        <v>#N/A</v>
        <stp/>
        <stp>BDH|14114801546403521670</stp>
        <tr r="Q21" s="2"/>
      </tp>
      <tp t="e">
        <v>#N/A</v>
        <stp/>
        <stp>BDH|11266383938409148560</stp>
        <tr r="Q19" s="17"/>
      </tp>
      <tp t="e">
        <v>#N/A</v>
        <stp/>
        <stp>BDH|18238845383691230426</stp>
        <tr r="E13" s="34"/>
      </tp>
      <tp t="e">
        <v>#N/A</v>
        <stp/>
        <stp>BDH|11655870242904652410</stp>
        <tr r="J9" s="20"/>
        <tr r="J115" s="18"/>
      </tp>
      <tp t="e">
        <v>#N/A</v>
        <stp/>
        <stp>BDH|11437989087174900962</stp>
        <tr r="E19" s="9"/>
      </tp>
      <tp t="e">
        <v>#N/A</v>
        <stp/>
        <stp>BDH|13738968739405928152</stp>
        <tr r="H47" s="34"/>
      </tp>
      <tp t="e">
        <v>#N/A</v>
        <stp/>
        <stp>BDH|18022302010661418609</stp>
        <tr r="G86" s="17"/>
      </tp>
      <tp t="e">
        <v>#N/A</v>
        <stp/>
        <stp>BDH|14086350176768150564</stp>
        <tr r="N97" s="18"/>
      </tp>
      <tp t="e">
        <v>#N/A</v>
        <stp/>
        <stp>BDH|10169930496208606568</stp>
        <tr r="N43" s="24"/>
      </tp>
      <tp t="e">
        <v>#N/A</v>
        <stp/>
        <stp>BDH|10667022092825060126</stp>
        <tr r="AA66" s="17"/>
      </tp>
      <tp t="e">
        <v>#N/A</v>
        <stp/>
        <stp>BDH|16873693913344260842</stp>
        <tr r="E10" s="14"/>
      </tp>
      <tp t="e">
        <v>#N/A</v>
        <stp/>
        <stp>BDH|11153663116528643334</stp>
        <tr r="F44" s="24"/>
      </tp>
      <tp t="e">
        <v>#N/A</v>
        <stp/>
        <stp>BDH|14605629411409763768</stp>
        <tr r="Q171" s="18"/>
      </tp>
      <tp t="e">
        <v>#N/A</v>
        <stp/>
        <stp>BDH|13548030165350577822</stp>
        <tr r="J25" s="17"/>
      </tp>
      <tp t="e">
        <v>#N/A</v>
        <stp/>
        <stp>BDH|14482433245961532833</stp>
        <tr r="AA16" s="28"/>
        <tr r="AA13" s="17"/>
      </tp>
      <tp t="e">
        <v>#N/A</v>
        <stp/>
        <stp>BDH|13468174654853118929</stp>
        <tr r="V80" s="12"/>
      </tp>
      <tp t="e">
        <v>#N/A</v>
        <stp/>
        <stp>BDH|15110915214477173716</stp>
        <tr r="H19" s="20"/>
      </tp>
      <tp t="e">
        <v>#N/A</v>
        <stp/>
        <stp>BDH|14480999808498172803</stp>
        <tr r="N27" s="12"/>
      </tp>
      <tp t="e">
        <v>#N/A</v>
        <stp/>
        <stp>BDH|10502953130484729334</stp>
        <tr r="P125" s="18"/>
      </tp>
      <tp t="e">
        <v>#N/A</v>
        <stp/>
        <stp>BDH|11944907617004276084</stp>
        <tr r="E65" s="24"/>
      </tp>
      <tp t="e">
        <v>#N/A</v>
        <stp/>
        <stp>BDH|14639625507729409631</stp>
        <tr r="H64" s="13"/>
      </tp>
      <tp t="e">
        <v>#N/A</v>
        <stp/>
        <stp>BDH|11916727656667836913</stp>
        <tr r="V47" s="18"/>
      </tp>
      <tp t="e">
        <v>#N/A</v>
        <stp/>
        <stp>BDH|15342041163299409747</stp>
        <tr r="W21" s="22"/>
      </tp>
      <tp t="e">
        <v>#N/A</v>
        <stp/>
        <stp>BDH|16382323869928541691</stp>
        <tr r="K97" s="12"/>
      </tp>
      <tp t="e">
        <v>#N/A</v>
        <stp/>
        <stp>BDH|18361644051983540578</stp>
        <tr r="O8" s="2"/>
      </tp>
      <tp t="e">
        <v>#N/A</v>
        <stp/>
        <stp>BDH|13557323336526504804</stp>
        <tr r="R45" s="13"/>
        <tr r="P29" s="11"/>
        <tr r="P40" s="10"/>
      </tp>
      <tp t="e">
        <v>#N/A</v>
        <stp/>
        <stp>BDH|12331575201299840396</stp>
        <tr r="C102" s="18"/>
      </tp>
      <tp t="e">
        <v>#N/A</v>
        <stp/>
        <stp>BDH|12904499244478619769</stp>
        <tr r="Z16" s="20"/>
      </tp>
      <tp t="e">
        <v>#N/A</v>
        <stp/>
        <stp>BDH|17098321749568813579</stp>
        <tr r="T33" s="13"/>
        <tr r="R26" s="10"/>
      </tp>
      <tp t="e">
        <v>#N/A</v>
        <stp/>
        <stp>BDH|17064856752562181528</stp>
        <tr r="R74" s="18"/>
      </tp>
      <tp t="e">
        <v>#N/A</v>
        <stp/>
        <stp>BDH|11412149357860709844</stp>
        <tr r="Z7" s="20"/>
        <tr r="Z113" s="18"/>
      </tp>
      <tp t="e">
        <v>#N/A</v>
        <stp/>
        <stp>BDH|16743967735376647760</stp>
        <tr r="Q24" s="29"/>
      </tp>
      <tp t="e">
        <v>#N/A</v>
        <stp/>
        <stp>BDH|13564534277768712420</stp>
        <tr r="J78" s="17"/>
        <tr r="G9" s="9"/>
        <tr r="G9" s="5"/>
      </tp>
      <tp t="e">
        <v>#N/A</v>
        <stp/>
        <stp>BDH|15484929623610454369</stp>
        <tr r="I65" s="13"/>
      </tp>
      <tp t="e">
        <v>#N/A</v>
        <stp/>
        <stp>BDH|12712564196305555658</stp>
        <tr r="C7" s="9"/>
        <tr r="D7" s="2"/>
        <tr r="F14" s="3"/>
        <tr r="C7" s="5"/>
      </tp>
      <tp t="e">
        <v>#N/A</v>
        <stp/>
        <stp>BDH|12920300065738862238</stp>
        <tr r="E32" s="17"/>
      </tp>
      <tp t="e">
        <v>#N/A</v>
        <stp/>
        <stp>BDH|12521215083955377032</stp>
        <tr r="M21" s="17"/>
      </tp>
      <tp t="e">
        <v>#N/A</v>
        <stp/>
        <stp>BDH|13438711877866155844</stp>
        <tr r="M26" s="13"/>
      </tp>
      <tp t="e">
        <v>#N/A</v>
        <stp/>
        <stp>BDH|16311455794223596505</stp>
        <tr r="X13" s="11"/>
      </tp>
      <tp t="e">
        <v>#N/A</v>
        <stp/>
        <stp>BDH|11998962455476927644</stp>
        <tr r="Q16" s="18"/>
      </tp>
      <tp t="e">
        <v>#N/A</v>
        <stp/>
        <stp>BDH|16140439885131077602</stp>
        <tr r="N76" s="24"/>
      </tp>
      <tp t="e">
        <v>#N/A</v>
        <stp/>
        <stp>BDH|16024345341819069520</stp>
        <tr r="X13" s="12"/>
      </tp>
      <tp t="e">
        <v>#N/A</v>
        <stp/>
        <stp>BDH|10704706875678382560</stp>
        <tr r="P8" s="11"/>
      </tp>
      <tp t="e">
        <v>#N/A</v>
        <stp/>
        <stp>BDH|11783482894719413883</stp>
        <tr r="Z45" s="12"/>
      </tp>
      <tp t="e">
        <v>#N/A</v>
        <stp/>
        <stp>BDH|13168662889275095593</stp>
        <tr r="J43" s="29"/>
      </tp>
      <tp t="e">
        <v>#N/A</v>
        <stp/>
        <stp>BDH|10792717753269779658</stp>
        <tr r="M91" s="12"/>
      </tp>
      <tp t="e">
        <v>#N/A</v>
        <stp/>
        <stp>BDH|14283904632544786703</stp>
        <tr r="AA19" s="20"/>
      </tp>
      <tp t="e">
        <v>#N/A</v>
        <stp/>
        <stp>BDH|15349963858161859522</stp>
        <tr r="V14" s="21"/>
      </tp>
      <tp t="e">
        <v>#N/A</v>
        <stp/>
        <stp>BDH|18421301765355637502</stp>
        <tr r="D16" s="14"/>
      </tp>
      <tp t="e">
        <v>#N/A</v>
        <stp/>
        <stp>BDH|13663853197109153620</stp>
        <tr r="Q11" s="13"/>
      </tp>
      <tp t="e">
        <v>#N/A</v>
        <stp/>
        <stp>BDH|13283938179060764087</stp>
        <tr r="V8" s="11"/>
      </tp>
      <tp t="e">
        <v>#N/A</v>
        <stp/>
        <stp>BDH|16656804772487466373</stp>
        <tr r="C15" s="10"/>
      </tp>
      <tp t="e">
        <v>#N/A</v>
        <stp/>
        <stp>BDH|11753683832568961132</stp>
        <tr r="T90" s="12"/>
      </tp>
      <tp t="e">
        <v>#N/A</v>
        <stp/>
        <stp>BDH|14669278735671677958</stp>
        <tr r="Z43" s="24"/>
      </tp>
      <tp t="e">
        <v>#N/A</v>
        <stp/>
        <stp>BDH|17766468357122900988</stp>
        <tr r="N45" s="11"/>
        <tr r="N56" s="10"/>
        <tr r="N16" s="7"/>
      </tp>
      <tp t="e">
        <v>#N/A</v>
        <stp/>
        <stp>BDH|10033072092007225304</stp>
        <tr r="G35" s="34"/>
      </tp>
      <tp t="e">
        <v>#N/A</v>
        <stp/>
        <stp>BDH|11980750778874446873</stp>
        <tr r="E19" s="20"/>
      </tp>
      <tp t="e">
        <v>#N/A</v>
        <stp/>
        <stp>BDH|13936806609155578325</stp>
        <tr r="V40" s="12"/>
      </tp>
      <tp t="e">
        <v>#N/A</v>
        <stp/>
        <stp>BDH|12297509527791009921</stp>
        <tr r="S14" s="21"/>
      </tp>
      <tp t="e">
        <v>#N/A</v>
        <stp/>
        <stp>BDH|12722545056689476663</stp>
        <tr r="N19" s="22"/>
      </tp>
      <tp t="e">
        <v>#N/A</v>
        <stp/>
        <stp>BDH|14558154690127405635</stp>
        <tr r="S25" s="13"/>
      </tp>
      <tp t="e">
        <v>#N/A</v>
        <stp/>
        <stp>BDH|10788274976648187007</stp>
        <tr r="Q60" s="12"/>
      </tp>
      <tp t="e">
        <v>#N/A</v>
        <stp/>
        <stp>BDH|17638051334639299029</stp>
        <tr r="T57" s="18"/>
      </tp>
      <tp t="e">
        <v>#N/A</v>
        <stp/>
        <stp>BDH|13195828150736297574</stp>
        <tr r="Q128" s="18"/>
      </tp>
      <tp t="e">
        <v>#N/A</v>
        <stp/>
        <stp>BDH|14145549161459567375</stp>
        <tr r="Q31" s="29"/>
      </tp>
      <tp t="e">
        <v>#N/A</v>
        <stp/>
        <stp>BDH|16464783386874915054</stp>
        <tr r="W30" s="34"/>
      </tp>
      <tp t="e">
        <v>#N/A</v>
        <stp/>
        <stp>BDH|13129908248102731187</stp>
        <tr r="F27" s="12"/>
      </tp>
      <tp t="e">
        <v>#N/A</v>
        <stp/>
        <stp>BDH|12619161032964431904</stp>
        <tr r="G37" s="12"/>
      </tp>
      <tp t="e">
        <v>#N/A</v>
        <stp/>
        <stp>BDH|16767459233429354540</stp>
        <tr r="M17" s="24"/>
      </tp>
      <tp t="e">
        <v>#N/A</v>
        <stp/>
        <stp>BDH|10115992379054493737</stp>
        <tr r="J34" s="13"/>
        <tr r="H27" s="10"/>
      </tp>
      <tp t="e">
        <v>#N/A</v>
        <stp/>
        <stp>BDH|10269229286357125012</stp>
        <tr r="N19" s="34"/>
      </tp>
      <tp t="e">
        <v>#N/A</v>
        <stp/>
        <stp>BDH|10610989546753625381</stp>
        <tr r="S90" s="12"/>
      </tp>
      <tp t="e">
        <v>#N/A</v>
        <stp/>
        <stp>BDH|11828990613252299665</stp>
        <tr r="L71" s="12"/>
      </tp>
      <tp t="e">
        <v>#N/A</v>
        <stp/>
        <stp>BDH|15552051984180669040</stp>
        <tr r="Y21" s="20"/>
      </tp>
      <tp t="e">
        <v>#N/A</v>
        <stp/>
        <stp>BDH|11628700046747601807</stp>
        <tr r="L23" s="12"/>
      </tp>
      <tp t="e">
        <v>#N/A</v>
        <stp/>
        <stp>BDH|14269924783501464913</stp>
        <tr r="Z23" s="17"/>
      </tp>
      <tp t="e">
        <v>#N/A</v>
        <stp/>
        <stp>BDH|10460307604278394658</stp>
        <tr r="I41" s="26"/>
      </tp>
      <tp t="e">
        <v>#N/A</v>
        <stp/>
        <stp>BDH|18283842191870171407</stp>
        <tr r="I18" s="34"/>
      </tp>
      <tp t="e">
        <v>#N/A</v>
        <stp/>
        <stp>BDH|10358964550160578165</stp>
        <tr r="Q61" s="13"/>
      </tp>
      <tp t="e">
        <v>#N/A</v>
        <stp/>
        <stp>BDH|17612341605110198909</stp>
        <tr r="T93" s="17"/>
      </tp>
      <tp t="e">
        <v>#N/A</v>
        <stp/>
        <stp>BDH|10999979690589030487</stp>
        <tr r="P68" s="13"/>
      </tp>
      <tp t="e">
        <v>#N/A</v>
        <stp/>
        <stp>BDH|17514716823018159702</stp>
        <tr r="G33" s="13"/>
        <tr r="E26" s="10"/>
      </tp>
      <tp t="e">
        <v>#N/A</v>
        <stp/>
        <stp>BDH|10112984778452247155</stp>
        <tr r="J22" s="7"/>
      </tp>
      <tp t="e">
        <v>#N/A</v>
        <stp/>
        <stp>BDH|15424601376600527917</stp>
        <tr r="F33" s="13"/>
        <tr r="D26" s="10"/>
      </tp>
      <tp t="e">
        <v>#N/A</v>
        <stp/>
        <stp>BDH|15825105203689801056</stp>
        <tr r="Z79" s="12"/>
      </tp>
      <tp t="e">
        <v>#N/A</v>
        <stp/>
        <stp>BDH|12940089707556086907</stp>
        <tr r="N85" s="12"/>
      </tp>
      <tp t="e">
        <v>#N/A</v>
        <stp/>
        <stp>BDH|15664775080163205454</stp>
        <tr r="K43" s="29"/>
      </tp>
      <tp t="e">
        <v>#N/A</v>
        <stp/>
        <stp>BDH|12539566395705007607</stp>
        <tr r="L21" s="10"/>
      </tp>
      <tp t="e">
        <v>#N/A</v>
        <stp/>
        <stp>BDH|11331802059927958658</stp>
        <tr r="P6" s="6"/>
      </tp>
      <tp t="e">
        <v>#N/A</v>
        <stp/>
        <stp>BDH|14803614698530771603</stp>
        <tr r="O19" s="18"/>
      </tp>
      <tp t="e">
        <v>#N/A</v>
        <stp/>
        <stp>BDH|10303892979183344162</stp>
        <tr r="AA17" s="13"/>
      </tp>
      <tp t="e">
        <v>#N/A</v>
        <stp/>
        <stp>BDH|14134970713253476273</stp>
        <tr r="G15" s="5"/>
      </tp>
      <tp t="e">
        <v>#N/A</v>
        <stp/>
        <stp>BDH|13090054138484392984</stp>
        <tr r="V8" s="4"/>
      </tp>
      <tp t="e">
        <v>#N/A</v>
        <stp/>
        <stp>BDH|14408882138602233003</stp>
        <tr r="X30" s="25"/>
        <tr r="X12" s="27"/>
      </tp>
      <tp t="e">
        <v>#N/A</v>
        <stp/>
        <stp>BDH|17320701191236008245</stp>
        <tr r="W32" s="26"/>
      </tp>
      <tp t="e">
        <v>#N/A</v>
        <stp/>
        <stp>BDH|12849259498995092139</stp>
        <tr r="U20" s="22"/>
      </tp>
      <tp t="e">
        <v>#N/A</v>
        <stp/>
        <stp>BDH|17912452189017504167</stp>
        <tr r="H7" s="23"/>
      </tp>
      <tp t="e">
        <v>#N/A</v>
        <stp/>
        <stp>BDH|11686548580049507814</stp>
        <tr r="Z23" s="24"/>
      </tp>
      <tp t="e">
        <v>#N/A</v>
        <stp/>
        <stp>BDH|11162821801362383686</stp>
        <tr r="J108" s="18"/>
      </tp>
      <tp t="e">
        <v>#N/A</v>
        <stp/>
        <stp>BDH|13247470828319455108</stp>
        <tr r="M29" s="34"/>
      </tp>
      <tp t="e">
        <v>#N/A</v>
        <stp/>
        <stp>BDH|11702110441941726891</stp>
        <tr r="D21" s="20"/>
      </tp>
      <tp t="e">
        <v>#N/A</v>
        <stp/>
        <stp>BDH|10532382363810189868</stp>
        <tr r="H25" s="17"/>
      </tp>
      <tp t="e">
        <v>#N/A</v>
        <stp/>
        <stp>BDH|12442920858331171269</stp>
        <tr r="J18" s="10"/>
      </tp>
      <tp t="e">
        <v>#N/A</v>
        <stp/>
        <stp>BDH|13019067596831850613</stp>
        <tr r="Q43" s="34"/>
      </tp>
      <tp t="e">
        <v>#N/A</v>
        <stp/>
        <stp>BDH|15669708456333946901</stp>
        <tr r="F31" s="13"/>
        <tr r="D23" s="11"/>
        <tr r="D34" s="10"/>
        <tr r="D45" s="4"/>
      </tp>
      <tp t="e">
        <v>#N/A</v>
        <stp/>
        <stp>BDH|15320316184891743280</stp>
        <tr r="AA24" s="22"/>
      </tp>
      <tp t="e">
        <v>#N/A</v>
        <stp/>
        <stp>BDH|18212258792769952753</stp>
        <tr r="I25" s="3"/>
      </tp>
      <tp t="e">
        <v>#N/A</v>
        <stp/>
        <stp>BDH|12993831323337010202</stp>
        <tr r="AA25" s="18"/>
      </tp>
      <tp t="e">
        <v>#N/A</v>
        <stp/>
        <stp>BDH|15024558091194506085</stp>
        <tr r="F87" s="18"/>
      </tp>
      <tp t="e">
        <v>#N/A</v>
        <stp/>
        <stp>BDH|17730022638219092044</stp>
        <tr r="S58" s="17"/>
      </tp>
      <tp t="e">
        <v>#N/A</v>
        <stp/>
        <stp>BDH|10780659479838223407</stp>
        <tr r="I37" s="18"/>
      </tp>
      <tp t="e">
        <v>#N/A</v>
        <stp/>
        <stp>BDH|11228847543787891747</stp>
        <tr r="C70" s="24"/>
      </tp>
      <tp t="e">
        <v>#N/A</v>
        <stp/>
        <stp>BDH|18253420802092381381</stp>
        <tr r="Z14" s="21"/>
      </tp>
      <tp t="e">
        <v>#N/A</v>
        <stp/>
        <stp>BDH|11931894958199570842</stp>
        <tr r="W55" s="24"/>
      </tp>
      <tp t="e">
        <v>#N/A</v>
        <stp/>
        <stp>BDH|14780906379605386242</stp>
        <tr r="N44" s="22"/>
      </tp>
      <tp t="e">
        <v>#N/A</v>
        <stp/>
        <stp>BDH|15076825775067996079</stp>
        <tr r="O27" s="12"/>
      </tp>
      <tp t="e">
        <v>#N/A</v>
        <stp/>
        <stp>BDH|10853155714209867486</stp>
        <tr r="T57" s="24"/>
      </tp>
      <tp t="e">
        <v>#N/A</v>
        <stp/>
        <stp>BDH|12730906134142339796</stp>
        <tr r="S19" s="22"/>
      </tp>
      <tp t="e">
        <v>#N/A</v>
        <stp/>
        <stp>BDH|13541293590042458713</stp>
        <tr r="V24" s="24"/>
      </tp>
      <tp t="e">
        <v>#N/A</v>
        <stp/>
        <stp>BDH|10160885431271108700</stp>
        <tr r="L16" s="11"/>
      </tp>
      <tp t="e">
        <v>#N/A</v>
        <stp/>
        <stp>BDH|12057497760624549951</stp>
        <tr r="N100" s="12"/>
      </tp>
      <tp t="e">
        <v>#N/A</v>
        <stp/>
        <stp>BDH|12566827156045124792</stp>
        <tr r="O39" s="12"/>
      </tp>
      <tp t="e">
        <v>#N/A</v>
        <stp/>
        <stp>BDH|11407855829090610675</stp>
        <tr r="N18" s="24"/>
      </tp>
      <tp t="e">
        <v>#N/A</v>
        <stp/>
        <stp>BDH|16654174129878881090</stp>
        <tr r="Y55" s="18"/>
      </tp>
      <tp t="e">
        <v>#N/A</v>
        <stp/>
        <stp>BDH|12469306189737117356</stp>
        <tr r="M62" s="18"/>
      </tp>
      <tp t="e">
        <v>#N/A</v>
        <stp/>
        <stp>BDH|14721492508515967864</stp>
        <tr r="O68" s="17"/>
      </tp>
      <tp t="e">
        <v>#N/A</v>
        <stp/>
        <stp>BDH|12267171295246148187</stp>
        <tr r="V75" s="24"/>
      </tp>
      <tp t="e">
        <v>#N/A</v>
        <stp/>
        <stp>BDH|18158712859114144314</stp>
        <tr r="T11" s="10"/>
        <tr r="T14" s="2"/>
      </tp>
      <tp t="e">
        <v>#N/A</v>
        <stp/>
        <stp>BDH|15941597512255965922</stp>
        <tr r="G58" s="12"/>
      </tp>
      <tp t="e">
        <v>#N/A</v>
        <stp/>
        <stp>BDH|11830249305916064800</stp>
        <tr r="P51" s="12"/>
      </tp>
      <tp t="e">
        <v>#N/A</v>
        <stp/>
        <stp>BDH|13933666963108602630</stp>
        <tr r="L58" s="24"/>
      </tp>
      <tp t="e">
        <v>#N/A</v>
        <stp/>
        <stp>BDH|14473202463208952576</stp>
        <tr r="W66" s="13"/>
      </tp>
      <tp t="e">
        <v>#N/A</v>
        <stp/>
        <stp>BDH|10045779674345380892</stp>
        <tr r="Y46" s="13"/>
        <tr r="W41" s="10"/>
        <tr r="W30" s="11"/>
      </tp>
      <tp t="e">
        <v>#N/A</v>
        <stp/>
        <stp>BDH|12655828358012480011</stp>
        <tr r="G26" s="18"/>
      </tp>
      <tp t="e">
        <v>#N/A</v>
        <stp/>
        <stp>BDH|16464921286212890818</stp>
        <tr r="X29" s="12"/>
      </tp>
      <tp t="e">
        <v>#N/A</v>
        <stp/>
        <stp>BDH|16220982279323931634</stp>
        <tr r="E15" s="26"/>
      </tp>
      <tp t="e">
        <v>#N/A</v>
        <stp/>
        <stp>BDH|10611192284504740056</stp>
        <tr r="O9" s="28"/>
      </tp>
      <tp t="e">
        <v>#N/A</v>
        <stp/>
        <stp>BDH|16215099553426524855</stp>
        <tr r="O34" s="22"/>
      </tp>
      <tp t="e">
        <v>#N/A</v>
        <stp/>
        <stp>BDH|17947313100611681862</stp>
        <tr r="P27" s="25"/>
        <tr r="N20" s="11"/>
      </tp>
      <tp t="e">
        <v>#N/A</v>
        <stp/>
        <stp>BDH|12214797030379671259</stp>
        <tr r="H49" s="34"/>
      </tp>
      <tp t="e">
        <v>#N/A</v>
        <stp/>
        <stp>BDH|15085403579292404953</stp>
        <tr r="X107" s="18"/>
      </tp>
      <tp t="e">
        <v>#N/A</v>
        <stp/>
        <stp>BDH|11328739196370852264</stp>
        <tr r="T125" s="18"/>
      </tp>
      <tp t="e">
        <v>#N/A</v>
        <stp/>
        <stp>BDH|11856333385013788417</stp>
        <tr r="G44" s="11"/>
        <tr r="G55" s="10"/>
        <tr r="G15" s="7"/>
      </tp>
      <tp t="e">
        <v>#N/A</v>
        <stp/>
        <stp>BDH|14195153364398961616</stp>
        <tr r="K70" s="13"/>
      </tp>
      <tp t="e">
        <v>#N/A</v>
        <stp/>
        <stp>BDH|11694756105853788896</stp>
        <tr r="H18" s="9"/>
      </tp>
      <tp t="e">
        <v>#N/A</v>
        <stp/>
        <stp>BDH|16430904460880419486</stp>
        <tr r="G92" s="12"/>
      </tp>
      <tp t="e">
        <v>#N/A</v>
        <stp/>
        <stp>BDH|18026018277705940771</stp>
        <tr r="E21" s="21"/>
      </tp>
      <tp t="e">
        <v>#N/A</v>
        <stp/>
        <stp>BDH|15586812144592879600</stp>
        <tr r="F45" s="18"/>
      </tp>
      <tp t="e">
        <v>#N/A</v>
        <stp/>
        <stp>BDH|14923168811510432923</stp>
        <tr r="S23" s="9"/>
      </tp>
      <tp t="e">
        <v>#N/A</v>
        <stp/>
        <stp>BDH|11453170711055292983</stp>
        <tr r="Q49" s="24"/>
      </tp>
      <tp t="e">
        <v>#N/A</v>
        <stp/>
        <stp>BDH|10893328455843626816</stp>
        <tr r="P24" s="26"/>
      </tp>
      <tp t="e">
        <v>#N/A</v>
        <stp/>
        <stp>BDH|12590498024369268028</stp>
        <tr r="E17" s="22"/>
      </tp>
      <tp t="e">
        <v>#N/A</v>
        <stp/>
        <stp>BDH|14499551719359801487</stp>
        <tr r="I14" s="10"/>
      </tp>
      <tp t="e">
        <v>#N/A</v>
        <stp/>
        <stp>BDH|13663939956092324081</stp>
        <tr r="L8" s="20"/>
        <tr r="L114" s="18"/>
      </tp>
      <tp t="e">
        <v>#N/A</v>
        <stp/>
        <stp>BDH|16875591668899044119</stp>
        <tr r="F175" s="18"/>
      </tp>
      <tp t="e">
        <v>#N/A</v>
        <stp/>
        <stp>BDH|12105811533537324385</stp>
        <tr r="G22" s="11"/>
      </tp>
      <tp t="e">
        <v>#N/A</v>
        <stp/>
        <stp>BDH|14181099305959190042</stp>
        <tr r="Q85" s="17"/>
      </tp>
      <tp t="e">
        <v>#N/A</v>
        <stp/>
        <stp>BDH|12666002428134662901</stp>
        <tr r="O23" s="30"/>
        <tr r="O25" s="23"/>
      </tp>
      <tp t="e">
        <v>#N/A</v>
        <stp/>
        <stp>BDH|10222811456721839156</stp>
        <tr r="U27" s="6"/>
      </tp>
      <tp t="e">
        <v>#N/A</v>
        <stp/>
        <stp>BDH|13155444178109040455</stp>
        <tr r="T12" s="25"/>
      </tp>
      <tp t="e">
        <v>#N/A</v>
        <stp/>
        <stp>BDH|14036103287162866276</stp>
        <tr r="D126" s="18"/>
      </tp>
      <tp t="e">
        <v>#N/A</v>
        <stp/>
        <stp>BDH|12213992624507534324</stp>
        <tr r="G9" s="22"/>
      </tp>
      <tp t="e">
        <v>#N/A</v>
        <stp/>
        <stp>BDH|14653103883624941444</stp>
        <tr r="D21" s="11"/>
      </tp>
      <tp t="e">
        <v>#N/A</v>
        <stp/>
        <stp>BDH|11634856928553533563</stp>
        <tr r="M23" s="23"/>
      </tp>
      <tp t="e">
        <v>#N/A</v>
        <stp/>
        <stp>BDH|12037074935089398599</stp>
        <tr r="H87" s="12"/>
      </tp>
      <tp t="e">
        <v>#N/A</v>
        <stp/>
        <stp>BDH|12797594894590573378</stp>
        <tr r="S20" s="21"/>
      </tp>
      <tp t="e">
        <v>#N/A</v>
        <stp/>
        <stp>BDH|16288883023473792260</stp>
        <tr r="D52" s="22"/>
      </tp>
      <tp t="e">
        <v>#N/A</v>
        <stp/>
        <stp>BDH|12490404488464467709</stp>
        <tr r="R109" s="18"/>
      </tp>
      <tp t="e">
        <v>#N/A</v>
        <stp/>
        <stp>BDH|15410645251553872810</stp>
        <tr r="O25" s="18"/>
      </tp>
      <tp t="e">
        <v>#N/A</v>
        <stp/>
        <stp>BDH|14961877898101832966</stp>
        <tr r="X89" s="12"/>
      </tp>
      <tp t="e">
        <v>#N/A</v>
        <stp/>
        <stp>BDH|17553732667703124887</stp>
        <tr r="O24" s="12"/>
      </tp>
      <tp t="e">
        <v>#N/A</v>
        <stp/>
        <stp>BDH|12405796226258640255</stp>
        <tr r="S24" s="26"/>
      </tp>
      <tp t="e">
        <v>#N/A</v>
        <stp/>
        <stp>BDH|13911993312647258185</stp>
        <tr r="W42" s="24"/>
      </tp>
      <tp t="e">
        <v>#N/A</v>
        <stp/>
        <stp>BDH|15361823008045814590</stp>
        <tr r="T24" s="24"/>
      </tp>
      <tp t="e">
        <v>#N/A</v>
        <stp/>
        <stp>BDH|15395718840473399898</stp>
        <tr r="T13" s="21"/>
      </tp>
      <tp t="e">
        <v>#N/A</v>
        <stp/>
        <stp>BDH|18111404648751794450</stp>
        <tr r="S77" s="12"/>
      </tp>
      <tp t="e">
        <v>#N/A</v>
        <stp/>
        <stp>BDH|16812609122118613773</stp>
        <tr r="U16" s="12"/>
      </tp>
      <tp t="e">
        <v>#N/A</v>
        <stp/>
        <stp>BDH|10300927657005843459</stp>
        <tr r="J50" s="17"/>
      </tp>
      <tp t="e">
        <v>#N/A</v>
        <stp/>
        <stp>BDH|16162393162446383823</stp>
        <tr r="O14" s="22"/>
      </tp>
      <tp t="e">
        <v>#N/A</v>
        <stp/>
        <stp>BDH|16080754037037909805</stp>
        <tr r="G47" s="21"/>
      </tp>
      <tp t="e">
        <v>#N/A</v>
        <stp/>
        <stp>BDH|15960123371249370729</stp>
        <tr r="C67" s="18"/>
      </tp>
      <tp t="e">
        <v>#N/A</v>
        <stp/>
        <stp>BDH|15632202398820241374</stp>
        <tr r="S16" s="13"/>
        <tr r="S28" s="13"/>
        <tr r="Q17" s="10"/>
      </tp>
      <tp t="e">
        <v>#N/A</v>
        <stp/>
        <stp>BDH|13798944341560874317</stp>
        <tr r="Y25" s="3"/>
      </tp>
      <tp t="e">
        <v>#N/A</v>
        <stp/>
        <stp>BDH|13868329389704806107</stp>
        <tr r="E24" s="26"/>
      </tp>
      <tp t="e">
        <v>#N/A</v>
        <stp/>
        <stp>BDH|12792893852533532123</stp>
        <tr r="K68" s="17"/>
      </tp>
      <tp t="e">
        <v>#N/A</v>
        <stp/>
        <stp>BDH|16046055613049860358</stp>
        <tr r="L22" s="25"/>
      </tp>
      <tp t="e">
        <v>#N/A</v>
        <stp/>
        <stp>BDH|10866929145146761637</stp>
        <tr r="F48" s="6"/>
      </tp>
      <tp t="e">
        <v>#N/A</v>
        <stp/>
        <stp>BDH|11686515683780647190</stp>
        <tr r="J14" s="4"/>
      </tp>
      <tp t="e">
        <v>#N/A</v>
        <stp/>
        <stp>BDH|13851513017818475217</stp>
        <tr r="O27" s="7"/>
      </tp>
      <tp t="e">
        <v>#N/A</v>
        <stp/>
        <stp>BDH|18151230038010737468</stp>
        <tr r="C35" s="17"/>
      </tp>
      <tp t="e">
        <v>#N/A</v>
        <stp/>
        <stp>BDH|16328886253927511161</stp>
        <tr r="D56" s="18"/>
      </tp>
      <tp t="e">
        <v>#N/A</v>
        <stp/>
        <stp>BDH|14623029790630990069</stp>
        <tr r="Q51" s="22"/>
      </tp>
      <tp t="e">
        <v>#N/A</v>
        <stp/>
        <stp>BDH|13064674597496370782</stp>
        <tr r="E91" s="18"/>
      </tp>
      <tp t="e">
        <v>#N/A</v>
        <stp/>
        <stp>BDH|15252897998069998018</stp>
        <tr r="I50" s="4"/>
      </tp>
      <tp t="e">
        <v>#N/A</v>
        <stp/>
        <stp>BDH|11210676591922693194</stp>
        <tr r="M53" s="18"/>
      </tp>
      <tp t="e">
        <v>#N/A</v>
        <stp/>
        <stp>BDH|17834856880253409924</stp>
        <tr r="S31" s="17"/>
      </tp>
      <tp t="e">
        <v>#N/A</v>
        <stp/>
        <stp>BDH|16503521522759911574</stp>
        <tr r="P15" s="11"/>
      </tp>
      <tp t="e">
        <v>#N/A</v>
        <stp/>
        <stp>BDH|12647680492699071977</stp>
        <tr r="M24" s="25"/>
      </tp>
      <tp t="e">
        <v>#N/A</v>
        <stp/>
        <stp>BDH|14733830964451354680</stp>
        <tr r="P44" s="34"/>
      </tp>
      <tp t="e">
        <v>#N/A</v>
        <stp/>
        <stp>BDH|11969130237907089965</stp>
        <tr r="F93" s="18"/>
      </tp>
      <tp t="e">
        <v>#N/A</v>
        <stp/>
        <stp>BDH|10127252242338858357</stp>
        <tr r="T44" s="21"/>
      </tp>
      <tp t="e">
        <v>#N/A</v>
        <stp/>
        <stp>BDH|11526263873710804937</stp>
        <tr r="U43" s="18"/>
      </tp>
      <tp t="e">
        <v>#N/A</v>
        <stp/>
        <stp>BDH|12221428728520270919</stp>
        <tr r="Q49" s="21"/>
      </tp>
      <tp t="e">
        <v>#N/A</v>
        <stp/>
        <stp>BDH|14810770281783567500</stp>
        <tr r="H74" s="17"/>
      </tp>
      <tp t="e">
        <v>#N/A</v>
        <stp/>
        <stp>BDH|11206434896199418884</stp>
        <tr r="I42" s="18"/>
      </tp>
      <tp t="e">
        <v>#N/A</v>
        <stp/>
        <stp>BDH|14804169585902611261</stp>
        <tr r="H7" s="14"/>
      </tp>
      <tp t="e">
        <v>#N/A</v>
        <stp/>
        <stp>BDH|13199429603513912923</stp>
        <tr r="P13" s="21"/>
      </tp>
      <tp t="e">
        <v>#N/A</v>
        <stp/>
        <stp>BDH|10675890828904903359</stp>
        <tr r="T13" s="24"/>
      </tp>
      <tp t="e">
        <v>#N/A</v>
        <stp/>
        <stp>BDH|17413390767459459656</stp>
        <tr r="Y10" s="13"/>
      </tp>
      <tp t="e">
        <v>#N/A</v>
        <stp/>
        <stp>BDH|15207585943291261807</stp>
        <tr r="F8" s="22"/>
      </tp>
      <tp t="e">
        <v>#N/A</v>
        <stp/>
        <stp>BDH|14655352889765811794</stp>
        <tr r="Q13" s="30"/>
      </tp>
      <tp t="e">
        <v>#N/A</v>
        <stp/>
        <stp>BDH|12691081089642480583</stp>
        <tr r="U51" s="17"/>
      </tp>
      <tp t="e">
        <v>#N/A</v>
        <stp/>
        <stp>BDH|11279842981714935854</stp>
        <tr r="Z8" s="18"/>
      </tp>
      <tp t="e">
        <v>#N/A</v>
        <stp/>
        <stp>BDH|12591488791830483234</stp>
        <tr r="W20" s="24"/>
      </tp>
      <tp t="e">
        <v>#N/A</v>
        <stp/>
        <stp>BDH|13667346268379013217</stp>
        <tr r="N92" s="18"/>
      </tp>
      <tp t="e">
        <v>#N/A</v>
        <stp/>
        <stp>BDH|12707761234453609881</stp>
        <tr r="S48" s="13"/>
      </tp>
      <tp t="e">
        <v>#N/A</v>
        <stp/>
        <stp>BDH|15676470447100551887</stp>
        <tr r="T17" s="27"/>
        <tr r="T35" s="25"/>
        <tr r="Q14" s="5"/>
      </tp>
      <tp t="e">
        <v>#N/A</v>
        <stp/>
        <stp>BDH|14818628581726760163</stp>
        <tr r="X18" s="18"/>
      </tp>
      <tp t="e">
        <v>#N/A</v>
        <stp/>
        <stp>BDH|16616455705019885647</stp>
        <tr r="J21" s="18"/>
      </tp>
      <tp t="e">
        <v>#N/A</v>
        <stp/>
        <stp>BDH|13585732298649734934</stp>
        <tr r="J14" s="21"/>
      </tp>
      <tp t="e">
        <v>#N/A</v>
        <stp/>
        <stp>BDH|12777051533978217495</stp>
        <tr r="F29" s="17"/>
      </tp>
      <tp t="e">
        <v>#N/A</v>
        <stp/>
        <stp>BDH|14083222387342675196</stp>
        <tr r="F21" s="20"/>
      </tp>
      <tp t="e">
        <v>#N/A</v>
        <stp/>
        <stp>BDH|12979838551611177301</stp>
        <tr r="V54" s="18"/>
      </tp>
      <tp t="e">
        <v>#N/A</v>
        <stp/>
        <stp>BDH|11137704557779578799</stp>
        <tr r="C28" s="4"/>
      </tp>
      <tp t="e">
        <v>#N/A</v>
        <stp/>
        <stp>BDH|12985880180189946623</stp>
        <tr r="H13" s="24"/>
      </tp>
      <tp t="e">
        <v>#N/A</v>
        <stp/>
        <stp>BDH|15173854623951815357</stp>
        <tr r="N90" s="17"/>
      </tp>
      <tp t="e">
        <v>#N/A</v>
        <stp/>
        <stp>BDH|11194103289671775457</stp>
        <tr r="F56" s="6"/>
      </tp>
      <tp t="e">
        <v>#N/A</v>
        <stp/>
        <stp>BDH|17681748482462300798</stp>
        <tr r="U52" s="17"/>
      </tp>
      <tp t="e">
        <v>#N/A</v>
        <stp/>
        <stp>BDH|13356062085094900234</stp>
        <tr r="P60" s="18"/>
      </tp>
      <tp t="e">
        <v>#N/A</v>
        <stp/>
        <stp>BDH|13868685459699643452</stp>
        <tr r="U26" s="18"/>
      </tp>
      <tp t="e">
        <v>#N/A</v>
        <stp/>
        <stp>BDH|14453042493282861211</stp>
        <tr r="M9" s="23"/>
      </tp>
      <tp t="e">
        <v>#N/A</v>
        <stp/>
        <stp>BDH|11103620164965530988</stp>
        <tr r="G166" s="18"/>
      </tp>
      <tp t="e">
        <v>#N/A</v>
        <stp/>
        <stp>BDH|17727187594505316720</stp>
        <tr r="O34" s="13"/>
        <tr r="M27" s="10"/>
      </tp>
      <tp t="e">
        <v>#N/A</v>
        <stp/>
        <stp>BDH|11452581680038645900</stp>
        <tr r="F25" s="22"/>
      </tp>
      <tp t="e">
        <v>#N/A</v>
        <stp/>
        <stp>BDH|12352409355986879845</stp>
        <tr r="K43" s="24"/>
      </tp>
      <tp t="e">
        <v>#N/A</v>
        <stp/>
        <stp>BDH|15365396666495621800</stp>
        <tr r="P46" s="34"/>
      </tp>
      <tp t="e">
        <v>#N/A</v>
        <stp/>
        <stp>BDH|16345667182162841750</stp>
        <tr r="W153" s="18"/>
      </tp>
      <tp t="e">
        <v>#N/A</v>
        <stp/>
        <stp>BDH|11070324998565157317</stp>
        <tr r="T47" s="13"/>
      </tp>
      <tp t="e">
        <v>#N/A</v>
        <stp/>
        <stp>BDH|11694034028419444739</stp>
        <tr r="Y13" s="30"/>
      </tp>
      <tp t="e">
        <v>#N/A</v>
        <stp/>
        <stp>BDH|10731447680543963203</stp>
        <tr r="E43" s="4"/>
      </tp>
      <tp t="e">
        <v>#N/A</v>
        <stp/>
        <stp>BDH|13361997433271506518</stp>
        <tr r="W13" s="8"/>
      </tp>
      <tp t="e">
        <v>#N/A</v>
        <stp/>
        <stp>BDH|13739689174717777813</stp>
        <tr r="W140" s="18"/>
      </tp>
      <tp t="e">
        <v>#N/A</v>
        <stp/>
        <stp>BDH|16439233007811440895</stp>
        <tr r="Y76" s="24"/>
      </tp>
      <tp t="e">
        <v>#N/A</v>
        <stp/>
        <stp>BDH|13718997864438497934</stp>
        <tr r="D19" s="20"/>
      </tp>
      <tp t="e">
        <v>#N/A</v>
        <stp/>
        <stp>BDH|16954476310947323907</stp>
        <tr r="P17" s="28"/>
        <tr r="P14" s="17"/>
      </tp>
      <tp t="e">
        <v>#N/A</v>
        <stp/>
        <stp>BDH|14849341114999757224</stp>
        <tr r="F75" s="12"/>
      </tp>
      <tp t="e">
        <v>#N/A</v>
        <stp/>
        <stp>BDH|14897946807558578830</stp>
        <tr r="S19" s="18"/>
      </tp>
      <tp t="e">
        <v>#N/A</v>
        <stp/>
        <stp>BDH|15079983384071496851</stp>
        <tr r="Q44" s="22"/>
      </tp>
      <tp t="e">
        <v>#N/A</v>
        <stp/>
        <stp>BDH|11728532928622825998</stp>
        <tr r="Q25" s="13"/>
      </tp>
      <tp t="e">
        <v>#N/A</v>
        <stp/>
        <stp>BDH|12628998109813341585</stp>
        <tr r="M9" s="25"/>
        <tr r="M44" s="17"/>
      </tp>
      <tp t="e">
        <v>#N/A</v>
        <stp/>
        <stp>BDH|11186414488013088357</stp>
        <tr r="F15" s="21"/>
      </tp>
      <tp t="e">
        <v>#N/A</v>
        <stp/>
        <stp>BDH|14115968791470362989</stp>
        <tr r="F22" s="27"/>
      </tp>
      <tp t="e">
        <v>#N/A</v>
        <stp/>
        <stp>BDH|10161945288634576850</stp>
        <tr r="AA77" s="18"/>
      </tp>
      <tp t="e">
        <v>#N/A</v>
        <stp/>
        <stp>BDH|14470306606348600290</stp>
        <tr r="T22" s="27"/>
      </tp>
      <tp t="e">
        <v>#N/A</v>
        <stp/>
        <stp>BDH|13267482953636666925</stp>
        <tr r="J42" s="26"/>
      </tp>
      <tp t="e">
        <v>#N/A</v>
        <stp/>
        <stp>BDH|10840761516713466815</stp>
        <tr r="N69" s="10"/>
        <tr r="N39" s="4"/>
      </tp>
      <tp t="e">
        <v>#N/A</v>
        <stp/>
        <stp>BDH|16339258303859041087</stp>
        <tr r="I56" s="11"/>
      </tp>
      <tp t="e">
        <v>#N/A</v>
        <stp/>
        <stp>BDH|16340878915943416183</stp>
        <tr r="E12" s="24"/>
      </tp>
      <tp t="e">
        <v>#N/A</v>
        <stp/>
        <stp>BDH|14868250156069203740</stp>
        <tr r="Z14" s="28"/>
      </tp>
      <tp t="e">
        <v>#N/A</v>
        <stp/>
        <stp>BDH|13725008973710012999</stp>
        <tr r="R47" s="17"/>
      </tp>
      <tp t="e">
        <v>#N/A</v>
        <stp/>
        <stp>BDH|18177997964248674270</stp>
        <tr r="Q7" s="11"/>
      </tp>
      <tp t="e">
        <v>#N/A</v>
        <stp/>
        <stp>BDH|16833731254511397805</stp>
        <tr r="Y74" s="24"/>
      </tp>
      <tp t="e">
        <v>#N/A</v>
        <stp/>
        <stp>BDH|16734256393727915748</stp>
        <tr r="Z23" s="21"/>
      </tp>
      <tp t="e">
        <v>#N/A</v>
        <stp/>
        <stp>BDH|11087091805188702472</stp>
        <tr r="V66" s="24"/>
      </tp>
      <tp t="e">
        <v>#N/A</v>
        <stp/>
        <stp>BDH|15179515414419182597</stp>
        <tr r="R31" s="24"/>
      </tp>
      <tp t="e">
        <v>#N/A</v>
        <stp/>
        <stp>BDH|10238939747719917935</stp>
        <tr r="I19" s="6"/>
      </tp>
      <tp t="e">
        <v>#N/A</v>
        <stp/>
        <stp>BDH|18104292979185893553</stp>
        <tr r="U89" s="12"/>
      </tp>
      <tp t="e">
        <v>#N/A</v>
        <stp/>
        <stp>BDH|12011886905910848793</stp>
        <tr r="N49" s="34"/>
      </tp>
      <tp t="e">
        <v>#N/A</v>
        <stp/>
        <stp>BDH|10708863910395587180</stp>
        <tr r="E16" s="29"/>
        <tr r="E39" s="29"/>
      </tp>
      <tp t="e">
        <v>#N/A</v>
        <stp/>
        <stp>BDH|14682970948382200674</stp>
        <tr r="X74" s="24"/>
      </tp>
      <tp t="e">
        <v>#N/A</v>
        <stp/>
        <stp>BDH|10078988962757458523</stp>
        <tr r="C27" s="7"/>
      </tp>
      <tp t="e">
        <v>#N/A</v>
        <stp/>
        <stp>BDH|13898964113404731267</stp>
        <tr r="W15" s="18"/>
      </tp>
      <tp t="e">
        <v>#N/A</v>
        <stp/>
        <stp>BDH|16634191852257081815</stp>
        <tr r="D51" s="22"/>
      </tp>
      <tp t="e">
        <v>#N/A</v>
        <stp/>
        <stp>BDH|17311571844799491283</stp>
        <tr r="U62" s="21"/>
      </tp>
      <tp t="e">
        <v>#N/A</v>
        <stp/>
        <stp>BDH|15883065798163333293</stp>
        <tr r="N60" s="17"/>
      </tp>
      <tp t="e">
        <v>#N/A</v>
        <stp/>
        <stp>BDH|13507839755720650397</stp>
        <tr r="Y32" s="18"/>
      </tp>
      <tp t="e">
        <v>#N/A</v>
        <stp/>
        <stp>BDH|16144793863673376945</stp>
        <tr r="V12" s="17"/>
      </tp>
      <tp t="e">
        <v>#N/A</v>
        <stp/>
        <stp>BDH|14271100895734255597</stp>
        <tr r="W6" s="20"/>
        <tr r="W112" s="18"/>
      </tp>
      <tp t="e">
        <v>#N/A</v>
        <stp/>
        <stp>BDH|16067153989113004106</stp>
        <tr r="O45" s="13"/>
        <tr r="M40" s="10"/>
        <tr r="M29" s="11"/>
      </tp>
      <tp t="e">
        <v>#N/A</v>
        <stp/>
        <stp>BDH|17947669187940662420</stp>
        <tr r="L11" s="29"/>
      </tp>
      <tp t="e">
        <v>#N/A</v>
        <stp/>
        <stp>BDH|13646197995363454524</stp>
        <tr r="U30" s="22"/>
      </tp>
      <tp t="e">
        <v>#N/A</v>
        <stp/>
        <stp>BDH|13698049191270747787</stp>
        <tr r="I35" s="13"/>
        <tr r="G28" s="10"/>
      </tp>
      <tp t="e">
        <v>#N/A</v>
        <stp/>
        <stp>BDH|15676872644924959008</stp>
        <tr r="Y65" s="13"/>
      </tp>
      <tp t="e">
        <v>#N/A</v>
        <stp/>
        <stp>BDH|12576767292467857651</stp>
        <tr r="J21" s="21"/>
      </tp>
      <tp t="e">
        <v>#N/A</v>
        <stp/>
        <stp>BDH|12441279869782749919</stp>
        <tr r="U103" s="18"/>
      </tp>
      <tp t="e">
        <v>#N/A</v>
        <stp/>
        <stp>BDH|10748879772083923178</stp>
        <tr r="I6" s="28"/>
      </tp>
      <tp t="e">
        <v>#N/A</v>
        <stp/>
        <stp>BDH|14450214769169729474</stp>
        <tr r="P158" s="18"/>
      </tp>
      <tp t="e">
        <v>#N/A</v>
        <stp/>
        <stp>BDH|10338916553881990042</stp>
        <tr r="E9" s="30"/>
      </tp>
      <tp t="e">
        <v>#N/A</v>
        <stp/>
        <stp>BDH|17529237189045446574</stp>
        <tr r="X84" s="17"/>
        <tr r="X20" s="3"/>
        <tr r="V6" s="7"/>
      </tp>
      <tp t="e">
        <v>#N/A</v>
        <stp/>
        <stp>BDH|17858212844225089919</stp>
        <tr r="L18" s="14"/>
      </tp>
      <tp t="e">
        <v>#N/A</v>
        <stp/>
        <stp>BDH|13134457018049796279</stp>
        <tr r="Y83" s="12"/>
      </tp>
      <tp t="e">
        <v>#N/A</v>
        <stp/>
        <stp>BDH|11035305742009612283</stp>
        <tr r="C71" s="17"/>
      </tp>
      <tp t="e">
        <v>#N/A</v>
        <stp/>
        <stp>BDH|10028287383934108357</stp>
        <tr r="N8" s="24"/>
      </tp>
      <tp t="e">
        <v>#N/A</v>
        <stp/>
        <stp>BDH|15984013499432633387</stp>
        <tr r="D29" s="12"/>
      </tp>
      <tp t="e">
        <v>#N/A</v>
        <stp/>
        <stp>BDH|14880371509959123389</stp>
        <tr r="G18" s="24"/>
      </tp>
      <tp t="e">
        <v>#N/A</v>
        <stp/>
        <stp>BDH|15557414296667856258</stp>
        <tr r="W10" s="28"/>
      </tp>
      <tp t="e">
        <v>#N/A</v>
        <stp/>
        <stp>BDH|18303398753395419620</stp>
        <tr r="C52" s="12"/>
      </tp>
      <tp t="e">
        <v>#N/A</v>
        <stp/>
        <stp>BDH|18149811317845111993</stp>
        <tr r="D174" s="18"/>
      </tp>
      <tp t="e">
        <v>#N/A</v>
        <stp/>
        <stp>BDH|10398914411376833342</stp>
        <tr r="V47" s="21"/>
      </tp>
      <tp t="e">
        <v>#N/A</v>
        <stp/>
        <stp>BDH|12659591872515269809</stp>
        <tr r="I12" s="6"/>
      </tp>
      <tp t="e">
        <v>#N/A</v>
        <stp/>
        <stp>BDH|11655169981241772497</stp>
        <tr r="E12" s="20"/>
        <tr r="E117" s="18"/>
      </tp>
      <tp t="e">
        <v>#N/A</v>
        <stp/>
        <stp>BDH|10648598941474020817</stp>
        <tr r="O9" s="12"/>
      </tp>
      <tp t="e">
        <v>#N/A</v>
        <stp/>
        <stp>BDH|12628902386507867970</stp>
        <tr r="S14" s="12"/>
      </tp>
      <tp t="e">
        <v>#N/A</v>
        <stp/>
        <stp>BDH|17038029633919970077</stp>
        <tr r="P11" s="6"/>
      </tp>
      <tp t="e">
        <v>#N/A</v>
        <stp/>
        <stp>BDH|16312209481998811953</stp>
        <tr r="T154" s="18"/>
      </tp>
      <tp t="e">
        <v>#N/A</v>
        <stp/>
        <stp>BDH|16946155285355279746</stp>
        <tr r="H76" s="12"/>
      </tp>
      <tp t="e">
        <v>#N/A</v>
        <stp/>
        <stp>BDH|14844961602453126320</stp>
        <tr r="P23" s="18"/>
      </tp>
      <tp t="e">
        <v>#N/A</v>
        <stp/>
        <stp>BDH|17205715456058374091</stp>
        <tr r="Y12" s="11"/>
      </tp>
      <tp t="e">
        <v>#N/A</v>
        <stp/>
        <stp>BDH|17904026067419109523</stp>
        <tr r="F67" s="18"/>
      </tp>
      <tp t="e">
        <v>#N/A</v>
        <stp/>
        <stp>BDH|14828822671894488201</stp>
        <tr r="D27" s="7"/>
      </tp>
      <tp t="e">
        <v>#N/A</v>
        <stp/>
        <stp>BDH|18415736369896077219</stp>
        <tr r="U45" s="24"/>
      </tp>
      <tp t="e">
        <v>#N/A</v>
        <stp/>
        <stp>BDH|10299568388532119224</stp>
        <tr r="P138" s="18"/>
      </tp>
      <tp t="e">
        <v>#N/A</v>
        <stp/>
        <stp>BDH|14247281335600409844</stp>
        <tr r="Q166" s="18"/>
      </tp>
      <tp t="e">
        <v>#N/A</v>
        <stp/>
        <stp>BDH|18072266586737869877</stp>
        <tr r="D50" s="13"/>
      </tp>
      <tp t="e">
        <v>#N/A</v>
        <stp/>
        <stp>BDH|17839706706438117507</stp>
        <tr r="C56" s="18"/>
      </tp>
      <tp t="e">
        <v>#N/A</v>
        <stp/>
        <stp>BDH|10137839228973556401</stp>
        <tr r="T73" s="18"/>
      </tp>
      <tp t="e">
        <v>#N/A</v>
        <stp/>
        <stp>BDH|11806323742772270954</stp>
        <tr r="H46" s="24"/>
      </tp>
      <tp t="e">
        <v>#N/A</v>
        <stp/>
        <stp>BDH|10517064573683617994</stp>
        <tr r="K48" s="21"/>
      </tp>
      <tp t="e">
        <v>#N/A</v>
        <stp/>
        <stp>BDH|17725650150239432095</stp>
        <tr r="G62" s="24"/>
      </tp>
      <tp t="e">
        <v>#N/A</v>
        <stp/>
        <stp>BDH|14444176226149964330</stp>
        <tr r="S33" s="18"/>
      </tp>
      <tp t="e">
        <v>#N/A</v>
        <stp/>
        <stp>BDH|10592880341444286510</stp>
        <tr r="M18" s="6"/>
      </tp>
      <tp t="e">
        <v>#N/A</v>
        <stp/>
        <stp>BDH|15493914136084412688</stp>
        <tr r="N30" s="14"/>
      </tp>
      <tp t="e">
        <v>#N/A</v>
        <stp/>
        <stp>BDH|16967143749626803837</stp>
        <tr r="J10" s="25"/>
        <tr r="J55" s="17"/>
      </tp>
      <tp t="e">
        <v>#N/A</v>
        <stp/>
        <stp>BDH|10432159943300454887</stp>
        <tr r="O6" s="19"/>
        <tr r="O38" s="17"/>
        <tr r="O16" s="3"/>
      </tp>
      <tp t="e">
        <v>#N/A</v>
        <stp/>
        <stp>BDH|10855550344144283857</stp>
        <tr r="K72" s="17"/>
      </tp>
      <tp t="e">
        <v>#N/A</v>
        <stp/>
        <stp>BDH|15890793853868503298</stp>
        <tr r="E42" s="18"/>
      </tp>
      <tp t="e">
        <v>#N/A</v>
        <stp/>
        <stp>BDH|18002689747522238535</stp>
        <tr r="T35" s="18"/>
      </tp>
      <tp t="e">
        <v>#N/A</v>
        <stp/>
        <stp>BDH|10268194511058591511</stp>
        <tr r="N143" s="18"/>
      </tp>
      <tp t="e">
        <v>#N/A</v>
        <stp/>
        <stp>BDH|10841737871189698421</stp>
        <tr r="I34" s="29"/>
      </tp>
      <tp t="e">
        <v>#N/A</v>
        <stp/>
        <stp>BDH|16151382164828479670</stp>
        <tr r="T131" s="18"/>
      </tp>
      <tp t="e">
        <v>#N/A</v>
        <stp/>
        <stp>BDH|16512803770976314282</stp>
        <tr r="M17" s="34"/>
      </tp>
      <tp t="e">
        <v>#N/A</v>
        <stp/>
        <stp>BDH|14725203988947936485</stp>
        <tr r="T67" s="12"/>
      </tp>
      <tp t="e">
        <v>#N/A</v>
        <stp/>
        <stp>BDH|11351851841566087697</stp>
        <tr r="J44" s="34"/>
      </tp>
      <tp t="e">
        <v>#N/A</v>
        <stp/>
        <stp>BDH|12195353791594933122</stp>
        <tr r="AA32" s="24"/>
      </tp>
      <tp t="e">
        <v>#N/A</v>
        <stp/>
        <stp>BDH|18427593580519735149</stp>
        <tr r="Q64" s="13"/>
      </tp>
      <tp t="e">
        <v>#N/A</v>
        <stp/>
        <stp>BDH|15004259894193647091</stp>
        <tr r="T30" s="9"/>
      </tp>
      <tp t="e">
        <v>#N/A</v>
        <stp/>
        <stp>BDH|15519671083854602294</stp>
        <tr r="D72" s="17"/>
      </tp>
      <tp t="e">
        <v>#N/A</v>
        <stp/>
        <stp>BDH|14874843889731894836</stp>
        <tr r="H53" s="13"/>
      </tp>
      <tp t="e">
        <v>#N/A</v>
        <stp/>
        <stp>BDH|15253418350019853054</stp>
        <tr r="L21" s="17"/>
      </tp>
      <tp t="e">
        <v>#N/A</v>
        <stp/>
        <stp>BDH|18277505507500328087</stp>
        <tr r="K17" s="12"/>
      </tp>
      <tp t="e">
        <v>#N/A</v>
        <stp/>
        <stp>BDH|16153931529164137444</stp>
        <tr r="E13" s="12"/>
      </tp>
      <tp t="e">
        <v>#N/A</v>
        <stp/>
        <stp>BDH|12358778592560806108</stp>
        <tr r="T101" s="18"/>
      </tp>
      <tp t="e">
        <v>#N/A</v>
        <stp/>
        <stp>BDH|16670130169049475560</stp>
        <tr r="V7" s="17"/>
      </tp>
      <tp t="e">
        <v>#N/A</v>
        <stp/>
        <stp>BDH|11588740426298042199</stp>
        <tr r="M77" s="18"/>
      </tp>
      <tp t="e">
        <v>#N/A</v>
        <stp/>
        <stp>BDH|11321890515863848698</stp>
        <tr r="E22" s="22"/>
      </tp>
      <tp t="e">
        <v>#N/A</v>
        <stp/>
        <stp>BDH|16812963880472618861</stp>
        <tr r="U10" s="14"/>
      </tp>
      <tp t="e">
        <v>#N/A</v>
        <stp/>
        <stp>BDH|11627513362238837736</stp>
        <tr r="X13" s="24"/>
      </tp>
      <tp t="e">
        <v>#N/A</v>
        <stp/>
        <stp>BDH|12154888213542792437</stp>
        <tr r="I80" s="18"/>
      </tp>
      <tp t="e">
        <v>#N/A</v>
        <stp/>
        <stp>BDH|17953275247498133462</stp>
        <tr r="C57" s="12"/>
      </tp>
      <tp t="e">
        <v>#N/A</v>
        <stp/>
        <stp>BDH|16000216923403104729</stp>
        <tr r="U87" s="17"/>
      </tp>
      <tp t="e">
        <v>#N/A</v>
        <stp/>
        <stp>BDH|12078262737889420844</stp>
        <tr r="W51" s="13"/>
      </tp>
      <tp t="e">
        <v>#N/A</v>
        <stp/>
        <stp>BDH|15320239740461245032</stp>
        <tr r="I10" s="12"/>
      </tp>
      <tp t="e">
        <v>#N/A</v>
        <stp/>
        <stp>BDH|13847460264613988022</stp>
        <tr r="O76" s="24"/>
      </tp>
      <tp t="e">
        <v>#N/A</v>
        <stp/>
        <stp>BDH|17160476116053097311</stp>
        <tr r="E86" s="17"/>
      </tp>
      <tp t="e">
        <v>#N/A</v>
        <stp/>
        <stp>BDH|14569836202858333664</stp>
        <tr r="X13" s="6"/>
      </tp>
      <tp t="e">
        <v>#N/A</v>
        <stp/>
        <stp>BDH|10669002066400570449</stp>
        <tr r="P47" s="17"/>
      </tp>
      <tp t="e">
        <v>#N/A</v>
        <stp/>
        <stp>BDH|10890380350761920582</stp>
        <tr r="K76" s="24"/>
      </tp>
      <tp t="e">
        <v>#N/A</v>
        <stp/>
        <stp>BDH|11063014270700125419</stp>
        <tr r="P59" s="12"/>
      </tp>
      <tp t="e">
        <v>#N/A</v>
        <stp/>
        <stp>BDH|17486751369321873513</stp>
        <tr r="AA38" s="12"/>
      </tp>
      <tp t="e">
        <v>#N/A</v>
        <stp/>
        <stp>BDH|14053942885730568758</stp>
        <tr r="AA11" s="21"/>
      </tp>
      <tp t="e">
        <v>#N/A</v>
        <stp/>
        <stp>BDH|11636595529780298456</stp>
        <tr r="L16" s="22"/>
      </tp>
      <tp t="e">
        <v>#N/A</v>
        <stp/>
        <stp>BDH|18091083964355928946</stp>
        <tr r="Y24" s="10"/>
      </tp>
      <tp t="e">
        <v>#N/A</v>
        <stp/>
        <stp>BDH|17594801795756161204</stp>
        <tr r="S12" s="21"/>
      </tp>
      <tp t="e">
        <v>#N/A</v>
        <stp/>
        <stp>BDH|16185528569802226596</stp>
        <tr r="X36" s="26"/>
      </tp>
      <tp t="e">
        <v>#N/A</v>
        <stp/>
        <stp>BDH|15273750774050381713</stp>
        <tr r="W42" s="11"/>
        <tr r="W53" s="10"/>
        <tr r="W8" s="7"/>
        <tr r="Y11" s="3"/>
      </tp>
      <tp t="e">
        <v>#N/A</v>
        <stp/>
        <stp>BDH|16016477258066657380</stp>
        <tr r="V85" s="17"/>
      </tp>
      <tp t="e">
        <v>#N/A</v>
        <stp/>
        <stp>BDH|16649257312940716779</stp>
        <tr r="G13" s="22"/>
      </tp>
      <tp t="e">
        <v>#N/A</v>
        <stp/>
        <stp>BDH|11425725555034226507</stp>
        <tr r="G49" s="22"/>
      </tp>
      <tp t="e">
        <v>#N/A</v>
        <stp/>
        <stp>BDH|16437506035131178312</stp>
        <tr r="H75" s="17"/>
      </tp>
      <tp t="e">
        <v>#N/A</v>
        <stp/>
        <stp>BDH|12645062185829698127</stp>
        <tr r="V69" s="18"/>
      </tp>
      <tp t="e">
        <v>#N/A</v>
        <stp/>
        <stp>BDH|14230240616026501343</stp>
        <tr r="Z9" s="18"/>
      </tp>
      <tp t="e">
        <v>#N/A</v>
        <stp/>
        <stp>BDH|13008434701065029036</stp>
        <tr r="E10" s="12"/>
      </tp>
      <tp t="e">
        <v>#N/A</v>
        <stp/>
        <stp>BDH|15938876702688435790</stp>
        <tr r="G16" s="13"/>
        <tr r="G28" s="13"/>
        <tr r="E17" s="10"/>
      </tp>
      <tp t="e">
        <v>#N/A</v>
        <stp/>
        <stp>BDH|13854830024273723892</stp>
        <tr r="R168" s="18"/>
      </tp>
      <tp t="e">
        <v>#N/A</v>
        <stp/>
        <stp>BDH|10867383170283783569</stp>
        <tr r="O159" s="18"/>
      </tp>
      <tp t="e">
        <v>#N/A</v>
        <stp/>
        <stp>BDH|14996046562953771397</stp>
        <tr r="U67" s="17"/>
      </tp>
      <tp t="e">
        <v>#N/A</v>
        <stp/>
        <stp>BDH|13087344642927335140</stp>
        <tr r="N93" s="17"/>
      </tp>
      <tp t="e">
        <v>#N/A</v>
        <stp/>
        <stp>BDH|11861074581633608891</stp>
        <tr r="N15" s="34"/>
      </tp>
      <tp t="e">
        <v>#N/A</v>
        <stp/>
        <stp>BDH|12590420214922064722</stp>
        <tr r="O19" s="11"/>
      </tp>
      <tp t="e">
        <v>#N/A</v>
        <stp/>
        <stp>BDH|13217193511232215395</stp>
        <tr r="Q26" s="24"/>
      </tp>
      <tp t="e">
        <v>#N/A</v>
        <stp/>
        <stp>BDH|14112890486711747786</stp>
        <tr r="P11" s="17"/>
      </tp>
      <tp t="e">
        <v>#N/A</v>
        <stp/>
        <stp>BDH|12605351326228318968</stp>
        <tr r="N24" s="5"/>
      </tp>
      <tp t="e">
        <v>#N/A</v>
        <stp/>
        <stp>BDH|10056605645624746428</stp>
        <tr r="P99" s="12"/>
      </tp>
      <tp t="e">
        <v>#N/A</v>
        <stp/>
        <stp>BDH|15955660151732700698</stp>
        <tr r="Q49" s="12"/>
      </tp>
      <tp t="e">
        <v>#N/A</v>
        <stp/>
        <stp>BDH|15913125513360891704</stp>
        <tr r="Q84" s="17"/>
        <tr r="O6" s="7"/>
        <tr r="Q20" s="3"/>
      </tp>
      <tp t="e">
        <v>#N/A</v>
        <stp/>
        <stp>BDH|15552462488898233395</stp>
        <tr r="U86" s="18"/>
      </tp>
      <tp t="e">
        <v>#N/A</v>
        <stp/>
        <stp>BDH|17046919137358446723</stp>
        <tr r="U46" s="18"/>
      </tp>
      <tp t="e">
        <v>#N/A</v>
        <stp/>
        <stp>BDH|15375907903346684864</stp>
        <tr r="Z46" s="21"/>
      </tp>
      <tp t="e">
        <v>#N/A</v>
        <stp/>
        <stp>BDH|10077412144280200278</stp>
        <tr r="H60" s="13"/>
        <tr r="F48" s="11"/>
        <tr r="F59" s="10"/>
        <tr r="F17" s="7"/>
        <tr r="H10" s="3"/>
        <tr r="F17" s="4"/>
      </tp>
      <tp t="e">
        <v>#N/A</v>
        <stp/>
        <stp>BDH|11599434300524753312</stp>
        <tr r="L49" s="18"/>
      </tp>
      <tp t="e">
        <v>#N/A</v>
        <stp/>
        <stp>BDH|16280860954221064802</stp>
        <tr r="Z36" s="21"/>
        <tr r="Z24" s="3"/>
      </tp>
      <tp t="e">
        <v>#N/A</v>
        <stp/>
        <stp>BDH|10544338973571462711</stp>
        <tr r="Z78" s="17"/>
        <tr r="W9" s="9"/>
        <tr r="W9" s="5"/>
      </tp>
      <tp t="e">
        <v>#N/A</v>
        <stp/>
        <stp>BDH|11014658501585129053</stp>
        <tr r="H49" s="17"/>
      </tp>
      <tp t="e">
        <v>#N/A</v>
        <stp/>
        <stp>BDH|12017534850976224612</stp>
        <tr r="E25" s="29"/>
        <tr r="E19" s="29"/>
        <tr r="E10" s="29"/>
        <tr r="C6" s="9"/>
        <tr r="C6" s="5"/>
        <tr r="E12" s="8"/>
        <tr r="D6" s="2"/>
      </tp>
      <tp t="e">
        <v>#N/A</v>
        <stp/>
        <stp>BDH|13554603062627799605</stp>
        <tr r="H18" s="17"/>
      </tp>
      <tp t="e">
        <v>#N/A</v>
        <stp/>
        <stp>BDH|10989678525820938627</stp>
        <tr r="U14" s="4"/>
      </tp>
      <tp t="e">
        <v>#N/A</v>
        <stp/>
        <stp>BDH|13784332419183581080</stp>
        <tr r="V30" s="34"/>
      </tp>
      <tp t="e">
        <v>#N/A</v>
        <stp/>
        <stp>BDH|12519661321240559474</stp>
        <tr r="N21" s="2"/>
      </tp>
      <tp t="e">
        <v>#N/A</v>
        <stp/>
        <stp>BDH|12248335766162576725</stp>
        <tr r="Y14" s="12"/>
      </tp>
      <tp t="e">
        <v>#N/A</v>
        <stp/>
        <stp>BDH|14360437810145522650</stp>
        <tr r="O14" s="12"/>
      </tp>
      <tp t="e">
        <v>#N/A</v>
        <stp/>
        <stp>BDH|17629436455040479441</stp>
        <tr r="M72" s="17"/>
      </tp>
      <tp t="e">
        <v>#N/A</v>
        <stp/>
        <stp>BDH|18009355882413222251</stp>
        <tr r="S62" s="13"/>
      </tp>
      <tp t="e">
        <v>#N/A</v>
        <stp/>
        <stp>BDH|14755379590249789577</stp>
        <tr r="U14" s="23"/>
      </tp>
      <tp t="e">
        <v>#N/A</v>
        <stp/>
        <stp>BDH|15277622760492595559</stp>
        <tr r="V99" s="12"/>
      </tp>
      <tp t="e">
        <v>#N/A</v>
        <stp/>
        <stp>BDH|10308315873660972685</stp>
        <tr r="K16" s="14"/>
      </tp>
      <tp t="e">
        <v>#N/A</v>
        <stp/>
        <stp>BDH|11887295901842047301</stp>
        <tr r="Y77" s="24"/>
      </tp>
      <tp t="e">
        <v>#N/A</v>
        <stp/>
        <stp>BDH|16689831606619160529</stp>
        <tr r="I25" s="7"/>
      </tp>
      <tp t="e">
        <v>#N/A</v>
        <stp/>
        <stp>BDH|13157877203220251975</stp>
        <tr r="V45" s="12"/>
      </tp>
      <tp t="e">
        <v>#N/A</v>
        <stp/>
        <stp>BDH|15728702085331010925</stp>
        <tr r="Z63" s="21"/>
      </tp>
      <tp t="e">
        <v>#N/A</v>
        <stp/>
        <stp>BDH|11709669557842722215</stp>
        <tr r="C64" s="13"/>
      </tp>
      <tp t="e">
        <v>#N/A</v>
        <stp/>
        <stp>BDH|12619706622063136651</stp>
        <tr r="U35" s="34"/>
      </tp>
      <tp t="e">
        <v>#N/A</v>
        <stp/>
        <stp>BDH|11341692955600742081</stp>
        <tr r="F8" s="34"/>
      </tp>
      <tp t="e">
        <v>#N/A</v>
        <stp/>
        <stp>BDH|15870715111526959717</stp>
        <tr r="X63" s="11"/>
        <tr r="X74" s="10"/>
      </tp>
      <tp t="e">
        <v>#N/A</v>
        <stp/>
        <stp>BDH|10442107323161334044</stp>
        <tr r="E23" s="29"/>
        <tr r="E14" s="29"/>
        <tr r="E37" s="29"/>
      </tp>
      <tp t="e">
        <v>#N/A</v>
        <stp/>
        <stp>BDH|16613742244733694409</stp>
        <tr r="S31" s="14"/>
      </tp>
      <tp t="e">
        <v>#N/A</v>
        <stp/>
        <stp>BDH|16255243301997741130</stp>
        <tr r="P10" s="21"/>
      </tp>
      <tp t="e">
        <v>#N/A</v>
        <stp/>
        <stp>BDH|13752475944559669818</stp>
        <tr r="AA90" s="18"/>
      </tp>
      <tp t="e">
        <v>#N/A</v>
        <stp/>
        <stp>BDH|16946237208856465057</stp>
        <tr r="D8" s="12"/>
      </tp>
      <tp t="e">
        <v>#N/A</v>
        <stp/>
        <stp>BDH|13138098134653964162</stp>
        <tr r="I55" s="18"/>
      </tp>
      <tp t="e">
        <v>#N/A</v>
        <stp/>
        <stp>BDH|12572805796932246326</stp>
        <tr r="E53" s="12"/>
      </tp>
      <tp t="e">
        <v>#N/A</v>
        <stp/>
        <stp>BDH|18122136815262593817</stp>
        <tr r="V14" s="27"/>
        <tr r="V32" s="25"/>
      </tp>
      <tp t="e">
        <v>#N/A</v>
        <stp/>
        <stp>BDH|13288299048246734178</stp>
        <tr r="L48" s="34"/>
      </tp>
      <tp t="e">
        <v>#N/A</v>
        <stp/>
        <stp>BDH|10870659868792430022</stp>
        <tr r="P96" s="17"/>
      </tp>
      <tp t="e">
        <v>#N/A</v>
        <stp/>
        <stp>BDH|17401475390678791075</stp>
        <tr r="Z32" s="22"/>
      </tp>
      <tp t="e">
        <v>#N/A</v>
        <stp/>
        <stp>BDH|11067413045245615619</stp>
        <tr r="R19" s="23"/>
        <tr r="P60" s="11"/>
      </tp>
      <tp t="e">
        <v>#N/A</v>
        <stp/>
        <stp>BDH|16684074764102645006</stp>
        <tr r="L13" s="10"/>
      </tp>
      <tp t="e">
        <v>#N/A</v>
        <stp/>
        <stp>BDH|14860928039119600560</stp>
        <tr r="M40" s="18"/>
      </tp>
      <tp t="e">
        <v>#N/A</v>
        <stp/>
        <stp>BDH|14217338014304077063</stp>
        <tr r="W44" s="34"/>
      </tp>
      <tp t="e">
        <v>#N/A</v>
        <stp/>
        <stp>BDH|15770928637668152502</stp>
        <tr r="T11" s="20"/>
        <tr r="T116" s="18"/>
      </tp>
      <tp t="e">
        <v>#N/A</v>
        <stp/>
        <stp>BDH|13345779845483679143</stp>
        <tr r="D8" s="6"/>
      </tp>
      <tp t="e">
        <v>#N/A</v>
        <stp/>
        <stp>BDH|16495037544569248922</stp>
        <tr r="P10" s="10"/>
      </tp>
      <tp t="e">
        <v>#N/A</v>
        <stp/>
        <stp>BDH|16168200178299319898</stp>
        <tr r="C121" s="18"/>
      </tp>
      <tp t="e">
        <v>#N/A</v>
        <stp/>
        <stp>BDH|14953647801698890870</stp>
        <tr r="W19" s="26"/>
      </tp>
      <tp t="e">
        <v>#N/A</v>
        <stp/>
        <stp>BDH|15324329884025545933</stp>
        <tr r="V7" s="34"/>
      </tp>
      <tp t="e">
        <v>#N/A</v>
        <stp/>
        <stp>BDH|10690861705579024363</stp>
        <tr r="M36" s="12"/>
      </tp>
      <tp t="e">
        <v>#N/A</v>
        <stp/>
        <stp>BDH|16295526805616391753</stp>
        <tr r="O162" s="18"/>
      </tp>
      <tp t="e">
        <v>#N/A</v>
        <stp/>
        <stp>BDH|13078992353134927905</stp>
        <tr r="Y174" s="18"/>
      </tp>
      <tp t="e">
        <v>#N/A</v>
        <stp/>
        <stp>BDH|16427614226770139011</stp>
        <tr r="Z77" s="18"/>
      </tp>
      <tp t="e">
        <v>#N/A</v>
        <stp/>
        <stp>BDH|13895819998477617747</stp>
        <tr r="M65" s="13"/>
      </tp>
      <tp t="e">
        <v>#N/A</v>
        <stp/>
        <stp>BDH|12361972794332701245</stp>
        <tr r="D48" s="12"/>
      </tp>
      <tp t="e">
        <v>#N/A</v>
        <stp/>
        <stp>BDH|15809480738289981928</stp>
        <tr r="V71" s="17"/>
      </tp>
      <tp t="e">
        <v>#N/A</v>
        <stp/>
        <stp>BDH|15652859693552627459</stp>
        <tr r="AA26" s="25"/>
        <tr r="AA56" s="21"/>
      </tp>
      <tp t="e">
        <v>#N/A</v>
        <stp/>
        <stp>BDH|13775650414734142246</stp>
        <tr r="L31" s="9"/>
      </tp>
      <tp t="e">
        <v>#N/A</v>
        <stp/>
        <stp>BDH|14749461442813355539</stp>
        <tr r="G42" s="34"/>
      </tp>
      <tp t="e">
        <v>#N/A</v>
        <stp/>
        <stp>BDH|17184051814932507661</stp>
        <tr r="D67" s="10"/>
      </tp>
      <tp t="e">
        <v>#N/A</v>
        <stp/>
        <stp>BDH|13242703753175477661</stp>
        <tr r="Q15" s="10"/>
      </tp>
      <tp t="e">
        <v>#N/A</v>
        <stp/>
        <stp>BDH|10608420981876680800</stp>
        <tr r="J17" s="13"/>
      </tp>
      <tp t="e">
        <v>#N/A</v>
        <stp/>
        <stp>BDH|16977593968471379687</stp>
        <tr r="G53" s="6"/>
        <tr r="I10" s="8"/>
      </tp>
      <tp t="e">
        <v>#N/A</v>
        <stp/>
        <stp>BDH|16258269166537964788</stp>
        <tr r="Q48" s="18"/>
      </tp>
      <tp t="e">
        <v>#N/A</v>
        <stp/>
        <stp>BDH|12482131174892500456</stp>
        <tr r="C8" s="17"/>
      </tp>
      <tp t="e">
        <v>#N/A</v>
        <stp/>
        <stp>BDH|11332270263116170152</stp>
        <tr r="S14" s="28"/>
      </tp>
      <tp t="e">
        <v>#N/A</v>
        <stp/>
        <stp>BDH|13121004086598448100</stp>
        <tr r="W71" s="13"/>
      </tp>
      <tp t="e">
        <v>#N/A</v>
        <stp/>
        <stp>BDH|16358749025041437059</stp>
        <tr r="K6" s="27"/>
      </tp>
      <tp t="e">
        <v>#N/A</v>
        <stp/>
        <stp>BDH|16852511610248274887</stp>
        <tr r="V33" s="6"/>
      </tp>
      <tp t="e">
        <v>#N/A</v>
        <stp/>
        <stp>BDH|16684426616567160608</stp>
        <tr r="Z66" s="12"/>
      </tp>
      <tp t="e">
        <v>#N/A</v>
        <stp/>
        <stp>BDH|13635821760997068878</stp>
        <tr r="C57" s="6"/>
      </tp>
      <tp t="e">
        <v>#N/A</v>
        <stp/>
        <stp>BDH|15885914105498891675</stp>
        <tr r="W41" s="13"/>
        <tr r="U23" s="10"/>
        <tr r="U46" s="4"/>
      </tp>
      <tp t="e">
        <v>#N/A</v>
        <stp/>
        <stp>BDH|17105901894332247742</stp>
        <tr r="C8" s="18"/>
      </tp>
      <tp t="e">
        <v>#N/A</v>
        <stp/>
        <stp>BDH|17281867720026559931</stp>
        <tr r="J71" s="18"/>
      </tp>
      <tp t="e">
        <v>#N/A</v>
        <stp/>
        <stp>BDH|15552521213046499527</stp>
        <tr r="U17" s="14"/>
      </tp>
      <tp t="e">
        <v>#N/A</v>
        <stp/>
        <stp>BDH|13112991083586162689</stp>
        <tr r="Q19" s="22"/>
      </tp>
      <tp t="e">
        <v>#N/A</v>
        <stp/>
        <stp>BDH|12136432990985020800</stp>
        <tr r="C10" s="12"/>
      </tp>
      <tp t="e">
        <v>#N/A</v>
        <stp/>
        <stp>BDH|15447931880894160241</stp>
        <tr r="W8" s="23"/>
      </tp>
      <tp t="e">
        <v>#N/A</v>
        <stp/>
        <stp>BDH|15124290926125587292</stp>
        <tr r="N18" s="20"/>
      </tp>
      <tp t="e">
        <v>#N/A</v>
        <stp/>
        <stp>BDH|15856933380905151383</stp>
        <tr r="E15" s="21"/>
      </tp>
      <tp t="e">
        <v>#N/A</v>
        <stp/>
        <stp>BDH|15945197130256516379</stp>
        <tr r="N37" s="12"/>
      </tp>
      <tp t="e">
        <v>#N/A</v>
        <stp/>
        <stp>BDH|16160676566863372716</stp>
        <tr r="O125" s="18"/>
      </tp>
      <tp t="e">
        <v>#N/A</v>
        <stp/>
        <stp>BDH|11994024508551388228</stp>
        <tr r="P44" s="22"/>
      </tp>
      <tp t="e">
        <v>#N/A</v>
        <stp/>
        <stp>BDH|15683621810622097269</stp>
        <tr r="K9" s="26"/>
      </tp>
      <tp t="e">
        <v>#N/A</v>
        <stp/>
        <stp>BDH|14410371443903332215</stp>
        <tr r="K21" s="27"/>
      </tp>
      <tp t="e">
        <v>#N/A</v>
        <stp/>
        <stp>BDH|16573478386691725915</stp>
        <tr r="K97" s="18"/>
      </tp>
      <tp t="e">
        <v>#N/A</v>
        <stp/>
        <stp>BDH|11220869656538625662</stp>
        <tr r="K64" s="13"/>
      </tp>
      <tp t="e">
        <v>#N/A</v>
        <stp/>
        <stp>BDH|16313120243093481244</stp>
        <tr r="Y13" s="18"/>
      </tp>
      <tp t="e">
        <v>#N/A</v>
        <stp/>
        <stp>BDH|11271670566912235131</stp>
        <tr r="Y7" s="17"/>
      </tp>
      <tp t="e">
        <v>#N/A</v>
        <stp/>
        <stp>BDH|17570804664163463878</stp>
        <tr r="F38" s="6"/>
      </tp>
      <tp t="e">
        <v>#N/A</v>
        <stp/>
        <stp>BDH|17675557127291707311</stp>
        <tr r="C69" s="24"/>
      </tp>
      <tp t="e">
        <v>#N/A</v>
        <stp/>
        <stp>BDH|13204737199538841725</stp>
        <tr r="AA17" s="23"/>
      </tp>
      <tp t="e">
        <v>#N/A</v>
        <stp/>
        <stp>BDH|12027744609060752781</stp>
        <tr r="W66" s="10"/>
      </tp>
      <tp t="e">
        <v>#N/A</v>
        <stp/>
        <stp>BDH|16791875592014787176</stp>
        <tr r="C99" s="18"/>
      </tp>
      <tp t="e">
        <v>#N/A</v>
        <stp/>
        <stp>BDH|11871469338822259662</stp>
        <tr r="N27" s="7"/>
      </tp>
      <tp t="e">
        <v>#N/A</v>
        <stp/>
        <stp>BDH|11052340975325538264</stp>
        <tr r="I53" s="13"/>
      </tp>
      <tp t="e">
        <v>#N/A</v>
        <stp/>
        <stp>BDH|15709106324702425653</stp>
        <tr r="W33" s="13"/>
        <tr r="U26" s="10"/>
      </tp>
      <tp t="e">
        <v>#N/A</v>
        <stp/>
        <stp>BDH|12928225118142543142</stp>
        <tr r="W52" s="6"/>
        <tr r="Y9" s="8"/>
      </tp>
      <tp t="e">
        <v>#N/A</v>
        <stp/>
        <stp>BDH|14632329873890029250</stp>
        <tr r="S75" s="18"/>
      </tp>
      <tp t="e">
        <v>#N/A</v>
        <stp/>
        <stp>BDH|16682076967917084548</stp>
        <tr r="D29" s="25"/>
        <tr r="D10" s="27"/>
      </tp>
      <tp t="e">
        <v>#N/A</v>
        <stp/>
        <stp>BDH|16455574170407110103</stp>
        <tr r="I68" s="10"/>
        <tr r="I25" s="4"/>
      </tp>
      <tp t="e">
        <v>#N/A</v>
        <stp/>
        <stp>BDH|15087638667281443620</stp>
        <tr r="I11" s="29"/>
      </tp>
      <tp t="e">
        <v>#N/A</v>
        <stp/>
        <stp>BDH|10661280376316850126</stp>
        <tr r="R8" s="17"/>
      </tp>
      <tp t="e">
        <v>#N/A</v>
        <stp/>
        <stp>BDH|16491760656113485526</stp>
        <tr r="M48" s="12"/>
      </tp>
      <tp t="e">
        <v>#N/A</v>
        <stp/>
        <stp>BDH|17934932758570466944</stp>
        <tr r="L20" s="26"/>
      </tp>
      <tp t="e">
        <v>#N/A</v>
        <stp/>
        <stp>BDH|18332975252687632126</stp>
        <tr r="Z20" s="24"/>
      </tp>
      <tp t="e">
        <v>#N/A</v>
        <stp/>
        <stp>BDH|11299423841577333409</stp>
        <tr r="H77" s="17"/>
      </tp>
      <tp t="e">
        <v>#N/A</v>
        <stp/>
        <stp>BDH|18202483829265659971</stp>
        <tr r="E159" s="18"/>
      </tp>
      <tp t="e">
        <v>#N/A</v>
        <stp/>
        <stp>BDH|17537816074312721851</stp>
        <tr r="T81" s="18"/>
      </tp>
      <tp t="e">
        <v>#N/A</v>
        <stp/>
        <stp>BDH|14892356527462160598</stp>
        <tr r="D26" s="12"/>
      </tp>
      <tp t="e">
        <v>#N/A</v>
        <stp/>
        <stp>BDH|12399957580583284266</stp>
        <tr r="W58" s="24"/>
      </tp>
      <tp t="e">
        <v>#N/A</v>
        <stp/>
        <stp>BDH|12208120864707523030</stp>
        <tr r="AA53" s="24"/>
      </tp>
      <tp t="e">
        <v>#N/A</v>
        <stp/>
        <stp>BDH|13000198673724823309</stp>
        <tr r="I49" s="12"/>
      </tp>
      <tp t="e">
        <v>#N/A</v>
        <stp/>
        <stp>BDH|10118016230927705625</stp>
        <tr r="J12" s="18"/>
      </tp>
      <tp t="e">
        <v>#N/A</v>
        <stp/>
        <stp>BDH|11843500996926942922</stp>
        <tr r="V32" s="21"/>
      </tp>
      <tp t="e">
        <v>#N/A</v>
        <stp/>
        <stp>BDH|12378366701275506649</stp>
        <tr r="K74" s="18"/>
      </tp>
      <tp t="e">
        <v>#N/A</v>
        <stp/>
        <stp>BDH|12396318294528368208</stp>
        <tr r="L10" s="18"/>
      </tp>
      <tp t="e">
        <v>#N/A</v>
        <stp/>
        <stp>BDH|15673608223303618067</stp>
        <tr r="J53" s="34"/>
      </tp>
      <tp t="e">
        <v>#N/A</v>
        <stp/>
        <stp>BDH|16446665775175593073</stp>
        <tr r="V124" s="18"/>
      </tp>
      <tp t="e">
        <v>#N/A</v>
        <stp/>
        <stp>BDH|13487160859215618081</stp>
        <tr r="N62" s="18"/>
      </tp>
      <tp t="e">
        <v>#N/A</v>
        <stp/>
        <stp>BDH|11786510031037022223</stp>
        <tr r="P75" s="12"/>
      </tp>
      <tp t="e">
        <v>#N/A</v>
        <stp/>
        <stp>BDH|16592806896020779511</stp>
        <tr r="K94" s="18"/>
      </tp>
      <tp t="e">
        <v>#N/A</v>
        <stp/>
        <stp>BDH|11311503400523394557</stp>
        <tr r="K91" s="18"/>
      </tp>
      <tp t="e">
        <v>#N/A</v>
        <stp/>
        <stp>BDH|11155049004292500116</stp>
        <tr r="Y29" s="14"/>
      </tp>
      <tp t="e">
        <v>#N/A</v>
        <stp/>
        <stp>BDH|14618177569810515187</stp>
        <tr r="U18" s="6"/>
      </tp>
      <tp t="e">
        <v>#N/A</v>
        <stp/>
        <stp>BDH|14420858819377939842</stp>
        <tr r="N11" s="14"/>
      </tp>
      <tp t="e">
        <v>#N/A</v>
        <stp/>
        <stp>BDH|16206758094108720213</stp>
        <tr r="O33" s="6"/>
      </tp>
      <tp t="e">
        <v>#N/A</v>
        <stp/>
        <stp>BDH|12461130724846613507</stp>
        <tr r="J86" s="18"/>
      </tp>
      <tp t="e">
        <v>#N/A</v>
        <stp/>
        <stp>BDH|16890554147335853073</stp>
        <tr r="X16" s="11"/>
      </tp>
      <tp t="e">
        <v>#N/A</v>
        <stp/>
        <stp>BDH|16331535682041461838</stp>
        <tr r="C73" s="17"/>
      </tp>
      <tp t="e">
        <v>#N/A</v>
        <stp/>
        <stp>BDH|11267969250118828793</stp>
        <tr r="C33" s="13"/>
      </tp>
      <tp t="e">
        <v>#N/A</v>
        <stp/>
        <stp>BDH|11048621817284496041</stp>
        <tr r="L9" s="6"/>
      </tp>
      <tp t="e">
        <v>#N/A</v>
        <stp/>
        <stp>BDH|12825279098168474363</stp>
        <tr r="O37" s="18"/>
      </tp>
      <tp t="e">
        <v>#N/A</v>
        <stp/>
        <stp>BDH|11912358246886857279</stp>
        <tr r="M86" s="17"/>
      </tp>
      <tp t="e">
        <v>#N/A</v>
        <stp/>
        <stp>BDH|15947336600587721388</stp>
        <tr r="I89" s="17"/>
      </tp>
      <tp t="e">
        <v>#N/A</v>
        <stp/>
        <stp>BDH|14100179687859395675</stp>
        <tr r="D39" s="11"/>
        <tr r="D50" s="10"/>
      </tp>
      <tp t="e">
        <v>#N/A</v>
        <stp/>
        <stp>BDH|10485573790387037967</stp>
        <tr r="M7" s="24"/>
      </tp>
      <tp t="e">
        <v>#N/A</v>
        <stp/>
        <stp>BDH|15121150710590731768</stp>
        <tr r="D15" s="23"/>
      </tp>
      <tp t="e">
        <v>#N/A</v>
        <stp/>
        <stp>BDH|15094446927036149777</stp>
        <tr r="C17" s="13"/>
      </tp>
      <tp t="e">
        <v>#N/A</v>
        <stp/>
        <stp>BDH|16410568948715829070</stp>
        <tr r="J8" s="21"/>
      </tp>
      <tp t="e">
        <v>#N/A</v>
        <stp/>
        <stp>BDH|14609217709683812733</stp>
        <tr r="D48" s="22"/>
      </tp>
      <tp t="e">
        <v>#N/A</v>
        <stp/>
        <stp>BDH|11106535435356370312</stp>
        <tr r="L9" s="23"/>
      </tp>
      <tp t="e">
        <v>#N/A</v>
        <stp/>
        <stp>BDH|16433858265773861999</stp>
        <tr r="D7" s="30"/>
      </tp>
      <tp t="e">
        <v>#N/A</v>
        <stp/>
        <stp>BDH|11802110329977227778</stp>
        <tr r="Y67" s="24"/>
      </tp>
      <tp t="e">
        <v>#N/A</v>
        <stp/>
        <stp>BDH|17744345982609563713</stp>
        <tr r="K51" s="22"/>
      </tp>
      <tp t="e">
        <v>#N/A</v>
        <stp/>
        <stp>BDH|17301051419654821027</stp>
        <tr r="I61" s="21"/>
        <tr r="G25" s="2"/>
      </tp>
      <tp t="e">
        <v>#N/A</v>
        <stp/>
        <stp>BDH|13897585106714514068</stp>
        <tr r="C11" s="14"/>
      </tp>
      <tp t="e">
        <v>#N/A</v>
        <stp/>
        <stp>BDH|10816902743988820769</stp>
        <tr r="C41" s="13"/>
      </tp>
      <tp t="e">
        <v>#N/A</v>
        <stp/>
        <stp>BDH|15563645511754078452</stp>
        <tr r="L33" s="21"/>
      </tp>
      <tp t="e">
        <v>#N/A</v>
        <stp/>
        <stp>BDH|14404056361779614931</stp>
        <tr r="L50" s="4"/>
      </tp>
      <tp t="e">
        <v>#N/A</v>
        <stp/>
        <stp>BDH|13613337040317711175</stp>
        <tr r="X52" s="34"/>
      </tp>
      <tp t="e">
        <v>#N/A</v>
        <stp/>
        <stp>BDH|12577628234061289447</stp>
        <tr r="W46" s="22"/>
      </tp>
      <tp t="e">
        <v>#N/A</v>
        <stp/>
        <stp>BDH|17122890046048263194</stp>
        <tr r="F64" s="13"/>
      </tp>
      <tp t="e">
        <v>#N/A</v>
        <stp/>
        <stp>BDH|16448313050392816085</stp>
        <tr r="F15" s="10"/>
      </tp>
      <tp t="e">
        <v>#N/A</v>
        <stp/>
        <stp>BDH|10691414910483706459</stp>
        <tr r="AA96" s="17"/>
      </tp>
      <tp t="e">
        <v>#N/A</v>
        <stp/>
        <stp>BDH|15185580713762784187</stp>
        <tr r="M41" s="21"/>
      </tp>
      <tp t="e">
        <v>#N/A</v>
        <stp/>
        <stp>BDH|17780513005948327850</stp>
        <tr r="R20" s="18"/>
      </tp>
      <tp t="e">
        <v>#N/A</v>
        <stp/>
        <stp>BDH|11438277817297885799</stp>
        <tr r="T9" s="27"/>
      </tp>
      <tp t="e">
        <v>#N/A</v>
        <stp/>
        <stp>BDH|13881471358999035924</stp>
        <tr r="V13" s="20"/>
        <tr r="V118" s="18"/>
      </tp>
      <tp t="e">
        <v>#N/A</v>
        <stp/>
        <stp>BDH|17119104692325725813</stp>
        <tr r="N18" s="12"/>
      </tp>
      <tp t="e">
        <v>#N/A</v>
        <stp/>
        <stp>BDH|13147523440114588439</stp>
        <tr r="R36" s="12"/>
      </tp>
      <tp t="e">
        <v>#N/A</v>
        <stp/>
        <stp>BDH|13312192229405266746</stp>
        <tr r="M9" s="17"/>
      </tp>
      <tp t="e">
        <v>#N/A</v>
        <stp/>
        <stp>BDH|11762721977174235753</stp>
        <tr r="J75" s="12"/>
      </tp>
      <tp t="e">
        <v>#N/A</v>
        <stp/>
        <stp>BDH|12674573110361518510</stp>
        <tr r="V28" s="22"/>
      </tp>
      <tp t="e">
        <v>#N/A</v>
        <stp/>
        <stp>BDH|14357646187199505107</stp>
        <tr r="N59" s="18"/>
      </tp>
      <tp t="e">
        <v>#N/A</v>
        <stp/>
        <stp>BDH|11630154644396284008</stp>
        <tr r="Y7" s="4"/>
      </tp>
      <tp t="e">
        <v>#N/A</v>
        <stp/>
        <stp>BDH|11720042970773381744</stp>
        <tr r="U65" s="12"/>
      </tp>
      <tp t="e">
        <v>#N/A</v>
        <stp/>
        <stp>BDH|14888540371950020498</stp>
        <tr r="Y68" s="24"/>
      </tp>
      <tp t="e">
        <v>#N/A</v>
        <stp/>
        <stp>BDH|10625382807063522289</stp>
        <tr r="S93" s="17"/>
      </tp>
      <tp t="e">
        <v>#N/A</v>
        <stp/>
        <stp>BDH|17654634197213509939</stp>
        <tr r="I50" s="17"/>
      </tp>
      <tp t="e">
        <v>#N/A</v>
        <stp/>
        <stp>BDH|13101728710280236753</stp>
        <tr r="N69" s="12"/>
      </tp>
      <tp t="e">
        <v>#N/A</v>
        <stp/>
        <stp>BDH|12693631085267372977</stp>
        <tr r="O40" s="22"/>
      </tp>
      <tp t="e">
        <v>#N/A</v>
        <stp/>
        <stp>BDH|10959596559087416598</stp>
        <tr r="G18" s="18"/>
      </tp>
      <tp t="e">
        <v>#N/A</v>
        <stp/>
        <stp>BDH|14766132110586517059</stp>
        <tr r="U61" s="21"/>
        <tr r="S25" s="2"/>
      </tp>
      <tp t="e">
        <v>#N/A</v>
        <stp/>
        <stp>BDH|14796057458227824467</stp>
        <tr r="H16" s="27"/>
        <tr r="H34" s="25"/>
      </tp>
      <tp t="e">
        <v>#N/A</v>
        <stp/>
        <stp>BDH|17100125353139341879</stp>
        <tr r="F44" s="11"/>
        <tr r="F55" s="10"/>
        <tr r="F15" s="7"/>
      </tp>
      <tp t="e">
        <v>#N/A</v>
        <stp/>
        <stp>BDH|12311126218907807756</stp>
        <tr r="T14" s="34"/>
      </tp>
      <tp t="e">
        <v>#N/A</v>
        <stp/>
        <stp>BDH|12499822082175608562</stp>
        <tr r="X8" s="2"/>
      </tp>
      <tp t="e">
        <v>#N/A</v>
        <stp/>
        <stp>BDH|18387843422941196103</stp>
        <tr r="O11" s="28"/>
      </tp>
      <tp t="e">
        <v>#N/A</v>
        <stp/>
        <stp>BDH|13686499970792399080</stp>
        <tr r="R46" s="34"/>
      </tp>
      <tp t="e">
        <v>#N/A</v>
        <stp/>
        <stp>BDH|13291334639219908850</stp>
        <tr r="Y43" s="12"/>
      </tp>
      <tp t="e">
        <v>#N/A</v>
        <stp/>
        <stp>BDH|10711295001053282393</stp>
        <tr r="C10" s="34"/>
      </tp>
      <tp t="e">
        <v>#N/A</v>
        <stp/>
        <stp>BDH|14469450015416099504</stp>
        <tr r="M16" s="18"/>
      </tp>
      <tp t="e">
        <v>#N/A</v>
        <stp/>
        <stp>BDH|15963200947846803720</stp>
        <tr r="U8" s="27"/>
      </tp>
      <tp t="e">
        <v>#N/A</v>
        <stp/>
        <stp>BDH|12921250534347990656</stp>
        <tr r="L8" s="27"/>
      </tp>
      <tp t="e">
        <v>#N/A</v>
        <stp/>
        <stp>BDH|12658399022064983509</stp>
        <tr r="L37" s="24"/>
      </tp>
      <tp t="e">
        <v>#N/A</v>
        <stp/>
        <stp>BDH|15477014464948349963</stp>
        <tr r="H30" s="17"/>
      </tp>
      <tp t="e">
        <v>#N/A</v>
        <stp/>
        <stp>BDH|16252160977612284056</stp>
        <tr r="L69" s="17"/>
        <tr r="L18" s="3"/>
      </tp>
      <tp t="e">
        <v>#N/A</v>
        <stp/>
        <stp>BDH|12959589662297252456</stp>
        <tr r="J167" s="18"/>
      </tp>
      <tp t="e">
        <v>#N/A</v>
        <stp/>
        <stp>BDH|14683534800291470255</stp>
        <tr r="H12" s="21"/>
      </tp>
      <tp t="e">
        <v>#N/A</v>
        <stp/>
        <stp>BDH|17448597369276660065</stp>
        <tr r="W60" s="18"/>
      </tp>
      <tp t="e">
        <v>#N/A</v>
        <stp/>
        <stp>BDH|14027716873460263644</stp>
        <tr r="Q37" s="22"/>
      </tp>
      <tp t="e">
        <v>#N/A</v>
        <stp/>
        <stp>BDH|13790242524352535369</stp>
        <tr r="I19" s="13"/>
        <tr r="G65" s="10"/>
        <tr r="G32" s="4"/>
        <tr r="G16" s="2"/>
      </tp>
      <tp t="e">
        <v>#N/A</v>
        <stp/>
        <stp>BDH|16059266374756055760</stp>
        <tr r="K51" s="13"/>
      </tp>
      <tp t="e">
        <v>#N/A</v>
        <stp/>
        <stp>BDH|12287373193739290304</stp>
        <tr r="F69" s="18"/>
      </tp>
      <tp t="e">
        <v>#N/A</v>
        <stp/>
        <stp>BDH|13487337374764487131</stp>
        <tr r="K13" s="11"/>
      </tp>
      <tp t="e">
        <v>#N/A</v>
        <stp/>
        <stp>BDH|14525787663554891328</stp>
        <tr r="J26" s="29"/>
      </tp>
      <tp t="e">
        <v>#N/A</v>
        <stp/>
        <stp>BDH|10420636740600337000</stp>
        <tr r="T43" s="26"/>
      </tp>
      <tp t="e">
        <v>#N/A</v>
        <stp/>
        <stp>BDH|11742570457451611250</stp>
        <tr r="Q30" s="12"/>
      </tp>
      <tp t="e">
        <v>#N/A</v>
        <stp/>
        <stp>BDH|14820253871914812709</stp>
        <tr r="Y149" s="18"/>
      </tp>
      <tp t="e">
        <v>#N/A</v>
        <stp/>
        <stp>BDH|17571656358183951552</stp>
        <tr r="K18" s="34"/>
      </tp>
      <tp t="e">
        <v>#N/A</v>
        <stp/>
        <stp>BDH|17545008368397992400</stp>
        <tr r="I33" s="29"/>
        <tr r="I42" s="29"/>
        <tr r="G55" s="6"/>
        <tr r="G11" s="5"/>
        <tr r="H10" s="2"/>
      </tp>
      <tp t="e">
        <v>#N/A</v>
        <stp/>
        <stp>BDH|11074116338461461095</stp>
        <tr r="W22" s="30"/>
        <tr r="W24" s="23"/>
      </tp>
      <tp t="e">
        <v>#N/A</v>
        <stp/>
        <stp>BDH|15227574113745600647</stp>
        <tr r="G25" s="7"/>
      </tp>
      <tp t="e">
        <v>#N/A</v>
        <stp/>
        <stp>BDH|12435652653295137675</stp>
        <tr r="M141" s="18"/>
      </tp>
      <tp t="e">
        <v>#N/A</v>
        <stp/>
        <stp>BDH|13020724335267599268</stp>
        <tr r="Q18" s="24"/>
      </tp>
      <tp t="e">
        <v>#N/A</v>
        <stp/>
        <stp>BDH|15006363367954467619</stp>
        <tr r="W36" s="12"/>
      </tp>
      <tp t="e">
        <v>#N/A</v>
        <stp/>
        <stp>BDH|18214973761673626663</stp>
        <tr r="U70" s="12"/>
      </tp>
      <tp t="e">
        <v>#N/A</v>
        <stp/>
        <stp>BDH|15402849956519416369</stp>
        <tr r="E55" s="12"/>
      </tp>
      <tp t="e">
        <v>#N/A</v>
        <stp/>
        <stp>BDH|14089332253327558718</stp>
        <tr r="G36" s="17"/>
      </tp>
      <tp t="e">
        <v>#N/A</v>
        <stp/>
        <stp>BDH|11917389715941066003</stp>
        <tr r="AA14" s="13"/>
      </tp>
      <tp t="e">
        <v>#N/A</v>
        <stp/>
        <stp>BDH|10601918947827180863</stp>
        <tr r="X6" s="19"/>
        <tr r="X38" s="17"/>
        <tr r="X16" s="3"/>
      </tp>
      <tp t="e">
        <v>#N/A</v>
        <stp/>
        <stp>BDH|11467606020842162525</stp>
        <tr r="C19" s="30"/>
      </tp>
      <tp t="e">
        <v>#N/A</v>
        <stp/>
        <stp>BDH|13406129728693035196</stp>
        <tr r="Q47" s="13"/>
      </tp>
      <tp t="e">
        <v>#N/A</v>
        <stp/>
        <stp>BDH|10897806996431989209</stp>
        <tr r="L16" s="12"/>
      </tp>
      <tp t="e">
        <v>#N/A</v>
        <stp/>
        <stp>BDH|15663538116631536212</stp>
        <tr r="P48" s="21"/>
      </tp>
      <tp t="e">
        <v>#N/A</v>
        <stp/>
        <stp>BDH|13989384904180067223</stp>
        <tr r="G51" s="21"/>
      </tp>
      <tp t="e">
        <v>#N/A</v>
        <stp/>
        <stp>BDH|10726226831750554369</stp>
        <tr r="C42" s="24"/>
      </tp>
      <tp t="e">
        <v>#N/A</v>
        <stp/>
        <stp>BDH|14891070616606753195</stp>
        <tr r="D8" s="34"/>
      </tp>
      <tp t="e">
        <v>#N/A</v>
        <stp/>
        <stp>BDH|10767618167171481329</stp>
        <tr r="K33" s="13"/>
        <tr r="I26" s="10"/>
      </tp>
      <tp t="e">
        <v>#N/A</v>
        <stp/>
        <stp>BDH|15755441003670691315</stp>
        <tr r="T8" s="14"/>
      </tp>
      <tp t="e">
        <v>#N/A</v>
        <stp/>
        <stp>BDH|15244745461822870480</stp>
        <tr r="R35" s="25"/>
        <tr r="R17" s="27"/>
        <tr r="O14" s="5"/>
      </tp>
      <tp t="e">
        <v>#N/A</v>
        <stp/>
        <stp>BDH|11818888886600955387</stp>
        <tr r="L7" s="29"/>
        <tr r="L29" s="29"/>
      </tp>
      <tp t="e">
        <v>#N/A</v>
        <stp/>
        <stp>BDH|12602678551172666112</stp>
        <tr r="L33" s="11"/>
        <tr r="L44" s="10"/>
      </tp>
      <tp t="e">
        <v>#N/A</v>
        <stp/>
        <stp>BDH|13977389232175408403</stp>
        <tr r="N39" s="12"/>
      </tp>
      <tp t="e">
        <v>#N/A</v>
        <stp/>
        <stp>BDH|17680543344325375123</stp>
        <tr r="V107" s="18"/>
      </tp>
      <tp t="e">
        <v>#N/A</v>
        <stp/>
        <stp>BDH|11667868637570464841</stp>
        <tr r="N39" s="11"/>
        <tr r="N50" s="10"/>
      </tp>
      <tp t="e">
        <v>#N/A</v>
        <stp/>
        <stp>BDH|15378533625365265502</stp>
        <tr r="H147" s="18"/>
      </tp>
      <tp t="e">
        <v>#N/A</v>
        <stp/>
        <stp>BDH|13816654175691992169</stp>
        <tr r="X44" s="21"/>
      </tp>
      <tp t="e">
        <v>#N/A</v>
        <stp/>
        <stp>BDH|15008370604034363075</stp>
        <tr r="N19" s="25"/>
      </tp>
      <tp t="e">
        <v>#N/A</v>
        <stp/>
        <stp>BDH|14484939735209019550</stp>
        <tr r="G90" s="12"/>
      </tp>
      <tp t="e">
        <v>#N/A</v>
        <stp/>
        <stp>BDH|11452764466712413075</stp>
        <tr r="S71" s="17"/>
      </tp>
      <tp t="e">
        <v>#N/A</v>
        <stp/>
        <stp>BDH|14608734855280675410</stp>
        <tr r="P12" s="12"/>
      </tp>
      <tp t="e">
        <v>#N/A</v>
        <stp/>
        <stp>BDH|18043288302568980040</stp>
        <tr r="Q148" s="18"/>
      </tp>
      <tp t="e">
        <v>#N/A</v>
        <stp/>
        <stp>BDH|16307264474276139775</stp>
        <tr r="E78" s="24"/>
      </tp>
      <tp t="e">
        <v>#N/A</v>
        <stp/>
        <stp>BDH|13918159729962406061</stp>
        <tr r="F32" s="22"/>
      </tp>
      <tp t="e">
        <v>#N/A</v>
        <stp/>
        <stp>BDH|12367105728180920350</stp>
        <tr r="O13" s="20"/>
        <tr r="O118" s="18"/>
      </tp>
      <tp t="e">
        <v>#N/A</v>
        <stp/>
        <stp>BDH|18220574293565833390</stp>
        <tr r="T57" s="6"/>
      </tp>
      <tp t="e">
        <v>#N/A</v>
        <stp/>
        <stp>BDH|16198739690793734924</stp>
        <tr r="E133" s="18"/>
      </tp>
      <tp t="e">
        <v>#N/A</v>
        <stp/>
        <stp>BDH|18361810897288432367</stp>
        <tr r="O11" s="14"/>
      </tp>
      <tp t="e">
        <v>#N/A</v>
        <stp/>
        <stp>BDH|14437605816461567003</stp>
        <tr r="V89" s="12"/>
      </tp>
      <tp t="e">
        <v>#N/A</v>
        <stp/>
        <stp>BDH|13105990889623598338</stp>
        <tr r="C66" s="12"/>
      </tp>
      <tp t="e">
        <v>#N/A</v>
        <stp/>
        <stp>BDH|13500790815617849065</stp>
        <tr r="O15" s="18"/>
      </tp>
      <tp t="e">
        <v>#N/A</v>
        <stp/>
        <stp>BDH|14476583722628101985</stp>
        <tr r="N24" s="13"/>
      </tp>
      <tp t="e">
        <v>#N/A</v>
        <stp/>
        <stp>BDH|11498875326738085125</stp>
        <tr r="T59" s="17"/>
      </tp>
      <tp t="e">
        <v>#N/A</v>
        <stp/>
        <stp>BDH|17312068037521428718</stp>
        <tr r="C38" s="12"/>
      </tp>
      <tp t="e">
        <v>#N/A</v>
        <stp/>
        <stp>BDH|11616003333317740753</stp>
        <tr r="Z9" s="24"/>
      </tp>
      <tp t="e">
        <v>#N/A</v>
        <stp/>
        <stp>BDH|10803153169703737642</stp>
        <tr r="M27" s="17"/>
      </tp>
      <tp t="e">
        <v>#N/A</v>
        <stp/>
        <stp>BDH|18184973870956916287</stp>
        <tr r="K58" s="18"/>
      </tp>
      <tp t="e">
        <v>#N/A</v>
        <stp/>
        <stp>BDH|13950432438662279472</stp>
        <tr r="X42" s="11"/>
        <tr r="X53" s="10"/>
        <tr r="Z11" s="3"/>
        <tr r="X8" s="7"/>
      </tp>
      <tp t="e">
        <v>#N/A</v>
        <stp/>
        <stp>BDH|16073949984781458438</stp>
        <tr r="M14" s="12"/>
      </tp>
      <tp t="e">
        <v>#N/A</v>
        <stp/>
        <stp>BDH|12316442126577626100</stp>
        <tr r="P45" s="34"/>
      </tp>
      <tp t="e">
        <v>#N/A</v>
        <stp/>
        <stp>BDH|18190872981708007217</stp>
        <tr r="Z9" s="17"/>
      </tp>
      <tp t="e">
        <v>#N/A</v>
        <stp/>
        <stp>BDH|14803679976574847373</stp>
        <tr r="O136" s="18"/>
      </tp>
      <tp t="e">
        <v>#N/A</v>
        <stp/>
        <stp>BDH|16528495573692181582</stp>
        <tr r="N82" s="18"/>
      </tp>
      <tp t="e">
        <v>#N/A</v>
        <stp/>
        <stp>BDH|11144859203473900882</stp>
        <tr r="R100" s="18"/>
      </tp>
      <tp t="e">
        <v>#N/A</v>
        <stp/>
        <stp>BDH|10397521261843732218</stp>
        <tr r="W21" s="5"/>
      </tp>
      <tp t="e">
        <v>#N/A</v>
        <stp/>
        <stp>BDH|16213101931892700423</stp>
        <tr r="F9" s="27"/>
      </tp>
      <tp t="e">
        <v>#N/A</v>
        <stp/>
        <stp>BDH|12865099448283834774</stp>
        <tr r="N25" s="22"/>
      </tp>
      <tp t="e">
        <v>#N/A</v>
        <stp/>
        <stp>BDH|16779405506562756208</stp>
        <tr r="F54" s="34"/>
      </tp>
      <tp t="e">
        <v>#N/A</v>
        <stp/>
        <stp>BDH|11517702230232123529</stp>
        <tr r="AA8" s="20"/>
        <tr r="AA114" s="18"/>
      </tp>
      <tp t="e">
        <v>#N/A</v>
        <stp/>
        <stp>BDH|15530221540238896993</stp>
        <tr r="I31" s="9"/>
      </tp>
      <tp t="e">
        <v>#N/A</v>
        <stp/>
        <stp>BDH|10742038445773369544</stp>
        <tr r="R75" s="18"/>
      </tp>
      <tp t="e">
        <v>#N/A</v>
        <stp/>
        <stp>BDH|15054289411534889078</stp>
        <tr r="E51" s="12"/>
      </tp>
      <tp t="e">
        <v>#N/A</v>
        <stp/>
        <stp>BDH|14404578161161715431</stp>
        <tr r="G39" s="26"/>
      </tp>
      <tp t="e">
        <v>#N/A</v>
        <stp/>
        <stp>BDH|12695708246995725612</stp>
        <tr r="T10" s="24"/>
      </tp>
      <tp t="e">
        <v>#N/A</v>
        <stp/>
        <stp>BDH|10891260611092933305</stp>
        <tr r="E95" s="18"/>
      </tp>
      <tp t="e">
        <v>#N/A</v>
        <stp/>
        <stp>BDH|13355766686868374663</stp>
        <tr r="F36" s="34"/>
      </tp>
      <tp t="e">
        <v>#N/A</v>
        <stp/>
        <stp>BDH|14142215601583331749</stp>
        <tr r="C6" s="28"/>
      </tp>
      <tp t="e">
        <v>#N/A</v>
        <stp/>
        <stp>BDH|12973481653524550518</stp>
        <tr r="D12" s="18"/>
      </tp>
      <tp t="e">
        <v>#N/A</v>
        <stp/>
        <stp>BDH|11925418374021851122</stp>
        <tr r="X22" s="17"/>
        <tr r="X15" s="3"/>
      </tp>
      <tp t="e">
        <v>#N/A</v>
        <stp/>
        <stp>BDH|10775848332958690112</stp>
        <tr r="C14" s="10"/>
      </tp>
      <tp t="e">
        <v>#N/A</v>
        <stp/>
        <stp>BDH|15013444003990028313</stp>
        <tr r="P18" s="28"/>
        <tr r="P15" s="17"/>
      </tp>
      <tp t="e">
        <v>#N/A</v>
        <stp/>
        <stp>BDH|11409624440997349635</stp>
        <tr r="N37" s="29"/>
        <tr r="N14" s="29"/>
        <tr r="N23" s="29"/>
      </tp>
      <tp t="e">
        <v>#N/A</v>
        <stp/>
        <stp>BDH|16373965810318343409</stp>
        <tr r="AA9" s="18"/>
      </tp>
      <tp t="e">
        <v>#N/A</v>
        <stp/>
        <stp>BDH|14394161277764331470</stp>
        <tr r="J32" s="11"/>
        <tr r="J43" s="10"/>
      </tp>
      <tp t="e">
        <v>#N/A</v>
        <stp/>
        <stp>BDH|15060646712088572854</stp>
        <tr r="U8" s="17"/>
      </tp>
      <tp t="e">
        <v>#N/A</v>
        <stp/>
        <stp>BDH|17096554042351097514</stp>
        <tr r="X36" s="22"/>
      </tp>
      <tp t="e">
        <v>#N/A</v>
        <stp/>
        <stp>BDH|11352347340500141400</stp>
        <tr r="N102" s="18"/>
      </tp>
      <tp t="e">
        <v>#N/A</v>
        <stp/>
        <stp>BDH|14019922070628238065</stp>
        <tr r="L125" s="18"/>
      </tp>
      <tp t="e">
        <v>#N/A</v>
        <stp/>
        <stp>BDH|16628055765062574052</stp>
        <tr r="X173" s="18"/>
      </tp>
      <tp t="e">
        <v>#N/A</v>
        <stp/>
        <stp>BDH|17280093157502243288</stp>
        <tr r="F31" s="17"/>
      </tp>
      <tp t="e">
        <v>#N/A</v>
        <stp/>
        <stp>BDH|12868079515045974459</stp>
        <tr r="R47" s="6"/>
      </tp>
      <tp t="e">
        <v>#N/A</v>
        <stp/>
        <stp>BDH|15283317684605087910</stp>
        <tr r="S25" s="11"/>
        <tr r="S36" s="10"/>
      </tp>
      <tp t="e">
        <v>#N/A</v>
        <stp/>
        <stp>BDH|11144536451852531109</stp>
        <tr r="R93" s="17"/>
      </tp>
      <tp t="e">
        <v>#N/A</v>
        <stp/>
        <stp>BDH|11400536707323012564</stp>
        <tr r="H34" s="21"/>
      </tp>
      <tp t="e">
        <v>#N/A</v>
        <stp/>
        <stp>BDH|12695333642941041617</stp>
        <tr r="F26" s="7"/>
      </tp>
      <tp t="e">
        <v>#N/A</v>
        <stp/>
        <stp>BDH|14965355102403942613</stp>
        <tr r="X31" s="21"/>
      </tp>
      <tp t="e">
        <v>#N/A</v>
        <stp/>
        <stp>BDH|13094084544374367198</stp>
        <tr r="X109" s="18"/>
      </tp>
      <tp t="e">
        <v>#N/A</v>
        <stp/>
        <stp>BDH|17226582121145811750</stp>
        <tr r="U9" s="34"/>
      </tp>
      <tp t="e">
        <v>#N/A</v>
        <stp/>
        <stp>BDH|17587965761488461208</stp>
        <tr r="AA20" s="14"/>
      </tp>
      <tp t="e">
        <v>#N/A</v>
        <stp/>
        <stp>BDH|12572593947173519283</stp>
        <tr r="X22" s="27"/>
      </tp>
      <tp t="e">
        <v>#N/A</v>
        <stp/>
        <stp>BDH|10412324092568243003</stp>
        <tr r="P13" s="2"/>
      </tp>
      <tp t="e">
        <v>#N/A</v>
        <stp/>
        <stp>BDH|15402213810555513161</stp>
        <tr r="W125" s="18"/>
      </tp>
      <tp t="e">
        <v>#N/A</v>
        <stp/>
        <stp>BDH|12746145785448599159</stp>
        <tr r="D35" s="24"/>
      </tp>
      <tp t="e">
        <v>#N/A</v>
        <stp/>
        <stp>BDH|17672020621085640256</stp>
        <tr r="G61" s="13"/>
      </tp>
      <tp t="e">
        <v>#N/A</v>
        <stp/>
        <stp>BDH|11423725487685361942</stp>
        <tr r="K99" s="12"/>
      </tp>
      <tp t="e">
        <v>#N/A</v>
        <stp/>
        <stp>BDH|12299357533069384913</stp>
        <tr r="V18" s="29"/>
        <tr r="V41" s="29"/>
      </tp>
      <tp t="e">
        <v>#N/A</v>
        <stp/>
        <stp>BDH|16283735084153618858</stp>
        <tr r="N7" s="11"/>
      </tp>
      <tp t="e">
        <v>#N/A</v>
        <stp/>
        <stp>BDH|16526767591193264967</stp>
        <tr r="H150" s="18"/>
      </tp>
      <tp t="e">
        <v>#N/A</v>
        <stp/>
        <stp>BDH|11610244764240267724</stp>
        <tr r="W42" s="25"/>
      </tp>
      <tp t="e">
        <v>#N/A</v>
        <stp/>
        <stp>BDH|18252353320162573945</stp>
        <tr r="I36" s="22"/>
      </tp>
      <tp t="e">
        <v>#N/A</v>
        <stp/>
        <stp>BDH|16482406768830324691</stp>
        <tr r="U42" s="22"/>
      </tp>
      <tp t="e">
        <v>#N/A</v>
        <stp/>
        <stp>BDH|11333830556167247922</stp>
        <tr r="P66" s="13"/>
      </tp>
      <tp t="e">
        <v>#N/A</v>
        <stp/>
        <stp>BDH|18015944260977093221</stp>
        <tr r="M50" s="22"/>
      </tp>
      <tp t="e">
        <v>#N/A</v>
        <stp/>
        <stp>BDH|12734429855027163687</stp>
        <tr r="G10" s="25"/>
        <tr r="G55" s="17"/>
      </tp>
      <tp t="e">
        <v>#N/A</v>
        <stp/>
        <stp>BDH|10184394769291152690</stp>
        <tr r="M16" s="25"/>
      </tp>
      <tp t="e">
        <v>#N/A</v>
        <stp/>
        <stp>BDH|10953908108723969816</stp>
        <tr r="T49" s="22"/>
      </tp>
      <tp t="e">
        <v>#N/A</v>
        <stp/>
        <stp>BDH|14697577705883990045</stp>
        <tr r="D42" s="25"/>
      </tp>
      <tp t="e">
        <v>#N/A</v>
        <stp/>
        <stp>BDH|10897249660553173548</stp>
        <tr r="N8" s="13"/>
      </tp>
      <tp t="e">
        <v>#N/A</v>
        <stp/>
        <stp>BDH|15754750675151977679</stp>
        <tr r="G9" s="6"/>
      </tp>
      <tp t="e">
        <v>#N/A</v>
        <stp/>
        <stp>BDH|12293638557960849375</stp>
        <tr r="Q32" s="11"/>
        <tr r="Q43" s="10"/>
      </tp>
      <tp t="e">
        <v>#N/A</v>
        <stp/>
        <stp>BDH|11758393557952562751</stp>
        <tr r="S58" s="12"/>
      </tp>
      <tp t="e">
        <v>#N/A</v>
        <stp/>
        <stp>BDH|17870605627911234040</stp>
        <tr r="R8" s="8"/>
      </tp>
      <tp t="e">
        <v>#N/A</v>
        <stp/>
        <stp>BDH|11397319119319085823</stp>
        <tr r="K38" s="26"/>
      </tp>
      <tp t="e">
        <v>#N/A</v>
        <stp/>
        <stp>BDH|14969470713734161759</stp>
        <tr r="C155" s="18"/>
      </tp>
      <tp t="e">
        <v>#N/A</v>
        <stp/>
        <stp>BDH|17287842579163333956</stp>
        <tr r="I8" s="13"/>
      </tp>
      <tp t="e">
        <v>#N/A</v>
        <stp/>
        <stp>BDH|14851934494711082760</stp>
        <tr r="K23" s="21"/>
      </tp>
      <tp t="e">
        <v>#N/A</v>
        <stp/>
        <stp>BDH|14951565564931511476</stp>
        <tr r="Q35" s="26"/>
        <tr r="N14" s="9"/>
      </tp>
      <tp t="e">
        <v>#N/A</v>
        <stp/>
        <stp>BDH|16569329340080908373</stp>
        <tr r="F8" s="8"/>
      </tp>
      <tp t="e">
        <v>#N/A</v>
        <stp/>
        <stp>BDH|11650025289329775238</stp>
        <tr r="Q42" s="25"/>
      </tp>
      <tp t="e">
        <v>#N/A</v>
        <stp/>
        <stp>BDH|13398477045318175999</stp>
        <tr r="U150" s="18"/>
      </tp>
      <tp t="e">
        <v>#N/A</v>
        <stp/>
        <stp>BDH|16557103830932989454</stp>
        <tr r="F66" s="24"/>
      </tp>
      <tp t="e">
        <v>#N/A</v>
        <stp/>
        <stp>BDH|11767071932580310080</stp>
        <tr r="O17" s="12"/>
      </tp>
      <tp t="e">
        <v>#N/A</v>
        <stp/>
        <stp>BDH|15526179468113480371</stp>
        <tr r="V42" s="21"/>
      </tp>
      <tp t="e">
        <v>#N/A</v>
        <stp/>
        <stp>BDH|12413434465606867437</stp>
        <tr r="L27" s="7"/>
      </tp>
      <tp t="e">
        <v>#N/A</v>
        <stp/>
        <stp>BDH|10181282747655757109</stp>
        <tr r="P18" s="6"/>
      </tp>
      <tp t="e">
        <v>#N/A</v>
        <stp/>
        <stp>BDH|12251261219831157259</stp>
        <tr r="E90" s="18"/>
      </tp>
      <tp t="e">
        <v>#N/A</v>
        <stp/>
        <stp>BDH|13314689350062087020</stp>
        <tr r="K53" s="34"/>
      </tp>
      <tp t="e">
        <v>#N/A</v>
        <stp/>
        <stp>BDH|13944436243471760070</stp>
        <tr r="X22" s="26"/>
      </tp>
      <tp t="e">
        <v>#N/A</v>
        <stp/>
        <stp>BDH|12987423557079336868</stp>
        <tr r="X9" s="34"/>
      </tp>
      <tp t="e">
        <v>#N/A</v>
        <stp/>
        <stp>BDH|17208204723276074386</stp>
        <tr r="AA8" s="18"/>
      </tp>
      <tp t="e">
        <v>#N/A</v>
        <stp/>
        <stp>BDH|11827078723129093855</stp>
        <tr r="X10" s="23"/>
      </tp>
      <tp t="e">
        <v>#N/A</v>
        <stp/>
        <stp>BDH|11869044132210618016</stp>
        <tr r="Q48" s="17"/>
      </tp>
      <tp t="e">
        <v>#N/A</v>
        <stp/>
        <stp>BDH|17883748286148657253</stp>
        <tr r="H62" s="24"/>
      </tp>
      <tp t="e">
        <v>#N/A</v>
        <stp/>
        <stp>BDH|11163715348039556940</stp>
        <tr r="S27" s="18"/>
      </tp>
      <tp t="e">
        <v>#N/A</v>
        <stp/>
        <stp>BDH|13436527968966186460</stp>
        <tr r="C18" s="22"/>
      </tp>
      <tp t="e">
        <v>#N/A</v>
        <stp/>
        <stp>BDH|12907082877512600592</stp>
        <tr r="T11" s="24"/>
      </tp>
      <tp t="e">
        <v>#N/A</v>
        <stp/>
        <stp>BDH|18417738199854107064</stp>
        <tr r="U58" s="24"/>
      </tp>
      <tp t="e">
        <v>#N/A</v>
        <stp/>
        <stp>BDH|15581388917290276510</stp>
        <tr r="AA175" s="18"/>
      </tp>
      <tp t="e">
        <v>#N/A</v>
        <stp/>
        <stp>BDH|17026341937965950024</stp>
        <tr r="N16" s="14"/>
      </tp>
      <tp t="e">
        <v>#N/A</v>
        <stp/>
        <stp>BDH|11771378774407957054</stp>
        <tr r="E22" s="17"/>
        <tr r="E15" s="3"/>
      </tp>
      <tp t="e">
        <v>#N/A</v>
        <stp/>
        <stp>BDH|10506989174548103405</stp>
        <tr r="W13" s="11"/>
      </tp>
      <tp t="e">
        <v>#N/A</v>
        <stp/>
        <stp>BDH|15006972466988177084</stp>
        <tr r="N64" s="11"/>
        <tr r="N75" s="10"/>
      </tp>
      <tp t="e">
        <v>#N/A</v>
        <stp/>
        <stp>BDH|15155300743380985036</stp>
        <tr r="C12" s="20"/>
        <tr r="C117" s="18"/>
      </tp>
      <tp t="e">
        <v>#N/A</v>
        <stp/>
        <stp>BDH|17392730522315829526</stp>
        <tr r="G17" s="24"/>
      </tp>
      <tp t="e">
        <v>#N/A</v>
        <stp/>
        <stp>BDH|12517787900977657034</stp>
        <tr r="X9" s="24"/>
      </tp>
      <tp t="e">
        <v>#N/A</v>
        <stp/>
        <stp>BDH|15187137509253472574</stp>
        <tr r="U7" s="27"/>
        <tr r="U94" s="17"/>
      </tp>
      <tp t="e">
        <v>#N/A</v>
        <stp/>
        <stp>BDH|15495830669779530033</stp>
        <tr r="V57" s="17"/>
      </tp>
      <tp t="e">
        <v>#N/A</v>
        <stp/>
        <stp>BDH|15984564165187442365</stp>
        <tr r="H73" s="17"/>
      </tp>
      <tp t="e">
        <v>#N/A</v>
        <stp/>
        <stp>BDH|15570065045861673281</stp>
        <tr r="C39" s="21"/>
      </tp>
      <tp t="e">
        <v>#N/A</v>
        <stp/>
        <stp>BDH|17809311456890711304</stp>
        <tr r="Q16" s="26"/>
      </tp>
      <tp t="e">
        <v>#N/A</v>
        <stp/>
        <stp>BDH|14000019853307809426</stp>
        <tr r="U70" s="17"/>
        <tr r="R8" s="9"/>
        <tr r="R8" s="5"/>
      </tp>
      <tp t="e">
        <v>#N/A</v>
        <stp/>
        <stp>BDH|10895965457586331829</stp>
        <tr r="L25" s="22"/>
      </tp>
      <tp t="e">
        <v>#N/A</v>
        <stp/>
        <stp>BDH|15814373870664459732</stp>
        <tr r="T64" s="24"/>
      </tp>
      <tp t="e">
        <v>#N/A</v>
        <stp/>
        <stp>BDH|11301304718751756047</stp>
        <tr r="F13" s="22"/>
      </tp>
      <tp t="e">
        <v>#N/A</v>
        <stp/>
        <stp>BDH|16586489073677535035</stp>
        <tr r="Z94" s="12"/>
      </tp>
      <tp t="e">
        <v>#N/A</v>
        <stp/>
        <stp>BDH|13617586841193125364</stp>
        <tr r="G129" s="18"/>
      </tp>
      <tp t="e">
        <v>#N/A</v>
        <stp/>
        <stp>BDH|14913702105466777730</stp>
        <tr r="T91" s="17"/>
      </tp>
      <tp t="e">
        <v>#N/A</v>
        <stp/>
        <stp>BDH|12941809455408373579</stp>
        <tr r="Q50" s="17"/>
      </tp>
      <tp t="e">
        <v>#N/A</v>
        <stp/>
        <stp>BDH|13522514200137983358</stp>
        <tr r="R18" s="23"/>
      </tp>
      <tp t="e">
        <v>#N/A</v>
        <stp/>
        <stp>BDH|17637395792996591903</stp>
        <tr r="K28" s="22"/>
      </tp>
      <tp t="e">
        <v>#N/A</v>
        <stp/>
        <stp>BDH|16590221175135957439</stp>
        <tr r="T21" s="14"/>
      </tp>
      <tp t="e">
        <v>#N/A</v>
        <stp/>
        <stp>BDH|10358903957556562890</stp>
        <tr r="AA103" s="18"/>
      </tp>
      <tp t="e">
        <v>#N/A</v>
        <stp/>
        <stp>BDH|11281021200890034386</stp>
        <tr r="W62" s="17"/>
      </tp>
      <tp t="e">
        <v>#N/A</v>
        <stp/>
        <stp>BDH|14227318709413028628</stp>
        <tr r="T130" s="18"/>
      </tp>
      <tp t="e">
        <v>#N/A</v>
        <stp/>
        <stp>BDH|12342871288580473003</stp>
        <tr r="F25" s="24"/>
      </tp>
      <tp t="e">
        <v>#N/A</v>
        <stp/>
        <stp>BDH|11314089131815773553</stp>
        <tr r="AA28" s="21"/>
      </tp>
      <tp t="e">
        <v>#N/A</v>
        <stp/>
        <stp>BDH|13404898055179343539</stp>
        <tr r="Q48" s="24"/>
      </tp>
      <tp t="e">
        <v>#N/A</v>
        <stp/>
        <stp>BDH|11179532500151885717</stp>
        <tr r="F169" s="18"/>
      </tp>
      <tp t="e">
        <v>#N/A</v>
        <stp/>
        <stp>BDH|13871121450987243230</stp>
        <tr r="X7" s="8"/>
      </tp>
      <tp t="e">
        <v>#N/A</v>
        <stp/>
        <stp>BDH|17983219490839465774</stp>
        <tr r="C53" s="12"/>
      </tp>
      <tp t="e">
        <v>#N/A</v>
        <stp/>
        <stp>BDH|12317293704150011258</stp>
        <tr r="V16" s="24"/>
      </tp>
      <tp t="e">
        <v>#N/A</v>
        <stp/>
        <stp>BDH|12296054717614970526</stp>
        <tr r="AA167" s="18"/>
      </tp>
      <tp t="e">
        <v>#N/A</v>
        <stp/>
        <stp>BDH|11065307513456954719</stp>
        <tr r="T22" s="6"/>
      </tp>
      <tp t="e">
        <v>#N/A</v>
        <stp/>
        <stp>BDH|10261156534184112498</stp>
        <tr r="L65" s="21"/>
        <tr r="I31" s="6"/>
      </tp>
      <tp t="e">
        <v>#N/A</v>
        <stp/>
        <stp>BDH|18263211389611799160</stp>
        <tr r="D9" s="17"/>
      </tp>
      <tp t="e">
        <v>#N/A</v>
        <stp/>
        <stp>BDH|15966338155658451905</stp>
        <tr r="L86" s="18"/>
      </tp>
      <tp t="e">
        <v>#N/A</v>
        <stp/>
        <stp>BDH|12373976812770405899</stp>
        <tr r="C171" s="18"/>
      </tp>
      <tp t="e">
        <v>#N/A</v>
        <stp/>
        <stp>BDH|13847967963616737819</stp>
        <tr r="P33" s="13"/>
        <tr r="N26" s="10"/>
      </tp>
      <tp t="e">
        <v>#N/A</v>
        <stp/>
        <stp>BDH|10949444344230352218</stp>
        <tr r="H65" s="12"/>
      </tp>
      <tp t="e">
        <v>#N/A</v>
        <stp/>
        <stp>BDH|15309235760230316389</stp>
        <tr r="P14" s="12"/>
      </tp>
      <tp t="e">
        <v>#N/A</v>
        <stp/>
        <stp>BDH|11321261009330764109</stp>
        <tr r="W77" s="24"/>
      </tp>
      <tp t="e">
        <v>#N/A</v>
        <stp/>
        <stp>BDH|12261526091929828525</stp>
        <tr r="T42" s="10"/>
        <tr r="T31" s="11"/>
      </tp>
      <tp t="e">
        <v>#N/A</v>
        <stp/>
        <stp>BDH|10823199683112070993</stp>
        <tr r="V24" s="5"/>
      </tp>
      <tp t="e">
        <v>#N/A</v>
        <stp/>
        <stp>BDH|13740439648784109564</stp>
        <tr r="O18" s="26"/>
      </tp>
      <tp t="e">
        <v>#N/A</v>
        <stp/>
        <stp>BDH|16286066411365649084</stp>
        <tr r="D84" s="12"/>
      </tp>
      <tp t="e">
        <v>#N/A</v>
        <stp/>
        <stp>BDH|13487458030922957431</stp>
        <tr r="J32" s="17"/>
      </tp>
      <tp t="e">
        <v>#N/A</v>
        <stp/>
        <stp>BDH|14883505767140644524</stp>
        <tr r="T29" s="26"/>
      </tp>
      <tp t="e">
        <v>#N/A</v>
        <stp/>
        <stp>BDH|12027219030274373592</stp>
        <tr r="W26" s="21"/>
      </tp>
      <tp t="e">
        <v>#N/A</v>
        <stp/>
        <stp>BDH|13743386071033483616</stp>
        <tr r="M10" s="23"/>
      </tp>
      <tp t="e">
        <v>#N/A</v>
        <stp/>
        <stp>BDH|10895628371934537758</stp>
        <tr r="G14" s="21"/>
      </tp>
      <tp t="e">
        <v>#N/A</v>
        <stp/>
        <stp>BDH|16559632828579404911</stp>
        <tr r="N17" s="21"/>
        <tr r="L23" s="2"/>
        <tr r="N23" s="3"/>
      </tp>
      <tp t="e">
        <v>#N/A</v>
        <stp/>
        <stp>BDH|10951511973002220224</stp>
        <tr r="J15" s="18"/>
      </tp>
      <tp t="e">
        <v>#N/A</v>
        <stp/>
        <stp>BDH|10138822909662632876</stp>
        <tr r="Z132" s="18"/>
      </tp>
      <tp t="e">
        <v>#N/A</v>
        <stp/>
        <stp>BDH|15774467735034676495</stp>
        <tr r="Y42" s="22"/>
      </tp>
      <tp t="e">
        <v>#N/A</v>
        <stp/>
        <stp>BDH|17282672945587885035</stp>
        <tr r="F43" s="12"/>
      </tp>
      <tp t="e">
        <v>#N/A</v>
        <stp/>
        <stp>BDH|13348176234695233695</stp>
        <tr r="V42" s="29"/>
        <tr r="V33" s="29"/>
        <tr r="T55" s="6"/>
        <tr r="T11" s="5"/>
        <tr r="U10" s="2"/>
      </tp>
      <tp t="e">
        <v>#N/A</v>
        <stp/>
        <stp>BDH|17922412043276402343</stp>
        <tr r="O133" s="18"/>
      </tp>
      <tp t="e">
        <v>#N/A</v>
        <stp/>
        <stp>BDH|12166310831491917133</stp>
        <tr r="W90" s="18"/>
      </tp>
      <tp t="e">
        <v>#N/A</v>
        <stp/>
        <stp>BDH|10122266478394618321</stp>
        <tr r="I29" s="9"/>
      </tp>
      <tp t="e">
        <v>#N/A</v>
        <stp/>
        <stp>BDH|12734623767104175481</stp>
        <tr r="AA35" s="24"/>
      </tp>
      <tp t="e">
        <v>#N/A</v>
        <stp/>
        <stp>BDH|17882797317092992140</stp>
        <tr r="R131" s="18"/>
      </tp>
      <tp t="e">
        <v>#N/A</v>
        <stp/>
        <stp>BDH|11800480569711011020</stp>
        <tr r="R27" s="13"/>
      </tp>
      <tp t="e">
        <v>#N/A</v>
        <stp/>
        <stp>BDH|13704822099448335843</stp>
        <tr r="T80" s="17"/>
      </tp>
      <tp t="e">
        <v>#N/A</v>
        <stp/>
        <stp>BDH|14091578841124805355</stp>
        <tr r="H45" s="17"/>
      </tp>
      <tp t="e">
        <v>#N/A</v>
        <stp/>
        <stp>BDH|11761492460985188440</stp>
        <tr r="P8" s="4"/>
      </tp>
      <tp t="e">
        <v>#N/A</v>
        <stp/>
        <stp>BDH|11968927823618207012</stp>
        <tr r="M16" s="28"/>
        <tr r="M13" s="17"/>
      </tp>
      <tp t="e">
        <v>#N/A</v>
        <stp/>
        <stp>BDH|14134606758233751656</stp>
        <tr r="O19" s="26"/>
      </tp>
      <tp t="e">
        <v>#N/A</v>
        <stp/>
        <stp>BDH|11682658309492275728</stp>
        <tr r="O32" s="26"/>
      </tp>
      <tp t="e">
        <v>#N/A</v>
        <stp/>
        <stp>BDH|15609552118566690575</stp>
        <tr r="O13" s="21"/>
      </tp>
      <tp t="e">
        <v>#N/A</v>
        <stp/>
        <stp>BDH|10119759522260403781</stp>
        <tr r="H92" s="12"/>
      </tp>
      <tp t="e">
        <v>#N/A</v>
        <stp/>
        <stp>BDH|14468088870095613404</stp>
        <tr r="K93" s="17"/>
      </tp>
      <tp t="e">
        <v>#N/A</v>
        <stp/>
        <stp>BDH|12670176101794399594</stp>
        <tr r="D12" s="24"/>
      </tp>
      <tp t="e">
        <v>#N/A</v>
        <stp/>
        <stp>BDH|16404540309479361809</stp>
        <tr r="T9" s="24"/>
      </tp>
      <tp t="e">
        <v>#N/A</v>
        <stp/>
        <stp>BDH|16274249425943994705</stp>
        <tr r="T11" s="14"/>
      </tp>
      <tp t="e">
        <v>#N/A</v>
        <stp/>
        <stp>BDH|18093896764314165061</stp>
        <tr r="I26" s="11"/>
        <tr r="I37" s="10"/>
      </tp>
      <tp t="e">
        <v>#N/A</v>
        <stp/>
        <stp>BDH|14156501015893639185</stp>
        <tr r="S53" s="10"/>
        <tr r="S42" s="11"/>
        <tr r="S8" s="7"/>
        <tr r="U11" s="3"/>
      </tp>
      <tp t="e">
        <v>#N/A</v>
        <stp/>
        <stp>BDH|15694333614722930724</stp>
        <tr r="K25" s="3"/>
      </tp>
      <tp t="e">
        <v>#N/A</v>
        <stp/>
        <stp>BDH|17401796061384596035</stp>
        <tr r="Q37" s="12"/>
      </tp>
      <tp t="e">
        <v>#N/A</v>
        <stp/>
        <stp>BDH|12189718358493540179</stp>
        <tr r="Y34" s="11"/>
        <tr r="Y45" s="10"/>
      </tp>
      <tp t="e">
        <v>#N/A</v>
        <stp/>
        <stp>BDH|15652031779819659906</stp>
        <tr r="P45" s="21"/>
      </tp>
      <tp t="e">
        <v>#N/A</v>
        <stp/>
        <stp>BDH|14951639070034512352</stp>
        <tr r="N141" s="18"/>
      </tp>
      <tp t="e">
        <v>#N/A</v>
        <stp/>
        <stp>BDH|12091784369423228295</stp>
        <tr r="L19" s="24"/>
      </tp>
      <tp t="e">
        <v>#N/A</v>
        <stp/>
        <stp>BDH|16168343212980869654</stp>
        <tr r="R12" s="21"/>
      </tp>
      <tp t="e">
        <v>#N/A</v>
        <stp/>
        <stp>BDH|11696194005445348733</stp>
        <tr r="G12" s="13"/>
      </tp>
      <tp t="e">
        <v>#N/A</v>
        <stp/>
        <stp>BDH|10295386243907392201</stp>
        <tr r="X45" s="21"/>
      </tp>
      <tp t="e">
        <v>#N/A</v>
        <stp/>
        <stp>BDH|10920059176543923692</stp>
        <tr r="G19" s="23"/>
        <tr r="E60" s="11"/>
      </tp>
      <tp t="e">
        <v>#N/A</v>
        <stp/>
        <stp>BDH|12206315238831119101</stp>
        <tr r="C60" s="17"/>
      </tp>
      <tp t="e">
        <v>#N/A</v>
        <stp/>
        <stp>BDH|11432734831224910359</stp>
        <tr r="O39" s="25"/>
      </tp>
      <tp t="e">
        <v>#N/A</v>
        <stp/>
        <stp>BDH|11747593460526271668</stp>
        <tr r="V174" s="18"/>
      </tp>
      <tp t="e">
        <v>#N/A</v>
        <stp/>
        <stp>BDH|11967343519919966876</stp>
        <tr r="L21" s="3"/>
      </tp>
      <tp t="e">
        <v>#N/A</v>
        <stp/>
        <stp>BDH|12541845098168510962</stp>
        <tr r="N46" s="13"/>
        <tr r="L30" s="11"/>
        <tr r="L41" s="10"/>
      </tp>
      <tp t="e">
        <v>#N/A</v>
        <stp/>
        <stp>BDH|14761455223866814639</stp>
        <tr r="U19" s="6"/>
      </tp>
      <tp t="e">
        <v>#N/A</v>
        <stp/>
        <stp>BDH|14509790520675759610</stp>
        <tr r="F14" s="34"/>
      </tp>
      <tp t="e">
        <v>#N/A</v>
        <stp/>
        <stp>BDH|10859014661922220608</stp>
        <tr r="S38" s="24"/>
      </tp>
      <tp t="e">
        <v>#N/A</v>
        <stp/>
        <stp>BDH|11546340812928141988</stp>
        <tr r="D83" s="18"/>
      </tp>
      <tp t="e">
        <v>#N/A</v>
        <stp/>
        <stp>BDH|13414585355618752946</stp>
        <tr r="U18" s="22"/>
      </tp>
      <tp t="e">
        <v>#N/A</v>
        <stp/>
        <stp>BDH|14160650146564179094</stp>
        <tr r="N98" s="12"/>
      </tp>
      <tp t="e">
        <v>#N/A</v>
        <stp/>
        <stp>BDH|10840773449652446385</stp>
        <tr r="I77" s="12"/>
      </tp>
      <tp t="e">
        <v>#N/A</v>
        <stp/>
        <stp>BDH|16944476356355731052</stp>
        <tr r="R163" s="18"/>
      </tp>
      <tp t="e">
        <v>#N/A</v>
        <stp/>
        <stp>BDH|10222682752518309912</stp>
        <tr r="U91" s="17"/>
      </tp>
      <tp t="e">
        <v>#N/A</v>
        <stp/>
        <stp>BDH|16722206212083817472</stp>
        <tr r="X68" s="18"/>
      </tp>
      <tp t="e">
        <v>#N/A</v>
        <stp/>
        <stp>BDH|12201936599896393610</stp>
        <tr r="T16" s="11"/>
      </tp>
      <tp t="e">
        <v>#N/A</v>
        <stp/>
        <stp>BDH|11975825491717159517</stp>
        <tr r="T17" s="23"/>
      </tp>
      <tp t="e">
        <v>#N/A</v>
        <stp/>
        <stp>BDH|10518670969257201534</stp>
        <tr r="R78" s="18"/>
      </tp>
      <tp t="e">
        <v>#N/A</v>
        <stp/>
        <stp>BDH|17174548997838849104</stp>
        <tr r="R52" s="13"/>
      </tp>
      <tp t="e">
        <v>#N/A</v>
        <stp/>
        <stp>BDH|10676630242206966644</stp>
        <tr r="U169" s="18"/>
      </tp>
      <tp t="e">
        <v>#N/A</v>
        <stp/>
        <stp>BDH|17424276370282188288</stp>
        <tr r="R66" s="13"/>
      </tp>
      <tp t="e">
        <v>#N/A</v>
        <stp/>
        <stp>BDH|11674416728817287274</stp>
        <tr r="O21" s="30"/>
      </tp>
      <tp t="e">
        <v>#N/A</v>
        <stp/>
        <stp>BDH|16886576057823055726</stp>
        <tr r="T16" s="20"/>
      </tp>
      <tp t="e">
        <v>#N/A</v>
        <stp/>
        <stp>BDH|15222482040660718773</stp>
        <tr r="Y171" s="18"/>
      </tp>
      <tp t="e">
        <v>#N/A</v>
        <stp/>
        <stp>BDH|17618794166637070330</stp>
        <tr r="AA20" s="21"/>
      </tp>
      <tp t="e">
        <v>#N/A</v>
        <stp/>
        <stp>BDH|11453223744514127195</stp>
        <tr r="O13" s="18"/>
      </tp>
      <tp t="e">
        <v>#N/A</v>
        <stp/>
        <stp>BDH|14355789927176774561</stp>
        <tr r="Y35" s="21"/>
      </tp>
      <tp t="e">
        <v>#N/A</v>
        <stp/>
        <stp>BDH|12885480473066717592</stp>
        <tr r="F16" s="18"/>
      </tp>
      <tp t="e">
        <v>#N/A</v>
        <stp/>
        <stp>BDH|12197700901865415299</stp>
        <tr r="V10" s="14"/>
      </tp>
      <tp t="e">
        <v>#N/A</v>
        <stp/>
        <stp>BDH|17648625418064587640</stp>
        <tr r="N50" s="17"/>
      </tp>
      <tp t="e">
        <v>#N/A</v>
        <stp/>
        <stp>BDH|14765629349387504345</stp>
        <tr r="E9" s="23"/>
      </tp>
      <tp t="e">
        <v>#N/A</v>
        <stp/>
        <stp>BDH|10948807224871767975</stp>
        <tr r="E158" s="18"/>
      </tp>
      <tp t="e">
        <v>#N/A</v>
        <stp/>
        <stp>BDH|15241219170366778496</stp>
        <tr r="L16" s="10"/>
      </tp>
      <tp t="e">
        <v>#N/A</v>
        <stp/>
        <stp>BDH|16256487587969541150</stp>
        <tr r="AA40" s="12"/>
      </tp>
      <tp t="e">
        <v>#N/A</v>
        <stp/>
        <stp>BDH|17555439914768774882</stp>
        <tr r="R18" s="26"/>
      </tp>
      <tp t="e">
        <v>#N/A</v>
        <stp/>
        <stp>BDH|10827995079024512808</stp>
        <tr r="N16" s="10"/>
      </tp>
      <tp t="e">
        <v>#N/A</v>
        <stp/>
        <stp>BDH|13399220548642439502</stp>
        <tr r="R62" s="21"/>
      </tp>
      <tp t="e">
        <v>#N/A</v>
        <stp/>
        <stp>BDH|17063788100587325564</stp>
        <tr r="C8" s="27"/>
      </tp>
      <tp t="e">
        <v>#N/A</v>
        <stp/>
        <stp>BDH|13881150626111203344</stp>
        <tr r="AA131" s="18"/>
      </tp>
      <tp t="e">
        <v>#N/A</v>
        <stp/>
        <stp>BDH|13791076650560465491</stp>
        <tr r="U36" s="21"/>
        <tr r="U24" s="3"/>
      </tp>
      <tp t="e">
        <v>#N/A</v>
        <stp/>
        <stp>BDH|17655813569919641256</stp>
        <tr r="M53" s="13"/>
      </tp>
      <tp t="e">
        <v>#N/A</v>
        <stp/>
        <stp>BDH|17106643999622485851</stp>
        <tr r="W22" s="26"/>
      </tp>
      <tp t="e">
        <v>#N/A</v>
        <stp/>
        <stp>BDH|17995215133144404021</stp>
        <tr r="C34" s="6"/>
      </tp>
      <tp t="e">
        <v>#N/A</v>
        <stp/>
        <stp>BDH|15094400519141257361</stp>
        <tr r="H28" s="14"/>
      </tp>
      <tp t="e">
        <v>#N/A</v>
        <stp/>
        <stp>BDH|11941072666750458517</stp>
        <tr r="J13" s="28"/>
        <tr r="J95" s="17"/>
      </tp>
      <tp t="e">
        <v>#N/A</v>
        <stp/>
        <stp>BDH|11257707039740722714</stp>
        <tr r="X40" s="21"/>
      </tp>
      <tp t="e">
        <v>#N/A</v>
        <stp/>
        <stp>BDH|17481720721925877525</stp>
        <tr r="S124" s="18"/>
      </tp>
      <tp t="e">
        <v>#N/A</v>
        <stp/>
        <stp>BDH|15436580133078512971</stp>
        <tr r="U62" s="17"/>
      </tp>
      <tp t="e">
        <v>#N/A</v>
        <stp/>
        <stp>BDH|17049459469277391024</stp>
        <tr r="H73" s="12"/>
      </tp>
      <tp t="e">
        <v>#N/A</v>
        <stp/>
        <stp>BDH|15596729928187600543</stp>
        <tr r="D10" s="24"/>
      </tp>
      <tp t="e">
        <v>#N/A</v>
        <stp/>
        <stp>BDH|14401181730523642772</stp>
        <tr r="Y71" s="24"/>
      </tp>
      <tp t="e">
        <v>#N/A</v>
        <stp/>
        <stp>BDH|15518573351505606286</stp>
        <tr r="R42" s="6"/>
      </tp>
      <tp t="e">
        <v>#N/A</v>
        <stp/>
        <stp>BDH|16303474412419308880</stp>
        <tr r="C70" s="12"/>
      </tp>
      <tp t="e">
        <v>#N/A</v>
        <stp/>
        <stp>BDH|10250641131076844120</stp>
        <tr r="X123" s="18"/>
      </tp>
      <tp t="e">
        <v>#N/A</v>
        <stp/>
        <stp>BDH|15341583975793663656</stp>
        <tr r="Z30" s="29"/>
        <tr r="Z8" s="29"/>
      </tp>
      <tp t="e">
        <v>#N/A</v>
        <stp/>
        <stp>BDH|16072768673890032483</stp>
        <tr r="P31" s="14"/>
      </tp>
      <tp t="e">
        <v>#N/A</v>
        <stp/>
        <stp>BDH|13909487054016049684</stp>
        <tr r="X24" s="24"/>
      </tp>
      <tp t="e">
        <v>#N/A</v>
        <stp/>
        <stp>BDH|12496964785805321490</stp>
        <tr r="Y31" s="17"/>
      </tp>
      <tp t="e">
        <v>#N/A</v>
        <stp/>
        <stp>BDH|14295101745213940039</stp>
        <tr r="Q96" s="12"/>
      </tp>
      <tp t="e">
        <v>#N/A</v>
        <stp/>
        <stp>BDH|16332931583670752596</stp>
        <tr r="Y46" s="22"/>
      </tp>
      <tp t="e">
        <v>#N/A</v>
        <stp/>
        <stp>BDH|12371528684984880908</stp>
        <tr r="G16" s="22"/>
      </tp>
      <tp t="e">
        <v>#N/A</v>
        <stp/>
        <stp>BDH|11230253856261434587</stp>
        <tr r="U77" s="17"/>
      </tp>
      <tp t="e">
        <v>#N/A</v>
        <stp/>
        <stp>BDH|17786422347166799384</stp>
        <tr r="F18" s="34"/>
      </tp>
      <tp t="e">
        <v>#N/A</v>
        <stp/>
        <stp>BDH|16466975247281140880</stp>
        <tr r="S173" s="18"/>
      </tp>
      <tp t="e">
        <v>#N/A</v>
        <stp/>
        <stp>BDH|15868326294428794549</stp>
        <tr r="W35" s="18"/>
      </tp>
      <tp t="e">
        <v>#N/A</v>
        <stp/>
        <stp>BDH|15724147694426328997</stp>
        <tr r="Y61" s="13"/>
      </tp>
      <tp t="e">
        <v>#N/A</v>
        <stp/>
        <stp>BDH|14842456643697476177</stp>
        <tr r="J21" s="17"/>
      </tp>
      <tp t="e">
        <v>#N/A</v>
        <stp/>
        <stp>BDH|14921250605244665022</stp>
        <tr r="X98" s="12"/>
      </tp>
      <tp t="e">
        <v>#N/A</v>
        <stp/>
        <stp>BDH|17640709222074029484</stp>
        <tr r="L38" s="34"/>
      </tp>
      <tp t="e">
        <v>#N/A</v>
        <stp/>
        <stp>BDH|11662807976268806448</stp>
        <tr r="V20" s="27"/>
      </tp>
      <tp t="e">
        <v>#N/A</v>
        <stp/>
        <stp>BDH|13384413775112304081</stp>
        <tr r="H49" s="13"/>
      </tp>
      <tp t="e">
        <v>#N/A</v>
        <stp/>
        <stp>BDH|11558439510640857625</stp>
        <tr r="V28" s="34"/>
      </tp>
      <tp t="e">
        <v>#N/A</v>
        <stp/>
        <stp>BDH|13886048868172997512</stp>
        <tr r="N48" s="34"/>
      </tp>
      <tp t="e">
        <v>#N/A</v>
        <stp/>
        <stp>BDH|15810578899262915930</stp>
        <tr r="AA62" s="13"/>
      </tp>
      <tp t="e">
        <v>#N/A</v>
        <stp/>
        <stp>BDH|13831956245539726538</stp>
        <tr r="P8" s="28"/>
      </tp>
      <tp t="e">
        <v>#N/A</v>
        <stp/>
        <stp>BDH|11153860825528997170</stp>
        <tr r="F26" s="6"/>
      </tp>
      <tp t="e">
        <v>#N/A</v>
        <stp/>
        <stp>BDH|11262289747565573044</stp>
        <tr r="L121" s="18"/>
      </tp>
      <tp t="e">
        <v>#N/A</v>
        <stp/>
        <stp>BDH|10226965085710484391</stp>
        <tr r="D101" s="18"/>
      </tp>
      <tp t="e">
        <v>#N/A</v>
        <stp/>
        <stp>BDH|15775398140413536371</stp>
        <tr r="T6" s="15"/>
        <tr r="T6" s="10"/>
        <tr r="T11" s="4"/>
        <tr r="T12" s="2"/>
      </tp>
      <tp t="e">
        <v>#N/A</v>
        <stp/>
        <stp>BDH|12994482878717060452</stp>
        <tr r="H6" s="20"/>
        <tr r="H112" s="18"/>
      </tp>
      <tp t="e">
        <v>#N/A</v>
        <stp/>
        <stp>BDH|13602291246691787627</stp>
        <tr r="N32" s="26"/>
      </tp>
      <tp t="e">
        <v>#N/A</v>
        <stp/>
        <stp>BDH|17781949844520998825</stp>
        <tr r="N53" s="17"/>
      </tp>
      <tp t="e">
        <v>#N/A</v>
        <stp/>
        <stp>BDH|12608510528544136329</stp>
        <tr r="P74" s="24"/>
      </tp>
      <tp t="e">
        <v>#N/A</v>
        <stp/>
        <stp>BDH|15669750190429681095</stp>
        <tr r="D69" s="13"/>
      </tp>
      <tp t="e">
        <v>#N/A</v>
        <stp/>
        <stp>BDH|10330577961757056698</stp>
        <tr r="R40" s="21"/>
      </tp>
      <tp t="e">
        <v>#N/A</v>
        <stp/>
        <stp>BDH|13244389754245110230</stp>
        <tr r="AA17" s="30"/>
      </tp>
      <tp t="e">
        <v>#N/A</v>
        <stp/>
        <stp>BDH|12529423159380641148</stp>
        <tr r="I72" s="17"/>
      </tp>
      <tp t="e">
        <v>#N/A</v>
        <stp/>
        <stp>BDH|13269410818661181565</stp>
        <tr r="U28" s="12"/>
      </tp>
      <tp t="e">
        <v>#N/A</v>
        <stp/>
        <stp>BDH|15123953909816033816</stp>
        <tr r="D56" s="6"/>
      </tp>
      <tp t="e">
        <v>#N/A</v>
        <stp/>
        <stp>BDH|12431784361615953488</stp>
        <tr r="P9" s="11"/>
      </tp>
      <tp t="e">
        <v>#N/A</v>
        <stp/>
        <stp>BDH|10308111224779936836</stp>
        <tr r="V42" s="4"/>
      </tp>
      <tp t="e">
        <v>#N/A</v>
        <stp/>
        <stp>BDH|13872857399144034481</stp>
        <tr r="M9" s="20"/>
        <tr r="M115" s="18"/>
      </tp>
      <tp t="e">
        <v>#N/A</v>
        <stp/>
        <stp>BDH|12953394497679373383</stp>
        <tr r="T109" s="18"/>
      </tp>
      <tp t="e">
        <v>#N/A</v>
        <stp/>
        <stp>BDH|16600073849570753031</stp>
        <tr r="V76" s="12"/>
      </tp>
      <tp t="e">
        <v>#N/A</v>
        <stp/>
        <stp>BDH|13854565992604172913</stp>
        <tr r="F15" s="34"/>
      </tp>
      <tp t="e">
        <v>#N/A</v>
        <stp/>
        <stp>BDH|12994229416190537340</stp>
        <tr r="M100" s="12"/>
      </tp>
      <tp t="e">
        <v>#N/A</v>
        <stp/>
        <stp>BDH|11622692610107556366</stp>
        <tr r="G75" s="24"/>
      </tp>
      <tp t="e">
        <v>#N/A</v>
        <stp/>
        <stp>BDH|13790738340474106697</stp>
        <tr r="H27" s="7"/>
      </tp>
      <tp t="e">
        <v>#N/A</v>
        <stp/>
        <stp>BDH|13873773728511877534</stp>
        <tr r="Q30" s="9"/>
      </tp>
      <tp t="e">
        <v>#N/A</v>
        <stp/>
        <stp>BDH|18072298472876170961</stp>
        <tr r="S63" s="21"/>
      </tp>
      <tp t="e">
        <v>#N/A</v>
        <stp/>
        <stp>BDH|12224926477296332885</stp>
        <tr r="D173" s="18"/>
      </tp>
      <tp t="e">
        <v>#N/A</v>
        <stp/>
        <stp>BDH|18406386301298520141</stp>
        <tr r="D13" s="6"/>
      </tp>
      <tp t="e">
        <v>#N/A</v>
        <stp/>
        <stp>BDH|13612385909252961027</stp>
        <tr r="K41" s="21"/>
      </tp>
      <tp t="e">
        <v>#N/A</v>
        <stp/>
        <stp>BDH|13823039029640732399</stp>
        <tr r="G48" s="22"/>
      </tp>
      <tp t="e">
        <v>#N/A</v>
        <stp/>
        <stp>BDH|11748805875658641485</stp>
        <tr r="Q110" s="18"/>
      </tp>
      <tp t="e">
        <v>#N/A</v>
        <stp/>
        <stp>BDH|14271550518146426472</stp>
        <tr r="G119" s="18"/>
        <tr r="G14" s="20"/>
      </tp>
      <tp t="e">
        <v>#N/A</v>
        <stp/>
        <stp>BDH|13811388733914647592</stp>
        <tr r="W35" s="26"/>
        <tr r="T14" s="9"/>
      </tp>
      <tp t="e">
        <v>#N/A</v>
        <stp/>
        <stp>BDH|11731624467111777297</stp>
        <tr r="J69" s="24"/>
      </tp>
      <tp t="e">
        <v>#N/A</v>
        <stp/>
        <stp>BDH|16310366860179956806</stp>
        <tr r="P88" s="17"/>
      </tp>
      <tp t="e">
        <v>#N/A</v>
        <stp/>
        <stp>BDH|16853497448584536001</stp>
        <tr r="X19" s="20"/>
      </tp>
      <tp t="e">
        <v>#N/A</v>
        <stp/>
        <stp>BDH|16732709326097570688</stp>
        <tr r="N16" s="34"/>
      </tp>
      <tp t="e">
        <v>#N/A</v>
        <stp/>
        <stp>BDH|11348307419174510536</stp>
        <tr r="C75" s="24"/>
      </tp>
      <tp t="e">
        <v>#N/A</v>
        <stp/>
        <stp>BDH|18115308179186196854</stp>
        <tr r="C99" s="12"/>
      </tp>
      <tp t="e">
        <v>#N/A</v>
        <stp/>
        <stp>BDH|14025740648257852280</stp>
        <tr r="AA76" s="18"/>
      </tp>
      <tp t="e">
        <v>#N/A</v>
        <stp/>
        <stp>BDH|14906427585249104330</stp>
        <tr r="J42" s="6"/>
      </tp>
      <tp t="e">
        <v>#N/A</v>
        <stp/>
        <stp>BDH|12800175558303309782</stp>
        <tr r="I9" s="6"/>
      </tp>
      <tp t="e">
        <v>#N/A</v>
        <stp/>
        <stp>BDH|15965660899349281189</stp>
        <tr r="V17" s="20"/>
      </tp>
      <tp t="e">
        <v>#N/A</v>
        <stp/>
        <stp>BDH|15205707102475716588</stp>
        <tr r="H52" s="34"/>
      </tp>
      <tp t="e">
        <v>#N/A</v>
        <stp/>
        <stp>BDH|12570068528742153057</stp>
        <tr r="Z80" s="17"/>
      </tp>
      <tp t="e">
        <v>#N/A</v>
        <stp/>
        <stp>BDH|10737781225395295271</stp>
        <tr r="Y47" s="18"/>
      </tp>
      <tp t="e">
        <v>#N/A</v>
        <stp/>
        <stp>BDH|15510360407882394689</stp>
        <tr r="N41" s="29"/>
        <tr r="N18" s="29"/>
      </tp>
      <tp t="e">
        <v>#N/A</v>
        <stp/>
        <stp>BDH|13203792334556192317</stp>
        <tr r="Q9" s="28"/>
      </tp>
      <tp t="e">
        <v>#N/A</v>
        <stp/>
        <stp>BDH|11003587455646012529</stp>
        <tr r="C23" s="20"/>
      </tp>
      <tp t="e">
        <v>#N/A</v>
        <stp/>
        <stp>BDH|14579554106180920309</stp>
        <tr r="E63" s="18"/>
      </tp>
      <tp t="e">
        <v>#N/A</v>
        <stp/>
        <stp>BDH|14809166666971192069</stp>
        <tr r="Y20" s="26"/>
      </tp>
      <tp t="e">
        <v>#N/A</v>
        <stp/>
        <stp>BDH|18415337286156806768</stp>
        <tr r="Q29" s="21"/>
      </tp>
      <tp t="e">
        <v>#N/A</v>
        <stp/>
        <stp>BDH|15446948195397276086</stp>
        <tr r="W52" s="18"/>
      </tp>
      <tp t="e">
        <v>#N/A</v>
        <stp/>
        <stp>BDH|12735499360146208435</stp>
        <tr r="V29" s="12"/>
      </tp>
      <tp t="e">
        <v>#N/A</v>
        <stp/>
        <stp>BDH|17546120353055827438</stp>
        <tr r="E20" s="12"/>
      </tp>
      <tp t="e">
        <v>#N/A</v>
        <stp/>
        <stp>BDH|15638237297469945549</stp>
        <tr r="S68" s="10"/>
        <tr r="S25" s="4"/>
      </tp>
      <tp t="e">
        <v>#N/A</v>
        <stp/>
        <stp>BDH|10599730356255709586</stp>
        <tr r="N7" s="10"/>
      </tp>
      <tp t="e">
        <v>#N/A</v>
        <stp/>
        <stp>BDH|12263722672819477996</stp>
        <tr r="T89" s="18"/>
      </tp>
      <tp t="e">
        <v>#N/A</v>
        <stp/>
        <stp>BDH|13579897393704339439</stp>
        <tr r="L44" s="21"/>
      </tp>
      <tp t="e">
        <v>#N/A</v>
        <stp/>
        <stp>BDH|17088186219192700792</stp>
        <tr r="AA15" s="21"/>
      </tp>
      <tp t="e">
        <v>#N/A</v>
        <stp/>
        <stp>BDH|12196716048136228550</stp>
        <tr r="P29" s="6"/>
      </tp>
      <tp t="e">
        <v>#N/A</v>
        <stp/>
        <stp>BDH|16805751799508999221</stp>
        <tr r="Q9" s="34"/>
      </tp>
      <tp t="e">
        <v>#N/A</v>
        <stp/>
        <stp>BDH|18083770399540572446</stp>
        <tr r="L12" s="14"/>
      </tp>
      <tp t="e">
        <v>#N/A</v>
        <stp/>
        <stp>BDH|14971159145337564438</stp>
        <tr r="U54" s="13"/>
      </tp>
      <tp t="e">
        <v>#N/A</v>
        <stp/>
        <stp>BDH|11826021096698562261</stp>
        <tr r="V8" s="22"/>
      </tp>
      <tp t="e">
        <v>#N/A</v>
        <stp/>
        <stp>BDH|11042726549501363173</stp>
        <tr r="C29" s="17"/>
      </tp>
      <tp t="e">
        <v>#N/A</v>
        <stp/>
        <stp>BDH|10212380458455904147</stp>
        <tr r="O16" s="11"/>
      </tp>
      <tp t="e">
        <v>#N/A</v>
        <stp/>
        <stp>BDH|16249813420098927657</stp>
        <tr r="R173" s="18"/>
      </tp>
      <tp t="e">
        <v>#N/A</v>
        <stp/>
        <stp>BDH|14711657258706561305</stp>
        <tr r="Z36" s="13"/>
        <tr r="X29" s="10"/>
      </tp>
      <tp t="e">
        <v>#N/A</v>
        <stp/>
        <stp>BDH|14997603806897934793</stp>
        <tr r="Y10" s="24"/>
      </tp>
      <tp t="e">
        <v>#N/A</v>
        <stp/>
        <stp>BDH|15821735818083443282</stp>
        <tr r="AA13" s="25"/>
      </tp>
      <tp t="e">
        <v>#N/A</v>
        <stp/>
        <stp>BDH|17711818750170109888</stp>
        <tr r="D10" s="22"/>
      </tp>
      <tp t="e">
        <v>#N/A</v>
        <stp/>
        <stp>BDH|11029207809306260740</stp>
        <tr r="X43" s="21"/>
      </tp>
      <tp t="e">
        <v>#N/A</v>
        <stp/>
        <stp>BDH|14427574019592246070</stp>
        <tr r="T13" s="22"/>
      </tp>
      <tp t="e">
        <v>#N/A</v>
        <stp/>
        <stp>BDH|11187003772030952459</stp>
        <tr r="Q7" s="4"/>
      </tp>
      <tp t="e">
        <v>#N/A</v>
        <stp/>
        <stp>BDH|17569723532180245187</stp>
        <tr r="D43" s="17"/>
      </tp>
      <tp t="e">
        <v>#N/A</v>
        <stp/>
        <stp>BDH|10228679087608437498</stp>
        <tr r="D33" s="13"/>
      </tp>
      <tp t="e">
        <v>#N/A</v>
        <stp/>
        <stp>BDH|16997351066771586001</stp>
        <tr r="W20" s="21"/>
      </tp>
      <tp t="e">
        <v>#N/A</v>
        <stp/>
        <stp>BDH|12027104906151159084</stp>
        <tr r="W23" s="20"/>
      </tp>
      <tp t="e">
        <v>#N/A</v>
        <stp/>
        <stp>BDH|10671583339287147397</stp>
        <tr r="G21" s="22"/>
      </tp>
      <tp t="e">
        <v>#N/A</v>
        <stp/>
        <stp>BDH|14939170901652128512</stp>
        <tr r="P109" s="18"/>
      </tp>
      <tp t="e">
        <v>#N/A</v>
        <stp/>
        <stp>BDH|16529546336486946411</stp>
        <tr r="M18" s="13"/>
      </tp>
      <tp t="e">
        <v>#N/A</v>
        <stp/>
        <stp>BDH|18346057876579916463</stp>
        <tr r="O41" s="26"/>
      </tp>
      <tp t="e">
        <v>#N/A</v>
        <stp/>
        <stp>BDH|10214124920601853072</stp>
        <tr r="R87" s="18"/>
      </tp>
      <tp t="e">
        <v>#N/A</v>
        <stp/>
        <stp>BDH|17620490011188033814</stp>
        <tr r="Z39" s="25"/>
      </tp>
      <tp t="e">
        <v>#N/A</v>
        <stp/>
        <stp>BDH|16408205383948822615</stp>
        <tr r="S46" s="21"/>
      </tp>
      <tp t="e">
        <v>#N/A</v>
        <stp/>
        <stp>BDH|12995639534201015408</stp>
        <tr r="P71" s="12"/>
      </tp>
      <tp t="e">
        <v>#N/A</v>
        <stp/>
        <stp>BDH|16947998297715931103</stp>
        <tr r="L26" s="26"/>
      </tp>
      <tp t="e">
        <v>#N/A</v>
        <stp/>
        <stp>BDH|18077539747903956839</stp>
        <tr r="K140" s="18"/>
      </tp>
      <tp t="e">
        <v>#N/A</v>
        <stp/>
        <stp>BDH|17267713356121998624</stp>
        <tr r="Z32" s="12"/>
      </tp>
      <tp t="e">
        <v>#N/A</v>
        <stp/>
        <stp>BDH|11690335082091975903</stp>
        <tr r="M107" s="18"/>
      </tp>
      <tp t="e">
        <v>#N/A</v>
        <stp/>
        <stp>BDH|13321299942133641406</stp>
        <tr r="O40" s="13"/>
        <tr r="M33" s="10"/>
      </tp>
      <tp t="e">
        <v>#N/A</v>
        <stp/>
        <stp>BDH|15968723505987220726</stp>
        <tr r="H13" s="25"/>
      </tp>
      <tp t="e">
        <v>#N/A</v>
        <stp/>
        <stp>BDH|14563368553528938877</stp>
        <tr r="C24" s="2"/>
      </tp>
      <tp t="e">
        <v>#N/A</v>
        <stp/>
        <stp>BDH|16129481647841608564</stp>
        <tr r="Z32" s="17"/>
      </tp>
      <tp t="e">
        <v>#N/A</v>
        <stp/>
        <stp>BDH|15188505618305393649</stp>
        <tr r="G77" s="12"/>
      </tp>
      <tp t="e">
        <v>#N/A</v>
        <stp/>
        <stp>BDH|10887650635471103672</stp>
        <tr r="R175" s="18"/>
      </tp>
      <tp t="e">
        <v>#N/A</v>
        <stp/>
        <stp>BDH|18241808469134273074</stp>
        <tr r="N53" s="13"/>
      </tp>
      <tp t="e">
        <v>#N/A</v>
        <stp/>
        <stp>BDH|15338777308522154239</stp>
        <tr r="P11" s="20"/>
        <tr r="P116" s="18"/>
      </tp>
      <tp t="e">
        <v>#N/A</v>
        <stp/>
        <stp>BDH|16381541889461512851</stp>
        <tr r="AA54" s="24"/>
      </tp>
      <tp t="e">
        <v>#N/A</v>
        <stp/>
        <stp>BDH|11885213645355279002</stp>
        <tr r="Q45" s="21"/>
      </tp>
      <tp t="e">
        <v>#N/A</v>
        <stp/>
        <stp>BDH|11899386283271992949</stp>
        <tr r="Q49" s="18"/>
      </tp>
      <tp t="e">
        <v>#N/A</v>
        <stp/>
        <stp>BDH|17498287934450046463</stp>
        <tr r="T43" s="29"/>
      </tp>
      <tp t="e">
        <v>#N/A</v>
        <stp/>
        <stp>BDH|11541077214827136594</stp>
        <tr r="L16" s="20"/>
      </tp>
      <tp t="e">
        <v>#N/A</v>
        <stp/>
        <stp>BDH|15939300918563927668</stp>
        <tr r="F43" s="22"/>
      </tp>
      <tp t="e">
        <v>#N/A</v>
        <stp/>
        <stp>BDH|16354591268794882348</stp>
        <tr r="N48" s="17"/>
      </tp>
      <tp t="e">
        <v>#N/A</v>
        <stp/>
        <stp>BDH|13990669460633028217</stp>
        <tr r="Y48" s="17"/>
      </tp>
      <tp t="e">
        <v>#N/A</v>
        <stp/>
        <stp>BDH|12029276588362674873</stp>
        <tr r="X69" s="17"/>
        <tr r="X18" s="3"/>
      </tp>
      <tp t="e">
        <v>#N/A</v>
        <stp/>
        <stp>BDH|10702600169420669260</stp>
        <tr r="C22" s="7"/>
      </tp>
      <tp t="e">
        <v>#N/A</v>
        <stp/>
        <stp>BDH|10154090217041567241</stp>
        <tr r="O99" s="18"/>
      </tp>
      <tp t="e">
        <v>#N/A</v>
        <stp/>
        <stp>BDH|15522727148657275336</stp>
        <tr r="I48" s="13"/>
      </tp>
      <tp t="e">
        <v>#N/A</v>
        <stp/>
        <stp>BDH|16899148071741023335</stp>
        <tr r="W12" s="17"/>
      </tp>
      <tp t="e">
        <v>#N/A</v>
        <stp/>
        <stp>BDH|11709752969414117646</stp>
        <tr r="C9" s="34"/>
      </tp>
      <tp t="e">
        <v>#N/A</v>
        <stp/>
        <stp>BDH|10960072776925755019</stp>
        <tr r="Y71" s="13"/>
      </tp>
      <tp t="e">
        <v>#N/A</v>
        <stp/>
        <stp>BDH|11403529139694488156</stp>
        <tr r="U8" s="34"/>
      </tp>
      <tp t="e">
        <v>#N/A</v>
        <stp/>
        <stp>BDH|12752633882709038783</stp>
        <tr r="P111" s="18"/>
      </tp>
      <tp t="e">
        <v>#N/A</v>
        <stp/>
        <stp>BDH|16529245367410147097</stp>
        <tr r="R39" s="12"/>
      </tp>
      <tp t="e">
        <v>#N/A</v>
        <stp/>
        <stp>BDH|17974836232998413629</stp>
        <tr r="Y42" s="18"/>
      </tp>
      <tp t="e">
        <v>#N/A</v>
        <stp/>
        <stp>BDH|13744310448355301337</stp>
        <tr r="H74" s="18"/>
      </tp>
      <tp t="e">
        <v>#N/A</v>
        <stp/>
        <stp>BDH|17554490163411770666</stp>
        <tr r="E93" s="12"/>
      </tp>
      <tp t="e">
        <v>#N/A</v>
        <stp/>
        <stp>BDH|11157612840664905576</stp>
        <tr r="C49" s="24"/>
      </tp>
      <tp t="e">
        <v>#N/A</v>
        <stp/>
        <stp>BDH|14751730362521074680</stp>
        <tr r="Y35" s="17"/>
      </tp>
      <tp t="e">
        <v>#N/A</v>
        <stp/>
        <stp>BDH|11671180223036420672</stp>
        <tr r="N26" s="25"/>
        <tr r="N56" s="21"/>
      </tp>
      <tp t="e">
        <v>#N/A</v>
        <stp/>
        <stp>BDH|12661217118935079619</stp>
        <tr r="Q45" s="13"/>
        <tr r="O29" s="11"/>
        <tr r="O40" s="10"/>
      </tp>
      <tp t="e">
        <v>#N/A</v>
        <stp/>
        <stp>BDH|16227421169021354740</stp>
        <tr r="L134" s="18"/>
      </tp>
      <tp t="e">
        <v>#N/A</v>
        <stp/>
        <stp>BDH|11720442848246012556</stp>
        <tr r="M29" s="9"/>
      </tp>
      <tp t="e">
        <v>#N/A</v>
        <stp/>
        <stp>BDH|14808313280254261952</stp>
        <tr r="Z53" s="22"/>
      </tp>
      <tp t="e">
        <v>#N/A</v>
        <stp/>
        <stp>BDH|10985951631520108829</stp>
        <tr r="AA45" s="17"/>
      </tp>
      <tp t="e">
        <v>#N/A</v>
        <stp/>
        <stp>BDH|13642694725382271760</stp>
        <tr r="T16" s="18"/>
      </tp>
      <tp t="e">
        <v>#N/A</v>
        <stp/>
        <stp>BDH|18410390947405668827</stp>
        <tr r="O166" s="18"/>
      </tp>
      <tp t="e">
        <v>#N/A</v>
        <stp/>
        <stp>BDH|16285106584685404933</stp>
        <tr r="F27" s="25"/>
        <tr r="D20" s="11"/>
      </tp>
      <tp t="e">
        <v>#N/A</v>
        <stp/>
        <stp>BDH|10754415236891211532</stp>
        <tr r="R82" s="18"/>
      </tp>
      <tp t="e">
        <v>#N/A</v>
        <stp/>
        <stp>BDH|16823488914067012751</stp>
        <tr r="P36" s="21"/>
        <tr r="P24" s="3"/>
      </tp>
      <tp t="e">
        <v>#N/A</v>
        <stp/>
        <stp>BDH|17135451383568080065</stp>
        <tr r="K68" s="24"/>
      </tp>
      <tp t="e">
        <v>#N/A</v>
        <stp/>
        <stp>BDH|13631700255994708650</stp>
        <tr r="H66" s="17"/>
      </tp>
      <tp t="e">
        <v>#N/A</v>
        <stp/>
        <stp>BDH|11378553964083350208</stp>
        <tr r="G14" s="6"/>
      </tp>
      <tp t="e">
        <v>#N/A</v>
        <stp/>
        <stp>BDH|14624189284867820938</stp>
        <tr r="I17" s="12"/>
      </tp>
      <tp t="e">
        <v>#N/A</v>
        <stp/>
        <stp>BDH|11163738373391370332</stp>
        <tr r="D11" s="13"/>
      </tp>
      <tp t="e">
        <v>#N/A</v>
        <stp/>
        <stp>BDH|15778878883700348614</stp>
        <tr r="M43" s="24"/>
      </tp>
      <tp t="e">
        <v>#N/A</v>
        <stp/>
        <stp>BDH|15658219476724804783</stp>
        <tr r="Q17" s="34"/>
      </tp>
      <tp t="e">
        <v>#N/A</v>
        <stp/>
        <stp>BDH|12305528033706741143</stp>
        <tr r="H26" s="29"/>
      </tp>
      <tp t="e">
        <v>#N/A</v>
        <stp/>
        <stp>BDH|11870505922061986425</stp>
        <tr r="R151" s="18"/>
      </tp>
      <tp t="e">
        <v>#N/A</v>
        <stp/>
        <stp>BDH|17290240360790693018</stp>
        <tr r="U63" s="11"/>
        <tr r="U74" s="10"/>
      </tp>
      <tp t="e">
        <v>#N/A</v>
        <stp/>
        <stp>BDH|10463113685553262939</stp>
        <tr r="G71" s="13"/>
      </tp>
      <tp t="e">
        <v>#N/A</v>
        <stp/>
        <stp>BDH|13611257357776691136</stp>
        <tr r="R18" s="17"/>
      </tp>
      <tp t="e">
        <v>#N/A</v>
        <stp/>
        <stp>BDH|16175679953584608227</stp>
        <tr r="AA12" s="21"/>
      </tp>
      <tp t="e">
        <v>#N/A</v>
        <stp/>
        <stp>BDH|16657318661219239950</stp>
        <tr r="K66" s="21"/>
      </tp>
      <tp t="e">
        <v>#N/A</v>
        <stp/>
        <stp>BDH|14365404844056298147</stp>
        <tr r="M21" s="22"/>
      </tp>
      <tp t="e">
        <v>#N/A</v>
        <stp/>
        <stp>BDH|13611510512261016541</stp>
        <tr r="Y22" s="21"/>
      </tp>
      <tp t="e">
        <v>#N/A</v>
        <stp/>
        <stp>BDH|17527837894984370108</stp>
        <tr r="V46" s="21"/>
      </tp>
      <tp t="e">
        <v>#N/A</v>
        <stp/>
        <stp>BDH|12117962851835692810</stp>
        <tr r="R133" s="18"/>
      </tp>
      <tp t="e">
        <v>#N/A</v>
        <stp/>
        <stp>BDH|14990714256636909369</stp>
        <tr r="R57" s="17"/>
      </tp>
      <tp t="e">
        <v>#N/A</v>
        <stp/>
        <stp>BDH|18174666488721607484</stp>
        <tr r="K17" s="20"/>
      </tp>
      <tp t="e">
        <v>#N/A</v>
        <stp/>
        <stp>BDH|12830576381754791889</stp>
        <tr r="J40" s="12"/>
      </tp>
      <tp t="e">
        <v>#N/A</v>
        <stp/>
        <stp>BDH|11937471225790313495</stp>
        <tr r="Q11" s="30"/>
      </tp>
      <tp t="e">
        <v>#N/A</v>
        <stp/>
        <stp>BDH|17311663741670128647</stp>
        <tr r="Q39" s="25"/>
      </tp>
      <tp t="e">
        <v>#N/A</v>
        <stp/>
        <stp>BDH|10303633292299463576</stp>
        <tr r="D20" s="27"/>
      </tp>
      <tp t="e">
        <v>#N/A</v>
        <stp/>
        <stp>BDH|10037341092728343140</stp>
        <tr r="G97" s="18"/>
      </tp>
      <tp t="e">
        <v>#N/A</v>
        <stp/>
        <stp>BDH|10119937104209274353</stp>
        <tr r="F24" s="21"/>
      </tp>
      <tp t="e">
        <v>#N/A</v>
        <stp/>
        <stp>BDH|13559605038326574394</stp>
        <tr r="M89" s="17"/>
      </tp>
      <tp t="e">
        <v>#N/A</v>
        <stp/>
        <stp>BDH|10825352873213925460</stp>
        <tr r="T9" s="18"/>
      </tp>
      <tp t="e">
        <v>#N/A</v>
        <stp/>
        <stp>BDH|13873294736017671604</stp>
        <tr r="M62" s="24"/>
      </tp>
      <tp t="e">
        <v>#N/A</v>
        <stp/>
        <stp>BDH|16570743624488289868</stp>
        <tr r="Y7" s="20"/>
        <tr r="Y113" s="18"/>
      </tp>
      <tp t="e">
        <v>#N/A</v>
        <stp/>
        <stp>BDH|15326367786519461466</stp>
        <tr r="R14" s="23"/>
      </tp>
      <tp t="e">
        <v>#N/A</v>
        <stp/>
        <stp>BDH|12921533860102369086</stp>
        <tr r="F73" s="13"/>
        <tr r="D50" s="11"/>
        <tr r="D61" s="10"/>
        <tr r="D19" s="7"/>
        <tr r="D18" s="4"/>
        <tr r="D20" s="2"/>
      </tp>
      <tp t="e">
        <v>#N/A</v>
        <stp/>
        <stp>BDH|14931099956934237657</stp>
        <tr r="G24" s="29"/>
      </tp>
      <tp t="e">
        <v>#N/A</v>
        <stp/>
        <stp>BDH|10259460737555644143</stp>
        <tr r="M64" s="18"/>
      </tp>
      <tp t="e">
        <v>#N/A</v>
        <stp/>
        <stp>BDH|10528049626874448520</stp>
        <tr r="C29" s="14"/>
      </tp>
      <tp t="e">
        <v>#N/A</v>
        <stp/>
        <stp>BDH|11753767446065539437</stp>
        <tr r="K43" s="11"/>
        <tr r="K54" s="10"/>
        <tr r="M9" s="3"/>
        <tr r="K14" s="7"/>
      </tp>
      <tp t="e">
        <v>#N/A</v>
        <stp/>
        <stp>BDH|14588018217361258700</stp>
        <tr r="F69" s="24"/>
      </tp>
      <tp t="e">
        <v>#N/A</v>
        <stp/>
        <stp>BDH|10223831211043657970</stp>
        <tr r="R18" s="28"/>
        <tr r="R15" s="17"/>
      </tp>
      <tp t="e">
        <v>#N/A</v>
        <stp/>
        <stp>BDH|17538816181221553517</stp>
        <tr r="P20" s="5"/>
      </tp>
      <tp t="e">
        <v>#N/A</v>
        <stp/>
        <stp>BDH|15529570804404211752</stp>
        <tr r="N63" s="21"/>
      </tp>
      <tp t="e">
        <v>#N/A</v>
        <stp/>
        <stp>BDH|16876202631106910210</stp>
        <tr r="V165" s="18"/>
      </tp>
      <tp t="e">
        <v>#N/A</v>
        <stp/>
        <stp>BDH|18408790189030332467</stp>
        <tr r="S11" s="22"/>
      </tp>
      <tp t="e">
        <v>#N/A</v>
        <stp/>
        <stp>BDH|15606560905551466218</stp>
        <tr r="O155" s="18"/>
      </tp>
      <tp t="e">
        <v>#N/A</v>
        <stp/>
        <stp>BDH|15570977702986261924</stp>
        <tr r="AA152" s="18"/>
      </tp>
      <tp t="e">
        <v>#N/A</v>
        <stp/>
        <stp>BDH|14053219750799366926</stp>
        <tr r="T29" s="29"/>
        <tr r="T7" s="29"/>
      </tp>
      <tp t="e">
        <v>#N/A</v>
        <stp/>
        <stp>BDH|15617815871920759913</stp>
        <tr r="T28" s="4"/>
      </tp>
      <tp t="e">
        <v>#N/A</v>
        <stp/>
        <stp>BDH|11045221237917431414</stp>
        <tr r="C23" s="18"/>
      </tp>
      <tp t="e">
        <v>#N/A</v>
        <stp/>
        <stp>BDH|12148872870488112679</stp>
        <tr r="Y26" s="11"/>
        <tr r="Y37" s="10"/>
      </tp>
      <tp t="e">
        <v>#N/A</v>
        <stp/>
        <stp>BDH|12178756879308514989</stp>
        <tr r="N88" s="18"/>
      </tp>
      <tp t="e">
        <v>#N/A</v>
        <stp/>
        <stp>BDH|15626117375953171332</stp>
        <tr r="J28" s="18"/>
      </tp>
      <tp t="e">
        <v>#N/A</v>
        <stp/>
        <stp>BDH|14139345044631089111</stp>
        <tr r="G20" s="29"/>
      </tp>
      <tp t="e">
        <v>#N/A</v>
        <stp/>
        <stp>BDH|10351952546519889782</stp>
        <tr r="Q8" s="28"/>
      </tp>
      <tp t="e">
        <v>#N/A</v>
        <stp/>
        <stp>BDH|15407416940733111548</stp>
        <tr r="U15" s="21"/>
      </tp>
      <tp t="e">
        <v>#N/A</v>
        <stp/>
        <stp>BDH|10591362256323248674</stp>
        <tr r="E48" s="13"/>
      </tp>
      <tp t="e">
        <v>#N/A</v>
        <stp/>
        <stp>BDH|12286036784671115841</stp>
        <tr r="N38" s="34"/>
      </tp>
      <tp t="e">
        <v>#N/A</v>
        <stp/>
        <stp>BDH|16074684339825559541</stp>
        <tr r="Y13" s="20"/>
        <tr r="Y118" s="18"/>
      </tp>
      <tp t="e">
        <v>#N/A</v>
        <stp/>
        <stp>BDH|17939069648280305047</stp>
        <tr r="L36" s="17"/>
      </tp>
      <tp t="e">
        <v>#N/A</v>
        <stp/>
        <stp>BDH|12784910667798672676</stp>
        <tr r="O22" s="6"/>
      </tp>
      <tp t="e">
        <v>#N/A</v>
        <stp/>
        <stp>BDH|13188366702513544001</stp>
        <tr r="W9" s="10"/>
      </tp>
      <tp t="e">
        <v>#N/A</v>
        <stp/>
        <stp>BDH|13233496452892919302</stp>
        <tr r="F22" s="18"/>
      </tp>
      <tp t="e">
        <v>#N/A</v>
        <stp/>
        <stp>BDH|12562719079662977340</stp>
        <tr r="P7" s="4"/>
      </tp>
      <tp t="e">
        <v>#N/A</v>
        <stp/>
        <stp>BDH|17707460180920726865</stp>
        <tr r="L37" s="6"/>
      </tp>
      <tp t="e">
        <v>#N/A</v>
        <stp/>
        <stp>BDH|10088488410927941110</stp>
        <tr r="W34" s="12"/>
      </tp>
      <tp t="e">
        <v>#N/A</v>
        <stp/>
        <stp>BDH|15401668269890344689</stp>
        <tr r="D89" s="17"/>
      </tp>
      <tp t="e">
        <v>#N/A</v>
        <stp/>
        <stp>BDH|12858408999014039813</stp>
        <tr r="I29" s="6"/>
      </tp>
      <tp t="e">
        <v>#N/A</v>
        <stp/>
        <stp>BDH|16501756334096730738</stp>
        <tr r="U79" s="12"/>
      </tp>
      <tp t="e">
        <v>#N/A</v>
        <stp/>
        <stp>BDH|11017261667314764268</stp>
        <tr r="K39" s="24"/>
      </tp>
      <tp t="e">
        <v>#N/A</v>
        <stp/>
        <stp>BDH|10798522830217010255</stp>
        <tr r="G13" s="2"/>
      </tp>
      <tp t="e">
        <v>#N/A</v>
        <stp/>
        <stp>BDH|15823607410802834303</stp>
        <tr r="W33" s="17"/>
      </tp>
      <tp t="e">
        <v>#N/A</v>
        <stp/>
        <stp>BDH|16164348822175645117</stp>
        <tr r="L151" s="18"/>
      </tp>
      <tp t="e">
        <v>#N/A</v>
        <stp/>
        <stp>BDH|15752104619925620389</stp>
        <tr r="Q39" s="21"/>
      </tp>
      <tp t="e">
        <v>#N/A</v>
        <stp/>
        <stp>BDH|14142961185094738255</stp>
        <tr r="E64" s="21"/>
        <tr r="C23" s="7"/>
      </tp>
      <tp t="e">
        <v>#N/A</v>
        <stp/>
        <stp>BDH|14718721058654417195</stp>
        <tr r="F35" s="26"/>
        <tr r="C14" s="9"/>
      </tp>
      <tp t="e">
        <v>#N/A</v>
        <stp/>
        <stp>BDH|17135940922198442734</stp>
        <tr r="H78" s="12"/>
      </tp>
      <tp t="e">
        <v>#N/A</v>
        <stp/>
        <stp>BDH|13951714100342865506</stp>
        <tr r="T32" s="6"/>
      </tp>
      <tp t="e">
        <v>#N/A</v>
        <stp/>
        <stp>BDH|16962747337050255186</stp>
        <tr r="T20" s="21"/>
      </tp>
      <tp t="e">
        <v>#N/A</v>
        <stp/>
        <stp>BDH|10359442974165145520</stp>
        <tr r="G125" s="18"/>
      </tp>
      <tp t="e">
        <v>#N/A</v>
        <stp/>
        <stp>BDH|17174119760891329236</stp>
        <tr r="Y153" s="18"/>
      </tp>
      <tp t="e">
        <v>#N/A</v>
        <stp/>
        <stp>BDH|15250829990922137517</stp>
        <tr r="W43" s="6"/>
      </tp>
      <tp t="e">
        <v>#N/A</v>
        <stp/>
        <stp>BDH|15000504866561300450</stp>
        <tr r="H66" s="13"/>
      </tp>
      <tp t="e">
        <v>#N/A</v>
        <stp/>
        <stp>BDH|14915695934855340779</stp>
        <tr r="Q34" s="6"/>
      </tp>
      <tp t="e">
        <v>#N/A</v>
        <stp/>
        <stp>BDH|17012109250828637862</stp>
        <tr r="I89" s="18"/>
      </tp>
      <tp t="e">
        <v>#N/A</v>
        <stp/>
        <stp>BDH|15191360731845515331</stp>
        <tr r="L25" s="7"/>
      </tp>
      <tp t="e">
        <v>#N/A</v>
        <stp/>
        <stp>BDH|18003228272608166618</stp>
        <tr r="W53" s="22"/>
      </tp>
      <tp t="e">
        <v>#N/A</v>
        <stp/>
        <stp>BDH|17288026375000788326</stp>
        <tr r="H18" s="34"/>
      </tp>
      <tp t="e">
        <v>#N/A</v>
        <stp/>
        <stp>BDH|17662456332291831296</stp>
        <tr r="AA10" s="12"/>
      </tp>
      <tp t="e">
        <v>#N/A</v>
        <stp/>
        <stp>BDH|12471094046645810033</stp>
        <tr r="X25" s="3"/>
      </tp>
      <tp t="e">
        <v>#N/A</v>
        <stp/>
        <stp>BDH|17149347142034618715</stp>
        <tr r="I109" s="18"/>
      </tp>
      <tp t="e">
        <v>#N/A</v>
        <stp/>
        <stp>BDH|17700570418629114990</stp>
        <tr r="Y21" s="18"/>
      </tp>
      <tp t="e">
        <v>#N/A</v>
        <stp/>
        <stp>BDH|14095417831958263827</stp>
        <tr r="E98" s="12"/>
      </tp>
      <tp t="e">
        <v>#N/A</v>
        <stp/>
        <stp>BDH|15724330905724419152</stp>
        <tr r="K89" s="18"/>
      </tp>
      <tp t="e">
        <v>#N/A</v>
        <stp/>
        <stp>BDH|14577998938164698921</stp>
        <tr r="Z17" s="14"/>
      </tp>
      <tp t="e">
        <v>#N/A</v>
        <stp/>
        <stp>BDH|18404025703622463913</stp>
        <tr r="Q175" s="18"/>
      </tp>
      <tp t="e">
        <v>#N/A</v>
        <stp/>
        <stp>BDH|11803579980329661699</stp>
        <tr r="C9" s="13"/>
      </tp>
      <tp t="e">
        <v>#N/A</v>
        <stp/>
        <stp>BDH|10772054222110421145</stp>
        <tr r="L9" s="24"/>
      </tp>
      <tp t="e">
        <v>#N/A</v>
        <stp/>
        <stp>BDH|11310736375177570505</stp>
        <tr r="U21" s="6"/>
      </tp>
      <tp t="e">
        <v>#N/A</v>
        <stp/>
        <stp>BDH|16283560219828512985</stp>
        <tr r="T122" s="18"/>
      </tp>
      <tp t="e">
        <v>#N/A</v>
        <stp/>
        <stp>BDH|13101396244065955257</stp>
        <tr r="C36" s="17"/>
      </tp>
      <tp t="e">
        <v>#N/A</v>
        <stp/>
        <stp>BDH|15538806175149483077</stp>
        <tr r="D73" s="12"/>
      </tp>
      <tp t="e">
        <v>#N/A</v>
        <stp/>
        <stp>BDH|12425749520492500665</stp>
        <tr r="R55" s="24"/>
      </tp>
      <tp t="e">
        <v>#N/A</v>
        <stp/>
        <stp>BDH|15993429489302699873</stp>
        <tr r="Y62" s="18"/>
      </tp>
      <tp t="e">
        <v>#N/A</v>
        <stp/>
        <stp>BDH|11607352816355680500</stp>
        <tr r="V38" s="24"/>
      </tp>
      <tp t="e">
        <v>#N/A</v>
        <stp/>
        <stp>BDH|16060127527467390155</stp>
        <tr r="N44" s="18"/>
      </tp>
      <tp t="e">
        <v>#N/A</v>
        <stp/>
        <stp>BDH|13570670267474780413</stp>
        <tr r="M24" s="17"/>
      </tp>
      <tp t="e">
        <v>#N/A</v>
        <stp/>
        <stp>BDH|17738941406568711519</stp>
        <tr r="Q57" s="6"/>
      </tp>
      <tp t="e">
        <v>#N/A</v>
        <stp/>
        <stp>BDH|18308925218856864524</stp>
        <tr r="X11" s="21"/>
      </tp>
      <tp t="e">
        <v>#N/A</v>
        <stp/>
        <stp>BDH|13771576423274983394</stp>
        <tr r="V45" s="17"/>
      </tp>
      <tp t="e">
        <v>#N/A</v>
        <stp/>
        <stp>BDH|16291615863647678253</stp>
        <tr r="F9" s="18"/>
      </tp>
      <tp t="e">
        <v>#N/A</v>
        <stp/>
        <stp>BDH|11291342452943656719</stp>
        <tr r="E22" s="18"/>
      </tp>
      <tp t="e">
        <v>#N/A</v>
        <stp/>
        <stp>BDH|14606391889549097550</stp>
        <tr r="AA23" s="26"/>
      </tp>
      <tp t="e">
        <v>#N/A</v>
        <stp/>
        <stp>BDH|14108006132831876585</stp>
        <tr r="V26" s="24"/>
      </tp>
      <tp t="e">
        <v>#N/A</v>
        <stp/>
        <stp>BDH|14869082628860315581</stp>
        <tr r="X37" s="18"/>
      </tp>
      <tp t="e">
        <v>#N/A</v>
        <stp/>
        <stp>BDH|16326032577283652124</stp>
        <tr r="D19" s="25"/>
      </tp>
      <tp t="e">
        <v>#N/A</v>
        <stp/>
        <stp>BDH|18259317195453179242</stp>
        <tr r="Y62" s="17"/>
      </tp>
      <tp t="e">
        <v>#N/A</v>
        <stp/>
        <stp>BDH|18298162594220333308</stp>
        <tr r="S20" s="29"/>
      </tp>
      <tp t="e">
        <v>#N/A</v>
        <stp/>
        <stp>BDH|11929151543694408384</stp>
        <tr r="S138" s="18"/>
      </tp>
      <tp t="e">
        <v>#N/A</v>
        <stp/>
        <stp>BDH|15123484228602399218</stp>
        <tr r="F41" s="22"/>
      </tp>
      <tp t="e">
        <v>#N/A</v>
        <stp/>
        <stp>BDH|13718455507601267545</stp>
        <tr r="P49" s="34"/>
      </tp>
      <tp t="e">
        <v>#N/A</v>
        <stp/>
        <stp>BDH|12482659664443232247</stp>
        <tr r="H42" s="17"/>
      </tp>
      <tp t="e">
        <v>#N/A</v>
        <stp/>
        <stp>BDH|11014825708598156284</stp>
        <tr r="Q6" s="16"/>
        <tr r="R6" s="11"/>
        <tr r="T6" s="3"/>
        <tr r="R10" s="4"/>
      </tp>
      <tp t="e">
        <v>#N/A</v>
        <stp/>
        <stp>BDH|11133513177097160756</stp>
        <tr r="E20" s="23"/>
      </tp>
      <tp t="e">
        <v>#N/A</v>
        <stp/>
        <stp>BDH|18302962428250817061</stp>
        <tr r="N73" s="17"/>
      </tp>
      <tp t="e">
        <v>#N/A</v>
        <stp/>
        <stp>BDH|10938790857452646323</stp>
        <tr r="V29" s="21"/>
      </tp>
      <tp t="e">
        <v>#N/A</v>
        <stp/>
        <stp>BDH|11539502590757580939</stp>
        <tr r="M68" s="12"/>
      </tp>
      <tp t="e">
        <v>#N/A</v>
        <stp/>
        <stp>BDH|18195960773771200459</stp>
        <tr r="Q15" s="11"/>
      </tp>
      <tp t="e">
        <v>#N/A</v>
        <stp/>
        <stp>BDH|11130491208324717247</stp>
        <tr r="L15" s="9"/>
      </tp>
      <tp t="e">
        <v>#N/A</v>
        <stp/>
        <stp>BDH|11790125723209283870</stp>
        <tr r="M35" s="12"/>
      </tp>
      <tp t="e">
        <v>#N/A</v>
        <stp/>
        <stp>BDH|11943577445864141799</stp>
        <tr r="AA23" s="18"/>
      </tp>
      <tp t="e">
        <v>#N/A</v>
        <stp/>
        <stp>BDH|14071520593819205209</stp>
        <tr r="U16" s="6"/>
      </tp>
      <tp t="e">
        <v>#N/A</v>
        <stp/>
        <stp>BDH|16960718420309297992</stp>
        <tr r="M99" s="18"/>
      </tp>
      <tp t="e">
        <v>#N/A</v>
        <stp/>
        <stp>BDH|17733012284725574944</stp>
        <tr r="J47" s="21"/>
      </tp>
      <tp t="e">
        <v>#N/A</v>
        <stp/>
        <stp>BDH|15329349401672317768</stp>
        <tr r="V152" s="18"/>
      </tp>
      <tp t="e">
        <v>#N/A</v>
        <stp/>
        <stp>BDH|16843360056796334584</stp>
        <tr r="F6" s="19"/>
        <tr r="F38" s="17"/>
        <tr r="F16" s="3"/>
      </tp>
      <tp t="e">
        <v>#N/A</v>
        <stp/>
        <stp>BDH|11358201652710754552</stp>
        <tr r="M20" s="25"/>
      </tp>
      <tp t="e">
        <v>#N/A</v>
        <stp/>
        <stp>BDH|16435959200029387516</stp>
        <tr r="U16" s="28"/>
        <tr r="U13" s="17"/>
      </tp>
      <tp t="e">
        <v>#N/A</v>
        <stp/>
        <stp>BDH|15844898427098306477</stp>
        <tr r="X55" s="24"/>
      </tp>
      <tp t="e">
        <v>#N/A</v>
        <stp/>
        <stp>BDH|14843060314933169590</stp>
        <tr r="O15" s="25"/>
      </tp>
      <tp t="e">
        <v>#N/A</v>
        <stp/>
        <stp>BDH|10751500645217859588</stp>
        <tr r="I49" s="4"/>
      </tp>
      <tp t="e">
        <v>#N/A</v>
        <stp/>
        <stp>BDH|15012903312766871888</stp>
        <tr r="Y58" s="18"/>
      </tp>
      <tp t="e">
        <v>#N/A</v>
        <stp/>
        <stp>BDH|17405451646525449119</stp>
        <tr r="V38" s="29"/>
        <tr r="V15" s="29"/>
      </tp>
      <tp t="e">
        <v>#N/A</v>
        <stp/>
        <stp>BDH|14685572222009652977</stp>
        <tr r="U84" s="18"/>
      </tp>
      <tp t="e">
        <v>#N/A</v>
        <stp/>
        <stp>BDH|10125672354952907291</stp>
        <tr r="E10" s="34"/>
      </tp>
      <tp t="e">
        <v>#N/A</v>
        <stp/>
        <stp>BDH|17528752206935353673</stp>
        <tr r="K60" s="18"/>
      </tp>
      <tp t="e">
        <v>#N/A</v>
        <stp/>
        <stp>BDH|16664441810140119018</stp>
        <tr r="T99" s="12"/>
      </tp>
      <tp t="e">
        <v>#N/A</v>
        <stp/>
        <stp>BDH|16017066022232696503</stp>
        <tr r="C168" s="18"/>
      </tp>
      <tp t="e">
        <v>#N/A</v>
        <stp/>
        <stp>BDH|16138539250460565556</stp>
        <tr r="Z37" s="17"/>
      </tp>
      <tp t="e">
        <v>#N/A</v>
        <stp/>
        <stp>BDH|10278924721941411975</stp>
        <tr r="F18" s="9"/>
      </tp>
      <tp t="e">
        <v>#N/A</v>
        <stp/>
        <stp>BDH|12733014549126406398</stp>
        <tr r="F92" s="18"/>
      </tp>
      <tp t="e">
        <v>#N/A</v>
        <stp/>
        <stp>BDH|10833322179983763463</stp>
        <tr r="I46" s="24"/>
      </tp>
      <tp t="e">
        <v>#N/A</v>
        <stp/>
        <stp>BDH|10836265199719053159</stp>
        <tr r="T9" s="8"/>
        <tr r="R52" s="6"/>
      </tp>
      <tp t="e">
        <v>#N/A</v>
        <stp/>
        <stp>BDH|14496072761713421243</stp>
        <tr r="L43" s="22"/>
      </tp>
      <tp t="e">
        <v>#N/A</v>
        <stp/>
        <stp>BDH|14482138689138462684</stp>
        <tr r="P19" s="22"/>
      </tp>
      <tp t="e">
        <v>#N/A</v>
        <stp/>
        <stp>BDH|10856250801197937674</stp>
        <tr r="D42" s="24"/>
      </tp>
      <tp t="e">
        <v>#N/A</v>
        <stp/>
        <stp>BDH|13246988022523992832</stp>
        <tr r="W28" s="21"/>
      </tp>
      <tp t="e">
        <v>#N/A</v>
        <stp/>
        <stp>BDH|14804050670303772386</stp>
        <tr r="Z16" s="12"/>
      </tp>
      <tp t="e">
        <v>#N/A</v>
        <stp/>
        <stp>BDH|15258411431156423746</stp>
        <tr r="G46" s="13"/>
        <tr r="E41" s="10"/>
        <tr r="E30" s="11"/>
      </tp>
      <tp t="e">
        <v>#N/A</v>
        <stp/>
        <stp>BDH|11574061440145352323</stp>
        <tr r="H43" s="24"/>
      </tp>
      <tp t="e">
        <v>#N/A</v>
        <stp/>
        <stp>BDH|13731123646317625270</stp>
        <tr r="J26" s="26"/>
      </tp>
      <tp t="e">
        <v>#N/A</v>
        <stp/>
        <stp>BDH|14315067166616526743</stp>
        <tr r="C8" s="23"/>
      </tp>
      <tp t="e">
        <v>#N/A</v>
        <stp/>
        <stp>BDH|10930579945543961109</stp>
        <tr r="V17" s="13"/>
      </tp>
      <tp t="e">
        <v>#N/A</v>
        <stp/>
        <stp>BDH|15243166435411329504</stp>
        <tr r="S49" s="22"/>
      </tp>
      <tp t="e">
        <v>#N/A</v>
        <stp/>
        <stp>BDH|11017771980375040857</stp>
        <tr r="W51" s="34"/>
      </tp>
      <tp t="e">
        <v>#N/A</v>
        <stp/>
        <stp>BDH|15044771865906084104</stp>
        <tr r="H34" s="22"/>
      </tp>
      <tp t="e">
        <v>#N/A</v>
        <stp/>
        <stp>BDH|10473488308474490322</stp>
        <tr r="V142" s="18"/>
      </tp>
      <tp t="e">
        <v>#N/A</v>
        <stp/>
        <stp>BDH|14646195329642242663</stp>
        <tr r="I151" s="18"/>
      </tp>
      <tp t="e">
        <v>#N/A</v>
        <stp/>
        <stp>BDH|13110071117594747546</stp>
        <tr r="AA10" s="26"/>
      </tp>
      <tp t="e">
        <v>#N/A</v>
        <stp/>
        <stp>BDH|15674856636288315545</stp>
        <tr r="H8" s="13"/>
      </tp>
      <tp t="e">
        <v>#N/A</v>
        <stp/>
        <stp>BDH|13206835546625731927</stp>
        <tr r="V20" s="18"/>
      </tp>
      <tp t="e">
        <v>#N/A</v>
        <stp/>
        <stp>BDH|17857220481299925703</stp>
        <tr r="V162" s="18"/>
      </tp>
      <tp t="e">
        <v>#N/A</v>
        <stp/>
        <stp>BDH|16519850921747401870</stp>
        <tr r="L47" s="34"/>
      </tp>
      <tp t="e">
        <v>#N/A</v>
        <stp/>
        <stp>BDH|11505094471825890073</stp>
        <tr r="K50" s="18"/>
      </tp>
      <tp t="e">
        <v>#N/A</v>
        <stp/>
        <stp>BDH|17767431508092855267</stp>
        <tr r="E75" s="12"/>
      </tp>
      <tp t="e">
        <v>#N/A</v>
        <stp/>
        <stp>BDH|11740266935370134377</stp>
        <tr r="V12" s="10"/>
      </tp>
      <tp t="e">
        <v>#N/A</v>
        <stp/>
        <stp>BDH|15110040417526617160</stp>
        <tr r="R23" s="17"/>
      </tp>
      <tp t="e">
        <v>#N/A</v>
        <stp/>
        <stp>BDH|13706023977447124011</stp>
        <tr r="F22" s="26"/>
      </tp>
      <tp t="e">
        <v>#N/A</v>
        <stp/>
        <stp>BDH|11838879420260443898</stp>
        <tr r="X65" s="18"/>
      </tp>
      <tp t="e">
        <v>#N/A</v>
        <stp/>
        <stp>BDH|11357691405471433597</stp>
        <tr r="R44" s="12"/>
      </tp>
      <tp t="e">
        <v>#N/A</v>
        <stp/>
        <stp>BDH|13009102765195719279</stp>
        <tr r="M19" s="6"/>
      </tp>
      <tp t="e">
        <v>#N/A</v>
        <stp/>
        <stp>BDH|11220403064954330400</stp>
        <tr r="U18" s="34"/>
      </tp>
      <tp t="e">
        <v>#N/A</v>
        <stp/>
        <stp>BDH|17924208293599925667</stp>
        <tr r="S18" s="24"/>
      </tp>
      <tp t="e">
        <v>#N/A</v>
        <stp/>
        <stp>BDH|15184916723708244547</stp>
        <tr r="N54" s="17"/>
        <tr r="N17" s="3"/>
      </tp>
      <tp t="e">
        <v>#N/A</v>
        <stp/>
        <stp>BDH|18334138995505620665</stp>
        <tr r="D54" s="12"/>
      </tp>
      <tp t="e">
        <v>#N/A</v>
        <stp/>
        <stp>BDH|13335069314619777832</stp>
        <tr r="D41" s="12"/>
      </tp>
      <tp t="e">
        <v>#N/A</v>
        <stp/>
        <stp>BDH|11274097608942075067</stp>
        <tr r="S6" s="20"/>
        <tr r="S112" s="18"/>
      </tp>
      <tp t="e">
        <v>#N/A</v>
        <stp/>
        <stp>BDH|17850157898919053506</stp>
        <tr r="O8" s="18"/>
      </tp>
      <tp t="e">
        <v>#N/A</v>
        <stp/>
        <stp>BDH|13180543456806594632</stp>
        <tr r="U13" s="10"/>
      </tp>
      <tp t="e">
        <v>#N/A</v>
        <stp/>
        <stp>BDH|13553575181015601808</stp>
        <tr r="X16" s="6"/>
      </tp>
      <tp t="e">
        <v>#N/A</v>
        <stp/>
        <stp>BDH|10961168180582225886</stp>
        <tr r="O16" s="12"/>
      </tp>
      <tp t="e">
        <v>#N/A</v>
        <stp/>
        <stp>BDH|16493763722404598408</stp>
        <tr r="I35" s="26"/>
        <tr r="F14" s="9"/>
      </tp>
      <tp t="e">
        <v>#N/A</v>
        <stp/>
        <stp>BDH|17914878168793094938</stp>
        <tr r="C25" s="13"/>
      </tp>
      <tp t="e">
        <v>#N/A</v>
        <stp/>
        <stp>BDH|16954758995699912255</stp>
        <tr r="Z61" s="17"/>
      </tp>
      <tp t="e">
        <v>#N/A</v>
        <stp/>
        <stp>BDH|12006069466105336265</stp>
        <tr r="G6" s="16"/>
        <tr r="H6" s="11"/>
        <tr r="H10" s="4"/>
        <tr r="J6" s="3"/>
      </tp>
      <tp t="e">
        <v>#N/A</v>
        <stp/>
        <stp>BDH|16386607110185758715</stp>
        <tr r="U38" s="12"/>
      </tp>
      <tp t="e">
        <v>#N/A</v>
        <stp/>
        <stp>BDH|16084816117444239815</stp>
        <tr r="J21" s="9"/>
        <tr r="J23" s="5"/>
      </tp>
      <tp t="e">
        <v>#N/A</v>
        <stp/>
        <stp>BDH|13369361124399193851</stp>
        <tr r="P28" s="22"/>
      </tp>
      <tp t="e">
        <v>#N/A</v>
        <stp/>
        <stp>BDH|14423141925157360337</stp>
        <tr r="AA70" s="13"/>
      </tp>
      <tp t="e">
        <v>#N/A</v>
        <stp/>
        <stp>BDH|12231732854665875682</stp>
        <tr r="S16" s="18"/>
      </tp>
      <tp t="e">
        <v>#N/A</v>
        <stp/>
        <stp>BDH|14281820226234115929</stp>
        <tr r="K64" s="17"/>
      </tp>
      <tp t="e">
        <v>#N/A</v>
        <stp/>
        <stp>BDH|12923337382818997246</stp>
        <tr r="X36" s="13"/>
        <tr r="V29" s="10"/>
      </tp>
      <tp t="e">
        <v>#N/A</v>
        <stp/>
        <stp>BDH|11191049401093250134</stp>
        <tr r="F106" s="18"/>
      </tp>
      <tp t="e">
        <v>#N/A</v>
        <stp/>
        <stp>BDH|17147701942005467222</stp>
        <tr r="G70" s="13"/>
      </tp>
      <tp t="e">
        <v>#N/A</v>
        <stp/>
        <stp>BDH|18094012187592386107</stp>
        <tr r="G31" s="11"/>
        <tr r="G42" s="10"/>
      </tp>
      <tp t="e">
        <v>#N/A</v>
        <stp/>
        <stp>BDH|13530619125140680422</stp>
        <tr r="V9" s="34"/>
      </tp>
      <tp t="e">
        <v>#N/A</v>
        <stp/>
        <stp>BDH|10334321517100316103</stp>
        <tr r="U141" s="18"/>
      </tp>
      <tp t="e">
        <v>#N/A</v>
        <stp/>
        <stp>BDH|13546312633305333517</stp>
        <tr r="L34" s="18"/>
      </tp>
      <tp t="e">
        <v>#N/A</v>
        <stp/>
        <stp>BDH|11592110036988236853</stp>
        <tr r="Z59" s="17"/>
      </tp>
      <tp t="e">
        <v>#N/A</v>
        <stp/>
        <stp>BDH|14619800282482756560</stp>
        <tr r="AA71" s="17"/>
      </tp>
      <tp t="e">
        <v>#N/A</v>
        <stp/>
        <stp>BDH|15543993069150533955</stp>
        <tr r="I23" s="25"/>
      </tp>
      <tp t="e">
        <v>#N/A</v>
        <stp/>
        <stp>BDH|11944703171810988240</stp>
        <tr r="P63" s="12"/>
      </tp>
      <tp t="e">
        <v>#N/A</v>
        <stp/>
        <stp>BDH|17680979590683456705</stp>
        <tr r="N15" s="14"/>
      </tp>
      <tp t="e">
        <v>#N/A</v>
        <stp/>
        <stp>BDH|16581261817977874190</stp>
        <tr r="G17" s="23"/>
      </tp>
      <tp t="e">
        <v>#N/A</v>
        <stp/>
        <stp>BDH|10389501192116761938</stp>
        <tr r="AA30" s="21"/>
      </tp>
      <tp t="e">
        <v>#N/A</v>
        <stp/>
        <stp>BDH|15323998789942135576</stp>
        <tr r="I7" s="24"/>
      </tp>
      <tp t="e">
        <v>#N/A</v>
        <stp/>
        <stp>BDH|11401317080669064001</stp>
        <tr r="V15" s="11"/>
      </tp>
      <tp t="e">
        <v>#N/A</v>
        <stp/>
        <stp>BDH|15654208952399207838</stp>
        <tr r="O45" s="22"/>
      </tp>
      <tp t="e">
        <v>#N/A</v>
        <stp/>
        <stp>BDH|16312922482062302655</stp>
        <tr r="R32" s="6"/>
      </tp>
      <tp t="e">
        <v>#N/A</v>
        <stp/>
        <stp>BDH|17107675125160439022</stp>
        <tr r="AA22" s="22"/>
      </tp>
      <tp t="e">
        <v>#N/A</v>
        <stp/>
        <stp>BDH|12438754170041666024</stp>
        <tr r="E13" s="8"/>
      </tp>
      <tp t="e">
        <v>#N/A</v>
        <stp/>
        <stp>BDH|18024211196222060222</stp>
        <tr r="J158" s="18"/>
      </tp>
      <tp t="e">
        <v>#N/A</v>
        <stp/>
        <stp>BDH|15635452187148143201</stp>
        <tr r="J8" s="29"/>
        <tr r="J30" s="29"/>
      </tp>
      <tp t="e">
        <v>#N/A</v>
        <stp/>
        <stp>BDH|16913794468104548084</stp>
        <tr r="AA71" s="13"/>
      </tp>
      <tp t="e">
        <v>#N/A</v>
        <stp/>
        <stp>BDH|12585958382591191168</stp>
        <tr r="O15" s="9"/>
      </tp>
      <tp t="e">
        <v>#N/A</v>
        <stp/>
        <stp>BDH|17136789740224892345</stp>
        <tr r="P7" s="11"/>
      </tp>
      <tp t="e">
        <v>#N/A</v>
        <stp/>
        <stp>BDH|12854802735803983913</stp>
        <tr r="U65" s="24"/>
      </tp>
      <tp t="e">
        <v>#N/A</v>
        <stp/>
        <stp>BDH|10172389780678880044</stp>
        <tr r="P16" s="29"/>
        <tr r="P39" s="29"/>
      </tp>
      <tp t="e">
        <v>#N/A</v>
        <stp/>
        <stp>BDH|15735025412652229519</stp>
        <tr r="Y41" s="21"/>
      </tp>
      <tp t="e">
        <v>#N/A</v>
        <stp/>
        <stp>BDH|16600221102604759359</stp>
        <tr r="H9" s="30"/>
      </tp>
      <tp t="e">
        <v>#N/A</v>
        <stp/>
        <stp>BDH|11212141398019333398</stp>
        <tr r="F58" s="17"/>
      </tp>
      <tp t="e">
        <v>#N/A</v>
        <stp/>
        <stp>BDH|11671869358737439880</stp>
        <tr r="C6" s="11"/>
        <tr r="C10" s="4"/>
        <tr r="E6" s="3"/>
      </tp>
      <tp t="e">
        <v>#N/A</v>
        <stp/>
        <stp>BDH|14347058046583777034</stp>
        <tr r="X153" s="18"/>
      </tp>
      <tp t="e">
        <v>#N/A</v>
        <stp/>
        <stp>BDH|10302209341020227541</stp>
        <tr r="D94" s="12"/>
      </tp>
      <tp t="e">
        <v>#N/A</v>
        <stp/>
        <stp>BDH|16541585124412523088</stp>
        <tr r="X19" s="28"/>
        <tr r="X16" s="17"/>
      </tp>
      <tp t="e">
        <v>#N/A</v>
        <stp/>
        <stp>BDH|15449284198539325439</stp>
        <tr r="E19" s="6"/>
      </tp>
      <tp t="e">
        <v>#N/A</v>
        <stp/>
        <stp>BDH|16987994762472019867</stp>
        <tr r="J6" s="8"/>
        <tr r="H51" s="6"/>
      </tp>
      <tp t="e">
        <v>#N/A</v>
        <stp/>
        <stp>BDH|14505612030857615565</stp>
        <tr r="C138" s="18"/>
      </tp>
      <tp t="e">
        <v>#N/A</v>
        <stp/>
        <stp>BDH|12859385710364475709</stp>
        <tr r="U76" s="12"/>
      </tp>
      <tp t="e">
        <v>#N/A</v>
        <stp/>
        <stp>BDH|11644266300131774139</stp>
        <tr r="M22" s="4"/>
      </tp>
      <tp t="e">
        <v>#N/A</v>
        <stp/>
        <stp>BDH|15991645411382113392</stp>
        <tr r="N149" s="18"/>
      </tp>
      <tp t="e">
        <v>#N/A</v>
        <stp/>
        <stp>BDH|14378715823174793626</stp>
        <tr r="H19" s="10"/>
      </tp>
      <tp t="e">
        <v>#N/A</v>
        <stp/>
        <stp>BDH|10908341326980755281</stp>
        <tr r="W11" s="6"/>
      </tp>
      <tp t="e">
        <v>#N/A</v>
        <stp/>
        <stp>BDH|15578320300296493370</stp>
        <tr r="K45" s="17"/>
      </tp>
      <tp t="e">
        <v>#N/A</v>
        <stp/>
        <stp>BDH|12446168670584018364</stp>
        <tr r="U48" s="22"/>
      </tp>
      <tp t="e">
        <v>#N/A</v>
        <stp/>
        <stp>BDH|17398159547500012157</stp>
        <tr r="L53" s="34"/>
      </tp>
      <tp t="e">
        <v>#N/A</v>
        <stp/>
        <stp>BDH|17694784958245399315</stp>
        <tr r="H90" s="12"/>
      </tp>
      <tp t="e">
        <v>#N/A</v>
        <stp/>
        <stp>BDH|16429756909377554591</stp>
        <tr r="E87" s="18"/>
      </tp>
      <tp t="e">
        <v>#N/A</v>
        <stp/>
        <stp>BDH|16163448953601288503</stp>
        <tr r="Y13" s="10"/>
      </tp>
      <tp t="e">
        <v>#N/A</v>
        <stp/>
        <stp>BDH|11456773133295373372</stp>
        <tr r="O48" s="24"/>
      </tp>
      <tp t="e">
        <v>#N/A</v>
        <stp/>
        <stp>BDH|14575629071191785756</stp>
        <tr r="O63" s="18"/>
      </tp>
      <tp t="e">
        <v>#N/A</v>
        <stp/>
        <stp>BDH|11224134778626450294</stp>
        <tr r="I32" s="17"/>
      </tp>
      <tp t="e">
        <v>#N/A</v>
        <stp/>
        <stp>BDH|13853046009560205037</stp>
        <tr r="V88" s="12"/>
      </tp>
      <tp t="e">
        <v>#N/A</v>
        <stp/>
        <stp>BDH|10120360641785227107</stp>
        <tr r="W43" s="21"/>
      </tp>
      <tp t="e">
        <v>#N/A</v>
        <stp/>
        <stp>BDH|11537283599938791170</stp>
        <tr r="G19" s="10"/>
      </tp>
      <tp t="e">
        <v>#N/A</v>
        <stp/>
        <stp>BDH|16759863284017719267</stp>
        <tr r="H59" s="18"/>
      </tp>
      <tp t="e">
        <v>#N/A</v>
        <stp/>
        <stp>BDH|10547623673683532155</stp>
        <tr r="V110" s="18"/>
      </tp>
      <tp t="e">
        <v>#N/A</v>
        <stp/>
        <stp>BDH|12566976313379671033</stp>
        <tr r="J16" s="34"/>
      </tp>
      <tp t="e">
        <v>#N/A</v>
        <stp/>
        <stp>BDH|14625732110167141602</stp>
        <tr r="G123" s="18"/>
      </tp>
      <tp t="e">
        <v>#N/A</v>
        <stp/>
        <stp>BDH|13618020936342677102</stp>
        <tr r="R32" s="9"/>
      </tp>
      <tp t="e">
        <v>#N/A</v>
        <stp/>
        <stp>BDH|13701602090327621855</stp>
        <tr r="Y29" s="12"/>
      </tp>
      <tp t="e">
        <v>#N/A</v>
        <stp/>
        <stp>BDH|16244355118700968725</stp>
        <tr r="V22" s="27"/>
      </tp>
      <tp t="e">
        <v>#N/A</v>
        <stp/>
        <stp>BDH|15485648920522220062</stp>
        <tr r="I46" s="6"/>
        <tr r="I19" s="5"/>
      </tp>
      <tp t="e">
        <v>#N/A</v>
        <stp/>
        <stp>BDH|12514421701747320210</stp>
        <tr r="M9" s="21"/>
      </tp>
      <tp t="e">
        <v>#N/A</v>
        <stp/>
        <stp>BDH|15143553545244609331</stp>
        <tr r="G64" s="12"/>
      </tp>
      <tp t="e">
        <v>#N/A</v>
        <stp/>
        <stp>BDH|10027941192063203007</stp>
        <tr r="G11" s="20"/>
        <tr r="G116" s="18"/>
      </tp>
      <tp t="e">
        <v>#N/A</v>
        <stp/>
        <stp>BDH|14796116380879331710</stp>
        <tr r="Q19" s="26"/>
      </tp>
      <tp t="e">
        <v>#N/A</v>
        <stp/>
        <stp>BDH|16896721441936703085</stp>
        <tr r="V16" s="10"/>
      </tp>
      <tp t="e">
        <v>#N/A</v>
        <stp/>
        <stp>BDH|14212009472101558127</stp>
        <tr r="U36" s="12"/>
      </tp>
      <tp t="e">
        <v>#N/A</v>
        <stp/>
        <stp>BDH|11561775556942576266</stp>
        <tr r="Z55" s="24"/>
      </tp>
      <tp t="e">
        <v>#N/A</v>
        <stp/>
        <stp>BDH|18083806702684211773</stp>
        <tr r="R13" s="8"/>
      </tp>
      <tp t="e">
        <v>#N/A</v>
        <stp/>
        <stp>BDH|14884562208490304224</stp>
        <tr r="G40" s="18"/>
      </tp>
      <tp t="e">
        <v>#N/A</v>
        <stp/>
        <stp>BDH|12505265887803057831</stp>
        <tr r="M12" s="18"/>
      </tp>
      <tp t="e">
        <v>#N/A</v>
        <stp/>
        <stp>BDH|17718749980358433301</stp>
        <tr r="G39" s="24"/>
      </tp>
      <tp t="e">
        <v>#N/A</v>
        <stp/>
        <stp>BDH|15119257270254381704</stp>
        <tr r="X7" s="21"/>
      </tp>
      <tp t="e">
        <v>#N/A</v>
        <stp/>
        <stp>BDH|12657391191379968209</stp>
        <tr r="G16" s="28"/>
        <tr r="G13" s="17"/>
      </tp>
      <tp t="e">
        <v>#N/A</v>
        <stp/>
        <stp>BDH|17167321264492088303</stp>
        <tr r="I68" s="13"/>
      </tp>
      <tp t="e">
        <v>#N/A</v>
        <stp/>
        <stp>BDH|12606716961397280735</stp>
        <tr r="X12" s="25"/>
      </tp>
      <tp t="e">
        <v>#N/A</v>
        <stp/>
        <stp>BDH|11787911845386527910</stp>
        <tr r="F34" s="13"/>
        <tr r="D27" s="10"/>
      </tp>
      <tp t="e">
        <v>#N/A</v>
        <stp/>
        <stp>BDH|13507565921954238377</stp>
        <tr r="G49" s="24"/>
      </tp>
      <tp t="e">
        <v>#N/A</v>
        <stp/>
        <stp>BDH|17850081638873623496</stp>
        <tr r="E24" s="24"/>
      </tp>
      <tp t="e">
        <v>#N/A</v>
        <stp/>
        <stp>BDH|18084552388542298489</stp>
        <tr r="L30" s="9"/>
      </tp>
      <tp t="e">
        <v>#N/A</v>
        <stp/>
        <stp>BDH|15156407817845167602</stp>
        <tr r="L8" s="12"/>
      </tp>
      <tp t="e">
        <v>#N/A</v>
        <stp/>
        <stp>BDH|13900830948318759428</stp>
        <tr r="H30" s="22"/>
      </tp>
      <tp t="e">
        <v>#N/A</v>
        <stp/>
        <stp>BDH|17803529705526076785</stp>
        <tr r="T31" s="14"/>
      </tp>
      <tp t="e">
        <v>#N/A</v>
        <stp/>
        <stp>BDH|10634202941806660362</stp>
        <tr r="Q58" s="18"/>
      </tp>
      <tp t="e">
        <v>#N/A</v>
        <stp/>
        <stp>BDH|11867395171785302348</stp>
        <tr r="F82" s="12"/>
      </tp>
      <tp t="e">
        <v>#N/A</v>
        <stp/>
        <stp>BDH|15950069059095466656</stp>
        <tr r="X19" s="13"/>
        <tr r="V65" s="10"/>
        <tr r="V32" s="4"/>
        <tr r="V16" s="2"/>
      </tp>
      <tp t="e">
        <v>#N/A</v>
        <stp/>
        <stp>BDH|10752727231480032739</stp>
        <tr r="Q33" s="12"/>
      </tp>
      <tp t="e">
        <v>#N/A</v>
        <stp/>
        <stp>BDH|12702739461779074925</stp>
        <tr r="X43" s="4"/>
      </tp>
      <tp t="e">
        <v>#N/A</v>
        <stp/>
        <stp>BDH|17212597741512583787</stp>
        <tr r="P84" s="17"/>
        <tr r="N6" s="7"/>
        <tr r="P20" s="3"/>
      </tp>
      <tp t="e">
        <v>#N/A</v>
        <stp/>
        <stp>BDH|10660035615826754402</stp>
        <tr r="Z88" s="17"/>
      </tp>
      <tp t="e">
        <v>#N/A</v>
        <stp/>
        <stp>BDH|10862052730197211787</stp>
        <tr r="N96" s="17"/>
      </tp>
      <tp t="e">
        <v>#N/A</v>
        <stp/>
        <stp>BDH|10818016777733170784</stp>
        <tr r="AA37" s="17"/>
      </tp>
      <tp t="e">
        <v>#N/A</v>
        <stp/>
        <stp>BDH|18208120346146566844</stp>
        <tr r="T57" s="17"/>
      </tp>
      <tp t="e">
        <v>#N/A</v>
        <stp/>
        <stp>BDH|12279137020976386452</stp>
        <tr r="AA21" s="27"/>
      </tp>
      <tp t="e">
        <v>#N/A</v>
        <stp/>
        <stp>BDH|10937105568951744518</stp>
        <tr r="O16" s="24"/>
      </tp>
      <tp t="e">
        <v>#N/A</v>
        <stp/>
        <stp>BDH|14798440052827476124</stp>
        <tr r="W64" s="21"/>
        <tr r="U23" s="7"/>
      </tp>
      <tp t="e">
        <v>#N/A</v>
        <stp/>
        <stp>BDH|12526351373653427605</stp>
        <tr r="Y75" s="18"/>
      </tp>
      <tp t="e">
        <v>#N/A</v>
        <stp/>
        <stp>BDH|13433280341155253385</stp>
        <tr r="D23" s="22"/>
      </tp>
      <tp t="e">
        <v>#N/A</v>
        <stp/>
        <stp>BDH|15562678310847519606</stp>
        <tr r="O61" s="17"/>
      </tp>
      <tp t="e">
        <v>#N/A</v>
        <stp/>
        <stp>BDH|13446548305883746651</stp>
        <tr r="Y87" s="18"/>
      </tp>
      <tp t="e">
        <v>#N/A</v>
        <stp/>
        <stp>BDH|17663298519443437458</stp>
        <tr r="V63" s="13"/>
        <tr r="T49" s="11"/>
        <tr r="T60" s="10"/>
        <tr r="T18" s="7"/>
      </tp>
      <tp t="e">
        <v>#N/A</v>
        <stp/>
        <stp>BDH|17164164661034443757</stp>
        <tr r="V10" s="8"/>
        <tr r="T53" s="6"/>
      </tp>
      <tp t="e">
        <v>#N/A</v>
        <stp/>
        <stp>BDH|15589546616883548152</stp>
        <tr r="G21" s="17"/>
      </tp>
      <tp t="e">
        <v>#N/A</v>
        <stp/>
        <stp>BDH|17948684776135496048</stp>
        <tr r="Z9" s="23"/>
      </tp>
      <tp t="e">
        <v>#N/A</v>
        <stp/>
        <stp>BDH|14475420173764536073</stp>
        <tr r="T20" s="18"/>
      </tp>
      <tp t="e">
        <v>#N/A</v>
        <stp/>
        <stp>BDH|14444982404208662692</stp>
        <tr r="S153" s="18"/>
      </tp>
      <tp t="e">
        <v>#N/A</v>
        <stp/>
        <stp>BDH|11319963595470131262</stp>
        <tr r="U43" s="6"/>
      </tp>
      <tp t="e">
        <v>#N/A</v>
        <stp/>
        <stp>BDH|17795225730876310312</stp>
        <tr r="J10" s="26"/>
      </tp>
      <tp t="e">
        <v>#N/A</v>
        <stp/>
        <stp>BDH|10818454829204127122</stp>
        <tr r="I33" s="12"/>
      </tp>
      <tp t="e">
        <v>#N/A</v>
        <stp/>
        <stp>BDH|14212106254820700368</stp>
        <tr r="Q97" s="18"/>
      </tp>
      <tp t="e">
        <v>#N/A</v>
        <stp/>
        <stp>BDH|16353674667595605022</stp>
        <tr r="W28" s="4"/>
      </tp>
      <tp t="e">
        <v>#N/A</v>
        <stp/>
        <stp>BDH|14903236068317148447</stp>
        <tr r="C29" s="21"/>
      </tp>
      <tp t="e">
        <v>#N/A</v>
        <stp/>
        <stp>BDH|15862046939160152531</stp>
        <tr r="R98" s="18"/>
      </tp>
      <tp t="e">
        <v>#N/A</v>
        <stp/>
        <stp>BDH|12556272781509318276</stp>
        <tr r="AA140" s="18"/>
      </tp>
      <tp t="e">
        <v>#N/A</v>
        <stp/>
        <stp>BDH|18358882250760564693</stp>
        <tr r="X35" s="11"/>
        <tr r="X46" s="10"/>
      </tp>
      <tp t="e">
        <v>#N/A</v>
        <stp/>
        <stp>BDH|13357740251373459157</stp>
        <tr r="G21" s="14"/>
      </tp>
      <tp t="e">
        <v>#N/A</v>
        <stp/>
        <stp>BDH|16504255431931599531</stp>
        <tr r="L44" s="24"/>
      </tp>
      <tp t="e">
        <v>#N/A</v>
        <stp/>
        <stp>BDH|10615398843337822323</stp>
        <tr r="X75" s="12"/>
      </tp>
      <tp t="e">
        <v>#N/A</v>
        <stp/>
        <stp>BDH|16609596077875931276</stp>
        <tr r="Z155" s="18"/>
      </tp>
      <tp t="e">
        <v>#N/A</v>
        <stp/>
        <stp>BDH|10684473222066207370</stp>
        <tr r="D21" s="14"/>
      </tp>
      <tp t="e">
        <v>#N/A</v>
        <stp/>
        <stp>BDH|17062963584827233265</stp>
        <tr r="D12" s="20"/>
        <tr r="D117" s="18"/>
      </tp>
      <tp t="e">
        <v>#N/A</v>
        <stp/>
        <stp>BDH|10325178234926619708</stp>
        <tr r="P32" s="29"/>
        <tr r="N34" s="5"/>
      </tp>
      <tp t="e">
        <v>#N/A</v>
        <stp/>
        <stp>BDH|18360411088856859140</stp>
        <tr r="Q50" s="18"/>
      </tp>
      <tp t="e">
        <v>#N/A</v>
        <stp/>
        <stp>BDH|14527150748433847168</stp>
        <tr r="Q47" s="34"/>
      </tp>
      <tp t="e">
        <v>#N/A</v>
        <stp/>
        <stp>BDH|10078938250059748621</stp>
        <tr r="I44" s="24"/>
      </tp>
      <tp t="e">
        <v>#N/A</v>
        <stp/>
        <stp>BDH|18327725858040868978</stp>
        <tr r="K19" s="17"/>
      </tp>
      <tp t="e">
        <v>#N/A</v>
        <stp/>
        <stp>BDH|12897835094463047394</stp>
        <tr r="C21" s="10"/>
      </tp>
      <tp t="e">
        <v>#N/A</v>
        <stp/>
        <stp>BDH|13702728805491643600</stp>
        <tr r="I10" s="28"/>
      </tp>
      <tp t="e">
        <v>#N/A</v>
        <stp/>
        <stp>BDH|15739280279552812188</stp>
        <tr r="C23" s="12"/>
      </tp>
      <tp t="e">
        <v>#N/A</v>
        <stp/>
        <stp>BDH|13456656266977054710</stp>
        <tr r="U63" s="17"/>
      </tp>
      <tp t="e">
        <v>#N/A</v>
        <stp/>
        <stp>BDH|18000601793783098750</stp>
        <tr r="R6" s="19"/>
        <tr r="R38" s="17"/>
        <tr r="R16" s="3"/>
      </tp>
      <tp t="e">
        <v>#N/A</v>
        <stp/>
        <stp>BDH|10047635018965957142</stp>
        <tr r="V50" s="34"/>
      </tp>
      <tp t="e">
        <v>#N/A</v>
        <stp/>
        <stp>BDH|17687811766098370240</stp>
        <tr r="T35" s="11"/>
        <tr r="T46" s="10"/>
      </tp>
      <tp t="e">
        <v>#N/A</v>
        <stp/>
        <stp>BDH|14258560607587383566</stp>
        <tr r="S6" s="27"/>
      </tp>
      <tp t="e">
        <v>#N/A</v>
        <stp/>
        <stp>BDH|12211860355898440430</stp>
        <tr r="Q47" s="17"/>
      </tp>
      <tp t="e">
        <v>#N/A</v>
        <stp/>
        <stp>BDH|12563308103834192612</stp>
        <tr r="X47" s="24"/>
      </tp>
      <tp t="e">
        <v>#N/A</v>
        <stp/>
        <stp>BDH|18117865402157204418</stp>
        <tr r="P70" s="18"/>
      </tp>
      <tp t="e">
        <v>#N/A</v>
        <stp/>
        <stp>BDH|15487123455980497217</stp>
        <tr r="K49" s="17"/>
      </tp>
      <tp t="e">
        <v>#N/A</v>
        <stp/>
        <stp>BDH|14795731032180724377</stp>
        <tr r="J7" s="30"/>
      </tp>
      <tp t="e">
        <v>#N/A</v>
        <stp/>
        <stp>BDH|12936534025772880414</stp>
        <tr r="O29" s="21"/>
      </tp>
      <tp t="e">
        <v>#N/A</v>
        <stp/>
        <stp>BDH|13166980727073196893</stp>
        <tr r="W8" s="27"/>
      </tp>
      <tp t="e">
        <v>#N/A</v>
        <stp/>
        <stp>BDH|10208765816160141553</stp>
        <tr r="Q55" s="24"/>
      </tp>
      <tp t="e">
        <v>#N/A</v>
        <stp/>
        <stp>BDH|16074340901280152623</stp>
        <tr r="U15" s="24"/>
      </tp>
      <tp t="e">
        <v>#N/A</v>
        <stp/>
        <stp>BDH|13625000273205767245</stp>
        <tr r="W23" s="12"/>
      </tp>
      <tp t="e">
        <v>#N/A</v>
        <stp/>
        <stp>BDH|10622458062031318049</stp>
        <tr r="S44" s="21"/>
      </tp>
      <tp t="e">
        <v>#N/A</v>
        <stp/>
        <stp>BDH|15205627976512854585</stp>
        <tr r="H20" s="22"/>
      </tp>
      <tp t="e">
        <v>#N/A</v>
        <stp/>
        <stp>BDH|18387159386384239643</stp>
        <tr r="F10" s="13"/>
      </tp>
      <tp t="e">
        <v>#N/A</v>
        <stp/>
        <stp>BDH|10544818828448807129</stp>
        <tr r="E52" s="17"/>
      </tp>
      <tp t="e">
        <v>#N/A</v>
        <stp/>
        <stp>BDH|16029300131367284258</stp>
        <tr r="W18" s="14"/>
      </tp>
      <tp t="e">
        <v>#N/A</v>
        <stp/>
        <stp>BDH|15289767708915250483</stp>
        <tr r="M9" s="34"/>
      </tp>
      <tp t="e">
        <v>#N/A</v>
        <stp/>
        <stp>BDH|13568960801878599117</stp>
        <tr r="R22" s="9"/>
      </tp>
      <tp t="e">
        <v>#N/A</v>
        <stp/>
        <stp>BDH|18268079580944623754</stp>
        <tr r="E33" s="6"/>
      </tp>
      <tp t="e">
        <v>#N/A</v>
        <stp/>
        <stp>BDH|15370212865631037317</stp>
        <tr r="AA133" s="18"/>
      </tp>
      <tp t="e">
        <v>#N/A</v>
        <stp/>
        <stp>BDH|14813208155777980721</stp>
        <tr r="AA12" s="12"/>
      </tp>
      <tp t="e">
        <v>#N/A</v>
        <stp/>
        <stp>BDH|14790009605021003647</stp>
        <tr r="K7" s="23"/>
      </tp>
      <tp t="e">
        <v>#N/A</v>
        <stp/>
        <stp>BDH|11125196654446855022</stp>
        <tr r="J34" s="26"/>
      </tp>
      <tp t="e">
        <v>#N/A</v>
        <stp/>
        <stp>BDH|14740762821110287249</stp>
        <tr r="V26" s="11"/>
        <tr r="V37" s="10"/>
      </tp>
      <tp t="e">
        <v>#N/A</v>
        <stp/>
        <stp>BDH|18030058726790596903</stp>
        <tr r="L145" s="18"/>
      </tp>
      <tp t="e">
        <v>#N/A</v>
        <stp/>
        <stp>BDH|10152107818156609595</stp>
        <tr r="I14" s="28"/>
      </tp>
      <tp t="e">
        <v>#N/A</v>
        <stp/>
        <stp>BDH|14109305514090469576</stp>
        <tr r="H17" s="30"/>
      </tp>
      <tp t="e">
        <v>#N/A</v>
        <stp/>
        <stp>BDH|14593116232941869484</stp>
        <tr r="X64" s="24"/>
      </tp>
      <tp t="e">
        <v>#N/A</v>
        <stp/>
        <stp>BDH|17320266043790137214</stp>
        <tr r="U173" s="18"/>
      </tp>
      <tp t="e">
        <v>#N/A</v>
        <stp/>
        <stp>BDH|15650837532039617477</stp>
        <tr r="P25" s="5"/>
      </tp>
      <tp t="e">
        <v>#N/A</v>
        <stp/>
        <stp>BDH|16007068620662938567</stp>
        <tr r="O59" s="17"/>
      </tp>
      <tp t="e">
        <v>#N/A</v>
        <stp/>
        <stp>BDH|13555303324996971712</stp>
        <tr r="M83" s="12"/>
      </tp>
      <tp t="e">
        <v>#N/A</v>
        <stp/>
        <stp>BDH|18202935549486394022</stp>
        <tr r="I32" s="24"/>
      </tp>
      <tp t="e">
        <v>#N/A</v>
        <stp/>
        <stp>BDH|13649195751843530720</stp>
        <tr r="X77" s="18"/>
      </tp>
      <tp t="e">
        <v>#N/A</v>
        <stp/>
        <stp>BDH|10325359748347761304</stp>
        <tr r="I42" s="6"/>
      </tp>
      <tp t="e">
        <v>#N/A</v>
        <stp/>
        <stp>BDH|16818409497269269146</stp>
        <tr r="J60" s="21"/>
        <tr r="H55" s="11"/>
      </tp>
      <tp t="e">
        <v>#N/A</v>
        <stp/>
        <stp>BDH|13929678865328556875</stp>
        <tr r="S64" s="18"/>
      </tp>
      <tp t="e">
        <v>#N/A</v>
        <stp/>
        <stp>BDH|14320120183699384784</stp>
        <tr r="F37" s="13"/>
        <tr r="D30" s="10"/>
      </tp>
      <tp t="e">
        <v>#N/A</v>
        <stp/>
        <stp>BDH|10730587869629824978</stp>
        <tr r="O74" s="18"/>
      </tp>
      <tp t="e">
        <v>#N/A</v>
        <stp/>
        <stp>BDH|15696040935856882361</stp>
        <tr r="AA22" s="30"/>
        <tr r="AA24" s="23"/>
      </tp>
      <tp t="e">
        <v>#N/A</v>
        <stp/>
        <stp>BDH|11369608808351752550</stp>
        <tr r="X57" s="13"/>
        <tr r="V38" s="11"/>
        <tr r="V49" s="10"/>
        <tr r="V53" s="4"/>
        <tr r="V18" s="2"/>
      </tp>
      <tp t="e">
        <v>#N/A</v>
        <stp/>
        <stp>BDH|14363883595990009674</stp>
        <tr r="T50" s="22"/>
      </tp>
      <tp t="e">
        <v>#N/A</v>
        <stp/>
        <stp>BDH|13720729232253765790</stp>
        <tr r="F23" s="29"/>
        <tr r="F37" s="29"/>
        <tr r="F14" s="29"/>
      </tp>
      <tp t="e">
        <v>#N/A</v>
        <stp/>
        <stp>BDH|11839467979932716392</stp>
        <tr r="W72" s="10"/>
      </tp>
      <tp t="e">
        <v>#N/A</v>
        <stp/>
        <stp>BDH|13852462429341720798</stp>
        <tr r="I17" s="9"/>
      </tp>
      <tp t="e">
        <v>#N/A</v>
        <stp/>
        <stp>BDH|18189593262498360007</stp>
        <tr r="C36" s="26"/>
      </tp>
      <tp t="e">
        <v>#N/A</v>
        <stp/>
        <stp>BDH|16370838390264138083</stp>
        <tr r="I76" s="17"/>
      </tp>
      <tp t="e">
        <v>#N/A</v>
        <stp/>
        <stp>BDH|17173419004729958941</stp>
        <tr r="K27" s="22"/>
      </tp>
      <tp t="e">
        <v>#N/A</v>
        <stp/>
        <stp>BDH|16197720925027964762</stp>
        <tr r="AA19" s="18"/>
      </tp>
      <tp t="e">
        <v>#N/A</v>
        <stp/>
        <stp>BDH|12504142311407080693</stp>
        <tr r="Z100" s="12"/>
      </tp>
      <tp t="e">
        <v>#N/A</v>
        <stp/>
        <stp>BDH|12392139597010885965</stp>
        <tr r="AA8" s="28"/>
      </tp>
      <tp t="e">
        <v>#N/A</v>
        <stp/>
        <stp>BDH|17350339667922907378</stp>
        <tr r="N155" s="18"/>
      </tp>
      <tp t="e">
        <v>#N/A</v>
        <stp/>
        <stp>BDH|17793790547616038100</stp>
        <tr r="N20" s="10"/>
      </tp>
      <tp t="e">
        <v>#N/A</v>
        <stp/>
        <stp>BDH|16908535700156692651</stp>
        <tr r="S17" s="23"/>
      </tp>
      <tp t="e">
        <v>#N/A</v>
        <stp/>
        <stp>BDH|17369688576853481602</stp>
        <tr r="Z87" s="17"/>
      </tp>
      <tp t="e">
        <v>#N/A</v>
        <stp/>
        <stp>BDH|11130269756350911514</stp>
        <tr r="L23" s="26"/>
      </tp>
      <tp t="e">
        <v>#N/A</v>
        <stp/>
        <stp>BDH|12735550178207086435</stp>
        <tr r="AA143" s="18"/>
      </tp>
      <tp t="e">
        <v>#N/A</v>
        <stp/>
        <stp>BDH|10254471262652738392</stp>
        <tr r="S68" s="18"/>
      </tp>
      <tp t="e">
        <v>#N/A</v>
        <stp/>
        <stp>BDH|10962023610275667742</stp>
        <tr r="F55" s="12"/>
      </tp>
      <tp t="e">
        <v>#N/A</v>
        <stp/>
        <stp>BDH|13278445263911914358</stp>
        <tr r="D85" s="12"/>
      </tp>
      <tp t="e">
        <v>#N/A</v>
        <stp/>
        <stp>BDH|15647097554942213109</stp>
        <tr r="X146" s="18"/>
      </tp>
      <tp t="e">
        <v>#N/A</v>
        <stp/>
        <stp>BDH|17846021776571731221</stp>
        <tr r="C16" s="26"/>
      </tp>
      <tp t="e">
        <v>#N/A</v>
        <stp/>
        <stp>BDH|14160792511114039507</stp>
        <tr r="W33" s="18"/>
      </tp>
      <tp t="e">
        <v>#N/A</v>
        <stp/>
        <stp>BDH|14439901392105815273</stp>
        <tr r="C22" s="24"/>
      </tp>
      <tp t="e">
        <v>#N/A</v>
        <stp/>
        <stp>BDH|11684680644228783843</stp>
        <tr r="C80" s="18"/>
      </tp>
      <tp t="e">
        <v>#N/A</v>
        <stp/>
        <stp>BDH|16886328035477565232</stp>
        <tr r="T10" s="22"/>
      </tp>
      <tp t="e">
        <v>#N/A</v>
        <stp/>
        <stp>BDH|10134688094984277862</stp>
        <tr r="Z22" s="26"/>
      </tp>
      <tp t="e">
        <v>#N/A</v>
        <stp/>
        <stp>BDH|10209095967482132745</stp>
        <tr r="T58" s="17"/>
      </tp>
      <tp t="e">
        <v>#N/A</v>
        <stp/>
        <stp>BDH|17674089076073299030</stp>
        <tr r="I25" s="5"/>
      </tp>
      <tp t="e">
        <v>#N/A</v>
        <stp/>
        <stp>BDH|14401108882856620894</stp>
        <tr r="Y137" s="18"/>
      </tp>
      <tp t="e">
        <v>#N/A</v>
        <stp/>
        <stp>BDH|12127463977524003692</stp>
        <tr r="K9" s="22"/>
      </tp>
      <tp t="e">
        <v>#N/A</v>
        <stp/>
        <stp>BDH|12657987716439522042</stp>
        <tr r="T10" s="18"/>
      </tp>
      <tp t="e">
        <v>#N/A</v>
        <stp/>
        <stp>BDH|13109048918846577711</stp>
        <tr r="L7" s="23"/>
      </tp>
      <tp t="e">
        <v>#N/A</v>
        <stp/>
        <stp>BDH|10088954193517684494</stp>
        <tr r="X17" s="34"/>
      </tp>
      <tp t="e">
        <v>#N/A</v>
        <stp/>
        <stp>BDH|15246357048714468527</stp>
        <tr r="D17" s="27"/>
        <tr r="D35" s="25"/>
      </tp>
      <tp t="e">
        <v>#N/A</v>
        <stp/>
        <stp>BDH|17706655619270704352</stp>
        <tr r="X57" s="12"/>
      </tp>
      <tp t="e">
        <v>#N/A</v>
        <stp/>
        <stp>BDH|15953033405815124379</stp>
        <tr r="H61" s="11"/>
      </tp>
      <tp t="e">
        <v>#N/A</v>
        <stp/>
        <stp>BDH|13174694432184027134</stp>
        <tr r="D9" s="3"/>
      </tp>
      <tp t="e">
        <v>#N/A</v>
        <stp/>
        <stp>BDH|16955667646171666661</stp>
        <tr r="S6" s="6"/>
      </tp>
      <tp t="e">
        <v>#N/A</v>
        <stp/>
        <stp>BDH|16682381988359623783</stp>
        <tr r="O8" s="24"/>
      </tp>
      <tp t="e">
        <v>#N/A</v>
        <stp/>
        <stp>BDH|13700792772364386472</stp>
        <tr r="Q86" s="17"/>
      </tp>
      <tp t="e">
        <v>#N/A</v>
        <stp/>
        <stp>BDH|11426277491249386094</stp>
        <tr r="P103" s="18"/>
      </tp>
      <tp t="e">
        <v>#N/A</v>
        <stp/>
        <stp>BDH|16453458279582343436</stp>
        <tr r="M58" s="24"/>
      </tp>
      <tp t="e">
        <v>#N/A</v>
        <stp/>
        <stp>BDH|17156527026927545485</stp>
        <tr r="V89" s="18"/>
      </tp>
      <tp t="e">
        <v>#N/A</v>
        <stp/>
        <stp>BDH|11339117432865127597</stp>
        <tr r="U50" s="18"/>
      </tp>
      <tp t="e">
        <v>#N/A</v>
        <stp/>
        <stp>BDH|12181098002429147839</stp>
        <tr r="R16" s="25"/>
      </tp>
      <tp t="e">
        <v>#N/A</v>
        <stp/>
        <stp>BDH|11591981353236253846</stp>
        <tr r="O142" s="18"/>
      </tp>
      <tp t="e">
        <v>#N/A</v>
        <stp/>
        <stp>BDH|15836461012714655729</stp>
        <tr r="K38" s="13"/>
        <tr r="I31" s="10"/>
      </tp>
      <tp t="e">
        <v>#N/A</v>
        <stp/>
        <stp>BDH|11948290413392889330</stp>
        <tr r="U74" s="12"/>
      </tp>
      <tp t="e">
        <v>#N/A</v>
        <stp/>
        <stp>BDH|16776113768482683007</stp>
        <tr r="X88" s="12"/>
      </tp>
      <tp t="e">
        <v>#N/A</v>
        <stp/>
        <stp>BDH|17667087058739813868</stp>
        <tr r="Q41" s="24"/>
      </tp>
      <tp t="e">
        <v>#N/A</v>
        <stp/>
        <stp>BDH|15631487765950265414</stp>
        <tr r="H12" s="7"/>
      </tp>
      <tp t="e">
        <v>#N/A</v>
        <stp/>
        <stp>BDH|17315559895539332180</stp>
        <tr r="H155" s="18"/>
      </tp>
      <tp t="e">
        <v>#N/A</v>
        <stp/>
        <stp>BDH|12133936994989965874</stp>
        <tr r="W15" s="26"/>
      </tp>
      <tp t="e">
        <v>#N/A</v>
        <stp/>
        <stp>BDH|12759293747966269137</stp>
        <tr r="D24" s="5"/>
      </tp>
      <tp t="e">
        <v>#N/A</v>
        <stp/>
        <stp>BDH|10860614563897053422</stp>
        <tr r="O61" s="24"/>
      </tp>
      <tp t="e">
        <v>#N/A</v>
        <stp/>
        <stp>BDH|15915272772682484100</stp>
        <tr r="L152" s="18"/>
      </tp>
      <tp t="e">
        <v>#N/A</v>
        <stp/>
        <stp>BDH|18084176788364662616</stp>
        <tr r="X15" s="34"/>
      </tp>
      <tp t="e">
        <v>#N/A</v>
        <stp/>
        <stp>BDH|11161458780837527999</stp>
        <tr r="X63" s="13"/>
        <tr r="V49" s="11"/>
        <tr r="V60" s="10"/>
        <tr r="V18" s="7"/>
      </tp>
      <tp t="e">
        <v>#N/A</v>
        <stp/>
        <stp>BDH|14215493055434088262</stp>
        <tr r="N55" s="21"/>
      </tp>
      <tp t="e">
        <v>#N/A</v>
        <stp/>
        <stp>BDH|10643524930353494686</stp>
        <tr r="Q22" s="11"/>
      </tp>
      <tp t="e">
        <v>#N/A</v>
        <stp/>
        <stp>BDH|16389298652651981392</stp>
        <tr r="P20" s="14"/>
      </tp>
      <tp t="e">
        <v>#N/A</v>
        <stp/>
        <stp>BDH|13186539222202813501</stp>
        <tr r="C73" s="12"/>
      </tp>
      <tp t="e">
        <v>#N/A</v>
        <stp/>
        <stp>BDH|12299503401960978427</stp>
        <tr r="S16" s="26"/>
      </tp>
      <tp t="e">
        <v>#N/A</v>
        <stp/>
        <stp>BDH|11359391505413770205</stp>
        <tr r="N23" s="22"/>
      </tp>
      <tp t="e">
        <v>#N/A</v>
        <stp/>
        <stp>BDH|11224023128558445842</stp>
        <tr r="O50" s="4"/>
      </tp>
      <tp t="e">
        <v>#N/A</v>
        <stp/>
        <stp>BDH|17767387806453767462</stp>
        <tr r="T35" s="24"/>
      </tp>
      <tp t="e">
        <v>#N/A</v>
        <stp/>
        <stp>BDH|13347877928648343270</stp>
        <tr r="E57" s="17"/>
      </tp>
      <tp t="e">
        <v>#N/A</v>
        <stp/>
        <stp>BDH|12033869004351283881</stp>
        <tr r="K34" s="17"/>
      </tp>
      <tp t="e">
        <v>#N/A</v>
        <stp/>
        <stp>BDH|16551249827086842368</stp>
        <tr r="Q8" s="23"/>
      </tp>
      <tp t="e">
        <v>#N/A</v>
        <stp/>
        <stp>BDH|12827360427109948980</stp>
        <tr r="M47" s="24"/>
      </tp>
      <tp t="e">
        <v>#N/A</v>
        <stp/>
        <stp>BDH|10340744548437621711</stp>
        <tr r="N26" s="13"/>
      </tp>
      <tp t="e">
        <v>#N/A</v>
        <stp/>
        <stp>BDH|14926260552026447611</stp>
        <tr r="N40" s="12"/>
      </tp>
      <tp t="e">
        <v>#N/A</v>
        <stp/>
        <stp>BDH|16514276632757819307</stp>
        <tr r="I8" s="11"/>
      </tp>
      <tp t="e">
        <v>#N/A</v>
        <stp/>
        <stp>BDH|10448307896729916033</stp>
        <tr r="K13" s="5"/>
      </tp>
      <tp t="e">
        <v>#N/A</v>
        <stp/>
        <stp>BDH|11974583360079104882</stp>
        <tr r="O135" s="18"/>
      </tp>
      <tp t="e">
        <v>#N/A</v>
        <stp/>
        <stp>BDH|17937484122572365082</stp>
        <tr r="L14" s="4"/>
      </tp>
      <tp t="e">
        <v>#N/A</v>
        <stp/>
        <stp>BDH|12592390353552793503</stp>
        <tr r="G55" s="21"/>
      </tp>
      <tp t="e">
        <v>#N/A</v>
        <stp/>
        <stp>BDH|15982081141272970019</stp>
        <tr r="C45" s="21"/>
      </tp>
      <tp t="e">
        <v>#N/A</v>
        <stp/>
        <stp>BDH|12252772659677541410</stp>
        <tr r="Y16" s="14"/>
      </tp>
      <tp t="e">
        <v>#N/A</v>
        <stp/>
        <stp>BDH|10055668162972817141</stp>
        <tr r="F71" s="24"/>
      </tp>
      <tp t="e">
        <v>#N/A</v>
        <stp/>
        <stp>BDH|17364044639737281049</stp>
        <tr r="Q93" s="18"/>
      </tp>
      <tp t="e">
        <v>#N/A</v>
        <stp/>
        <stp>BDH|18273874324416342798</stp>
        <tr r="Q19" s="20"/>
      </tp>
      <tp t="e">
        <v>#N/A</v>
        <stp/>
        <stp>BDH|14609425721236690784</stp>
        <tr r="S71" s="18"/>
      </tp>
      <tp t="e">
        <v>#N/A</v>
        <stp/>
        <stp>BDH|14431293020096789111</stp>
        <tr r="K50" s="17"/>
      </tp>
      <tp t="e">
        <v>#N/A</v>
        <stp/>
        <stp>BDH|10982452695227326913</stp>
        <tr r="R39" s="25"/>
      </tp>
      <tp t="e">
        <v>#N/A</v>
        <stp/>
        <stp>BDH|14406811290286684083</stp>
        <tr r="L168" s="18"/>
      </tp>
      <tp t="e">
        <v>#N/A</v>
        <stp/>
        <stp>BDH|12467356753900164787</stp>
        <tr r="Q29" s="18"/>
      </tp>
      <tp t="e">
        <v>#N/A</v>
        <stp/>
        <stp>BDH|14030139156383618080</stp>
        <tr r="R69" s="12"/>
      </tp>
      <tp t="e">
        <v>#N/A</v>
        <stp/>
        <stp>BDH|13899561443009701817</stp>
        <tr r="S71" s="13"/>
      </tp>
      <tp t="e">
        <v>#N/A</v>
        <stp/>
        <stp>BDH|16913598970123826435</stp>
        <tr r="I11" s="24"/>
      </tp>
      <tp t="e">
        <v>#N/A</v>
        <stp/>
        <stp>BDH|17931451924580680251</stp>
        <tr r="I123" s="18"/>
      </tp>
      <tp t="e">
        <v>#N/A</v>
        <stp/>
        <stp>BDH|12931915573057093801</stp>
        <tr r="M15" s="26"/>
      </tp>
      <tp t="e">
        <v>#N/A</v>
        <stp/>
        <stp>BDH|11818681674011953268</stp>
        <tr r="C17" s="14"/>
      </tp>
      <tp t="e">
        <v>#N/A</v>
        <stp/>
        <stp>BDH|10875642097539793574</stp>
        <tr r="W47" s="21"/>
      </tp>
      <tp t="e">
        <v>#N/A</v>
        <stp/>
        <stp>BDH|18067753372939868246</stp>
        <tr r="M95" s="18"/>
      </tp>
      <tp t="e">
        <v>#N/A</v>
        <stp/>
        <stp>BDH|11714154596803664997</stp>
        <tr r="T175" s="18"/>
      </tp>
      <tp t="e">
        <v>#N/A</v>
        <stp/>
        <stp>BDH|14822774295681906883</stp>
        <tr r="E22" s="24"/>
      </tp>
      <tp t="e">
        <v>#N/A</v>
        <stp/>
        <stp>BDH|13918765113353144560</stp>
        <tr r="D32" s="5"/>
      </tp>
      <tp t="e">
        <v>#N/A</v>
        <stp/>
        <stp>BDH|17037597168792865526</stp>
        <tr r="V38" s="12"/>
      </tp>
      <tp t="e">
        <v>#N/A</v>
        <stp/>
        <stp>BDH|11614680666704131626</stp>
        <tr r="Y51" s="13"/>
      </tp>
      <tp t="e">
        <v>#N/A</v>
        <stp/>
        <stp>BDH|10807632431796934084</stp>
        <tr r="L14" s="11"/>
      </tp>
      <tp t="e">
        <v>#N/A</v>
        <stp/>
        <stp>BDH|17674711280819443288</stp>
        <tr r="Q15" s="4"/>
      </tp>
      <tp t="e">
        <v>#N/A</v>
        <stp/>
        <stp>BDH|17357423363357901104</stp>
        <tr r="V27" s="24"/>
      </tp>
      <tp t="e">
        <v>#N/A</v>
        <stp/>
        <stp>BDH|14045158260015655588</stp>
        <tr r="F55" s="24"/>
      </tp>
      <tp t="e">
        <v>#N/A</v>
        <stp/>
        <stp>BDH|11448297326032235020</stp>
        <tr r="P35" s="4"/>
      </tp>
      <tp t="e">
        <v>#N/A</v>
        <stp/>
        <stp>BDH|17153475864461971704</stp>
        <tr r="V33" s="17"/>
      </tp>
      <tp t="e">
        <v>#N/A</v>
        <stp/>
        <stp>BDH|10194101149613214518</stp>
        <tr r="O12" s="12"/>
      </tp>
      <tp t="e">
        <v>#N/A</v>
        <stp/>
        <stp>BDH|12418957680082865227</stp>
        <tr r="Y13" s="22"/>
      </tp>
      <tp t="e">
        <v>#N/A</v>
        <stp/>
        <stp>BDH|16959557565532612440</stp>
        <tr r="S24" s="11"/>
        <tr r="S35" s="10"/>
      </tp>
      <tp t="e">
        <v>#N/A</v>
        <stp/>
        <stp>BDH|16799341559935970680</stp>
        <tr r="AA10" s="28"/>
      </tp>
      <tp t="e">
        <v>#N/A</v>
        <stp/>
        <stp>BDH|12646497437524468276</stp>
        <tr r="S16" s="12"/>
      </tp>
      <tp t="e">
        <v>#N/A</v>
        <stp/>
        <stp>BDH|10322584935165687039</stp>
        <tr r="Q56" s="17"/>
      </tp>
      <tp t="e">
        <v>#N/A</v>
        <stp/>
        <stp>BDH|10651806221918557199</stp>
        <tr r="X23" s="30"/>
        <tr r="X25" s="23"/>
      </tp>
      <tp t="e">
        <v>#N/A</v>
        <stp/>
        <stp>BDH|15777891531279150457</stp>
        <tr r="X62" s="13"/>
      </tp>
      <tp t="e">
        <v>#N/A</v>
        <stp/>
        <stp>BDH|15853063232204714103</stp>
        <tr r="H91" s="18"/>
      </tp>
      <tp t="e">
        <v>#N/A</v>
        <stp/>
        <stp>BDH|11158045127680045094</stp>
        <tr r="Z9" s="25"/>
        <tr r="Z44" s="17"/>
      </tp>
      <tp t="e">
        <v>#N/A</v>
        <stp/>
        <stp>BDH|12018759212730421788</stp>
        <tr r="U31" s="22"/>
      </tp>
      <tp t="e">
        <v>#N/A</v>
        <stp/>
        <stp>BDH|14682789475076660162</stp>
        <tr r="D11" s="24"/>
      </tp>
      <tp t="e">
        <v>#N/A</v>
        <stp/>
        <stp>BDH|17071984263262025906</stp>
        <tr r="Z12" s="26"/>
      </tp>
      <tp t="e">
        <v>#N/A</v>
        <stp/>
        <stp>BDH|16542781451060343744</stp>
        <tr r="P169" s="18"/>
      </tp>
      <tp t="e">
        <v>#N/A</v>
        <stp/>
        <stp>BDH|12172833609481611865</stp>
        <tr r="F62" s="12"/>
      </tp>
      <tp t="e">
        <v>#N/A</v>
        <stp/>
        <stp>BDH|13851700563328437941</stp>
        <tr r="Q10" s="18"/>
      </tp>
      <tp t="e">
        <v>#N/A</v>
        <stp/>
        <stp>BDH|15587737871450956645</stp>
        <tr r="K30" s="21"/>
      </tp>
      <tp t="e">
        <v>#N/A</v>
        <stp/>
        <stp>BDH|11052123435054894455</stp>
        <tr r="M32" s="13"/>
        <tr r="K25" s="10"/>
      </tp>
      <tp t="e">
        <v>#N/A</v>
        <stp/>
        <stp>BDH|15371437227674544488</stp>
        <tr r="Y48" s="12"/>
      </tp>
      <tp t="e">
        <v>#N/A</v>
        <stp/>
        <stp>BDH|18218799122716146823</stp>
        <tr r="H29" s="17"/>
      </tp>
      <tp t="e">
        <v>#N/A</v>
        <stp/>
        <stp>BDH|13217888614638264161</stp>
        <tr r="H122" s="18"/>
      </tp>
      <tp t="e">
        <v>#N/A</v>
        <stp/>
        <stp>BDH|17200695622819446971</stp>
        <tr r="H141" s="18"/>
      </tp>
      <tp t="e">
        <v>#N/A</v>
        <stp/>
        <stp>BDH|17853076352884336547</stp>
        <tr r="H57" s="18"/>
      </tp>
      <tp t="e">
        <v>#N/A</v>
        <stp/>
        <stp>BDH|16817982328287187936</stp>
        <tr r="S41" s="26"/>
      </tp>
      <tp t="e">
        <v>#N/A</v>
        <stp/>
        <stp>BDH|17471391333924215061</stp>
        <tr r="W165" s="18"/>
      </tp>
      <tp t="e">
        <v>#N/A</v>
        <stp/>
        <stp>BDH|15965448176124665176</stp>
        <tr r="G89" s="18"/>
      </tp>
      <tp t="e">
        <v>#N/A</v>
        <stp/>
        <stp>BDH|11709031149813072570</stp>
        <tr r="Z19" s="25"/>
      </tp>
      <tp t="e">
        <v>#N/A</v>
        <stp/>
        <stp>BDH|12910835087990546124</stp>
        <tr r="I12" s="26"/>
      </tp>
      <tp t="e">
        <v>#N/A</v>
        <stp/>
        <stp>BDH|12778381543725454328</stp>
        <tr r="Y6" s="27"/>
      </tp>
      <tp t="e">
        <v>#N/A</v>
        <stp/>
        <stp>BDH|10620026232100598090</stp>
        <tr r="Q15" s="30"/>
      </tp>
      <tp t="e">
        <v>#N/A</v>
        <stp/>
        <stp>BDH|11246689686758150473</stp>
        <tr r="R29" s="9"/>
      </tp>
      <tp t="e">
        <v>#N/A</v>
        <stp/>
        <stp>BDH|13600720158900656200</stp>
        <tr r="I61" s="11"/>
      </tp>
      <tp t="e">
        <v>#N/A</v>
        <stp/>
        <stp>BDH|13967623534444539101</stp>
        <tr r="X14" s="34"/>
      </tp>
      <tp t="e">
        <v>#N/A</v>
        <stp/>
        <stp>BDH|12393698759972887013</stp>
        <tr r="J9" s="18"/>
      </tp>
      <tp t="e">
        <v>#N/A</v>
        <stp/>
        <stp>BDH|11821328141204983183</stp>
        <tr r="N61" s="11"/>
      </tp>
      <tp t="e">
        <v>#N/A</v>
        <stp/>
        <stp>BDH|13738497845631561147</stp>
        <tr r="D26" s="25"/>
        <tr r="D56" s="21"/>
      </tp>
      <tp t="e">
        <v>#N/A</v>
        <stp/>
        <stp>BDH|10311586486928447638</stp>
        <tr r="S39" s="13"/>
        <tr r="Q32" s="10"/>
      </tp>
      <tp t="e">
        <v>#N/A</v>
        <stp/>
        <stp>BDH|13432858507021806949</stp>
        <tr r="P42" s="25"/>
      </tp>
      <tp t="e">
        <v>#N/A</v>
        <stp/>
        <stp>BDH|18011232491289956915</stp>
        <tr r="W16" s="28"/>
        <tr r="W13" s="17"/>
      </tp>
      <tp t="e">
        <v>#N/A</v>
        <stp/>
        <stp>BDH|13413140308469140831</stp>
        <tr r="V31" s="26"/>
      </tp>
      <tp t="e">
        <v>#N/A</v>
        <stp/>
        <stp>BDH|17314160861852876169</stp>
        <tr r="L28" s="12"/>
      </tp>
      <tp t="e">
        <v>#N/A</v>
        <stp/>
        <stp>BDH|17332321617545961356</stp>
        <tr r="G38" s="13"/>
        <tr r="E31" s="10"/>
      </tp>
      <tp t="e">
        <v>#N/A</v>
        <stp/>
        <stp>BDH|12991450048840675181</stp>
        <tr r="Y18" s="17"/>
      </tp>
      <tp t="e">
        <v>#N/A</v>
        <stp/>
        <stp>BDH|14976603745341675407</stp>
        <tr r="G57" s="12"/>
      </tp>
      <tp t="e">
        <v>#N/A</v>
        <stp/>
        <stp>BDH|15190255459503698216</stp>
        <tr r="P45" s="11"/>
        <tr r="P56" s="10"/>
        <tr r="P16" s="7"/>
      </tp>
      <tp t="e">
        <v>#N/A</v>
        <stp/>
        <stp>BDH|14091182637444107149</stp>
        <tr r="Q9" s="29"/>
      </tp>
      <tp t="e">
        <v>#N/A</v>
        <stp/>
        <stp>BDH|14201840770891598997</stp>
        <tr r="O60" s="13"/>
        <tr r="M59" s="10"/>
        <tr r="M48" s="11"/>
        <tr r="M17" s="7"/>
        <tr r="M17" s="4"/>
        <tr r="O10" s="3"/>
      </tp>
      <tp t="e">
        <v>#N/A</v>
        <stp/>
        <stp>BDH|16482387676111992091</stp>
        <tr r="O20" s="27"/>
      </tp>
      <tp t="e">
        <v>#N/A</v>
        <stp/>
        <stp>BDH|11514290553776177347</stp>
        <tr r="C16" s="11"/>
      </tp>
      <tp t="e">
        <v>#N/A</v>
        <stp/>
        <stp>BDH|11463312499891507939</stp>
        <tr r="V21" s="22"/>
      </tp>
      <tp t="e">
        <v>#N/A</v>
        <stp/>
        <stp>BDH|10112397565261065777</stp>
        <tr r="S91" s="17"/>
      </tp>
      <tp t="e">
        <v>#N/A</v>
        <stp/>
        <stp>BDH|15740798308954471587</stp>
        <tr r="R43" s="34"/>
      </tp>
      <tp t="e">
        <v>#N/A</v>
        <stp/>
        <stp>BDH|14839211166150723325</stp>
        <tr r="D11" s="3"/>
      </tp>
      <tp t="e">
        <v>#N/A</v>
        <stp/>
        <stp>BDH|12342748967957815720</stp>
        <tr r="X50" s="4"/>
      </tp>
      <tp t="e">
        <v>#N/A</v>
        <stp/>
        <stp>BDH|16461990744739463173</stp>
        <tr r="L9" s="21"/>
      </tp>
      <tp t="e">
        <v>#N/A</v>
        <stp/>
        <stp>BDH|14380768345054214085</stp>
        <tr r="W76" s="24"/>
      </tp>
      <tp t="e">
        <v>#N/A</v>
        <stp/>
        <stp>BDH|17128815816458867541</stp>
        <tr r="R16" s="6"/>
      </tp>
      <tp t="e">
        <v>#N/A</v>
        <stp/>
        <stp>BDH|17185505539770616230</stp>
        <tr r="T84" s="18"/>
      </tp>
      <tp t="e">
        <v>#N/A</v>
        <stp/>
        <stp>BDH|11989810596853435079</stp>
        <tr r="R78" s="17"/>
        <tr r="O9" s="9"/>
        <tr r="O9" s="5"/>
      </tp>
      <tp t="e">
        <v>#N/A</v>
        <stp/>
        <stp>BDH|13282170633301821333</stp>
        <tr r="M61" s="13"/>
      </tp>
      <tp t="e">
        <v>#N/A</v>
        <stp/>
        <stp>BDH|15168273308581689551</stp>
        <tr r="I52" s="13"/>
      </tp>
      <tp t="e">
        <v>#N/A</v>
        <stp/>
        <stp>BDH|11478300025386497584</stp>
        <tr r="P9" s="25"/>
        <tr r="P44" s="17"/>
      </tp>
      <tp t="e">
        <v>#N/A</v>
        <stp/>
        <stp>BDH|14342972519176875988</stp>
        <tr r="H8" s="6"/>
      </tp>
      <tp t="e">
        <v>#N/A</v>
        <stp/>
        <stp>BDH|13561710428926910386</stp>
        <tr r="R43" s="12"/>
      </tp>
      <tp t="e">
        <v>#N/A</v>
        <stp/>
        <stp>BDH|11295564064009846851</stp>
        <tr r="Q48" s="12"/>
      </tp>
      <tp t="e">
        <v>#N/A</v>
        <stp/>
        <stp>BDH|13820794490939868746</stp>
        <tr r="J8" s="23"/>
      </tp>
      <tp t="e">
        <v>#N/A</v>
        <stp/>
        <stp>BDH|15081790440654598118</stp>
        <tr r="Z15" s="25"/>
      </tp>
      <tp t="e">
        <v>#N/A</v>
        <stp/>
        <stp>BDH|15296587433286162655</stp>
        <tr r="H54" s="12"/>
      </tp>
      <tp t="e">
        <v>#N/A</v>
        <stp/>
        <stp>BDH|15793225108023778774</stp>
        <tr r="Q21" s="18"/>
      </tp>
      <tp t="e">
        <v>#N/A</v>
        <stp/>
        <stp>BDH|12069470486168400588</stp>
        <tr r="D18" s="6"/>
      </tp>
      <tp t="e">
        <v>#N/A</v>
        <stp/>
        <stp>BDH|11287487141125418721</stp>
        <tr r="Q11" s="11"/>
      </tp>
      <tp t="e">
        <v>#N/A</v>
        <stp/>
        <stp>BDH|16694890412699773576</stp>
        <tr r="J27" s="12"/>
      </tp>
      <tp t="e">
        <v>#N/A</v>
        <stp/>
        <stp>BDH|17773081800244192030</stp>
        <tr r="T11" s="21"/>
      </tp>
      <tp t="e">
        <v>#N/A</v>
        <stp/>
        <stp>BDH|16710105444879840965</stp>
        <tr r="O19" s="23"/>
        <tr r="M60" s="11"/>
      </tp>
      <tp t="e">
        <v>#N/A</v>
        <stp/>
        <stp>BDH|15411480005417682520</stp>
        <tr r="C8" s="6"/>
      </tp>
      <tp t="e">
        <v>#N/A</v>
        <stp/>
        <stp>BDH|12870172982241589953</stp>
        <tr r="D156" s="18"/>
      </tp>
      <tp t="e">
        <v>#N/A</v>
        <stp/>
        <stp>BDH|13400346979614489004</stp>
        <tr r="G39" s="25"/>
      </tp>
      <tp t="e">
        <v>#N/A</v>
        <stp/>
        <stp>BDH|11054496326341281504</stp>
        <tr r="C14" s="13"/>
      </tp>
      <tp t="e">
        <v>#N/A</v>
        <stp/>
        <stp>BDH|15711451282653459990</stp>
        <tr r="I131" s="18"/>
      </tp>
      <tp t="e">
        <v>#N/A</v>
        <stp/>
        <stp>BDH|13959182109894099555</stp>
        <tr r="G23" s="9"/>
      </tp>
      <tp t="e">
        <v>#N/A</v>
        <stp/>
        <stp>BDH|10065006604474065791</stp>
        <tr r="S22" s="30"/>
        <tr r="S24" s="23"/>
      </tp>
      <tp t="e">
        <v>#N/A</v>
        <stp/>
        <stp>BDH|11892276282529603169</stp>
        <tr r="T88" s="18"/>
      </tp>
      <tp t="e">
        <v>#N/A</v>
        <stp/>
        <stp>BDH|11966221973524331363</stp>
        <tr r="D24" s="20"/>
      </tp>
      <tp t="e">
        <v>#N/A</v>
        <stp/>
        <stp>BDH|15952427496032264926</stp>
        <tr r="G43" s="18"/>
      </tp>
      <tp t="e">
        <v>#N/A</v>
        <stp/>
        <stp>BDH|12688092536382136058</stp>
        <tr r="D81" s="12"/>
      </tp>
      <tp t="e">
        <v>#N/A</v>
        <stp/>
        <stp>BDH|17394004277957929407</stp>
        <tr r="O65" s="11"/>
        <tr r="O76" s="10"/>
      </tp>
      <tp t="e">
        <v>#N/A</v>
        <stp/>
        <stp>BDH|17828740934660512004</stp>
        <tr r="Q7" s="10"/>
      </tp>
      <tp t="e">
        <v>#N/A</v>
        <stp/>
        <stp>BDH|11615281677157674027</stp>
        <tr r="U51" s="12"/>
      </tp>
      <tp t="e">
        <v>#N/A</v>
        <stp/>
        <stp>BDH|18231811798402414826</stp>
        <tr r="K11" s="18"/>
      </tp>
      <tp t="e">
        <v>#N/A</v>
        <stp/>
        <stp>BDH|15574647868706571010</stp>
        <tr r="P19" s="30"/>
      </tp>
      <tp t="e">
        <v>#N/A</v>
        <stp/>
        <stp>BDH|17906004354591071006</stp>
        <tr r="W21" s="2"/>
      </tp>
      <tp t="e">
        <v>#N/A</v>
        <stp/>
        <stp>BDH|13946994526742809937</stp>
        <tr r="W25" s="5"/>
      </tp>
      <tp t="e">
        <v>#N/A</v>
        <stp/>
        <stp>BDH|11157589663992418334</stp>
        <tr r="M41" s="12"/>
      </tp>
      <tp t="e">
        <v>#N/A</v>
        <stp/>
        <stp>BDH|11439576967279077897</stp>
        <tr r="N19" s="24"/>
      </tp>
      <tp t="e">
        <v>#N/A</v>
        <stp/>
        <stp>BDH|14780361533082895576</stp>
        <tr r="S8" s="18"/>
      </tp>
      <tp t="e">
        <v>#N/A</v>
        <stp/>
        <stp>BDH|11828465192746466950</stp>
        <tr r="H91" s="17"/>
      </tp>
      <tp t="e">
        <v>#N/A</v>
        <stp/>
        <stp>BDH|15219783825481599279</stp>
        <tr r="J22" s="6"/>
      </tp>
      <tp t="e">
        <v>#N/A</v>
        <stp/>
        <stp>BDH|12306917184128907820</stp>
        <tr r="D48" s="24"/>
      </tp>
      <tp t="e">
        <v>#N/A</v>
        <stp/>
        <stp>BDH|12614192841300065433</stp>
        <tr r="N24" s="17"/>
      </tp>
      <tp t="e">
        <v>#N/A</v>
        <stp/>
        <stp>BDH|14330074252134218692</stp>
        <tr r="E11" s="22"/>
      </tp>
      <tp t="e">
        <v>#N/A</v>
        <stp/>
        <stp>BDH|14442103711751014684</stp>
        <tr r="AA61" s="18"/>
      </tp>
      <tp t="e">
        <v>#N/A</v>
        <stp/>
        <stp>BDH|10988104235022419359</stp>
        <tr r="AA71" s="18"/>
      </tp>
      <tp t="e">
        <v>#N/A</v>
        <stp/>
        <stp>BDH|12543373343133532591</stp>
        <tr r="Y8" s="23"/>
      </tp>
      <tp t="e">
        <v>#N/A</v>
        <stp/>
        <stp>BDH|16423538627977412596</stp>
        <tr r="F155" s="18"/>
      </tp>
      <tp t="e">
        <v>#N/A</v>
        <stp/>
        <stp>BDH|11979534515177517169</stp>
        <tr r="Y84" s="18"/>
      </tp>
      <tp t="e">
        <v>#N/A</v>
        <stp/>
        <stp>BDH|13364055983921076997</stp>
        <tr r="N22" s="20"/>
      </tp>
      <tp t="e">
        <v>#N/A</v>
        <stp/>
        <stp>BDH|12725157728143666108</stp>
        <tr r="G63" s="13"/>
        <tr r="E49" s="11"/>
        <tr r="E60" s="10"/>
        <tr r="E18" s="7"/>
      </tp>
      <tp t="e">
        <v>#N/A</v>
        <stp/>
        <stp>BDH|12056958423519260384</stp>
        <tr r="AA134" s="18"/>
      </tp>
      <tp t="e">
        <v>#N/A</v>
        <stp/>
        <stp>BDH|10904208710387459714</stp>
        <tr r="F40" s="24"/>
      </tp>
      <tp t="e">
        <v>#N/A</v>
        <stp/>
        <stp>BDH|11329023978881462416</stp>
        <tr r="W24" s="17"/>
      </tp>
      <tp t="e">
        <v>#N/A</v>
        <stp/>
        <stp>BDH|16082215369107001645</stp>
        <tr r="F50" s="34"/>
      </tp>
      <tp t="e">
        <v>#N/A</v>
        <stp/>
        <stp>BDH|12590386931302170313</stp>
        <tr r="X26" s="17"/>
      </tp>
      <tp t="e">
        <v>#N/A</v>
        <stp/>
        <stp>BDH|15900867993563238429</stp>
        <tr r="Z105" s="18"/>
      </tp>
      <tp t="e">
        <v>#N/A</v>
        <stp/>
        <stp>BDH|12579688945651604224</stp>
        <tr r="Z158" s="18"/>
      </tp>
      <tp t="e">
        <v>#N/A</v>
        <stp/>
        <stp>BDH|17761471707747981725</stp>
        <tr r="X20" s="5"/>
      </tp>
      <tp t="e">
        <v>#N/A</v>
        <stp/>
        <stp>BDH|17576951205399888411</stp>
        <tr r="T58" s="18"/>
      </tp>
      <tp t="e">
        <v>#N/A</v>
        <stp/>
        <stp>BDH|17400154568011384260</stp>
        <tr r="X174" s="18"/>
      </tp>
      <tp t="e">
        <v>#N/A</v>
        <stp/>
        <stp>BDH|17794372744655096688</stp>
        <tr r="W17" s="6"/>
      </tp>
      <tp t="e">
        <v>#N/A</v>
        <stp/>
        <stp>BDH|14365630728507027442</stp>
        <tr r="E19" s="24"/>
      </tp>
      <tp t="e">
        <v>#N/A</v>
        <stp/>
        <stp>BDH|12128426933557566194</stp>
        <tr r="M13" s="23"/>
        <tr r="K58" s="11"/>
        <tr r="K38" s="4"/>
      </tp>
      <tp t="e">
        <v>#N/A</v>
        <stp/>
        <stp>BDH|10084538105446947032</stp>
        <tr r="H69" s="17"/>
        <tr r="H18" s="3"/>
      </tp>
      <tp t="e">
        <v>#N/A</v>
        <stp/>
        <stp>BDH|12823443710974593053</stp>
        <tr r="P14" s="23"/>
      </tp>
      <tp t="e">
        <v>#N/A</v>
        <stp/>
        <stp>BDH|14107522645672846422</stp>
        <tr r="C22" s="11"/>
      </tp>
      <tp t="e">
        <v>#N/A</v>
        <stp/>
        <stp>BDH|16351516519355102462</stp>
        <tr r="J16" s="12"/>
      </tp>
      <tp t="e">
        <v>#N/A</v>
        <stp/>
        <stp>BDH|14687034769032598354</stp>
        <tr r="T44" s="13"/>
        <tr r="R36" s="11"/>
        <tr r="R47" s="10"/>
        <tr r="T8" s="3"/>
        <tr r="R52" s="4"/>
      </tp>
      <tp t="e">
        <v>#N/A</v>
        <stp/>
        <stp>BDH|17662696047901406708</stp>
        <tr r="D19" s="28"/>
        <tr r="D16" s="17"/>
      </tp>
      <tp t="e">
        <v>#N/A</v>
        <stp/>
        <stp>BDH|15650381603433838693</stp>
        <tr r="G62" s="21"/>
      </tp>
      <tp t="e">
        <v>#N/A</v>
        <stp/>
        <stp>BDH|15552608771213103498</stp>
        <tr r="W10" s="10"/>
      </tp>
      <tp t="e">
        <v>#N/A</v>
        <stp/>
        <stp>BDH|13636456018210137563</stp>
        <tr r="G11" s="7"/>
      </tp>
      <tp t="e">
        <v>#N/A</v>
        <stp/>
        <stp>BDH|14747143572054817551</stp>
        <tr r="J51" s="13"/>
      </tp>
      <tp t="e">
        <v>#N/A</v>
        <stp/>
        <stp>BDH|10864621873034766627</stp>
        <tr r="K20" s="14"/>
      </tp>
      <tp t="e">
        <v>#N/A</v>
        <stp/>
        <stp>BDH|17440636735155815464</stp>
        <tr r="C13" s="5"/>
      </tp>
      <tp t="e">
        <v>#N/A</v>
        <stp/>
        <stp>BDH|11893749620821567658</stp>
        <tr r="L69" s="10"/>
        <tr r="L39" s="4"/>
      </tp>
      <tp t="e">
        <v>#N/A</v>
        <stp/>
        <stp>BDH|17067219549835103751</stp>
        <tr r="W21" s="20"/>
      </tp>
      <tp t="e">
        <v>#N/A</v>
        <stp/>
        <stp>BDH|13240789310545051368</stp>
        <tr r="T50" s="18"/>
      </tp>
      <tp t="e">
        <v>#N/A</v>
        <stp/>
        <stp>BDH|13998319857364738244</stp>
        <tr r="U40" s="13"/>
        <tr r="S33" s="10"/>
      </tp>
      <tp t="e">
        <v>#N/A</v>
        <stp/>
        <stp>BDH|15241388062057302478</stp>
        <tr r="J18" s="6"/>
      </tp>
      <tp t="e">
        <v>#N/A</v>
        <stp/>
        <stp>BDH|15522888395701350643</stp>
        <tr r="X97" s="18"/>
      </tp>
      <tp t="e">
        <v>#N/A</v>
        <stp/>
        <stp>BDH|11763219118531517041</stp>
        <tr r="J25" s="18"/>
      </tp>
      <tp t="e">
        <v>#N/A</v>
        <stp/>
        <stp>BDH|12088571658594405546</stp>
        <tr r="R52" s="18"/>
      </tp>
      <tp t="e">
        <v>#N/A</v>
        <stp/>
        <stp>BDH|12364983803628125068</stp>
        <tr r="U41" s="24"/>
      </tp>
      <tp t="e">
        <v>#N/A</v>
        <stp/>
        <stp>BDH|12753251237530903038</stp>
        <tr r="N18" s="28"/>
        <tr r="N15" s="17"/>
      </tp>
      <tp t="e">
        <v>#N/A</v>
        <stp/>
        <stp>BDH|11995170694649604336</stp>
        <tr r="M29" s="4"/>
      </tp>
      <tp t="e">
        <v>#N/A</v>
        <stp/>
        <stp>BDH|13658147028160385363</stp>
        <tr r="R170" s="18"/>
      </tp>
      <tp t="e">
        <v>#N/A</v>
        <stp/>
        <stp>BDH|14986771835581434207</stp>
        <tr r="AA36" s="26"/>
      </tp>
      <tp t="e">
        <v>#N/A</v>
        <stp/>
        <stp>BDH|17726585104987684629</stp>
        <tr r="P69" s="17"/>
        <tr r="P18" s="3"/>
      </tp>
      <tp t="e">
        <v>#N/A</v>
        <stp/>
        <stp>BDH|14572088161546300705</stp>
        <tr r="C17" s="6"/>
      </tp>
      <tp t="e">
        <v>#N/A</v>
        <stp/>
        <stp>BDH|17431183057879372971</stp>
        <tr r="I80" s="17"/>
      </tp>
      <tp t="e">
        <v>#N/A</v>
        <stp/>
        <stp>BDH|16838321111742580510</stp>
        <tr r="E20" s="24"/>
      </tp>
      <tp t="e">
        <v>#N/A</v>
        <stp/>
        <stp>BDH|16153168639164548345</stp>
        <tr r="H75" s="18"/>
      </tp>
      <tp t="e">
        <v>#N/A</v>
        <stp/>
        <stp>BDH|13703751365010145198</stp>
        <tr r="M70" s="17"/>
        <tr r="J8" s="9"/>
        <tr r="J8" s="5"/>
      </tp>
      <tp t="e">
        <v>#N/A</v>
        <stp/>
        <stp>BDH|14592533190738895318</stp>
        <tr r="T40" s="18"/>
      </tp>
      <tp t="e">
        <v>#N/A</v>
        <stp/>
        <stp>BDH|13319489814957654268</stp>
        <tr r="L17" s="24"/>
      </tp>
      <tp t="e">
        <v>#N/A</v>
        <stp/>
        <stp>BDH|10289680670957289575</stp>
        <tr r="C54" s="18"/>
      </tp>
      <tp t="e">
        <v>#N/A</v>
        <stp/>
        <stp>BDH|16299861644031680893</stp>
        <tr r="V39" s="25"/>
      </tp>
      <tp t="e">
        <v>#N/A</v>
        <stp/>
        <stp>BDH|17945200571281423037</stp>
        <tr r="F22" s="17"/>
        <tr r="F15" s="3"/>
      </tp>
      <tp t="e">
        <v>#N/A</v>
        <stp/>
        <stp>BDH|17890754433635106508</stp>
        <tr r="S159" s="18"/>
      </tp>
      <tp t="e">
        <v>#N/A</v>
        <stp/>
        <stp>BDH|15880157775920510025</stp>
        <tr r="K15" s="30"/>
      </tp>
      <tp t="e">
        <v>#N/A</v>
        <stp/>
        <stp>BDH|12023055859527700343</stp>
        <tr r="Y20" s="22"/>
      </tp>
      <tp t="e">
        <v>#N/A</v>
        <stp/>
        <stp>BDH|11833104325091509077</stp>
        <tr r="K8" s="20"/>
        <tr r="K114" s="18"/>
      </tp>
      <tp t="e">
        <v>#N/A</v>
        <stp/>
        <stp>BDH|13645968100638784182</stp>
        <tr r="E56" s="6"/>
      </tp>
      <tp t="e">
        <v>#N/A</v>
        <stp/>
        <stp>BDH|13141793339741738594</stp>
        <tr r="R155" s="18"/>
      </tp>
      <tp t="e">
        <v>#N/A</v>
        <stp/>
        <stp>BDH|11860507806294274333</stp>
        <tr r="S9" s="22"/>
      </tp>
      <tp t="e">
        <v>#N/A</v>
        <stp/>
        <stp>BDH|15239654759125889099</stp>
        <tr r="Y12" s="25"/>
      </tp>
      <tp t="e">
        <v>#N/A</v>
        <stp/>
        <stp>BDH|11847742196725077951</stp>
        <tr r="V62" s="24"/>
      </tp>
      <tp t="e">
        <v>#N/A</v>
        <stp/>
        <stp>BDH|14799049801073404496</stp>
        <tr r="C145" s="18"/>
      </tp>
      <tp t="e">
        <v>#N/A</v>
        <stp/>
        <stp>BDH|11443097016871072249</stp>
        <tr r="Q41" s="12"/>
      </tp>
      <tp t="e">
        <v>#N/A</v>
        <stp/>
        <stp>BDH|18109184710872494921</stp>
        <tr r="S24" s="10"/>
      </tp>
      <tp t="e">
        <v>#N/A</v>
        <stp/>
        <stp>BDH|11729019734452485393</stp>
        <tr r="J35" s="11"/>
        <tr r="J46" s="10"/>
      </tp>
      <tp t="e">
        <v>#N/A</v>
        <stp/>
        <stp>BDH|12102616351562923075</stp>
        <tr r="G32" s="17"/>
      </tp>
      <tp t="e">
        <v>#N/A</v>
        <stp/>
        <stp>BDH|15930074233355221002</stp>
        <tr r="X12" s="7"/>
      </tp>
      <tp t="e">
        <v>#N/A</v>
        <stp/>
        <stp>BDH|11235106213890835275</stp>
        <tr r="V48" s="18"/>
      </tp>
      <tp t="e">
        <v>#N/A</v>
        <stp/>
        <stp>BDH|18340812910590914259</stp>
        <tr r="Z13" s="23"/>
        <tr r="X58" s="11"/>
        <tr r="X38" s="4"/>
      </tp>
      <tp t="e">
        <v>#N/A</v>
        <stp/>
        <stp>BDH|11452993319538283280</stp>
        <tr r="C68" s="18"/>
      </tp>
      <tp t="e">
        <v>#N/A</v>
        <stp/>
        <stp>BDH|17386727842997487095</stp>
        <tr r="J56" s="17"/>
      </tp>
      <tp t="e">
        <v>#N/A</v>
        <stp/>
        <stp>BDH|16079793739847678680</stp>
        <tr r="M85" s="18"/>
      </tp>
      <tp t="e">
        <v>#N/A</v>
        <stp/>
        <stp>BDH|12113727840405987740</stp>
        <tr r="E36" s="26"/>
      </tp>
      <tp t="e">
        <v>#N/A</v>
        <stp/>
        <stp>BDH|15678125519875212311</stp>
        <tr r="K7" s="28"/>
      </tp>
      <tp t="e">
        <v>#N/A</v>
        <stp/>
        <stp>BDH|14956733091908122147</stp>
        <tr r="L25" s="24"/>
      </tp>
      <tp t="e">
        <v>#N/A</v>
        <stp/>
        <stp>BDH|12896006454143529775</stp>
        <tr r="Z25" s="17"/>
      </tp>
      <tp t="e">
        <v>#N/A</v>
        <stp/>
        <stp>BDH|11818321570323781532</stp>
        <tr r="U151" s="18"/>
      </tp>
      <tp t="e">
        <v>#N/A</v>
        <stp/>
        <stp>BDH|11827467226004680004</stp>
        <tr r="X42" s="22"/>
      </tp>
      <tp t="e">
        <v>#N/A</v>
        <stp/>
        <stp>BDH|11571990791921540363</stp>
        <tr r="T15" s="25"/>
      </tp>
      <tp t="e">
        <v>#N/A</v>
        <stp/>
        <stp>BDH|14204083571067536709</stp>
        <tr r="G59" s="12"/>
      </tp>
      <tp t="e">
        <v>#N/A</v>
        <stp/>
        <stp>BDH|10044960945118941649</stp>
        <tr r="M66" s="12"/>
      </tp>
      <tp t="e">
        <v>#N/A</v>
        <stp/>
        <stp>BDH|17281641659396227130</stp>
        <tr r="G10" s="21"/>
      </tp>
      <tp t="e">
        <v>#N/A</v>
        <stp/>
        <stp>BDH|13577370252137883166</stp>
        <tr r="Q13" s="21"/>
      </tp>
      <tp t="e">
        <v>#N/A</v>
        <stp/>
        <stp>BDH|10707257668842060546</stp>
        <tr r="H7" s="4"/>
      </tp>
      <tp t="e">
        <v>#N/A</v>
        <stp/>
        <stp>BDH|17453569527336870537</stp>
        <tr r="W70" s="24"/>
      </tp>
      <tp t="e">
        <v>#N/A</v>
        <stp/>
        <stp>BDH|13635597134277384161</stp>
        <tr r="T69" s="18"/>
      </tp>
      <tp t="e">
        <v>#N/A</v>
        <stp/>
        <stp>BDH|11199242968700516662</stp>
        <tr r="M63" s="21"/>
      </tp>
      <tp t="e">
        <v>#N/A</v>
        <stp/>
        <stp>BDH|15170058148273411162</stp>
        <tr r="AA12" s="14"/>
      </tp>
      <tp t="e">
        <v>#N/A</v>
        <stp/>
        <stp>BDH|14861326310084547119</stp>
        <tr r="S9" s="25"/>
        <tr r="S44" s="17"/>
      </tp>
      <tp t="e">
        <v>#N/A</v>
        <stp/>
        <stp>BDH|14818508963600026450</stp>
        <tr r="AA98" s="12"/>
      </tp>
      <tp t="e">
        <v>#N/A</v>
        <stp/>
        <stp>BDH|13884312325385079423</stp>
        <tr r="V86" s="12"/>
      </tp>
      <tp t="e">
        <v>#N/A</v>
        <stp/>
        <stp>BDH|15934185858970250256</stp>
        <tr r="L14" s="6"/>
      </tp>
      <tp t="e">
        <v>#N/A</v>
        <stp/>
        <stp>BDH|17591220779027600665</stp>
        <tr r="AA53" s="22"/>
      </tp>
      <tp t="e">
        <v>#N/A</v>
        <stp/>
        <stp>BDH|10236197928326407694</stp>
        <tr r="U22" s="18"/>
      </tp>
      <tp t="e">
        <v>#N/A</v>
        <stp/>
        <stp>BDH|10483457173960547091</stp>
        <tr r="O7" s="27"/>
        <tr r="O94" s="17"/>
      </tp>
      <tp t="e">
        <v>#N/A</v>
        <stp/>
        <stp>BDH|16650732101207872520</stp>
        <tr r="I24" s="13"/>
      </tp>
      <tp t="e">
        <v>#N/A</v>
        <stp/>
        <stp>BDH|12891206594009768358</stp>
        <tr r="D50" s="12"/>
      </tp>
      <tp t="e">
        <v>#N/A</v>
        <stp/>
        <stp>BDH|16247964858959713058</stp>
        <tr r="W32" s="21"/>
      </tp>
      <tp t="e">
        <v>#N/A</v>
        <stp/>
        <stp>BDH|14688634602743880213</stp>
        <tr r="E121" s="18"/>
      </tp>
      <tp t="e">
        <v>#N/A</v>
        <stp/>
        <stp>BDH|17385046764942837054</stp>
        <tr r="D145" s="18"/>
      </tp>
      <tp t="e">
        <v>#N/A</v>
        <stp/>
        <stp>BDH|15510690631085153623</stp>
        <tr r="R67" s="10"/>
      </tp>
      <tp t="e">
        <v>#N/A</v>
        <stp/>
        <stp>BDH|16817119515637517278</stp>
        <tr r="K12" s="14"/>
      </tp>
      <tp t="e">
        <v>#N/A</v>
        <stp/>
        <stp>BDH|15986411747675306328</stp>
        <tr r="V66" s="17"/>
      </tp>
      <tp t="e">
        <v>#N/A</v>
        <stp/>
        <stp>BDH|10338243686549640097</stp>
        <tr r="J101" s="18"/>
      </tp>
      <tp t="e">
        <v>#N/A</v>
        <stp/>
        <stp>BDH|13072692511290413723</stp>
        <tr r="D47" s="18"/>
      </tp>
      <tp t="e">
        <v>#N/A</v>
        <stp/>
        <stp>BDH|12902677892208520672</stp>
        <tr r="V18" s="34"/>
      </tp>
      <tp t="e">
        <v>#N/A</v>
        <stp/>
        <stp>BDH|17802998719965114975</stp>
        <tr r="D40" s="12"/>
      </tp>
      <tp t="e">
        <v>#N/A</v>
        <stp/>
        <stp>BDH|11923115032535146553</stp>
        <tr r="P49" s="17"/>
      </tp>
      <tp t="e">
        <v>#N/A</v>
        <stp/>
        <stp>BDH|11751392543771229416</stp>
        <tr r="F147" s="18"/>
      </tp>
      <tp t="e">
        <v>#N/A</v>
        <stp/>
        <stp>BDH|17003090246636121600</stp>
        <tr r="L63" s="13"/>
        <tr r="J49" s="11"/>
        <tr r="J60" s="10"/>
        <tr r="J18" s="7"/>
      </tp>
      <tp t="e">
        <v>#N/A</v>
        <stp/>
        <stp>BDH|13609309040382104661</stp>
        <tr r="J14" s="13"/>
      </tp>
      <tp t="e">
        <v>#N/A</v>
        <stp/>
        <stp>BDH|15238901446990553804</stp>
        <tr r="O30" s="24"/>
      </tp>
      <tp t="e">
        <v>#N/A</v>
        <stp/>
        <stp>BDH|17606646903107295627</stp>
        <tr r="Y9" s="14"/>
      </tp>
      <tp t="e">
        <v>#N/A</v>
        <stp/>
        <stp>BDH|16479038033673378666</stp>
        <tr r="N30" s="17"/>
      </tp>
      <tp t="e">
        <v>#N/A</v>
        <stp/>
        <stp>BDH|12002219089010110887</stp>
        <tr r="Q91" s="18"/>
      </tp>
      <tp t="e">
        <v>#N/A</v>
        <stp/>
        <stp>BDH|12524528400334208347</stp>
        <tr r="Z18" s="17"/>
      </tp>
      <tp t="e">
        <v>#N/A</v>
        <stp/>
        <stp>BDH|17952410943474886327</stp>
        <tr r="V13" s="25"/>
      </tp>
      <tp t="e">
        <v>#N/A</v>
        <stp/>
        <stp>BDH|12070292459645877099</stp>
        <tr r="O42" s="6"/>
      </tp>
      <tp t="e">
        <v>#N/A</v>
        <stp/>
        <stp>BDH|13957572129192028669</stp>
        <tr r="U66" s="10"/>
      </tp>
      <tp t="e">
        <v>#N/A</v>
        <stp/>
        <stp>BDH|12808236937247513488</stp>
        <tr r="W62" s="11"/>
        <tr r="W73" s="10"/>
        <tr r="W20" s="7"/>
      </tp>
      <tp t="e">
        <v>#N/A</v>
        <stp/>
        <stp>BDH|15927550925653998110</stp>
        <tr r="W39" s="18"/>
      </tp>
      <tp t="e">
        <v>#N/A</v>
        <stp/>
        <stp>BDH|16290270564791264324</stp>
        <tr r="Y72" s="10"/>
      </tp>
      <tp t="e">
        <v>#N/A</v>
        <stp/>
        <stp>BDH|16682977956738473223</stp>
        <tr r="U57" s="18"/>
      </tp>
      <tp t="e">
        <v>#N/A</v>
        <stp/>
        <stp>BDH|10209779003637750006</stp>
        <tr r="Y138" s="18"/>
      </tp>
      <tp t="e">
        <v>#N/A</v>
        <stp/>
        <stp>BDH|13661715440590575032</stp>
        <tr r="W104" s="18"/>
      </tp>
      <tp t="e">
        <v>#N/A</v>
        <stp/>
        <stp>BDH|13147735600730258410</stp>
        <tr r="Q7" s="30"/>
      </tp>
      <tp t="e">
        <v>#N/A</v>
        <stp/>
        <stp>BDH|18369226431290633972</stp>
        <tr r="X30" s="34"/>
      </tp>
      <tp t="e">
        <v>#N/A</v>
        <stp/>
        <stp>BDH|10981709108026200122</stp>
        <tr r="F42" s="22"/>
      </tp>
      <tp t="e">
        <v>#N/A</v>
        <stp/>
        <stp>BDH|14486851554778288164</stp>
        <tr r="Q7" s="24"/>
      </tp>
      <tp t="e">
        <v>#N/A</v>
        <stp/>
        <stp>BDH|16040766440284200152</stp>
        <tr r="W33" s="11"/>
        <tr r="W44" s="10"/>
      </tp>
      <tp t="e">
        <v>#N/A</v>
        <stp/>
        <stp>BDH|11301229179995847116</stp>
        <tr r="N144" s="18"/>
      </tp>
      <tp t="e">
        <v>#N/A</v>
        <stp/>
        <stp>BDH|17534434044597029032</stp>
        <tr r="U14" s="20"/>
        <tr r="U119" s="18"/>
      </tp>
      <tp t="e">
        <v>#N/A</v>
        <stp/>
        <stp>BDH|13622185375555832023</stp>
        <tr r="D12" s="17"/>
      </tp>
      <tp t="e">
        <v>#N/A</v>
        <stp/>
        <stp>BDH|11133025432532767077</stp>
        <tr r="C16" s="6"/>
      </tp>
      <tp t="e">
        <v>#N/A</v>
        <stp/>
        <stp>BDH|12965444430436421386</stp>
        <tr r="W18" s="25"/>
      </tp>
      <tp t="e">
        <v>#N/A</v>
        <stp/>
        <stp>BDH|11568154610038701963</stp>
        <tr r="V6" s="28"/>
      </tp>
      <tp t="e">
        <v>#N/A</v>
        <stp/>
        <stp>BDH|18390252494082538169</stp>
        <tr r="C9" s="26"/>
      </tp>
      <tp t="e">
        <v>#N/A</v>
        <stp/>
        <stp>BDH|11856894793175561567</stp>
        <tr r="AA81" s="12"/>
      </tp>
      <tp t="e">
        <v>#N/A</v>
        <stp/>
        <stp>BDH|11834394192339118235</stp>
        <tr r="AA24" s="26"/>
      </tp>
      <tp t="e">
        <v>#N/A</v>
        <stp/>
        <stp>BDH|18413818743771085576</stp>
        <tr r="U48" s="12"/>
      </tp>
      <tp t="e">
        <v>#N/A</v>
        <stp/>
        <stp>BDH|16430157841405318621</stp>
        <tr r="D11" s="10"/>
        <tr r="D14" s="2"/>
      </tp>
      <tp t="e">
        <v>#N/A</v>
        <stp/>
        <stp>BDH|10735130124082370123</stp>
        <tr r="AA39" s="18"/>
      </tp>
      <tp t="e">
        <v>#N/A</v>
        <stp/>
        <stp>BDH|17520869465589492030</stp>
        <tr r="T7" s="4"/>
      </tp>
      <tp t="e">
        <v>#N/A</v>
        <stp/>
        <stp>BDH|11595374522083432359</stp>
        <tr r="V74" s="18"/>
      </tp>
      <tp t="e">
        <v>#N/A</v>
        <stp/>
        <stp>BDH|12188558036791474577</stp>
        <tr r="M34" s="26"/>
      </tp>
      <tp t="e">
        <v>#N/A</v>
        <stp/>
        <stp>BDH|11883461679235590735</stp>
        <tr r="U142" s="18"/>
      </tp>
      <tp t="e">
        <v>#N/A</v>
        <stp/>
        <stp>BDH|13174279539341834369</stp>
        <tr r="P49" s="6"/>
      </tp>
      <tp t="e">
        <v>#N/A</v>
        <stp/>
        <stp>BDH|15349066376357143533</stp>
        <tr r="L63" s="18"/>
      </tp>
      <tp t="e">
        <v>#N/A</v>
        <stp/>
        <stp>BDH|11642730496347375816</stp>
        <tr r="T160" s="18"/>
      </tp>
      <tp t="e">
        <v>#N/A</v>
        <stp/>
        <stp>BDH|18355165484465813480</stp>
        <tr r="L27" s="24"/>
      </tp>
      <tp t="e">
        <v>#N/A</v>
        <stp/>
        <stp>BDH|17030693610293868301</stp>
        <tr r="L19" s="20"/>
      </tp>
      <tp t="e">
        <v>#N/A</v>
        <stp/>
        <stp>BDH|11390563620531198752</stp>
        <tr r="Q58" s="24"/>
      </tp>
      <tp t="e">
        <v>#N/A</v>
        <stp/>
        <stp>BDH|18011840970426080159</stp>
        <tr r="X57" s="17"/>
      </tp>
      <tp t="e">
        <v>#N/A</v>
        <stp/>
        <stp>BDH|10384633892698300709</stp>
        <tr r="P7" s="5"/>
        <tr r="P7" s="9"/>
        <tr r="Q7" s="2"/>
        <tr r="S14" s="3"/>
      </tp>
      <tp t="e">
        <v>#N/A</v>
        <stp/>
        <stp>BDH|11479262821158060926</stp>
        <tr r="R30" s="9"/>
      </tp>
      <tp t="e">
        <v>#N/A</v>
        <stp/>
        <stp>BDH|15626593030585869666</stp>
        <tr r="V31" s="24"/>
      </tp>
      <tp t="e">
        <v>#N/A</v>
        <stp/>
        <stp>BDH|12867860488993464122</stp>
        <tr r="C43" s="17"/>
      </tp>
      <tp t="e">
        <v>#N/A</v>
        <stp/>
        <stp>BDH|11409749174015360474</stp>
        <tr r="T80" s="12"/>
      </tp>
      <tp t="e">
        <v>#N/A</v>
        <stp/>
        <stp>BDH|14186549034852647076</stp>
        <tr r="I9" s="34"/>
      </tp>
      <tp t="e">
        <v>#N/A</v>
        <stp/>
        <stp>BDH|11748283898852262852</stp>
        <tr r="K52" s="18"/>
      </tp>
      <tp t="e">
        <v>#N/A</v>
        <stp/>
        <stp>BDH|18187526273059366333</stp>
        <tr r="E48" s="17"/>
      </tp>
      <tp t="e">
        <v>#N/A</v>
        <stp/>
        <stp>BDH|10319683664968686899</stp>
        <tr r="J19" s="24"/>
      </tp>
      <tp t="e">
        <v>#N/A</v>
        <stp/>
        <stp>BDH|10481015874611867697</stp>
        <tr r="K8" s="27"/>
      </tp>
      <tp t="e">
        <v>#N/A</v>
        <stp/>
        <stp>BDH|15498643002317060425</stp>
        <tr r="S13" s="5"/>
      </tp>
      <tp t="e">
        <v>#N/A</v>
        <stp/>
        <stp>BDH|15266619802162270133</stp>
        <tr r="P21" s="3"/>
      </tp>
      <tp t="e">
        <v>#N/A</v>
        <stp/>
        <stp>BDH|18287457781263776710</stp>
        <tr r="L26" s="17"/>
      </tp>
      <tp t="e">
        <v>#N/A</v>
        <stp/>
        <stp>BDH|13219009966357559216</stp>
        <tr r="Y25" s="12"/>
      </tp>
      <tp t="e">
        <v>#N/A</v>
        <stp/>
        <stp>BDH|13185996487800989266</stp>
        <tr r="T20" s="27"/>
      </tp>
      <tp t="e">
        <v>#N/A</v>
        <stp/>
        <stp>BDH|16320169857716563472</stp>
        <tr r="U45" s="13"/>
        <tr r="S29" s="11"/>
        <tr r="S40" s="10"/>
      </tp>
      <tp t="e">
        <v>#N/A</v>
        <stp/>
        <stp>BDH|10396220103372672045</stp>
        <tr r="M15" s="18"/>
      </tp>
      <tp t="e">
        <v>#N/A</v>
        <stp/>
        <stp>BDH|17739419461345720004</stp>
        <tr r="N31" s="24"/>
      </tp>
      <tp t="e">
        <v>#N/A</v>
        <stp/>
        <stp>BDH|15715562738994958700</stp>
        <tr r="M84" s="18"/>
      </tp>
      <tp t="e">
        <v>#N/A</v>
        <stp/>
        <stp>BDH|13186660125904375319</stp>
        <tr r="P149" s="18"/>
      </tp>
      <tp t="e">
        <v>#N/A</v>
        <stp/>
        <stp>BDH|13069451091416281865</stp>
        <tr r="U42" s="17"/>
      </tp>
      <tp t="e">
        <v>#N/A</v>
        <stp/>
        <stp>BDH|15102163552489781822</stp>
        <tr r="K43" s="18"/>
      </tp>
      <tp t="e">
        <v>#N/A</v>
        <stp/>
        <stp>BDH|15250366444817911597</stp>
        <tr r="S79" s="17"/>
        <tr r="S19" s="3"/>
      </tp>
      <tp t="e">
        <v>#N/A</v>
        <stp/>
        <stp>BDH|15579559741613129707</stp>
        <tr r="M6" s="19"/>
        <tr r="M38" s="17"/>
        <tr r="M16" s="3"/>
      </tp>
      <tp t="e">
        <v>#N/A</v>
        <stp/>
        <stp>BDH|16699255253881393030</stp>
        <tr r="T8" s="13"/>
      </tp>
      <tp t="e">
        <v>#N/A</v>
        <stp/>
        <stp>BDH|15386437340734974192</stp>
        <tr r="I50" s="22"/>
      </tp>
      <tp t="e">
        <v>#N/A</v>
        <stp/>
        <stp>BDH|17646244670834129636</stp>
        <tr r="F54" s="12"/>
      </tp>
      <tp t="e">
        <v>#N/A</v>
        <stp/>
        <stp>BDH|12094794004563816655</stp>
        <tr r="G21" s="20"/>
      </tp>
      <tp t="e">
        <v>#N/A</v>
        <stp/>
        <stp>BDH|17632196498317030876</stp>
        <tr r="N15" s="29"/>
        <tr r="N38" s="29"/>
      </tp>
      <tp t="e">
        <v>#N/A</v>
        <stp/>
        <stp>BDH|11414545754819274869</stp>
        <tr r="W24" s="26"/>
      </tp>
      <tp t="e">
        <v>#N/A</v>
        <stp/>
        <stp>BDH|17848835685866805168</stp>
        <tr r="J38" s="13"/>
        <tr r="H31" s="10"/>
      </tp>
      <tp t="e">
        <v>#N/A</v>
        <stp/>
        <stp>BDH|11225650905072765555</stp>
        <tr r="L57" s="24"/>
      </tp>
      <tp t="e">
        <v>#N/A</v>
        <stp/>
        <stp>BDH|12760600937135973291</stp>
        <tr r="X8" s="14"/>
      </tp>
      <tp t="e">
        <v>#N/A</v>
        <stp/>
        <stp>BDH|16877091357380669302</stp>
        <tr r="Q45" s="17"/>
      </tp>
      <tp t="e">
        <v>#N/A</v>
        <stp/>
        <stp>BDH|17172411001971690277</stp>
        <tr r="F9" s="12"/>
      </tp>
      <tp t="e">
        <v>#N/A</v>
        <stp/>
        <stp>BDH|16034041650401146253</stp>
        <tr r="M18" s="23"/>
      </tp>
      <tp t="e">
        <v>#N/A</v>
        <stp/>
        <stp>BDH|18240872165776816081</stp>
        <tr r="I66" s="18"/>
      </tp>
      <tp t="e">
        <v>#N/A</v>
        <stp/>
        <stp>BDH|10159151037055261712</stp>
        <tr r="E15" s="22"/>
      </tp>
      <tp t="e">
        <v>#N/A</v>
        <stp/>
        <stp>BDH|15275634191158738271</stp>
        <tr r="M17" s="5"/>
        <tr r="M36" s="6"/>
      </tp>
      <tp t="e">
        <v>#N/A</v>
        <stp/>
        <stp>BDH|13051323944705763117</stp>
        <tr r="Z78" s="12"/>
      </tp>
      <tp t="e">
        <v>#N/A</v>
        <stp/>
        <stp>BDH|12253097339141401063</stp>
        <tr r="W51" s="22"/>
      </tp>
      <tp t="e">
        <v>#N/A</v>
        <stp/>
        <stp>BDH|15899480540931872480</stp>
        <tr r="O17" s="21"/>
        <tr r="M23" s="2"/>
        <tr r="O23" s="3"/>
      </tp>
      <tp t="e">
        <v>#N/A</v>
        <stp/>
        <stp>BDH|11799969298394968502</stp>
        <tr r="K11" s="7"/>
      </tp>
      <tp t="e">
        <v>#N/A</v>
        <stp/>
        <stp>BDH|11896525125727945168</stp>
        <tr r="M20" s="21"/>
      </tp>
      <tp t="e">
        <v>#N/A</v>
        <stp/>
        <stp>BDH|11542931567958591642</stp>
        <tr r="R53" s="13"/>
      </tp>
      <tp t="e">
        <v>#N/A</v>
        <stp/>
        <stp>BDH|12804661822485448387</stp>
        <tr r="R35" s="22"/>
      </tp>
      <tp t="e">
        <v>#N/A</v>
        <stp/>
        <stp>BDH|10559740320271589449</stp>
        <tr r="R60" s="12"/>
      </tp>
      <tp t="e">
        <v>#N/A</v>
        <stp/>
        <stp>BDH|11438349787983463933</stp>
        <tr r="R16" s="34"/>
      </tp>
      <tp t="e">
        <v>#N/A</v>
        <stp/>
        <stp>BDH|16915349163073672089</stp>
        <tr r="J70" s="17"/>
        <tr r="G8" s="9"/>
        <tr r="G8" s="5"/>
      </tp>
      <tp t="e">
        <v>#N/A</v>
        <stp/>
        <stp>BDH|16617677255326058345</stp>
        <tr r="U16" s="24"/>
      </tp>
      <tp t="e">
        <v>#N/A</v>
        <stp/>
        <stp>BDH|10438503065140547340</stp>
        <tr r="S64" s="13"/>
      </tp>
      <tp t="e">
        <v>#N/A</v>
        <stp/>
        <stp>BDH|11918093364330062742</stp>
        <tr r="F12" s="11"/>
      </tp>
      <tp t="e">
        <v>#N/A</v>
        <stp/>
        <stp>BDH|15622028825926462150</stp>
        <tr r="Z32" s="24"/>
      </tp>
      <tp t="e">
        <v>#N/A</v>
        <stp/>
        <stp>BDH|15753507328237607595</stp>
        <tr r="P8" s="17"/>
      </tp>
      <tp t="e">
        <v>#N/A</v>
        <stp/>
        <stp>BDH|17089378002287767321</stp>
        <tr r="Y19" s="17"/>
      </tp>
      <tp t="e">
        <v>#N/A</v>
        <stp/>
        <stp>BDH|14040150148087877668</stp>
        <tr r="AA58" s="12"/>
      </tp>
      <tp t="e">
        <v>#N/A</v>
        <stp/>
        <stp>BDH|15233624390088346208</stp>
        <tr r="M32" s="18"/>
      </tp>
      <tp t="e">
        <v>#N/A</v>
        <stp/>
        <stp>BDH|10122299773323853606</stp>
        <tr r="J66" s="21"/>
      </tp>
      <tp t="e">
        <v>#N/A</v>
        <stp/>
        <stp>BDH|12496286734405219690</stp>
        <tr r="Q34" s="11"/>
        <tr r="Q45" s="10"/>
      </tp>
      <tp t="e">
        <v>#N/A</v>
        <stp/>
        <stp>BDH|12902410100014931229</stp>
        <tr r="L164" s="18"/>
      </tp>
      <tp t="e">
        <v>#N/A</v>
        <stp/>
        <stp>BDH|10125325117265060779</stp>
        <tr r="P32" s="17"/>
      </tp>
      <tp t="e">
        <v>#N/A</v>
        <stp/>
        <stp>BDH|14835716117117887556</stp>
        <tr r="J92" s="18"/>
      </tp>
      <tp t="e">
        <v>#N/A</v>
        <stp/>
        <stp>BDH|14273794146861637681</stp>
        <tr r="L42" s="4"/>
      </tp>
      <tp t="e">
        <v>#N/A</v>
        <stp/>
        <stp>BDH|16663429577782986798</stp>
        <tr r="M48" s="18"/>
      </tp>
      <tp t="e">
        <v>#N/A</v>
        <stp/>
        <stp>BDH|13949856563944443987</stp>
        <tr r="G161" s="18"/>
      </tp>
      <tp t="e">
        <v>#N/A</v>
        <stp/>
        <stp>BDH|13498044030413683359</stp>
        <tr r="T15" s="23"/>
        <tr r="R59" s="11"/>
      </tp>
      <tp t="e">
        <v>#N/A</v>
        <stp/>
        <stp>BDH|10110438361591264325</stp>
        <tr r="O45" s="21"/>
      </tp>
      <tp t="e">
        <v>#N/A</v>
        <stp/>
        <stp>BDH|14646434204661708159</stp>
        <tr r="R8" s="18"/>
      </tp>
      <tp t="e">
        <v>#N/A</v>
        <stp/>
        <stp>BDH|16290356847579561862</stp>
        <tr r="K22" s="17"/>
        <tr r="K15" s="3"/>
      </tp>
      <tp t="e">
        <v>#N/A</v>
        <stp/>
        <stp>BDH|15489754407550740223</stp>
        <tr r="Y89" s="12"/>
      </tp>
      <tp t="e">
        <v>#N/A</v>
        <stp/>
        <stp>BDH|16732068610673448467</stp>
        <tr r="G22" s="24"/>
      </tp>
      <tp t="e">
        <v>#N/A</v>
        <stp/>
        <stp>BDH|10462114717043091315</stp>
        <tr r="V35" s="4"/>
      </tp>
      <tp t="e">
        <v>#N/A</v>
        <stp/>
        <stp>BDH|13477155547930342661</stp>
        <tr r="H20" s="17"/>
      </tp>
      <tp t="e">
        <v>#N/A</v>
        <stp/>
        <stp>BDH|10889063513704948575</stp>
        <tr r="W162" s="18"/>
      </tp>
      <tp t="e">
        <v>#N/A</v>
        <stp/>
        <stp>BDH|15494577433335072637</stp>
        <tr r="C175" s="18"/>
      </tp>
      <tp t="e">
        <v>#N/A</v>
        <stp/>
        <stp>BDH|14477549850845097133</stp>
        <tr r="J146" s="18"/>
      </tp>
      <tp t="e">
        <v>#N/A</v>
        <stp/>
        <stp>BDH|12742065633632108304</stp>
        <tr r="P10" s="14"/>
      </tp>
      <tp t="e">
        <v>#N/A</v>
        <stp/>
        <stp>BDH|14331271925922015629</stp>
        <tr r="H29" s="29"/>
        <tr r="H7" s="29"/>
      </tp>
      <tp t="e">
        <v>#N/A</v>
        <stp/>
        <stp>BDH|12809532513617244193</stp>
        <tr r="X18" s="14"/>
      </tp>
      <tp t="e">
        <v>#N/A</v>
        <stp/>
        <stp>BDH|18261066384737729746</stp>
        <tr r="D162" s="18"/>
      </tp>
      <tp t="e">
        <v>#N/A</v>
        <stp/>
        <stp>BDH|12496106701235479629</stp>
        <tr r="M8" s="34"/>
      </tp>
      <tp t="e">
        <v>#N/A</v>
        <stp/>
        <stp>BDH|15790797177812304795</stp>
        <tr r="K69" s="13"/>
      </tp>
      <tp t="e">
        <v>#N/A</v>
        <stp/>
        <stp>BDH|12876505928782676751</stp>
        <tr r="P28" s="21"/>
      </tp>
      <tp t="e">
        <v>#N/A</v>
        <stp/>
        <stp>BDH|14391041166825347716</stp>
        <tr r="O34" s="17"/>
      </tp>
      <tp t="e">
        <v>#N/A</v>
        <stp/>
        <stp>BDH|14241347751161016341</stp>
        <tr r="Q13" s="8"/>
      </tp>
      <tp t="e">
        <v>#N/A</v>
        <stp/>
        <stp>BDH|13342740006304074021</stp>
        <tr r="R25" s="13"/>
      </tp>
      <tp t="e">
        <v>#N/A</v>
        <stp/>
        <stp>BDH|12010226266245301345</stp>
        <tr r="T9" s="34"/>
      </tp>
      <tp t="e">
        <v>#N/A</v>
        <stp/>
        <stp>BDH|15395034708801216493</stp>
        <tr r="Q18" s="26"/>
      </tp>
      <tp t="e">
        <v>#N/A</v>
        <stp/>
        <stp>BDH|12069833797103668014</stp>
        <tr r="C162" s="18"/>
      </tp>
      <tp t="e">
        <v>#N/A</v>
        <stp/>
        <stp>BDH|13963065642161744693</stp>
        <tr r="W107" s="18"/>
      </tp>
      <tp t="e">
        <v>#N/A</v>
        <stp/>
        <stp>BDH|10840386516302216075</stp>
        <tr r="V9" s="20"/>
        <tr r="V115" s="18"/>
      </tp>
      <tp t="e">
        <v>#N/A</v>
        <stp/>
        <stp>BDH|16324176870198756805</stp>
        <tr r="J45" s="10"/>
        <tr r="J34" s="11"/>
      </tp>
      <tp t="e">
        <v>#N/A</v>
        <stp/>
        <stp>BDH|14384629366110518415</stp>
        <tr r="Y50" s="22"/>
      </tp>
      <tp t="e">
        <v>#N/A</v>
        <stp/>
        <stp>BDH|17311030984719577625</stp>
        <tr r="K23" s="23"/>
      </tp>
      <tp t="e">
        <v>#N/A</v>
        <stp/>
        <stp>BDH|18123269926541188932</stp>
        <tr r="P8" s="12"/>
      </tp>
      <tp t="e">
        <v>#N/A</v>
        <stp/>
        <stp>BDH|16584007452890147348</stp>
        <tr r="S92" s="12"/>
      </tp>
      <tp t="e">
        <v>#N/A</v>
        <stp/>
        <stp>BDH|13539619056090189019</stp>
        <tr r="X17" s="22"/>
      </tp>
      <tp t="e">
        <v>#N/A</v>
        <stp/>
        <stp>BDH|18316888808489052913</stp>
        <tr r="E7" s="10"/>
      </tp>
      <tp t="e">
        <v>#N/A</v>
        <stp/>
        <stp>BDH|10960008573875883205</stp>
        <tr r="K27" s="21"/>
      </tp>
      <tp t="e">
        <v>#N/A</v>
        <stp/>
        <stp>BDH|11163999329702154827</stp>
        <tr r="P17" s="23"/>
      </tp>
      <tp t="e">
        <v>#N/A</v>
        <stp/>
        <stp>BDH|17496407074530478465</stp>
        <tr r="M23" s="6"/>
      </tp>
      <tp t="e">
        <v>#N/A</v>
        <stp/>
        <stp>BDH|15489735383563375956</stp>
        <tr r="P59" s="24"/>
      </tp>
      <tp t="e">
        <v>#N/A</v>
        <stp/>
        <stp>BDH|10394636841356477473</stp>
        <tr r="G8" s="26"/>
        <tr r="D10" s="9"/>
      </tp>
      <tp t="e">
        <v>#N/A</v>
        <stp/>
        <stp>BDH|16044327948128087982</stp>
        <tr r="D13" s="10"/>
      </tp>
      <tp t="e">
        <v>#N/A</v>
        <stp/>
        <stp>BDH|12735620367802312032</stp>
        <tr r="X35" s="12"/>
      </tp>
      <tp t="e">
        <v>#N/A</v>
        <stp/>
        <stp>BDH|14662544121031587242</stp>
        <tr r="N28" s="17"/>
      </tp>
      <tp t="e">
        <v>#N/A</v>
        <stp/>
        <stp>BDH|16373514570615750178</stp>
        <tr r="W13" s="20"/>
        <tr r="W118" s="18"/>
      </tp>
      <tp t="e">
        <v>#N/A</v>
        <stp/>
        <stp>BDH|11315401901782965799</stp>
        <tr r="W111" s="18"/>
      </tp>
      <tp t="e">
        <v>#N/A</v>
        <stp/>
        <stp>BDH|17980862398024361264</stp>
        <tr r="H40" s="24"/>
      </tp>
      <tp t="e">
        <v>#N/A</v>
        <stp/>
        <stp>BDH|15498074092554413876</stp>
        <tr r="M90" s="18"/>
      </tp>
      <tp t="e">
        <v>#N/A</v>
        <stp/>
        <stp>BDH|10329978050734563835</stp>
        <tr r="L12" s="22"/>
      </tp>
      <tp t="e">
        <v>#N/A</v>
        <stp/>
        <stp>BDH|17596818393152794427</stp>
        <tr r="L94" s="12"/>
      </tp>
      <tp t="e">
        <v>#N/A</v>
        <stp/>
        <stp>BDH|15318758508756453486</stp>
        <tr r="O27" s="17"/>
      </tp>
      <tp t="e">
        <v>#N/A</v>
        <stp/>
        <stp>BDH|15104106094858372544</stp>
        <tr r="O27" s="22"/>
      </tp>
      <tp t="e">
        <v>#N/A</v>
        <stp/>
        <stp>BDH|16607444603880214211</stp>
        <tr r="R93" s="18"/>
      </tp>
      <tp t="e">
        <v>#N/A</v>
        <stp/>
        <stp>BDH|13070520645624391664</stp>
        <tr r="K20" s="27"/>
      </tp>
      <tp t="e">
        <v>#N/A</v>
        <stp/>
        <stp>BDH|15946388222577940381</stp>
        <tr r="D72" s="13"/>
      </tp>
      <tp t="e">
        <v>#N/A</v>
        <stp/>
        <stp>BDH|10547072851211870490</stp>
        <tr r="AA57" s="18"/>
      </tp>
      <tp t="e">
        <v>#N/A</v>
        <stp/>
        <stp>BDH|13587761728960858616</stp>
        <tr r="S34" s="13"/>
        <tr r="Q27" s="10"/>
      </tp>
      <tp t="e">
        <v>#N/A</v>
        <stp/>
        <stp>BDH|16418022307617511167</stp>
        <tr r="W48" s="21"/>
      </tp>
      <tp t="e">
        <v>#N/A</v>
        <stp/>
        <stp>BDH|11088749914086633141</stp>
        <tr r="M26" s="24"/>
      </tp>
      <tp t="e">
        <v>#N/A</v>
        <stp/>
        <stp>BDH|15035878785190402548</stp>
        <tr r="H20" s="29"/>
      </tp>
      <tp t="e">
        <v>#N/A</v>
        <stp/>
        <stp>BDH|11523720306986602059</stp>
        <tr r="U52" s="34"/>
      </tp>
      <tp t="e">
        <v>#N/A</v>
        <stp/>
        <stp>BDH|11850655565712951330</stp>
        <tr r="T10" s="17"/>
      </tp>
      <tp t="e">
        <v>#N/A</v>
        <stp/>
        <stp>BDH|15054011742623794269</stp>
        <tr r="Y55" s="13"/>
      </tp>
      <tp t="e">
        <v>#N/A</v>
        <stp/>
        <stp>BDH|14136625012462227112</stp>
        <tr r="AA89" s="17"/>
      </tp>
      <tp t="e">
        <v>#N/A</v>
        <stp/>
        <stp>BDH|11268090100728164986</stp>
        <tr r="L11" s="18"/>
      </tp>
      <tp t="e">
        <v>#N/A</v>
        <stp/>
        <stp>BDH|18067347795727378500</stp>
        <tr r="X13" s="23"/>
        <tr r="V58" s="11"/>
        <tr r="V38" s="4"/>
      </tp>
      <tp t="e">
        <v>#N/A</v>
        <stp/>
        <stp>BDH|13795764772721721269</stp>
        <tr r="J69" s="17"/>
        <tr r="J18" s="3"/>
      </tp>
      <tp t="e">
        <v>#N/A</v>
        <stp/>
        <stp>BDH|14900948863548992354</stp>
        <tr r="G41" s="13"/>
        <tr r="E23" s="10"/>
        <tr r="E46" s="4"/>
      </tp>
      <tp t="e">
        <v>#N/A</v>
        <stp/>
        <stp>BDH|10526530334055405342</stp>
        <tr r="N19" s="18"/>
      </tp>
      <tp t="e">
        <v>#N/A</v>
        <stp/>
        <stp>BDH|16140101478453830332</stp>
        <tr r="T12" s="17"/>
      </tp>
      <tp t="e">
        <v>#N/A</v>
        <stp/>
        <stp>BDH|10596790819956049074</stp>
        <tr r="G41" s="24"/>
      </tp>
      <tp t="e">
        <v>#N/A</v>
        <stp/>
        <stp>BDH|15406026463976293551</stp>
        <tr r="R20" s="12"/>
      </tp>
      <tp t="e">
        <v>#N/A</v>
        <stp/>
        <stp>BDH|10736695771042506381</stp>
        <tr r="C36" s="18"/>
      </tp>
      <tp t="e">
        <v>#N/A</v>
        <stp/>
        <stp>BDH|15235673812946196446</stp>
        <tr r="L165" s="18"/>
      </tp>
      <tp t="e">
        <v>#N/A</v>
        <stp/>
        <stp>BDH|12558332027607515465</stp>
        <tr r="U9" s="6"/>
      </tp>
      <tp t="e">
        <v>#N/A</v>
        <stp/>
        <stp>BDH|13543257362826878189</stp>
        <tr r="P40" s="18"/>
      </tp>
      <tp t="e">
        <v>#N/A</v>
        <stp/>
        <stp>BDH|16944352355300904020</stp>
        <tr r="V69" s="12"/>
      </tp>
      <tp t="e">
        <v>#N/A</v>
        <stp/>
        <stp>BDH|15068171424725251331</stp>
        <tr r="L24" s="12"/>
      </tp>
      <tp t="e">
        <v>#N/A</v>
        <stp/>
        <stp>BDH|16388167933873777734</stp>
        <tr r="F171" s="18"/>
      </tp>
      <tp t="e">
        <v>#N/A</v>
        <stp/>
        <stp>BDH|10246991974967875920</stp>
        <tr r="U37" s="6"/>
      </tp>
      <tp t="e">
        <v>#N/A</v>
        <stp/>
        <stp>BDH|15498098690664199895</stp>
        <tr r="M67" s="12"/>
      </tp>
      <tp t="e">
        <v>#N/A</v>
        <stp/>
        <stp>BDH|11118970849239283580</stp>
        <tr r="S107" s="18"/>
      </tp>
      <tp t="e">
        <v>#N/A</v>
        <stp/>
        <stp>BDH|12293052524072756214</stp>
        <tr r="R35" s="18"/>
      </tp>
      <tp t="e">
        <v>#N/A</v>
        <stp/>
        <stp>BDH|16180167271310709045</stp>
        <tr r="N28" s="6"/>
      </tp>
      <tp t="e">
        <v>#N/A</v>
        <stp/>
        <stp>BDH|11611063863866539130</stp>
        <tr r="F21" s="2"/>
      </tp>
      <tp t="e">
        <v>#N/A</v>
        <stp/>
        <stp>BDH|15153245570064211428</stp>
        <tr r="X8" s="21"/>
      </tp>
      <tp t="e">
        <v>#N/A</v>
        <stp/>
        <stp>BDH|17784706177203009454</stp>
        <tr r="O53" s="13"/>
      </tp>
      <tp t="e">
        <v>#N/A</v>
        <stp/>
        <stp>BDH|14942844688902473646</stp>
        <tr r="D35" s="21"/>
      </tp>
      <tp t="e">
        <v>#N/A</v>
        <stp/>
        <stp>BDH|10827182853581539539</stp>
        <tr r="X79" s="17"/>
        <tr r="X19" s="3"/>
      </tp>
      <tp t="e">
        <v>#N/A</v>
        <stp/>
        <stp>BDH|10509373883838757331</stp>
        <tr r="E9" s="21"/>
      </tp>
      <tp t="e">
        <v>#N/A</v>
        <stp/>
        <stp>BDH|10844299230074150557</stp>
        <tr r="H37" s="34"/>
      </tp>
      <tp t="e">
        <v>#N/A</v>
        <stp/>
        <stp>BDH|16391269605665301169</stp>
        <tr r="N54" s="12"/>
      </tp>
      <tp t="e">
        <v>#N/A</v>
        <stp/>
        <stp>BDH|18067384623151844868</stp>
        <tr r="N99" s="18"/>
      </tp>
      <tp t="e">
        <v>#N/A</v>
        <stp/>
        <stp>BDH|17122180169981105145</stp>
        <tr r="C44" s="18"/>
      </tp>
      <tp t="e">
        <v>#N/A</v>
        <stp/>
        <stp>BDH|13636552026606210228</stp>
        <tr r="Y75" s="17"/>
      </tp>
      <tp t="e">
        <v>#N/A</v>
        <stp/>
        <stp>BDH|16557909080190961796</stp>
        <tr r="G29" s="6"/>
      </tp>
      <tp t="e">
        <v>#N/A</v>
        <stp/>
        <stp>BDH|17112146529665897115</stp>
        <tr r="O42" s="4"/>
      </tp>
      <tp t="e">
        <v>#N/A</v>
        <stp/>
        <stp>BDH|14954950450409050199</stp>
        <tr r="C22" s="4"/>
      </tp>
      <tp t="e">
        <v>#N/A</v>
        <stp/>
        <stp>BDH|17813942656923939865</stp>
        <tr r="H89" s="18"/>
      </tp>
      <tp t="e">
        <v>#N/A</v>
        <stp/>
        <stp>BDH|13177183341650587686</stp>
        <tr r="J12" s="6"/>
      </tp>
      <tp t="e">
        <v>#N/A</v>
        <stp/>
        <stp>BDH|16538454925772149217</stp>
        <tr r="AA68" s="24"/>
      </tp>
      <tp t="e">
        <v>#N/A</v>
        <stp/>
        <stp>BDH|10625454469095667792</stp>
        <tr r="S28" s="34"/>
      </tp>
      <tp t="e">
        <v>#N/A</v>
        <stp/>
        <stp>BDH|14490123163752992196</stp>
        <tr r="F51" s="12"/>
      </tp>
      <tp t="e">
        <v>#N/A</v>
        <stp/>
        <stp>BDH|15024294351532482099</stp>
        <tr r="H36" s="26"/>
      </tp>
      <tp t="e">
        <v>#N/A</v>
        <stp/>
        <stp>BDH|11418084132694331681</stp>
        <tr r="Z78" s="24"/>
      </tp>
      <tp t="e">
        <v>#N/A</v>
        <stp/>
        <stp>BDH|10032523713017636322</stp>
        <tr r="I36" s="18"/>
      </tp>
      <tp t="e">
        <v>#N/A</v>
        <stp/>
        <stp>BDH|17090811768221599893</stp>
        <tr r="H19" s="30"/>
      </tp>
      <tp t="e">
        <v>#N/A</v>
        <stp/>
        <stp>BDH|12000034726616669663</stp>
        <tr r="I53" s="18"/>
      </tp>
      <tp t="e">
        <v>#N/A</v>
        <stp/>
        <stp>BDH|10224139737424784640</stp>
        <tr r="W16" s="14"/>
      </tp>
      <tp t="e">
        <v>#N/A</v>
        <stp/>
        <stp>BDH|10600253620401071166</stp>
        <tr r="O35" s="18"/>
      </tp>
      <tp t="e">
        <v>#N/A</v>
        <stp/>
        <stp>BDH|11814218500622985151</stp>
        <tr r="H31" s="24"/>
      </tp>
      <tp t="e">
        <v>#N/A</v>
        <stp/>
        <stp>BDH|13050635130704007261</stp>
        <tr r="S27" s="21"/>
      </tp>
      <tp t="e">
        <v>#N/A</v>
        <stp/>
        <stp>BDH|18268178493846559665</stp>
        <tr r="L17" s="20"/>
      </tp>
      <tp t="e">
        <v>#N/A</v>
        <stp/>
        <stp>BDH|16365723105335045414</stp>
        <tr r="C13" s="26"/>
      </tp>
      <tp t="e">
        <v>#N/A</v>
        <stp/>
        <stp>BDH|12430384506189924861</stp>
        <tr r="Z20" s="28"/>
        <tr r="Z17" s="17"/>
      </tp>
      <tp t="e">
        <v>#N/A</v>
        <stp/>
        <stp>BDH|12270837615609724261</stp>
        <tr r="N13" s="9"/>
      </tp>
      <tp t="e">
        <v>#N/A</v>
        <stp/>
        <stp>BDH|14288435714880825182</stp>
        <tr r="V32" s="17"/>
      </tp>
      <tp t="e">
        <v>#N/A</v>
        <stp/>
        <stp>BDH|10513025497760458912</stp>
        <tr r="E12" s="12"/>
      </tp>
      <tp t="e">
        <v>#N/A</v>
        <stp/>
        <stp>BDH|11728230435184733434</stp>
        <tr r="D33" s="6"/>
      </tp>
      <tp t="e">
        <v>#N/A</v>
        <stp/>
        <stp>BDH|13706172750955733233</stp>
        <tr r="W22" s="11"/>
      </tp>
      <tp t="e">
        <v>#N/A</v>
        <stp/>
        <stp>BDH|17653475507215794650</stp>
        <tr r="L91" s="17"/>
      </tp>
      <tp t="e">
        <v>#N/A</v>
        <stp/>
        <stp>BDH|16205240075271109268</stp>
        <tr r="L8" s="28"/>
      </tp>
      <tp t="e">
        <v>#N/A</v>
        <stp/>
        <stp>BDH|18323047211520387912</stp>
        <tr r="I23" s="23"/>
      </tp>
      <tp t="e">
        <v>#N/A</v>
        <stp/>
        <stp>BDH|12064127022613181256</stp>
        <tr r="T17" s="18"/>
      </tp>
      <tp t="e">
        <v>#N/A</v>
        <stp/>
        <stp>BDH|14805518219894188451</stp>
        <tr r="L20" s="21"/>
      </tp>
      <tp t="e">
        <v>#N/A</v>
        <stp/>
        <stp>BDH|17389076409021859612</stp>
        <tr r="I62" s="17"/>
      </tp>
      <tp t="e">
        <v>#N/A</v>
        <stp/>
        <stp>BDH|12622836599856923517</stp>
        <tr r="I14" s="8"/>
      </tp>
      <tp t="e">
        <v>#N/A</v>
        <stp/>
        <stp>BDH|18170066882682161208</stp>
        <tr r="M62" s="12"/>
      </tp>
      <tp t="e">
        <v>#N/A</v>
        <stp/>
        <stp>BDH|10326101329294681781</stp>
        <tr r="C17" s="24"/>
      </tp>
      <tp t="e">
        <v>#N/A</v>
        <stp/>
        <stp>BDH|10743785904245820279</stp>
        <tr r="T67" s="13"/>
      </tp>
      <tp t="e">
        <v>#N/A</v>
        <stp/>
        <stp>BDH|15816782332767787614</stp>
        <tr r="K18" s="12"/>
      </tp>
      <tp t="e">
        <v>#N/A</v>
        <stp/>
        <stp>BDH|15005471460336295113</stp>
        <tr r="G80" s="18"/>
      </tp>
      <tp t="e">
        <v>#N/A</v>
        <stp/>
        <stp>BDH|10718872798190994153</stp>
        <tr r="F11" s="30"/>
      </tp>
      <tp t="e">
        <v>#N/A</v>
        <stp/>
        <stp>BDH|12287920664599923490</stp>
        <tr r="T65" s="17"/>
      </tp>
      <tp t="e">
        <v>#N/A</v>
        <stp/>
        <stp>BDH|14870737173993559792</stp>
        <tr r="K24" s="22"/>
      </tp>
      <tp t="e">
        <v>#N/A</v>
        <stp/>
        <stp>BDH|13798309188530896831</stp>
        <tr r="D54" s="18"/>
      </tp>
      <tp t="e">
        <v>#N/A</v>
        <stp/>
        <stp>BDH|10595314721787067610</stp>
        <tr r="T10" s="25"/>
        <tr r="T55" s="17"/>
      </tp>
      <tp t="e">
        <v>#N/A</v>
        <stp/>
        <stp>BDH|15171114995684986981</stp>
        <tr r="L24" s="17"/>
      </tp>
      <tp t="e">
        <v>#N/A</v>
        <stp/>
        <stp>BDH|15829464356343977751</stp>
        <tr r="M19" s="23"/>
        <tr r="K60" s="11"/>
      </tp>
      <tp t="e">
        <v>#N/A</v>
        <stp/>
        <stp>BDH|12456832730071235817</stp>
        <tr r="D93" s="18"/>
      </tp>
      <tp t="e">
        <v>#N/A</v>
        <stp/>
        <stp>BDH|13901952700589142391</stp>
        <tr r="W6" s="8"/>
        <tr r="U51" s="6"/>
      </tp>
      <tp t="e">
        <v>#N/A</v>
        <stp/>
        <stp>BDH|16267125037287168325</stp>
        <tr r="I22" s="29"/>
        <tr r="I36" s="29"/>
        <tr r="I13" s="29"/>
      </tp>
      <tp t="e">
        <v>#N/A</v>
        <stp/>
        <stp>BDH|11656579175307385435</stp>
        <tr r="H30" s="14"/>
      </tp>
      <tp t="e">
        <v>#N/A</v>
        <stp/>
        <stp>BDH|10318392226150110192</stp>
        <tr r="E84" s="12"/>
      </tp>
      <tp t="e">
        <v>#N/A</v>
        <stp/>
        <stp>BDH|12850454074103828253</stp>
        <tr r="Y28" s="14"/>
      </tp>
      <tp t="e">
        <v>#N/A</v>
        <stp/>
        <stp>BDH|17786421594643190947</stp>
        <tr r="I29" s="21"/>
      </tp>
      <tp t="e">
        <v>#N/A</v>
        <stp/>
        <stp>BDH|11164920998217769682</stp>
        <tr r="R34" s="12"/>
      </tp>
      <tp t="e">
        <v>#N/A</v>
        <stp/>
        <stp>BDH|11700067297180158833</stp>
        <tr r="E24" s="25"/>
      </tp>
      <tp t="e">
        <v>#N/A</v>
        <stp/>
        <stp>BDH|14865939829309585633</stp>
        <tr r="K15" s="12"/>
      </tp>
      <tp t="e">
        <v>#N/A</v>
        <stp/>
        <stp>BDH|14124591413200613097</stp>
        <tr r="L20" s="25"/>
      </tp>
      <tp t="e">
        <v>#N/A</v>
        <stp/>
        <stp>BDH|15773463943982520738</stp>
        <tr r="H40" s="29"/>
        <tr r="H17" s="29"/>
      </tp>
      <tp t="e">
        <v>#N/A</v>
        <stp/>
        <stp>BDH|12220344316785057542</stp>
        <tr r="N41" s="18"/>
      </tp>
      <tp t="e">
        <v>#N/A</v>
        <stp/>
        <stp>BDH|12708103016777114543</stp>
        <tr r="V10" s="27"/>
        <tr r="V29" s="25"/>
      </tp>
      <tp t="e">
        <v>#N/A</v>
        <stp/>
        <stp>BDH|13824097368332852756</stp>
        <tr r="X74" s="17"/>
      </tp>
      <tp t="e">
        <v>#N/A</v>
        <stp/>
        <stp>BDH|14334881398204627117</stp>
        <tr r="M128" s="18"/>
      </tp>
      <tp t="e">
        <v>#N/A</v>
        <stp/>
        <stp>BDH|14346652230191501073</stp>
        <tr r="Y23" s="26"/>
      </tp>
      <tp t="e">
        <v>#N/A</v>
        <stp/>
        <stp>BDH|15171418024894174714</stp>
        <tr r="M10" s="8"/>
        <tr r="K53" s="6"/>
      </tp>
      <tp t="e">
        <v>#N/A</v>
        <stp/>
        <stp>BDH|11277751642275124702</stp>
        <tr r="O10" s="8"/>
        <tr r="M53" s="6"/>
      </tp>
      <tp t="e">
        <v>#N/A</v>
        <stp/>
        <stp>BDH|14119318559794779692</stp>
        <tr r="G62" s="18"/>
      </tp>
      <tp t="e">
        <v>#N/A</v>
        <stp/>
        <stp>BDH|10659999048225845881</stp>
        <tr r="Q8" s="10"/>
      </tp>
      <tp t="e">
        <v>#N/A</v>
        <stp/>
        <stp>BDH|10855773042533911039</stp>
        <tr r="Z17" s="28"/>
        <tr r="Z14" s="17"/>
      </tp>
      <tp t="e">
        <v>#N/A</v>
        <stp/>
        <stp>BDH|16445658225693619150</stp>
        <tr r="O61" s="21"/>
        <tr r="M25" s="2"/>
      </tp>
      <tp t="e">
        <v>#N/A</v>
        <stp/>
        <stp>BDH|17514678617715754550</stp>
        <tr r="N36" s="13"/>
        <tr r="L29" s="10"/>
      </tp>
      <tp t="e">
        <v>#N/A</v>
        <stp/>
        <stp>BDH|13415416720115280005</stp>
        <tr r="E26" s="25"/>
        <tr r="E56" s="21"/>
      </tp>
      <tp t="e">
        <v>#N/A</v>
        <stp/>
        <stp>BDH|10369179763285668261</stp>
        <tr r="K24" s="10"/>
      </tp>
      <tp t="e">
        <v>#N/A</v>
        <stp/>
        <stp>BDH|14291822404695246913</stp>
        <tr r="D51" s="17"/>
      </tp>
      <tp t="e">
        <v>#N/A</v>
        <stp/>
        <stp>BDH|14635911191071506548</stp>
        <tr r="C13" s="2"/>
      </tp>
      <tp t="e">
        <v>#N/A</v>
        <stp/>
        <stp>BDH|17180875661419943097</stp>
        <tr r="R64" s="17"/>
      </tp>
      <tp t="e">
        <v>#N/A</v>
        <stp/>
        <stp>BDH|14537736315410592212</stp>
        <tr r="Y11" s="28"/>
      </tp>
      <tp t="e">
        <v>#N/A</v>
        <stp/>
        <stp>BDH|14726206377637086670</stp>
        <tr r="U72" s="10"/>
      </tp>
      <tp t="e">
        <v>#N/A</v>
        <stp/>
        <stp>BDH|18135830420261694332</stp>
        <tr r="K98" s="18"/>
      </tp>
      <tp t="e">
        <v>#N/A</v>
        <stp/>
        <stp>BDH|14166135377095235709</stp>
        <tr r="C71" s="13"/>
      </tp>
      <tp t="e">
        <v>#N/A</v>
        <stp/>
        <stp>BDH|16002216585544585862</stp>
        <tr r="P141" s="18"/>
      </tp>
      <tp t="e">
        <v>#N/A</v>
        <stp/>
        <stp>BDH|14819793030898036861</stp>
        <tr r="C21" s="3"/>
      </tp>
      <tp t="e">
        <v>#N/A</v>
        <stp/>
        <stp>BDH|12317130874033183726</stp>
        <tr r="G7" s="17"/>
      </tp>
      <tp t="e">
        <v>#N/A</v>
        <stp/>
        <stp>BDH|11531917092947818692</stp>
        <tr r="G16" s="14"/>
      </tp>
      <tp t="e">
        <v>#N/A</v>
        <stp/>
        <stp>BDH|11250330427184492453</stp>
        <tr r="Y44" s="18"/>
      </tp>
      <tp t="e">
        <v>#N/A</v>
        <stp/>
        <stp>BDH|15308563806885579512</stp>
        <tr r="C78" s="17"/>
      </tp>
      <tp t="e">
        <v>#N/A</v>
        <stp/>
        <stp>BDH|17605639834684348656</stp>
        <tr r="AA96" s="12"/>
      </tp>
      <tp t="e">
        <v>#N/A</v>
        <stp/>
        <stp>BDH|16800797617152938288</stp>
        <tr r="H45" s="18"/>
      </tp>
      <tp t="e">
        <v>#N/A</v>
        <stp/>
        <stp>BDH|11835377767102608698</stp>
        <tr r="U130" s="18"/>
      </tp>
      <tp t="e">
        <v>#N/A</v>
        <stp/>
        <stp>BDH|17070740776917062055</stp>
        <tr r="X91" s="18"/>
      </tp>
      <tp t="e">
        <v>#N/A</v>
        <stp/>
        <stp>BDH|14474059504474647042</stp>
        <tr r="S12" s="24"/>
      </tp>
      <tp t="e">
        <v>#N/A</v>
        <stp/>
        <stp>BDH|10288643204317786123</stp>
        <tr r="Y12" s="14"/>
      </tp>
      <tp t="e">
        <v>#N/A</v>
        <stp/>
        <stp>BDH|13539491713652822405</stp>
        <tr r="C23" s="26"/>
      </tp>
      <tp t="e">
        <v>#N/A</v>
        <stp/>
        <stp>BDH|12422757252758280869</stp>
        <tr r="O84" s="17"/>
        <tr r="M6" s="7"/>
        <tr r="O20" s="3"/>
      </tp>
      <tp t="e">
        <v>#N/A</v>
        <stp/>
        <stp>BDH|17865999809789691792</stp>
        <tr r="L161" s="18"/>
      </tp>
      <tp t="e">
        <v>#N/A</v>
        <stp/>
        <stp>BDH|11409243373793520715</stp>
        <tr r="O43" s="11"/>
        <tr r="O54" s="10"/>
        <tr r="O14" s="7"/>
        <tr r="Q9" s="3"/>
      </tp>
      <tp t="e">
        <v>#N/A</v>
        <stp/>
        <stp>BDH|17395719672205249254</stp>
        <tr r="M34" s="11"/>
        <tr r="M45" s="10"/>
      </tp>
      <tp t="e">
        <v>#N/A</v>
        <stp/>
        <stp>BDH|12145719848476781780</stp>
        <tr r="X68" s="17"/>
      </tp>
      <tp t="e">
        <v>#N/A</v>
        <stp/>
        <stp>BDH|13388660492954282828</stp>
        <tr r="Q50" s="22"/>
      </tp>
      <tp t="e">
        <v>#N/A</v>
        <stp/>
        <stp>BDH|14172572135470591219</stp>
        <tr r="F127" s="18"/>
      </tp>
      <tp t="e">
        <v>#N/A</v>
        <stp/>
        <stp>BDH|14014822090227480218</stp>
        <tr r="K41" s="26"/>
      </tp>
      <tp t="e">
        <v>#N/A</v>
        <stp/>
        <stp>BDH|12753601647571471137</stp>
        <tr r="F17" s="9"/>
      </tp>
      <tp t="e">
        <v>#N/A</v>
        <stp/>
        <stp>BDH|14136625432692066366</stp>
        <tr r="I32" s="5"/>
      </tp>
      <tp t="e">
        <v>#N/A</v>
        <stp/>
        <stp>BDH|11454709676024246578</stp>
        <tr r="P87" s="17"/>
      </tp>
      <tp t="e">
        <v>#N/A</v>
        <stp/>
        <stp>BDH|10243068192779927089</stp>
        <tr r="S21" s="3"/>
      </tp>
      <tp t="e">
        <v>#N/A</v>
        <stp/>
        <stp>BDH|18024925113214606405</stp>
        <tr r="H8" s="2"/>
      </tp>
      <tp t="e">
        <v>#N/A</v>
        <stp/>
        <stp>BDH|12413042576186477352</stp>
        <tr r="E37" s="22"/>
      </tp>
      <tp t="e">
        <v>#N/A</v>
        <stp/>
        <stp>BDH|15774375101437412120</stp>
        <tr r="X9" s="30"/>
      </tp>
      <tp t="e">
        <v>#N/A</v>
        <stp/>
        <stp>BDH|17393721354017759258</stp>
        <tr r="F29" s="29"/>
        <tr r="F7" s="29"/>
      </tp>
      <tp t="e">
        <v>#N/A</v>
        <stp/>
        <stp>BDH|17051534420489309970</stp>
        <tr r="D89" s="18"/>
      </tp>
      <tp t="e">
        <v>#N/A</v>
        <stp/>
        <stp>BDH|17369030870847098773</stp>
        <tr r="AA73" s="18"/>
      </tp>
      <tp t="e">
        <v>#N/A</v>
        <stp/>
        <stp>BDH|11223868029812808939</stp>
        <tr r="C34" s="22"/>
      </tp>
      <tp t="e">
        <v>#N/A</v>
        <stp/>
        <stp>BDH|10937721709300080742</stp>
        <tr r="N21" s="24"/>
      </tp>
      <tp t="e">
        <v>#N/A</v>
        <stp/>
        <stp>BDH|14615055609697419388</stp>
        <tr r="H10" s="34"/>
      </tp>
      <tp t="e">
        <v>#N/A</v>
        <stp/>
        <stp>BDH|15203021667295691670</stp>
        <tr r="O96" s="17"/>
      </tp>
      <tp t="e">
        <v>#N/A</v>
        <stp/>
        <stp>BDH|16088424203160444233</stp>
        <tr r="Q22" s="18"/>
      </tp>
      <tp t="e">
        <v>#N/A</v>
        <stp/>
        <stp>BDH|17748672827973267033</stp>
        <tr r="P72" s="10"/>
      </tp>
      <tp t="e">
        <v>#N/A</v>
        <stp/>
        <stp>BDH|12768617423842682458</stp>
        <tr r="D11" s="11"/>
      </tp>
      <tp t="e">
        <v>#N/A</v>
        <stp/>
        <stp>BDH|12315775164717392453</stp>
        <tr r="I42" s="34"/>
      </tp>
      <tp t="e">
        <v>#N/A</v>
        <stp/>
        <stp>BDH|15466752721162791215</stp>
        <tr r="Q17" s="20"/>
      </tp>
      <tp t="e">
        <v>#N/A</v>
        <stp/>
        <stp>BDH|15813642737917846757</stp>
        <tr r="E93" s="17"/>
      </tp>
      <tp t="e">
        <v>#N/A</v>
        <stp/>
        <stp>BDH|16953679748486326232</stp>
        <tr r="C100" s="18"/>
      </tp>
      <tp t="e">
        <v>#N/A</v>
        <stp/>
        <stp>BDH|11230222310520492225</stp>
        <tr r="Q14" s="22"/>
      </tp>
      <tp t="e">
        <v>#N/A</v>
        <stp/>
        <stp>BDH|16443122853224727649</stp>
        <tr r="H20" s="23"/>
      </tp>
      <tp t="e">
        <v>#N/A</v>
        <stp/>
        <stp>BDH|16597693488380512877</stp>
        <tr r="AA110" s="18"/>
      </tp>
      <tp t="e">
        <v>#N/A</v>
        <stp/>
        <stp>BDH|12056198919197733510</stp>
        <tr r="T65" s="21"/>
        <tr r="Q31" s="6"/>
      </tp>
      <tp t="e">
        <v>#N/A</v>
        <stp/>
        <stp>BDH|14255277335934028167</stp>
        <tr r="E67" s="17"/>
      </tp>
      <tp t="e">
        <v>#N/A</v>
        <stp/>
        <stp>BDH|17258326137432517548</stp>
        <tr r="G62" s="13"/>
      </tp>
      <tp t="e">
        <v>#N/A</v>
        <stp/>
        <stp>BDH|17037042604922738515</stp>
        <tr r="AA159" s="18"/>
      </tp>
      <tp t="e">
        <v>#N/A</v>
        <stp/>
        <stp>BDH|11745350699818804352</stp>
        <tr r="Y22" s="22"/>
      </tp>
      <tp t="e">
        <v>#N/A</v>
        <stp/>
        <stp>BDH|15426595831955218681</stp>
        <tr r="J15" s="10"/>
      </tp>
      <tp t="e">
        <v>#N/A</v>
        <stp/>
        <stp>BDH|16128994676581044989</stp>
        <tr r="Z13" s="12"/>
      </tp>
      <tp t="e">
        <v>#N/A</v>
        <stp/>
        <stp>BDH|12124166411350133219</stp>
        <tr r="Q19" s="18"/>
      </tp>
      <tp t="e">
        <v>#N/A</v>
        <stp/>
        <stp>BDH|17094093766099962800</stp>
        <tr r="K14" s="28"/>
      </tp>
      <tp t="e">
        <v>#N/A</v>
        <stp/>
        <stp>BDH|14727585609671632061</stp>
        <tr r="Z38" s="22"/>
      </tp>
      <tp t="e">
        <v>#N/A</v>
        <stp/>
        <stp>BDH|13051414209085611282</stp>
        <tr r="C53" s="22"/>
      </tp>
      <tp t="e">
        <v>#N/A</v>
        <stp/>
        <stp>BDH|18396522686271096412</stp>
        <tr r="X26" s="7"/>
      </tp>
      <tp t="e">
        <v>#N/A</v>
        <stp/>
        <stp>BDH|17048259792138442459</stp>
        <tr r="P9" s="12"/>
      </tp>
      <tp t="e">
        <v>#N/A</v>
        <stp/>
        <stp>BDH|16299058354273144046</stp>
        <tr r="J41" s="26"/>
      </tp>
      <tp t="e">
        <v>#N/A</v>
        <stp/>
        <stp>BDH|11421447763204041752</stp>
        <tr r="D25" s="18"/>
      </tp>
      <tp t="e">
        <v>#N/A</v>
        <stp/>
        <stp>BDH|17360324373464117757</stp>
        <tr r="F30" s="24"/>
      </tp>
      <tp t="e">
        <v>#N/A</v>
        <stp/>
        <stp>BDH|11975611869017315640</stp>
        <tr r="H8" s="18"/>
      </tp>
      <tp t="e">
        <v>#N/A</v>
        <stp/>
        <stp>BDH|17262107951492530101</stp>
        <tr r="J19" s="22"/>
      </tp>
      <tp t="e">
        <v>#N/A</v>
        <stp/>
        <stp>BDH|16157315240818469928</stp>
        <tr r="J21" s="20"/>
      </tp>
      <tp t="e">
        <v>#N/A</v>
        <stp/>
        <stp>BDH|16644755434086866491</stp>
        <tr r="Y40" s="12"/>
      </tp>
      <tp t="e">
        <v>#N/A</v>
        <stp/>
        <stp>BDH|11719553257403003230</stp>
        <tr r="I46" s="34"/>
      </tp>
      <tp t="e">
        <v>#N/A</v>
        <stp/>
        <stp>BDH|11001570961574760676</stp>
        <tr r="P80" s="18"/>
      </tp>
      <tp t="e">
        <v>#N/A</v>
        <stp/>
        <stp>BDH|14598906134386019878</stp>
        <tr r="R63" s="12"/>
      </tp>
      <tp t="e">
        <v>#N/A</v>
        <stp/>
        <stp>BDH|15107189779627088462</stp>
        <tr r="P9" s="18"/>
      </tp>
      <tp t="e">
        <v>#N/A</v>
        <stp/>
        <stp>BDH|14264605023609165966</stp>
        <tr r="I162" s="18"/>
      </tp>
      <tp t="e">
        <v>#N/A</v>
        <stp/>
        <stp>BDH|11665072653842392671</stp>
        <tr r="Q41" s="22"/>
      </tp>
      <tp t="e">
        <v>#N/A</v>
        <stp/>
        <stp>BDH|15284275247037582411</stp>
        <tr r="V12" s="21"/>
      </tp>
      <tp t="e">
        <v>#N/A</v>
        <stp/>
        <stp>BDH|11962504077126784501</stp>
        <tr r="F43" s="11"/>
        <tr r="F54" s="10"/>
        <tr r="H9" s="3"/>
        <tr r="F14" s="7"/>
      </tp>
      <tp t="e">
        <v>#N/A</v>
        <stp/>
        <stp>BDH|14861890507438796481</stp>
        <tr r="AA49" s="21"/>
      </tp>
      <tp t="e">
        <v>#N/A</v>
        <stp/>
        <stp>BDH|17653495920903646204</stp>
        <tr r="T31" s="5"/>
      </tp>
      <tp t="e">
        <v>#N/A</v>
        <stp/>
        <stp>BDH|16018180346025780600</stp>
        <tr r="D97" s="18"/>
      </tp>
      <tp t="e">
        <v>#N/A</v>
        <stp/>
        <stp>BDH|14314253830106639399</stp>
        <tr r="G134" s="18"/>
      </tp>
      <tp t="e">
        <v>#N/A</v>
        <stp/>
        <stp>BDH|16302750179800155674</stp>
        <tr r="N11" s="11"/>
      </tp>
      <tp t="e">
        <v>#N/A</v>
        <stp/>
        <stp>BDH|17952957604456367829</stp>
        <tr r="W24" s="29"/>
      </tp>
      <tp t="e">
        <v>#N/A</v>
        <stp/>
        <stp>BDH|13052263179190496626</stp>
        <tr r="W8" s="34"/>
      </tp>
      <tp t="e">
        <v>#N/A</v>
        <stp/>
        <stp>BDH|12882521427610129555</stp>
        <tr r="P170" s="18"/>
      </tp>
      <tp t="e">
        <v>#N/A</v>
        <stp/>
        <stp>BDH|18074794960828112115</stp>
        <tr r="K157" s="18"/>
      </tp>
      <tp t="e">
        <v>#N/A</v>
        <stp/>
        <stp>BDH|17937543601833534104</stp>
        <tr r="F32" s="25"/>
        <tr r="F14" s="27"/>
      </tp>
      <tp t="e">
        <v>#N/A</v>
        <stp/>
        <stp>BDH|17768193051697489425</stp>
        <tr r="Q84" s="18"/>
      </tp>
      <tp t="e">
        <v>#N/A</v>
        <stp/>
        <stp>BDH|13675580956621847298</stp>
        <tr r="G20" s="14"/>
      </tp>
      <tp t="e">
        <v>#N/A</v>
        <stp/>
        <stp>BDH|13058122958882332501</stp>
        <tr r="N30" s="18"/>
      </tp>
      <tp t="e">
        <v>#N/A</v>
        <stp/>
        <stp>BDH|14774709744924880322</stp>
        <tr r="X27" s="7"/>
      </tp>
      <tp t="e">
        <v>#N/A</v>
        <stp/>
        <stp>BDH|15724702479313583626</stp>
        <tr r="L174" s="18"/>
      </tp>
      <tp t="e">
        <v>#N/A</v>
        <stp/>
        <stp>BDH|15718847390945312192</stp>
        <tr r="Y84" s="12"/>
      </tp>
      <tp t="e">
        <v>#N/A</v>
        <stp/>
        <stp>BDH|11922854722233602817</stp>
        <tr r="D15" s="24"/>
      </tp>
      <tp t="e">
        <v>#N/A</v>
        <stp/>
        <stp>BDH|11953472343959091845</stp>
        <tr r="X80" s="17"/>
      </tp>
      <tp t="e">
        <v>#N/A</v>
        <stp/>
        <stp>BDH|14653509528220580324</stp>
        <tr r="Y14" s="20"/>
        <tr r="Y119" s="18"/>
      </tp>
      <tp t="e">
        <v>#N/A</v>
        <stp/>
        <stp>BDH|12812291176713860463</stp>
        <tr r="U40" s="24"/>
      </tp>
      <tp t="e">
        <v>#N/A</v>
        <stp/>
        <stp>BDH|13486135247282978409</stp>
        <tr r="W64" s="11"/>
        <tr r="W75" s="10"/>
      </tp>
      <tp t="e">
        <v>#N/A</v>
        <stp/>
        <stp>BDH|10456029510219777889</stp>
        <tr r="Z47" s="13"/>
      </tp>
      <tp t="e">
        <v>#N/A</v>
        <stp/>
        <stp>BDH|14086042730131893652</stp>
        <tr r="Y11" s="7"/>
      </tp>
      <tp t="e">
        <v>#N/A</v>
        <stp/>
        <stp>BDH|13192090050491588745</stp>
        <tr r="G26" s="17"/>
      </tp>
      <tp t="e">
        <v>#N/A</v>
        <stp/>
        <stp>BDH|10194783589547809818</stp>
        <tr r="H70" s="12"/>
      </tp>
      <tp t="e">
        <v>#N/A</v>
        <stp/>
        <stp>BDH|16639816065710825836</stp>
        <tr r="R50" s="18"/>
      </tp>
      <tp t="e">
        <v>#N/A</v>
        <stp/>
        <stp>BDH|10944741703815129269</stp>
        <tr r="R87" s="12"/>
      </tp>
      <tp t="e">
        <v>#N/A</v>
        <stp/>
        <stp>BDH|15260582411477526676</stp>
        <tr r="K155" s="18"/>
      </tp>
      <tp t="e">
        <v>#N/A</v>
        <stp/>
        <stp>BDH|12856698635306481192</stp>
        <tr r="G12" s="17"/>
      </tp>
      <tp t="e">
        <v>#N/A</v>
        <stp/>
        <stp>BDH|12026392236300596221</stp>
        <tr r="L8" s="11"/>
      </tp>
      <tp t="e">
        <v>#N/A</v>
        <stp/>
        <stp>BDH|17785099345430788347</stp>
        <tr r="V11" s="22"/>
      </tp>
      <tp t="e">
        <v>#N/A</v>
        <stp/>
        <stp>BDH|10921966700031270859</stp>
        <tr r="M31" s="11"/>
        <tr r="M42" s="10"/>
      </tp>
      <tp t="e">
        <v>#N/A</v>
        <stp/>
        <stp>BDH|13608979719702058901</stp>
        <tr r="L48" s="6"/>
      </tp>
      <tp t="e">
        <v>#N/A</v>
        <stp/>
        <stp>BDH|11834438375450311256</stp>
        <tr r="V49" s="13"/>
      </tp>
      <tp t="e">
        <v>#N/A</v>
        <stp/>
        <stp>BDH|14432599313674124476</stp>
        <tr r="R35" s="21"/>
      </tp>
      <tp t="e">
        <v>#N/A</v>
        <stp/>
        <stp>BDH|14455182894208481442</stp>
        <tr r="M68" s="18"/>
      </tp>
      <tp t="e">
        <v>#N/A</v>
        <stp/>
        <stp>BDH|10516304231750883045</stp>
        <tr r="U53" s="18"/>
      </tp>
      <tp t="e">
        <v>#N/A</v>
        <stp/>
        <stp>BDH|15003099905437254266</stp>
        <tr r="P70" s="12"/>
      </tp>
      <tp t="e">
        <v>#N/A</v>
        <stp/>
        <stp>BDH|12545049923794370493</stp>
        <tr r="Y24" s="12"/>
      </tp>
      <tp t="e">
        <v>#N/A</v>
        <stp/>
        <stp>BDH|18406632747258193297</stp>
        <tr r="J32" s="21"/>
      </tp>
      <tp t="e">
        <v>#N/A</v>
        <stp/>
        <stp>BDH|11155356859614212379</stp>
        <tr r="K7" s="27"/>
        <tr r="K94" s="17"/>
      </tp>
      <tp t="e">
        <v>#N/A</v>
        <stp/>
        <stp>BDH|11284439811803065782</stp>
        <tr r="W38" s="13"/>
        <tr r="U31" s="10"/>
      </tp>
      <tp t="e">
        <v>#N/A</v>
        <stp/>
        <stp>BDH|15293683942641494648</stp>
        <tr r="T26" s="6"/>
      </tp>
      <tp t="e">
        <v>#N/A</v>
        <stp/>
        <stp>BDH|12026399771726626063</stp>
        <tr r="V144" s="18"/>
      </tp>
      <tp t="e">
        <v>#N/A</v>
        <stp/>
        <stp>BDH|12921509854712234073</stp>
        <tr r="F143" s="18"/>
      </tp>
      <tp t="e">
        <v>#N/A</v>
        <stp/>
        <stp>BDH|10712677263811218193</stp>
        <tr r="T23" s="18"/>
      </tp>
      <tp t="e">
        <v>#N/A</v>
        <stp/>
        <stp>BDH|14953262822972675635</stp>
        <tr r="Z61" s="12"/>
      </tp>
      <tp t="e">
        <v>#N/A</v>
        <stp/>
        <stp>BDH|16931033470695284402</stp>
        <tr r="Q45" s="12"/>
      </tp>
      <tp t="e">
        <v>#N/A</v>
        <stp/>
        <stp>BDH|15313605243662172596</stp>
        <tr r="R31" s="17"/>
      </tp>
      <tp t="e">
        <v>#N/A</v>
        <stp/>
        <stp>BDH|11616190452225331063</stp>
        <tr r="Y49" s="24"/>
      </tp>
      <tp t="e">
        <v>#N/A</v>
        <stp/>
        <stp>BDH|18307348394754251698</stp>
        <tr r="T7" s="10"/>
      </tp>
      <tp t="e">
        <v>#N/A</v>
        <stp/>
        <stp>BDH|10763282031694104573</stp>
        <tr r="U35" s="24"/>
      </tp>
      <tp t="e">
        <v>#N/A</v>
        <stp/>
        <stp>BDH|13162998477685119868</stp>
        <tr r="G29" s="21"/>
      </tp>
      <tp t="e">
        <v>#N/A</v>
        <stp/>
        <stp>BDH|17588036254031864328</stp>
        <tr r="O145" s="18"/>
      </tp>
      <tp t="e">
        <v>#N/A</v>
        <stp/>
        <stp>BDH|12810622276995730639</stp>
        <tr r="N153" s="18"/>
      </tp>
      <tp t="e">
        <v>#N/A</v>
        <stp/>
        <stp>BDH|13911931026249074145</stp>
        <tr r="O48" s="18"/>
      </tp>
      <tp t="e">
        <v>#N/A</v>
        <stp/>
        <stp>BDH|14346571047747858230</stp>
        <tr r="J57" s="18"/>
      </tp>
      <tp t="e">
        <v>#N/A</v>
        <stp/>
        <stp>BDH|13849972975769660440</stp>
        <tr r="AA42" s="17"/>
      </tp>
      <tp t="e">
        <v>#N/A</v>
        <stp/>
        <stp>BDH|12618217209239039961</stp>
        <tr r="H13" s="34"/>
      </tp>
      <tp t="e">
        <v>#N/A</v>
        <stp/>
        <stp>BDH|11905743421635457105</stp>
        <tr r="G128" s="18"/>
      </tp>
      <tp t="e">
        <v>#N/A</v>
        <stp/>
        <stp>BDH|16041990596251723700</stp>
        <tr r="Q39" s="6"/>
      </tp>
      <tp t="e">
        <v>#N/A</v>
        <stp/>
        <stp>BDH|14475952754920615886</stp>
        <tr r="W47" s="22"/>
      </tp>
      <tp t="e">
        <v>#N/A</v>
        <stp/>
        <stp>BDH|12511519181218892768</stp>
        <tr r="R44" s="6"/>
      </tp>
      <tp t="e">
        <v>#N/A</v>
        <stp/>
        <stp>BDH|10442361113762813029</stp>
        <tr r="E43" s="12"/>
      </tp>
      <tp t="e">
        <v>#N/A</v>
        <stp/>
        <stp>BDH|16235145154600983201</stp>
        <tr r="J27" s="17"/>
      </tp>
      <tp t="e">
        <v>#N/A</v>
        <stp/>
        <stp>BDH|17853526336441074079</stp>
        <tr r="Z58" s="24"/>
      </tp>
      <tp t="e">
        <v>#N/A</v>
        <stp/>
        <stp>BDH|15126783933811945085</stp>
        <tr r="J61" s="11"/>
      </tp>
      <tp t="e">
        <v>#N/A</v>
        <stp/>
        <stp>BDH|16520564249574422359</stp>
        <tr r="M36" s="22"/>
      </tp>
      <tp t="e">
        <v>#N/A</v>
        <stp/>
        <stp>BDH|17804548041460325656</stp>
        <tr r="G49" s="13"/>
      </tp>
      <tp t="e">
        <v>#N/A</v>
        <stp/>
        <stp>BDH|17832006911807108135</stp>
        <tr r="Z60" s="17"/>
      </tp>
      <tp t="e">
        <v>#N/A</v>
        <stp/>
        <stp>BDH|11961556123831204766</stp>
        <tr r="D22" s="17"/>
        <tr r="D15" s="3"/>
      </tp>
      <tp t="e">
        <v>#N/A</v>
        <stp/>
        <stp>BDH|16405781146356047318</stp>
        <tr r="J47" s="18"/>
      </tp>
      <tp t="e">
        <v>#N/A</v>
        <stp/>
        <stp>BDH|14677632155254283391</stp>
        <tr r="R68" s="10"/>
        <tr r="R25" s="4"/>
      </tp>
      <tp t="e">
        <v>#N/A</v>
        <stp/>
        <stp>BDH|14863489326633470190</stp>
        <tr r="R90" s="12"/>
      </tp>
      <tp t="e">
        <v>#N/A</v>
        <stp/>
        <stp>BDH|10269688414196601132</stp>
        <tr r="X42" s="26"/>
      </tp>
      <tp t="e">
        <v>#N/A</v>
        <stp/>
        <stp>BDH|15529857529706560978</stp>
        <tr r="P32" s="18"/>
      </tp>
      <tp t="e">
        <v>#N/A</v>
        <stp/>
        <stp>BDH|14639408204667044795</stp>
        <tr r="K19" s="23"/>
        <tr r="I60" s="11"/>
      </tp>
      <tp t="e">
        <v>#N/A</v>
        <stp/>
        <stp>BDH|15222197470093387031</stp>
        <tr r="V9" s="29"/>
      </tp>
      <tp t="e">
        <v>#N/A</v>
        <stp/>
        <stp>BDH|16456741749882538773</stp>
        <tr r="M20" s="17"/>
      </tp>
      <tp t="e">
        <v>#N/A</v>
        <stp/>
        <stp>BDH|17802305866280581203</stp>
        <tr r="Q57" s="24"/>
      </tp>
      <tp t="e">
        <v>#N/A</v>
        <stp/>
        <stp>BDH|14901575668343827457</stp>
        <tr r="P96" s="18"/>
      </tp>
      <tp t="e">
        <v>#N/A</v>
        <stp/>
        <stp>BDH|15851373133435435032</stp>
        <tr r="C14" s="3"/>
      </tp>
      <tp t="e">
        <v>#N/A</v>
        <stp/>
        <stp>BDH|13209953785460949200</stp>
        <tr r="D51" s="34"/>
      </tp>
      <tp t="e">
        <v>#N/A</v>
        <stp/>
        <stp>BDH|16198434839308190914</stp>
        <tr r="V11" s="18"/>
      </tp>
      <tp t="e">
        <v>#N/A</v>
        <stp/>
        <stp>BDH|13656171325517851776</stp>
        <tr r="K7" s="6"/>
      </tp>
      <tp t="e">
        <v>#N/A</v>
        <stp/>
        <stp>BDH|17467994685105765347</stp>
        <tr r="U53" s="17"/>
      </tp>
      <tp t="e">
        <v>#N/A</v>
        <stp/>
        <stp>BDH|14691359148217877487</stp>
        <tr r="K100" s="18"/>
      </tp>
      <tp t="e">
        <v>#N/A</v>
        <stp/>
        <stp>BDH|13977010012992165009</stp>
        <tr r="L15" s="12"/>
      </tp>
      <tp t="e">
        <v>#N/A</v>
        <stp/>
        <stp>BDH|11039330419310506341</stp>
        <tr r="U70" s="18"/>
      </tp>
      <tp t="e">
        <v>#N/A</v>
        <stp/>
        <stp>BDH|12645668948937665752</stp>
        <tr r="V18" s="28"/>
        <tr r="V15" s="17"/>
      </tp>
      <tp t="e">
        <v>#N/A</v>
        <stp/>
        <stp>BDH|10848519479950206294</stp>
        <tr r="M18" s="18"/>
      </tp>
      <tp t="e">
        <v>#N/A</v>
        <stp/>
        <stp>BDH|16199198572667503747</stp>
        <tr r="L157" s="18"/>
      </tp>
      <tp t="e">
        <v>#N/A</v>
        <stp/>
        <stp>BDH|11862507234426662113</stp>
        <tr r="C73" s="13"/>
      </tp>
      <tp t="e">
        <v>#N/A</v>
        <stp/>
        <stp>BDH|10133120316192845261</stp>
        <tr r="L67" s="18"/>
      </tp>
      <tp t="e">
        <v>#N/A</v>
        <stp/>
        <stp>BDH|11811667847667104437</stp>
        <tr r="O22" s="18"/>
      </tp>
      <tp t="e">
        <v>#N/A</v>
        <stp/>
        <stp>BDH|17235146913516631187</stp>
        <tr r="X58" s="17"/>
      </tp>
      <tp t="e">
        <v>#N/A</v>
        <stp/>
        <stp>BDH|13283896000152058911</stp>
        <tr r="W67" s="24"/>
      </tp>
      <tp t="e">
        <v>#N/A</v>
        <stp/>
        <stp>BDH|15484165726281635787</stp>
        <tr r="O77" s="17"/>
      </tp>
      <tp t="e">
        <v>#N/A</v>
        <stp/>
        <stp>BDH|14661792102950060370</stp>
        <tr r="E56" s="13"/>
      </tp>
      <tp t="e">
        <v>#N/A</v>
        <stp/>
        <stp>BDH|18159606374980801971</stp>
        <tr r="F22" s="30"/>
        <tr r="F24" s="23"/>
      </tp>
      <tp t="e">
        <v>#N/A</v>
        <stp/>
        <stp>BDH|17738787066761204719</stp>
        <tr r="Z38" s="13"/>
        <tr r="X31" s="10"/>
      </tp>
      <tp t="e">
        <v>#N/A</v>
        <stp/>
        <stp>BDH|12917525691876619864</stp>
        <tr r="Z43" s="25"/>
        <tr r="Z22" s="13"/>
        <tr r="Z7" s="13"/>
        <tr r="X17" s="11"/>
        <tr r="Z7" s="3"/>
      </tp>
      <tp t="e">
        <v>#N/A</v>
        <stp/>
        <stp>BDH|15158134265192903049</stp>
        <tr r="X8" s="17"/>
      </tp>
      <tp t="e">
        <v>#N/A</v>
        <stp/>
        <stp>BDH|16369500169085691067</stp>
        <tr r="D86" s="12"/>
      </tp>
      <tp t="e">
        <v>#N/A</v>
        <stp/>
        <stp>BDH|15121749331305635484</stp>
        <tr r="C9" s="10"/>
      </tp>
      <tp t="e">
        <v>#N/A</v>
        <stp/>
        <stp>BDH|16119122386758733789</stp>
        <tr r="O33" s="11"/>
        <tr r="O44" s="10"/>
      </tp>
      <tp t="e">
        <v>#N/A</v>
        <stp/>
        <stp>BDH|10861460525737772168</stp>
        <tr r="E62" s="11"/>
        <tr r="E73" s="10"/>
        <tr r="E20" s="7"/>
      </tp>
      <tp t="e">
        <v>#N/A</v>
        <stp/>
        <stp>BDH|10625647508921941796</stp>
        <tr r="W14" s="6"/>
      </tp>
      <tp t="e">
        <v>#N/A</v>
        <stp/>
        <stp>BDH|13326686271373994193</stp>
        <tr r="T39" s="24"/>
      </tp>
      <tp t="e">
        <v>#N/A</v>
        <stp/>
        <stp>BDH|12840702692064782873</stp>
        <tr r="H9" s="24"/>
      </tp>
      <tp t="e">
        <v>#N/A</v>
        <stp/>
        <stp>BDH|11854664859074434691</stp>
        <tr r="L51" s="12"/>
      </tp>
      <tp t="e">
        <v>#N/A</v>
        <stp/>
        <stp>BDH|12214208812270999130</stp>
        <tr r="Y10" s="21"/>
      </tp>
      <tp t="e">
        <v>#N/A</v>
        <stp/>
        <stp>BDH|17837443630415402526</stp>
        <tr r="G50" s="4"/>
      </tp>
      <tp t="e">
        <v>#N/A</v>
        <stp/>
        <stp>BDH|13756446105232568596</stp>
        <tr r="L107" s="18"/>
      </tp>
      <tp t="e">
        <v>#N/A</v>
        <stp/>
        <stp>BDH|16253285170557920496</stp>
        <tr r="N43" s="18"/>
      </tp>
      <tp t="e">
        <v>#N/A</v>
        <stp/>
        <stp>BDH|13954703820773718541</stp>
        <tr r="H41" s="24"/>
      </tp>
      <tp t="e">
        <v>#N/A</v>
        <stp/>
        <stp>BDH|17395385860932133006</stp>
        <tr r="C24" s="26"/>
      </tp>
      <tp t="e">
        <v>#N/A</v>
        <stp/>
        <stp>BDH|17430865807739834672</stp>
        <tr r="K11" s="13"/>
      </tp>
      <tp t="e">
        <v>#N/A</v>
        <stp/>
        <stp>BDH|17868576609651803346</stp>
        <tr r="X33" s="11"/>
        <tr r="X44" s="10"/>
      </tp>
      <tp t="e">
        <v>#N/A</v>
        <stp/>
        <stp>BDH|17553926584450956602</stp>
        <tr r="X60" s="12"/>
      </tp>
      <tp t="e">
        <v>#N/A</v>
        <stp/>
        <stp>BDH|16202153252546788489</stp>
        <tr r="U17" s="23"/>
      </tp>
      <tp t="e">
        <v>#N/A</v>
        <stp/>
        <stp>BDH|14468824535439907601</stp>
        <tr r="V11" s="24"/>
      </tp>
      <tp t="e">
        <v>#N/A</v>
        <stp/>
        <stp>BDH|18033720278849956199</stp>
        <tr r="N66" s="13"/>
      </tp>
      <tp t="e">
        <v>#N/A</v>
        <stp/>
        <stp>BDH|11442756868670216013</stp>
        <tr r="R92" s="12"/>
      </tp>
      <tp t="e">
        <v>#N/A</v>
        <stp/>
        <stp>BDH|14401765568362206720</stp>
        <tr r="P140" s="18"/>
      </tp>
      <tp t="e">
        <v>#N/A</v>
        <stp/>
        <stp>BDH|11242852061799955651</stp>
        <tr r="J67" s="13"/>
      </tp>
      <tp t="e">
        <v>#N/A</v>
        <stp/>
        <stp>BDH|16108283104762570627</stp>
        <tr r="E17" s="13"/>
      </tp>
      <tp t="e">
        <v>#N/A</v>
        <stp/>
        <stp>BDH|17920603023476608561</stp>
        <tr r="I165" s="18"/>
      </tp>
      <tp t="e">
        <v>#N/A</v>
        <stp/>
        <stp>BDH|15718392873223568223</stp>
        <tr r="F62" s="24"/>
      </tp>
      <tp t="e">
        <v>#N/A</v>
        <stp/>
        <stp>BDH|14549286895538126731</stp>
        <tr r="Z125" s="18"/>
      </tp>
      <tp t="e">
        <v>#N/A</v>
        <stp/>
        <stp>BDH|12291876308262584821</stp>
        <tr r="O20" s="29"/>
      </tp>
      <tp t="e">
        <v>#N/A</v>
        <stp/>
        <stp>BDH|12197314230455427790</stp>
        <tr r="W43" s="34"/>
      </tp>
      <tp t="e">
        <v>#N/A</v>
        <stp/>
        <stp>BDH|12459028115002763191</stp>
        <tr r="U69" s="10"/>
        <tr r="U39" s="4"/>
      </tp>
      <tp t="e">
        <v>#N/A</v>
        <stp/>
        <stp>BDH|11180084537671004330</stp>
        <tr r="I12" s="17"/>
      </tp>
      <tp t="e">
        <v>#N/A</v>
        <stp/>
        <stp>BDH|14679697836860541116</stp>
        <tr r="AA79" s="12"/>
      </tp>
      <tp t="e">
        <v>#N/A</v>
        <stp/>
        <stp>BDH|16606660258246738328</stp>
        <tr r="S48" s="12"/>
      </tp>
      <tp t="e">
        <v>#N/A</v>
        <stp/>
        <stp>BDH|12669548730362917664</stp>
        <tr r="J54" s="34"/>
      </tp>
      <tp t="e">
        <v>#N/A</v>
        <stp/>
        <stp>BDH|15232997908354791891</stp>
        <tr r="E31" s="17"/>
      </tp>
      <tp t="e">
        <v>#N/A</v>
        <stp/>
        <stp>BDH|16766112619776189034</stp>
        <tr r="J7" s="34"/>
      </tp>
      <tp t="e">
        <v>#N/A</v>
        <stp/>
        <stp>BDH|14993963280366760350</stp>
        <tr r="X38" s="29"/>
        <tr r="X15" s="29"/>
      </tp>
      <tp t="e">
        <v>#N/A</v>
        <stp/>
        <stp>BDH|10909331905482131138</stp>
        <tr r="J36" s="17"/>
      </tp>
      <tp t="e">
        <v>#N/A</v>
        <stp/>
        <stp>BDH|17893872960479067027</stp>
        <tr r="V29" s="34"/>
      </tp>
      <tp t="e">
        <v>#N/A</v>
        <stp/>
        <stp>BDH|14181071740787203793</stp>
        <tr r="O53" s="34"/>
      </tp>
      <tp t="e">
        <v>#N/A</v>
        <stp/>
        <stp>BDH|17161558613294230782</stp>
        <tr r="Z51" s="13"/>
      </tp>
      <tp t="e">
        <v>#N/A</v>
        <stp/>
        <stp>BDH|13717219823414103790</stp>
        <tr r="P13" s="30"/>
      </tp>
      <tp t="e">
        <v>#N/A</v>
        <stp/>
        <stp>BDH|13316377676934638390</stp>
        <tr r="O31" s="22"/>
      </tp>
      <tp t="e">
        <v>#N/A</v>
        <stp/>
        <stp>BDH|11270540606975554187</stp>
        <tr r="D45" s="13"/>
      </tp>
      <tp t="e">
        <v>#N/A</v>
        <stp/>
        <stp>BDH|15823915482774145078</stp>
        <tr r="F12" s="25"/>
      </tp>
      <tp t="e">
        <v>#N/A</v>
        <stp/>
        <stp>BDH|12000416357582978128</stp>
        <tr r="E144" s="18"/>
      </tp>
      <tp t="e">
        <v>#N/A</v>
        <stp/>
        <stp>BDH|14417188035461072746</stp>
        <tr r="Q20" s="18"/>
      </tp>
      <tp t="e">
        <v>#N/A</v>
        <stp/>
        <stp>BDH|12815393300594451581</stp>
        <tr r="K49" s="13"/>
      </tp>
      <tp t="e">
        <v>#N/A</v>
        <stp/>
        <stp>BDH|12544795307325570037</stp>
        <tr r="X151" s="18"/>
      </tp>
      <tp t="e">
        <v>#N/A</v>
        <stp/>
        <stp>BDH|12550055369630673423</stp>
        <tr r="D58" s="24"/>
      </tp>
      <tp t="e">
        <v>#N/A</v>
        <stp/>
        <stp>BDH|13670692513747893399</stp>
        <tr r="M149" s="18"/>
      </tp>
      <tp t="e">
        <v>#N/A</v>
        <stp/>
        <stp>BDH|13547863634279868122</stp>
        <tr r="C13" s="28"/>
        <tr r="C95" s="17"/>
      </tp>
      <tp t="e">
        <v>#N/A</v>
        <stp/>
        <stp>BDH|10725272252127980068</stp>
        <tr r="F27" s="17"/>
      </tp>
      <tp t="e">
        <v>#N/A</v>
        <stp/>
        <stp>BDH|15670987273402527957</stp>
        <tr r="T33" s="11"/>
        <tr r="T44" s="10"/>
      </tp>
      <tp t="e">
        <v>#N/A</v>
        <stp/>
        <stp>BDH|15711970105055832903</stp>
        <tr r="N22" s="27"/>
      </tp>
      <tp t="e">
        <v>#N/A</v>
        <stp/>
        <stp>BDH|18104481747250316803</stp>
        <tr r="Y9" s="25"/>
        <tr r="Y44" s="17"/>
      </tp>
      <tp t="e">
        <v>#N/A</v>
        <stp/>
        <stp>BDH|17904056425372704734</stp>
        <tr r="AA21" s="24"/>
      </tp>
      <tp t="e">
        <v>#N/A</v>
        <stp/>
        <stp>BDH|17443073609653038472</stp>
        <tr r="J53" s="22"/>
      </tp>
      <tp t="e">
        <v>#N/A</v>
        <stp/>
        <stp>BDH|12791178077302874625</stp>
        <tr r="AA53" s="17"/>
      </tp>
      <tp t="e">
        <v>#N/A</v>
        <stp/>
        <stp>BDH|17729475795339159396</stp>
        <tr r="I53" s="24"/>
      </tp>
      <tp t="e">
        <v>#N/A</v>
        <stp/>
        <stp>BDH|14927002708475459187</stp>
        <tr r="Q9" s="27"/>
      </tp>
      <tp t="e">
        <v>#N/A</v>
        <stp/>
        <stp>BDH|12075276857692512780</stp>
        <tr r="T36" s="21"/>
        <tr r="T24" s="3"/>
      </tp>
      <tp t="e">
        <v>#N/A</v>
        <stp/>
        <stp>BDH|11455972014711369893</stp>
        <tr r="X63" s="12"/>
      </tp>
      <tp t="e">
        <v>#N/A</v>
        <stp/>
        <stp>BDH|11106083970260715635</stp>
        <tr r="H84" s="18"/>
      </tp>
      <tp t="e">
        <v>#N/A</v>
        <stp/>
        <stp>BDH|15999376275467497627</stp>
        <tr r="N73" s="13"/>
        <tr r="L50" s="11"/>
        <tr r="L61" s="10"/>
        <tr r="L19" s="7"/>
        <tr r="L18" s="4"/>
        <tr r="L20" s="2"/>
      </tp>
      <tp t="e">
        <v>#N/A</v>
        <stp/>
        <stp>BDH|10423831090396834727</stp>
        <tr r="O10" s="22"/>
      </tp>
      <tp t="e">
        <v>#N/A</v>
        <stp/>
        <stp>BDH|14185395694269292732</stp>
        <tr r="W42" s="4"/>
      </tp>
      <tp t="e">
        <v>#N/A</v>
        <stp/>
        <stp>BDH|11706796864290181077</stp>
        <tr r="T24" s="10"/>
      </tp>
      <tp t="e">
        <v>#N/A</v>
        <stp/>
        <stp>BDH|16089981114536659862</stp>
        <tr r="Z63" s="18"/>
      </tp>
      <tp t="e">
        <v>#N/A</v>
        <stp/>
        <stp>BDH|13631169071350563585</stp>
        <tr r="K26" s="21"/>
      </tp>
      <tp t="e">
        <v>#N/A</v>
        <stp/>
        <stp>BDH|11002677367933500294</stp>
        <tr r="Z14" s="12"/>
      </tp>
      <tp t="e">
        <v>#N/A</v>
        <stp/>
        <stp>BDH|16379299901154017074</stp>
        <tr r="L75" s="18"/>
      </tp>
      <tp t="e">
        <v>#N/A</v>
        <stp/>
        <stp>BDH|15932890189385012058</stp>
        <tr r="I127" s="18"/>
      </tp>
      <tp t="e">
        <v>#N/A</v>
        <stp/>
        <stp>BDH|15304369423683918736</stp>
        <tr r="G32" s="29"/>
        <tr r="E34" s="5"/>
      </tp>
      <tp t="e">
        <v>#N/A</v>
        <stp/>
        <stp>BDH|14367415951201770489</stp>
        <tr r="U48" s="13"/>
      </tp>
      <tp t="e">
        <v>#N/A</v>
        <stp/>
        <stp>BDH|13155588675273283228</stp>
        <tr r="D13" s="12"/>
      </tp>
      <tp t="e">
        <v>#N/A</v>
        <stp/>
        <stp>BDH|12737513533672003699</stp>
        <tr r="I74" s="18"/>
      </tp>
      <tp t="e">
        <v>#N/A</v>
        <stp/>
        <stp>BDH|11141115948904314077</stp>
        <tr r="Y92" s="12"/>
      </tp>
      <tp t="e">
        <v>#N/A</v>
        <stp/>
        <stp>BDH|16250226510972808744</stp>
        <tr r="N27" s="13"/>
      </tp>
      <tp t="e">
        <v>#N/A</v>
        <stp/>
        <stp>BDH|12202290693139588014</stp>
        <tr r="T62" s="11"/>
        <tr r="T73" s="10"/>
        <tr r="T20" s="7"/>
      </tp>
      <tp t="e">
        <v>#N/A</v>
        <stp/>
        <stp>BDH|13595559947602397082</stp>
        <tr r="S68" s="24"/>
      </tp>
      <tp t="e">
        <v>#N/A</v>
        <stp/>
        <stp>BDH|12928548572434044437</stp>
        <tr r="AA34" s="26"/>
      </tp>
      <tp t="e">
        <v>#N/A</v>
        <stp/>
        <stp>BDH|14440482736356491521</stp>
        <tr r="R47" s="13"/>
      </tp>
      <tp t="e">
        <v>#N/A</v>
        <stp/>
        <stp>BDH|14402793844032684539</stp>
        <tr r="M86" s="18"/>
      </tp>
      <tp t="e">
        <v>#N/A</v>
        <stp/>
        <stp>BDH|13505684463980067329</stp>
        <tr r="K27" s="26"/>
      </tp>
      <tp t="e">
        <v>#N/A</v>
        <stp/>
        <stp>BDH|13581522448923071136</stp>
        <tr r="M42" s="21"/>
      </tp>
      <tp t="e">
        <v>#N/A</v>
        <stp/>
        <stp>BDH|17163582137186623746</stp>
        <tr r="T91" s="12"/>
      </tp>
      <tp t="e">
        <v>#N/A</v>
        <stp/>
        <stp>BDH|10671984583633122206</stp>
        <tr r="D87" s="17"/>
      </tp>
      <tp t="e">
        <v>#N/A</v>
        <stp/>
        <stp>BDH|10872235736021007012</stp>
        <tr r="R12" s="26"/>
      </tp>
      <tp t="e">
        <v>#N/A</v>
        <stp/>
        <stp>BDH|16194237348759210948</stp>
        <tr r="Z74" s="18"/>
      </tp>
      <tp t="e">
        <v>#N/A</v>
        <stp/>
        <stp>BDH|17823157177037152677</stp>
        <tr r="U6" s="19"/>
        <tr r="U38" s="17"/>
        <tr r="U16" s="3"/>
      </tp>
      <tp t="e">
        <v>#N/A</v>
        <stp/>
        <stp>BDH|11748326947607903173</stp>
        <tr r="Z8" s="8"/>
      </tp>
      <tp t="e">
        <v>#N/A</v>
        <stp/>
        <stp>BDH|15428184718476165392</stp>
        <tr r="L135" s="18"/>
      </tp>
      <tp t="e">
        <v>#N/A</v>
        <stp/>
        <stp>BDH|15619866874159831303</stp>
        <tr r="W23" s="29"/>
        <tr r="W14" s="29"/>
        <tr r="W37" s="29"/>
      </tp>
      <tp t="e">
        <v>#N/A</v>
        <stp/>
        <stp>BDH|14496011563064858628</stp>
        <tr r="V20" s="10"/>
      </tp>
      <tp t="e">
        <v>#N/A</v>
        <stp/>
        <stp>BDH|18304778468240568959</stp>
        <tr r="D22" s="9"/>
      </tp>
      <tp t="e">
        <v>#N/A</v>
        <stp/>
        <stp>BDH|11368780816496762161</stp>
        <tr r="D23" s="30"/>
        <tr r="D25" s="23"/>
      </tp>
      <tp t="e">
        <v>#N/A</v>
        <stp/>
        <stp>BDH|15593955387111981520</stp>
        <tr r="Q31" s="22"/>
      </tp>
      <tp t="e">
        <v>#N/A</v>
        <stp/>
        <stp>BDH|13599061424071851039</stp>
        <tr r="G11" s="28"/>
      </tp>
      <tp t="e">
        <v>#N/A</v>
        <stp/>
        <stp>BDH|16550963819087707912</stp>
        <tr r="V149" s="18"/>
      </tp>
      <tp t="e">
        <v>#N/A</v>
        <stp/>
        <stp>BDH|18145864353176947311</stp>
        <tr r="N37" s="10"/>
        <tr r="N26" s="11"/>
      </tp>
      <tp t="e">
        <v>#N/A</v>
        <stp/>
        <stp>BDH|14664360007227207090</stp>
        <tr r="X18" s="6"/>
      </tp>
      <tp t="e">
        <v>#N/A</v>
        <stp/>
        <stp>BDH|13300403579928558804</stp>
        <tr r="H9" s="8"/>
        <tr r="F52" s="6"/>
      </tp>
      <tp t="e">
        <v>#N/A</v>
        <stp/>
        <stp>BDH|13323728417605108087</stp>
        <tr r="W66" s="21"/>
      </tp>
      <tp t="e">
        <v>#N/A</v>
        <stp/>
        <stp>BDH|11101788902971081742</stp>
        <tr r="P51" s="22"/>
      </tp>
      <tp t="e">
        <v>#N/A</v>
        <stp/>
        <stp>BDH|12243136652864468287</stp>
        <tr r="Z25" s="22"/>
      </tp>
      <tp t="e">
        <v>#N/A</v>
        <stp/>
        <stp>BDH|13541381524047273549</stp>
        <tr r="F12" s="10"/>
      </tp>
      <tp t="e">
        <v>#N/A</v>
        <stp/>
        <stp>BDH|15629651650414486285</stp>
        <tr r="M70" s="18"/>
      </tp>
      <tp t="e">
        <v>#N/A</v>
        <stp/>
        <stp>BDH|15906497866702826518</stp>
        <tr r="P18" s="10"/>
      </tp>
      <tp t="e">
        <v>#N/A</v>
        <stp/>
        <stp>BDH|17603628406768974942</stp>
        <tr r="Q43" s="12"/>
      </tp>
      <tp t="e">
        <v>#N/A</v>
        <stp/>
        <stp>BDH|10118666079877415657</stp>
        <tr r="AA39" s="13"/>
        <tr r="Y32" s="10"/>
      </tp>
      <tp t="e">
        <v>#N/A</v>
        <stp/>
        <stp>BDH|17235312815404048198</stp>
        <tr r="O93" s="12"/>
      </tp>
      <tp t="e">
        <v>#N/A</v>
        <stp/>
        <stp>BDH|13047261578340996686</stp>
        <tr r="I54" s="12"/>
      </tp>
      <tp t="e">
        <v>#N/A</v>
        <stp/>
        <stp>BDH|15298001009291132450</stp>
        <tr r="D63" s="17"/>
      </tp>
      <tp t="e">
        <v>#N/A</v>
        <stp/>
        <stp>BDH|11148899680066166763</stp>
        <tr r="H33" s="6"/>
      </tp>
      <tp t="e">
        <v>#N/A</v>
        <stp/>
        <stp>BDH|13291642979735443740</stp>
        <tr r="L31" s="17"/>
      </tp>
      <tp t="e">
        <v>#N/A</v>
        <stp/>
        <stp>BDH|16357568763114101184</stp>
        <tr r="C21" s="24"/>
      </tp>
      <tp t="e">
        <v>#N/A</v>
        <stp/>
        <stp>BDH|15844723504222923089</stp>
        <tr r="L37" s="13"/>
        <tr r="J30" s="10"/>
      </tp>
      <tp t="e">
        <v>#N/A</v>
        <stp/>
        <stp>BDH|17979828018388542695</stp>
        <tr r="Y42" s="21"/>
      </tp>
      <tp t="e">
        <v>#N/A</v>
        <stp/>
        <stp>BDH|12367813418902641935</stp>
        <tr r="E53" s="18"/>
      </tp>
      <tp t="e">
        <v>#N/A</v>
        <stp/>
        <stp>BDH|15443382975053132279</stp>
        <tr r="C39" s="12"/>
      </tp>
      <tp t="e">
        <v>#N/A</v>
        <stp/>
        <stp>BDH|17808113717512332529</stp>
        <tr r="L34" s="22"/>
      </tp>
      <tp t="e">
        <v>#N/A</v>
        <stp/>
        <stp>BDH|14850633044951447747</stp>
        <tr r="AA69" s="24"/>
      </tp>
      <tp t="e">
        <v>#N/A</v>
        <stp/>
        <stp>BDH|15941136930175240274</stp>
        <tr r="K94" s="12"/>
      </tp>
      <tp t="e">
        <v>#N/A</v>
        <stp/>
        <stp>BDH|14304692353302072565</stp>
        <tr r="F7" s="4"/>
      </tp>
      <tp t="e">
        <v>#N/A</v>
        <stp/>
        <stp>BDH|15937267142352706154</stp>
        <tr r="T67" s="17"/>
      </tp>
      <tp t="e">
        <v>#N/A</v>
        <stp/>
        <stp>BDH|18058864309981024109</stp>
        <tr r="D23" s="13"/>
      </tp>
      <tp t="e">
        <v>#N/A</v>
        <stp/>
        <stp>BDH|10345268739464784543</stp>
        <tr r="O76" s="18"/>
      </tp>
      <tp t="e">
        <v>#N/A</v>
        <stp/>
        <stp>BDH|10542734109011011602</stp>
        <tr r="T56" s="18"/>
      </tp>
      <tp t="e">
        <v>#N/A</v>
        <stp/>
        <stp>BDH|16877616790561724815</stp>
        <tr r="J53" s="24"/>
      </tp>
      <tp t="e">
        <v>#N/A</v>
        <stp/>
        <stp>BDH|13574969091415408698</stp>
        <tr r="O18" s="27"/>
        <tr r="O36" s="25"/>
      </tp>
      <tp t="e">
        <v>#N/A</v>
        <stp/>
        <stp>BDH|15956663834444734433</stp>
        <tr r="C78" s="18"/>
      </tp>
      <tp t="e">
        <v>#N/A</v>
        <stp/>
        <stp>BDH|17660950985864897216</stp>
        <tr r="I48" s="18"/>
      </tp>
      <tp t="e">
        <v>#N/A</v>
        <stp/>
        <stp>BDH|10738069679526193166</stp>
        <tr r="R24" s="6"/>
      </tp>
      <tp t="e">
        <v>#N/A</v>
        <stp/>
        <stp>BDH|16853393774455336791</stp>
        <tr r="R63" s="18"/>
      </tp>
      <tp t="e">
        <v>#N/A</v>
        <stp/>
        <stp>BDH|14822412159130678591</stp>
        <tr r="Q70" s="18"/>
      </tp>
      <tp t="e">
        <v>#N/A</v>
        <stp/>
        <stp>BDH|10910034255962421749</stp>
        <tr r="O73" s="18"/>
      </tp>
      <tp t="e">
        <v>#N/A</v>
        <stp/>
        <stp>BDH|13051085504053727045</stp>
        <tr r="P54" s="34"/>
      </tp>
      <tp t="e">
        <v>#N/A</v>
        <stp/>
        <stp>BDH|14532220949186052410</stp>
        <tr r="O50" s="17"/>
      </tp>
      <tp t="e">
        <v>#N/A</v>
        <stp/>
        <stp>BDH|16797025674948916973</stp>
        <tr r="K78" s="12"/>
      </tp>
      <tp t="e">
        <v>#N/A</v>
        <stp/>
        <stp>BDH|14503567271713908546</stp>
        <tr r="Q20" s="22"/>
      </tp>
      <tp t="e">
        <v>#N/A</v>
        <stp/>
        <stp>BDH|15509717879527113235</stp>
        <tr r="P16" s="10"/>
      </tp>
      <tp t="e">
        <v>#N/A</v>
        <stp/>
        <stp>BDH|13855226654266024216</stp>
        <tr r="Y103" s="18"/>
      </tp>
      <tp t="e">
        <v>#N/A</v>
        <stp/>
        <stp>BDH|13412396699681839836</stp>
        <tr r="J12" s="25"/>
      </tp>
      <tp t="e">
        <v>#N/A</v>
        <stp/>
        <stp>BDH|17881472844771453612</stp>
        <tr r="J48" s="24"/>
      </tp>
      <tp t="e">
        <v>#N/A</v>
        <stp/>
        <stp>BDH|14037397521880516535</stp>
        <tr r="AA8" s="17"/>
      </tp>
      <tp t="e">
        <v>#N/A</v>
        <stp/>
        <stp>BDH|11747608343750908334</stp>
        <tr r="S63" s="18"/>
      </tp>
      <tp t="e">
        <v>#N/A</v>
        <stp/>
        <stp>BDH|17155771148777440348</stp>
        <tr r="X86" s="18"/>
      </tp>
      <tp t="e">
        <v>#N/A</v>
        <stp/>
        <stp>BDH|15524057088188180572</stp>
        <tr r="H148" s="18"/>
      </tp>
      <tp t="e">
        <v>#N/A</v>
        <stp/>
        <stp>BDH|16539014783817190988</stp>
        <tr r="H27" s="21"/>
      </tp>
      <tp t="e">
        <v>#N/A</v>
        <stp/>
        <stp>BDH|16047875977210841969</stp>
        <tr r="W7" s="9"/>
        <tr r="W7" s="5"/>
        <tr r="X7" s="2"/>
        <tr r="Z14" s="3"/>
      </tp>
      <tp t="e">
        <v>#N/A</v>
        <stp/>
        <stp>BDH|15469452122193585083</stp>
        <tr r="K57" s="12"/>
      </tp>
      <tp t="e">
        <v>#N/A</v>
        <stp/>
        <stp>BDH|10016581620252395556</stp>
        <tr r="U13" s="5"/>
      </tp>
      <tp t="e">
        <v>#N/A</v>
        <stp/>
        <stp>BDH|14116918298486731212</stp>
        <tr r="R154" s="18"/>
      </tp>
      <tp t="e">
        <v>#N/A</v>
        <stp/>
        <stp>BDH|16682054014777842013</stp>
        <tr r="S39" s="26"/>
      </tp>
      <tp t="e">
        <v>#N/A</v>
        <stp/>
        <stp>BDH|13927349532656305521</stp>
        <tr r="I19" s="10"/>
      </tp>
      <tp t="e">
        <v>#N/A</v>
        <stp/>
        <stp>BDH|10877175844111195449</stp>
        <tr r="J164" s="18"/>
      </tp>
      <tp t="e">
        <v>#N/A</v>
        <stp/>
        <stp>BDH|12919254555840462538</stp>
        <tr r="K32" s="5"/>
      </tp>
      <tp t="e">
        <v>#N/A</v>
        <stp/>
        <stp>BDH|16657732423016936517</stp>
        <tr r="W49" s="12"/>
      </tp>
      <tp t="e">
        <v>#N/A</v>
        <stp/>
        <stp>BDH|11322804298541554105</stp>
        <tr r="R9" s="6"/>
      </tp>
      <tp t="e">
        <v>#N/A</v>
        <stp/>
        <stp>BDH|10528190051542652650</stp>
        <tr r="X64" s="18"/>
      </tp>
      <tp t="e">
        <v>#N/A</v>
        <stp/>
        <stp>BDH|15099695561212783714</stp>
        <tr r="Z122" s="18"/>
      </tp>
      <tp t="e">
        <v>#N/A</v>
        <stp/>
        <stp>BDH|18109334169638533503</stp>
        <tr r="T30" s="21"/>
      </tp>
      <tp t="e">
        <v>#N/A</v>
        <stp/>
        <stp>BDH|11245697651407049541</stp>
        <tr r="E78" s="12"/>
      </tp>
      <tp t="e">
        <v>#N/A</v>
        <stp/>
        <stp>BDH|11022428547164984521</stp>
        <tr r="D23" s="12"/>
      </tp>
      <tp t="e">
        <v>#N/A</v>
        <stp/>
        <stp>BDH|10640195113215774556</stp>
        <tr r="C18" s="13"/>
      </tp>
      <tp t="e">
        <v>#N/A</v>
        <stp/>
        <stp>BDH|10852134352375186168</stp>
        <tr r="V37" s="22"/>
      </tp>
      <tp t="e">
        <v>#N/A</v>
        <stp/>
        <stp>BDH|16701790937253643117</stp>
        <tr r="O26" s="17"/>
      </tp>
      <tp t="e">
        <v>#N/A</v>
        <stp/>
        <stp>BDH|13850311136242826195</stp>
        <tr r="I36" s="13"/>
        <tr r="G29" s="10"/>
      </tp>
      <tp t="e">
        <v>#N/A</v>
        <stp/>
        <stp>BDH|15261290610740571607</stp>
        <tr r="I59" s="17"/>
      </tp>
      <tp t="e">
        <v>#N/A</v>
        <stp/>
        <stp>BDH|11611807166087873866</stp>
        <tr r="D49" s="24"/>
      </tp>
      <tp t="e">
        <v>#N/A</v>
        <stp/>
        <stp>BDH|18156476188132361633</stp>
        <tr r="E29" s="34"/>
      </tp>
      <tp t="e">
        <v>#N/A</v>
        <stp/>
        <stp>BDH|13543304800226871633</stp>
        <tr r="W9" s="21"/>
      </tp>
      <tp t="e">
        <v>#N/A</v>
        <stp/>
        <stp>BDH|16944820391552476500</stp>
        <tr r="V171" s="18"/>
      </tp>
      <tp t="e">
        <v>#N/A</v>
        <stp/>
        <stp>BDH|17731658513724886472</stp>
        <tr r="C64" s="17"/>
      </tp>
      <tp t="e">
        <v>#N/A</v>
        <stp/>
        <stp>BDH|11312793352592356157</stp>
        <tr r="G40" s="21"/>
      </tp>
      <tp t="e">
        <v>#N/A</v>
        <stp/>
        <stp>BDH|10414273696682911920</stp>
        <tr r="V29" s="9"/>
      </tp>
      <tp t="e">
        <v>#N/A</v>
        <stp/>
        <stp>BDH|13416694051188025823</stp>
        <tr r="R15" s="23"/>
        <tr r="P59" s="11"/>
      </tp>
      <tp t="e">
        <v>#N/A</v>
        <stp/>
        <stp>BDH|17145894640868355358</stp>
        <tr r="X12" s="11"/>
      </tp>
      <tp t="e">
        <v>#N/A</v>
        <stp/>
        <stp>BDH|10076041409201621153</stp>
        <tr r="U91" s="18"/>
      </tp>
      <tp t="e">
        <v>#N/A</v>
        <stp/>
        <stp>BDH|11026230824627970607</stp>
        <tr r="J37" s="6"/>
      </tp>
      <tp t="e">
        <v>#N/A</v>
        <stp/>
        <stp>BDH|11840277104725008650</stp>
        <tr r="AA52" s="22"/>
      </tp>
      <tp t="e">
        <v>#N/A</v>
        <stp/>
        <stp>BDH|12682272312919806857</stp>
        <tr r="C20" s="21"/>
      </tp>
      <tp t="e">
        <v>#N/A</v>
        <stp/>
        <stp>BDH|10073824204859522022</stp>
        <tr r="D15" s="5"/>
      </tp>
      <tp t="e">
        <v>#N/A</v>
        <stp/>
        <stp>BDH|12229308033122210120</stp>
        <tr r="Q43" s="4"/>
      </tp>
      <tp t="e">
        <v>#N/A</v>
        <stp/>
        <stp>BDH|17630530743953428432</stp>
        <tr r="T169" s="18"/>
      </tp>
      <tp t="e">
        <v>#N/A</v>
        <stp/>
        <stp>BDH|16298192975537743680</stp>
        <tr r="C46" s="24"/>
      </tp>
      <tp t="e">
        <v>#N/A</v>
        <stp/>
        <stp>BDH|14472011249403982240</stp>
        <tr r="S67" s="12"/>
      </tp>
      <tp t="e">
        <v>#N/A</v>
        <stp/>
        <stp>BDH|12852215998138914099</stp>
        <tr r="Q34" s="21"/>
      </tp>
      <tp t="e">
        <v>#N/A</v>
        <stp/>
        <stp>BDH|11810468808615478131</stp>
        <tr r="V10" s="22"/>
      </tp>
      <tp t="e">
        <v>#N/A</v>
        <stp/>
        <stp>BDH|12317938094433265072</stp>
        <tr r="G87" s="17"/>
      </tp>
      <tp t="e">
        <v>#N/A</v>
        <stp/>
        <stp>BDH|11130983867888868776</stp>
        <tr r="F65" s="21"/>
        <tr r="C31" s="6"/>
      </tp>
      <tp t="e">
        <v>#N/A</v>
        <stp/>
        <stp>BDH|15056004612907375207</stp>
        <tr r="N42" s="21"/>
      </tp>
      <tp t="e">
        <v>#N/A</v>
        <stp/>
        <stp>BDH|15690263651051210225</stp>
        <tr r="L18" s="20"/>
      </tp>
      <tp t="e">
        <v>#N/A</v>
        <stp/>
        <stp>BDH|18204492771972349882</stp>
        <tr r="C19" s="26"/>
      </tp>
      <tp t="e">
        <v>#N/A</v>
        <stp/>
        <stp>BDH|12561378005198074865</stp>
        <tr r="Y8" s="25"/>
        <tr r="V10" s="5"/>
        <tr r="W9" s="2"/>
      </tp>
      <tp t="e">
        <v>#N/A</v>
        <stp/>
        <stp>BDH|13315856090354215758</stp>
        <tr r="H23" s="29"/>
        <tr r="H37" s="29"/>
        <tr r="H14" s="29"/>
      </tp>
      <tp t="e">
        <v>#N/A</v>
        <stp/>
        <stp>BDH|11951044418904642521</stp>
        <tr r="Z69" s="12"/>
      </tp>
      <tp t="e">
        <v>#N/A</v>
        <stp/>
        <stp>BDH|13271546196608120609</stp>
        <tr r="G9" s="14"/>
      </tp>
      <tp t="e">
        <v>#N/A</v>
        <stp/>
        <stp>BDH|12682261739670955219</stp>
        <tr r="I29" s="12"/>
      </tp>
      <tp t="e">
        <v>#N/A</v>
        <stp/>
        <stp>BDH|14352411940042648753</stp>
        <tr r="N19" s="11"/>
      </tp>
      <tp t="e">
        <v>#N/A</v>
        <stp/>
        <stp>BDH|13071361213397736734</stp>
        <tr r="M11" s="20"/>
        <tr r="M116" s="18"/>
      </tp>
      <tp t="e">
        <v>#N/A</v>
        <stp/>
        <stp>BDH|17814053934411147490</stp>
        <tr r="V9" s="10"/>
      </tp>
      <tp t="e">
        <v>#N/A</v>
        <stp/>
        <stp>BDH|15720234060375531504</stp>
        <tr r="K31" s="14"/>
      </tp>
      <tp t="e">
        <v>#N/A</v>
        <stp/>
        <stp>BDH|10387210403156387533</stp>
        <tr r="V48" s="22"/>
      </tp>
      <tp t="e">
        <v>#N/A</v>
        <stp/>
        <stp>BDH|11593282379015524008</stp>
        <tr r="T22" s="18"/>
      </tp>
      <tp t="e">
        <v>#N/A</v>
        <stp/>
        <stp>BDH|15025630140840495662</stp>
        <tr r="O128" s="18"/>
      </tp>
      <tp t="e">
        <v>#N/A</v>
        <stp/>
        <stp>BDH|17345839628248962408</stp>
        <tr r="O71" s="24"/>
      </tp>
      <tp t="e">
        <v>#N/A</v>
        <stp/>
        <stp>BDH|13085255266680239609</stp>
        <tr r="C27" s="24"/>
      </tp>
      <tp t="e">
        <v>#N/A</v>
        <stp/>
        <stp>BDH|11896629477361459086</stp>
        <tr r="M21" s="10"/>
      </tp>
      <tp t="e">
        <v>#N/A</v>
        <stp/>
        <stp>BDH|13233355187301077812</stp>
        <tr r="U7" s="28"/>
      </tp>
      <tp t="e">
        <v>#N/A</v>
        <stp/>
        <stp>BDH|15589029764284017622</stp>
        <tr r="M20" s="22"/>
      </tp>
      <tp t="e">
        <v>#N/A</v>
        <stp/>
        <stp>BDH|17538722817750614077</stp>
        <tr r="O88" s="18"/>
      </tp>
      <tp t="e">
        <v>#N/A</v>
        <stp/>
        <stp>BDH|14417605105654814785</stp>
        <tr r="K18" s="26"/>
      </tp>
      <tp t="e">
        <v>#N/A</v>
        <stp/>
        <stp>BDH|12020541611135425206</stp>
        <tr r="G62" s="12"/>
      </tp>
      <tp t="e">
        <v>#N/A</v>
        <stp/>
        <stp>BDH|18106768303807757923</stp>
        <tr r="L35" s="24"/>
      </tp>
      <tp t="e">
        <v>#N/A</v>
        <stp/>
        <stp>BDH|17535560532019849982</stp>
        <tr r="L23" s="20"/>
      </tp>
      <tp t="e">
        <v>#N/A</v>
        <stp/>
        <stp>BDH|13979603509346953287</stp>
        <tr r="O44" s="13"/>
        <tr r="M36" s="11"/>
        <tr r="M47" s="10"/>
        <tr r="M52" s="4"/>
        <tr r="O8" s="3"/>
      </tp>
      <tp t="e">
        <v>#N/A</v>
        <stp/>
        <stp>BDH|10299539755064775523</stp>
        <tr r="N76" s="17"/>
      </tp>
      <tp t="e">
        <v>#N/A</v>
        <stp/>
        <stp>BDH|16880463451393940578</stp>
        <tr r="S10" s="23"/>
      </tp>
      <tp t="e">
        <v>#N/A</v>
        <stp/>
        <stp>BDH|13867682748279039991</stp>
        <tr r="S23" s="13"/>
      </tp>
      <tp t="e">
        <v>#N/A</v>
        <stp/>
        <stp>BDH|11766727423930249558</stp>
        <tr r="N37" s="6"/>
      </tp>
      <tp t="e">
        <v>#N/A</v>
        <stp/>
        <stp>BDH|17573669270027423068</stp>
        <tr r="E43" s="17"/>
      </tp>
      <tp t="e">
        <v>#N/A</v>
        <stp/>
        <stp>BDH|13425315717556745642</stp>
        <tr r="G38" s="24"/>
      </tp>
      <tp t="e">
        <v>#N/A</v>
        <stp/>
        <stp>BDH|16691954931249610445</stp>
        <tr r="M101" s="18"/>
      </tp>
      <tp t="e">
        <v>#N/A</v>
        <stp/>
        <stp>BDH|12542894904138887302</stp>
        <tr r="X27" s="12"/>
      </tp>
      <tp t="e">
        <v>#N/A</v>
        <stp/>
        <stp>BDH|17613068249101108383</stp>
        <tr r="C38" s="13"/>
      </tp>
      <tp t="e">
        <v>#N/A</v>
        <stp/>
        <stp>BDH|15344619291419108223</stp>
        <tr r="X53" s="22"/>
      </tp>
      <tp t="e">
        <v>#N/A</v>
        <stp/>
        <stp>BDH|11076554884219887493</stp>
        <tr r="S24" s="12"/>
      </tp>
      <tp t="e">
        <v>#N/A</v>
        <stp/>
        <stp>BDH|13576604233567488024</stp>
        <tr r="W20" s="26"/>
      </tp>
      <tp t="e">
        <v>#N/A</v>
        <stp/>
        <stp>BDH|13718375421333145009</stp>
        <tr r="K35" s="34"/>
      </tp>
      <tp t="e">
        <v>#N/A</v>
        <stp/>
        <stp>BDH|13273602731047197026</stp>
        <tr r="M22" s="29"/>
        <tr r="M13" s="29"/>
        <tr r="M36" s="29"/>
      </tp>
      <tp t="e">
        <v>#N/A</v>
        <stp/>
        <stp>BDH|17440328496948845489</stp>
        <tr r="C7" s="4"/>
      </tp>
      <tp t="e">
        <v>#N/A</v>
        <stp/>
        <stp>BDH|13870558257235270782</stp>
        <tr r="U45" s="34"/>
      </tp>
      <tp t="e">
        <v>#N/A</v>
        <stp/>
        <stp>BDH|11329405317512243769</stp>
        <tr r="V17" s="27"/>
        <tr r="V35" s="25"/>
        <tr r="S14" s="5"/>
      </tp>
      <tp t="e">
        <v>#N/A</v>
        <stp/>
        <stp>BDH|13199445895296102911</stp>
        <tr r="C30" s="24"/>
      </tp>
      <tp t="e">
        <v>#N/A</v>
        <stp/>
        <stp>BDH|10244682654773686186</stp>
        <tr r="N13" s="25"/>
      </tp>
      <tp t="e">
        <v>#N/A</v>
        <stp/>
        <stp>BDH|16240048557245900780</stp>
        <tr r="O50" s="18"/>
      </tp>
      <tp t="e">
        <v>#N/A</v>
        <stp/>
        <stp>BDH|10702690445533816039</stp>
        <tr r="J6" s="19"/>
        <tr r="J38" s="17"/>
        <tr r="J16" s="3"/>
      </tp>
      <tp t="e">
        <v>#N/A</v>
        <stp/>
        <stp>BDH|17895693733660569376</stp>
        <tr r="S11" s="13"/>
      </tp>
      <tp t="e">
        <v>#N/A</v>
        <stp/>
        <stp>BDH|11691941750405298909</stp>
        <tr r="K6" s="6"/>
      </tp>
      <tp t="e">
        <v>#N/A</v>
        <stp/>
        <stp>BDH|14832577925652912030</stp>
        <tr r="Z7" s="8"/>
      </tp>
      <tp t="e">
        <v>#N/A</v>
        <stp/>
        <stp>BDH|13500663736311270674</stp>
        <tr r="O14" s="8"/>
      </tp>
      <tp t="e">
        <v>#N/A</v>
        <stp/>
        <stp>BDH|15023365716371751772</stp>
        <tr r="R23" s="12"/>
      </tp>
      <tp t="e">
        <v>#N/A</v>
        <stp/>
        <stp>BDH|10193963693735482404</stp>
        <tr r="M35" s="11"/>
        <tr r="M46" s="10"/>
      </tp>
      <tp t="e">
        <v>#N/A</v>
        <stp/>
        <stp>BDH|14464964005514307846</stp>
        <tr r="M35" s="13"/>
        <tr r="K28" s="10"/>
      </tp>
      <tp t="e">
        <v>#N/A</v>
        <stp/>
        <stp>BDH|11025365903240508305</stp>
        <tr r="P24" s="22"/>
      </tp>
      <tp t="e">
        <v>#N/A</v>
        <stp/>
        <stp>BDH|14141021422787931086</stp>
        <tr r="I7" s="10"/>
      </tp>
      <tp t="e">
        <v>#N/A</v>
        <stp/>
        <stp>BDH|17828196365609753830</stp>
        <tr r="R73" s="17"/>
      </tp>
      <tp t="e">
        <v>#N/A</v>
        <stp/>
        <stp>BDH|10208056040763352642</stp>
        <tr r="T18" s="14"/>
      </tp>
      <tp t="e">
        <v>#N/A</v>
        <stp/>
        <stp>BDH|10293719726502323661</stp>
        <tr r="F25" s="12"/>
      </tp>
      <tp t="e">
        <v>#N/A</v>
        <stp/>
        <stp>BDH|13846489493969237611</stp>
        <tr r="L7" s="34"/>
      </tp>
      <tp t="e">
        <v>#N/A</v>
        <stp/>
        <stp>BDH|17451097309710240667</stp>
        <tr r="L12" s="20"/>
        <tr r="L117" s="18"/>
      </tp>
      <tp t="e">
        <v>#N/A</v>
        <stp/>
        <stp>BDH|12039035072565174101</stp>
        <tr r="D61" s="17"/>
      </tp>
      <tp t="e">
        <v>#N/A</v>
        <stp/>
        <stp>BDH|16807224161114800730</stp>
        <tr r="R6" s="27"/>
      </tp>
      <tp t="e">
        <v>#N/A</v>
        <stp/>
        <stp>BDH|11962579329441574629</stp>
        <tr r="S24" s="24"/>
      </tp>
      <tp t="e">
        <v>#N/A</v>
        <stp/>
        <stp>BDH|14643842974919698303</stp>
        <tr r="I20" s="24"/>
      </tp>
      <tp t="e">
        <v>#N/A</v>
        <stp/>
        <stp>BDH|11706059261897223117</stp>
        <tr r="N28" s="13"/>
        <tr r="N16" s="13"/>
        <tr r="L17" s="10"/>
      </tp>
      <tp t="e">
        <v>#N/A</v>
        <stp/>
        <stp>BDH|14045259450182290071</stp>
        <tr r="E154" s="18"/>
      </tp>
      <tp t="e">
        <v>#N/A</v>
        <stp/>
        <stp>BDH|17041437605581436321</stp>
        <tr r="C11" s="24"/>
      </tp>
      <tp t="e">
        <v>#N/A</v>
        <stp/>
        <stp>BDH|17397042494219647659</stp>
        <tr r="D58" s="18"/>
      </tp>
      <tp t="e">
        <v>#N/A</v>
        <stp/>
        <stp>BDH|16115537323093259337</stp>
        <tr r="M15" s="23"/>
        <tr r="K59" s="11"/>
      </tp>
      <tp t="e">
        <v>#N/A</v>
        <stp/>
        <stp>BDH|18205572845858289019</stp>
        <tr r="S24" s="5"/>
      </tp>
      <tp t="e">
        <v>#N/A</v>
        <stp/>
        <stp>BDH|14163844782293530619</stp>
        <tr r="D10" s="12"/>
      </tp>
      <tp t="e">
        <v>#N/A</v>
        <stp/>
        <stp>BDH|17216197979674433459</stp>
        <tr r="P32" s="26"/>
      </tp>
      <tp t="e">
        <v>#N/A</v>
        <stp/>
        <stp>BDH|13568953540489227619</stp>
        <tr r="I15" s="18"/>
      </tp>
      <tp t="e">
        <v>#N/A</v>
        <stp/>
        <stp>BDH|11409711324233596673</stp>
        <tr r="W26" s="26"/>
      </tp>
      <tp t="e">
        <v>#N/A</v>
        <stp/>
        <stp>BDH|15306919517359726511</stp>
        <tr r="N12" s="13"/>
      </tp>
      <tp t="e">
        <v>#N/A</v>
        <stp/>
        <stp>BDH|13306909231458213035</stp>
        <tr r="O59" s="18"/>
      </tp>
      <tp t="e">
        <v>#N/A</v>
        <stp/>
        <stp>BDH|13299244272433069477</stp>
        <tr r="H10" s="10"/>
      </tp>
      <tp t="e">
        <v>#N/A</v>
        <stp/>
        <stp>BDH|13452229990719207074</stp>
        <tr r="W20" s="12"/>
      </tp>
      <tp t="e">
        <v>#N/A</v>
        <stp/>
        <stp>BDH|13045693612203038689</stp>
        <tr r="D64" s="24"/>
      </tp>
      <tp t="e">
        <v>#N/A</v>
        <stp/>
        <stp>BDH|13124608669610920220</stp>
        <tr r="E17" s="14"/>
      </tp>
      <tp t="e">
        <v>#N/A</v>
        <stp/>
        <stp>BDH|17737179701383373413</stp>
        <tr r="S19" s="23"/>
        <tr r="Q60" s="11"/>
      </tp>
      <tp t="e">
        <v>#N/A</v>
        <stp/>
        <stp>BDH|17453790506778076989</stp>
        <tr r="H100" s="18"/>
      </tp>
      <tp t="e">
        <v>#N/A</v>
        <stp/>
        <stp>BDH|16912086810585063328</stp>
        <tr r="E149" s="18"/>
      </tp>
      <tp t="e">
        <v>#N/A</v>
        <stp/>
        <stp>BDH|11814571909054348168</stp>
        <tr r="O43" s="25"/>
        <tr r="O22" s="13"/>
        <tr r="O7" s="13"/>
        <tr r="M17" s="11"/>
        <tr r="O7" s="3"/>
      </tp>
      <tp t="e">
        <v>#N/A</v>
        <stp/>
        <stp>BDH|13667717907963728646</stp>
        <tr r="V28" s="9"/>
        <tr r="V30" s="5"/>
      </tp>
      <tp t="e">
        <v>#N/A</v>
        <stp/>
        <stp>BDH|15285632811386126527</stp>
        <tr r="P17" s="22"/>
      </tp>
      <tp t="e">
        <v>#N/A</v>
        <stp/>
        <stp>BDH|10589217020833475233</stp>
        <tr r="Q38" s="13"/>
        <tr r="O31" s="10"/>
      </tp>
      <tp t="e">
        <v>#N/A</v>
        <stp/>
        <stp>BDH|14808532053495262093</stp>
        <tr r="E25" s="22"/>
      </tp>
      <tp t="e">
        <v>#N/A</v>
        <stp/>
        <stp>BDH|18013928866891062775</stp>
        <tr r="O51" s="13"/>
      </tp>
      <tp t="e">
        <v>#N/A</v>
        <stp/>
        <stp>BDH|17173261113954595124</stp>
        <tr r="D7" s="6"/>
      </tp>
      <tp t="e">
        <v>#N/A</v>
        <stp/>
        <stp>BDH|12443437033111709503</stp>
        <tr r="M93" s="12"/>
      </tp>
      <tp t="e">
        <v>#N/A</v>
        <stp/>
        <stp>BDH|13277266582158336062</stp>
        <tr r="G71" s="10"/>
      </tp>
      <tp t="e">
        <v>#N/A</v>
        <stp/>
        <stp>BDH|18305004730259906397</stp>
        <tr r="W28" s="22"/>
      </tp>
      <tp t="e">
        <v>#N/A</v>
        <stp/>
        <stp>BDH|14443123121733691528</stp>
        <tr r="U167" s="18"/>
      </tp>
      <tp t="e">
        <v>#N/A</v>
        <stp/>
        <stp>BDH|14477402125532589178</stp>
        <tr r="L148" s="18"/>
      </tp>
      <tp t="e">
        <v>#N/A</v>
        <stp/>
        <stp>BDH|13251336160795400264</stp>
        <tr r="Z45" s="22"/>
      </tp>
      <tp t="e">
        <v>#N/A</v>
        <stp/>
        <stp>BDH|15943736662765332086</stp>
        <tr r="E82" s="12"/>
      </tp>
      <tp t="e">
        <v>#N/A</v>
        <stp/>
        <stp>BDH|14572261924790621523</stp>
        <tr r="G12" s="20"/>
        <tr r="G117" s="18"/>
      </tp>
      <tp t="e">
        <v>#N/A</v>
        <stp/>
        <stp>BDH|13338126190328157234</stp>
        <tr r="L14" s="22"/>
      </tp>
      <tp t="e">
        <v>#N/A</v>
        <stp/>
        <stp>BDH|15986974853200910878</stp>
        <tr r="L13" s="20"/>
        <tr r="L118" s="18"/>
      </tp>
      <tp t="e">
        <v>#N/A</v>
        <stp/>
        <stp>BDH|12115691530030874630</stp>
        <tr r="E16" s="14"/>
      </tp>
      <tp t="e">
        <v>#N/A</v>
        <stp/>
        <stp>BDH|12794232806989158801</stp>
        <tr r="R28" s="12"/>
      </tp>
      <tp t="e">
        <v>#N/A</v>
        <stp/>
        <stp>BDH|14259087341532142395</stp>
        <tr r="N16" s="12"/>
      </tp>
      <tp t="e">
        <v>#N/A</v>
        <stp/>
        <stp>BDH|10006117757940110549</stp>
        <tr r="X86" s="12"/>
      </tp>
      <tp t="e">
        <v>#N/A</v>
        <stp/>
        <stp>BDH|13975235354680932542</stp>
        <tr r="M28" s="22"/>
      </tp>
      <tp t="e">
        <v>#N/A</v>
        <stp/>
        <stp>BDH|17767503457901509769</stp>
        <tr r="X21" s="22"/>
      </tp>
      <tp t="e">
        <v>#N/A</v>
        <stp/>
        <stp>BDH|12238749800666191240</stp>
        <tr r="W26" s="24"/>
      </tp>
      <tp t="e">
        <v>#N/A</v>
        <stp/>
        <stp>BDH|12438922906433523962</stp>
        <tr r="J29" s="34"/>
      </tp>
      <tp t="e">
        <v>#N/A</v>
        <stp/>
        <stp>BDH|15771113811317048346</stp>
        <tr r="F19" s="18"/>
      </tp>
      <tp t="e">
        <v>#N/A</v>
        <stp/>
        <stp>BDH|16241041481899501619</stp>
        <tr r="S11" s="18"/>
      </tp>
      <tp t="e">
        <v>#N/A</v>
        <stp/>
        <stp>BDH|13753330875656726055</stp>
        <tr r="O9" s="30"/>
      </tp>
      <tp t="e">
        <v>#N/A</v>
        <stp/>
        <stp>BDH|10635805786981245000</stp>
        <tr r="M13" s="27"/>
        <tr r="M31" s="25"/>
      </tp>
      <tp t="e">
        <v>#N/A</v>
        <stp/>
        <stp>BDH|17598360957013329350</stp>
        <tr r="Y94" s="12"/>
      </tp>
      <tp t="e">
        <v>#N/A</v>
        <stp/>
        <stp>BDH|14545953172139440248</stp>
        <tr r="Q16" s="25"/>
      </tp>
      <tp t="e">
        <v>#N/A</v>
        <stp/>
        <stp>BDH|17391005050223208036</stp>
        <tr r="I61" s="17"/>
      </tp>
      <tp t="e">
        <v>#N/A</v>
        <stp/>
        <stp>BDH|14143737123611686155</stp>
        <tr r="X53" s="18"/>
      </tp>
      <tp t="e">
        <v>#N/A</v>
        <stp/>
        <stp>BDH|16574158351444472774</stp>
        <tr r="H61" s="13"/>
      </tp>
      <tp t="e">
        <v>#N/A</v>
        <stp/>
        <stp>BDH|16778746363616769059</stp>
        <tr r="Q12" s="14"/>
      </tp>
      <tp t="e">
        <v>#N/A</v>
        <stp/>
        <stp>BDH|11597323501327652424</stp>
        <tr r="E55" s="10"/>
        <tr r="E44" s="11"/>
        <tr r="E15" s="7"/>
      </tp>
      <tp t="e">
        <v>#N/A</v>
        <stp/>
        <stp>BDH|17411939503459474624</stp>
        <tr r="O32" s="17"/>
      </tp>
      <tp t="e">
        <v>#N/A</v>
        <stp/>
        <stp>BDH|16748280832746794085</stp>
        <tr r="O16" s="28"/>
        <tr r="O13" s="17"/>
      </tp>
      <tp t="e">
        <v>#N/A</v>
        <stp/>
        <stp>BDH|16324365924974256215</stp>
        <tr r="T23" s="26"/>
      </tp>
      <tp t="e">
        <v>#N/A</v>
        <stp/>
        <stp>BDH|12419778681154705876</stp>
        <tr r="Q41" s="13"/>
        <tr r="O23" s="10"/>
        <tr r="O46" s="4"/>
      </tp>
      <tp t="e">
        <v>#N/A</v>
        <stp/>
        <stp>BDH|10047888356588928455</stp>
        <tr r="G14" s="34"/>
      </tp>
      <tp t="e">
        <v>#N/A</v>
        <stp/>
        <stp>BDH|16216575904933656155</stp>
        <tr r="D22" s="11"/>
      </tp>
      <tp t="e">
        <v>#N/A</v>
        <stp/>
        <stp>BDH|13434406432810464506</stp>
        <tr r="G9" s="21"/>
      </tp>
      <tp t="e">
        <v>#N/A</v>
        <stp/>
        <stp>BDH|12146621241258182912</stp>
        <tr r="S128" s="18"/>
      </tp>
      <tp t="e">
        <v>#N/A</v>
        <stp/>
        <stp>BDH|17183367408695940041</stp>
        <tr r="C8" s="4"/>
      </tp>
      <tp t="e">
        <v>#N/A</v>
        <stp/>
        <stp>BDH|11330048041817618321</stp>
        <tr r="S22" s="20"/>
      </tp>
      <tp t="e">
        <v>#N/A</v>
        <stp/>
        <stp>BDH|13114860845446263820</stp>
        <tr r="R12" s="7"/>
      </tp>
      <tp t="e">
        <v>#N/A</v>
        <stp/>
        <stp>BDH|11823616473354118595</stp>
        <tr r="F23" s="26"/>
      </tp>
      <tp t="e">
        <v>#N/A</v>
        <stp/>
        <stp>BDH|14653814525306352934</stp>
        <tr r="M57" s="18"/>
      </tp>
      <tp t="e">
        <v>#N/A</v>
        <stp/>
        <stp>BDH|17585393365516286595</stp>
        <tr r="L62" s="11"/>
        <tr r="L73" s="10"/>
        <tr r="L20" s="7"/>
      </tp>
      <tp t="e">
        <v>#N/A</v>
        <stp/>
        <stp>BDH|17600194129041004447</stp>
        <tr r="T26" s="21"/>
      </tp>
      <tp t="e">
        <v>#N/A</v>
        <stp/>
        <stp>BDH|17373263117772349735</stp>
        <tr r="R18" s="9"/>
      </tp>
      <tp t="e">
        <v>#N/A</v>
        <stp/>
        <stp>BDH|13243205551257576246</stp>
        <tr r="S72" s="12"/>
      </tp>
      <tp t="e">
        <v>#N/A</v>
        <stp/>
        <stp>BDH|14017762741110224672</stp>
        <tr r="J23" s="12"/>
      </tp>
      <tp t="e">
        <v>#N/A</v>
        <stp/>
        <stp>BDH|16563197118626544131</stp>
        <tr r="M67" s="13"/>
      </tp>
      <tp t="e">
        <v>#N/A</v>
        <stp/>
        <stp>BDH|17033519471660486466</stp>
        <tr r="E7" s="6"/>
      </tp>
      <tp t="e">
        <v>#N/A</v>
        <stp/>
        <stp>BDH|13135623950475116404</stp>
        <tr r="R38" s="24"/>
      </tp>
      <tp t="e">
        <v>#N/A</v>
        <stp/>
        <stp>BDH|17907457859572311542</stp>
        <tr r="S79" s="18"/>
      </tp>
      <tp t="e">
        <v>#N/A</v>
        <stp/>
        <stp>BDH|11241657774044356527</stp>
        <tr r="F53" s="6"/>
        <tr r="H10" s="8"/>
      </tp>
      <tp t="e">
        <v>#N/A</v>
        <stp/>
        <stp>BDH|18439250913058902292</stp>
        <tr r="H36" s="34"/>
      </tp>
      <tp t="e">
        <v>#N/A</v>
        <stp/>
        <stp>BDH|17763260337644215360</stp>
        <tr r="W19" s="22"/>
      </tp>
      <tp t="e">
        <v>#N/A</v>
        <stp/>
        <stp>BDH|15193731050921413741</stp>
        <tr r="F50" s="13"/>
      </tp>
      <tp t="e">
        <v>#N/A</v>
        <stp/>
        <stp>BDH|14860871223686833962</stp>
        <tr r="AA120" s="18"/>
      </tp>
      <tp t="e">
        <v>#N/A</v>
        <stp/>
        <stp>BDH|13010278002651084177</stp>
        <tr r="Q43" s="6"/>
      </tp>
      <tp t="e">
        <v>#N/A</v>
        <stp/>
        <stp>BDH|11251137441613214605</stp>
        <tr r="C37" s="22"/>
      </tp>
      <tp t="e">
        <v>#N/A</v>
        <stp/>
        <stp>BDH|17372127941510655347</stp>
        <tr r="M13" s="20"/>
        <tr r="M118" s="18"/>
      </tp>
      <tp t="e">
        <v>#N/A</v>
        <stp/>
        <stp>BDH|14172762904082368024</stp>
        <tr r="U56" s="11"/>
      </tp>
      <tp t="e">
        <v>#N/A</v>
        <stp/>
        <stp>BDH|12759968401089080322</stp>
        <tr r="E14" s="10"/>
      </tp>
      <tp t="e">
        <v>#N/A</v>
        <stp/>
        <stp>BDH|10167303434006532721</stp>
        <tr r="W67" s="10"/>
      </tp>
      <tp t="e">
        <v>#N/A</v>
        <stp/>
        <stp>BDH|14040569725896315422</stp>
        <tr r="D15" s="25"/>
      </tp>
      <tp t="e">
        <v>#N/A</v>
        <stp/>
        <stp>BDH|14374644894433409951</stp>
        <tr r="E76" s="18"/>
      </tp>
      <tp t="e">
        <v>#N/A</v>
        <stp/>
        <stp>BDH|10477367202646760456</stp>
        <tr r="J69" s="12"/>
      </tp>
      <tp t="e">
        <v>#N/A</v>
        <stp/>
        <stp>BDH|15250142414775851183</stp>
        <tr r="M138" s="18"/>
      </tp>
      <tp t="e">
        <v>#N/A</v>
        <stp/>
        <stp>BDH|10562183894598324187</stp>
        <tr r="M56" s="17"/>
      </tp>
      <tp t="e">
        <v>#N/A</v>
        <stp/>
        <stp>BDH|10926196359245256096</stp>
        <tr r="P67" s="18"/>
      </tp>
      <tp t="e">
        <v>#N/A</v>
        <stp/>
        <stp>BDH|12341346915304000505</stp>
        <tr r="X18" s="23"/>
      </tp>
      <tp t="e">
        <v>#N/A</v>
        <stp/>
        <stp>BDH|14744331480307463924</stp>
        <tr r="G16" s="10"/>
      </tp>
      <tp t="e">
        <v>#N/A</v>
        <stp/>
        <stp>BDH|10926348724332536291</stp>
        <tr r="X131" s="18"/>
      </tp>
      <tp t="e">
        <v>#N/A</v>
        <stp/>
        <stp>BDH|16849418898518406202</stp>
        <tr r="L11" s="24"/>
      </tp>
      <tp t="e">
        <v>#N/A</v>
        <stp/>
        <stp>BDH|15441672144883649541</stp>
        <tr r="U46" s="34"/>
      </tp>
      <tp t="e">
        <v>#N/A</v>
        <stp/>
        <stp>BDH|17225389923412470582</stp>
        <tr r="M49" s="4"/>
      </tp>
      <tp t="e">
        <v>#N/A</v>
        <stp/>
        <stp>BDH|14942554838164389723</stp>
        <tr r="N125" s="18"/>
      </tp>
      <tp t="e">
        <v>#N/A</v>
        <stp/>
        <stp>BDH|16762365452161138078</stp>
        <tr r="Z52" s="22"/>
      </tp>
      <tp t="e">
        <v>#N/A</v>
        <stp/>
        <stp>BDH|13405274736897141411</stp>
        <tr r="G22" s="7"/>
      </tp>
      <tp t="e">
        <v>#N/A</v>
        <stp/>
        <stp>BDH|10690023459175146196</stp>
        <tr r="K19" s="34"/>
      </tp>
      <tp t="e">
        <v>#N/A</v>
        <stp/>
        <stp>BDH|12143817658429994747</stp>
        <tr r="Y71" s="17"/>
      </tp>
      <tp t="e">
        <v>#N/A</v>
        <stp/>
        <stp>BDH|15140589123982954169</stp>
        <tr r="N78" s="24"/>
      </tp>
      <tp t="e">
        <v>#N/A</v>
        <stp/>
        <stp>BDH|11688768300172693530</stp>
        <tr r="W8" s="28"/>
      </tp>
      <tp t="e">
        <v>#N/A</v>
        <stp/>
        <stp>BDH|10127014572887252153</stp>
        <tr r="E134" s="18"/>
      </tp>
      <tp t="e">
        <v>#N/A</v>
        <stp/>
        <stp>BDH|15093551007150682119</stp>
        <tr r="S19" s="6"/>
      </tp>
      <tp t="e">
        <v>#N/A</v>
        <stp/>
        <stp>BDH|11959785029733878658</stp>
        <tr r="T93" s="18"/>
      </tp>
      <tp t="e">
        <v>#N/A</v>
        <stp/>
        <stp>BDH|10871480973706197476</stp>
        <tr r="D42" s="17"/>
      </tp>
      <tp t="e">
        <v>#N/A</v>
        <stp/>
        <stp>BDH|17198794767430869720</stp>
        <tr r="O134" s="18"/>
      </tp>
      <tp t="e">
        <v>#N/A</v>
        <stp/>
        <stp>BDH|13226398077172112485</stp>
        <tr r="Y68" s="10"/>
        <tr r="Y25" s="4"/>
      </tp>
      <tp t="e">
        <v>#N/A</v>
        <stp/>
        <stp>BDH|13531216434070737328</stp>
        <tr r="N23" s="17"/>
      </tp>
      <tp t="e">
        <v>#N/A</v>
        <stp/>
        <stp>BDH|10075233975587581364</stp>
        <tr r="D8" s="26"/>
      </tp>
      <tp t="e">
        <v>#N/A</v>
        <stp/>
        <stp>BDH|12884145808711054313</stp>
        <tr r="O23" s="13"/>
      </tp>
      <tp t="e">
        <v>#N/A</v>
        <stp/>
        <stp>BDH|15992907789451670431</stp>
        <tr r="O9" s="25"/>
        <tr r="O44" s="17"/>
      </tp>
      <tp t="e">
        <v>#N/A</v>
        <stp/>
        <stp>BDH|11278141455073634706</stp>
        <tr r="P75" s="10"/>
        <tr r="P64" s="11"/>
      </tp>
      <tp t="e">
        <v>#N/A</v>
        <stp/>
        <stp>BDH|14353240208195801227</stp>
        <tr r="P55" s="21"/>
      </tp>
      <tp t="e">
        <v>#N/A</v>
        <stp/>
        <stp>BDH|11814342450515159380</stp>
        <tr r="D32" s="6"/>
      </tp>
      <tp t="e">
        <v>#N/A</v>
        <stp/>
        <stp>BDH|14238138744338337838</stp>
        <tr r="S25" s="5"/>
      </tp>
      <tp t="e">
        <v>#N/A</v>
        <stp/>
        <stp>BDH|13170764975376154466</stp>
        <tr r="T39" s="29"/>
        <tr r="T16" s="29"/>
      </tp>
      <tp t="e">
        <v>#N/A</v>
        <stp/>
        <stp>BDH|14343066085615027855</stp>
        <tr r="X73" s="12"/>
      </tp>
      <tp t="e">
        <v>#N/A</v>
        <stp/>
        <stp>BDH|15471086030723834416</stp>
        <tr r="K153" s="18"/>
      </tp>
      <tp t="e">
        <v>#N/A</v>
        <stp/>
        <stp>BDH|16345568101864714667</stp>
        <tr r="AA7" s="23"/>
      </tp>
      <tp t="e">
        <v>#N/A</v>
        <stp/>
        <stp>BDH|12736004759032861433</stp>
        <tr r="M19" s="22"/>
      </tp>
      <tp t="e">
        <v>#N/A</v>
        <stp/>
        <stp>BDH|15553419875154152359</stp>
        <tr r="V156" s="18"/>
      </tp>
      <tp t="e">
        <v>#N/A</v>
        <stp/>
        <stp>BDH|10582818277606705817</stp>
        <tr r="X48" s="17"/>
      </tp>
      <tp t="e">
        <v>#N/A</v>
        <stp/>
        <stp>BDH|17422614448366023286</stp>
        <tr r="L37" s="17"/>
      </tp>
      <tp t="e">
        <v>#N/A</v>
        <stp/>
        <stp>BDH|14935118949710247068</stp>
        <tr r="N97" s="12"/>
      </tp>
      <tp t="e">
        <v>#N/A</v>
        <stp/>
        <stp>BDH|14140498947770380594</stp>
        <tr r="G135" s="18"/>
      </tp>
      <tp t="e">
        <v>#N/A</v>
        <stp/>
        <stp>BDH|16677179244823483149</stp>
        <tr r="S64" s="12"/>
      </tp>
      <tp t="e">
        <v>#N/A</v>
        <stp/>
        <stp>BDH|14528226917876431018</stp>
        <tr r="H28" s="11"/>
        <tr r="H40" s="11"/>
        <tr r="H39" s="10"/>
        <tr r="H51" s="10"/>
      </tp>
      <tp t="e">
        <v>#N/A</v>
        <stp/>
        <stp>BDH|16633424536260537021</stp>
        <tr r="O13" s="13"/>
      </tp>
      <tp t="e">
        <v>#N/A</v>
        <stp/>
        <stp>BDH|17703486420033374396</stp>
        <tr r="Z63" s="13"/>
        <tr r="X49" s="11"/>
        <tr r="X60" s="10"/>
        <tr r="X18" s="7"/>
      </tp>
      <tp t="e">
        <v>#N/A</v>
        <stp/>
        <stp>BDH|12456751611241109440</stp>
        <tr r="Q57" s="17"/>
      </tp>
      <tp t="e">
        <v>#N/A</v>
        <stp/>
        <stp>BDH|11684130852851738555</stp>
        <tr r="N15" s="21"/>
      </tp>
      <tp t="e">
        <v>#N/A</v>
        <stp/>
        <stp>BDH|18195007772658596637</stp>
        <tr r="W79" s="12"/>
      </tp>
      <tp t="e">
        <v>#N/A</v>
        <stp/>
        <stp>BDH|17045344542341654050</stp>
        <tr r="X59" s="12"/>
      </tp>
      <tp t="e">
        <v>#N/A</v>
        <stp/>
        <stp>BDH|13225121019060831246</stp>
        <tr r="E10" s="17"/>
      </tp>
      <tp t="e">
        <v>#N/A</v>
        <stp/>
        <stp>BDH|15032847952761356803</stp>
        <tr r="C38" s="34"/>
      </tp>
      <tp t="e">
        <v>#N/A</v>
        <stp/>
        <stp>BDH|10814246747191620681</stp>
        <tr r="M11" s="14"/>
      </tp>
      <tp t="e">
        <v>#N/A</v>
        <stp/>
        <stp>BDH|13827382801499401801</stp>
        <tr r="M25" s="11"/>
        <tr r="M36" s="10"/>
      </tp>
      <tp t="e">
        <v>#N/A</v>
        <stp/>
        <stp>BDH|14654324712461166626</stp>
        <tr r="J21" s="6"/>
      </tp>
      <tp t="e">
        <v>#N/A</v>
        <stp/>
        <stp>BDH|13894851718088692365</stp>
        <tr r="X26" s="21"/>
      </tp>
      <tp t="e">
        <v>#N/A</v>
        <stp/>
        <stp>BDH|16376566444575353375</stp>
        <tr r="Z35" s="21"/>
      </tp>
      <tp t="e">
        <v>#N/A</v>
        <stp/>
        <stp>BDH|17342379712760798458</stp>
        <tr r="F19" s="13"/>
        <tr r="D65" s="10"/>
        <tr r="D16" s="2"/>
        <tr r="D32" s="4"/>
      </tp>
      <tp t="e">
        <v>#N/A</v>
        <stp/>
        <stp>BDH|13131180978711269579</stp>
        <tr r="G77" s="24"/>
      </tp>
      <tp t="e">
        <v>#N/A</v>
        <stp/>
        <stp>BDH|11811365957600824659</stp>
        <tr r="Q39" s="26"/>
      </tp>
      <tp t="e">
        <v>#N/A</v>
        <stp/>
        <stp>BDH|12105425074888242810</stp>
        <tr r="G74" s="17"/>
      </tp>
      <tp t="e">
        <v>#N/A</v>
        <stp/>
        <stp>BDH|17192813240308458205</stp>
        <tr r="D15" s="13"/>
      </tp>
      <tp t="e">
        <v>#N/A</v>
        <stp/>
        <stp>BDH|18211053386055682433</stp>
        <tr r="P144" s="18"/>
      </tp>
      <tp t="e">
        <v>#N/A</v>
        <stp/>
        <stp>BDH|15732298988649048720</stp>
        <tr r="L158" s="18"/>
      </tp>
      <tp t="e">
        <v>#N/A</v>
        <stp/>
        <stp>BDH|13100779242255256427</stp>
        <tr r="W23" s="17"/>
      </tp>
      <tp t="e">
        <v>#N/A</v>
        <stp/>
        <stp>BDH|15735702513841195319</stp>
        <tr r="Z52" s="18"/>
      </tp>
      <tp t="e">
        <v>#N/A</v>
        <stp/>
        <stp>BDH|10297190111464940570</stp>
        <tr r="R7" s="28"/>
      </tp>
      <tp t="e">
        <v>#N/A</v>
        <stp/>
        <stp>BDH|16707539404231657326</stp>
        <tr r="U14" s="13"/>
      </tp>
      <tp t="e">
        <v>#N/A</v>
        <stp/>
        <stp>BDH|10645328686402266841</stp>
        <tr r="E33" s="21"/>
      </tp>
      <tp t="e">
        <v>#N/A</v>
        <stp/>
        <stp>BDH|13946676855932900365</stp>
        <tr r="X62" s="18"/>
      </tp>
      <tp t="e">
        <v>#N/A</v>
        <stp/>
        <stp>BDH|11484350042894668318</stp>
        <tr r="Q57" s="12"/>
      </tp>
      <tp t="e">
        <v>#N/A</v>
        <stp/>
        <stp>BDH|16295561043407570165</stp>
        <tr r="J33" s="6"/>
      </tp>
      <tp t="e">
        <v>#N/A</v>
        <stp/>
        <stp>BDH|17123729084370210917</stp>
        <tr r="S72" s="17"/>
      </tp>
      <tp t="e">
        <v>#N/A</v>
        <stp/>
        <stp>BDH|12241165386552598830</stp>
        <tr r="G23" s="20"/>
      </tp>
      <tp t="e">
        <v>#N/A</v>
        <stp/>
        <stp>BDH|16245085321752636798</stp>
        <tr r="K20" s="12"/>
      </tp>
      <tp t="e">
        <v>#N/A</v>
        <stp/>
        <stp>BDH|13866189413911434338</stp>
        <tr r="I47" s="18"/>
      </tp>
      <tp t="e">
        <v>#N/A</v>
        <stp/>
        <stp>BDH|14519590047196950269</stp>
        <tr r="AA12" s="22"/>
      </tp>
      <tp t="e">
        <v>#N/A</v>
        <stp/>
        <stp>BDH|16388239603433525624</stp>
        <tr r="T13" s="20"/>
        <tr r="T118" s="18"/>
      </tp>
      <tp t="e">
        <v>#N/A</v>
        <stp/>
        <stp>BDH|13169262387489244167</stp>
        <tr r="U89" s="17"/>
      </tp>
      <tp t="e">
        <v>#N/A</v>
        <stp/>
        <stp>BDH|10316231050175360374</stp>
        <tr r="Y11" s="18"/>
      </tp>
      <tp t="e">
        <v>#N/A</v>
        <stp/>
        <stp>BDH|13004846126740571835</stp>
        <tr r="R17" s="21"/>
        <tr r="R23" s="3"/>
        <tr r="P23" s="2"/>
      </tp>
      <tp t="e">
        <v>#N/A</v>
        <stp/>
        <stp>BDH|17468568516136947499</stp>
        <tr r="U9" s="14"/>
      </tp>
      <tp t="e">
        <v>#N/A</v>
        <stp/>
        <stp>BDH|12844943772835988835</stp>
        <tr r="S31" s="22"/>
      </tp>
      <tp t="e">
        <v>#N/A</v>
        <stp/>
        <stp>BDH|17868135841414639786</stp>
        <tr r="N34" s="11"/>
        <tr r="N45" s="10"/>
      </tp>
      <tp t="e">
        <v>#N/A</v>
        <stp/>
        <stp>BDH|10585431056591189156</stp>
        <tr r="D54" s="24"/>
      </tp>
      <tp t="e">
        <v>#N/A</v>
        <stp/>
        <stp>BDH|13533627502383129707</stp>
        <tr r="K7" s="34"/>
      </tp>
      <tp t="e">
        <v>#N/A</v>
        <stp/>
        <stp>BDH|12642900994403067067</stp>
        <tr r="P24" s="21"/>
      </tp>
      <tp t="e">
        <v>#N/A</v>
        <stp/>
        <stp>BDH|13168973706008510315</stp>
        <tr r="H32" s="5"/>
      </tp>
      <tp t="e">
        <v>#N/A</v>
        <stp/>
        <stp>BDH|16959860649172118934</stp>
        <tr r="M23" s="12"/>
      </tp>
      <tp t="e">
        <v>#N/A</v>
        <stp/>
        <stp>BDH|11774843045375140932</stp>
        <tr r="K31" s="17"/>
      </tp>
      <tp t="e">
        <v>#N/A</v>
        <stp/>
        <stp>BDH|11533043856092028732</stp>
        <tr r="X32" s="9"/>
      </tp>
      <tp t="e">
        <v>#N/A</v>
        <stp/>
        <stp>BDH|14549322349277339597</stp>
        <tr r="Y100" s="12"/>
      </tp>
      <tp t="e">
        <v>#N/A</v>
        <stp/>
        <stp>BDH|15141661732181668072</stp>
        <tr r="H131" s="18"/>
      </tp>
      <tp t="e">
        <v>#N/A</v>
        <stp/>
        <stp>BDH|15405870080556672212</stp>
        <tr r="H67" s="17"/>
      </tp>
      <tp t="e">
        <v>#N/A</v>
        <stp/>
        <stp>BDH|14630189099405612858</stp>
        <tr r="Z8" s="14"/>
      </tp>
      <tp t="e">
        <v>#N/A</v>
        <stp/>
        <stp>BDH|15265487656747019281</stp>
        <tr r="J27" s="6"/>
      </tp>
      <tp t="e">
        <v>#N/A</v>
        <stp/>
        <stp>BDH|12849506186419360796</stp>
        <tr r="U8" s="21"/>
      </tp>
      <tp t="e">
        <v>#N/A</v>
        <stp/>
        <stp>BDH|17249098193078436789</stp>
        <tr r="P17" s="27"/>
        <tr r="P35" s="25"/>
        <tr r="M14" s="5"/>
      </tp>
      <tp t="e">
        <v>#N/A</v>
        <stp/>
        <stp>BDH|15929863688557652357</stp>
        <tr r="Z69" s="13"/>
      </tp>
      <tp t="e">
        <v>#N/A</v>
        <stp/>
        <stp>BDH|10643708418041982632</stp>
        <tr r="G25" s="12"/>
      </tp>
      <tp t="e">
        <v>#N/A</v>
        <stp/>
        <stp>BDH|11921484957792270300</stp>
        <tr r="Z9" s="27"/>
      </tp>
      <tp t="e">
        <v>#N/A</v>
        <stp/>
        <stp>BDH|10383345591139088221</stp>
        <tr r="Z44" s="22"/>
      </tp>
      <tp t="e">
        <v>#N/A</v>
        <stp/>
        <stp>BDH|10268131849096535291</stp>
        <tr r="L29" s="18"/>
      </tp>
      <tp t="e">
        <v>#N/A</v>
        <stp/>
        <stp>BDH|11671162206750721155</stp>
        <tr r="K16" s="22"/>
      </tp>
      <tp t="e">
        <v>#N/A</v>
        <stp/>
        <stp>BDH|11774080765147645187</stp>
        <tr r="L92" s="12"/>
      </tp>
      <tp t="e">
        <v>#N/A</v>
        <stp/>
        <stp>BDH|11126304276687643350</stp>
        <tr r="X22" s="25"/>
      </tp>
      <tp t="e">
        <v>#N/A</v>
        <stp/>
        <stp>BDH|17251854188440334682</stp>
        <tr r="P22" s="14"/>
      </tp>
      <tp t="e">
        <v>#N/A</v>
        <stp/>
        <stp>BDH|12421872707538616360</stp>
        <tr r="N11" s="10"/>
        <tr r="N14" s="2"/>
      </tp>
      <tp t="e">
        <v>#N/A</v>
        <stp/>
        <stp>BDH|11644440154060172108</stp>
        <tr r="W30" s="17"/>
      </tp>
      <tp t="e">
        <v>#N/A</v>
        <stp/>
        <stp>BDH|16297841087295782218</stp>
        <tr r="I63" s="13"/>
        <tr r="G49" s="11"/>
        <tr r="G60" s="10"/>
        <tr r="G18" s="7"/>
      </tp>
      <tp t="e">
        <v>#N/A</v>
        <stp/>
        <stp>BDH|16742914380381680771</stp>
        <tr r="R21" s="3"/>
      </tp>
      <tp t="e">
        <v>#N/A</v>
        <stp/>
        <stp>BDH|10619172023904541604</stp>
        <tr r="G76" s="18"/>
      </tp>
      <tp t="e">
        <v>#N/A</v>
        <stp/>
        <stp>BDH|11659937822938827383</stp>
        <tr r="M27" s="24"/>
      </tp>
      <tp t="e">
        <v>#N/A</v>
        <stp/>
        <stp>BDH|11066248307454717631</stp>
        <tr r="G108" s="18"/>
      </tp>
      <tp t="e">
        <v>#N/A</v>
        <stp/>
        <stp>BDH|14538823187843428633</stp>
        <tr r="G27" s="24"/>
      </tp>
      <tp t="e">
        <v>#N/A</v>
        <stp/>
        <stp>BDH|10582203053082730467</stp>
        <tr r="D47" s="34"/>
      </tp>
      <tp t="e">
        <v>#N/A</v>
        <stp/>
        <stp>BDH|15940496200758632819</stp>
        <tr r="X8" s="24"/>
      </tp>
      <tp t="e">
        <v>#N/A</v>
        <stp/>
        <stp>BDH|14293116192928307559</stp>
        <tr r="N15" s="13"/>
      </tp>
      <tp t="e">
        <v>#N/A</v>
        <stp/>
        <stp>BDH|17665796588051882887</stp>
        <tr r="G15" s="26"/>
      </tp>
      <tp t="e">
        <v>#N/A</v>
        <stp/>
        <stp>BDH|16480703218404874537</stp>
        <tr r="Q22" s="12"/>
      </tp>
      <tp t="e">
        <v>#N/A</v>
        <stp/>
        <stp>BDH|17463938304509616625</stp>
        <tr r="W79" s="18"/>
      </tp>
      <tp t="e">
        <v>#N/A</v>
        <stp/>
        <stp>BDH|17724130580987267813</stp>
        <tr r="U26" s="26"/>
      </tp>
      <tp t="e">
        <v>#N/A</v>
        <stp/>
        <stp>BDH|16756307016182145779</stp>
        <tr r="W8" s="13"/>
      </tp>
      <tp t="e">
        <v>#N/A</v>
        <stp/>
        <stp>BDH|17816022118191092656</stp>
        <tr r="I48" s="12"/>
      </tp>
      <tp t="e">
        <v>#N/A</v>
        <stp/>
        <stp>BDH|15506343803781015658</stp>
        <tr r="G30" s="14"/>
      </tp>
      <tp t="e">
        <v>#N/A</v>
        <stp/>
        <stp>BDH|13673937086247188456</stp>
        <tr r="U14" s="10"/>
      </tp>
      <tp t="e">
        <v>#N/A</v>
        <stp/>
        <stp>BDH|13488048407901774372</stp>
        <tr r="W55" s="18"/>
      </tp>
      <tp t="e">
        <v>#N/A</v>
        <stp/>
        <stp>BDH|10452469495998005409</stp>
        <tr r="X82" s="18"/>
      </tp>
      <tp t="e">
        <v>#N/A</v>
        <stp/>
        <stp>BDH|11784712857674071667</stp>
        <tr r="J44" s="18"/>
      </tp>
      <tp t="e">
        <v>#N/A</v>
        <stp/>
        <stp>BDH|11396069312326666769</stp>
        <tr r="M60" s="17"/>
      </tp>
      <tp t="e">
        <v>#N/A</v>
        <stp/>
        <stp>BDH|10752149566925728354</stp>
        <tr r="J29" s="12"/>
      </tp>
      <tp t="e">
        <v>#N/A</v>
        <stp/>
        <stp>BDH|17436446122887464718</stp>
        <tr r="S46" s="10"/>
        <tr r="S35" s="11"/>
      </tp>
      <tp t="e">
        <v>#N/A</v>
        <stp/>
        <stp>BDH|10561378015955461642</stp>
        <tr r="N14" s="4"/>
      </tp>
      <tp t="e">
        <v>#N/A</v>
        <stp/>
        <stp>BDH|15472000657583385278</stp>
        <tr r="W13" s="7"/>
      </tp>
      <tp t="e">
        <v>#N/A</v>
        <stp/>
        <stp>BDH|15503487723492888019</stp>
        <tr r="M49" s="24"/>
      </tp>
      <tp t="e">
        <v>#N/A</v>
        <stp/>
        <stp>BDH|13444010245722570426</stp>
        <tr r="J37" s="18"/>
      </tp>
      <tp t="e">
        <v>#N/A</v>
        <stp/>
        <stp>BDH|17512913227609604426</stp>
        <tr r="D9" s="11"/>
      </tp>
      <tp t="e">
        <v>#N/A</v>
        <stp/>
        <stp>BDH|10636622436115604132</stp>
        <tr r="J171" s="18"/>
      </tp>
      <tp t="e">
        <v>#N/A</v>
        <stp/>
        <stp>BDH|17472827357293299849</stp>
        <tr r="P17" s="12"/>
      </tp>
      <tp t="e">
        <v>#N/A</v>
        <stp/>
        <stp>BDH|11515951865118490769</stp>
        <tr r="N25" s="18"/>
      </tp>
      <tp t="e">
        <v>#N/A</v>
        <stp/>
        <stp>BDH|10127170732011018232</stp>
        <tr r="Y50" s="12"/>
      </tp>
      <tp t="e">
        <v>#N/A</v>
        <stp/>
        <stp>BDH|10061004556522062610</stp>
        <tr r="N18" s="34"/>
      </tp>
      <tp t="e">
        <v>#N/A</v>
        <stp/>
        <stp>BDH|10546345341467557121</stp>
        <tr r="N41" s="34"/>
      </tp>
      <tp t="e">
        <v>#N/A</v>
        <stp/>
        <stp>BDH|13425730154068473804</stp>
        <tr r="D66" s="18"/>
      </tp>
      <tp t="e">
        <v>#N/A</v>
        <stp/>
        <stp>BDH|10302614856610019232</stp>
        <tr r="C22" s="22"/>
      </tp>
      <tp t="e">
        <v>#N/A</v>
        <stp/>
        <stp>BDH|14289279979407212795</stp>
        <tr r="I9" s="14"/>
      </tp>
      <tp t="e">
        <v>#N/A</v>
        <stp/>
        <stp>BDH|14155153942299878993</stp>
        <tr r="U30" s="17"/>
      </tp>
      <tp t="e">
        <v>#N/A</v>
        <stp/>
        <stp>BDH|15955107065446328584</stp>
        <tr r="D68" s="18"/>
      </tp>
      <tp t="e">
        <v>#N/A</v>
        <stp/>
        <stp>BDH|12582980892302939118</stp>
        <tr r="G33" s="12"/>
      </tp>
      <tp t="e">
        <v>#N/A</v>
        <stp/>
        <stp>BDH|13633478075780236118</stp>
        <tr r="V47" s="13"/>
      </tp>
      <tp t="e">
        <v>#N/A</v>
        <stp/>
        <stp>BDH|13872788879642787096</stp>
        <tr r="E28" s="13"/>
        <tr r="E16" s="13"/>
        <tr r="C17" s="10"/>
      </tp>
      <tp t="e">
        <v>#N/A</v>
        <stp/>
        <stp>BDH|10797431061634592770</stp>
        <tr r="J9" s="10"/>
      </tp>
      <tp t="e">
        <v>#N/A</v>
        <stp/>
        <stp>BDH|17513677367910500678</stp>
        <tr r="L8" s="23"/>
      </tp>
      <tp t="e">
        <v>#N/A</v>
        <stp/>
        <stp>BDH|10540006171040039637</stp>
        <tr r="J48" s="12"/>
      </tp>
      <tp t="e">
        <v>#N/A</v>
        <stp/>
        <stp>BDH|11882090801257181764</stp>
        <tr r="Y41" s="25"/>
        <tr r="Y59" s="21"/>
        <tr r="W54" s="11"/>
        <tr r="W31" s="4"/>
      </tp>
      <tp t="e">
        <v>#N/A</v>
        <stp/>
        <stp>BDH|12419317534233034061</stp>
        <tr r="O171" s="18"/>
      </tp>
      <tp t="e">
        <v>#N/A</v>
        <stp/>
        <stp>BDH|16173068454626674428</stp>
        <tr r="E44" s="12"/>
      </tp>
      <tp t="e">
        <v>#N/A</v>
        <stp/>
        <stp>BDH|16468023821597369230</stp>
        <tr r="S12" s="25"/>
      </tp>
      <tp t="e">
        <v>#N/A</v>
        <stp/>
        <stp>BDH|13664803707768709217</stp>
        <tr r="Y48" s="21"/>
      </tp>
      <tp t="e">
        <v>#N/A</v>
        <stp/>
        <stp>BDH|12057033130687611724</stp>
        <tr r="T41" s="26"/>
      </tp>
      <tp t="e">
        <v>#N/A</v>
        <stp/>
        <stp>BDH|17746194390589015791</stp>
        <tr r="G35" s="12"/>
      </tp>
      <tp t="e">
        <v>#N/A</v>
        <stp/>
        <stp>BDH|17739555551957532119</stp>
        <tr r="T42" s="21"/>
      </tp>
      <tp t="e">
        <v>#N/A</v>
        <stp/>
        <stp>BDH|12730273467040246721</stp>
        <tr r="E74" s="18"/>
      </tp>
      <tp t="e">
        <v>#N/A</v>
        <stp/>
        <stp>BDH|15625644620408549802</stp>
        <tr r="E12" s="11"/>
      </tp>
      <tp t="e">
        <v>#N/A</v>
        <stp/>
        <stp>BDH|14677807312229409569</stp>
        <tr r="U12" s="25"/>
      </tp>
      <tp t="e">
        <v>#N/A</v>
        <stp/>
        <stp>BDH|14512338402067031121</stp>
        <tr r="Y102" s="18"/>
      </tp>
      <tp t="e">
        <v>#N/A</v>
        <stp/>
        <stp>BDH|13716203160920808691</stp>
        <tr r="H57" s="17"/>
      </tp>
      <tp t="e">
        <v>#N/A</v>
        <stp/>
        <stp>BDH|16143799605706920620</stp>
        <tr r="D39" s="29"/>
        <tr r="D16" s="29"/>
      </tp>
      <tp t="e">
        <v>#N/A</v>
        <stp/>
        <stp>BDH|16892232798509491518</stp>
        <tr r="R9" s="23"/>
      </tp>
      <tp t="e">
        <v>#N/A</v>
        <stp/>
        <stp>BDH|17153584909867048462</stp>
        <tr r="U9" s="27"/>
      </tp>
      <tp t="e">
        <v>#N/A</v>
        <stp/>
        <stp>BDH|16119404025776440768</stp>
        <tr r="W12" s="14"/>
      </tp>
      <tp t="e">
        <v>#N/A</v>
        <stp/>
        <stp>BDH|16583162032165346041</stp>
        <tr r="O71" s="13"/>
      </tp>
      <tp t="e">
        <v>#N/A</v>
        <stp/>
        <stp>BDH|14480906564202198878</stp>
        <tr r="U49" s="12"/>
      </tp>
      <tp t="e">
        <v>#N/A</v>
        <stp/>
        <stp>BDH|10747903177819369654</stp>
        <tr r="E54" s="18"/>
      </tp>
      <tp t="e">
        <v>#N/A</v>
        <stp/>
        <stp>BDH|13245051251721085607</stp>
        <tr r="N50" s="22"/>
      </tp>
      <tp t="e">
        <v>#N/A</v>
        <stp/>
        <stp>BDH|11381646863529042923</stp>
        <tr r="D15" s="4"/>
      </tp>
      <tp t="e">
        <v>#N/A</v>
        <stp/>
        <stp>BDH|10956905877508119798</stp>
        <tr r="Y77" s="17"/>
      </tp>
      <tp t="e">
        <v>#N/A</v>
        <stp/>
        <stp>BDH|11439608333534648176</stp>
        <tr r="V7" s="8"/>
      </tp>
      <tp t="e">
        <v>#N/A</v>
        <stp/>
        <stp>BDH|11944077408330818082</stp>
        <tr r="U137" s="18"/>
      </tp>
      <tp t="e">
        <v>#N/A</v>
        <stp/>
        <stp>BDH|11151036503100601011</stp>
        <tr r="I21" s="10"/>
      </tp>
      <tp t="e">
        <v>#N/A</v>
        <stp/>
        <stp>BDH|17044515865591018427</stp>
        <tr r="Y24" s="21"/>
      </tp>
      <tp t="e">
        <v>#N/A</v>
        <stp/>
        <stp>BDH|12803396656752658776</stp>
        <tr r="AA18" s="27"/>
        <tr r="AA36" s="25"/>
      </tp>
      <tp t="e">
        <v>#N/A</v>
        <stp/>
        <stp>BDH|13368067931528426964</stp>
        <tr r="D21" s="3"/>
      </tp>
      <tp t="e">
        <v>#N/A</v>
        <stp/>
        <stp>BDH|18312814304403316232</stp>
        <tr r="C13" s="20"/>
        <tr r="C118" s="18"/>
      </tp>
      <tp t="e">
        <v>#N/A</v>
        <stp/>
        <stp>BDH|14288725967945979182</stp>
        <tr r="S37" s="17"/>
      </tp>
      <tp t="e">
        <v>#N/A</v>
        <stp/>
        <stp>BDH|16764315555029147846</stp>
        <tr r="V105" s="18"/>
      </tp>
      <tp t="e">
        <v>#N/A</v>
        <stp/>
        <stp>BDH|14744643259676882048</stp>
        <tr r="H67" s="18"/>
      </tp>
      <tp t="e">
        <v>#N/A</v>
        <stp/>
        <stp>BDH|17008098189356595832</stp>
        <tr r="J13" s="34"/>
      </tp>
      <tp t="e">
        <v>#N/A</v>
        <stp/>
        <stp>BDH|17590419493678026314</stp>
        <tr r="F9" s="24"/>
      </tp>
      <tp t="e">
        <v>#N/A</v>
        <stp/>
        <stp>BDH|17811380511733665710</stp>
        <tr r="X63" s="24"/>
      </tp>
      <tp t="e">
        <v>#N/A</v>
        <stp/>
        <stp>BDH|17024277793495615847</stp>
        <tr r="O40" s="18"/>
      </tp>
      <tp t="e">
        <v>#N/A</v>
        <stp/>
        <stp>BDH|12722004635076374676</stp>
        <tr r="C59" s="24"/>
      </tp>
      <tp t="e">
        <v>#N/A</v>
        <stp/>
        <stp>BDH|10371559334465484205</stp>
        <tr r="E25" s="21"/>
      </tp>
      <tp t="e">
        <v>#N/A</v>
        <stp/>
        <stp>BDH|13370049354592559509</stp>
        <tr r="K36" s="13"/>
        <tr r="I29" s="10"/>
      </tp>
      <tp t="e">
        <v>#N/A</v>
        <stp/>
        <stp>BDH|13347283878436740121</stp>
        <tr r="X12" s="26"/>
      </tp>
      <tp t="e">
        <v>#N/A</v>
        <stp/>
        <stp>BDH|14320126124247122122</stp>
        <tr r="R33" s="6"/>
      </tp>
      <tp t="e">
        <v>#N/A</v>
        <stp/>
        <stp>BDH|13092604912925582019</stp>
        <tr r="T19" s="11"/>
      </tp>
      <tp t="e">
        <v>#N/A</v>
        <stp/>
        <stp>BDH|16565127500420782668</stp>
        <tr r="V49" s="21"/>
      </tp>
      <tp t="e">
        <v>#N/A</v>
        <stp/>
        <stp>BDH|16699527226657645728</stp>
        <tr r="M22" s="30"/>
        <tr r="M24" s="23"/>
      </tp>
      <tp t="e">
        <v>#N/A</v>
        <stp/>
        <stp>BDH|17124227148715940542</stp>
        <tr r="P25" s="17"/>
      </tp>
      <tp t="e">
        <v>#N/A</v>
        <stp/>
        <stp>BDH|13636783760363944013</stp>
        <tr r="P18" s="12"/>
      </tp>
      <tp t="e">
        <v>#N/A</v>
        <stp/>
        <stp>BDH|15015473938171090261</stp>
        <tr r="F26" s="12"/>
      </tp>
      <tp t="e">
        <v>#N/A</v>
        <stp/>
        <stp>BDH|15026534209409493870</stp>
        <tr r="U11" s="11"/>
      </tp>
      <tp t="e">
        <v>#N/A</v>
        <stp/>
        <stp>BDH|15438774316516419488</stp>
        <tr r="D28" s="4"/>
      </tp>
      <tp t="e">
        <v>#N/A</v>
        <stp/>
        <stp>BDH|18414069799083139330</stp>
        <tr r="E8" s="34"/>
      </tp>
      <tp t="e">
        <v>#N/A</v>
        <stp/>
        <stp>BDH|15032792717072733008</stp>
        <tr r="P67" s="12"/>
      </tp>
      <tp t="e">
        <v>#N/A</v>
        <stp/>
        <stp>BDH|11573441959492091311</stp>
        <tr r="X161" s="18"/>
      </tp>
      <tp t="e">
        <v>#N/A</v>
        <stp/>
        <stp>BDH|18369815948566282317</stp>
        <tr r="S18" s="34"/>
      </tp>
      <tp t="e">
        <v>#N/A</v>
        <stp/>
        <stp>BDH|16805740776380081733</stp>
        <tr r="M45" s="13"/>
        <tr r="K29" s="11"/>
        <tr r="K40" s="10"/>
      </tp>
      <tp t="e">
        <v>#N/A</v>
        <stp/>
        <stp>BDH|14789147964494963675</stp>
        <tr r="U42" s="11"/>
        <tr r="U53" s="10"/>
        <tr r="W11" s="3"/>
        <tr r="U8" s="7"/>
      </tp>
      <tp t="e">
        <v>#N/A</v>
        <stp/>
        <stp>BDH|16694268035986579097</stp>
        <tr r="Y25" s="21"/>
      </tp>
      <tp t="e">
        <v>#N/A</v>
        <stp/>
        <stp>BDH|15935276064291402178</stp>
        <tr r="S95" s="18"/>
      </tp>
      <tp t="e">
        <v>#N/A</v>
        <stp/>
        <stp>BDH|10423239223312529385</stp>
        <tr r="G24" s="11"/>
        <tr r="G35" s="10"/>
      </tp>
      <tp t="e">
        <v>#N/A</v>
        <stp/>
        <stp>BDH|12852470706824537350</stp>
        <tr r="G12" s="18"/>
      </tp>
      <tp t="e">
        <v>#N/A</v>
        <stp/>
        <stp>BDH|13974721680645594877</stp>
        <tr r="R9" s="21"/>
      </tp>
      <tp t="e">
        <v>#N/A</v>
        <stp/>
        <stp>BDH|16737637099071719938</stp>
        <tr r="V21" s="17"/>
      </tp>
      <tp t="e">
        <v>#N/A</v>
        <stp/>
        <stp>BDH|18058187050858071511</stp>
        <tr r="W28" s="9"/>
        <tr r="W30" s="5"/>
      </tp>
      <tp t="e">
        <v>#N/A</v>
        <stp/>
        <stp>BDH|14666959869433713946</stp>
        <tr r="Q16" s="12"/>
      </tp>
      <tp t="e">
        <v>#N/A</v>
        <stp/>
        <stp>BDH|16638255232746990014</stp>
        <tr r="M11" s="9"/>
      </tp>
      <tp t="e">
        <v>#N/A</v>
        <stp/>
        <stp>BDH|11981334850411569762</stp>
        <tr r="V78" s="17"/>
        <tr r="S9" s="9"/>
        <tr r="S9" s="5"/>
      </tp>
      <tp t="e">
        <v>#N/A</v>
        <stp/>
        <stp>BDH|11715021599591734825</stp>
        <tr r="H29" s="24"/>
      </tp>
      <tp t="e">
        <v>#N/A</v>
        <stp/>
        <stp>BDH|13309404771014340583</stp>
        <tr r="N13" s="23"/>
        <tr r="L58" s="11"/>
        <tr r="L38" s="4"/>
      </tp>
      <tp t="e">
        <v>#N/A</v>
        <stp/>
        <stp>BDH|12123105272024933137</stp>
        <tr r="K105" s="18"/>
      </tp>
      <tp t="e">
        <v>#N/A</v>
        <stp/>
        <stp>BDH|18210096623183963882</stp>
        <tr r="L17" s="9"/>
      </tp>
      <tp t="e">
        <v>#N/A</v>
        <stp/>
        <stp>BDH|10118802221109022291</stp>
        <tr r="W92" s="12"/>
      </tp>
      <tp t="e">
        <v>#N/A</v>
        <stp/>
        <stp>BDH|11313246503574419692</stp>
        <tr r="J71" s="24"/>
      </tp>
      <tp t="e">
        <v>#N/A</v>
        <stp/>
        <stp>BDH|17440464068495143121</stp>
        <tr r="U39" s="24"/>
      </tp>
      <tp t="e">
        <v>#N/A</v>
        <stp/>
        <stp>BDH|14932280765755500485</stp>
        <tr r="AA41" s="17"/>
      </tp>
      <tp t="e">
        <v>#N/A</v>
        <stp/>
        <stp>BDH|16869909691530291723</stp>
        <tr r="O132" s="18"/>
      </tp>
      <tp t="e">
        <v>#N/A</v>
        <stp/>
        <stp>BDH|12288137064606994250</stp>
        <tr r="C68" s="10"/>
        <tr r="C25" s="4"/>
      </tp>
      <tp t="e">
        <v>#N/A</v>
        <stp/>
        <stp>BDH|16987868492186680029</stp>
        <tr r="X15" s="30"/>
      </tp>
      <tp t="e">
        <v>#N/A</v>
        <stp/>
        <stp>BDH|17409568607205952658</stp>
        <tr r="M27" s="22"/>
      </tp>
      <tp t="e">
        <v>#N/A</v>
        <stp/>
        <stp>BDH|16368185907462090459</stp>
        <tr r="I45" s="22"/>
      </tp>
      <tp t="e">
        <v>#N/A</v>
        <stp/>
        <stp>BDH|14131787162045372114</stp>
        <tr r="U27" s="24"/>
      </tp>
      <tp t="e">
        <v>#N/A</v>
        <stp/>
        <stp>BDH|11206888904839654113</stp>
        <tr r="E46" s="18"/>
      </tp>
      <tp t="e">
        <v>#N/A</v>
        <stp/>
        <stp>BDH|13331208082809117194</stp>
        <tr r="S52" s="34"/>
      </tp>
      <tp t="e">
        <v>#N/A</v>
        <stp/>
        <stp>BDH|17162598330861305120</stp>
        <tr r="I90" s="12"/>
      </tp>
      <tp t="e">
        <v>#N/A</v>
        <stp/>
        <stp>BDH|14267546706689960905</stp>
        <tr r="I11" s="21"/>
      </tp>
      <tp t="e">
        <v>#N/A</v>
        <stp/>
        <stp>BDH|15298283533413088603</stp>
        <tr r="Y52" s="13"/>
      </tp>
      <tp t="e">
        <v>#N/A</v>
        <stp/>
        <stp>BDH|16361939439014637969</stp>
        <tr r="D93" s="17"/>
      </tp>
      <tp t="e">
        <v>#N/A</v>
        <stp/>
        <stp>BDH|17958926880442651546</stp>
        <tr r="Y10" s="28"/>
      </tp>
      <tp t="e">
        <v>#N/A</v>
        <stp/>
        <stp>BDH|17208751398071148971</stp>
        <tr r="AA27" s="12"/>
      </tp>
      <tp t="e">
        <v>#N/A</v>
        <stp/>
        <stp>BDH|13021195567596406329</stp>
        <tr r="Q22" s="27"/>
      </tp>
      <tp t="e">
        <v>#N/A</v>
        <stp/>
        <stp>BDH|13703513250866965476</stp>
        <tr r="N72" s="10"/>
      </tp>
      <tp t="e">
        <v>#N/A</v>
        <stp/>
        <stp>BDH|15094452446621935527</stp>
        <tr r="K74" s="12"/>
      </tp>
      <tp t="e">
        <v>#N/A</v>
        <stp/>
        <stp>BDH|15764694033831578002</stp>
        <tr r="I41" s="25"/>
        <tr r="I59" s="21"/>
        <tr r="G54" s="11"/>
        <tr r="G31" s="4"/>
      </tp>
      <tp t="e">
        <v>#N/A</v>
        <stp/>
        <stp>BDH|13609619938734402331</stp>
        <tr r="J21" s="3"/>
      </tp>
      <tp t="e">
        <v>#N/A</v>
        <stp/>
        <stp>BDH|10519294386108537379</stp>
        <tr r="T61" s="18"/>
      </tp>
      <tp t="e">
        <v>#N/A</v>
        <stp/>
        <stp>BDH|10618486414282629649</stp>
        <tr r="T60" s="18"/>
      </tp>
      <tp t="e">
        <v>#N/A</v>
        <stp/>
        <stp>BDH|12873722649234299490</stp>
        <tr r="G40" s="12"/>
      </tp>
      <tp t="e">
        <v>#N/A</v>
        <stp/>
        <stp>BDH|14353460986438373188</stp>
        <tr r="W61" s="13"/>
      </tp>
      <tp t="e">
        <v>#N/A</v>
        <stp/>
        <stp>BDH|16828504318593858008</stp>
        <tr r="K87" s="12"/>
      </tp>
      <tp t="e">
        <v>#N/A</v>
        <stp/>
        <stp>BDH|12538081987829364212</stp>
        <tr r="V39" s="26"/>
      </tp>
      <tp t="e">
        <v>#N/A</v>
        <stp/>
        <stp>BDH|15511098624300928695</stp>
        <tr r="X32" s="18"/>
      </tp>
      <tp t="e">
        <v>#N/A</v>
        <stp/>
        <stp>BDH|16665849990730937636</stp>
        <tr r="T86" s="18"/>
      </tp>
      <tp t="e">
        <v>#N/A</v>
        <stp/>
        <stp>BDH|12818619032030621657</stp>
        <tr r="M56" s="11"/>
      </tp>
      <tp t="e">
        <v>#N/A</v>
        <stp/>
        <stp>BDH|16414018035652974615</stp>
        <tr r="M45" s="24"/>
      </tp>
      <tp t="e">
        <v>#N/A</v>
        <stp/>
        <stp>BDH|13906695640702967218</stp>
        <tr r="H137" s="18"/>
      </tp>
      <tp t="e">
        <v>#N/A</v>
        <stp/>
        <stp>BDH|12457044326473915278</stp>
        <tr r="N41" s="6"/>
        <tr r="N18" s="5"/>
      </tp>
      <tp t="e">
        <v>#N/A</v>
        <stp/>
        <stp>BDH|11126500719070676469</stp>
        <tr r="S22" s="22"/>
      </tp>
      <tp t="e">
        <v>#N/A</v>
        <stp/>
        <stp>BDH|15323388346084486711</stp>
        <tr r="J14" s="20"/>
        <tr r="J119" s="18"/>
      </tp>
      <tp t="e">
        <v>#N/A</v>
        <stp/>
        <stp>BDH|14442901130239803644</stp>
        <tr r="F63" s="11"/>
        <tr r="F74" s="10"/>
      </tp>
      <tp t="e">
        <v>#N/A</v>
        <stp/>
        <stp>BDH|12317585253270306334</stp>
        <tr r="O46" s="22"/>
      </tp>
      <tp t="e">
        <v>#N/A</v>
        <stp/>
        <stp>BDH|11177071996509928013</stp>
        <tr r="K39" s="12"/>
      </tp>
      <tp t="e">
        <v>#N/A</v>
        <stp/>
        <stp>BDH|12665687355306107620</stp>
        <tr r="M62" s="17"/>
      </tp>
      <tp t="e">
        <v>#N/A</v>
        <stp/>
        <stp>BDH|17255179671565895542</stp>
        <tr r="J104" s="18"/>
      </tp>
      <tp t="e">
        <v>#N/A</v>
        <stp/>
        <stp>BDH|15807628564870646406</stp>
        <tr r="D8" s="27"/>
      </tp>
      <tp t="e">
        <v>#N/A</v>
        <stp/>
        <stp>BDH|13479697422902201458</stp>
        <tr r="H15" s="14"/>
      </tp>
      <tp t="e">
        <v>#N/A</v>
        <stp/>
        <stp>BDH|11591117002980653183</stp>
        <tr r="T69" s="13"/>
      </tp>
      <tp t="e">
        <v>#N/A</v>
        <stp/>
        <stp>BDH|12986929732719725065</stp>
        <tr r="F7" s="10"/>
      </tp>
      <tp t="e">
        <v>#N/A</v>
        <stp/>
        <stp>BDH|16769467771073117790</stp>
        <tr r="T145" s="18"/>
      </tp>
      <tp t="e">
        <v>#N/A</v>
        <stp/>
        <stp>BDH|10530780336165102022</stp>
        <tr r="O20" s="14"/>
      </tp>
      <tp t="e">
        <v>#N/A</v>
        <stp/>
        <stp>BDH|13890029833460228136</stp>
        <tr r="Q32" s="18"/>
      </tp>
      <tp t="e">
        <v>#N/A</v>
        <stp/>
        <stp>BDH|17923315597279645516</stp>
        <tr r="U41" s="26"/>
      </tp>
      <tp t="e">
        <v>#N/A</v>
        <stp/>
        <stp>BDH|11264111225084970776</stp>
        <tr r="N43" s="34"/>
      </tp>
      <tp t="e">
        <v>#N/A</v>
        <stp/>
        <stp>BDH|11544272540112289489</stp>
        <tr r="O74" s="12"/>
      </tp>
      <tp t="e">
        <v>#N/A</v>
        <stp/>
        <stp>BDH|13475300205594113586</stp>
        <tr r="U7" s="21"/>
      </tp>
      <tp t="e">
        <v>#N/A</v>
        <stp/>
        <stp>BDH|13786385366983442454</stp>
        <tr r="H88" s="12"/>
      </tp>
      <tp t="e">
        <v>#N/A</v>
        <stp/>
        <stp>BDH|14249525301550180088</stp>
        <tr r="Q20" s="14"/>
      </tp>
      <tp t="e">
        <v>#N/A</v>
        <stp/>
        <stp>BDH|13101015703474837636</stp>
        <tr r="H16" s="28"/>
        <tr r="H13" s="17"/>
      </tp>
      <tp t="e">
        <v>#N/A</v>
        <stp/>
        <stp>BDH|16672894101599108672</stp>
        <tr r="X90" s="12"/>
      </tp>
      <tp t="e">
        <v>#N/A</v>
        <stp/>
        <stp>BDH|11960829481322615276</stp>
        <tr r="I8" s="17"/>
      </tp>
      <tp t="e">
        <v>#N/A</v>
        <stp/>
        <stp>BDH|14657763622377094797</stp>
        <tr r="E46" s="17"/>
      </tp>
      <tp t="e">
        <v>#N/A</v>
        <stp/>
        <stp>BDH|16549367140876831602</stp>
        <tr r="T35" s="22"/>
      </tp>
      <tp t="e">
        <v>#N/A</v>
        <stp/>
        <stp>BDH|13465704196138891410</stp>
        <tr r="K50" s="12"/>
      </tp>
      <tp t="e">
        <v>#N/A</v>
        <stp/>
        <stp>BDH|16251653702263983276</stp>
        <tr r="K35" s="26"/>
        <tr r="H14" s="9"/>
      </tp>
      <tp t="e">
        <v>#N/A</v>
        <stp/>
        <stp>BDH|10972201161065660059</stp>
        <tr r="AA36" s="17"/>
      </tp>
      <tp t="e">
        <v>#N/A</v>
        <stp/>
        <stp>BDH|11294650388076552815</stp>
        <tr r="J143" s="18"/>
      </tp>
      <tp t="e">
        <v>#N/A</v>
        <stp/>
        <stp>BDH|13795482637026518362</stp>
        <tr r="E35" s="34"/>
      </tp>
      <tp t="e">
        <v>#N/A</v>
        <stp/>
        <stp>BDH|12491476216774912271</stp>
        <tr r="Y64" s="21"/>
        <tr r="W23" s="7"/>
      </tp>
      <tp t="e">
        <v>#N/A</v>
        <stp/>
        <stp>BDH|15832524105899655825</stp>
        <tr r="P73" s="13"/>
        <tr r="N61" s="10"/>
        <tr r="N50" s="11"/>
        <tr r="N18" s="4"/>
        <tr r="N19" s="7"/>
        <tr r="N20" s="2"/>
      </tp>
      <tp t="e">
        <v>#N/A</v>
        <stp/>
        <stp>BDH|11333095959657867209</stp>
        <tr r="M68" s="10"/>
        <tr r="M25" s="4"/>
      </tp>
      <tp t="e">
        <v>#N/A</v>
        <stp/>
        <stp>BDH|12435584030365688013</stp>
        <tr r="J33" s="21"/>
      </tp>
      <tp t="e">
        <v>#N/A</v>
        <stp/>
        <stp>BDH|12864165334869976883</stp>
        <tr r="V25" s="21"/>
      </tp>
      <tp t="e">
        <v>#N/A</v>
        <stp/>
        <stp>BDH|11864929297862681200</stp>
        <tr r="E14" s="20"/>
        <tr r="E119" s="18"/>
      </tp>
      <tp t="e">
        <v>#N/A</v>
        <stp/>
        <stp>BDH|11002181247433695622</stp>
        <tr r="Y9" s="30"/>
      </tp>
      <tp t="e">
        <v>#N/A</v>
        <stp/>
        <stp>BDH|11606976072327885903</stp>
        <tr r="C32" s="11"/>
        <tr r="C43" s="10"/>
      </tp>
      <tp t="e">
        <v>#N/A</v>
        <stp/>
        <stp>BDH|10527395473087208269</stp>
        <tr r="M27" s="6"/>
      </tp>
      <tp t="e">
        <v>#N/A</v>
        <stp/>
        <stp>BDH|18266730764790855869</stp>
        <tr r="S140" s="18"/>
      </tp>
      <tp t="e">
        <v>#N/A</v>
        <stp/>
        <stp>BDH|17001345939643478529</stp>
        <tr r="N49" s="6"/>
      </tp>
      <tp t="e">
        <v>#N/A</v>
        <stp/>
        <stp>BDH|17171781422453474048</stp>
        <tr r="C23" s="21"/>
      </tp>
      <tp t="e">
        <v>#N/A</v>
        <stp/>
        <stp>BDH|16407297751092346241</stp>
        <tr r="R13" s="5"/>
      </tp>
      <tp t="e">
        <v>#N/A</v>
        <stp/>
        <stp>BDH|12567829900663933858</stp>
        <tr r="O147" s="18"/>
      </tp>
      <tp t="e">
        <v>#N/A</v>
        <stp/>
        <stp>BDH|13044090969770330482</stp>
        <tr r="Q10" s="11"/>
      </tp>
      <tp t="e">
        <v>#N/A</v>
        <stp/>
        <stp>BDH|13621863869979289501</stp>
        <tr r="E22" s="10"/>
      </tp>
      <tp t="e">
        <v>#N/A</v>
        <stp/>
        <stp>BDH|14054982450141503867</stp>
        <tr r="P63" s="18"/>
      </tp>
      <tp t="e">
        <v>#N/A</v>
        <stp/>
        <stp>BDH|17018610933317026491</stp>
        <tr r="M14" s="21"/>
      </tp>
      <tp t="e">
        <v>#N/A</v>
        <stp/>
        <stp>BDH|13100633205377869346</stp>
        <tr r="M30" s="34"/>
      </tp>
      <tp t="e">
        <v>#N/A</v>
        <stp/>
        <stp>BDH|14576243914971691784</stp>
        <tr r="O24" s="21"/>
      </tp>
      <tp t="e">
        <v>#N/A</v>
        <stp/>
        <stp>BDH|13831346113744229467</stp>
        <tr r="P10" s="13"/>
      </tp>
      <tp t="e">
        <v>#N/A</v>
        <stp/>
        <stp>BDH|13829579507776393102</stp>
        <tr r="X6" s="20"/>
        <tr r="X112" s="18"/>
      </tp>
      <tp t="e">
        <v>#N/A</v>
        <stp/>
        <stp>BDH|12832623718016039295</stp>
        <tr r="V28" s="4"/>
      </tp>
      <tp t="e">
        <v>#N/A</v>
        <stp/>
        <stp>BDH|11859409215633483624</stp>
        <tr r="P8" s="34"/>
      </tp>
      <tp t="e">
        <v>#N/A</v>
        <stp/>
        <stp>BDH|13884128707740510330</stp>
        <tr r="L77" s="18"/>
      </tp>
      <tp t="e">
        <v>#N/A</v>
        <stp/>
        <stp>BDH|11960145029626712582</stp>
        <tr r="E35" s="18"/>
      </tp>
      <tp t="e">
        <v>#N/A</v>
        <stp/>
        <stp>BDH|12938316221097421561</stp>
        <tr r="Q98" s="12"/>
      </tp>
      <tp t="e">
        <v>#N/A</v>
        <stp/>
        <stp>BDH|14327495962365427273</stp>
        <tr r="Q17" s="23"/>
      </tp>
      <tp t="e">
        <v>#N/A</v>
        <stp/>
        <stp>BDH|18100996593741666862</stp>
        <tr r="I37" s="6"/>
      </tp>
      <tp t="e">
        <v>#N/A</v>
        <stp/>
        <stp>BDH|12687655330876005080</stp>
        <tr r="S46" s="18"/>
      </tp>
      <tp t="e">
        <v>#N/A</v>
        <stp/>
        <stp>BDH|16304925785065957365</stp>
        <tr r="O98" s="12"/>
      </tp>
      <tp t="e">
        <v>#N/A</v>
        <stp/>
        <stp>BDH|18414614769101681819</stp>
        <tr r="M15" s="11"/>
      </tp>
      <tp t="e">
        <v>#N/A</v>
        <stp/>
        <stp>BDH|17090979568658059147</stp>
        <tr r="J55" s="13"/>
      </tp>
      <tp t="e">
        <v>#N/A</v>
        <stp/>
        <stp>BDH|16722144451264950705</stp>
        <tr r="H44" s="34"/>
      </tp>
      <tp t="e">
        <v>#N/A</v>
        <stp/>
        <stp>BDH|10924533552804627540</stp>
        <tr r="M17" s="20"/>
      </tp>
      <tp t="e">
        <v>#N/A</v>
        <stp/>
        <stp>BDH|13764210176517315099</stp>
        <tr r="AA46" s="13"/>
        <tr r="Y30" s="11"/>
        <tr r="Y41" s="10"/>
      </tp>
      <tp t="e">
        <v>#N/A</v>
        <stp/>
        <stp>BDH|12963559350532746114</stp>
        <tr r="N69" s="24"/>
      </tp>
      <tp t="e">
        <v>#N/A</v>
        <stp/>
        <stp>BDH|14433561379756596144</stp>
        <tr r="F9" s="11"/>
      </tp>
      <tp t="e">
        <v>#N/A</v>
        <stp/>
        <stp>BDH|18070767483364859279</stp>
        <tr r="M59" s="12"/>
      </tp>
      <tp t="e">
        <v>#N/A</v>
        <stp/>
        <stp>BDH|15771132755373893331</stp>
        <tr r="N31" s="26"/>
      </tp>
      <tp t="e">
        <v>#N/A</v>
        <stp/>
        <stp>BDH|17044297512264785167</stp>
        <tr r="F43" s="25"/>
        <tr r="F7" s="13"/>
        <tr r="F22" s="13"/>
        <tr r="D17" s="11"/>
        <tr r="F7" s="3"/>
      </tp>
      <tp t="e">
        <v>#N/A</v>
        <stp/>
        <stp>BDH|11499247116357834443</stp>
        <tr r="J14" s="28"/>
      </tp>
      <tp t="e">
        <v>#N/A</v>
        <stp/>
        <stp>BDH|13577076457386897177</stp>
        <tr r="L67" s="12"/>
      </tp>
      <tp t="e">
        <v>#N/A</v>
        <stp/>
        <stp>BDH|14153651001843689098</stp>
        <tr r="O25" s="7"/>
      </tp>
      <tp t="e">
        <v>#N/A</v>
        <stp/>
        <stp>BDH|10185390384562135872</stp>
        <tr r="X96" s="18"/>
      </tp>
      <tp t="e">
        <v>#N/A</v>
        <stp/>
        <stp>BDH|16837135187696466825</stp>
        <tr r="G14" s="27"/>
        <tr r="G32" s="25"/>
      </tp>
      <tp t="e">
        <v>#N/A</v>
        <stp/>
        <stp>BDH|16068007998687721956</stp>
        <tr r="C86" s="12"/>
      </tp>
      <tp t="e">
        <v>#N/A</v>
        <stp/>
        <stp>BDH|16691561196018534398</stp>
        <tr r="W20" s="23"/>
      </tp>
      <tp t="e">
        <v>#N/A</v>
        <stp/>
        <stp>BDH|17067244773501427296</stp>
        <tr r="F99" s="18"/>
      </tp>
      <tp t="e">
        <v>#N/A</v>
        <stp/>
        <stp>BDH|11696467728542014429</stp>
        <tr r="K10" s="28"/>
      </tp>
      <tp t="e">
        <v>#N/A</v>
        <stp/>
        <stp>BDH|13082038373223824621</stp>
        <tr r="N10" s="12"/>
      </tp>
      <tp t="e">
        <v>#N/A</v>
        <stp/>
        <stp>BDH|15443036373665755691</stp>
        <tr r="N33" s="29"/>
        <tr r="N42" s="29"/>
        <tr r="L55" s="6"/>
        <tr r="L11" s="5"/>
        <tr r="M10" s="2"/>
      </tp>
      <tp t="e">
        <v>#N/A</v>
        <stp/>
        <stp>BDH|14996553596931572854</stp>
        <tr r="S91" s="12"/>
      </tp>
      <tp t="e">
        <v>#N/A</v>
        <stp/>
        <stp>BDH|11304012427370979261</stp>
        <tr r="I34" s="12"/>
      </tp>
      <tp t="e">
        <v>#N/A</v>
        <stp/>
        <stp>BDH|12534682869830891367</stp>
        <tr r="T15" s="13"/>
      </tp>
      <tp t="e">
        <v>#N/A</v>
        <stp/>
        <stp>BDH|15256427139695070634</stp>
        <tr r="D60" s="13"/>
        <tr r="D10" s="3"/>
      </tp>
      <tp t="e">
        <v>#N/A</v>
        <stp/>
        <stp>BDH|18280449194984080087</stp>
        <tr r="E61" s="12"/>
      </tp>
      <tp t="e">
        <v>#N/A</v>
        <stp/>
        <stp>BDH|18123316383144107682</stp>
        <tr r="E8" s="11"/>
      </tp>
      <tp t="e">
        <v>#N/A</v>
        <stp/>
        <stp>BDH|10827840963558399769</stp>
        <tr r="Y37" s="13"/>
        <tr r="W30" s="10"/>
      </tp>
      <tp t="e">
        <v>#N/A</v>
        <stp/>
        <stp>BDH|15678850371443022887</stp>
        <tr r="E15" s="18"/>
      </tp>
      <tp t="e">
        <v>#N/A</v>
        <stp/>
        <stp>BDH|12702579835871707487</stp>
        <tr r="K26" s="25"/>
        <tr r="K56" s="21"/>
      </tp>
      <tp t="e">
        <v>#N/A</v>
        <stp/>
        <stp>BDH|10911204213604423647</stp>
        <tr r="K33" s="12"/>
      </tp>
      <tp t="e">
        <v>#N/A</v>
        <stp/>
        <stp>BDH|15666025777555834613</stp>
        <tr r="F12" s="7"/>
      </tp>
      <tp t="e">
        <v>#N/A</v>
        <stp/>
        <stp>BDH|16390499402224229705</stp>
        <tr r="X168" s="18"/>
      </tp>
      <tp t="e">
        <v>#N/A</v>
        <stp/>
        <stp>BDH|15543687076130839594</stp>
        <tr r="F39" s="12"/>
      </tp>
      <tp t="e">
        <v>#N/A</v>
        <stp/>
        <stp>BDH|12613423450526959476</stp>
        <tr r="X13" s="2"/>
      </tp>
      <tp t="e">
        <v>#N/A</v>
        <stp/>
        <stp>BDH|11314222030557240696</stp>
        <tr r="L32" s="22"/>
      </tp>
      <tp t="e">
        <v>#N/A</v>
        <stp/>
        <stp>BDH|12935771197134519919</stp>
        <tr r="K72" s="24"/>
      </tp>
      <tp t="e">
        <v>#N/A</v>
        <stp/>
        <stp>BDH|10995542162404539676</stp>
        <tr r="I13" s="2"/>
      </tp>
      <tp t="e">
        <v>#N/A</v>
        <stp/>
        <stp>BDH|15309488795859530069</stp>
        <tr r="U135" s="18"/>
      </tp>
      <tp t="e">
        <v>#N/A</v>
        <stp/>
        <stp>BDH|16337274236411683791</stp>
        <tr r="S53" s="21"/>
      </tp>
      <tp t="e">
        <v>#N/A</v>
        <stp/>
        <stp>BDH|10961361045213566529</stp>
        <tr r="G51" s="22"/>
      </tp>
      <tp t="e">
        <v>#N/A</v>
        <stp/>
        <stp>BDH|10614165237386895527</stp>
        <tr r="F37" s="12"/>
      </tp>
      <tp t="e">
        <v>#N/A</v>
        <stp/>
        <stp>BDH|17929199647787310494</stp>
        <tr r="L13" s="21"/>
      </tp>
      <tp t="e">
        <v>#N/A</v>
        <stp/>
        <stp>BDH|12791454433312857642</stp>
        <tr r="L20" s="22"/>
      </tp>
      <tp t="e">
        <v>#N/A</v>
        <stp/>
        <stp>BDH|16267553957755438298</stp>
        <tr r="V132" s="18"/>
      </tp>
      <tp t="e">
        <v>#N/A</v>
        <stp/>
        <stp>BDH|16258788081371257943</stp>
        <tr r="J27" s="22"/>
      </tp>
      <tp t="e">
        <v>#N/A</v>
        <stp/>
        <stp>BDH|14461299294928465608</stp>
        <tr r="P21" s="24"/>
      </tp>
      <tp t="e">
        <v>#N/A</v>
        <stp/>
        <stp>BDH|16873058620402148710</stp>
        <tr r="T68" s="12"/>
      </tp>
      <tp t="e">
        <v>#N/A</v>
        <stp/>
        <stp>BDH|14780020051119128984</stp>
        <tr r="T26" s="22"/>
      </tp>
      <tp t="e">
        <v>#N/A</v>
        <stp/>
        <stp>BDH|11547598670401305327</stp>
        <tr r="I15" s="13"/>
      </tp>
      <tp t="e">
        <v>#N/A</v>
        <stp/>
        <stp>BDH|13324314265016283181</stp>
        <tr r="H128" s="18"/>
      </tp>
      <tp t="e">
        <v>#N/A</v>
        <stp/>
        <stp>BDH|14285695094193378915</stp>
        <tr r="AA18" s="17"/>
      </tp>
      <tp t="e">
        <v>#N/A</v>
        <stp/>
        <stp>BDH|11976138720494130765</stp>
        <tr r="T45" s="13"/>
        <tr r="R40" s="10"/>
        <tr r="R29" s="11"/>
      </tp>
      <tp t="e">
        <v>#N/A</v>
        <stp/>
        <stp>BDH|16579755367884359292</stp>
        <tr r="O35" s="22"/>
      </tp>
      <tp t="e">
        <v>#N/A</v>
        <stp/>
        <stp>BDH|12283982106749771367</stp>
        <tr r="H47" s="11"/>
        <tr r="H58" s="10"/>
        <tr r="H7" s="7"/>
        <tr r="J12" s="3"/>
      </tp>
      <tp t="e">
        <v>#N/A</v>
        <stp/>
        <stp>BDH|10734653049895375653</stp>
        <tr r="L20" s="28"/>
        <tr r="L17" s="17"/>
      </tp>
      <tp t="e">
        <v>#N/A</v>
        <stp/>
        <stp>BDH|10679568373583846062</stp>
        <tr r="C63" s="24"/>
      </tp>
      <tp t="e">
        <v>#N/A</v>
        <stp/>
        <stp>BDH|11562594747603191271</stp>
        <tr r="S16" s="22"/>
      </tp>
      <tp t="e">
        <v>#N/A</v>
        <stp/>
        <stp>BDH|14182675349777742052</stp>
        <tr r="F12" s="14"/>
      </tp>
      <tp t="e">
        <v>#N/A</v>
        <stp/>
        <stp>BDH|15384481718975852469</stp>
        <tr r="O36" s="34"/>
      </tp>
      <tp t="e">
        <v>#N/A</v>
        <stp/>
        <stp>BDH|12189268208766711754</stp>
        <tr r="G16" s="21"/>
      </tp>
      <tp t="e">
        <v>#N/A</v>
        <stp/>
        <stp>BDH|16499681254873105742</stp>
        <tr r="N37" s="22"/>
      </tp>
      <tp t="e">
        <v>#N/A</v>
        <stp/>
        <stp>BDH|12995940868944885808</stp>
        <tr r="T8" s="18"/>
      </tp>
      <tp t="e">
        <v>#N/A</v>
        <stp/>
        <stp>BDH|13479626626850804659</stp>
        <tr r="K40" s="22"/>
      </tp>
      <tp t="e">
        <v>#N/A</v>
        <stp/>
        <stp>BDH|14068535213718535987</stp>
        <tr r="F40" s="18"/>
      </tp>
      <tp t="e">
        <v>#N/A</v>
        <stp/>
        <stp>BDH|12096466148841669251</stp>
        <tr r="Q21" s="22"/>
      </tp>
      <tp t="e">
        <v>#N/A</v>
        <stp/>
        <stp>BDH|13532043418375053646</stp>
        <tr r="F37" s="22"/>
      </tp>
      <tp t="e">
        <v>#N/A</v>
        <stp/>
        <stp>BDH|16707645898718443021</stp>
        <tr r="S62" s="18"/>
      </tp>
      <tp t="e">
        <v>#N/A</v>
        <stp/>
        <stp>BDH|17893059910574564354</stp>
        <tr r="L74" s="18"/>
      </tp>
      <tp t="e">
        <v>#N/A</v>
        <stp/>
        <stp>BDH|12673366474664075397</stp>
        <tr r="F16" s="34"/>
      </tp>
      <tp t="e">
        <v>#N/A</v>
        <stp/>
        <stp>BDH|13825155997623308946</stp>
        <tr r="E33" s="13"/>
        <tr r="C26" s="10"/>
      </tp>
      <tp t="e">
        <v>#N/A</v>
        <stp/>
        <stp>BDH|14764120455070485199</stp>
        <tr r="L7" s="4"/>
      </tp>
      <tp t="e">
        <v>#N/A</v>
        <stp/>
        <stp>BDH|15974083464593148193</stp>
        <tr r="J49" s="17"/>
      </tp>
      <tp t="e">
        <v>#N/A</v>
        <stp/>
        <stp>BDH|12623749274175992626</stp>
        <tr r="I37" s="24"/>
      </tp>
      <tp t="e">
        <v>#N/A</v>
        <stp/>
        <stp>BDH|16012113578400213162</stp>
        <tr r="D38" s="34"/>
      </tp>
      <tp t="e">
        <v>#N/A</v>
        <stp/>
        <stp>BDH|17064189430935547107</stp>
        <tr r="R14" s="28"/>
      </tp>
      <tp t="e">
        <v>#N/A</v>
        <stp/>
        <stp>BDH|10930100720363331176</stp>
        <tr r="C31" s="14"/>
      </tp>
      <tp t="e">
        <v>#N/A</v>
        <stp/>
        <stp>BDH|16473025001512868525</stp>
        <tr r="O8" s="25"/>
        <tr r="L10" s="5"/>
        <tr r="M9" s="2"/>
      </tp>
      <tp t="e">
        <v>#N/A</v>
        <stp/>
        <stp>BDH|12558817239521893995</stp>
        <tr r="P17" s="5"/>
        <tr r="P36" s="6"/>
      </tp>
      <tp t="e">
        <v>#N/A</v>
        <stp/>
        <stp>BDH|18231314271434985970</stp>
        <tr r="W56" s="11"/>
      </tp>
      <tp t="e">
        <v>#N/A</v>
        <stp/>
        <stp>BDH|10773047199540570839</stp>
        <tr r="S43" s="11"/>
        <tr r="S54" s="10"/>
        <tr r="S14" s="7"/>
        <tr r="U9" s="3"/>
      </tp>
      <tp t="e">
        <v>#N/A</v>
        <stp/>
        <stp>BDH|15662087050878355917</stp>
        <tr r="L9" s="29"/>
      </tp>
      <tp t="e">
        <v>#N/A</v>
        <stp/>
        <stp>BDH|10364962399811108016</stp>
        <tr r="C91" s="17"/>
      </tp>
      <tp t="e">
        <v>#N/A</v>
        <stp/>
        <stp>BDH|10644061560907558093</stp>
        <tr r="W81" s="18"/>
      </tp>
      <tp t="e">
        <v>#N/A</v>
        <stp/>
        <stp>BDH|13525928824020634993</stp>
        <tr r="C13" s="22"/>
      </tp>
      <tp t="e">
        <v>#N/A</v>
        <stp/>
        <stp>BDH|13525326043304840109</stp>
        <tr r="E62" s="13"/>
      </tp>
      <tp t="e">
        <v>#N/A</v>
        <stp/>
        <stp>BDH|16820692168304693330</stp>
        <tr r="T48" s="12"/>
      </tp>
      <tp t="e">
        <v>#N/A</v>
        <stp/>
        <stp>BDH|12423065463815949042</stp>
        <tr r="Y88" s="12"/>
      </tp>
      <tp t="e">
        <v>#N/A</v>
        <stp/>
        <stp>BDH|16988246934474240277</stp>
        <tr r="K71" s="18"/>
      </tp>
      <tp t="e">
        <v>#N/A</v>
        <stp/>
        <stp>BDH|15099074516546504380</stp>
        <tr r="H14" s="13"/>
      </tp>
      <tp t="e">
        <v>#N/A</v>
        <stp/>
        <stp>BDH|15467087701041001519</stp>
        <tr r="P16" s="21"/>
      </tp>
      <tp t="e">
        <v>#N/A</v>
        <stp/>
        <stp>BDH|12420557718452705529</stp>
        <tr r="E53" s="6"/>
        <tr r="G10" s="8"/>
      </tp>
      <tp t="e">
        <v>#N/A</v>
        <stp/>
        <stp>BDH|15834574763766092101</stp>
        <tr r="E19" s="17"/>
      </tp>
      <tp t="e">
        <v>#N/A</v>
        <stp/>
        <stp>BDH|15673078647091351195</stp>
        <tr r="Z23" s="13"/>
      </tp>
      <tp t="e">
        <v>#N/A</v>
        <stp/>
        <stp>BDH|13757376399931342961</stp>
        <tr r="F28" s="17"/>
      </tp>
      <tp t="e">
        <v>#N/A</v>
        <stp/>
        <stp>BDH|15083340439063951782</stp>
        <tr r="Y19" s="20"/>
      </tp>
      <tp t="e">
        <v>#N/A</v>
        <stp/>
        <stp>BDH|11220538570612548086</stp>
        <tr r="O19" s="20"/>
      </tp>
      <tp t="e">
        <v>#N/A</v>
        <stp/>
        <stp>BDH|11323494697585084815</stp>
        <tr r="X42" s="34"/>
      </tp>
      <tp t="e">
        <v>#N/A</v>
        <stp/>
        <stp>BDH|14968108620890004658</stp>
        <tr r="M92" s="12"/>
      </tp>
      <tp t="e">
        <v>#N/A</v>
        <stp/>
        <stp>BDH|10855468340049059825</stp>
        <tr r="H93" s="12"/>
      </tp>
      <tp t="e">
        <v>#N/A</v>
        <stp/>
        <stp>BDH|11920452934333061448</stp>
        <tr r="M87" s="18"/>
      </tp>
      <tp t="e">
        <v>#N/A</v>
        <stp/>
        <stp>BDH|10474480437837355149</stp>
        <tr r="M171" s="18"/>
      </tp>
      <tp t="e">
        <v>#N/A</v>
        <stp/>
        <stp>BDH|12584257151365990146</stp>
        <tr r="K132" s="18"/>
      </tp>
      <tp t="e">
        <v>#N/A</v>
        <stp/>
        <stp>BDH|15097099282568457432</stp>
        <tr r="H56" s="24"/>
      </tp>
      <tp t="e">
        <v>#N/A</v>
        <stp/>
        <stp>BDH|10439021358625524177</stp>
        <tr r="P62" s="24"/>
      </tp>
      <tp t="e">
        <v>#N/A</v>
        <stp/>
        <stp>BDH|11708868450055596880</stp>
        <tr r="X138" s="18"/>
      </tp>
      <tp t="e">
        <v>#N/A</v>
        <stp/>
        <stp>BDH|18101722907439965711</stp>
        <tr r="Q36" s="34"/>
      </tp>
      <tp t="e">
        <v>#N/A</v>
        <stp/>
        <stp>BDH|13512694361400118201</stp>
        <tr r="O14" s="20"/>
        <tr r="O119" s="18"/>
      </tp>
      <tp t="e">
        <v>#N/A</v>
        <stp/>
        <stp>BDH|12028798655986332731</stp>
        <tr r="W90" s="17"/>
      </tp>
      <tp t="e">
        <v>#N/A</v>
        <stp/>
        <stp>BDH|15992675705973644110</stp>
        <tr r="O58" s="6"/>
      </tp>
      <tp t="e">
        <v>#N/A</v>
        <stp/>
        <stp>BDH|14030530549016567234</stp>
        <tr r="J37" s="22"/>
      </tp>
      <tp t="e">
        <v>#N/A</v>
        <stp/>
        <stp>BDH|11199042608433681377</stp>
        <tr r="F96" s="17"/>
      </tp>
      <tp t="e">
        <v>#N/A</v>
        <stp/>
        <stp>BDH|16244395910130747504</stp>
        <tr r="U57" s="12"/>
      </tp>
      <tp t="e">
        <v>#N/A</v>
        <stp/>
        <stp>BDH|14459598348064087095</stp>
        <tr r="E56" s="11"/>
      </tp>
      <tp t="e">
        <v>#N/A</v>
        <stp/>
        <stp>BDH|14254708233651587083</stp>
        <tr r="W64" s="18"/>
      </tp>
      <tp t="e">
        <v>#N/A</v>
        <stp/>
        <stp>BDH|13025635858531437036</stp>
        <tr r="W36" s="17"/>
      </tp>
      <tp t="e">
        <v>#N/A</v>
        <stp/>
        <stp>BDH|14380000266926818517</stp>
        <tr r="F92" s="12"/>
      </tp>
      <tp t="e">
        <v>#N/A</v>
        <stp/>
        <stp>BDH|13099013893898873362</stp>
        <tr r="X41" s="34"/>
      </tp>
      <tp t="e">
        <v>#N/A</v>
        <stp/>
        <stp>BDH|11064103800246972757</stp>
        <tr r="L58" s="12"/>
      </tp>
      <tp t="e">
        <v>#N/A</v>
        <stp/>
        <stp>BDH|16089489934822579258</stp>
        <tr r="M64" s="24"/>
      </tp>
      <tp t="e">
        <v>#N/A</v>
        <stp/>
        <stp>BDH|17520255039190559705</stp>
        <tr r="S166" s="18"/>
      </tp>
      <tp t="e">
        <v>#N/A</v>
        <stp/>
        <stp>BDH|10614126857683837674</stp>
        <tr r="R91" s="18"/>
      </tp>
      <tp t="e">
        <v>#N/A</v>
        <stp/>
        <stp>BDH|11764014104236754693</stp>
        <tr r="E61" s="17"/>
      </tp>
      <tp t="e">
        <v>#N/A</v>
        <stp/>
        <stp>BDH|10146222068245525023</stp>
        <tr r="U16" s="18"/>
      </tp>
      <tp t="e">
        <v>#N/A</v>
        <stp/>
        <stp>BDH|15379566377332819466</stp>
        <tr r="AA91" s="17"/>
      </tp>
      <tp t="e">
        <v>#N/A</v>
        <stp/>
        <stp>BDH|12141392127396156424</stp>
        <tr r="I49" s="24"/>
      </tp>
      <tp t="e">
        <v>#N/A</v>
        <stp/>
        <stp>BDH|13025650034404801352</stp>
        <tr r="M30" s="18"/>
      </tp>
      <tp t="e">
        <v>#N/A</v>
        <stp/>
        <stp>BDH|12540306151955994029</stp>
        <tr r="D31" s="13"/>
      </tp>
      <tp t="e">
        <v>#N/A</v>
        <stp/>
        <stp>BDH|17636033049693753149</stp>
        <tr r="L16" s="27"/>
        <tr r="L34" s="25"/>
      </tp>
      <tp t="e">
        <v>#N/A</v>
        <stp/>
        <stp>BDH|11726198773175574376</stp>
        <tr r="P48" s="12"/>
      </tp>
      <tp t="e">
        <v>#N/A</v>
        <stp/>
        <stp>BDH|13334494393236799915</stp>
        <tr r="E29" s="4"/>
      </tp>
      <tp t="e">
        <v>#N/A</v>
        <stp/>
        <stp>BDH|11843236684918861284</stp>
        <tr r="Q31" s="11"/>
        <tr r="Q42" s="10"/>
      </tp>
      <tp t="e">
        <v>#N/A</v>
        <stp/>
        <stp>BDH|14991783120176912673</stp>
        <tr r="U18" s="26"/>
      </tp>
      <tp t="e">
        <v>#N/A</v>
        <stp/>
        <stp>BDH|10573602466446501798</stp>
        <tr r="H65" s="17"/>
      </tp>
      <tp t="e">
        <v>#N/A</v>
        <stp/>
        <stp>BDH|12431898883595098618</stp>
        <tr r="T64" s="11"/>
        <tr r="T75" s="10"/>
      </tp>
      <tp t="e">
        <v>#N/A</v>
        <stp/>
        <stp>BDH|13182379918925247532</stp>
        <tr r="L24" s="25"/>
      </tp>
      <tp t="e">
        <v>#N/A</v>
        <stp/>
        <stp>BDH|11225821483768882842</stp>
        <tr r="I10" s="26"/>
      </tp>
      <tp t="e">
        <v>#N/A</v>
        <stp/>
        <stp>BDH|17975809390637624004</stp>
        <tr r="E70" s="12"/>
      </tp>
      <tp t="e">
        <v>#N/A</v>
        <stp/>
        <stp>BDH|13322769123220147780</stp>
        <tr r="M42" s="22"/>
      </tp>
      <tp t="e">
        <v>#N/A</v>
        <stp/>
        <stp>BDH|13993371936136454430</stp>
        <tr r="U99" s="18"/>
      </tp>
      <tp t="e">
        <v>#N/A</v>
        <stp/>
        <stp>BDH|18358015692264696497</stp>
        <tr r="W121" s="18"/>
      </tp>
      <tp t="e">
        <v>#N/A</v>
        <stp/>
        <stp>BDH|12592441669576063777</stp>
        <tr r="R26" s="24"/>
      </tp>
      <tp t="e">
        <v>#N/A</v>
        <stp/>
        <stp>BDH|12256816385757138484</stp>
        <tr r="W27" s="13"/>
      </tp>
      <tp t="e">
        <v>#N/A</v>
        <stp/>
        <stp>BDH|10110611225064816122</stp>
        <tr r="N57" s="13"/>
        <tr r="L38" s="11"/>
        <tr r="L49" s="10"/>
        <tr r="L53" s="4"/>
        <tr r="L18" s="2"/>
      </tp>
      <tp t="e">
        <v>#N/A</v>
        <stp/>
        <stp>BDH|13125628868705180757</stp>
        <tr r="G7" s="11"/>
      </tp>
      <tp t="e">
        <v>#N/A</v>
        <stp/>
        <stp>BDH|17211208939022596512</stp>
        <tr r="J70" s="10"/>
      </tp>
      <tp t="e">
        <v>#N/A</v>
        <stp/>
        <stp>BDH|17519509557452486496</stp>
        <tr r="P32" s="5"/>
      </tp>
      <tp t="e">
        <v>#N/A</v>
        <stp/>
        <stp>BDH|11922626064394140411</stp>
        <tr r="Q42" s="11"/>
        <tr r="Q53" s="10"/>
        <tr r="Q8" s="7"/>
        <tr r="S11" s="3"/>
      </tp>
      <tp t="e">
        <v>#N/A</v>
        <stp/>
        <stp>BDH|15313052649378906892</stp>
        <tr r="E79" s="12"/>
      </tp>
      <tp t="e">
        <v>#N/A</v>
        <stp/>
        <stp>BDH|17172900188635447227</stp>
        <tr r="Y69" s="13"/>
      </tp>
      <tp t="e">
        <v>#N/A</v>
        <stp/>
        <stp>BDH|12979127049890595680</stp>
        <tr r="O40" s="12"/>
      </tp>
      <tp t="e">
        <v>#N/A</v>
        <stp/>
        <stp>BDH|15511410467794949253</stp>
        <tr r="N33" s="11"/>
        <tr r="N44" s="10"/>
      </tp>
      <tp t="e">
        <v>#N/A</v>
        <stp/>
        <stp>BDH|11740366272660800444</stp>
        <tr r="D53" s="12"/>
      </tp>
      <tp t="e">
        <v>#N/A</v>
        <stp/>
        <stp>BDH|14453392496117077841</stp>
        <tr r="I28" s="4"/>
      </tp>
      <tp t="e">
        <v>#N/A</v>
        <stp/>
        <stp>BDH|14751116460273833112</stp>
        <tr r="R6" s="15"/>
        <tr r="R11" s="4"/>
        <tr r="R6" s="10"/>
        <tr r="R12" s="2"/>
      </tp>
      <tp t="e">
        <v>#N/A</v>
        <stp/>
        <stp>BDH|14330414307235232486</stp>
        <tr r="S15" s="5"/>
      </tp>
      <tp t="e">
        <v>#N/A</v>
        <stp/>
        <stp>BDH|15573083125573657513</stp>
        <tr r="V66" s="13"/>
      </tp>
      <tp t="e">
        <v>#N/A</v>
        <stp/>
        <stp>BDH|11999029804899285926</stp>
        <tr r="I52" s="12"/>
      </tp>
      <tp t="e">
        <v>#N/A</v>
        <stp/>
        <stp>BDH|12848097776852085685</stp>
        <tr r="V28" s="6"/>
      </tp>
      <tp t="e">
        <v>#N/A</v>
        <stp/>
        <stp>BDH|11021569662894850730</stp>
        <tr r="E68" s="10"/>
        <tr r="E25" s="4"/>
      </tp>
      <tp t="e">
        <v>#N/A</v>
        <stp/>
        <stp>BDH|12442081751292255404</stp>
        <tr r="L64" s="13"/>
      </tp>
      <tp t="e">
        <v>#N/A</v>
        <stp/>
        <stp>BDH|12815659924983431424</stp>
        <tr r="I71" s="18"/>
      </tp>
      <tp t="e">
        <v>#N/A</v>
        <stp/>
        <stp>BDH|10252511145318830812</stp>
        <tr r="P34" s="18"/>
      </tp>
      <tp t="e">
        <v>#N/A</v>
        <stp/>
        <stp>BDH|13977640959224931522</stp>
        <tr r="N91" s="12"/>
      </tp>
      <tp t="e">
        <v>#N/A</v>
        <stp/>
        <stp>BDH|14893410697460703876</stp>
        <tr r="H8" s="14"/>
      </tp>
      <tp t="e">
        <v>#N/A</v>
        <stp/>
        <stp>BDH|18001263326320838969</stp>
        <tr r="Q39" s="24"/>
      </tp>
      <tp t="e">
        <v>#N/A</v>
        <stp/>
        <stp>BDH|10799561949220615001</stp>
        <tr r="Z7" s="28"/>
      </tp>
      <tp t="e">
        <v>#N/A</v>
        <stp/>
        <stp>BDH|14945312472060596115</stp>
        <tr r="V31" s="22"/>
      </tp>
      <tp t="e">
        <v>#N/A</v>
        <stp/>
        <stp>BDH|17061188265704783548</stp>
        <tr r="O15" s="13"/>
      </tp>
      <tp t="e">
        <v>#N/A</v>
        <stp/>
        <stp>BDH|15068499583720573817</stp>
        <tr r="T9" s="20"/>
        <tr r="T115" s="18"/>
      </tp>
      <tp t="e">
        <v>#N/A</v>
        <stp/>
        <stp>BDH|14692039614290684492</stp>
        <tr r="V81" s="18"/>
      </tp>
      <tp t="e">
        <v>#N/A</v>
        <stp/>
        <stp>BDH|13492094823836389635</stp>
        <tr r="X18" s="12"/>
      </tp>
      <tp t="e">
        <v>#N/A</v>
        <stp/>
        <stp>BDH|12169320465635983317</stp>
        <tr r="T42" s="22"/>
      </tp>
      <tp t="e">
        <v>#N/A</v>
        <stp/>
        <stp>BDH|16386196054695046603</stp>
        <tr r="F65" s="18"/>
      </tp>
      <tp t="e">
        <v>#N/A</v>
        <stp/>
        <stp>BDH|17219336145818268986</stp>
        <tr r="T33" s="12"/>
      </tp>
      <tp t="e">
        <v>#N/A</v>
        <stp/>
        <stp>BDH|17171172267634690595</stp>
        <tr r="N20" s="17"/>
      </tp>
      <tp t="e">
        <v>#N/A</v>
        <stp/>
        <stp>BDH|10284153725361552393</stp>
        <tr r="R19" s="24"/>
      </tp>
      <tp t="e">
        <v>#N/A</v>
        <stp/>
        <stp>BDH|16278854119568022609</stp>
        <tr r="D86" s="18"/>
      </tp>
      <tp t="e">
        <v>#N/A</v>
        <stp/>
        <stp>BDH|12233347638866358534</stp>
        <tr r="H11" s="11"/>
      </tp>
      <tp t="e">
        <v>#N/A</v>
        <stp/>
        <stp>BDH|16459430691099189391</stp>
        <tr r="E47" s="34"/>
      </tp>
      <tp t="e">
        <v>#N/A</v>
        <stp/>
        <stp>BDH|16546536292968909337</stp>
        <tr r="P7" s="14"/>
      </tp>
      <tp t="e">
        <v>#N/A</v>
        <stp/>
        <stp>BDH|11955852680600754058</stp>
        <tr r="G14" s="10"/>
      </tp>
      <tp t="e">
        <v>#N/A</v>
        <stp/>
        <stp>BDH|15956789450477899172</stp>
        <tr r="D56" s="24"/>
      </tp>
      <tp t="e">
        <v>#N/A</v>
        <stp/>
        <stp>BDH|16403850752593823954</stp>
        <tr r="E34" s="21"/>
      </tp>
      <tp t="e">
        <v>#N/A</v>
        <stp/>
        <stp>BDH|12698088936217584738</stp>
        <tr r="AA41" s="25"/>
        <tr r="AA59" s="21"/>
        <tr r="Y54" s="11"/>
        <tr r="Y31" s="4"/>
      </tp>
      <tp t="e">
        <v>#N/A</v>
        <stp/>
        <stp>BDH|11003576538987656178</stp>
        <tr r="Z67" s="13"/>
      </tp>
      <tp t="e">
        <v>#N/A</v>
        <stp/>
        <stp>BDH|15053137869107228463</stp>
        <tr r="I44" s="11"/>
        <tr r="I15" s="7"/>
        <tr r="I55" s="10"/>
      </tp>
      <tp t="e">
        <v>#N/A</v>
        <stp/>
        <stp>BDH|10982328326148589868</stp>
        <tr r="R37" s="24"/>
      </tp>
      <tp t="e">
        <v>#N/A</v>
        <stp/>
        <stp>BDH|11863138161067288067</stp>
        <tr r="K21" s="24"/>
      </tp>
      <tp t="e">
        <v>#N/A</v>
        <stp/>
        <stp>BDH|14578892937389469711</stp>
        <tr r="X87" s="12"/>
      </tp>
      <tp t="e">
        <v>#N/A</v>
        <stp/>
        <stp>BDH|17599543410682859079</stp>
        <tr r="Q169" s="18"/>
      </tp>
      <tp t="e">
        <v>#N/A</v>
        <stp/>
        <stp>BDH|15968037348138473887</stp>
        <tr r="X63" s="17"/>
      </tp>
      <tp t="e">
        <v>#N/A</v>
        <stp/>
        <stp>BDH|16624996091974495344</stp>
        <tr r="X63" s="18"/>
      </tp>
      <tp t="e">
        <v>#N/A</v>
        <stp/>
        <stp>BDH|13484788140786490769</stp>
        <tr r="G22" s="12"/>
      </tp>
      <tp t="e">
        <v>#N/A</v>
        <stp/>
        <stp>BDH|10926777801253102500</stp>
        <tr r="P72" s="12"/>
      </tp>
      <tp t="e">
        <v>#N/A</v>
        <stp/>
        <stp>BDH|16568227868252576143</stp>
        <tr r="N15" s="11"/>
      </tp>
      <tp t="e">
        <v>#N/A</v>
        <stp/>
        <stp>BDH|11742935583309105885</stp>
        <tr r="L40" s="24"/>
      </tp>
      <tp t="e">
        <v>#N/A</v>
        <stp/>
        <stp>BDH|10302142632131871232</stp>
        <tr r="F109" s="18"/>
      </tp>
      <tp t="e">
        <v>#N/A</v>
        <stp/>
        <stp>BDH|15918254350071691249</stp>
        <tr r="C33" s="12"/>
      </tp>
      <tp t="e">
        <v>#N/A</v>
        <stp/>
        <stp>BDH|15213067358202345315</stp>
        <tr r="O38" s="6"/>
      </tp>
      <tp t="e">
        <v>#N/A</v>
        <stp/>
        <stp>BDH|10020172899498366137</stp>
        <tr r="Z72" s="18"/>
      </tp>
      <tp t="e">
        <v>#N/A</v>
        <stp/>
        <stp>BDH|13951106104976391506</stp>
        <tr r="U63" s="12"/>
      </tp>
      <tp t="e">
        <v>#N/A</v>
        <stp/>
        <stp>BDH|14491346231697798284</stp>
        <tr r="K16" s="26"/>
      </tp>
      <tp t="e">
        <v>#N/A</v>
        <stp/>
        <stp>BDH|14247725799855068984</stp>
        <tr r="P46" s="22"/>
      </tp>
      <tp t="e">
        <v>#N/A</v>
        <stp/>
        <stp>BDH|12458527160943562426</stp>
        <tr r="M31" s="9"/>
      </tp>
      <tp t="e">
        <v>#N/A</v>
        <stp/>
        <stp>BDH|11887773498208758117</stp>
        <tr r="R140" s="18"/>
      </tp>
      <tp t="e">
        <v>#N/A</v>
        <stp/>
        <stp>BDH|10991472936301142087</stp>
        <tr r="G24" s="22"/>
      </tp>
      <tp t="e">
        <v>#N/A</v>
        <stp/>
        <stp>BDH|11794191521961931579</stp>
        <tr r="P9" s="13"/>
      </tp>
      <tp t="e">
        <v>#N/A</v>
        <stp/>
        <stp>BDH|11655789759767436223</stp>
        <tr r="F35" s="34"/>
      </tp>
      <tp t="e">
        <v>#N/A</v>
        <stp/>
        <stp>BDH|15442284804257891611</stp>
        <tr r="Z68" s="24"/>
      </tp>
      <tp t="e">
        <v>#N/A</v>
        <stp/>
        <stp>BDH|14485789857800855025</stp>
        <tr r="G9" s="26"/>
      </tp>
      <tp t="e">
        <v>#N/A</v>
        <stp/>
        <stp>BDH|14777566356090019269</stp>
        <tr r="X49" s="6"/>
      </tp>
      <tp t="e">
        <v>#N/A</v>
        <stp/>
        <stp>BDH|10408550649832953505</stp>
        <tr r="T27" s="25"/>
        <tr r="R20" s="11"/>
      </tp>
      <tp t="e">
        <v>#N/A</v>
        <stp/>
        <stp>BDH|17090770113777131045</stp>
        <tr r="Z84" s="12"/>
      </tp>
      <tp t="e">
        <v>#N/A</v>
        <stp/>
        <stp>BDH|12012450223021475339</stp>
        <tr r="V8" s="14"/>
      </tp>
      <tp t="e">
        <v>#N/A</v>
        <stp/>
        <stp>BDH|14084056540247436100</stp>
        <tr r="W93" s="17"/>
      </tp>
      <tp t="e">
        <v>#N/A</v>
        <stp/>
        <stp>BDH|15029953941637598900</stp>
        <tr r="D90" s="18"/>
      </tp>
      <tp t="e">
        <v>#N/A</v>
        <stp/>
        <stp>BDH|13381645435334486478</stp>
        <tr r="AA41" s="24"/>
      </tp>
      <tp t="e">
        <v>#N/A</v>
        <stp/>
        <stp>BDH|16531054277514386357</stp>
        <tr r="C31" s="11"/>
        <tr r="C42" s="10"/>
      </tp>
      <tp t="e">
        <v>#N/A</v>
        <stp/>
        <stp>BDH|14129749800023154653</stp>
        <tr r="I6" s="27"/>
      </tp>
      <tp t="e">
        <v>#N/A</v>
        <stp/>
        <stp>BDH|15020590717122962568</stp>
        <tr r="X77" s="17"/>
      </tp>
      <tp t="e">
        <v>#N/A</v>
        <stp/>
        <stp>BDH|10100582227840726185</stp>
        <tr r="O31" s="11"/>
        <tr r="O42" s="10"/>
      </tp>
      <tp t="e">
        <v>#N/A</v>
        <stp/>
        <stp>BDH|17652195421352673099</stp>
        <tr r="X47" s="21"/>
      </tp>
      <tp t="e">
        <v>#N/A</v>
        <stp/>
        <stp>BDH|11205013651603181120</stp>
        <tr r="O41" s="29"/>
        <tr r="O18" s="29"/>
      </tp>
      <tp t="e">
        <v>#N/A</v>
        <stp/>
        <stp>BDH|13742778980568518244</stp>
        <tr r="S7" s="23"/>
      </tp>
      <tp t="e">
        <v>#N/A</v>
        <stp/>
        <stp>BDH|12990005049438277833</stp>
        <tr r="P85" s="17"/>
      </tp>
      <tp t="e">
        <v>#N/A</v>
        <stp/>
        <stp>BDH|12813199320247166010</stp>
        <tr r="M84" s="17"/>
        <tr r="K6" s="7"/>
        <tr r="M20" s="3"/>
      </tp>
      <tp t="e">
        <v>#N/A</v>
        <stp/>
        <stp>BDH|17030764804374461271</stp>
        <tr r="J17" s="30"/>
      </tp>
      <tp t="e">
        <v>#N/A</v>
        <stp/>
        <stp>BDH|18307829076297684600</stp>
        <tr r="T21" s="4"/>
      </tp>
      <tp t="e">
        <v>#N/A</v>
        <stp/>
        <stp>BDH|12661814480216002263</stp>
        <tr r="C12" s="27"/>
        <tr r="C30" s="25"/>
      </tp>
      <tp t="e">
        <v>#N/A</v>
        <stp/>
        <stp>BDH|10114667728553928173</stp>
        <tr r="G18" s="26"/>
      </tp>
      <tp t="e">
        <v>#N/A</v>
        <stp/>
        <stp>BDH|18270669030422189940</stp>
        <tr r="W71" s="18"/>
      </tp>
      <tp t="e">
        <v>#N/A</v>
        <stp/>
        <stp>BDH|11945320331046817137</stp>
        <tr r="AA88" s="18"/>
      </tp>
      <tp t="e">
        <v>#N/A</v>
        <stp/>
        <stp>BDH|17921481942644629545</stp>
        <tr r="T19" s="26"/>
      </tp>
      <tp t="e">
        <v>#N/A</v>
        <stp/>
        <stp>BDH|16323979393630658009</stp>
        <tr r="O72" s="24"/>
      </tp>
      <tp t="e">
        <v>#N/A</v>
        <stp/>
        <stp>BDH|16266502035251524735</stp>
        <tr r="H41" s="6"/>
        <tr r="H18" s="5"/>
      </tp>
      <tp t="e">
        <v>#N/A</v>
        <stp/>
        <stp>BDH|17762664296139045766</stp>
        <tr r="T6" s="16"/>
        <tr r="U6" s="11"/>
        <tr r="W6" s="3"/>
        <tr r="U10" s="4"/>
      </tp>
      <tp t="e">
        <v>#N/A</v>
        <stp/>
        <stp>BDH|18090664380837461732</stp>
        <tr r="D18" s="9"/>
      </tp>
      <tp t="e">
        <v>#N/A</v>
        <stp/>
        <stp>BDH|17158638860849554861</stp>
        <tr r="L95" s="12"/>
      </tp>
      <tp t="e">
        <v>#N/A</v>
        <stp/>
        <stp>BDH|17898197904945775531</stp>
        <tr r="R55" s="10"/>
        <tr r="R44" s="11"/>
        <tr r="R15" s="7"/>
      </tp>
      <tp t="e">
        <v>#N/A</v>
        <stp/>
        <stp>BDH|11887579604087873526</stp>
        <tr r="Y16" s="10"/>
      </tp>
      <tp t="e">
        <v>#N/A</v>
        <stp/>
        <stp>BDH|17389298253195979311</stp>
        <tr r="Q6" s="8"/>
        <tr r="O51" s="6"/>
      </tp>
      <tp t="e">
        <v>#N/A</v>
        <stp/>
        <stp>BDH|17785039505032856383</stp>
        <tr r="V173" s="18"/>
      </tp>
      <tp t="e">
        <v>#N/A</v>
        <stp/>
        <stp>BDH|16683294224842807223</stp>
        <tr r="J66" s="24"/>
      </tp>
      <tp t="e">
        <v>#N/A</v>
        <stp/>
        <stp>BDH|10654133593076123862</stp>
        <tr r="X69" s="12"/>
      </tp>
      <tp t="e">
        <v>#N/A</v>
        <stp/>
        <stp>BDH|12037330560016725757</stp>
        <tr r="O160" s="18"/>
      </tp>
      <tp t="e">
        <v>#N/A</v>
        <stp/>
        <stp>BDH|16333651664150353000</stp>
        <tr r="J22" s="21"/>
      </tp>
      <tp t="e">
        <v>#N/A</v>
        <stp/>
        <stp>BDH|13601436376165208302</stp>
        <tr r="S13" s="34"/>
      </tp>
      <tp t="e">
        <v>#N/A</v>
        <stp/>
        <stp>BDH|13917238601187851028</stp>
        <tr r="T9" s="29"/>
      </tp>
      <tp t="e">
        <v>#N/A</v>
        <stp/>
        <stp>BDH|15573790346304988429</stp>
        <tr r="C47" s="13"/>
      </tp>
      <tp t="e">
        <v>#N/A</v>
        <stp/>
        <stp>BDH|17440734077479522843</stp>
        <tr r="K18" s="13"/>
      </tp>
      <tp t="e">
        <v>#N/A</v>
        <stp/>
        <stp>BDH|16063241372506032374</stp>
        <tr r="AA28" s="12"/>
      </tp>
      <tp t="e">
        <v>#N/A</v>
        <stp/>
        <stp>BDH|13275770544222056404</stp>
        <tr r="V17" s="12"/>
      </tp>
      <tp t="e">
        <v>#N/A</v>
        <stp/>
        <stp>BDH|10085356540561371078</stp>
        <tr r="V36" s="12"/>
      </tp>
      <tp t="e">
        <v>#N/A</v>
        <stp/>
        <stp>BDH|17029438633914728265</stp>
        <tr r="J45" s="24"/>
      </tp>
      <tp t="e">
        <v>#N/A</v>
        <stp/>
        <stp>BDH|13649103717784035107</stp>
        <tr r="C21" s="5"/>
      </tp>
      <tp t="e">
        <v>#N/A</v>
        <stp/>
        <stp>BDH|10215408741765511364</stp>
        <tr r="I76" s="18"/>
      </tp>
      <tp t="e">
        <v>#N/A</v>
        <stp/>
        <stp>BDH|14982720754944625498</stp>
        <tr r="D24" s="6"/>
      </tp>
      <tp t="e">
        <v>#N/A</v>
        <stp/>
        <stp>BDH|10471568933488919880</stp>
        <tr r="Z96" s="12"/>
      </tp>
      <tp t="e">
        <v>#N/A</v>
        <stp/>
        <stp>BDH|10172509666257722204</stp>
        <tr r="N44" s="21"/>
      </tp>
      <tp t="e">
        <v>#N/A</v>
        <stp/>
        <stp>BDH|13915059826425224287</stp>
        <tr r="C17" s="20"/>
      </tp>
      <tp t="e">
        <v>#N/A</v>
        <stp/>
        <stp>BDH|17167210352963309516</stp>
        <tr r="X33" s="29"/>
        <tr r="X42" s="29"/>
        <tr r="V11" s="5"/>
        <tr r="V55" s="6"/>
        <tr r="W10" s="2"/>
      </tp>
      <tp t="e">
        <v>#N/A</v>
        <stp/>
        <stp>BDH|16119408428383073594</stp>
        <tr r="X41" s="21"/>
      </tp>
      <tp t="e">
        <v>#N/A</v>
        <stp/>
        <stp>BDH|12067797150754172288</stp>
        <tr r="M9" s="28"/>
      </tp>
      <tp t="e">
        <v>#N/A</v>
        <stp/>
        <stp>BDH|14409169823824012519</stp>
        <tr r="E31" s="5"/>
      </tp>
      <tp t="e">
        <v>#N/A</v>
        <stp/>
        <stp>BDH|13634208651820630219</stp>
        <tr r="E48" s="24"/>
      </tp>
      <tp t="e">
        <v>#N/A</v>
        <stp/>
        <stp>BDH|17694022873657059171</stp>
        <tr r="V12" s="7"/>
      </tp>
      <tp t="e">
        <v>#N/A</v>
        <stp/>
        <stp>BDH|11741423781303344879</stp>
        <tr r="K12" s="17"/>
      </tp>
      <tp t="e">
        <v>#N/A</v>
        <stp/>
        <stp>BDH|14268761748633490280</stp>
        <tr r="K81" s="18"/>
      </tp>
      <tp t="e">
        <v>#N/A</v>
        <stp/>
        <stp>BDH|11387742068715702385</stp>
        <tr r="J59" s="24"/>
      </tp>
      <tp t="e">
        <v>#N/A</v>
        <stp/>
        <stp>BDH|11250055001607191077</stp>
        <tr r="U36" s="10"/>
        <tr r="U25" s="11"/>
      </tp>
      <tp t="e">
        <v>#N/A</v>
        <stp/>
        <stp>BDH|17805217640286123188</stp>
        <tr r="Z99" s="18"/>
      </tp>
      <tp t="e">
        <v>#N/A</v>
        <stp/>
        <stp>BDH|13549624257554435249</stp>
        <tr r="X23" s="20"/>
      </tp>
      <tp t="e">
        <v>#N/A</v>
        <stp/>
        <stp>BDH|15326476129282494790</stp>
        <tr r="D30" s="14"/>
      </tp>
      <tp t="e">
        <v>#N/A</v>
        <stp/>
        <stp>BDH|16743139508246922752</stp>
        <tr r="V12" s="22"/>
      </tp>
      <tp t="e">
        <v>#N/A</v>
        <stp/>
        <stp>BDH|11424122920864511037</stp>
        <tr r="U12" s="18"/>
      </tp>
      <tp t="e">
        <v>#N/A</v>
        <stp/>
        <stp>BDH|12365931632117718959</stp>
        <tr r="L12" s="18"/>
      </tp>
      <tp t="e">
        <v>#N/A</v>
        <stp/>
        <stp>BDH|16438578943777228623</stp>
        <tr r="T12" s="10"/>
      </tp>
      <tp t="e">
        <v>#N/A</v>
        <stp/>
        <stp>BDH|15670765636857419026</stp>
        <tr r="V15" s="21"/>
      </tp>
      <tp t="e">
        <v>#N/A</v>
        <stp/>
        <stp>BDH|17271207035829255950</stp>
        <tr r="U13" s="23"/>
        <tr r="S58" s="11"/>
        <tr r="S38" s="4"/>
      </tp>
      <tp t="e">
        <v>#N/A</v>
        <stp/>
        <stp>BDH|14959060013983979057</stp>
        <tr r="Q31" s="17"/>
      </tp>
      <tp t="e">
        <v>#N/A</v>
        <stp/>
        <stp>BDH|18296712571088310616</stp>
        <tr r="G42" s="29"/>
        <tr r="G33" s="29"/>
        <tr r="E11" s="5"/>
        <tr r="E55" s="6"/>
        <tr r="F10" s="2"/>
      </tp>
      <tp t="e">
        <v>#N/A</v>
        <stp/>
        <stp>BDH|11760679201105058417</stp>
        <tr r="R52" s="34"/>
      </tp>
      <tp t="e">
        <v>#N/A</v>
        <stp/>
        <stp>BDH|13555519578222918553</stp>
        <tr r="H108" s="18"/>
      </tp>
      <tp t="e">
        <v>#N/A</v>
        <stp/>
        <stp>BDH|12283936486891213454</stp>
        <tr r="P42" s="24"/>
      </tp>
      <tp t="e">
        <v>#N/A</v>
        <stp/>
        <stp>BDH|10277722178494065284</stp>
        <tr r="K63" s="24"/>
      </tp>
      <tp t="e">
        <v>#N/A</v>
        <stp/>
        <stp>BDH|16822510705152463786</stp>
        <tr r="E22" s="25"/>
      </tp>
      <tp t="e">
        <v>#N/A</v>
        <stp/>
        <stp>BDH|11671453605625661606</stp>
        <tr r="L56" s="17"/>
      </tp>
      <tp t="e">
        <v>#N/A</v>
        <stp/>
        <stp>BDH|14917699384505290966</stp>
        <tr r="AA10" s="27"/>
        <tr r="AA29" s="25"/>
      </tp>
      <tp t="e">
        <v>#N/A</v>
        <stp/>
        <stp>BDH|13009494918534273434</stp>
        <tr r="G27" s="11"/>
        <tr r="G38" s="10"/>
      </tp>
      <tp t="e">
        <v>#N/A</v>
        <stp/>
        <stp>BDH|12781048553833385232</stp>
        <tr r="P39" s="24"/>
      </tp>
      <tp t="e">
        <v>#N/A</v>
        <stp/>
        <stp>BDH|12726120390809198542</stp>
        <tr r="I70" s="17"/>
        <tr r="F8" s="9"/>
        <tr r="F8" s="5"/>
      </tp>
      <tp t="e">
        <v>#N/A</v>
        <stp/>
        <stp>BDH|15505699064882920112</stp>
        <tr r="AA82" s="18"/>
      </tp>
      <tp t="e">
        <v>#N/A</v>
        <stp/>
        <stp>BDH|10646289757025049498</stp>
        <tr r="Q69" s="13"/>
      </tp>
      <tp t="e">
        <v>#N/A</v>
        <stp/>
        <stp>BDH|13537587973075933276</stp>
        <tr r="G18" s="34"/>
      </tp>
      <tp t="e">
        <v>#N/A</v>
        <stp/>
        <stp>BDH|18123577871695564925</stp>
        <tr r="N9" s="13"/>
      </tp>
      <tp t="e">
        <v>#N/A</v>
        <stp/>
        <stp>BDH|11709916604157618946</stp>
        <tr r="F18" s="20"/>
      </tp>
      <tp t="e">
        <v>#N/A</v>
        <stp/>
        <stp>BDH|10043233645789724915</stp>
        <tr r="C9" s="30"/>
      </tp>
      <tp t="e">
        <v>#N/A</v>
        <stp/>
        <stp>BDH|13632412726146879590</stp>
        <tr r="Q67" s="18"/>
      </tp>
      <tp t="e">
        <v>#N/A</v>
        <stp/>
        <stp>BDH|12019523856256310276</stp>
        <tr r="C7" s="11"/>
      </tp>
      <tp t="e">
        <v>#N/A</v>
        <stp/>
        <stp>BDH|14879134475153824766</stp>
        <tr r="E41" s="26"/>
      </tp>
      <tp t="e">
        <v>#N/A</v>
        <stp/>
        <stp>BDH|17330268387499493260</stp>
        <tr r="Z165" s="18"/>
      </tp>
      <tp t="e">
        <v>#N/A</v>
        <stp/>
        <stp>BDH|10952037666085459581</stp>
        <tr r="S88" s="17"/>
      </tp>
      <tp t="e">
        <v>#N/A</v>
        <stp/>
        <stp>BDH|14133328124927224456</stp>
        <tr r="P39" s="26"/>
      </tp>
      <tp t="e">
        <v>#N/A</v>
        <stp/>
        <stp>BDH|11232140235530585568</stp>
        <tr r="J92" s="12"/>
      </tp>
      <tp t="e">
        <v>#N/A</v>
        <stp/>
        <stp>BDH|14773551744602064160</stp>
        <tr r="R27" s="12"/>
      </tp>
      <tp t="e">
        <v>#N/A</v>
        <stp/>
        <stp>BDH|13271232471239624963</stp>
        <tr r="W92" s="18"/>
      </tp>
      <tp t="e">
        <v>#N/A</v>
        <stp/>
        <stp>BDH|14670496912551491698</stp>
        <tr r="L15" s="13"/>
      </tp>
      <tp t="e">
        <v>#N/A</v>
        <stp/>
        <stp>BDH|16717062480979879198</stp>
        <tr r="R44" s="24"/>
      </tp>
      <tp t="e">
        <v>#N/A</v>
        <stp/>
        <stp>BDH|14029743754450735073</stp>
        <tr r="T24" s="12"/>
      </tp>
      <tp t="e">
        <v>#N/A</v>
        <stp/>
        <stp>BDH|17438023913517465716</stp>
        <tr r="R99" s="18"/>
      </tp>
      <tp t="e">
        <v>#N/A</v>
        <stp/>
        <stp>BDH|10857170610630832675</stp>
        <tr r="E46" s="21"/>
      </tp>
      <tp t="e">
        <v>#N/A</v>
        <stp/>
        <stp>BDH|17716762251633028003</stp>
        <tr r="T52" s="12"/>
      </tp>
      <tp t="e">
        <v>#N/A</v>
        <stp/>
        <stp>BDH|11363260041375516410</stp>
        <tr r="AA80" s="12"/>
      </tp>
      <tp t="e">
        <v>#N/A</v>
        <stp/>
        <stp>BDH|14759527742885799638</stp>
        <tr r="S42" s="34"/>
      </tp>
      <tp t="e">
        <v>#N/A</v>
        <stp/>
        <stp>BDH|13618742853594747359</stp>
        <tr r="C56" s="13"/>
      </tp>
      <tp t="e">
        <v>#N/A</v>
        <stp/>
        <stp>BDH|16150372878376866258</stp>
        <tr r="I24" s="25"/>
      </tp>
      <tp t="e">
        <v>#N/A</v>
        <stp/>
        <stp>BDH|14457229143880094467</stp>
        <tr r="AA57" s="17"/>
      </tp>
      <tp t="e">
        <v>#N/A</v>
        <stp/>
        <stp>BDH|10745769585078662111</stp>
        <tr r="W28" s="12"/>
      </tp>
      <tp t="e">
        <v>#N/A</v>
        <stp/>
        <stp>BDH|17052568756811471078</stp>
        <tr r="Y72" s="17"/>
      </tp>
      <tp t="e">
        <v>#N/A</v>
        <stp/>
        <stp>BDH|15454069096678214251</stp>
        <tr r="AA14" s="12"/>
      </tp>
      <tp t="e">
        <v>#N/A</v>
        <stp/>
        <stp>BDH|17804207749874603345</stp>
        <tr r="T148" s="18"/>
      </tp>
      <tp t="e">
        <v>#N/A</v>
        <stp/>
        <stp>BDH|15886383109672356292</stp>
        <tr r="S81" s="12"/>
      </tp>
      <tp t="e">
        <v>#N/A</v>
        <stp/>
        <stp>BDH|11673574814692571138</stp>
        <tr r="L30" s="34"/>
      </tp>
      <tp t="e">
        <v>#N/A</v>
        <stp/>
        <stp>BDH|10014356753591287173</stp>
        <tr r="D19" s="12"/>
      </tp>
      <tp t="e">
        <v>#N/A</v>
        <stp/>
        <stp>BDH|12480469543784781057</stp>
        <tr r="C18" s="34"/>
      </tp>
      <tp t="e">
        <v>#N/A</v>
        <stp/>
        <stp>BDH|16251782162784308589</stp>
        <tr r="V13" s="18"/>
      </tp>
      <tp t="e">
        <v>#N/A</v>
        <stp/>
        <stp>BDH|18429863290539258638</stp>
        <tr r="R59" s="17"/>
      </tp>
      <tp t="e">
        <v>#N/A</v>
        <stp/>
        <stp>BDH|14289349868441446698</stp>
        <tr r="W24" s="25"/>
      </tp>
      <tp t="e">
        <v>#N/A</v>
        <stp/>
        <stp>BDH|13484623739223470386</stp>
        <tr r="I30" s="24"/>
      </tp>
      <tp t="e">
        <v>#N/A</v>
        <stp/>
        <stp>BDH|13469125965145058708</stp>
        <tr r="T16" s="24"/>
      </tp>
      <tp t="e">
        <v>#N/A</v>
        <stp/>
        <stp>BDH|16946563035940858614</stp>
        <tr r="G72" s="12"/>
      </tp>
      <tp t="e">
        <v>#N/A</v>
        <stp/>
        <stp>BDH|10042520527920652107</stp>
        <tr r="P47" s="18"/>
      </tp>
      <tp t="e">
        <v>#N/A</v>
        <stp/>
        <stp>BDH|14617137285478648358</stp>
        <tr r="W27" s="17"/>
      </tp>
      <tp t="e">
        <v>#N/A</v>
        <stp/>
        <stp>BDH|11651574152975052200</stp>
        <tr r="E30" s="24"/>
      </tp>
      <tp t="e">
        <v>#N/A</v>
        <stp/>
        <stp>BDH|18251987659942905096</stp>
        <tr r="N14" s="11"/>
      </tp>
      <tp t="e">
        <v>#N/A</v>
        <stp/>
        <stp>BDH|12513177501867272224</stp>
        <tr r="H11" s="17"/>
      </tp>
      <tp t="e">
        <v>#N/A</v>
        <stp/>
        <stp>BDH|10484230714575228023</stp>
        <tr r="S8" s="21"/>
      </tp>
      <tp t="e">
        <v>#N/A</v>
        <stp/>
        <stp>BDH|14538236047965539173</stp>
        <tr r="X51" s="21"/>
      </tp>
      <tp t="e">
        <v>#N/A</v>
        <stp/>
        <stp>BDH|15459348847435731136</stp>
        <tr r="D70" s="18"/>
      </tp>
      <tp t="e">
        <v>#N/A</v>
        <stp/>
        <stp>BDH|13377525548472871622</stp>
        <tr r="O45" s="11"/>
        <tr r="O56" s="10"/>
        <tr r="O16" s="7"/>
      </tp>
      <tp t="e">
        <v>#N/A</v>
        <stp/>
        <stp>BDH|16883478962290947275</stp>
        <tr r="N21" s="3"/>
      </tp>
      <tp t="e">
        <v>#N/A</v>
        <stp/>
        <stp>BDH|18167649007578907089</stp>
        <tr r="S59" s="18"/>
      </tp>
      <tp t="e">
        <v>#N/A</v>
        <stp/>
        <stp>BDH|14925055383088537296</stp>
        <tr r="K139" s="18"/>
      </tp>
      <tp t="e">
        <v>#N/A</v>
        <stp/>
        <stp>BDH|15457483554293862130</stp>
        <tr r="I20" s="29"/>
      </tp>
      <tp t="e">
        <v>#N/A</v>
        <stp/>
        <stp>BDH|17800581676313297079</stp>
        <tr r="P30" s="24"/>
      </tp>
      <tp t="e">
        <v>#N/A</v>
        <stp/>
        <stp>BDH|16739813759098444586</stp>
        <tr r="N49" s="18"/>
      </tp>
      <tp t="e">
        <v>#N/A</v>
        <stp/>
        <stp>BDH|12305317410244751261</stp>
        <tr r="U75" s="18"/>
      </tp>
      <tp t="e">
        <v>#N/A</v>
        <stp/>
        <stp>BDH|15866689110534620058</stp>
        <tr r="G69" s="17"/>
        <tr r="G18" s="3"/>
      </tp>
      <tp t="e">
        <v>#N/A</v>
        <stp/>
        <stp>BDH|16123943458719852563</stp>
        <tr r="G38" s="22"/>
      </tp>
      <tp t="e">
        <v>#N/A</v>
        <stp/>
        <stp>BDH|12775164242584796578</stp>
        <tr r="G156" s="18"/>
      </tp>
      <tp t="e">
        <v>#N/A</v>
        <stp/>
        <stp>BDH|11175171253621041263</stp>
        <tr r="AA29" s="14"/>
      </tp>
      <tp t="e">
        <v>#N/A</v>
        <stp/>
        <stp>BDH|11542501075013430671</stp>
        <tr r="H53" s="12"/>
      </tp>
      <tp t="e">
        <v>#N/A</v>
        <stp/>
        <stp>BDH|13395231460797700649</stp>
        <tr r="Q35" s="24"/>
      </tp>
      <tp t="e">
        <v>#N/A</v>
        <stp/>
        <stp>BDH|11770898158653173948</stp>
        <tr r="G10" s="26"/>
      </tp>
      <tp t="e">
        <v>#N/A</v>
        <stp/>
        <stp>BDH|13897442285930211985</stp>
        <tr r="AA9" s="27"/>
      </tp>
      <tp t="e">
        <v>#N/A</v>
        <stp/>
        <stp>BDH|15643383502772671291</stp>
        <tr r="Z42" s="22"/>
      </tp>
      <tp t="e">
        <v>#N/A</v>
        <stp/>
        <stp>BDH|12261956715614229830</stp>
        <tr r="N31" s="11"/>
        <tr r="N42" s="10"/>
      </tp>
      <tp t="e">
        <v>#N/A</v>
        <stp/>
        <stp>BDH|11932839689262221531</stp>
        <tr r="T10" s="21"/>
      </tp>
      <tp t="e">
        <v>#N/A</v>
        <stp/>
        <stp>BDH|14011749339415762382</stp>
        <tr r="Q28" s="22"/>
      </tp>
      <tp t="e">
        <v>#N/A</v>
        <stp/>
        <stp>BDH|16058186848201668448</stp>
        <tr r="J29" s="18"/>
      </tp>
      <tp t="e">
        <v>#N/A</v>
        <stp/>
        <stp>BDH|14480897693901490280</stp>
        <tr r="C24" s="5"/>
      </tp>
      <tp t="e">
        <v>#N/A</v>
        <stp/>
        <stp>BDH|10087811566929295177</stp>
        <tr r="I93" s="12"/>
      </tp>
      <tp t="e">
        <v>#N/A</v>
        <stp/>
        <stp>BDH|14593577956472518035</stp>
        <tr r="Q49" s="17"/>
      </tp>
      <tp t="e">
        <v>#N/A</v>
        <stp/>
        <stp>BDH|16315401263636511479</stp>
        <tr r="I38" s="6"/>
      </tp>
      <tp t="e">
        <v>#N/A</v>
        <stp/>
        <stp>BDH|17111958224332717855</stp>
        <tr r="F88" s="12"/>
      </tp>
      <tp t="e">
        <v>#N/A</v>
        <stp/>
        <stp>BDH|14064535317794216248</stp>
        <tr r="D14" s="22"/>
      </tp>
      <tp t="e">
        <v>#N/A</v>
        <stp/>
        <stp>BDH|13855986113859452453</stp>
        <tr r="L12" s="27"/>
        <tr r="L30" s="25"/>
      </tp>
      <tp t="e">
        <v>#N/A</v>
        <stp/>
        <stp>BDH|14090471422263333745</stp>
        <tr r="S55" s="21"/>
      </tp>
      <tp t="e">
        <v>#N/A</v>
        <stp/>
        <stp>BDH|17262332622927417750</stp>
        <tr r="S12" s="18"/>
      </tp>
      <tp t="e">
        <v>#N/A</v>
        <stp/>
        <stp>BDH|16293874619471685882</stp>
        <tr r="M64" s="21"/>
        <tr r="K23" s="7"/>
      </tp>
      <tp t="e">
        <v>#N/A</v>
        <stp/>
        <stp>BDH|11397305070686899590</stp>
        <tr r="D23" s="21"/>
      </tp>
      <tp t="e">
        <v>#N/A</v>
        <stp/>
        <stp>BDH|14656562371336056630</stp>
        <tr r="V12" s="20"/>
        <tr r="V117" s="18"/>
      </tp>
      <tp t="e">
        <v>#N/A</v>
        <stp/>
        <stp>BDH|10246327256230638022</stp>
        <tr r="I56" s="13"/>
      </tp>
      <tp t="e">
        <v>#N/A</v>
        <stp/>
        <stp>BDH|12844452912874590587</stp>
        <tr r="R7" s="29"/>
        <tr r="R29" s="29"/>
      </tp>
      <tp t="e">
        <v>#N/A</v>
        <stp/>
        <stp>BDH|15835293468305224291</stp>
        <tr r="V48" s="17"/>
      </tp>
      <tp t="e">
        <v>#N/A</v>
        <stp/>
        <stp>BDH|10515138665974932583</stp>
        <tr r="M12" s="26"/>
      </tp>
      <tp t="e">
        <v>#N/A</v>
        <stp/>
        <stp>BDH|13621528596720499943</stp>
        <tr r="G9" s="17"/>
      </tp>
      <tp t="e">
        <v>#N/A</v>
        <stp/>
        <stp>BDH|11464350701623019726</stp>
        <tr r="X39" s="25"/>
      </tp>
      <tp t="e">
        <v>#N/A</v>
        <stp/>
        <stp>BDH|10969049557386191592</stp>
        <tr r="F26" s="26"/>
      </tp>
      <tp t="e">
        <v>#N/A</v>
        <stp/>
        <stp>BDH|17125787208101672754</stp>
        <tr r="G26" s="24"/>
      </tp>
      <tp t="e">
        <v>#N/A</v>
        <stp/>
        <stp>BDH|11428753206833561309</stp>
        <tr r="G29" s="17"/>
      </tp>
      <tp t="e">
        <v>#N/A</v>
        <stp/>
        <stp>BDH|10903981734285701906</stp>
        <tr r="C18" s="12"/>
      </tp>
      <tp t="e">
        <v>#N/A</v>
        <stp/>
        <stp>BDH|17038159941140278449</stp>
        <tr r="J35" s="17"/>
      </tp>
      <tp t="e">
        <v>#N/A</v>
        <stp/>
        <stp>BDH|16183717900375602249</stp>
        <tr r="AA158" s="18"/>
      </tp>
      <tp t="e">
        <v>#N/A</v>
        <stp/>
        <stp>BDH|12699461787630285873</stp>
        <tr r="R10" s="24"/>
      </tp>
      <tp t="e">
        <v>#N/A</v>
        <stp/>
        <stp>BDH|16631156431954487641</stp>
        <tr r="L6" s="27"/>
      </tp>
      <tp t="e">
        <v>#N/A</v>
        <stp/>
        <stp>BDH|12437747052657730174</stp>
        <tr r="Q16" s="34"/>
      </tp>
      <tp t="e">
        <v>#N/A</v>
        <stp/>
        <stp>BDH|16421005573187274075</stp>
        <tr r="W141" s="18"/>
      </tp>
      <tp t="e">
        <v>#N/A</v>
        <stp/>
        <stp>BDH|17804660791139516784</stp>
        <tr r="Q14" s="28"/>
      </tp>
      <tp t="e">
        <v>#N/A</v>
        <stp/>
        <stp>BDH|12941101611326275285</stp>
        <tr r="I44" s="34"/>
      </tp>
      <tp t="e">
        <v>#N/A</v>
        <stp/>
        <stp>BDH|13584699718567786518</stp>
        <tr r="L28" s="14"/>
      </tp>
      <tp t="e">
        <v>#N/A</v>
        <stp/>
        <stp>BDH|15648493469191577015</stp>
        <tr r="L41" s="24"/>
      </tp>
      <tp t="e">
        <v>#N/A</v>
        <stp/>
        <stp>BDH|14757540807934615376</stp>
        <tr r="V170" s="18"/>
      </tp>
      <tp t="e">
        <v>#N/A</v>
        <stp/>
        <stp>BDH|10013459264264482009</stp>
        <tr r="AA42" s="26"/>
      </tp>
      <tp t="e">
        <v>#N/A</v>
        <stp/>
        <stp>BDH|11286662212834700449</stp>
        <tr r="Y39" s="13"/>
        <tr r="W32" s="10"/>
      </tp>
      <tp t="e">
        <v>#N/A</v>
        <stp/>
        <stp>BDH|11727831659338123299</stp>
        <tr r="T165" s="18"/>
      </tp>
      <tp t="e">
        <v>#N/A</v>
        <stp/>
        <stp>BDH|14125243627965664715</stp>
        <tr r="P56" s="17"/>
      </tp>
      <tp t="e">
        <v>#N/A</v>
        <stp/>
        <stp>BDH|12196043451721719066</stp>
        <tr r="P23" s="13"/>
      </tp>
      <tp t="e">
        <v>#N/A</v>
        <stp/>
        <stp>BDH|18370178997046079062</stp>
        <tr r="P40" s="11"/>
        <tr r="P28" s="11"/>
        <tr r="P39" s="10"/>
        <tr r="P51" s="10"/>
      </tp>
      <tp t="e">
        <v>#N/A</v>
        <stp/>
        <stp>BDH|15895164970033912625</stp>
        <tr r="X14" s="3"/>
        <tr r="U7" s="9"/>
        <tr r="V7" s="2"/>
        <tr r="U7" s="5"/>
      </tp>
      <tp t="e">
        <v>#N/A</v>
        <stp/>
        <stp>BDH|15524642535860450654</stp>
        <tr r="P57" s="13"/>
        <tr r="N38" s="11"/>
        <tr r="N49" s="10"/>
        <tr r="N53" s="4"/>
        <tr r="N18" s="2"/>
      </tp>
      <tp t="e">
        <v>#N/A</v>
        <stp/>
        <stp>BDH|10566675100972265254</stp>
        <tr r="E60" s="21"/>
        <tr r="C55" s="11"/>
      </tp>
      <tp t="e">
        <v>#N/A</v>
        <stp/>
        <stp>BDH|10593723533731014314</stp>
        <tr r="J57" s="13"/>
        <tr r="H38" s="11"/>
        <tr r="H49" s="10"/>
        <tr r="H53" s="4"/>
        <tr r="H18" s="2"/>
      </tp>
      <tp t="e">
        <v>#N/A</v>
        <stp/>
        <stp>BDH|10367780781008685191</stp>
        <tr r="Q19" s="24"/>
      </tp>
      <tp t="e">
        <v>#N/A</v>
        <stp/>
        <stp>BDH|14427457087409383706</stp>
        <tr r="H8" s="25"/>
        <tr r="E10" s="5"/>
        <tr r="F9" s="2"/>
      </tp>
      <tp t="e">
        <v>#N/A</v>
        <stp/>
        <stp>BDH|11229449021390427164</stp>
        <tr r="Z28" s="22"/>
      </tp>
      <tp t="e">
        <v>#N/A</v>
        <stp/>
        <stp>BDH|11633135419243882412</stp>
        <tr r="D28" s="17"/>
      </tp>
      <tp t="e">
        <v>#N/A</v>
        <stp/>
        <stp>BDH|13590336974799713807</stp>
        <tr r="S28" s="17"/>
      </tp>
      <tp t="e">
        <v>#N/A</v>
        <stp/>
        <stp>BDH|17694183142203127784</stp>
        <tr r="AA144" s="18"/>
      </tp>
      <tp t="e">
        <v>#N/A</v>
        <stp/>
        <stp>BDH|15616330770050289724</stp>
        <tr r="I7" s="30"/>
      </tp>
      <tp t="e">
        <v>#N/A</v>
        <stp/>
        <stp>BDH|17358507864083495166</stp>
        <tr r="T49" s="21"/>
      </tp>
      <tp t="e">
        <v>#N/A</v>
        <stp/>
        <stp>BDH|16473614854146776538</stp>
        <tr r="C35" s="24"/>
      </tp>
      <tp t="e">
        <v>#N/A</v>
        <stp/>
        <stp>BDH|18029305724157582843</stp>
        <tr r="E100" s="18"/>
      </tp>
      <tp t="e">
        <v>#N/A</v>
        <stp/>
        <stp>BDH|11097563928736347684</stp>
        <tr r="V85" s="12"/>
      </tp>
      <tp t="e">
        <v>#N/A</v>
        <stp/>
        <stp>BDH|13998636128345587429</stp>
        <tr r="D35" s="34"/>
      </tp>
      <tp t="e">
        <v>#N/A</v>
        <stp/>
        <stp>BDH|15718589368642475264</stp>
        <tr r="K8" s="10"/>
      </tp>
      <tp t="e">
        <v>#N/A</v>
        <stp/>
        <stp>BDH|16807069653626055387</stp>
        <tr r="D8" s="18"/>
      </tp>
      <tp t="e">
        <v>#N/A</v>
        <stp/>
        <stp>BDH|11246145576748697932</stp>
        <tr r="Y15" s="26"/>
      </tp>
      <tp t="e">
        <v>#N/A</v>
        <stp/>
        <stp>BDH|12462405024205699734</stp>
        <tr r="E64" s="17"/>
      </tp>
      <tp t="e">
        <v>#N/A</v>
        <stp/>
        <stp>BDH|16054145658970846411</stp>
        <tr r="E12" s="25"/>
      </tp>
      <tp t="e">
        <v>#N/A</v>
        <stp/>
        <stp>BDH|11014067712832422450</stp>
        <tr r="Q83" s="18"/>
      </tp>
      <tp t="e">
        <v>#N/A</v>
        <stp/>
        <stp>BDH|11252347283169168516</stp>
        <tr r="X39" s="13"/>
        <tr r="V32" s="10"/>
      </tp>
      <tp t="e">
        <v>#N/A</v>
        <stp/>
        <stp>BDH|10784359392329692538</stp>
        <tr r="G18" s="9"/>
      </tp>
      <tp t="e">
        <v>#N/A</v>
        <stp/>
        <stp>BDH|15855047743120370797</stp>
        <tr r="U33" s="22"/>
      </tp>
      <tp t="e">
        <v>#N/A</v>
        <stp/>
        <stp>BDH|16743942843119701425</stp>
        <tr r="I8" s="27"/>
      </tp>
      <tp t="e">
        <v>#N/A</v>
        <stp/>
        <stp>BDH|17524016605196620725</stp>
        <tr r="J37" s="34"/>
      </tp>
      <tp t="e">
        <v>#N/A</v>
        <stp/>
        <stp>BDH|13723174030563458417</stp>
        <tr r="E6" s="8"/>
        <tr r="C51" s="6"/>
      </tp>
      <tp t="e">
        <v>#N/A</v>
        <stp/>
        <stp>BDH|14897589228777931245</stp>
        <tr r="V26" s="25"/>
        <tr r="V56" s="21"/>
      </tp>
      <tp t="e">
        <v>#N/A</v>
        <stp/>
        <stp>BDH|16135453842566533666</stp>
        <tr r="Z10" s="28"/>
      </tp>
      <tp t="e">
        <v>#N/A</v>
        <stp/>
        <stp>BDH|17692478352119745914</stp>
        <tr r="R52" s="17"/>
      </tp>
      <tp t="e">
        <v>#N/A</v>
        <stp/>
        <stp>BDH|15768655139046619082</stp>
        <tr r="V23" s="20"/>
      </tp>
      <tp t="e">
        <v>#N/A</v>
        <stp/>
        <stp>BDH|13487038168770869326</stp>
        <tr r="P21" s="11"/>
      </tp>
      <tp t="e">
        <v>#N/A</v>
        <stp/>
        <stp>BDH|10327253622626506040</stp>
        <tr r="L90" s="12"/>
      </tp>
      <tp t="e">
        <v>#N/A</v>
        <stp/>
        <stp>BDH|10026465465421374553</stp>
        <tr r="M69" s="17"/>
        <tr r="M18" s="3"/>
      </tp>
      <tp t="e">
        <v>#N/A</v>
        <stp/>
        <stp>BDH|15199520151124194767</stp>
        <tr r="S21" s="22"/>
      </tp>
      <tp t="e">
        <v>#N/A</v>
        <stp/>
        <stp>BDH|12328024237660047732</stp>
        <tr r="W14" s="13"/>
      </tp>
      <tp t="e">
        <v>#N/A</v>
        <stp/>
        <stp>BDH|17365360251412263532</stp>
        <tr r="Y150" s="18"/>
      </tp>
      <tp t="e">
        <v>#N/A</v>
        <stp/>
        <stp>BDH|18357917541270702316</stp>
        <tr r="G29" s="4"/>
      </tp>
      <tp t="e">
        <v>#N/A</v>
        <stp/>
        <stp>BDH|10608656791890600918</stp>
        <tr r="R38" s="13"/>
        <tr r="P31" s="10"/>
      </tp>
      <tp t="e">
        <v>#N/A</v>
        <stp/>
        <stp>BDH|10721351904917095236</stp>
        <tr r="I100" s="12"/>
      </tp>
      <tp t="e">
        <v>#N/A</v>
        <stp/>
        <stp>BDH|17417244948515916244</stp>
        <tr r="W13" s="5"/>
      </tp>
      <tp t="e">
        <v>#N/A</v>
        <stp/>
        <stp>BDH|16938318335650816009</stp>
        <tr r="O156" s="18"/>
      </tp>
      <tp t="e">
        <v>#N/A</v>
        <stp/>
        <stp>BDH|12151239166838939882</stp>
        <tr r="Y170" s="18"/>
      </tp>
      <tp t="e">
        <v>#N/A</v>
        <stp/>
        <stp>BDH|17606504606071635532</stp>
        <tr r="Y36" s="18"/>
      </tp>
      <tp t="e">
        <v>#N/A</v>
        <stp/>
        <stp>BDH|14930297582719418136</stp>
        <tr r="Q71" s="24"/>
      </tp>
      <tp t="e">
        <v>#N/A</v>
        <stp/>
        <stp>BDH|17931339243437529198</stp>
        <tr r="Q30" s="34"/>
      </tp>
      <tp t="e">
        <v>#N/A</v>
        <stp/>
        <stp>BDH|11255029311014092241</stp>
        <tr r="K67" s="13"/>
      </tp>
      <tp t="e">
        <v>#N/A</v>
        <stp/>
        <stp>BDH|12293873766518073273</stp>
        <tr r="K34" s="6"/>
      </tp>
      <tp t="e">
        <v>#N/A</v>
        <stp/>
        <stp>BDH|18403545286344445769</stp>
        <tr r="R21" s="22"/>
      </tp>
      <tp t="e">
        <v>#N/A</v>
        <stp/>
        <stp>BDH|11720433378116931218</stp>
        <tr r="R27" s="6"/>
      </tp>
      <tp t="e">
        <v>#N/A</v>
        <stp/>
        <stp>BDH|16688209098853940837</stp>
        <tr r="AA63" s="12"/>
      </tp>
      <tp t="e">
        <v>#N/A</v>
        <stp/>
        <stp>BDH|12760795829364535569</stp>
        <tr r="E61" s="11"/>
      </tp>
      <tp t="e">
        <v>#N/A</v>
        <stp/>
        <stp>BDH|14108198424109083889</stp>
        <tr r="I9" s="23"/>
      </tp>
      <tp t="e">
        <v>#N/A</v>
        <stp/>
        <stp>BDH|13048590725043995115</stp>
        <tr r="J17" s="34"/>
      </tp>
      <tp t="e">
        <v>#N/A</v>
        <stp/>
        <stp>BDH|17796584424921658799</stp>
        <tr r="Z73" s="18"/>
      </tp>
      <tp t="e">
        <v>#N/A</v>
        <stp/>
        <stp>BDH|10518914292920543670</stp>
        <tr r="S42" s="4"/>
      </tp>
      <tp t="e">
        <v>#N/A</v>
        <stp/>
        <stp>BDH|13753228747554080768</stp>
        <tr r="J8" s="10"/>
      </tp>
      <tp t="e">
        <v>#N/A</v>
        <stp/>
        <stp>BDH|11162839841412079974</stp>
        <tr r="E7" s="14"/>
      </tp>
      <tp t="e">
        <v>#N/A</v>
        <stp/>
        <stp>BDH|13587201255980590216</stp>
        <tr r="X7" s="9"/>
        <tr r="Y7" s="2"/>
        <tr r="X7" s="5"/>
        <tr r="AA14" s="3"/>
      </tp>
      <tp t="e">
        <v>#N/A</v>
        <stp/>
        <stp>BDH|17669611054683599127</stp>
        <tr r="C69" s="10"/>
        <tr r="C39" s="4"/>
      </tp>
      <tp t="e">
        <v>#N/A</v>
        <stp/>
        <stp>BDH|18103937903106706128</stp>
        <tr r="P9" s="14"/>
      </tp>
      <tp t="e">
        <v>#N/A</v>
        <stp/>
        <stp>BDH|11975166627832558691</stp>
        <tr r="J10" s="12"/>
      </tp>
      <tp t="e">
        <v>#N/A</v>
        <stp/>
        <stp>BDH|13903988746130272813</stp>
        <tr r="N35" s="17"/>
      </tp>
      <tp t="e">
        <v>#N/A</v>
        <stp/>
        <stp>BDH|13097464854091292549</stp>
        <tr r="U41" s="6"/>
        <tr r="U18" s="5"/>
      </tp>
      <tp t="e">
        <v>#N/A</v>
        <stp/>
        <stp>BDH|12387194239720440632</stp>
        <tr r="S15" s="13"/>
      </tp>
      <tp t="e">
        <v>#N/A</v>
        <stp/>
        <stp>BDH|18414674831838289348</stp>
        <tr r="Y74" s="17"/>
      </tp>
      <tp t="e">
        <v>#N/A</v>
        <stp/>
        <stp>BDH|15468279201113497224</stp>
        <tr r="Q8" s="24"/>
      </tp>
      <tp t="e">
        <v>#N/A</v>
        <stp/>
        <stp>BDH|11252526036457439667</stp>
        <tr r="G18" s="22"/>
      </tp>
      <tp t="e">
        <v>#N/A</v>
        <stp/>
        <stp>BDH|16935091019499472892</stp>
        <tr r="D64" s="11"/>
        <tr r="D75" s="10"/>
      </tp>
      <tp t="e">
        <v>#N/A</v>
        <stp/>
        <stp>BDH|18158742847698409522</stp>
        <tr r="G8" s="24"/>
      </tp>
      <tp t="e">
        <v>#N/A</v>
        <stp/>
        <stp>BDH|10538235659069274893</stp>
        <tr r="V141" s="18"/>
      </tp>
      <tp t="e">
        <v>#N/A</v>
        <stp/>
        <stp>BDH|14728868045136102819</stp>
        <tr r="M20" s="10"/>
      </tp>
      <tp t="e">
        <v>#N/A</v>
        <stp/>
        <stp>BDH|11504631358841880523</stp>
        <tr r="O7" s="9"/>
        <tr r="R14" s="3"/>
        <tr r="O7" s="5"/>
        <tr r="P7" s="2"/>
      </tp>
      <tp t="e">
        <v>#N/A</v>
        <stp/>
        <stp>BDH|12430200726094622000</stp>
        <tr r="R40" s="22"/>
      </tp>
      <tp t="e">
        <v>#N/A</v>
        <stp/>
        <stp>BDH|16805527268683095069</stp>
        <tr r="F62" s="17"/>
      </tp>
      <tp t="e">
        <v>#N/A</v>
        <stp/>
        <stp>BDH|11278819967708814189</stp>
        <tr r="T90" s="17"/>
      </tp>
      <tp t="e">
        <v>#N/A</v>
        <stp/>
        <stp>BDH|17106600417975709359</stp>
        <tr r="Z49" s="13"/>
      </tp>
      <tp t="e">
        <v>#N/A</v>
        <stp/>
        <stp>BDH|14797931826410287944</stp>
        <tr r="Q56" s="6"/>
      </tp>
      <tp t="e">
        <v>#N/A</v>
        <stp/>
        <stp>BDH|16173372834011662103</stp>
        <tr r="H167" s="18"/>
      </tp>
      <tp t="e">
        <v>#N/A</v>
        <stp/>
        <stp>BDH|15157015608162942155</stp>
        <tr r="J29" s="9"/>
      </tp>
      <tp t="e">
        <v>#N/A</v>
        <stp/>
        <stp>BDH|10852406566116360294</stp>
        <tr r="S47" s="34"/>
      </tp>
      <tp t="e">
        <v>#N/A</v>
        <stp/>
        <stp>BDH|13369405450452614611</stp>
        <tr r="H80" s="18"/>
      </tp>
      <tp t="e">
        <v>#N/A</v>
        <stp/>
        <stp>BDH|13581010202213158638</stp>
        <tr r="I37" s="12"/>
      </tp>
      <tp t="e">
        <v>#N/A</v>
        <stp/>
        <stp>BDH|16980628527495158196</stp>
        <tr r="G12" s="7"/>
      </tp>
      <tp t="e">
        <v>#N/A</v>
        <stp/>
        <stp>BDH|13535390548331618367</stp>
        <tr r="Y35" s="24"/>
      </tp>
      <tp t="e">
        <v>#N/A</v>
        <stp/>
        <stp>BDH|16425119842935534067</stp>
        <tr r="AA22" s="27"/>
      </tp>
      <tp t="e">
        <v>#N/A</v>
        <stp/>
        <stp>BDH|12975877523557943907</stp>
        <tr r="O26" s="29"/>
      </tp>
      <tp t="e">
        <v>#N/A</v>
        <stp/>
        <stp>BDH|13890158490619197488</stp>
        <tr r="R152" s="18"/>
      </tp>
      <tp t="e">
        <v>#N/A</v>
        <stp/>
        <stp>BDH|14579661132330616731</stp>
        <tr r="AA12" s="13"/>
      </tp>
      <tp t="e">
        <v>#N/A</v>
        <stp/>
        <stp>BDH|17387045631497584574</stp>
        <tr r="W33" s="22"/>
      </tp>
      <tp t="e">
        <v>#N/A</v>
        <stp/>
        <stp>BDH|13870464533771917300</stp>
        <tr r="F33" s="12"/>
      </tp>
      <tp t="e">
        <v>#N/A</v>
        <stp/>
        <stp>BDH|13018114997559136436</stp>
        <tr r="S172" s="18"/>
      </tp>
      <tp t="e">
        <v>#N/A</v>
        <stp/>
        <stp>BDH|17113656126936532339</stp>
        <tr r="J78" s="12"/>
      </tp>
      <tp t="e">
        <v>#N/A</v>
        <stp/>
        <stp>BDH|17181975181107393701</stp>
        <tr r="L11" s="14"/>
      </tp>
      <tp t="e">
        <v>#N/A</v>
        <stp/>
        <stp>BDH|17765120995131248858</stp>
        <tr r="Y45" s="22"/>
      </tp>
      <tp t="e">
        <v>#N/A</v>
        <stp/>
        <stp>BDH|17632025417358794836</stp>
        <tr r="O15" s="24"/>
      </tp>
      <tp t="e">
        <v>#N/A</v>
        <stp/>
        <stp>BDH|17092220610742263072</stp>
        <tr r="M18" s="10"/>
      </tp>
      <tp t="e">
        <v>#N/A</v>
        <stp/>
        <stp>BDH|16498533248082070387</stp>
        <tr r="N22" s="14"/>
      </tp>
      <tp t="e">
        <v>#N/A</v>
        <stp/>
        <stp>BDH|10919645112184083584</stp>
        <tr r="J65" s="21"/>
        <tr r="G31" s="6"/>
      </tp>
      <tp t="e">
        <v>#N/A</v>
        <stp/>
        <stp>BDH|14043444103587487145</stp>
        <tr r="D11" s="29"/>
      </tp>
      <tp t="e">
        <v>#N/A</v>
        <stp/>
        <stp>BDH|12852899935456422972</stp>
        <tr r="Y45" s="24"/>
      </tp>
      <tp t="e">
        <v>#N/A</v>
        <stp/>
        <stp>BDH|17745175871611460629</stp>
        <tr r="S8" s="20"/>
        <tr r="S114" s="18"/>
      </tp>
      <tp t="e">
        <v>#N/A</v>
        <stp/>
        <stp>BDH|15771229941123014636</stp>
        <tr r="Z42" s="17"/>
      </tp>
      <tp t="e">
        <v>#N/A</v>
        <stp/>
        <stp>BDH|16225736832563205769</stp>
        <tr r="F148" s="18"/>
      </tp>
      <tp t="e">
        <v>#N/A</v>
        <stp/>
        <stp>BDH|17975380514317688443</stp>
        <tr r="U29" s="14"/>
      </tp>
      <tp t="e">
        <v>#N/A</v>
        <stp/>
        <stp>BDH|16139930966527717848</stp>
        <tr r="G25" s="22"/>
      </tp>
      <tp t="e">
        <v>#N/A</v>
        <stp/>
        <stp>BDH|13457338740654069603</stp>
        <tr r="Y23" s="25"/>
      </tp>
      <tp t="e">
        <v>#N/A</v>
        <stp/>
        <stp>BDH|16209854797457242659</stp>
        <tr r="H11" s="21"/>
      </tp>
      <tp t="e">
        <v>#N/A</v>
        <stp/>
        <stp>BDH|17680507723285605340</stp>
        <tr r="T96" s="18"/>
      </tp>
      <tp t="e">
        <v>#N/A</v>
        <stp/>
        <stp>BDH|11713654051805653124</stp>
        <tr r="G41" s="34"/>
      </tp>
      <tp t="e">
        <v>#N/A</v>
        <stp/>
        <stp>BDH|13728996957840716991</stp>
        <tr r="Y11" s="30"/>
      </tp>
      <tp t="e">
        <v>#N/A</v>
        <stp/>
        <stp>BDH|10539592011231807320</stp>
        <tr r="H61" s="21"/>
        <tr r="F25" s="2"/>
      </tp>
      <tp t="e">
        <v>#N/A</v>
        <stp/>
        <stp>BDH|11137093765411968031</stp>
        <tr r="G50" s="22"/>
      </tp>
      <tp t="e">
        <v>#N/A</v>
        <stp/>
        <stp>BDH|13109804116085529955</stp>
        <tr r="E109" s="18"/>
      </tp>
      <tp t="e">
        <v>#N/A</v>
        <stp/>
        <stp>BDH|17044169004890048052</stp>
        <tr r="W57" s="18"/>
      </tp>
      <tp t="e">
        <v>#N/A</v>
        <stp/>
        <stp>BDH|10567503089259943220</stp>
        <tr r="L8" s="14"/>
      </tp>
      <tp t="e">
        <v>#N/A</v>
        <stp/>
        <stp>BDH|11577574460251155547</stp>
        <tr r="N126" s="18"/>
      </tp>
      <tp t="e">
        <v>#N/A</v>
        <stp/>
        <stp>BDH|13716382898256556956</stp>
        <tr r="Q6" s="15"/>
        <tr r="Q6" s="10"/>
        <tr r="Q11" s="4"/>
        <tr r="Q12" s="2"/>
      </tp>
      <tp t="e">
        <v>#N/A</v>
        <stp/>
        <stp>BDH|14108455200352123426</stp>
        <tr r="C16" s="34"/>
      </tp>
      <tp t="e">
        <v>#N/A</v>
        <stp/>
        <stp>BDH|15185074598109079398</stp>
        <tr r="M32" s="26"/>
      </tp>
      <tp t="e">
        <v>#N/A</v>
        <stp/>
        <stp>BDH|17057576021791857793</stp>
        <tr r="I6" s="6"/>
      </tp>
      <tp t="e">
        <v>#N/A</v>
        <stp/>
        <stp>BDH|12959560509481578047</stp>
        <tr r="I17" s="24"/>
      </tp>
      <tp t="e">
        <v>#N/A</v>
        <stp/>
        <stp>BDH|14680928632381551947</stp>
        <tr r="C101" s="18"/>
      </tp>
      <tp t="e">
        <v>#N/A</v>
        <stp/>
        <stp>BDH|13463748690079379248</stp>
        <tr r="F7" s="9"/>
        <tr r="I14" s="3"/>
        <tr r="G7" s="2"/>
        <tr r="F7" s="5"/>
      </tp>
      <tp t="e">
        <v>#N/A</v>
        <stp/>
        <stp>BDH|18212996728647792239</stp>
        <tr r="C32" s="21"/>
      </tp>
      <tp t="e">
        <v>#N/A</v>
        <stp/>
        <stp>BDH|12629943786151783448</stp>
        <tr r="I46" s="22"/>
      </tp>
      <tp t="e">
        <v>#N/A</v>
        <stp/>
        <stp>BDH|13802604100592740185</stp>
        <tr r="J20" s="12"/>
      </tp>
      <tp t="e">
        <v>#N/A</v>
        <stp/>
        <stp>BDH|17494602929723258689</stp>
        <tr r="V23" s="30"/>
        <tr r="V25" s="23"/>
      </tp>
      <tp t="e">
        <v>#N/A</v>
        <stp/>
        <stp>BDH|16153407666622358036</stp>
        <tr r="H31" s="14"/>
      </tp>
      <tp t="e">
        <v>#N/A</v>
        <stp/>
        <stp>BDH|11333868554292061868</stp>
        <tr r="T23" s="13"/>
      </tp>
      <tp t="e">
        <v>#N/A</v>
        <stp/>
        <stp>BDH|12552708109481377288</stp>
        <tr r="S91" s="18"/>
      </tp>
      <tp t="e">
        <v>#N/A</v>
        <stp/>
        <stp>BDH|13077367674567318662</stp>
        <tr r="U80" s="12"/>
      </tp>
      <tp t="e">
        <v>#N/A</v>
        <stp/>
        <stp>BDH|15319940358628083789</stp>
        <tr r="C24" s="25"/>
      </tp>
      <tp t="e">
        <v>#N/A</v>
        <stp/>
        <stp>BDH|17341842551784129805</stp>
        <tr r="T21" s="22"/>
      </tp>
      <tp t="e">
        <v>#N/A</v>
        <stp/>
        <stp>BDH|10260398771230934249</stp>
        <tr r="AA166" s="18"/>
      </tp>
      <tp t="e">
        <v>#N/A</v>
        <stp/>
        <stp>BDH|16630211935492333363</stp>
        <tr r="Z71" s="17"/>
      </tp>
      <tp t="e">
        <v>#N/A</v>
        <stp/>
        <stp>BDH|11674655582258426124</stp>
        <tr r="Y23" s="22"/>
      </tp>
      <tp t="e">
        <v>#N/A</v>
        <stp/>
        <stp>BDH|13169767313560671356</stp>
        <tr r="I61" s="18"/>
      </tp>
      <tp t="e">
        <v>#N/A</v>
        <stp/>
        <stp>BDH|13925016979735154773</stp>
        <tr r="W66" s="18"/>
      </tp>
      <tp t="e">
        <v>#N/A</v>
        <stp/>
        <stp>BDH|14764793512376812232</stp>
        <tr r="N34" s="6"/>
      </tp>
      <tp t="e">
        <v>#N/A</v>
        <stp/>
        <stp>BDH|12442240762502535207</stp>
        <tr r="AA10" s="21"/>
      </tp>
      <tp t="e">
        <v>#N/A</v>
        <stp/>
        <stp>BDH|18170988056156825409</stp>
        <tr r="U20" s="21"/>
      </tp>
      <tp t="e">
        <v>#N/A</v>
        <stp/>
        <stp>BDH|15408399475872728586</stp>
        <tr r="X23" s="18"/>
      </tp>
      <tp t="e">
        <v>#N/A</v>
        <stp/>
        <stp>BDH|15057204571345124375</stp>
        <tr r="Q24" s="6"/>
      </tp>
      <tp t="e">
        <v>#N/A</v>
        <stp/>
        <stp>BDH|13927581032857298466</stp>
        <tr r="Q23" s="6"/>
      </tp>
      <tp t="e">
        <v>#N/A</v>
        <stp/>
        <stp>BDH|10788454996232581962</stp>
        <tr r="J31" s="21"/>
      </tp>
      <tp t="e">
        <v>#N/A</v>
        <stp/>
        <stp>BDH|18099725601441389874</stp>
        <tr r="G152" s="18"/>
      </tp>
      <tp t="e">
        <v>#N/A</v>
        <stp/>
        <stp>BDH|12101829616475039834</stp>
        <tr r="I83" s="12"/>
      </tp>
      <tp t="e">
        <v>#N/A</v>
        <stp/>
        <stp>BDH|10186529357943649546</stp>
        <tr r="D20" s="29"/>
      </tp>
      <tp t="e">
        <v>#N/A</v>
        <stp/>
        <stp>BDH|11263713960922210477</stp>
        <tr r="T49" s="13"/>
      </tp>
      <tp t="e">
        <v>#N/A</v>
        <stp/>
        <stp>BDH|12126213161332491231</stp>
        <tr r="Z71" s="13"/>
      </tp>
      <tp t="e">
        <v>#N/A</v>
        <stp/>
        <stp>BDH|10747367995989616541</stp>
        <tr r="K54" s="17"/>
        <tr r="K17" s="3"/>
      </tp>
      <tp t="e">
        <v>#N/A</v>
        <stp/>
        <stp>BDH|14130803047037586951</stp>
        <tr r="C21" s="27"/>
      </tp>
      <tp t="e">
        <v>#N/A</v>
        <stp/>
        <stp>BDH|15480562264652041201</stp>
        <tr r="T31" s="17"/>
      </tp>
      <tp t="e">
        <v>#N/A</v>
        <stp/>
        <stp>BDH|12515478860564704234</stp>
        <tr r="Q77" s="18"/>
      </tp>
      <tp t="e">
        <v>#N/A</v>
        <stp/>
        <stp>BDH|11964511804291252388</stp>
        <tr r="Z69" s="18"/>
      </tp>
      <tp t="e">
        <v>#N/A</v>
        <stp/>
        <stp>BDH|15487160528641856143</stp>
        <tr r="P62" s="21"/>
      </tp>
      <tp t="e">
        <v>#N/A</v>
        <stp/>
        <stp>BDH|12198425079351436683</stp>
        <tr r="O173" s="18"/>
      </tp>
      <tp t="e">
        <v>#N/A</v>
        <stp/>
        <stp>BDH|10152222795145796870</stp>
        <tr r="X21" s="17"/>
      </tp>
      <tp t="e">
        <v>#N/A</v>
        <stp/>
        <stp>BDH|14364081529925335572</stp>
        <tr r="D57" s="12"/>
      </tp>
      <tp t="e">
        <v>#N/A</v>
        <stp/>
        <stp>BDH|15753405892537628958</stp>
        <tr r="W37" s="34"/>
      </tp>
      <tp t="e">
        <v>#N/A</v>
        <stp/>
        <stp>BDH|17390180200743576386</stp>
        <tr r="N53" s="22"/>
      </tp>
      <tp t="e">
        <v>#N/A</v>
        <stp/>
        <stp>BDH|17167769185538177652</stp>
        <tr r="J16" s="27"/>
        <tr r="J34" s="25"/>
      </tp>
      <tp t="e">
        <v>#N/A</v>
        <stp/>
        <stp>BDH|18329335560423484825</stp>
        <tr r="F44" s="18"/>
      </tp>
      <tp t="e">
        <v>#N/A</v>
        <stp/>
        <stp>BDH|11345620755767680345</stp>
        <tr r="G43" s="11"/>
        <tr r="G54" s="10"/>
        <tr r="I9" s="3"/>
        <tr r="G14" s="7"/>
      </tp>
      <tp t="e">
        <v>#N/A</v>
        <stp/>
        <stp>BDH|14397088224117990704</stp>
        <tr r="L84" s="12"/>
      </tp>
      <tp t="e">
        <v>#N/A</v>
        <stp/>
        <stp>BDH|15314903382977756503</stp>
        <tr r="J13" s="22"/>
      </tp>
      <tp t="e">
        <v>#N/A</v>
        <stp/>
        <stp>BDH|12347774626131282064</stp>
        <tr r="U58" s="18"/>
      </tp>
      <tp t="e">
        <v>#N/A</v>
        <stp/>
        <stp>BDH|12529199410214807025</stp>
        <tr r="F49" s="13"/>
      </tp>
      <tp t="e">
        <v>#N/A</v>
        <stp/>
        <stp>BDH|16256383173662785684</stp>
        <tr r="K75" s="17"/>
      </tp>
      <tp t="e">
        <v>#N/A</v>
        <stp/>
        <stp>BDH|12045522981499441015</stp>
        <tr r="P25" s="21"/>
      </tp>
      <tp t="e">
        <v>#N/A</v>
        <stp/>
        <stp>BDH|12595401001315397511</stp>
        <tr r="K125" s="18"/>
      </tp>
      <tp t="e">
        <v>#N/A</v>
        <stp/>
        <stp>BDH|16331708923962486728</stp>
        <tr r="H17" s="27"/>
        <tr r="H35" s="25"/>
        <tr r="E14" s="5"/>
      </tp>
      <tp t="e">
        <v>#N/A</v>
        <stp/>
        <stp>BDH|14201128109085899673</stp>
        <tr r="U23" s="23"/>
      </tp>
      <tp t="e">
        <v>#N/A</v>
        <stp/>
        <stp>BDH|16304271332924034509</stp>
        <tr r="V39" s="11"/>
        <tr r="V50" s="10"/>
      </tp>
      <tp t="e">
        <v>#N/A</v>
        <stp/>
        <stp>BDH|17927161679683600464</stp>
        <tr r="D90" s="17"/>
      </tp>
      <tp t="e">
        <v>#N/A</v>
        <stp/>
        <stp>BDH|16412172265702318534</stp>
        <tr r="E61" s="13"/>
      </tp>
      <tp t="e">
        <v>#N/A</v>
        <stp/>
        <stp>BDH|15533630949122923301</stp>
        <tr r="W57" s="17"/>
      </tp>
      <tp t="e">
        <v>#N/A</v>
        <stp/>
        <stp>BDH|17762006467663464421</stp>
        <tr r="J93" s="18"/>
      </tp>
      <tp t="e">
        <v>#N/A</v>
        <stp/>
        <stp>BDH|12078030478167867450</stp>
        <tr r="U49" s="18"/>
      </tp>
      <tp t="e">
        <v>#N/A</v>
        <stp/>
        <stp>BDH|12746751821705122440</stp>
        <tr r="AA44" s="24"/>
      </tp>
      <tp t="e">
        <v>#N/A</v>
        <stp/>
        <stp>BDH|12519938054661271968</stp>
        <tr r="H67" s="24"/>
      </tp>
      <tp t="e">
        <v>#N/A</v>
        <stp/>
        <stp>BDH|10183676411914163501</stp>
        <tr r="M37" s="22"/>
      </tp>
      <tp t="e">
        <v>#N/A</v>
        <stp/>
        <stp>BDH|12366588829570439308</stp>
        <tr r="D41" s="24"/>
      </tp>
      <tp t="e">
        <v>#N/A</v>
        <stp/>
        <stp>BDH|16067772750035223736</stp>
        <tr r="W49" s="34"/>
      </tp>
      <tp t="e">
        <v>#N/A</v>
        <stp/>
        <stp>BDH|15891779101700963411</stp>
        <tr r="R63" s="11"/>
        <tr r="R74" s="10"/>
      </tp>
      <tp t="e">
        <v>#N/A</v>
        <stp/>
        <stp>BDH|14448772323931487620</stp>
        <tr r="AA51" s="12"/>
      </tp>
      <tp t="e">
        <v>#N/A</v>
        <stp/>
        <stp>BDH|16221735136322238630</stp>
        <tr r="U62" s="24"/>
      </tp>
      <tp t="e">
        <v>#N/A</v>
        <stp/>
        <stp>BDH|17241150820277989589</stp>
        <tr r="I90" s="18"/>
      </tp>
      <tp t="e">
        <v>#N/A</v>
        <stp/>
        <stp>BDH|12551445227516356436</stp>
        <tr r="S17" s="28"/>
        <tr r="S14" s="17"/>
      </tp>
      <tp t="e">
        <v>#N/A</v>
        <stp/>
        <stp>BDH|13950907236018952701</stp>
        <tr r="AA31" s="14"/>
      </tp>
      <tp t="e">
        <v>#N/A</v>
        <stp/>
        <stp>BDH|13873022216027963335</stp>
        <tr r="E94" s="12"/>
      </tp>
      <tp t="e">
        <v>#N/A</v>
        <stp/>
        <stp>BDH|14646870887670159211</stp>
        <tr r="E56" s="12"/>
      </tp>
      <tp t="e">
        <v>#N/A</v>
        <stp/>
        <stp>BDH|15211579147770029248</stp>
        <tr r="C16" s="20"/>
      </tp>
      <tp t="e">
        <v>#N/A</v>
        <stp/>
        <stp>BDH|10602748035217678578</stp>
        <tr r="M24" s="11"/>
        <tr r="M35" s="10"/>
      </tp>
      <tp t="e">
        <v>#N/A</v>
        <stp/>
        <stp>BDH|13904120118070134546</stp>
        <tr r="C21" s="17"/>
      </tp>
      <tp t="e">
        <v>#N/A</v>
        <stp/>
        <stp>BDH|16000573390684277836</stp>
        <tr r="G48" s="34"/>
      </tp>
      <tp t="e">
        <v>#N/A</v>
        <stp/>
        <stp>BDH|16693371672051299575</stp>
        <tr r="Y36" s="12"/>
      </tp>
      <tp t="e">
        <v>#N/A</v>
        <stp/>
        <stp>BDH|12244727905982295117</stp>
        <tr r="R53" s="34"/>
      </tp>
      <tp t="e">
        <v>#N/A</v>
        <stp/>
        <stp>BDH|17046749462715173519</stp>
        <tr r="M28" s="18"/>
      </tp>
      <tp t="e">
        <v>#N/A</v>
        <stp/>
        <stp>BDH|13625597236800361330</stp>
        <tr r="S16" s="23"/>
      </tp>
      <tp t="e">
        <v>#N/A</v>
        <stp/>
        <stp>BDH|17045857581595982444</stp>
        <tr r="F64" s="17"/>
      </tp>
      <tp t="e">
        <v>#N/A</v>
        <stp/>
        <stp>BDH|15711407126871911415</stp>
        <tr r="M144" s="18"/>
      </tp>
      <tp t="e">
        <v>#N/A</v>
        <stp/>
        <stp>BDH|10926835026904425816</stp>
        <tr r="P53" s="34"/>
      </tp>
      <tp t="e">
        <v>#N/A</v>
        <stp/>
        <stp>BDH|12711599020781410237</stp>
        <tr r="J13" s="5"/>
      </tp>
      <tp t="e">
        <v>#N/A</v>
        <stp/>
        <stp>BDH|16271378908103372070</stp>
        <tr r="R137" s="18"/>
      </tp>
      <tp t="e">
        <v>#N/A</v>
        <stp/>
        <stp>BDH|13865909924029466711</stp>
        <tr r="E11" s="6"/>
      </tp>
      <tp t="e">
        <v>#N/A</v>
        <stp/>
        <stp>BDH|15984005546190612705</stp>
        <tr r="Q18" s="10"/>
      </tp>
      <tp t="e">
        <v>#N/A</v>
        <stp/>
        <stp>BDH|17902464502712737738</stp>
        <tr r="X66" s="24"/>
      </tp>
      <tp t="e">
        <v>#N/A</v>
        <stp/>
        <stp>BDH|13677993296926834386</stp>
        <tr r="H22" s="25"/>
      </tp>
      <tp t="e">
        <v>#N/A</v>
        <stp/>
        <stp>BDH|10111873073839950057</stp>
        <tr r="D17" s="23"/>
      </tp>
      <tp t="e">
        <v>#N/A</v>
        <stp/>
        <stp>BDH|13989447589459868052</stp>
        <tr r="Q90" s="17"/>
      </tp>
      <tp t="e">
        <v>#N/A</v>
        <stp/>
        <stp>BDH|16047345107327245489</stp>
        <tr r="U45" s="18"/>
      </tp>
      <tp t="e">
        <v>#N/A</v>
        <stp/>
        <stp>BDH|14242019814927688483</stp>
        <tr r="Y56" s="24"/>
      </tp>
      <tp t="e">
        <v>#N/A</v>
        <stp/>
        <stp>BDH|11165034175554808469</stp>
        <tr r="I32" s="26"/>
      </tp>
      <tp t="e">
        <v>#N/A</v>
        <stp/>
        <stp>BDH|16136795546410548328</stp>
        <tr r="AA13" s="23"/>
        <tr r="Y58" s="11"/>
        <tr r="Y38" s="4"/>
      </tp>
      <tp t="e">
        <v>#N/A</v>
        <stp/>
        <stp>BDH|15509048364090570591</stp>
        <tr r="R38" s="34"/>
      </tp>
      <tp t="e">
        <v>#N/A</v>
        <stp/>
        <stp>BDH|17446254929433496250</stp>
        <tr r="F20" s="26"/>
      </tp>
      <tp t="e">
        <v>#N/A</v>
        <stp/>
        <stp>BDH|16335605039254384101</stp>
        <tr r="O41" s="21"/>
      </tp>
      <tp t="e">
        <v>#N/A</v>
        <stp/>
        <stp>BDH|17374021998320698860</stp>
        <tr r="X64" s="11"/>
        <tr r="X75" s="10"/>
      </tp>
      <tp t="e">
        <v>#N/A</v>
        <stp/>
        <stp>BDH|17537391349814911258</stp>
        <tr r="E34" s="11"/>
        <tr r="E45" s="10"/>
      </tp>
      <tp t="e">
        <v>#N/A</v>
        <stp/>
        <stp>BDH|15224734829263748563</stp>
        <tr r="M10" s="10"/>
      </tp>
      <tp t="e">
        <v>#N/A</v>
        <stp/>
        <stp>BDH|12562145418000005401</stp>
        <tr r="W16" s="11"/>
      </tp>
      <tp t="e">
        <v>#N/A</v>
        <stp/>
        <stp>BDH|16342620709002459450</stp>
        <tr r="H110" s="18"/>
      </tp>
      <tp t="e">
        <v>#N/A</v>
        <stp/>
        <stp>BDH|12028011919593728665</stp>
        <tr r="X40" s="24"/>
      </tp>
      <tp t="e">
        <v>#N/A</v>
        <stp/>
        <stp>BDH|15691773825506975048</stp>
        <tr r="P29" s="4"/>
      </tp>
      <tp t="e">
        <v>#N/A</v>
        <stp/>
        <stp>BDH|14560255529433973190</stp>
        <tr r="D16" s="23"/>
      </tp>
      <tp t="e">
        <v>#N/A</v>
        <stp/>
        <stp>BDH|17808469559394883462</stp>
        <tr r="L41" s="6"/>
        <tr r="L18" s="5"/>
      </tp>
      <tp t="e">
        <v>#N/A</v>
        <stp/>
        <stp>BDH|10130040461002903244</stp>
        <tr r="M49" s="21"/>
      </tp>
      <tp t="e">
        <v>#N/A</v>
        <stp/>
        <stp>BDH|15660203650003721780</stp>
        <tr r="Q20" s="17"/>
      </tp>
      <tp t="e">
        <v>#N/A</v>
        <stp/>
        <stp>BDH|16947822611459244011</stp>
        <tr r="S36" s="18"/>
      </tp>
      <tp t="e">
        <v>#N/A</v>
        <stp/>
        <stp>BDH|17868201014240544207</stp>
        <tr r="S66" s="24"/>
      </tp>
      <tp t="e">
        <v>#N/A</v>
        <stp/>
        <stp>BDH|11648369146701785187</stp>
        <tr r="M77" s="24"/>
      </tp>
      <tp t="e">
        <v>#N/A</v>
        <stp/>
        <stp>BDH|15089001403097240488</stp>
        <tr r="N35" s="26"/>
        <tr r="K14" s="9"/>
      </tp>
      <tp t="e">
        <v>#N/A</v>
        <stp/>
        <stp>BDH|11955750453304716112</stp>
        <tr r="M20" s="28"/>
        <tr r="M17" s="17"/>
      </tp>
      <tp t="e">
        <v>#N/A</v>
        <stp/>
        <stp>BDH|15917864443366147947</stp>
        <tr r="D19" s="9"/>
      </tp>
      <tp t="e">
        <v>#N/A</v>
        <stp/>
        <stp>BDH|10147489517824221753</stp>
        <tr r="Q18" s="17"/>
      </tp>
      <tp t="e">
        <v>#N/A</v>
        <stp/>
        <stp>BDH|12268781302925475642</stp>
        <tr r="F10" s="25"/>
        <tr r="F55" s="17"/>
      </tp>
      <tp t="e">
        <v>#N/A</v>
        <stp/>
        <stp>BDH|10329236225547535189</stp>
        <tr r="G32" s="22"/>
      </tp>
      <tp t="e">
        <v>#N/A</v>
        <stp/>
        <stp>BDH|15095505085568867654</stp>
        <tr r="I85" s="17"/>
      </tp>
      <tp t="e">
        <v>#N/A</v>
        <stp/>
        <stp>BDH|18371592532321589954</stp>
        <tr r="E30" s="29"/>
        <tr r="E8" s="29"/>
      </tp>
      <tp t="e">
        <v>#N/A</v>
        <stp/>
        <stp>BDH|12749694132476465708</stp>
        <tr r="N63" s="13"/>
        <tr r="L60" s="10"/>
        <tr r="L49" s="11"/>
        <tr r="L18" s="7"/>
      </tp>
      <tp t="e">
        <v>#N/A</v>
        <stp/>
        <stp>BDH|17149589001790605463</stp>
        <tr r="K41" s="18"/>
      </tp>
      <tp t="e">
        <v>#N/A</v>
        <stp/>
        <stp>BDH|13197094853580531062</stp>
        <tr r="P40" s="13"/>
        <tr r="N33" s="10"/>
      </tp>
      <tp t="e">
        <v>#N/A</v>
        <stp/>
        <stp>BDH|12252184611923476776</stp>
        <tr r="W32" s="12"/>
      </tp>
      <tp t="e">
        <v>#N/A</v>
        <stp/>
        <stp>BDH|13478914996524379189</stp>
        <tr r="Z18" s="14"/>
      </tp>
      <tp t="e">
        <v>#N/A</v>
        <stp/>
        <stp>BDH|17049788171991350028</stp>
        <tr r="L43" s="25"/>
        <tr r="L7" s="13"/>
        <tr r="L22" s="13"/>
        <tr r="J17" s="11"/>
        <tr r="L7" s="3"/>
      </tp>
      <tp t="e">
        <v>#N/A</v>
        <stp/>
        <stp>BDH|16465028613295959446</stp>
        <tr r="J85" s="17"/>
      </tp>
      <tp t="e">
        <v>#N/A</v>
        <stp/>
        <stp>BDH|10494721596238014085</stp>
        <tr r="F49" s="22"/>
      </tp>
      <tp t="e">
        <v>#N/A</v>
        <stp/>
        <stp>BDH|10514896145303887992</stp>
        <tr r="U39" s="21"/>
      </tp>
      <tp t="e">
        <v>#N/A</v>
        <stp/>
        <stp>BDH|13911011072860533276</stp>
        <tr r="G62" s="17"/>
      </tp>
      <tp t="e">
        <v>#N/A</v>
        <stp/>
        <stp>BDH|11586976308248047625</stp>
        <tr r="E35" s="26"/>
      </tp>
      <tp t="e">
        <v>#N/A</v>
        <stp/>
        <stp>BDH|15134545066121293192</stp>
        <tr r="W29" s="18"/>
      </tp>
      <tp t="e">
        <v>#N/A</v>
        <stp/>
        <stp>BDH|17179498802761525476</stp>
        <tr r="N13" s="13"/>
      </tp>
      <tp t="e">
        <v>#N/A</v>
        <stp/>
        <stp>BDH|10574291545676856696</stp>
        <tr r="K73" s="18"/>
      </tp>
      <tp t="e">
        <v>#N/A</v>
        <stp/>
        <stp>BDH|10731446345075868361</stp>
        <tr r="I26" s="25"/>
        <tr r="I56" s="21"/>
      </tp>
      <tp t="e">
        <v>#N/A</v>
        <stp/>
        <stp>BDH|14603340332165019782</stp>
        <tr r="X56" s="18"/>
      </tp>
      <tp t="e">
        <v>#N/A</v>
        <stp/>
        <stp>BDH|10547550028665376437</stp>
        <tr r="N31" s="21"/>
      </tp>
      <tp t="e">
        <v>#N/A</v>
        <stp/>
        <stp>BDH|11434115259124313774</stp>
        <tr r="D41" s="18"/>
      </tp>
      <tp t="e">
        <v>#N/A</v>
        <stp/>
        <stp>BDH|12972625726742117246</stp>
        <tr r="AA21" s="22"/>
      </tp>
      <tp t="e">
        <v>#N/A</v>
        <stp/>
        <stp>BDH|11310077734473093789</stp>
        <tr r="O146" s="18"/>
      </tp>
      <tp t="e">
        <v>#N/A</v>
        <stp/>
        <stp>BDH|10039982156092596839</stp>
        <tr r="M106" s="18"/>
      </tp>
      <tp t="e">
        <v>#N/A</v>
        <stp/>
        <stp>BDH|15981043307340288300</stp>
        <tr r="E13" s="20"/>
        <tr r="E118" s="18"/>
      </tp>
      <tp t="e">
        <v>#N/A</v>
        <stp/>
        <stp>BDH|14831404859563834011</stp>
        <tr r="Q53" s="18"/>
      </tp>
      <tp t="e">
        <v>#N/A</v>
        <stp/>
        <stp>BDH|13921574209289935960</stp>
        <tr r="Q53" s="12"/>
      </tp>
      <tp t="e">
        <v>#N/A</v>
        <stp/>
        <stp>BDH|15453718328005281372</stp>
        <tr r="Y133" s="18"/>
      </tp>
      <tp t="e">
        <v>#N/A</v>
        <stp/>
        <stp>BDH|12467141459136000611</stp>
        <tr r="M31" s="5"/>
      </tp>
      <tp t="e">
        <v>#N/A</v>
        <stp/>
        <stp>BDH|15702986897075412641</stp>
        <tr r="G26" s="13"/>
      </tp>
      <tp t="e">
        <v>#N/A</v>
        <stp/>
        <stp>BDH|12787616555124988321</stp>
        <tr r="K60" s="21"/>
        <tr r="I55" s="11"/>
      </tp>
      <tp t="e">
        <v>#N/A</v>
        <stp/>
        <stp>BDH|10839452649087532194</stp>
        <tr r="H17" s="14"/>
      </tp>
      <tp t="e">
        <v>#N/A</v>
        <stp/>
        <stp>BDH|15643511029214401021</stp>
        <tr r="C33" s="21"/>
      </tp>
      <tp t="e">
        <v>#N/A</v>
        <stp/>
        <stp>BDH|13963797145546948045</stp>
        <tr r="O18" s="20"/>
      </tp>
      <tp t="e">
        <v>#N/A</v>
        <stp/>
        <stp>BDH|10488711264171083694</stp>
        <tr r="V32" s="11"/>
        <tr r="V43" s="10"/>
      </tp>
      <tp t="e">
        <v>#N/A</v>
        <stp/>
        <stp>BDH|13748798212920671326</stp>
        <tr r="E162" s="18"/>
      </tp>
      <tp t="e">
        <v>#N/A</v>
        <stp/>
        <stp>BDH|16814062745723069736</stp>
        <tr r="G64" s="13"/>
      </tp>
      <tp t="e">
        <v>#N/A</v>
        <stp/>
        <stp>BDH|13904265499648650682</stp>
        <tr r="I23" s="17"/>
      </tp>
      <tp t="e">
        <v>#N/A</v>
        <stp/>
        <stp>BDH|11598709932334634794</stp>
        <tr r="AA24" s="20"/>
      </tp>
      <tp t="e">
        <v>#N/A</v>
        <stp/>
        <stp>BDH|11971443121153653224</stp>
        <tr r="T21" s="3"/>
      </tp>
      <tp t="e">
        <v>#N/A</v>
        <stp/>
        <stp>BDH|12361007838273704478</stp>
        <tr r="E43" s="22"/>
      </tp>
      <tp t="e">
        <v>#N/A</v>
        <stp/>
        <stp>BDH|11368281453934217415</stp>
        <tr r="P69" s="13"/>
      </tp>
      <tp t="e">
        <v>#N/A</v>
        <stp/>
        <stp>BDH|18311777397896163692</stp>
        <tr r="L34" s="29"/>
      </tp>
      <tp t="e">
        <v>#N/A</v>
        <stp/>
        <stp>BDH|12175464300082994250</stp>
        <tr r="AA43" s="12"/>
      </tp>
      <tp t="e">
        <v>#N/A</v>
        <stp/>
        <stp>BDH|10318592801641748278</stp>
        <tr r="E14" s="2"/>
        <tr r="E11" s="10"/>
      </tp>
      <tp t="e">
        <v>#N/A</v>
        <stp/>
        <stp>BDH|11889250514647446363</stp>
        <tr r="G31" s="13"/>
        <tr r="E23" s="11"/>
        <tr r="E34" s="10"/>
        <tr r="E45" s="4"/>
      </tp>
      <tp t="e">
        <v>#N/A</v>
        <stp/>
        <stp>BDH|15380242160520836745</stp>
        <tr r="O31" s="17"/>
      </tp>
      <tp t="e">
        <v>#N/A</v>
        <stp/>
        <stp>BDH|12587647748101704757</stp>
        <tr r="Z9" s="20"/>
        <tr r="Z115" s="18"/>
      </tp>
      <tp t="e">
        <v>#N/A</v>
        <stp/>
        <stp>BDH|13487097032753186559</stp>
        <tr r="X44" s="22"/>
      </tp>
      <tp t="e">
        <v>#N/A</v>
        <stp/>
        <stp>BDH|12688068825483745598</stp>
        <tr r="V12" s="24"/>
      </tp>
      <tp t="e">
        <v>#N/A</v>
        <stp/>
        <stp>BDH|10797737032764545685</stp>
        <tr r="J43" s="24"/>
      </tp>
      <tp t="e">
        <v>#N/A</v>
        <stp/>
        <stp>BDH|15994144762134133057</stp>
        <tr r="H27" s="24"/>
      </tp>
      <tp t="e">
        <v>#N/A</v>
        <stp/>
        <stp>BDH|11196680317458329860</stp>
        <tr r="Y10" s="12"/>
      </tp>
      <tp t="e">
        <v>#N/A</v>
        <stp/>
        <stp>BDH|13285321924392736687</stp>
        <tr r="U154" s="18"/>
      </tp>
      <tp t="e">
        <v>#N/A</v>
        <stp/>
        <stp>BDH|11541281800207525238</stp>
        <tr r="I73" s="12"/>
      </tp>
      <tp t="e">
        <v>#N/A</v>
        <stp/>
        <stp>BDH|10928974921624384975</stp>
        <tr r="P12" s="6"/>
      </tp>
      <tp t="e">
        <v>#N/A</v>
        <stp/>
        <stp>BDH|18025606422848942204</stp>
        <tr r="N20" s="27"/>
      </tp>
      <tp t="e">
        <v>#N/A</v>
        <stp/>
        <stp>BDH|16125408229272042430</stp>
        <tr r="Z41" s="21"/>
      </tp>
      <tp t="e">
        <v>#N/A</v>
        <stp/>
        <stp>BDH|10694642838896364526</stp>
        <tr r="Y7" s="28"/>
      </tp>
      <tp t="e">
        <v>#N/A</v>
        <stp/>
        <stp>BDH|10687325920974658393</stp>
        <tr r="O138" s="18"/>
      </tp>
      <tp t="e">
        <v>#N/A</v>
        <stp/>
        <stp>BDH|16923628206144639209</stp>
        <tr r="D21" s="21"/>
      </tp>
      <tp t="e">
        <v>#N/A</v>
        <stp/>
        <stp>BDH|17109657501092617586</stp>
        <tr r="P32" s="24"/>
      </tp>
      <tp t="e">
        <v>#N/A</v>
        <stp/>
        <stp>BDH|15443087400713038070</stp>
        <tr r="U22" s="21"/>
      </tp>
      <tp t="e">
        <v>#N/A</v>
        <stp/>
        <stp>BDH|10903741453395169143</stp>
        <tr r="O21" s="24"/>
      </tp>
      <tp t="e">
        <v>#N/A</v>
        <stp/>
        <stp>BDH|12464378439266020219</stp>
        <tr r="N31" s="5"/>
      </tp>
      <tp t="e">
        <v>#N/A</v>
        <stp/>
        <stp>BDH|14423938930470593891</stp>
        <tr r="L49" s="21"/>
      </tp>
      <tp t="e">
        <v>#N/A</v>
        <stp/>
        <stp>BDH|13723173098784312901</stp>
        <tr r="Q47" s="6"/>
      </tp>
      <tp t="e">
        <v>#N/A</v>
        <stp/>
        <stp>BDH|13254287726646127360</stp>
        <tr r="C12" s="6"/>
      </tp>
      <tp t="e">
        <v>#N/A</v>
        <stp/>
        <stp>BDH|12196867258890320971</stp>
        <tr r="E123" s="18"/>
      </tp>
      <tp t="e">
        <v>#N/A</v>
        <stp/>
        <stp>BDH|10793895745442359838</stp>
        <tr r="G9" s="28"/>
      </tp>
      <tp t="e">
        <v>#N/A</v>
        <stp/>
        <stp>BDH|13458481524663462071</stp>
        <tr r="Q66" s="21"/>
      </tp>
      <tp t="e">
        <v>#N/A</v>
        <stp/>
        <stp>BDH|10736339303970466580</stp>
        <tr r="Y101" s="18"/>
      </tp>
      <tp t="e">
        <v>#N/A</v>
        <stp/>
        <stp>BDH|13301810084286425394</stp>
        <tr r="N62" s="11"/>
        <tr r="N73" s="10"/>
        <tr r="N20" s="7"/>
      </tp>
      <tp t="e">
        <v>#N/A</v>
        <stp/>
        <stp>BDH|10152309634224963262</stp>
        <tr r="Z71" s="24"/>
      </tp>
      <tp t="e">
        <v>#N/A</v>
        <stp/>
        <stp>BDH|14548454069960042034</stp>
        <tr r="P70" s="17"/>
        <tr r="M8" s="9"/>
        <tr r="M8" s="5"/>
      </tp>
      <tp t="e">
        <v>#N/A</v>
        <stp/>
        <stp>BDH|12683012847122220280</stp>
        <tr r="X26" s="6"/>
      </tp>
      <tp t="e">
        <v>#N/A</v>
        <stp/>
        <stp>BDH|12734617424518085880</stp>
        <tr r="U120" s="18"/>
      </tp>
      <tp t="e">
        <v>#N/A</v>
        <stp/>
        <stp>BDH|14259458990668427790</stp>
        <tr r="K9" s="34"/>
      </tp>
      <tp t="e">
        <v>#N/A</v>
        <stp/>
        <stp>BDH|13902039496435233946</stp>
        <tr r="T150" s="18"/>
      </tp>
      <tp t="e">
        <v>#N/A</v>
        <stp/>
        <stp>BDH|16542497697508794567</stp>
        <tr r="I10" s="22"/>
      </tp>
      <tp t="e">
        <v>#N/A</v>
        <stp/>
        <stp>BDH|17029194143984175017</stp>
        <tr r="Z10" s="25"/>
        <tr r="Z55" s="17"/>
      </tp>
      <tp t="e">
        <v>#N/A</v>
        <stp/>
        <stp>BDH|10127739568517007001</stp>
        <tr r="W61" s="18"/>
      </tp>
      <tp t="e">
        <v>#N/A</v>
        <stp/>
        <stp>BDH|13030037804076499392</stp>
        <tr r="L36" s="29"/>
        <tr r="L13" s="29"/>
        <tr r="L22" s="29"/>
      </tp>
      <tp t="e">
        <v>#N/A</v>
        <stp/>
        <stp>BDH|17205902148709198512</stp>
        <tr r="F157" s="18"/>
      </tp>
      <tp t="e">
        <v>#N/A</v>
        <stp/>
        <stp>BDH|10914730923515786642</stp>
        <tr r="I73" s="17"/>
      </tp>
      <tp t="e">
        <v>#N/A</v>
        <stp/>
        <stp>BDH|17732918861196844850</stp>
        <tr r="H6" s="27"/>
      </tp>
      <tp t="e">
        <v>#N/A</v>
        <stp/>
        <stp>BDH|12988248705885361310</stp>
        <tr r="X17" s="23"/>
      </tp>
      <tp t="e">
        <v>#N/A</v>
        <stp/>
        <stp>BDH|16491077070950805719</stp>
        <tr r="U11" s="29"/>
      </tp>
      <tp t="e">
        <v>#N/A</v>
        <stp/>
        <stp>BDH|17260127816749892842</stp>
        <tr r="N25" s="3"/>
      </tp>
      <tp t="e">
        <v>#N/A</v>
        <stp/>
        <stp>BDH|10262579871610973473</stp>
        <tr r="R24" s="10"/>
      </tp>
      <tp t="e">
        <v>#N/A</v>
        <stp/>
        <stp>BDH|11828264652996133671</stp>
        <tr r="P35" s="34"/>
      </tp>
      <tp t="e">
        <v>#N/A</v>
        <stp/>
        <stp>BDH|16619152849926100317</stp>
        <tr r="S34" s="6"/>
      </tp>
      <tp t="e">
        <v>#N/A</v>
        <stp/>
        <stp>BDH|16844588859165195528</stp>
        <tr r="J63" s="11"/>
        <tr r="J74" s="10"/>
      </tp>
      <tp t="e">
        <v>#N/A</v>
        <stp/>
        <stp>BDH|12333922050721829938</stp>
        <tr r="O6" s="28"/>
      </tp>
      <tp t="e">
        <v>#N/A</v>
        <stp/>
        <stp>BDH|10354687886861481931</stp>
        <tr r="N11" s="28"/>
      </tp>
      <tp t="e">
        <v>#N/A</v>
        <stp/>
        <stp>BDH|15628348987979921162</stp>
        <tr r="R42" s="34"/>
      </tp>
      <tp t="e">
        <v>#N/A</v>
        <stp/>
        <stp>BDH|14520345567763815442</stp>
        <tr r="C27" s="18"/>
      </tp>
      <tp t="e">
        <v>#N/A</v>
        <stp/>
        <stp>BDH|13696578931166271585</stp>
        <tr r="Y26" s="12"/>
      </tp>
      <tp t="e">
        <v>#N/A</v>
        <stp/>
        <stp>BDH|15440237813456746691</stp>
        <tr r="T12" s="12"/>
      </tp>
      <tp t="e">
        <v>#N/A</v>
        <stp/>
        <stp>BDH|16457580316390269422</stp>
        <tr r="I145" s="18"/>
      </tp>
      <tp t="e">
        <v>#N/A</v>
        <stp/>
        <stp>BDH|18034804740710814221</stp>
        <tr r="R70" s="13"/>
      </tp>
      <tp t="e">
        <v>#N/A</v>
        <stp/>
        <stp>BDH|10955635092268360114</stp>
        <tr r="I16" s="14"/>
      </tp>
      <tp t="e">
        <v>#N/A</v>
        <stp/>
        <stp>BDH|13851811548679866033</stp>
        <tr r="Q68" s="18"/>
      </tp>
      <tp t="e">
        <v>#N/A</v>
        <stp/>
        <stp>BDH|16544511979705359740</stp>
        <tr r="Q87" s="12"/>
      </tp>
      <tp t="e">
        <v>#N/A</v>
        <stp/>
        <stp>BDH|16457245173853193686</stp>
        <tr r="F26" s="11"/>
        <tr r="F37" s="10"/>
      </tp>
      <tp t="e">
        <v>#N/A</v>
        <stp/>
        <stp>BDH|15259011028156760765</stp>
        <tr r="I70" s="18"/>
      </tp>
      <tp t="e">
        <v>#N/A</v>
        <stp/>
        <stp>BDH|17266222664495610087</stp>
        <tr r="X28" s="34"/>
      </tp>
      <tp t="e">
        <v>#N/A</v>
        <stp/>
        <stp>BDH|11295107859323098012</stp>
        <tr r="U19" s="26"/>
      </tp>
      <tp t="e">
        <v>#N/A</v>
        <stp/>
        <stp>BDH|16358283727111109171</stp>
        <tr r="H71" s="12"/>
      </tp>
      <tp t="e">
        <v>#N/A</v>
        <stp/>
        <stp>BDH|10591782212561284170</stp>
        <tr r="C160" s="18"/>
      </tp>
      <tp t="e">
        <v>#N/A</v>
        <stp/>
        <stp>BDH|13772986646178744041</stp>
        <tr r="X106" s="18"/>
      </tp>
      <tp t="e">
        <v>#N/A</v>
        <stp/>
        <stp>BDH|17879442427177959085</stp>
        <tr r="F53" s="22"/>
      </tp>
      <tp t="e">
        <v>#N/A</v>
        <stp/>
        <stp>BDH|10320050265829747995</stp>
        <tr r="R134" s="18"/>
      </tp>
      <tp t="e">
        <v>#N/A</v>
        <stp/>
        <stp>BDH|14611329862151804633</stp>
        <tr r="N48" s="24"/>
      </tp>
      <tp t="e">
        <v>#N/A</v>
        <stp/>
        <stp>BDH|17641744245605846728</stp>
        <tr r="R34" s="17"/>
      </tp>
      <tp t="e">
        <v>#N/A</v>
        <stp/>
        <stp>BDH|16948355228841892019</stp>
        <tr r="AA150" s="18"/>
      </tp>
      <tp t="e">
        <v>#N/A</v>
        <stp/>
        <stp>BDH|14901161606296784532</stp>
        <tr r="Z94" s="18"/>
      </tp>
      <tp t="e">
        <v>#N/A</v>
        <stp/>
        <stp>BDH|17924378352720940780</stp>
        <tr r="Q107" s="18"/>
      </tp>
      <tp t="e">
        <v>#N/A</v>
        <stp/>
        <stp>BDH|13246564615778596997</stp>
        <tr r="S45" s="18"/>
      </tp>
      <tp t="e">
        <v>#N/A</v>
        <stp/>
        <stp>BDH|11697358568152787011</stp>
        <tr r="J19" s="28"/>
        <tr r="J16" s="17"/>
      </tp>
      <tp t="e">
        <v>#N/A</v>
        <stp/>
        <stp>BDH|13943015731044209269</stp>
        <tr r="J35" s="22"/>
      </tp>
      <tp t="e">
        <v>#N/A</v>
        <stp/>
        <stp>BDH|13845076051231107128</stp>
        <tr r="C9" s="24"/>
      </tp>
      <tp t="e">
        <v>#N/A</v>
        <stp/>
        <stp>BDH|15953162153064709369</stp>
        <tr r="P20" s="24"/>
      </tp>
      <tp t="e">
        <v>#N/A</v>
        <stp/>
        <stp>BDH|15568699012372446676</stp>
        <tr r="I63" s="12"/>
      </tp>
      <tp t="e">
        <v>#N/A</v>
        <stp/>
        <stp>BDH|14131054422827361787</stp>
        <tr r="L49" s="6"/>
      </tp>
      <tp t="e">
        <v>#N/A</v>
        <stp/>
        <stp>BDH|16314048556692556797</stp>
        <tr r="W27" s="6"/>
      </tp>
      <tp t="e">
        <v>#N/A</v>
        <stp/>
        <stp>BDH|14184790585739347436</stp>
        <tr r="X7" s="10"/>
      </tp>
      <tp t="e">
        <v>#N/A</v>
        <stp/>
        <stp>BDH|15984579399879375693</stp>
        <tr r="Q20" s="23"/>
      </tp>
      <tp t="e">
        <v>#N/A</v>
        <stp/>
        <stp>BDH|14763437829544789070</stp>
        <tr r="M67" s="17"/>
      </tp>
      <tp t="e">
        <v>#N/A</v>
        <stp/>
        <stp>BDH|17917789750901993254</stp>
        <tr r="K38" s="22"/>
      </tp>
      <tp t="e">
        <v>#N/A</v>
        <stp/>
        <stp>BDH|15061591146046238407</stp>
        <tr r="AA93" s="12"/>
      </tp>
      <tp t="e">
        <v>#N/A</v>
        <stp/>
        <stp>BDH|13148433045001842420</stp>
        <tr r="D53" s="17"/>
      </tp>
      <tp t="e">
        <v>#N/A</v>
        <stp/>
        <stp>BDH|15393838238400225874</stp>
        <tr r="X64" s="21"/>
        <tr r="V23" s="7"/>
      </tp>
      <tp t="e">
        <v>#N/A</v>
        <stp/>
        <stp>BDH|15918251037161509332</stp>
        <tr r="C19" s="23"/>
      </tp>
      <tp t="e">
        <v>#N/A</v>
        <stp/>
        <stp>BDH|14697120638724852498</stp>
        <tr r="F15" s="9"/>
      </tp>
      <tp t="e">
        <v>#N/A</v>
        <stp/>
        <stp>BDH|17249702515043218484</stp>
        <tr r="S8" s="14"/>
      </tp>
      <tp t="e">
        <v>#N/A</v>
        <stp/>
        <stp>BDH|13079958335376481996</stp>
        <tr r="C16" s="23"/>
      </tp>
      <tp t="e">
        <v>#N/A</v>
        <stp/>
        <stp>BDH|16339697147267915596</stp>
        <tr r="U39" s="12"/>
      </tp>
      <tp t="e">
        <v>#N/A</v>
        <stp/>
        <stp>BDH|11613156750941990276</stp>
        <tr r="J31" s="17"/>
      </tp>
      <tp t="e">
        <v>#N/A</v>
        <stp/>
        <stp>BDH|13743688451981515764</stp>
        <tr r="P14" s="34"/>
      </tp>
      <tp t="e">
        <v>#N/A</v>
        <stp/>
        <stp>BDH|14013810484247010582</stp>
        <tr r="C12" s="24"/>
      </tp>
      <tp t="e">
        <v>#N/A</v>
        <stp/>
        <stp>BDH|11782691861624009328</stp>
        <tr r="M13" s="24"/>
      </tp>
      <tp t="e">
        <v>#N/A</v>
        <stp/>
        <stp>BDH|16893546424277020058</stp>
        <tr r="Q47" s="18"/>
      </tp>
      <tp t="e">
        <v>#N/A</v>
        <stp/>
        <stp>BDH|12169409006219895922</stp>
        <tr r="S111" s="18"/>
      </tp>
      <tp t="e">
        <v>#N/A</v>
        <stp/>
        <stp>BDH|18305694554645169822</stp>
        <tr r="D20" s="22"/>
      </tp>
      <tp t="e">
        <v>#N/A</v>
        <stp/>
        <stp>BDH|14401439727684817058</stp>
        <tr r="P19" s="20"/>
      </tp>
      <tp t="e">
        <v>#N/A</v>
        <stp/>
        <stp>BDH|13571563856282869706</stp>
        <tr r="K11" s="11"/>
      </tp>
      <tp t="e">
        <v>#N/A</v>
        <stp/>
        <stp>BDH|13671404357604459086</stp>
        <tr r="L46" s="10"/>
        <tr r="L35" s="11"/>
      </tp>
      <tp t="e">
        <v>#N/A</v>
        <stp/>
        <stp>BDH|14454715615516849257</stp>
        <tr r="E20" s="21"/>
      </tp>
      <tp t="e">
        <v>#N/A</v>
        <stp/>
        <stp>BDH|16698212636152586397</stp>
        <tr r="I61" s="12"/>
      </tp>
      <tp t="e">
        <v>#N/A</v>
        <stp/>
        <stp>BDH|17260056372745810302</stp>
        <tr r="M24" s="10"/>
      </tp>
      <tp t="e">
        <v>#N/A</v>
        <stp/>
        <stp>BDH|16258608618987316041</stp>
        <tr r="G47" s="17"/>
      </tp>
      <tp t="e">
        <v>#N/A</v>
        <stp/>
        <stp>BDH|16684998754238702416</stp>
        <tr r="M15" s="14"/>
      </tp>
      <tp t="e">
        <v>#N/A</v>
        <stp/>
        <stp>BDH|17646140714784384590</stp>
        <tr r="L63" s="12"/>
      </tp>
      <tp t="e">
        <v>#N/A</v>
        <stp/>
        <stp>BDH|11381023373707700797</stp>
        <tr r="N14" s="6"/>
      </tp>
      <tp t="e">
        <v>#N/A</v>
        <stp/>
        <stp>BDH|18196147028748748567</stp>
        <tr r="AA35" s="13"/>
        <tr r="Y28" s="10"/>
      </tp>
      <tp t="e">
        <v>#N/A</v>
        <stp/>
        <stp>BDH|16912035469043697597</stp>
        <tr r="X29" s="29"/>
        <tr r="X7" s="29"/>
      </tp>
      <tp t="e">
        <v>#N/A</v>
        <stp/>
        <stp>BDH|13045088834282444440</stp>
        <tr r="N47" s="22"/>
      </tp>
      <tp t="e">
        <v>#N/A</v>
        <stp/>
        <stp>BDH|10477692370253592444</stp>
        <tr r="T30" s="26"/>
      </tp>
      <tp t="e">
        <v>#N/A</v>
        <stp/>
        <stp>BDH|16308681303303724539</stp>
        <tr r="F8" s="14"/>
      </tp>
      <tp t="e">
        <v>#N/A</v>
        <stp/>
        <stp>BDH|18211114898481788701</stp>
        <tr r="M22" s="11"/>
      </tp>
      <tp t="e">
        <v>#N/A</v>
        <stp/>
        <stp>BDH|16720736463186399784</stp>
        <tr r="N16" s="23"/>
      </tp>
      <tp t="e">
        <v>#N/A</v>
        <stp/>
        <stp>BDH|10543782326123364049</stp>
        <tr r="O79" s="12"/>
      </tp>
      <tp t="e">
        <v>#N/A</v>
        <stp/>
        <stp>BDH|11015733439973150076</stp>
        <tr r="E41" s="24"/>
      </tp>
      <tp t="e">
        <v>#N/A</v>
        <stp/>
        <stp>BDH|10613199305065536233</stp>
        <tr r="V82" s="18"/>
      </tp>
      <tp t="e">
        <v>#N/A</v>
        <stp/>
        <stp>BDH|13430169718543498629</stp>
        <tr r="P47" s="6"/>
      </tp>
      <tp t="e">
        <v>#N/A</v>
        <stp/>
        <stp>BDH|15855398602370860077</stp>
        <tr r="H11" s="22"/>
      </tp>
      <tp t="e">
        <v>#N/A</v>
        <stp/>
        <stp>BDH|17597681631507027300</stp>
        <tr r="L53" s="13"/>
      </tp>
      <tp t="e">
        <v>#N/A</v>
        <stp/>
        <stp>BDH|17342721268309082951</stp>
        <tr r="X75" s="18"/>
      </tp>
      <tp t="e">
        <v>#N/A</v>
        <stp/>
        <stp>BDH|10449628526101852346</stp>
        <tr r="M70" s="24"/>
      </tp>
      <tp t="e">
        <v>#N/A</v>
        <stp/>
        <stp>BDH|11092251427380965773</stp>
        <tr r="G66" s="13"/>
      </tp>
      <tp t="e">
        <v>#N/A</v>
        <stp/>
        <stp>BDH|13152195934717186012</stp>
        <tr r="H29" s="12"/>
      </tp>
      <tp t="e">
        <v>#N/A</v>
        <stp/>
        <stp>BDH|10349772208668943998</stp>
        <tr r="O40" s="24"/>
      </tp>
      <tp t="e">
        <v>#N/A</v>
        <stp/>
        <stp>BDH|14752246790689870071</stp>
        <tr r="Y50" s="18"/>
      </tp>
      <tp t="e">
        <v>#N/A</v>
        <stp/>
        <stp>BDH|16965205485542441841</stp>
        <tr r="Q7" s="28"/>
      </tp>
      <tp t="e">
        <v>#N/A</v>
        <stp/>
        <stp>BDH|11052005978233401300</stp>
        <tr r="L64" s="17"/>
      </tp>
      <tp t="e">
        <v>#N/A</v>
        <stp/>
        <stp>BDH|16048362349871544668</stp>
        <tr r="Q28" s="18"/>
      </tp>
      <tp t="e">
        <v>#N/A</v>
        <stp/>
        <stp>BDH|17974656498119833701</stp>
        <tr r="G16" s="34"/>
      </tp>
      <tp t="e">
        <v>#N/A</v>
        <stp/>
        <stp>BDH|15920291744817999213</stp>
        <tr r="Z163" s="18"/>
      </tp>
      <tp t="e">
        <v>#N/A</v>
        <stp/>
        <stp>BDH|15448382460507044106</stp>
        <tr r="Y28" s="12"/>
      </tp>
      <tp t="e">
        <v>#N/A</v>
        <stp/>
        <stp>BDH|12436746629141311064</stp>
        <tr r="Q101" s="18"/>
      </tp>
      <tp t="e">
        <v>#N/A</v>
        <stp/>
        <stp>BDH|14652733197534950877</stp>
        <tr r="H10" s="23"/>
      </tp>
      <tp t="e">
        <v>#N/A</v>
        <stp/>
        <stp>BDH|15206397400248656811</stp>
        <tr r="AA16" s="18"/>
      </tp>
      <tp t="e">
        <v>#N/A</v>
        <stp/>
        <stp>BDH|16947618078141598094</stp>
        <tr r="I51" s="34"/>
      </tp>
      <tp t="e">
        <v>#N/A</v>
        <stp/>
        <stp>BDH|15303541599839790650</stp>
        <tr r="L48" s="12"/>
      </tp>
      <tp t="e">
        <v>#N/A</v>
        <stp/>
        <stp>BDH|17696708651334843736</stp>
        <tr r="K18" s="10"/>
      </tp>
      <tp t="e">
        <v>#N/A</v>
        <stp/>
        <stp>BDH|10077291565600227225</stp>
        <tr r="I67" s="10"/>
      </tp>
      <tp t="e">
        <v>#N/A</v>
        <stp/>
        <stp>BDH|13154345439627696268</stp>
        <tr r="T54" s="17"/>
        <tr r="T17" s="3"/>
      </tp>
      <tp t="e">
        <v>#N/A</v>
        <stp/>
        <stp>BDH|15909733794485590879</stp>
        <tr r="L13" s="26"/>
      </tp>
      <tp t="e">
        <v>#N/A</v>
        <stp/>
        <stp>BDH|11188358735747967047</stp>
        <tr r="H21" s="21"/>
      </tp>
      <tp t="e">
        <v>#N/A</v>
        <stp/>
        <stp>BDH|13905491337113268190</stp>
        <tr r="C69" s="13"/>
      </tp>
      <tp t="e">
        <v>#N/A</v>
        <stp/>
        <stp>BDH|16794620965500582092</stp>
        <tr r="D26" s="17"/>
      </tp>
      <tp t="e">
        <v>#N/A</v>
        <stp/>
        <stp>BDH|13089217155424094684</stp>
        <tr r="F19" s="11"/>
      </tp>
      <tp t="e">
        <v>#N/A</v>
        <stp/>
        <stp>BDH|13158130011156965364</stp>
        <tr r="W8" s="26"/>
        <tr r="T10" s="9"/>
      </tp>
      <tp t="e">
        <v>#N/A</v>
        <stp/>
        <stp>BDH|14415790401290802585</stp>
        <tr r="V64" s="12"/>
      </tp>
      <tp t="e">
        <v>#N/A</v>
        <stp/>
        <stp>BDH|17782154830897979448</stp>
        <tr r="I22" s="26"/>
      </tp>
      <tp t="e">
        <v>#N/A</v>
        <stp/>
        <stp>BDH|11125549632480967113</stp>
        <tr r="I46" s="18"/>
      </tp>
      <tp t="e">
        <v>#N/A</v>
        <stp/>
        <stp>BDH|14886667175483073046</stp>
        <tr r="E86" s="18"/>
      </tp>
      <tp t="e">
        <v>#N/A</v>
        <stp/>
        <stp>BDH|18187837224311107586</stp>
        <tr r="F13" s="34"/>
      </tp>
      <tp t="e">
        <v>#N/A</v>
        <stp/>
        <stp>BDH|13103063562491864228</stp>
        <tr r="X70" s="17"/>
        <tr r="U8" s="9"/>
        <tr r="U8" s="5"/>
      </tp>
      <tp t="e">
        <v>#N/A</v>
        <stp/>
        <stp>BDH|15820620564094687772</stp>
        <tr r="T68" s="13"/>
      </tp>
      <tp t="e">
        <v>#N/A</v>
        <stp/>
        <stp>BDH|10867100473719703939</stp>
        <tr r="I117" s="18"/>
        <tr r="I12" s="20"/>
      </tp>
      <tp t="e">
        <v>#N/A</v>
        <stp/>
        <stp>BDH|16984722584557274820</stp>
        <tr r="F16" s="10"/>
      </tp>
      <tp t="e">
        <v>#N/A</v>
        <stp/>
        <stp>BDH|13134459772763902502</stp>
        <tr r="R25" s="11"/>
        <tr r="R36" s="10"/>
      </tp>
      <tp t="e">
        <v>#N/A</v>
        <stp/>
        <stp>BDH|14963479870133961286</stp>
        <tr r="S46" s="6"/>
        <tr r="S19" s="5"/>
      </tp>
      <tp t="e">
        <v>#N/A</v>
        <stp/>
        <stp>BDH|17231775577065906448</stp>
        <tr r="D25" s="13"/>
      </tp>
      <tp t="e">
        <v>#N/A</v>
        <stp/>
        <stp>BDH|16894285018270514321</stp>
        <tr r="F15" s="13"/>
      </tp>
      <tp t="e">
        <v>#N/A</v>
        <stp/>
        <stp>BDH|12372497379850972752</stp>
        <tr r="Q52" s="13"/>
      </tp>
      <tp t="e">
        <v>#N/A</v>
        <stp/>
        <stp>BDH|13455572339607384464</stp>
        <tr r="F42" s="4"/>
      </tp>
      <tp t="e">
        <v>#N/A</v>
        <stp/>
        <stp>BDH|14948518202841315669</stp>
        <tr r="K44" s="12"/>
      </tp>
      <tp t="e">
        <v>#N/A</v>
        <stp/>
        <stp>BDH|13133261082269340698</stp>
        <tr r="M9" s="22"/>
      </tp>
      <tp t="e">
        <v>#N/A</v>
        <stp/>
        <stp>BDH|13496311263797938700</stp>
        <tr r="F88" s="18"/>
      </tp>
      <tp t="e">
        <v>#N/A</v>
        <stp/>
        <stp>BDH|16613901341974103995</stp>
        <tr r="D35" s="17"/>
      </tp>
      <tp t="e">
        <v>#N/A</v>
        <stp/>
        <stp>BDH|18128267508789896587</stp>
        <tr r="L20" s="17"/>
      </tp>
      <tp t="e">
        <v>#N/A</v>
        <stp/>
        <stp>BDH|14991325391809279170</stp>
        <tr r="E57" s="24"/>
      </tp>
      <tp t="e">
        <v>#N/A</v>
        <stp/>
        <stp>BDH|16630964372939546789</stp>
        <tr r="O91" s="12"/>
      </tp>
      <tp t="e">
        <v>#N/A</v>
        <stp/>
        <stp>BDH|17056515024761956731</stp>
        <tr r="E18" s="18"/>
      </tp>
      <tp t="e">
        <v>#N/A</v>
        <stp/>
        <stp>BDH|17445249084219346288</stp>
        <tr r="U37" s="34"/>
      </tp>
      <tp t="e">
        <v>#N/A</v>
        <stp/>
        <stp>BDH|14801916683096705524</stp>
        <tr r="Q81" s="18"/>
      </tp>
      <tp t="e">
        <v>#N/A</v>
        <stp/>
        <stp>BDH|16842349667551192453</stp>
        <tr r="H10" s="18"/>
      </tp>
      <tp t="e">
        <v>#N/A</v>
        <stp/>
        <stp>BDH|18337428932828441186</stp>
        <tr r="N67" s="13"/>
      </tp>
      <tp t="e">
        <v>#N/A</v>
        <stp/>
        <stp>BDH|11278064532802136689</stp>
        <tr r="Y88" s="18"/>
      </tp>
      <tp t="e">
        <v>#N/A</v>
        <stp/>
        <stp>BDH|16563393224775166465</stp>
        <tr r="AA47" s="22"/>
      </tp>
      <tp t="e">
        <v>#N/A</v>
        <stp/>
        <stp>BDH|15327549232991831421</stp>
        <tr r="Q42" s="24"/>
      </tp>
      <tp t="e">
        <v>#N/A</v>
        <stp/>
        <stp>BDH|14758748636307374199</stp>
        <tr r="U16" s="11"/>
      </tp>
      <tp t="e">
        <v>#N/A</v>
        <stp/>
        <stp>BDH|14473770378686115457</stp>
        <tr r="AA67" s="12"/>
      </tp>
      <tp t="e">
        <v>#N/A</v>
        <stp/>
        <stp>BDH|15602607438784147203</stp>
        <tr r="T43" s="21"/>
      </tp>
      <tp t="e">
        <v>#N/A</v>
        <stp/>
        <stp>BDH|14243497014370003707</stp>
        <tr r="S122" s="18"/>
      </tp>
      <tp t="e">
        <v>#N/A</v>
        <stp/>
        <stp>BDH|13544850271973882962</stp>
        <tr r="G13" s="20"/>
        <tr r="G118" s="18"/>
      </tp>
      <tp t="e">
        <v>#N/A</v>
        <stp/>
        <stp>BDH|14741614126227710184</stp>
        <tr r="C27" s="22"/>
      </tp>
      <tp t="e">
        <v>#N/A</v>
        <stp/>
        <stp>BDH|17615599505546131248</stp>
        <tr r="V65" s="13"/>
      </tp>
      <tp t="e">
        <v>#N/A</v>
        <stp/>
        <stp>BDH|12277056206627650384</stp>
        <tr r="Y142" s="18"/>
      </tp>
      <tp t="e">
        <v>#N/A</v>
        <stp/>
        <stp>BDH|13323380530395329075</stp>
        <tr r="N63" s="11"/>
        <tr r="N74" s="10"/>
      </tp>
      <tp t="e">
        <v>#N/A</v>
        <stp/>
        <stp>BDH|11191214249915223440</stp>
        <tr r="K25" s="12"/>
      </tp>
      <tp t="e">
        <v>#N/A</v>
        <stp/>
        <stp>BDH|14784419755355455681</stp>
        <tr r="M48" s="22"/>
      </tp>
      <tp t="e">
        <v>#N/A</v>
        <stp/>
        <stp>BDH|17556224638444403440</stp>
        <tr r="W87" s="12"/>
      </tp>
      <tp t="e">
        <v>#N/A</v>
        <stp/>
        <stp>BDH|16935452523951889784</stp>
        <tr r="H55" s="21"/>
      </tp>
      <tp t="e">
        <v>#N/A</v>
        <stp/>
        <stp>BDH|16927049921361240318</stp>
        <tr r="N10" s="18"/>
      </tp>
      <tp t="e">
        <v>#N/A</v>
        <stp/>
        <stp>BDH|14178556538174340000</stp>
        <tr r="N39" s="13"/>
        <tr r="L32" s="10"/>
      </tp>
      <tp t="e">
        <v>#N/A</v>
        <stp/>
        <stp>BDH|15380457324526466398</stp>
        <tr r="F163" s="18"/>
      </tp>
      <tp t="e">
        <v>#N/A</v>
        <stp/>
        <stp>BDH|17226033621173876073</stp>
        <tr r="Q8" s="25"/>
        <tr r="N10" s="5"/>
        <tr r="O9" s="2"/>
      </tp>
      <tp t="e">
        <v>#N/A</v>
        <stp/>
        <stp>BDH|14044521589599324668</stp>
        <tr r="R21" s="9"/>
        <tr r="R23" s="5"/>
      </tp>
      <tp t="e">
        <v>#N/A</v>
        <stp/>
        <stp>BDH|16857542949031287095</stp>
        <tr r="F36" s="17"/>
      </tp>
      <tp t="e">
        <v>#N/A</v>
        <stp/>
        <stp>BDH|11994184844572935022</stp>
        <tr r="S7" s="24"/>
      </tp>
      <tp t="e">
        <v>#N/A</v>
        <stp/>
        <stp>BDH|13363384874848739960</stp>
        <tr r="V22" s="21"/>
      </tp>
      <tp t="e">
        <v>#N/A</v>
        <stp/>
        <stp>BDH|15608783357359613819</stp>
        <tr r="O91" s="17"/>
      </tp>
      <tp t="e">
        <v>#N/A</v>
        <stp/>
        <stp>BDH|12153062429972161410</stp>
        <tr r="L39" s="25"/>
      </tp>
      <tp t="e">
        <v>#N/A</v>
        <stp/>
        <stp>BDH|15893169573953632652</stp>
        <tr r="D63" s="24"/>
      </tp>
      <tp t="e">
        <v>#N/A</v>
        <stp/>
        <stp>BDH|18420726189755748468</stp>
        <tr r="P12" s="10"/>
      </tp>
      <tp t="e">
        <v>#N/A</v>
        <stp/>
        <stp>BDH|12597161829184732335</stp>
        <tr r="T49" s="6"/>
      </tp>
      <tp t="e">
        <v>#N/A</v>
        <stp/>
        <stp>BDH|16799352568175307077</stp>
        <tr r="Z120" s="18"/>
      </tp>
      <tp t="e">
        <v>#N/A</v>
        <stp/>
        <stp>BDH|14041410005580250689</stp>
        <tr r="H22" s="14"/>
      </tp>
      <tp t="e">
        <v>#N/A</v>
        <stp/>
        <stp>BDH|16178505902023598686</stp>
        <tr r="D13" s="26"/>
      </tp>
      <tp t="e">
        <v>#N/A</v>
        <stp/>
        <stp>BDH|15240287216971643143</stp>
        <tr r="P100" s="12"/>
      </tp>
      <tp t="e">
        <v>#N/A</v>
        <stp/>
        <stp>BDH|10777012204970541695</stp>
        <tr r="D67" s="13"/>
      </tp>
      <tp t="e">
        <v>#N/A</v>
        <stp/>
        <stp>BDH|14088334612748851872</stp>
        <tr r="O22" s="7"/>
      </tp>
      <tp t="e">
        <v>#N/A</v>
        <stp/>
        <stp>BDH|16591015578777450062</stp>
        <tr r="D12" s="11"/>
      </tp>
      <tp t="e">
        <v>#N/A</v>
        <stp/>
        <stp>BDH|12562230725656945247</stp>
        <tr r="J9" s="29"/>
      </tp>
      <tp t="e">
        <v>#N/A</v>
        <stp/>
        <stp>BDH|18104136579069072152</stp>
        <tr r="P11" s="7"/>
      </tp>
      <tp t="e">
        <v>#N/A</v>
        <stp/>
        <stp>BDH|11655816061328829100</stp>
        <tr r="Z131" s="18"/>
      </tp>
      <tp t="e">
        <v>#N/A</v>
        <stp/>
        <stp>BDH|13920171945191504103</stp>
        <tr r="N68" s="18"/>
      </tp>
      <tp t="e">
        <v>#N/A</v>
        <stp/>
        <stp>BDH|11814260371394663674</stp>
        <tr r="M153" s="18"/>
      </tp>
      <tp t="e">
        <v>#N/A</v>
        <stp/>
        <stp>BDH|12977129204933710666</stp>
        <tr r="J10" s="14"/>
      </tp>
      <tp t="e">
        <v>#N/A</v>
        <stp/>
        <stp>BDH|12370128957895868506</stp>
        <tr r="V15" s="14"/>
      </tp>
      <tp t="e">
        <v>#N/A</v>
        <stp/>
        <stp>BDH|12207967344008781198</stp>
        <tr r="R144" s="18"/>
      </tp>
      <tp t="e">
        <v>#N/A</v>
        <stp/>
        <stp>BDH|16706599801256488354</stp>
        <tr r="P33" s="21"/>
      </tp>
      <tp t="e">
        <v>#N/A</v>
        <stp/>
        <stp>BDH|15371677254687696789</stp>
        <tr r="U38" s="34"/>
      </tp>
      <tp t="e">
        <v>#N/A</v>
        <stp/>
        <stp>BDH|13057486850534130073</stp>
        <tr r="P122" s="18"/>
      </tp>
      <tp t="e">
        <v>#N/A</v>
        <stp/>
        <stp>BDH|17756978359588685516</stp>
        <tr r="V158" s="18"/>
      </tp>
      <tp t="e">
        <v>#N/A</v>
        <stp/>
        <stp>BDH|13686908368778003201</stp>
        <tr r="U21" s="3"/>
      </tp>
      <tp t="e">
        <v>#N/A</v>
        <stp/>
        <stp>BDH|13832616536510027014</stp>
        <tr r="N30" s="34"/>
      </tp>
      <tp t="e">
        <v>#N/A</v>
        <stp/>
        <stp>BDH|11625645264514835307</stp>
        <tr r="C7" s="30"/>
      </tp>
      <tp t="e">
        <v>#N/A</v>
        <stp/>
        <stp>BDH|12222364339340657456</stp>
        <tr r="U28" s="34"/>
      </tp>
      <tp t="e">
        <v>#N/A</v>
        <stp/>
        <stp>BDH|13400175909533052740</stp>
        <tr r="Z82" s="12"/>
      </tp>
      <tp t="e">
        <v>#N/A</v>
        <stp/>
        <stp>BDH|10015726144024168195</stp>
        <tr r="O94" s="12"/>
      </tp>
      <tp t="e">
        <v>#N/A</v>
        <stp/>
        <stp>BDH|10737311643327216694</stp>
        <tr r="K69" s="18"/>
      </tp>
      <tp t="e">
        <v>#N/A</v>
        <stp/>
        <stp>BDH|16707069334944267792</stp>
        <tr r="I32" s="22"/>
      </tp>
      <tp t="e">
        <v>#N/A</v>
        <stp/>
        <stp>BDH|13667526074675973275</stp>
        <tr r="F14" s="20"/>
        <tr r="F119" s="18"/>
      </tp>
      <tp t="e">
        <v>#N/A</v>
        <stp/>
        <stp>BDH|14380398016738171834</stp>
        <tr r="U60" s="18"/>
      </tp>
      <tp t="e">
        <v>#N/A</v>
        <stp/>
        <stp>BDH|15869397826362791110</stp>
        <tr r="F36" s="26"/>
      </tp>
      <tp t="e">
        <v>#N/A</v>
        <stp/>
        <stp>BDH|11535078800205210312</stp>
        <tr r="M73" s="18"/>
      </tp>
      <tp t="e">
        <v>#N/A</v>
        <stp/>
        <stp>BDH|16306646197426498852</stp>
        <tr r="X29" s="9"/>
      </tp>
      <tp t="e">
        <v>#N/A</v>
        <stp/>
        <stp>BDH|15972717811620064489</stp>
        <tr r="P19" s="34"/>
      </tp>
      <tp t="e">
        <v>#N/A</v>
        <stp/>
        <stp>BDH|11635366821034990395</stp>
        <tr r="D124" s="18"/>
      </tp>
      <tp t="e">
        <v>#N/A</v>
        <stp/>
        <stp>BDH|11114622877091496613</stp>
        <tr r="G8" s="11"/>
      </tp>
      <tp t="e">
        <v>#N/A</v>
        <stp/>
        <stp>BDH|14193129045802247454</stp>
        <tr r="K82" s="18"/>
      </tp>
      <tp t="e">
        <v>#N/A</v>
        <stp/>
        <stp>BDH|16507497723060782797</stp>
        <tr r="G16" s="26"/>
      </tp>
      <tp t="e">
        <v>#N/A</v>
        <stp/>
        <stp>BDH|16088495701441059494</stp>
        <tr r="U24" s="29"/>
      </tp>
      <tp t="e">
        <v>#N/A</v>
        <stp/>
        <stp>BDH|12524585439531042259</stp>
        <tr r="Z65" s="18"/>
      </tp>
      <tp t="e">
        <v>#N/A</v>
        <stp/>
        <stp>BDH|17261778675379001912</stp>
        <tr r="H27" s="13"/>
      </tp>
      <tp t="e">
        <v>#N/A</v>
        <stp/>
        <stp>BDH|12782561316155124475</stp>
        <tr r="R25" s="5"/>
      </tp>
      <tp t="e">
        <v>#N/A</v>
        <stp/>
        <stp>BDH|16687909833843656822</stp>
        <tr r="H171" s="18"/>
      </tp>
      <tp t="e">
        <v>#N/A</v>
        <stp/>
        <stp>BDH|13431659811146535546</stp>
        <tr r="L40" s="11"/>
        <tr r="L51" s="10"/>
        <tr r="L28" s="11"/>
        <tr r="L39" s="10"/>
      </tp>
      <tp t="e">
        <v>#N/A</v>
        <stp/>
        <stp>BDH|15319479322420520420</stp>
        <tr r="D25" s="11"/>
        <tr r="D36" s="10"/>
      </tp>
      <tp t="e">
        <v>#N/A</v>
        <stp/>
        <stp>BDH|17581521531572256457</stp>
        <tr r="W32" s="13"/>
        <tr r="U25" s="10"/>
      </tp>
      <tp t="e">
        <v>#N/A</v>
        <stp/>
        <stp>BDH|11291215374464120777</stp>
        <tr r="S62" s="24"/>
      </tp>
      <tp t="e">
        <v>#N/A</v>
        <stp/>
        <stp>BDH|18331642980717799612</stp>
        <tr r="R25" s="17"/>
      </tp>
      <tp t="e">
        <v>#N/A</v>
        <stp/>
        <stp>BDH|14750538983767324954</stp>
        <tr r="T72" s="12"/>
      </tp>
      <tp t="e">
        <v>#N/A</v>
        <stp/>
        <stp>BDH|12843099672764239605</stp>
        <tr r="V49" s="12"/>
      </tp>
      <tp t="e">
        <v>#N/A</v>
        <stp/>
        <stp>BDH|11541081111937437093</stp>
        <tr r="G32" s="12"/>
      </tp>
      <tp t="e">
        <v>#N/A</v>
        <stp/>
        <stp>BDH|12182882288917093206</stp>
        <tr r="Q19" s="11"/>
      </tp>
      <tp t="e">
        <v>#N/A</v>
        <stp/>
        <stp>BDH|15108796665587862446</stp>
        <tr r="AA24" s="13"/>
      </tp>
      <tp t="e">
        <v>#N/A</v>
        <stp/>
        <stp>BDH|15993536589189099624</stp>
        <tr r="D9" s="20"/>
        <tr r="D115" s="18"/>
      </tp>
      <tp t="e">
        <v>#N/A</v>
        <stp/>
        <stp>BDH|15960306838532756072</stp>
        <tr r="O82" s="18"/>
      </tp>
      <tp t="e">
        <v>#N/A</v>
        <stp/>
        <stp>BDH|17125211911420803385</stp>
        <tr r="E25" s="17"/>
      </tp>
      <tp t="e">
        <v>#N/A</v>
        <stp/>
        <stp>BDH|16368614672148104801</stp>
        <tr r="V59" s="18"/>
      </tp>
      <tp t="e">
        <v>#N/A</v>
        <stp/>
        <stp>BDH|11662393509736251355</stp>
        <tr r="L45" s="22"/>
      </tp>
      <tp t="e">
        <v>#N/A</v>
        <stp/>
        <stp>BDH|12751557245032097669</stp>
        <tr r="S97" s="12"/>
      </tp>
      <tp t="e">
        <v>#N/A</v>
        <stp/>
        <stp>BDH|13934686465107565303</stp>
        <tr r="D21" s="9"/>
        <tr r="D23" s="5"/>
      </tp>
      <tp t="e">
        <v>#N/A</v>
        <stp/>
        <stp>BDH|13371521171445909382</stp>
        <tr r="Y19" s="18"/>
      </tp>
      <tp t="e">
        <v>#N/A</v>
        <stp/>
        <stp>BDH|14975983761585464957</stp>
        <tr r="V70" s="17"/>
        <tr r="S8" s="9"/>
        <tr r="S8" s="5"/>
      </tp>
      <tp t="e">
        <v>#N/A</v>
        <stp/>
        <stp>BDH|11004154660945191454</stp>
        <tr r="F68" s="24"/>
      </tp>
      <tp t="e">
        <v>#N/A</v>
        <stp/>
        <stp>BDH|17462197187998380187</stp>
        <tr r="AA8" s="12"/>
      </tp>
      <tp t="e">
        <v>#N/A</v>
        <stp/>
        <stp>BDH|15690700014155285117</stp>
        <tr r="P93" s="17"/>
      </tp>
      <tp t="e">
        <v>#N/A</v>
        <stp/>
        <stp>BDH|10548527742563561516</stp>
        <tr r="P16" s="18"/>
      </tp>
      <tp t="e">
        <v>#N/A</v>
        <stp/>
        <stp>BDH|16792636165960578154</stp>
        <tr r="N9" s="24"/>
      </tp>
      <tp t="e">
        <v>#N/A</v>
        <stp/>
        <stp>BDH|11831696563741166721</stp>
        <tr r="K27" s="25"/>
        <tr r="I20" s="11"/>
      </tp>
      <tp t="e">
        <v>#N/A</v>
        <stp/>
        <stp>BDH|10900031007415530293</stp>
        <tr r="R36" s="22"/>
      </tp>
      <tp t="e">
        <v>#N/A</v>
        <stp/>
        <stp>BDH|16046142300450012056</stp>
        <tr r="P36" s="26"/>
      </tp>
      <tp t="e">
        <v>#N/A</v>
        <stp/>
        <stp>BDH|12256175224175946391</stp>
        <tr r="W27" s="25"/>
        <tr r="U20" s="11"/>
      </tp>
      <tp t="e">
        <v>#N/A</v>
        <stp/>
        <stp>BDH|15512817131809626028</stp>
        <tr r="N61" s="21"/>
        <tr r="L25" s="2"/>
      </tp>
      <tp t="e">
        <v>#N/A</v>
        <stp/>
        <stp>BDH|18105973661657454724</stp>
        <tr r="M26" s="12"/>
      </tp>
      <tp t="e">
        <v>#N/A</v>
        <stp/>
        <stp>BDH|14469544613975400270</stp>
        <tr r="L36" s="26"/>
      </tp>
      <tp t="e">
        <v>#N/A</v>
        <stp/>
        <stp>BDH|15697097806155821716</stp>
        <tr r="K11" s="30"/>
      </tp>
      <tp t="e">
        <v>#N/A</v>
        <stp/>
        <stp>BDH|15372089622182052290</stp>
        <tr r="AA28" s="13"/>
        <tr r="AA16" s="13"/>
        <tr r="Y17" s="10"/>
      </tp>
      <tp t="e">
        <v>#N/A</v>
        <stp/>
        <stp>BDH|12922396585199146748</stp>
        <tr r="N104" s="18"/>
      </tp>
      <tp t="e">
        <v>#N/A</v>
        <stp/>
        <stp>BDH|15077269702179530915</stp>
        <tr r="V13" s="34"/>
      </tp>
      <tp t="e">
        <v>#N/A</v>
        <stp/>
        <stp>BDH|17832037076604923348</stp>
        <tr r="O7" s="4"/>
      </tp>
      <tp t="e">
        <v>#N/A</v>
        <stp/>
        <stp>BDH|17170232726728196853</stp>
        <tr r="R16" s="14"/>
      </tp>
      <tp t="e">
        <v>#N/A</v>
        <stp/>
        <stp>BDH|12263445673973479512</stp>
        <tr r="K57" s="18"/>
      </tp>
      <tp t="e">
        <v>#N/A</v>
        <stp/>
        <stp>BDH|14103743796805147820</stp>
        <tr r="P14" s="28"/>
      </tp>
      <tp t="e">
        <v>#N/A</v>
        <stp/>
        <stp>BDH|13017261904673706558</stp>
        <tr r="U28" s="9"/>
        <tr r="U30" s="5"/>
      </tp>
      <tp t="e">
        <v>#N/A</v>
        <stp/>
        <stp>BDH|12436658838262971200</stp>
        <tr r="Q11" s="10"/>
        <tr r="Q14" s="2"/>
      </tp>
      <tp t="e">
        <v>#N/A</v>
        <stp/>
        <stp>BDH|14593273466267479001</stp>
        <tr r="T49" s="12"/>
      </tp>
      <tp t="e">
        <v>#N/A</v>
        <stp/>
        <stp>BDH|10464574536365383467</stp>
        <tr r="Q10" s="17"/>
      </tp>
      <tp t="e">
        <v>#N/A</v>
        <stp/>
        <stp>BDH|11253709313142763265</stp>
        <tr r="F6" s="15"/>
        <tr r="F6" s="10"/>
        <tr r="F11" s="4"/>
        <tr r="F12" s="2"/>
      </tp>
      <tp t="e">
        <v>#N/A</v>
        <stp/>
        <stp>BDH|12167750174814760176</stp>
        <tr r="O66" s="24"/>
      </tp>
      <tp t="e">
        <v>#N/A</v>
        <stp/>
        <stp>BDH|11659219559276609780</stp>
        <tr r="E6" s="20"/>
        <tr r="E112" s="18"/>
      </tp>
      <tp t="e">
        <v>#N/A</v>
        <stp/>
        <stp>BDH|11000998999327232125</stp>
        <tr r="S76" s="10"/>
        <tr r="S65" s="11"/>
      </tp>
      <tp t="e">
        <v>#N/A</v>
        <stp/>
        <stp>BDH|14452818874168055414</stp>
        <tr r="C18" s="28"/>
        <tr r="C15" s="17"/>
      </tp>
      <tp t="e">
        <v>#N/A</v>
        <stp/>
        <stp>BDH|17468410249230402089</stp>
        <tr r="U64" s="12"/>
      </tp>
      <tp t="e">
        <v>#N/A</v>
        <stp/>
        <stp>BDH|10125156386978105630</stp>
        <tr r="F44" s="6"/>
      </tp>
      <tp t="e">
        <v>#N/A</v>
        <stp/>
        <stp>BDH|10849932951518386396</stp>
        <tr r="I14" s="23"/>
      </tp>
      <tp t="e">
        <v>#N/A</v>
        <stp/>
        <stp>BDH|11006682658530434549</stp>
        <tr r="H51" s="22"/>
      </tp>
      <tp t="e">
        <v>#N/A</v>
        <stp/>
        <stp>BDH|18066928169666213694</stp>
        <tr r="L85" s="18"/>
      </tp>
      <tp t="e">
        <v>#N/A</v>
        <stp/>
        <stp>BDH|13281600631476357705</stp>
        <tr r="J17" s="18"/>
      </tp>
      <tp t="e">
        <v>#N/A</v>
        <stp/>
        <stp>BDH|10638976639759136492</stp>
        <tr r="C75" s="17"/>
      </tp>
      <tp t="e">
        <v>#N/A</v>
        <stp/>
        <stp>BDH|15604362533856389401</stp>
        <tr r="J15" s="23"/>
        <tr r="H59" s="11"/>
      </tp>
      <tp t="e">
        <v>#N/A</v>
        <stp/>
        <stp>BDH|13737160910360712462</stp>
        <tr r="AA73" s="13"/>
        <tr r="Y50" s="11"/>
        <tr r="Y61" s="10"/>
        <tr r="Y18" s="4"/>
        <tr r="Y19" s="7"/>
        <tr r="Y20" s="2"/>
      </tp>
      <tp t="e">
        <v>#N/A</v>
        <stp/>
        <stp>BDH|14210885653627980909</stp>
        <tr r="R162" s="18"/>
      </tp>
      <tp t="e">
        <v>#N/A</v>
        <stp/>
        <stp>BDH|14944128505847647583</stp>
        <tr r="M10" s="12"/>
      </tp>
      <tp t="e">
        <v>#N/A</v>
        <stp/>
        <stp>BDH|16538557357857372649</stp>
        <tr r="T156" s="18"/>
      </tp>
      <tp t="e">
        <v>#N/A</v>
        <stp/>
        <stp>BDH|12703641060903683652</stp>
        <tr r="N7" s="21"/>
      </tp>
      <tp t="e">
        <v>#N/A</v>
        <stp/>
        <stp>BDH|17505012108700801044</stp>
        <tr r="P17" s="21"/>
        <tr r="P23" s="3"/>
        <tr r="N23" s="2"/>
      </tp>
      <tp t="e">
        <v>#N/A</v>
        <stp/>
        <stp>BDH|16793769353735416666</stp>
        <tr r="T24" s="22"/>
      </tp>
      <tp t="e">
        <v>#N/A</v>
        <stp/>
        <stp>BDH|10774362093584143933</stp>
        <tr r="L34" s="21"/>
      </tp>
      <tp t="e">
        <v>#N/A</v>
        <stp/>
        <stp>BDH|14348392426781860340</stp>
        <tr r="Z16" s="29"/>
        <tr r="Z39" s="29"/>
      </tp>
      <tp t="e">
        <v>#N/A</v>
        <stp/>
        <stp>BDH|16574138295811583868</stp>
        <tr r="E22" s="6"/>
      </tp>
      <tp t="e">
        <v>#N/A</v>
        <stp/>
        <stp>BDH|11519010231667382269</stp>
        <tr r="H33" s="5"/>
      </tp>
      <tp t="e">
        <v>#N/A</v>
        <stp/>
        <stp>BDH|16401485819092554606</stp>
        <tr r="AA15" s="30"/>
      </tp>
      <tp t="e">
        <v>#N/A</v>
        <stp/>
        <stp>BDH|12578008166893243015</stp>
        <tr r="N10" s="13"/>
      </tp>
      <tp t="e">
        <v>#N/A</v>
        <stp/>
        <stp>BDH|14816412546880884376</stp>
        <tr r="V27" s="12"/>
      </tp>
      <tp t="e">
        <v>#N/A</v>
        <stp/>
        <stp>BDH|12269928692823638640</stp>
        <tr r="V126" s="18"/>
      </tp>
      <tp t="e">
        <v>#N/A</v>
        <stp/>
        <stp>BDH|11066536200436570566</stp>
        <tr r="U23" s="21"/>
      </tp>
      <tp t="e">
        <v>#N/A</v>
        <stp/>
        <stp>BDH|13458794035497997719</stp>
        <tr r="Z26" s="22"/>
      </tp>
      <tp t="e">
        <v>#N/A</v>
        <stp/>
        <stp>BDH|10739956630484769953</stp>
        <tr r="C22" s="17"/>
        <tr r="C15" s="3"/>
      </tp>
      <tp t="e">
        <v>#N/A</v>
        <stp/>
        <stp>BDH|11404530883328539314</stp>
        <tr r="K19" s="26"/>
      </tp>
      <tp t="e">
        <v>#N/A</v>
        <stp/>
        <stp>BDH|10377697608127112634</stp>
        <tr r="K13" s="10"/>
      </tp>
      <tp t="e">
        <v>#N/A</v>
        <stp/>
        <stp>BDH|14276565188546923851</stp>
        <tr r="I25" s="17"/>
      </tp>
      <tp t="e">
        <v>#N/A</v>
        <stp/>
        <stp>BDH|16764916864707053919</stp>
        <tr r="Q149" s="18"/>
      </tp>
      <tp t="e">
        <v>#N/A</v>
        <stp/>
        <stp>BDH|10220335857381398066</stp>
        <tr r="R48" s="13"/>
      </tp>
      <tp t="e">
        <v>#N/A</v>
        <stp/>
        <stp>BDH|13791635990208407334</stp>
        <tr r="M10" s="26"/>
      </tp>
      <tp t="e">
        <v>#N/A</v>
        <stp/>
        <stp>BDH|13732760834936691609</stp>
        <tr r="O44" s="11"/>
        <tr r="O55" s="10"/>
        <tr r="O15" s="7"/>
      </tp>
      <tp t="e">
        <v>#N/A</v>
        <stp/>
        <stp>BDH|12553647679293337789</stp>
        <tr r="O75" s="17"/>
      </tp>
      <tp t="e">
        <v>#N/A</v>
        <stp/>
        <stp>BDH|18098764665586106812</stp>
        <tr r="L24" s="11"/>
        <tr r="L35" s="10"/>
      </tp>
      <tp t="e">
        <v>#N/A</v>
        <stp/>
        <stp>BDH|16602680245607988417</stp>
        <tr r="U55" s="10"/>
        <tr r="U44" s="11"/>
        <tr r="U15" s="7"/>
      </tp>
      <tp t="e">
        <v>#N/A</v>
        <stp/>
        <stp>BDH|13370631844036161069</stp>
        <tr r="W47" s="18"/>
      </tp>
      <tp t="e">
        <v>#N/A</v>
        <stp/>
        <stp>BDH|17481472925547466110</stp>
        <tr r="I125" s="18"/>
      </tp>
      <tp t="e">
        <v>#N/A</v>
        <stp/>
        <stp>BDH|17995597259793374397</stp>
        <tr r="O51" s="17"/>
      </tp>
      <tp t="e">
        <v>#N/A</v>
        <stp/>
        <stp>BDH|11420861046218406238</stp>
        <tr r="S87" s="17"/>
      </tp>
      <tp t="e">
        <v>#N/A</v>
        <stp/>
        <stp>BDH|15601356855462299672</stp>
        <tr r="E66" s="13"/>
      </tp>
      <tp t="e">
        <v>#N/A</v>
        <stp/>
        <stp>BDH|14818180722310182002</stp>
        <tr r="X32" s="29"/>
        <tr r="V34" s="5"/>
      </tp>
      <tp t="e">
        <v>#N/A</v>
        <stp/>
        <stp>BDH|13214776162897258262</stp>
        <tr r="Y31" s="13"/>
        <tr r="W34" s="10"/>
        <tr r="W23" s="11"/>
        <tr r="W45" s="4"/>
      </tp>
      <tp t="e">
        <v>#N/A</v>
        <stp/>
        <stp>BDH|17058032083998445072</stp>
        <tr r="D71" s="10"/>
      </tp>
      <tp t="e">
        <v>#N/A</v>
        <stp/>
        <stp>BDH|17068134718415188596</stp>
        <tr r="T100" s="12"/>
      </tp>
      <tp t="e">
        <v>#N/A</v>
        <stp/>
        <stp>BDH|15897890865068521424</stp>
        <tr r="R8" s="12"/>
      </tp>
      <tp t="e">
        <v>#N/A</v>
        <stp/>
        <stp>BDH|11841777338713637128</stp>
        <tr r="J9" s="27"/>
      </tp>
      <tp t="e">
        <v>#N/A</v>
        <stp/>
        <stp>BDH|14360894073885214985</stp>
        <tr r="H66" s="21"/>
      </tp>
      <tp t="e">
        <v>#N/A</v>
        <stp/>
        <stp>BDH|13791723513082668032</stp>
        <tr r="P16" s="12"/>
      </tp>
      <tp t="e">
        <v>#N/A</v>
        <stp/>
        <stp>BDH|10398438246441539608</stp>
        <tr r="O13" s="28"/>
        <tr r="O95" s="17"/>
      </tp>
      <tp t="e">
        <v>#N/A</v>
        <stp/>
        <stp>BDH|14961485351142597065</stp>
        <tr r="J100" s="18"/>
      </tp>
      <tp t="e">
        <v>#N/A</v>
        <stp/>
        <stp>BDH|14268916794494595713</stp>
        <tr r="X20" s="29"/>
      </tp>
      <tp t="e">
        <v>#N/A</v>
        <stp/>
        <stp>BDH|17833916483124897513</stp>
        <tr r="T146" s="18"/>
      </tp>
      <tp t="e">
        <v>#N/A</v>
        <stp/>
        <stp>BDH|18277065884380684754</stp>
        <tr r="C52" s="17"/>
      </tp>
      <tp t="e">
        <v>#N/A</v>
        <stp/>
        <stp>BDH|12578914746710260831</stp>
        <tr r="Q23" s="20"/>
      </tp>
      <tp t="e">
        <v>#N/A</v>
        <stp/>
        <stp>BDH|13867502565674682389</stp>
        <tr r="J41" s="22"/>
      </tp>
      <tp t="e">
        <v>#N/A</v>
        <stp/>
        <stp>BDH|13126648730889027862</stp>
        <tr r="S35" s="4"/>
      </tp>
      <tp t="e">
        <v>#N/A</v>
        <stp/>
        <stp>BDH|11235506771973187716</stp>
        <tr r="U95" s="18"/>
      </tp>
      <tp t="e">
        <v>#N/A</v>
        <stp/>
        <stp>BDH|12989500140962870627</stp>
        <tr r="X25" s="12"/>
      </tp>
      <tp t="e">
        <v>#N/A</v>
        <stp/>
        <stp>BDH|14472546114494620316</stp>
        <tr r="F20" s="23"/>
      </tp>
      <tp t="e">
        <v>#N/A</v>
        <stp/>
        <stp>BDH|14376050334650946084</stp>
        <tr r="X20" s="25"/>
      </tp>
      <tp t="e">
        <v>#N/A</v>
        <stp/>
        <stp>BDH|11240068169374795497</stp>
        <tr r="O63" s="21"/>
      </tp>
      <tp t="e">
        <v>#N/A</v>
        <stp/>
        <stp>BDH|16933571897959823429</stp>
        <tr r="R10" s="29"/>
        <tr r="R25" s="29"/>
        <tr r="R19" s="29"/>
        <tr r="P6" s="9"/>
        <tr r="R12" s="8"/>
        <tr r="Q6" s="2"/>
        <tr r="P6" s="5"/>
      </tp>
      <tp t="e">
        <v>#N/A</v>
        <stp/>
        <stp>BDH|11590265719460119589</stp>
        <tr r="F16" s="20"/>
      </tp>
      <tp t="e">
        <v>#N/A</v>
        <stp/>
        <stp>BDH|16555770723233764751</stp>
        <tr r="J68" s="12"/>
      </tp>
      <tp t="e">
        <v>#N/A</v>
        <stp/>
        <stp>BDH|15350502085146105946</stp>
        <tr r="H34" s="11"/>
        <tr r="H45" s="10"/>
      </tp>
      <tp t="e">
        <v>#N/A</v>
        <stp/>
        <stp>BDH|17222578331635799302</stp>
        <tr r="H13" s="9"/>
      </tp>
      <tp t="e">
        <v>#N/A</v>
        <stp/>
        <stp>BDH|15970274162672816473</stp>
        <tr r="Y68" s="18"/>
      </tp>
      <tp t="e">
        <v>#N/A</v>
        <stp/>
        <stp>BDH|16759953149839099580</stp>
        <tr r="X11" s="30"/>
      </tp>
      <tp t="e">
        <v>#N/A</v>
        <stp/>
        <stp>BDH|14989684752650091005</stp>
        <tr r="G47" s="13"/>
      </tp>
      <tp t="e">
        <v>#N/A</v>
        <stp/>
        <stp>BDH|14335531821212239606</stp>
        <tr r="U7" s="4"/>
      </tp>
      <tp t="e">
        <v>#N/A</v>
        <stp/>
        <stp>BDH|17441406605127713357</stp>
        <tr r="Q52" s="34"/>
      </tp>
      <tp t="e">
        <v>#N/A</v>
        <stp/>
        <stp>BDH|12423648554911425734</stp>
        <tr r="D36" s="22"/>
      </tp>
      <tp t="e">
        <v>#N/A</v>
        <stp/>
        <stp>BDH|12599632046934464370</stp>
        <tr r="X61" s="11"/>
      </tp>
      <tp t="e">
        <v>#N/A</v>
        <stp/>
        <stp>BDH|12848254520716755396</stp>
        <tr r="Y36" s="26"/>
      </tp>
      <tp t="e">
        <v>#N/A</v>
        <stp/>
        <stp>BDH|17527631233470472524</stp>
        <tr r="F32" s="21"/>
      </tp>
      <tp t="e">
        <v>#N/A</v>
        <stp/>
        <stp>BDH|17131464122911364743</stp>
        <tr r="O56" s="13"/>
      </tp>
      <tp t="e">
        <v>#N/A</v>
        <stp/>
        <stp>BDH|12386045735062351433</stp>
        <tr r="X32" s="22"/>
      </tp>
      <tp t="e">
        <v>#N/A</v>
        <stp/>
        <stp>BDH|18068079172181622917</stp>
        <tr r="W36" s="18"/>
      </tp>
      <tp t="e">
        <v>#N/A</v>
        <stp/>
        <stp>BDH|18077210363239694267</stp>
        <tr r="C21" s="20"/>
      </tp>
      <tp t="e">
        <v>#N/A</v>
        <stp/>
        <stp>BDH|13046572047903711654</stp>
        <tr r="M21" s="11"/>
      </tp>
      <tp t="e">
        <v>#N/A</v>
        <stp/>
        <stp>BDH|15773125846882660576</stp>
        <tr r="I29" s="24"/>
      </tp>
      <tp t="e">
        <v>#N/A</v>
        <stp/>
        <stp>BDH|15460359418707909721</stp>
        <tr r="G42" s="21"/>
      </tp>
      <tp t="e">
        <v>#N/A</v>
        <stp/>
        <stp>BDH|13556969154481243975</stp>
        <tr r="E29" s="9"/>
      </tp>
      <tp t="e">
        <v>#N/A</v>
        <stp/>
        <stp>BDH|11364753274097759179</stp>
        <tr r="Q22" s="9"/>
      </tp>
      <tp t="e">
        <v>#N/A</v>
        <stp/>
        <stp>BDH|11385321146675621434</stp>
        <tr r="D11" s="6"/>
      </tp>
      <tp t="e">
        <v>#N/A</v>
        <stp/>
        <stp>BDH|16070373259786892145</stp>
        <tr r="M8" s="27"/>
      </tp>
      <tp t="e">
        <v>#N/A</v>
        <stp/>
        <stp>BDH|10813223289058151508</stp>
        <tr r="C29" s="29"/>
        <tr r="C7" s="29"/>
      </tp>
      <tp t="e">
        <v>#N/A</v>
        <stp/>
        <stp>BDH|17247635323650801488</stp>
        <tr r="U31" s="13"/>
        <tr r="S23" s="11"/>
        <tr r="S34" s="10"/>
        <tr r="S45" s="4"/>
      </tp>
      <tp t="e">
        <v>#N/A</v>
        <stp/>
        <stp>BDH|16663319713801588231</stp>
        <tr r="I13" s="5"/>
      </tp>
      <tp t="e">
        <v>#N/A</v>
        <stp/>
        <stp>BDH|14243519742187554567</stp>
        <tr r="H7" s="9"/>
        <tr r="I7" s="2"/>
        <tr r="H7" s="5"/>
        <tr r="K14" s="3"/>
      </tp>
      <tp t="e">
        <v>#N/A</v>
        <stp/>
        <stp>BDH|17920728119306164012</stp>
        <tr r="Z25" s="24"/>
      </tp>
      <tp t="e">
        <v>#N/A</v>
        <stp/>
        <stp>BDH|15635268006339320977</stp>
        <tr r="S12" s="22"/>
      </tp>
      <tp t="e">
        <v>#N/A</v>
        <stp/>
        <stp>BDH|13628235696477383827</stp>
        <tr r="U28" s="22"/>
      </tp>
      <tp t="e">
        <v>#N/A</v>
        <stp/>
        <stp>BDH|12976404157874565091</stp>
        <tr r="J43" s="21"/>
      </tp>
      <tp t="e">
        <v>#N/A</v>
        <stp/>
        <stp>BDH|12947458764562876522</stp>
        <tr r="T66" s="13"/>
      </tp>
      <tp t="e">
        <v>#N/A</v>
        <stp/>
        <stp>BDH|17215699278876790765</stp>
        <tr r="S14" s="8"/>
      </tp>
      <tp t="e">
        <v>#N/A</v>
        <stp/>
        <stp>BDH|17744056976723755413</stp>
        <tr r="C49" s="4"/>
      </tp>
      <tp t="e">
        <v>#N/A</v>
        <stp/>
        <stp>BDH|15711178137372493210</stp>
        <tr r="C85" s="12"/>
      </tp>
      <tp t="e">
        <v>#N/A</v>
        <stp/>
        <stp>BDH|12193706625373395356</stp>
        <tr r="D27" s="12"/>
      </tp>
      <tp t="e">
        <v>#N/A</v>
        <stp/>
        <stp>BDH|13375456752272415721</stp>
        <tr r="I93" s="17"/>
      </tp>
      <tp t="e">
        <v>#N/A</v>
        <stp/>
        <stp>BDH|14720824267099270423</stp>
        <tr r="D48" s="17"/>
      </tp>
      <tp t="e">
        <v>#N/A</v>
        <stp/>
        <stp>BDH|12329208937357390352</stp>
        <tr r="Y32" s="17"/>
      </tp>
      <tp t="e">
        <v>#N/A</v>
        <stp/>
        <stp>BDH|10802022788296483949</stp>
        <tr r="Z19" s="24"/>
      </tp>
      <tp t="e">
        <v>#N/A</v>
        <stp/>
        <stp>BDH|11370837996066054144</stp>
        <tr r="S72" s="18"/>
      </tp>
      <tp t="e">
        <v>#N/A</v>
        <stp/>
        <stp>BDH|12763668243916345132</stp>
        <tr r="Q21" s="11"/>
      </tp>
      <tp t="e">
        <v>#N/A</v>
        <stp/>
        <stp>BDH|11297482307325701789</stp>
        <tr r="L62" s="17"/>
      </tp>
      <tp t="e">
        <v>#N/A</v>
        <stp/>
        <stp>BDH|12051790310432930123</stp>
        <tr r="E77" s="12"/>
      </tp>
      <tp t="e">
        <v>#N/A</v>
        <stp/>
        <stp>BDH|11516173732632542671</stp>
        <tr r="S43" s="6"/>
      </tp>
      <tp t="e">
        <v>#N/A</v>
        <stp/>
        <stp>BDH|11573058465550526028</stp>
        <tr r="O20" s="10"/>
      </tp>
      <tp t="e">
        <v>#N/A</v>
        <stp/>
        <stp>BDH|15014931456128715600</stp>
        <tr r="H32" s="11"/>
        <tr r="H43" s="10"/>
      </tp>
      <tp t="e">
        <v>#N/A</v>
        <stp/>
        <stp>BDH|13538986073169843347</stp>
        <tr r="T54" s="12"/>
      </tp>
      <tp t="e">
        <v>#N/A</v>
        <stp/>
        <stp>BDH|16111756725675244112</stp>
        <tr r="E107" s="18"/>
      </tp>
      <tp t="e">
        <v>#N/A</v>
        <stp/>
        <stp>BDH|17071186708572567375</stp>
        <tr r="V15" s="18"/>
      </tp>
      <tp t="e">
        <v>#N/A</v>
        <stp/>
        <stp>BDH|16687183034232189197</stp>
        <tr r="J54" s="17"/>
        <tr r="J17" s="3"/>
      </tp>
      <tp t="e">
        <v>#N/A</v>
        <stp/>
        <stp>BDH|11583578529485876415</stp>
        <tr r="T12" s="21"/>
      </tp>
      <tp t="e">
        <v>#N/A</v>
        <stp/>
        <stp>BDH|13326080578296432556</stp>
        <tr r="F95" s="12"/>
      </tp>
      <tp t="e">
        <v>#N/A</v>
        <stp/>
        <stp>BDH|13968279168759687925</stp>
        <tr r="E15" s="11"/>
      </tp>
      <tp t="e">
        <v>#N/A</v>
        <stp/>
        <stp>BDH|14045287064143835464</stp>
        <tr r="U20" s="29"/>
      </tp>
      <tp t="e">
        <v>#N/A</v>
        <stp/>
        <stp>BDH|14918170229944789425</stp>
        <tr r="K34" s="12"/>
      </tp>
      <tp t="e">
        <v>#N/A</v>
        <stp/>
        <stp>BDH|15710657426863385553</stp>
        <tr r="N16" s="27"/>
        <tr r="N34" s="25"/>
      </tp>
      <tp t="e">
        <v>#N/A</v>
        <stp/>
        <stp>BDH|15243421022636114216</stp>
        <tr r="Y10" s="14"/>
      </tp>
      <tp t="e">
        <v>#N/A</v>
        <stp/>
        <stp>BDH|10863010876657869752</stp>
        <tr r="R18" s="22"/>
      </tp>
      <tp t="e">
        <v>#N/A</v>
        <stp/>
        <stp>BDH|14323067323327553617</stp>
        <tr r="D7" s="17"/>
      </tp>
      <tp t="e">
        <v>#N/A</v>
        <stp/>
        <stp>BDH|17120394376095297194</stp>
        <tr r="O43" s="21"/>
      </tp>
      <tp t="e">
        <v>#N/A</v>
        <stp/>
        <stp>BDH|12696751072731729436</stp>
        <tr r="H37" s="17"/>
      </tp>
      <tp t="e">
        <v>#N/A</v>
        <stp/>
        <stp>BDH|11439713803989057836</stp>
        <tr r="X9" s="18"/>
      </tp>
      <tp t="e">
        <v>#N/A</v>
        <stp/>
        <stp>BDH|13275987999423085766</stp>
        <tr r="T21" s="9"/>
        <tr r="T23" s="5"/>
      </tp>
      <tp t="e">
        <v>#N/A</v>
        <stp/>
        <stp>BDH|16691669317211502778</stp>
        <tr r="N75" s="24"/>
      </tp>
      <tp t="e">
        <v>#N/A</v>
        <stp/>
        <stp>BDH|10557862145058143329</stp>
        <tr r="K29" s="4"/>
      </tp>
      <tp t="e">
        <v>#N/A</v>
        <stp/>
        <stp>BDH|18030400070605380967</stp>
        <tr r="K39" s="18"/>
      </tp>
      <tp t="e">
        <v>#N/A</v>
        <stp/>
        <stp>BDH|17026729318205716382</stp>
        <tr r="C45" s="11"/>
        <tr r="C56" s="10"/>
        <tr r="C16" s="7"/>
      </tp>
      <tp t="e">
        <v>#N/A</v>
        <stp/>
        <stp>BDH|10601484138372669259</stp>
        <tr r="Z33" s="22"/>
      </tp>
      <tp t="e">
        <v>#N/A</v>
        <stp/>
        <stp>BDH|14922585471706388760</stp>
        <tr r="C18" s="9"/>
      </tp>
      <tp t="e">
        <v>#N/A</v>
        <stp/>
        <stp>BDH|12045149173063603045</stp>
        <tr r="W9" s="24"/>
      </tp>
      <tp t="e">
        <v>#N/A</v>
        <stp/>
        <stp>BDH|13423212965828674830</stp>
        <tr r="L65" s="11"/>
        <tr r="L76" s="10"/>
      </tp>
      <tp t="e">
        <v>#N/A</v>
        <stp/>
        <stp>BDH|13405939982287071203</stp>
        <tr r="G20" s="25"/>
      </tp>
      <tp t="e">
        <v>#N/A</v>
        <stp/>
        <stp>BDH|17641140746940327520</stp>
        <tr r="Z6" s="27"/>
      </tp>
      <tp t="e">
        <v>#N/A</v>
        <stp/>
        <stp>BDH|11492782804635815452</stp>
        <tr r="V10" s="34"/>
      </tp>
      <tp t="e">
        <v>#N/A</v>
        <stp/>
        <stp>BDH|16846080689858442186</stp>
        <tr r="S25" s="17"/>
      </tp>
      <tp t="e">
        <v>#N/A</v>
        <stp/>
        <stp>BDH|18380606933393356966</stp>
        <tr r="AA174" s="18"/>
      </tp>
      <tp t="e">
        <v>#N/A</v>
        <stp/>
        <stp>BDH|15897616620132946457</stp>
        <tr r="U62" s="12"/>
      </tp>
      <tp t="e">
        <v>#N/A</v>
        <stp/>
        <stp>BDH|13283287998096015973</stp>
        <tr r="V10" s="10"/>
      </tp>
      <tp t="e">
        <v>#N/A</v>
        <stp/>
        <stp>BDH|12318100836300163719</stp>
        <tr r="M17" s="29"/>
        <tr r="M40" s="29"/>
      </tp>
      <tp t="e">
        <v>#N/A</v>
        <stp/>
        <stp>BDH|12923219118471318762</stp>
        <tr r="R171" s="18"/>
      </tp>
      <tp t="e">
        <v>#N/A</v>
        <stp/>
        <stp>BDH|16536802435208180247</stp>
        <tr r="G16" s="23"/>
      </tp>
      <tp t="e">
        <v>#N/A</v>
        <stp/>
        <stp>BDH|13022368651997371517</stp>
        <tr r="W19" s="9"/>
      </tp>
      <tp t="e">
        <v>#N/A</v>
        <stp/>
        <stp>BDH|16891344587099961378</stp>
        <tr r="L156" s="18"/>
      </tp>
      <tp t="e">
        <v>#N/A</v>
        <stp/>
        <stp>BDH|17760059947887214325</stp>
        <tr r="N8" s="21"/>
      </tp>
      <tp t="e">
        <v>#N/A</v>
        <stp/>
        <stp>BDH|14318439030141585503</stp>
        <tr r="J17" s="20"/>
      </tp>
      <tp t="e">
        <v>#N/A</v>
        <stp/>
        <stp>BDH|14483369875024455365</stp>
        <tr r="H22" s="7"/>
      </tp>
      <tp t="e">
        <v>#N/A</v>
        <stp/>
        <stp>BDH|16713475062950642318</stp>
        <tr r="E33" s="12"/>
      </tp>
      <tp t="e">
        <v>#N/A</v>
        <stp/>
        <stp>BDH|10809217874766122492</stp>
        <tr r="M18" s="17"/>
      </tp>
      <tp t="e">
        <v>#N/A</v>
        <stp/>
        <stp>BDH|10042586661615451181</stp>
        <tr r="D16" s="28"/>
        <tr r="D13" s="17"/>
      </tp>
      <tp t="e">
        <v>#N/A</v>
        <stp/>
        <stp>BDH|16640379322222785210</stp>
        <tr r="K37" s="22"/>
      </tp>
      <tp t="e">
        <v>#N/A</v>
        <stp/>
        <stp>BDH|10608471247454778345</stp>
        <tr r="X16" s="10"/>
      </tp>
      <tp t="e">
        <v>#N/A</v>
        <stp/>
        <stp>BDH|13617613075160740500</stp>
        <tr r="T10" s="14"/>
      </tp>
      <tp t="e">
        <v>#N/A</v>
        <stp/>
        <stp>BDH|15805637509485109165</stp>
        <tr r="C128" s="18"/>
      </tp>
      <tp t="e">
        <v>#N/A</v>
        <stp/>
        <stp>BDH|18069921096809098610</stp>
        <tr r="Z35" s="26"/>
        <tr r="W14" s="9"/>
      </tp>
      <tp t="e">
        <v>#N/A</v>
        <stp/>
        <stp>BDH|14805146524610464093</stp>
        <tr r="Z127" s="18"/>
      </tp>
      <tp t="e">
        <v>#N/A</v>
        <stp/>
        <stp>BDH|11064922592226719023</stp>
        <tr r="S52" s="13"/>
      </tp>
      <tp t="e">
        <v>#N/A</v>
        <stp/>
        <stp>BDH|17573843295178530942</stp>
        <tr r="H14" s="21"/>
      </tp>
      <tp t="e">
        <v>#N/A</v>
        <stp/>
        <stp>BDH|12223422773516715010</stp>
        <tr r="U25" s="12"/>
      </tp>
      <tp t="e">
        <v>#N/A</v>
        <stp/>
        <stp>BDH|13802486281761633939</stp>
        <tr r="Z50" s="13"/>
      </tp>
      <tp t="e">
        <v>#N/A</v>
        <stp/>
        <stp>BDH|15069035267492887684</stp>
        <tr r="H12" s="27"/>
        <tr r="H30" s="25"/>
      </tp>
      <tp t="e">
        <v>#N/A</v>
        <stp/>
        <stp>BDH|14636139625051264167</stp>
        <tr r="V42" s="24"/>
      </tp>
      <tp t="e">
        <v>#N/A</v>
        <stp/>
        <stp>BDH|16052524009954626091</stp>
        <tr r="R27" s="7"/>
      </tp>
      <tp t="e">
        <v>#N/A</v>
        <stp/>
        <stp>BDH|11230023141771068358</stp>
        <tr r="E153" s="18"/>
      </tp>
      <tp t="e">
        <v>#N/A</v>
        <stp/>
        <stp>BDH|16168463857397670728</stp>
        <tr r="D72" s="10"/>
      </tp>
      <tp t="e">
        <v>#N/A</v>
        <stp/>
        <stp>BDH|10598411694518158251</stp>
        <tr r="C41" s="26"/>
      </tp>
      <tp t="e">
        <v>#N/A</v>
        <stp/>
        <stp>BDH|11526276135545692251</stp>
        <tr r="Y162" s="18"/>
      </tp>
      <tp t="e">
        <v>#N/A</v>
        <stp/>
        <stp>BDH|14884585142405076767</stp>
        <tr r="E57" s="6"/>
      </tp>
      <tp t="e">
        <v>#N/A</v>
        <stp/>
        <stp>BDH|10613448807587046410</stp>
        <tr r="T124" s="18"/>
      </tp>
      <tp t="e">
        <v>#N/A</v>
        <stp/>
        <stp>BDH|11895880097563316405</stp>
        <tr r="J28" s="21"/>
      </tp>
      <tp t="e">
        <v>#N/A</v>
        <stp/>
        <stp>BDH|16747516250329302819</stp>
        <tr r="S18" s="20"/>
      </tp>
      <tp t="e">
        <v>#N/A</v>
        <stp/>
        <stp>BDH|11372839197346510164</stp>
        <tr r="Y61" s="24"/>
      </tp>
      <tp t="e">
        <v>#N/A</v>
        <stp/>
        <stp>BDH|18312739462829116779</stp>
        <tr r="D50" s="18"/>
      </tp>
      <tp t="e">
        <v>#N/A</v>
        <stp/>
        <stp>BDH|10079007475968875891</stp>
        <tr r="T120" s="18"/>
      </tp>
      <tp t="e">
        <v>#N/A</v>
        <stp/>
        <stp>BDH|15186196592728934275</stp>
        <tr r="L33" s="17"/>
      </tp>
      <tp t="e">
        <v>#N/A</v>
        <stp/>
        <stp>BDH|13594443018332568381</stp>
        <tr r="P35" s="21"/>
      </tp>
      <tp t="e">
        <v>#N/A</v>
        <stp/>
        <stp>BDH|15378053542113285523</stp>
        <tr r="Z18" s="20"/>
      </tp>
      <tp t="e">
        <v>#N/A</v>
        <stp/>
        <stp>BDH|17921095031323330069</stp>
        <tr r="S29" s="14"/>
      </tp>
      <tp t="e">
        <v>#N/A</v>
        <stp/>
        <stp>BDH|12762208850732157021</stp>
        <tr r="K20" s="17"/>
      </tp>
      <tp t="e">
        <v>#N/A</v>
        <stp/>
        <stp>BDH|15546620995028215548</stp>
        <tr r="F32" s="26"/>
      </tp>
      <tp t="e">
        <v>#N/A</v>
        <stp/>
        <stp>BDH|16179562455115696401</stp>
        <tr r="Q160" s="18"/>
      </tp>
      <tp t="e">
        <v>#N/A</v>
        <stp/>
        <stp>BDH|13015055609171071581</stp>
        <tr r="D23" s="26"/>
      </tp>
      <tp t="e">
        <v>#N/A</v>
        <stp/>
        <stp>BDH|10582646550672594602</stp>
        <tr r="O64" s="21"/>
        <tr r="M23" s="7"/>
      </tp>
      <tp t="e">
        <v>#N/A</v>
        <stp/>
        <stp>BDH|14941474704197934070</stp>
        <tr r="T15" s="24"/>
      </tp>
      <tp t="e">
        <v>#N/A</v>
        <stp/>
        <stp>BDH|14267445052044472646</stp>
        <tr r="C55" s="12"/>
      </tp>
      <tp t="e">
        <v>#N/A</v>
        <stp/>
        <stp>BDH|17439480342195362596</stp>
        <tr r="D29" s="34"/>
      </tp>
      <tp t="e">
        <v>#N/A</v>
        <stp/>
        <stp>BDH|11146761228303956021</stp>
        <tr r="E68" s="12"/>
      </tp>
      <tp t="e">
        <v>#N/A</v>
        <stp/>
        <stp>BDH|14749969036950541961</stp>
        <tr r="W36" s="21"/>
        <tr r="W24" s="3"/>
      </tp>
      <tp t="e">
        <v>#N/A</v>
        <stp/>
        <stp>BDH|12966167914826792381</stp>
        <tr r="L64" s="18"/>
      </tp>
      <tp t="e">
        <v>#N/A</v>
        <stp/>
        <stp>BDH|13748063634661209630</stp>
        <tr r="Y22" s="14"/>
      </tp>
      <tp t="e">
        <v>#N/A</v>
        <stp/>
        <stp>BDH|15412275242393344763</stp>
        <tr r="I60" s="13"/>
        <tr r="G48" s="11"/>
        <tr r="G59" s="10"/>
        <tr r="I10" s="3"/>
        <tr r="G17" s="7"/>
        <tr r="G17" s="4"/>
      </tp>
      <tp t="e">
        <v>#N/A</v>
        <stp/>
        <stp>BDH|12259551323535977796</stp>
        <tr r="O53" s="12"/>
      </tp>
      <tp t="e">
        <v>#N/A</v>
        <stp/>
        <stp>BDH|16531331870234563176</stp>
        <tr r="S67" s="17"/>
      </tp>
      <tp t="e">
        <v>#N/A</v>
        <stp/>
        <stp>BDH|11834652308069219930</stp>
        <tr r="Y68" s="13"/>
      </tp>
      <tp t="e">
        <v>#N/A</v>
        <stp/>
        <stp>BDH|16150036972003341577</stp>
        <tr r="R28" s="22"/>
      </tp>
      <tp t="e">
        <v>#N/A</v>
        <stp/>
        <stp>BDH|12958465565273734496</stp>
        <tr r="J32" s="5"/>
      </tp>
      <tp t="e">
        <v>#N/A</v>
        <stp/>
        <stp>BDH|17693402269787387583</stp>
        <tr r="C30" s="14"/>
      </tp>
      <tp t="e">
        <v>#N/A</v>
        <stp/>
        <stp>BDH|11252908480412380556</stp>
        <tr r="G29" s="34"/>
      </tp>
      <tp t="e">
        <v>#N/A</v>
        <stp/>
        <stp>BDH|16628612623241169413</stp>
        <tr r="M21" s="18"/>
      </tp>
      <tp t="e">
        <v>#N/A</v>
        <stp/>
        <stp>BDH|12966727245741952734</stp>
        <tr r="X35" s="17"/>
      </tp>
      <tp t="e">
        <v>#N/A</v>
        <stp/>
        <stp>BDH|13847072716981984441</stp>
        <tr r="Y31" s="26"/>
      </tp>
      <tp t="e">
        <v>#N/A</v>
        <stp/>
        <stp>BDH|10457658839432595095</stp>
        <tr r="P143" s="18"/>
      </tp>
      <tp t="e">
        <v>#N/A</v>
        <stp/>
        <stp>BDH|15162956205473446815</stp>
        <tr r="O100" s="18"/>
      </tp>
      <tp t="e">
        <v>#N/A</v>
        <stp/>
        <stp>BDH|11397339671607038551</stp>
        <tr r="AA8" s="25"/>
        <tr r="X10" s="5"/>
        <tr r="Y9" s="2"/>
      </tp>
      <tp t="e">
        <v>#N/A</v>
        <stp/>
        <stp>BDH|11978272132601805638</stp>
        <tr r="N63" s="17"/>
      </tp>
      <tp t="e">
        <v>#N/A</v>
        <stp/>
        <stp>BDH|13616655149126579089</stp>
        <tr r="Y30" s="14"/>
      </tp>
      <tp t="e">
        <v>#N/A</v>
        <stp/>
        <stp>BDH|14498076401397338467</stp>
        <tr r="K39" s="25"/>
      </tp>
      <tp t="e">
        <v>#N/A</v>
        <stp/>
        <stp>BDH|13665500343367348219</stp>
        <tr r="V39" s="6"/>
      </tp>
      <tp t="e">
        <v>#N/A</v>
        <stp/>
        <stp>BDH|14090073252367470166</stp>
        <tr r="I32" s="18"/>
      </tp>
      <tp t="e">
        <v>#N/A</v>
        <stp/>
        <stp>BDH|17250783666764900529</stp>
        <tr r="C154" s="18"/>
      </tp>
      <tp t="e">
        <v>#N/A</v>
        <stp/>
        <stp>BDH|11145408575332498779</stp>
        <tr r="U46" s="22"/>
      </tp>
      <tp t="e">
        <v>#N/A</v>
        <stp/>
        <stp>BDH|17186671264112300267</stp>
        <tr r="V14" s="23"/>
      </tp>
      <tp t="e">
        <v>#N/A</v>
        <stp/>
        <stp>BDH|11511400734698588930</stp>
        <tr r="F43" s="18"/>
      </tp>
      <tp t="e">
        <v>#N/A</v>
        <stp/>
        <stp>BDH|12049708120012277256</stp>
        <tr r="L46" s="17"/>
      </tp>
      <tp t="e">
        <v>#N/A</v>
        <stp/>
        <stp>BDH|13286431301588764807</stp>
        <tr r="T167" s="18"/>
      </tp>
      <tp t="e">
        <v>#N/A</v>
        <stp/>
        <stp>BDH|16249108712213064275</stp>
        <tr r="C19" s="6"/>
      </tp>
      <tp t="e">
        <v>#N/A</v>
        <stp/>
        <stp>BDH|10614100309177083185</stp>
        <tr r="D11" s="20"/>
        <tr r="D116" s="18"/>
      </tp>
      <tp t="e">
        <v>#N/A</v>
        <stp/>
        <stp>BDH|12755765376493490641</stp>
        <tr r="AA77" s="17"/>
      </tp>
      <tp t="e">
        <v>#N/A</v>
        <stp/>
        <stp>BDH|10438849732945070958</stp>
        <tr r="X40" s="12"/>
      </tp>
      <tp t="e">
        <v>#N/A</v>
        <stp/>
        <stp>BDH|17977888179129711683</stp>
        <tr r="Z76" s="24"/>
      </tp>
      <tp t="e">
        <v>#N/A</v>
        <stp/>
        <stp>BDH|13486437048062947617</stp>
        <tr r="C49" s="18"/>
      </tp>
      <tp t="e">
        <v>#N/A</v>
        <stp/>
        <stp>BDH|16015731524611782572</stp>
        <tr r="R108" s="18"/>
      </tp>
      <tp t="e">
        <v>#N/A</v>
        <stp/>
        <stp>BDH|17330765453576732463</stp>
        <tr r="Z12" s="25"/>
      </tp>
      <tp t="e">
        <v>#N/A</v>
        <stp/>
        <stp>BDH|13508655734562550367</stp>
        <tr r="M38" s="26"/>
      </tp>
      <tp t="e">
        <v>#N/A</v>
        <stp/>
        <stp>BDH|17098251096869645225</stp>
        <tr r="O20" s="21"/>
      </tp>
      <tp t="e">
        <v>#N/A</v>
        <stp/>
        <stp>BDH|17541346797759012315</stp>
        <tr r="N12" s="24"/>
      </tp>
      <tp t="e">
        <v>#N/A</v>
        <stp/>
        <stp>BDH|17867509733935926354</stp>
        <tr r="L54" s="34"/>
      </tp>
      <tp t="e">
        <v>#N/A</v>
        <stp/>
        <stp>BDH|10877297292099433504</stp>
        <tr r="F57" s="12"/>
      </tp>
      <tp t="e">
        <v>#N/A</v>
        <stp/>
        <stp>BDH|16159835452475122961</stp>
        <tr r="H42" s="21"/>
      </tp>
      <tp t="e">
        <v>#N/A</v>
        <stp/>
        <stp>BDH|14282858045276525907</stp>
        <tr r="U34" s="11"/>
        <tr r="U45" s="10"/>
      </tp>
      <tp t="e">
        <v>#N/A</v>
        <stp/>
        <stp>BDH|12636657054016174014</stp>
        <tr r="P20" s="17"/>
      </tp>
      <tp t="e">
        <v>#N/A</v>
        <stp/>
        <stp>BDH|14379881480023997059</stp>
        <tr r="K18" s="14"/>
      </tp>
      <tp t="e">
        <v>#N/A</v>
        <stp/>
        <stp>BDH|15378824927308134005</stp>
        <tr r="P93" s="12"/>
      </tp>
      <tp t="e">
        <v>#N/A</v>
        <stp/>
        <stp>BDH|12280889255039946113</stp>
        <tr r="AA23" s="23"/>
      </tp>
      <tp t="e">
        <v>#N/A</v>
        <stp/>
        <stp>BDH|14140042400574132736</stp>
        <tr r="J12" s="20"/>
        <tr r="J117" s="18"/>
      </tp>
      <tp t="e">
        <v>#N/A</v>
        <stp/>
        <stp>BDH|11388004790948254765</stp>
        <tr r="D8" s="17"/>
      </tp>
      <tp t="e">
        <v>#N/A</v>
        <stp/>
        <stp>BDH|14647677932034074241</stp>
        <tr r="X21" s="4"/>
      </tp>
      <tp t="e">
        <v>#N/A</v>
        <stp/>
        <stp>BDH|17595099860204918226</stp>
        <tr r="E8" s="25"/>
        <tr r="C9" s="2"/>
      </tp>
      <tp t="e">
        <v>#N/A</v>
        <stp/>
        <stp>BDH|11436472040472362468</stp>
        <tr r="K60" s="17"/>
      </tp>
      <tp t="e">
        <v>#N/A</v>
        <stp/>
        <stp>BDH|13183101580118305543</stp>
        <tr r="X45" s="18"/>
      </tp>
      <tp t="e">
        <v>#N/A</v>
        <stp/>
        <stp>BDH|10740823305368289746</stp>
        <tr r="P43" s="18"/>
      </tp>
      <tp t="e">
        <v>#N/A</v>
        <stp/>
        <stp>BDH|13693916706979298455</stp>
        <tr r="V24" s="17"/>
      </tp>
      <tp t="e">
        <v>#N/A</v>
        <stp/>
        <stp>BDH|18115038645402755962</stp>
        <tr r="E28" s="21"/>
      </tp>
      <tp t="e">
        <v>#N/A</v>
        <stp/>
        <stp>BDH|17262050652841253411</stp>
        <tr r="M51" s="22"/>
      </tp>
      <tp t="e">
        <v>#N/A</v>
        <stp/>
        <stp>BDH|15651568932513470706</stp>
        <tr r="W37" s="24"/>
      </tp>
      <tp t="e">
        <v>#N/A</v>
        <stp/>
        <stp>BDH|15105702702157232279</stp>
        <tr r="O57" s="11"/>
        <tr r="O24" s="4"/>
      </tp>
      <tp t="e">
        <v>#N/A</v>
        <stp/>
        <stp>BDH|11705654154021484445</stp>
        <tr r="N16" s="18"/>
      </tp>
      <tp t="e">
        <v>#N/A</v>
        <stp/>
        <stp>BDH|17601732921993660645</stp>
        <tr r="Y17" s="30"/>
      </tp>
      <tp t="e">
        <v>#N/A</v>
        <stp/>
        <stp>BDH|11276965072020193814</stp>
        <tr r="F18" s="26"/>
      </tp>
      <tp t="e">
        <v>#N/A</v>
        <stp/>
        <stp>BDH|13695401802960796056</stp>
        <tr r="T44" s="24"/>
      </tp>
      <tp t="e">
        <v>#N/A</v>
        <stp/>
        <stp>BDH|18379390317878901522</stp>
        <tr r="X12" s="24"/>
      </tp>
      <tp t="e">
        <v>#N/A</v>
        <stp/>
        <stp>BDH|13398560852637443356</stp>
        <tr r="K36" s="18"/>
      </tp>
      <tp t="e">
        <v>#N/A</v>
        <stp/>
        <stp>BDH|10188697917143071395</stp>
        <tr r="Z144" s="18"/>
      </tp>
      <tp t="e">
        <v>#N/A</v>
        <stp/>
        <stp>BDH|10757323334421564628</stp>
        <tr r="Q17" s="14"/>
      </tp>
      <tp t="e">
        <v>#N/A</v>
        <stp/>
        <stp>BDH|17613413725692119456</stp>
        <tr r="D39" s="21"/>
      </tp>
      <tp t="e">
        <v>#N/A</v>
        <stp/>
        <stp>BDH|18108307284663577764</stp>
        <tr r="N59" s="12"/>
      </tp>
      <tp t="e">
        <v>#N/A</v>
        <stp/>
        <stp>BDH|14575001327777075644</stp>
        <tr r="U34" s="12"/>
      </tp>
      <tp t="e">
        <v>#N/A</v>
        <stp/>
        <stp>BDH|16606720464534013466</stp>
        <tr r="E16" s="34"/>
      </tp>
      <tp t="e">
        <v>#N/A</v>
        <stp/>
        <stp>BDH|14833196657492704570</stp>
        <tr r="AA43" s="22"/>
      </tp>
      <tp t="e">
        <v>#N/A</v>
        <stp/>
        <stp>BDH|17214408111857091259</stp>
        <tr r="V109" s="18"/>
      </tp>
      <tp t="e">
        <v>#N/A</v>
        <stp/>
        <stp>BDH|13544842604665546965</stp>
        <tr r="V11" s="30"/>
      </tp>
      <tp t="e">
        <v>#N/A</v>
        <stp/>
        <stp>BDH|18066750484649424933</stp>
        <tr r="W27" s="11"/>
        <tr r="W38" s="10"/>
      </tp>
      <tp t="e">
        <v>#N/A</v>
        <stp/>
        <stp>BDH|18374065786331156644</stp>
        <tr r="F146" s="18"/>
      </tp>
      <tp t="e">
        <v>#N/A</v>
        <stp/>
        <stp>BDH|10397016288846590999</stp>
        <tr r="N36" s="26"/>
      </tp>
      <tp t="e">
        <v>#N/A</v>
        <stp/>
        <stp>BDH|14899641745396647798</stp>
        <tr r="U8" s="20"/>
        <tr r="U114" s="18"/>
      </tp>
      <tp t="e">
        <v>#N/A</v>
        <stp/>
        <stp>BDH|13858064441753865316</stp>
        <tr r="E89" s="12"/>
      </tp>
      <tp t="e">
        <v>#N/A</v>
        <stp/>
        <stp>BDH|15417890691057941433</stp>
        <tr r="J72" s="18"/>
      </tp>
      <tp t="e">
        <v>#N/A</v>
        <stp/>
        <stp>BDH|11455140327550465550</stp>
        <tr r="N61" s="12"/>
      </tp>
      <tp t="e">
        <v>#N/A</v>
        <stp/>
        <stp>BDH|13791369446176351522</stp>
        <tr r="F24" s="26"/>
      </tp>
      <tp t="e">
        <v>#N/A</v>
        <stp/>
        <stp>BDH|17128038914787595651</stp>
        <tr r="U24" s="17"/>
      </tp>
      <tp t="e">
        <v>#N/A</v>
        <stp/>
        <stp>BDH|11808911180560761787</stp>
        <tr r="Q167" s="18"/>
      </tp>
      <tp t="e">
        <v>#N/A</v>
        <stp/>
        <stp>BDH|14522232252090747451</stp>
        <tr r="F166" s="18"/>
      </tp>
      <tp t="e">
        <v>#N/A</v>
        <stp/>
        <stp>BDH|17795032459946936324</stp>
        <tr r="V19" s="28"/>
        <tr r="V16" s="17"/>
      </tp>
      <tp t="e">
        <v>#N/A</v>
        <stp/>
        <stp>BDH|16178356995478559324</stp>
        <tr r="P35" s="11"/>
        <tr r="P46" s="10"/>
      </tp>
      <tp t="e">
        <v>#N/A</v>
        <stp/>
        <stp>BDH|10156403840032107562</stp>
        <tr r="R130" s="18"/>
      </tp>
      <tp t="e">
        <v>#N/A</v>
        <stp/>
        <stp>BDH|16080322624623314339</stp>
        <tr r="K7" s="24"/>
      </tp>
      <tp t="e">
        <v>#N/A</v>
        <stp/>
        <stp>BDH|11716117000915734287</stp>
        <tr r="Q50" s="34"/>
      </tp>
      <tp t="e">
        <v>#N/A</v>
        <stp/>
        <stp>BDH|15764537111550885646</stp>
        <tr r="P29" s="12"/>
      </tp>
      <tp t="e">
        <v>#N/A</v>
        <stp/>
        <stp>BDH|14529383125402843098</stp>
        <tr r="P36" s="29"/>
        <tr r="P13" s="29"/>
        <tr r="P22" s="29"/>
      </tp>
      <tp t="e">
        <v>#N/A</v>
        <stp/>
        <stp>BDH|17235639504996893043</stp>
        <tr r="AA15" s="14"/>
      </tp>
      <tp t="e">
        <v>#N/A</v>
        <stp/>
        <stp>BDH|12488466187681988858</stp>
        <tr r="K62" s="24"/>
      </tp>
      <tp t="e">
        <v>#N/A</v>
        <stp/>
        <stp>BDH|12641492376201856789</stp>
        <tr r="T16" s="22"/>
      </tp>
      <tp t="e">
        <v>#N/A</v>
        <stp/>
        <stp>BDH|14904705400290094401</stp>
        <tr r="N23" s="13"/>
      </tp>
      <tp t="e">
        <v>#N/A</v>
        <stp/>
        <stp>BDH|15207084801854114632</stp>
        <tr r="R139" s="18"/>
      </tp>
      <tp t="e">
        <v>#N/A</v>
        <stp/>
        <stp>BDH|12051945558679198041</stp>
        <tr r="J80" s="12"/>
      </tp>
      <tp t="e">
        <v>#N/A</v>
        <stp/>
        <stp>BDH|17183844899826294770</stp>
        <tr r="Y11" s="29"/>
      </tp>
      <tp t="e">
        <v>#N/A</v>
        <stp/>
        <stp>BDH|15506979447459812641</stp>
        <tr r="J44" s="12"/>
      </tp>
      <tp t="e">
        <v>#N/A</v>
        <stp/>
        <stp>BDH|11519702179215759328</stp>
        <tr r="E50" s="22"/>
      </tp>
      <tp t="e">
        <v>#N/A</v>
        <stp/>
        <stp>BDH|15095667368130755206</stp>
        <tr r="X21" s="9"/>
        <tr r="X23" s="5"/>
      </tp>
      <tp t="e">
        <v>#N/A</v>
        <stp/>
        <stp>BDH|13655852691800900523</stp>
        <tr r="L172" s="18"/>
      </tp>
      <tp t="e">
        <v>#N/A</v>
        <stp/>
        <stp>BDH|11700487015830290315</stp>
        <tr r="O64" s="24"/>
      </tp>
      <tp t="e">
        <v>#N/A</v>
        <stp/>
        <stp>BDH|15862560100791563625</stp>
        <tr r="R160" s="18"/>
      </tp>
      <tp t="e">
        <v>#N/A</v>
        <stp/>
        <stp>BDH|15990516054897013554</stp>
        <tr r="S43" s="4"/>
      </tp>
      <tp t="e">
        <v>#N/A</v>
        <stp/>
        <stp>BDH|12699181524994667255</stp>
        <tr r="U47" s="34"/>
      </tp>
      <tp t="e">
        <v>#N/A</v>
        <stp/>
        <stp>BDH|16176628004590891762</stp>
        <tr r="K73" s="12"/>
      </tp>
      <tp t="e">
        <v>#N/A</v>
        <stp/>
        <stp>BDH|10001108064892871256</stp>
        <tr r="J22" s="18"/>
      </tp>
      <tp t="e">
        <v>#N/A</v>
        <stp/>
        <stp>BDH|17454171059185505164</stp>
        <tr r="W57" s="13"/>
        <tr r="U49" s="10"/>
        <tr r="U38" s="11"/>
        <tr r="U53" s="4"/>
        <tr r="U18" s="2"/>
      </tp>
      <tp t="e">
        <v>#N/A</v>
        <stp/>
        <stp>BDH|16677278138945248523</stp>
        <tr r="K8" s="13"/>
      </tp>
      <tp t="e">
        <v>#N/A</v>
        <stp/>
        <stp>BDH|16415250677601945562</stp>
        <tr r="L41" s="26"/>
      </tp>
      <tp t="e">
        <v>#N/A</v>
        <stp/>
        <stp>BDH|12926040097118316403</stp>
        <tr r="S16" s="28"/>
        <tr r="S13" s="17"/>
      </tp>
      <tp t="e">
        <v>#N/A</v>
        <stp/>
        <stp>BDH|15960594324005861055</stp>
        <tr r="AA56" s="24"/>
      </tp>
      <tp t="e">
        <v>#N/A</v>
        <stp/>
        <stp>BDH|17720704451252639097</stp>
        <tr r="W43" s="24"/>
      </tp>
      <tp t="e">
        <v>#N/A</v>
        <stp/>
        <stp>BDH|17901625903315694378</stp>
        <tr r="E28" s="18"/>
      </tp>
      <tp t="e">
        <v>#N/A</v>
        <stp/>
        <stp>BDH|10236032905531863655</stp>
        <tr r="W72" s="13"/>
      </tp>
      <tp t="e">
        <v>#N/A</v>
        <stp/>
        <stp>BDH|17610504628477024074</stp>
        <tr r="E13" s="30"/>
      </tp>
      <tp t="e">
        <v>#N/A</v>
        <stp/>
        <stp>BDH|16741629414705841309</stp>
        <tr r="D29" s="26"/>
      </tp>
      <tp t="e">
        <v>#N/A</v>
        <stp/>
        <stp>BDH|17359448556887947616</stp>
        <tr r="G70" s="17"/>
        <tr r="D8" s="9"/>
        <tr r="D8" s="5"/>
      </tp>
      <tp t="e">
        <v>#N/A</v>
        <stp/>
        <stp>BDH|11828536027230572107</stp>
        <tr r="F47" s="13"/>
      </tp>
      <tp t="e">
        <v>#N/A</v>
        <stp/>
        <stp>BDH|12536301624936196294</stp>
        <tr r="I48" s="17"/>
      </tp>
      <tp t="e">
        <v>#N/A</v>
        <stp/>
        <stp>BDH|12069659561782474799</stp>
        <tr r="G38" s="12"/>
      </tp>
      <tp t="e">
        <v>#N/A</v>
        <stp/>
        <stp>BDH|13989337363307392630</stp>
        <tr r="AA47" s="24"/>
      </tp>
      <tp t="e">
        <v>#N/A</v>
        <stp/>
        <stp>BDH|11373761835750824216</stp>
        <tr r="C8" s="24"/>
      </tp>
      <tp t="e">
        <v>#N/A</v>
        <stp/>
        <stp>BDH|15907191319262271020</stp>
        <tr r="Q9" s="10"/>
      </tp>
      <tp t="e">
        <v>#N/A</v>
        <stp/>
        <stp>BDH|14606204466344934300</stp>
        <tr r="M49" s="13"/>
      </tp>
      <tp t="e">
        <v>#N/A</v>
        <stp/>
        <stp>BDH|18296644051179946563</stp>
        <tr r="Y134" s="18"/>
      </tp>
      <tp t="e">
        <v>#N/A</v>
        <stp/>
        <stp>BDH|10460367450318298981</stp>
        <tr r="U38" s="24"/>
      </tp>
      <tp t="e">
        <v>#N/A</v>
        <stp/>
        <stp>BDH|10195164320085708187</stp>
        <tr r="E34" s="6"/>
      </tp>
      <tp t="e">
        <v>#N/A</v>
        <stp/>
        <stp>BDH|15176106473313891722</stp>
        <tr r="P10" s="26"/>
      </tp>
      <tp t="e">
        <v>#N/A</v>
        <stp/>
        <stp>BDH|13794228468987787728</stp>
        <tr r="F23" s="30"/>
        <tr r="F25" s="23"/>
      </tp>
      <tp t="e">
        <v>#N/A</v>
        <stp/>
        <stp>BDH|15082901018429734376</stp>
        <tr r="N136" s="18"/>
      </tp>
      <tp t="e">
        <v>#N/A</v>
        <stp/>
        <stp>BDH|17637656836120581583</stp>
        <tr r="U34" s="29"/>
      </tp>
      <tp t="e">
        <v>#N/A</v>
        <stp/>
        <stp>BDH|13290007097374863955</stp>
        <tr r="N38" s="22"/>
      </tp>
      <tp t="e">
        <v>#N/A</v>
        <stp/>
        <stp>BDH|11903278219080924566</stp>
        <tr r="V35" s="18"/>
      </tp>
      <tp t="e">
        <v>#N/A</v>
        <stp/>
        <stp>BDH|10613689705088727946</stp>
        <tr r="G41" s="6"/>
        <tr r="G18" s="5"/>
      </tp>
      <tp t="e">
        <v>#N/A</v>
        <stp/>
        <stp>BDH|15929431607011665739</stp>
        <tr r="C24" s="12"/>
      </tp>
      <tp t="e">
        <v>#N/A</v>
        <stp/>
        <stp>BDH|16486082069710550784</stp>
        <tr r="V18" s="10"/>
      </tp>
      <tp t="e">
        <v>#N/A</v>
        <stp/>
        <stp>BDH|14847710847773154375</stp>
        <tr r="H22" s="9"/>
      </tp>
      <tp t="e">
        <v>#N/A</v>
        <stp/>
        <stp>BDH|15599513474959866906</stp>
        <tr r="L67" s="17"/>
      </tp>
      <tp t="e">
        <v>#N/A</v>
        <stp/>
        <stp>BDH|15383530320925166094</stp>
        <tr r="H13" s="27"/>
        <tr r="H31" s="25"/>
      </tp>
      <tp t="e">
        <v>#N/A</v>
        <stp/>
        <stp>BDH|15967473632256453301</stp>
        <tr r="AA64" s="21"/>
        <tr r="Y23" s="7"/>
      </tp>
      <tp t="e">
        <v>#N/A</v>
        <stp/>
        <stp>BDH|16922068647231502459</stp>
        <tr r="L56" s="13"/>
      </tp>
      <tp t="e">
        <v>#N/A</v>
        <stp/>
        <stp>BDH|12766750420667940735</stp>
        <tr r="R39" s="24"/>
      </tp>
      <tp t="e">
        <v>#N/A</v>
        <stp/>
        <stp>BDH|15324872199995608638</stp>
        <tr r="C131" s="18"/>
      </tp>
      <tp t="e">
        <v>#N/A</v>
        <stp/>
        <stp>BDH|12696968851628047193</stp>
        <tr r="M14" s="22"/>
      </tp>
      <tp t="e">
        <v>#N/A</v>
        <stp/>
        <stp>BDH|16727455219451038537</stp>
        <tr r="U10" s="26"/>
      </tp>
      <tp t="e">
        <v>#N/A</v>
        <stp/>
        <stp>BDH|18129043444648836312</stp>
        <tr r="I69" s="24"/>
      </tp>
      <tp t="e">
        <v>#N/A</v>
        <stp/>
        <stp>BDH|16211116269657668141</stp>
        <tr r="Y74" s="18"/>
      </tp>
      <tp t="e">
        <v>#N/A</v>
        <stp/>
        <stp>BDH|12717717900621927374</stp>
        <tr r="G9" s="12"/>
      </tp>
      <tp t="e">
        <v>#N/A</v>
        <stp/>
        <stp>BDH|10178526728606528663</stp>
        <tr r="U12" s="13"/>
      </tp>
      <tp t="e">
        <v>#N/A</v>
        <stp/>
        <stp>BDH|11102420388293241913</stp>
        <tr r="P78" s="12"/>
      </tp>
      <tp t="e">
        <v>#N/A</v>
        <stp/>
        <stp>BDH|10341195338145271082</stp>
        <tr r="P9" s="24"/>
      </tp>
      <tp t="e">
        <v>#N/A</v>
        <stp/>
        <stp>BDH|17850775656521784368</stp>
        <tr r="V21" s="14"/>
      </tp>
      <tp t="e">
        <v>#N/A</v>
        <stp/>
        <stp>BDH|12963191845129401992</stp>
        <tr r="N49" s="24"/>
      </tp>
      <tp t="e">
        <v>#N/A</v>
        <stp/>
        <stp>BDH|11144195562602341317</stp>
        <tr r="L89" s="18"/>
      </tp>
      <tp t="e">
        <v>#N/A</v>
        <stp/>
        <stp>BDH|11812911887573295477</stp>
        <tr r="P23" s="9"/>
      </tp>
      <tp t="e">
        <v>#N/A</v>
        <stp/>
        <stp>BDH|12583542469537168123</stp>
        <tr r="G57" s="24"/>
      </tp>
      <tp t="e">
        <v>#N/A</v>
        <stp/>
        <stp>BDH|14016566971161592095</stp>
        <tr r="I15" s="30"/>
      </tp>
      <tp t="e">
        <v>#N/A</v>
        <stp/>
        <stp>BDH|14398207868345375230</stp>
        <tr r="X37" s="29"/>
        <tr r="X23" s="29"/>
        <tr r="X14" s="29"/>
      </tp>
      <tp t="e">
        <v>#N/A</v>
        <stp/>
        <stp>BDH|17405347532407881711</stp>
        <tr r="J24" s="22"/>
      </tp>
      <tp t="e">
        <v>#N/A</v>
        <stp/>
        <stp>BDH|10111374194899909404</stp>
        <tr r="Q59" s="18"/>
      </tp>
      <tp t="e">
        <v>#N/A</v>
        <stp/>
        <stp>BDH|10902644043275066059</stp>
        <tr r="E8" s="17"/>
      </tp>
      <tp t="e">
        <v>#N/A</v>
        <stp/>
        <stp>BDH|14767654178770249239</stp>
        <tr r="E22" s="20"/>
      </tp>
      <tp t="e">
        <v>#N/A</v>
        <stp/>
        <stp>BDH|15348420649570601259</stp>
        <tr r="O10" s="34"/>
      </tp>
      <tp t="e">
        <v>#N/A</v>
        <stp/>
        <stp>BDH|11800548797793673967</stp>
        <tr r="J64" s="13"/>
      </tp>
      <tp t="e">
        <v>#N/A</v>
        <stp/>
        <stp>BDH|15882316367641030654</stp>
        <tr r="K147" s="18"/>
      </tp>
      <tp t="e">
        <v>#N/A</v>
        <stp/>
        <stp>BDH|14703470507704817349</stp>
        <tr r="Z137" s="18"/>
      </tp>
      <tp t="e">
        <v>#N/A</v>
        <stp/>
        <stp>BDH|13785438759040780516</stp>
        <tr r="X36" s="34"/>
      </tp>
      <tp t="e">
        <v>#N/A</v>
        <stp/>
        <stp>BDH|11356280248658152898</stp>
        <tr r="D62" s="12"/>
      </tp>
      <tp t="e">
        <v>#N/A</v>
        <stp/>
        <stp>BDH|11245189607334028361</stp>
        <tr r="F22" s="11"/>
      </tp>
      <tp t="e">
        <v>#N/A</v>
        <stp/>
        <stp>BDH|11648851098770365739</stp>
        <tr r="O83" s="18"/>
      </tp>
      <tp t="e">
        <v>#N/A</v>
        <stp/>
        <stp>BDH|15177328556573960771</stp>
        <tr r="J46" s="13"/>
        <tr r="H30" s="11"/>
        <tr r="H41" s="10"/>
      </tp>
      <tp t="e">
        <v>#N/A</v>
        <stp/>
        <stp>BDH|10928736290881664877</stp>
        <tr r="P51" s="13"/>
      </tp>
      <tp t="e">
        <v>#N/A</v>
        <stp/>
        <stp>BDH|12113759627236830604</stp>
        <tr r="C30" s="18"/>
      </tp>
      <tp t="e">
        <v>#N/A</v>
        <stp/>
        <stp>BDH|10729980394967017006</stp>
        <tr r="O22" s="22"/>
      </tp>
      <tp t="e">
        <v>#N/A</v>
        <stp/>
        <stp>BDH|10898523767587435320</stp>
        <tr r="S59" s="12"/>
      </tp>
      <tp t="e">
        <v>#N/A</v>
        <stp/>
        <stp>BDH|15558443288929581774</stp>
        <tr r="R9" s="14"/>
      </tp>
      <tp t="e">
        <v>#N/A</v>
        <stp/>
        <stp>BDH|17353315780299139282</stp>
        <tr r="E17" s="27"/>
        <tr r="E35" s="25"/>
      </tp>
      <tp t="e">
        <v>#N/A</v>
        <stp/>
        <stp>BDH|17251296913504534767</stp>
        <tr r="I22" s="9"/>
      </tp>
      <tp t="e">
        <v>#N/A</v>
        <stp/>
        <stp>BDH|17899724812972535465</stp>
        <tr r="D58" s="12"/>
      </tp>
      <tp t="e">
        <v>#N/A</v>
        <stp/>
        <stp>BDH|10333173912220447797</stp>
        <tr r="J77" s="17"/>
      </tp>
      <tp t="e">
        <v>#N/A</v>
        <stp/>
        <stp>BDH|10983579723980499020</stp>
        <tr r="U68" s="24"/>
      </tp>
      <tp t="e">
        <v>#N/A</v>
        <stp/>
        <stp>BDH|17610909017561950939</stp>
        <tr r="X27" s="24"/>
      </tp>
      <tp t="e">
        <v>#N/A</v>
        <stp/>
        <stp>BDH|13839241262907582703</stp>
        <tr r="F51" s="13"/>
      </tp>
      <tp t="e">
        <v>#N/A</v>
        <stp/>
        <stp>BDH|14247756677625967622</stp>
        <tr r="V13" s="28"/>
        <tr r="V95" s="17"/>
      </tp>
      <tp t="e">
        <v>#N/A</v>
        <stp/>
        <stp>BDH|13505018538886627115</stp>
        <tr r="C33" s="6"/>
      </tp>
      <tp t="e">
        <v>#N/A</v>
        <stp/>
        <stp>BDH|11413786230294076675</stp>
        <tr r="H12" s="13"/>
      </tp>
      <tp t="e">
        <v>#N/A</v>
        <stp/>
        <stp>BDH|13802218401472328409</stp>
        <tr r="M79" s="17"/>
        <tr r="M19" s="3"/>
      </tp>
      <tp t="e">
        <v>#N/A</v>
        <stp/>
        <stp>BDH|18094432578918931496</stp>
        <tr r="V23" s="13"/>
      </tp>
      <tp t="e">
        <v>#N/A</v>
        <stp/>
        <stp>BDH|13476933082305934073</stp>
        <tr r="F74" s="12"/>
      </tp>
      <tp t="e">
        <v>#N/A</v>
        <stp/>
        <stp>BDH|16174120117046633793</stp>
        <tr r="F93" s="12"/>
      </tp>
      <tp t="e">
        <v>#N/A</v>
        <stp/>
        <stp>BDH|15764925618183625906</stp>
        <tr r="Z47" s="24"/>
      </tp>
      <tp t="e">
        <v>#N/A</v>
        <stp/>
        <stp>BDH|14471876858739218721</stp>
        <tr r="K17" s="22"/>
      </tp>
      <tp t="e">
        <v>#N/A</v>
        <stp/>
        <stp>BDH|16932978485291993195</stp>
        <tr r="R138" s="18"/>
      </tp>
      <tp t="e">
        <v>#N/A</v>
        <stp/>
        <stp>BDH|13925132050184072413</stp>
        <tr r="D19" s="13"/>
      </tp>
      <tp t="e">
        <v>#N/A</v>
        <stp/>
        <stp>BDH|10905628477870331646</stp>
        <tr r="W35" s="34"/>
      </tp>
      <tp t="e">
        <v>#N/A</v>
        <stp/>
        <stp>BDH|10570420009515760621</stp>
        <tr r="F47" s="21"/>
      </tp>
      <tp t="e">
        <v>#N/A</v>
        <stp/>
        <stp>BDH|13433206433515417084</stp>
        <tr r="AA11" s="22"/>
      </tp>
      <tp t="e">
        <v>#N/A</v>
        <stp/>
        <stp>BDH|13271723978670647452</stp>
        <tr r="J63" s="24"/>
      </tp>
      <tp t="e">
        <v>#N/A</v>
        <stp/>
        <stp>BDH|17445081639713824064</stp>
        <tr r="F145" s="18"/>
      </tp>
      <tp t="e">
        <v>#N/A</v>
        <stp/>
        <stp>BDH|12820077451758261870</stp>
        <tr r="AA72" s="24"/>
      </tp>
      <tp t="e">
        <v>#N/A</v>
        <stp/>
        <stp>BDH|15830439850814279721</stp>
        <tr r="N49" s="21"/>
      </tp>
      <tp t="e">
        <v>#N/A</v>
        <stp/>
        <stp>BDH|17493784383576319962</stp>
        <tr r="AA33" s="12"/>
      </tp>
      <tp t="e">
        <v>#N/A</v>
        <stp/>
        <stp>BDH|13984051213777558200</stp>
        <tr r="T78" s="12"/>
      </tp>
      <tp t="e">
        <v>#N/A</v>
        <stp/>
        <stp>BDH|13808782468906724353</stp>
        <tr r="T65" s="18"/>
      </tp>
      <tp t="e">
        <v>#N/A</v>
        <stp/>
        <stp>BDH|10983940387346326033</stp>
        <tr r="V9" s="22"/>
      </tp>
      <tp t="e">
        <v>#N/A</v>
        <stp/>
        <stp>BDH|17871029830463360035</stp>
        <tr r="J80" s="18"/>
      </tp>
      <tp t="e">
        <v>#N/A</v>
        <stp/>
        <stp>BDH|15611179628431554060</stp>
        <tr r="I24" s="21"/>
      </tp>
      <tp t="e">
        <v>#N/A</v>
        <stp/>
        <stp>BDH|11367940671048587097</stp>
        <tr r="E31" s="14"/>
      </tp>
      <tp t="e">
        <v>#N/A</v>
        <stp/>
        <stp>BDH|16505956786757985750</stp>
        <tr r="G149" s="18"/>
      </tp>
      <tp t="e">
        <v>#N/A</v>
        <stp/>
        <stp>BDH|13066191923411839688</stp>
        <tr r="S24" s="20"/>
      </tp>
      <tp t="e">
        <v>#N/A</v>
        <stp/>
        <stp>BDH|16562696747923067017</stp>
        <tr r="T18" s="25"/>
      </tp>
      <tp t="e">
        <v>#N/A</v>
        <stp/>
        <stp>BDH|16194283779246355292</stp>
        <tr r="C25" s="18"/>
      </tp>
      <tp t="e">
        <v>#N/A</v>
        <stp/>
        <stp>BDH|14789360118662433373</stp>
        <tr r="I16" s="29"/>
        <tr r="I39" s="29"/>
      </tp>
      <tp t="e">
        <v>#N/A</v>
        <stp/>
        <stp>BDH|17051468068390425202</stp>
        <tr r="K17" s="5"/>
        <tr r="K36" s="6"/>
      </tp>
      <tp t="e">
        <v>#N/A</v>
        <stp/>
        <stp>BDH|14092703755009929865</stp>
        <tr r="P90" s="17"/>
      </tp>
      <tp t="e">
        <v>#N/A</v>
        <stp/>
        <stp>BDH|12028253578289760908</stp>
        <tr r="E69" s="12"/>
      </tp>
      <tp t="e">
        <v>#N/A</v>
        <stp/>
        <stp>BDH|17130368323216967772</stp>
        <tr r="AA10" s="24"/>
      </tp>
      <tp t="e">
        <v>#N/A</v>
        <stp/>
        <stp>BDH|17740599376433026126</stp>
        <tr r="H139" s="18"/>
      </tp>
      <tp t="e">
        <v>#N/A</v>
        <stp/>
        <stp>BDH|14118392710818627945</stp>
        <tr r="G53" s="24"/>
      </tp>
      <tp t="e">
        <v>#N/A</v>
        <stp/>
        <stp>BDH|12895445237766321425</stp>
        <tr r="D32" s="12"/>
      </tp>
      <tp t="e">
        <v>#N/A</v>
        <stp/>
        <stp>BDH|10163718168897506175</stp>
        <tr r="D49" s="17"/>
      </tp>
      <tp t="e">
        <v>#N/A</v>
        <stp/>
        <stp>BDH|12365099901927365223</stp>
        <tr r="P6" s="28"/>
      </tp>
      <tp t="e">
        <v>#N/A</v>
        <stp/>
        <stp>BDH|12206571669517728114</stp>
        <tr r="V11" s="28"/>
      </tp>
      <tp t="e">
        <v>#N/A</v>
        <stp/>
        <stp>BDH|11203804122284854822</stp>
        <tr r="K48" s="12"/>
      </tp>
      <tp t="e">
        <v>#N/A</v>
        <stp/>
        <stp>BDH|18099799463626464841</stp>
        <tr r="C56" s="24"/>
      </tp>
      <tp t="e">
        <v>#N/A</v>
        <stp/>
        <stp>BDH|17555787157720817285</stp>
        <tr r="E36" s="34"/>
      </tp>
      <tp t="e">
        <v>#N/A</v>
        <stp/>
        <stp>BDH|17881048210851707019</stp>
        <tr r="I91" s="12"/>
      </tp>
      <tp t="e">
        <v>#N/A</v>
        <stp/>
        <stp>BDH|17073708136281453588</stp>
        <tr r="O41" s="25"/>
        <tr r="O59" s="21"/>
        <tr r="M54" s="11"/>
        <tr r="M31" s="4"/>
      </tp>
      <tp t="e">
        <v>#N/A</v>
        <stp/>
        <stp>BDH|18112080197122242464</stp>
        <tr r="X23" s="17"/>
      </tp>
      <tp t="e">
        <v>#N/A</v>
        <stp/>
        <stp>BDH|15392199175085174140</stp>
        <tr r="R124" s="18"/>
      </tp>
      <tp t="e">
        <v>#N/A</v>
        <stp/>
        <stp>BDH|11330264054738323985</stp>
        <tr r="X66" s="21"/>
      </tp>
      <tp t="e">
        <v>#N/A</v>
        <stp/>
        <stp>BDH|17058327579992857699</stp>
        <tr r="R58" s="12"/>
      </tp>
      <tp t="e">
        <v>#N/A</v>
        <stp/>
        <stp>BDH|13296671036087090697</stp>
        <tr r="Y16" s="20"/>
      </tp>
      <tp t="e">
        <v>#N/A</v>
        <stp/>
        <stp>BDH|15925376742484452123</stp>
        <tr r="W21" s="11"/>
      </tp>
      <tp t="e">
        <v>#N/A</v>
        <stp/>
        <stp>BDH|16321455436690917636</stp>
        <tr r="T30" s="18"/>
      </tp>
      <tp t="e">
        <v>#N/A</v>
        <stp/>
        <stp>BDH|12076566491600950944</stp>
        <tr r="O42" s="18"/>
      </tp>
      <tp t="e">
        <v>#N/A</v>
        <stp/>
        <stp>BDH|13779693741495239376</stp>
        <tr r="M82" s="12"/>
      </tp>
      <tp t="e">
        <v>#N/A</v>
        <stp/>
        <stp>BDH|17887283924848962870</stp>
        <tr r="E70" s="18"/>
      </tp>
      <tp t="e">
        <v>#N/A</v>
        <stp/>
        <stp>BDH|12968404215599424920</stp>
        <tr r="R106" s="18"/>
      </tp>
      <tp t="e">
        <v>#N/A</v>
        <stp/>
        <stp>BDH|15500322444941897417</stp>
        <tr r="O77" s="24"/>
      </tp>
      <tp t="e">
        <v>#N/A</v>
        <stp/>
        <stp>BDH|12174525350217857210</stp>
        <tr r="Z70" s="18"/>
      </tp>
      <tp t="e">
        <v>#N/A</v>
        <stp/>
        <stp>BDH|11205522493392117884</stp>
        <tr r="U56" s="12"/>
      </tp>
      <tp t="e">
        <v>#N/A</v>
        <stp/>
        <stp>BDH|16898453240677299651</stp>
        <tr r="D139" s="18"/>
      </tp>
      <tp t="e">
        <v>#N/A</v>
        <stp/>
        <stp>BDH|18003407492631020387</stp>
        <tr r="Q6" s="6"/>
      </tp>
      <tp t="e">
        <v>#N/A</v>
        <stp/>
        <stp>BDH|10894666862404280338</stp>
        <tr r="G17" s="28"/>
        <tr r="G14" s="17"/>
      </tp>
      <tp t="e">
        <v>#N/A</v>
        <stp/>
        <stp>BDH|13682690515983524028</stp>
        <tr r="J8" s="22"/>
      </tp>
      <tp t="e">
        <v>#N/A</v>
        <stp/>
        <stp>BDH|10999400722318055964</stp>
        <tr r="R45" s="18"/>
      </tp>
      <tp t="e">
        <v>#N/A</v>
        <stp/>
        <stp>BDH|10571127817494499397</stp>
        <tr r="Q18" s="14"/>
      </tp>
      <tp t="e">
        <v>#N/A</v>
        <stp/>
        <stp>BDH|17033118223872687191</stp>
        <tr r="O71" s="10"/>
      </tp>
      <tp t="e">
        <v>#N/A</v>
        <stp/>
        <stp>BDH|14710306451175272098</stp>
        <tr r="L10" s="28"/>
      </tp>
      <tp t="e">
        <v>#N/A</v>
        <stp/>
        <stp>BDH|13877928263708665327</stp>
        <tr r="F39" s="21"/>
      </tp>
      <tp t="e">
        <v>#N/A</v>
        <stp/>
        <stp>BDH|11983513917085329711</stp>
        <tr r="W17" s="34"/>
      </tp>
      <tp t="e">
        <v>#N/A</v>
        <stp/>
        <stp>BDH|12787217033720103490</stp>
        <tr r="Z14" s="23"/>
      </tp>
      <tp t="e">
        <v>#N/A</v>
        <stp/>
        <stp>BDH|14398594563091699129</stp>
        <tr r="G9" s="27"/>
      </tp>
      <tp t="e">
        <v>#N/A</v>
        <stp/>
        <stp>BDH|16557727657091482297</stp>
        <tr r="R101" s="18"/>
      </tp>
      <tp t="e">
        <v>#N/A</v>
        <stp/>
        <stp>BDH|16926739724030423474</stp>
        <tr r="Z11" s="20"/>
        <tr r="Z116" s="18"/>
      </tp>
      <tp t="e">
        <v>#N/A</v>
        <stp/>
        <stp>BDH|11845653060714919293</stp>
        <tr r="V12" s="18"/>
      </tp>
      <tp t="e">
        <v>#N/A</v>
        <stp/>
        <stp>BDH|13197443898269790073</stp>
        <tr r="C50" s="22"/>
      </tp>
      <tp t="e">
        <v>#N/A</v>
        <stp/>
        <stp>BDH|11480358858872634229</stp>
        <tr r="N14" s="23"/>
      </tp>
      <tp t="e">
        <v>#N/A</v>
        <stp/>
        <stp>BDH|14699641928061326648</stp>
        <tr r="K56" s="17"/>
      </tp>
      <tp t="e">
        <v>#N/A</v>
        <stp/>
        <stp>BDH|17569681650126528555</stp>
        <tr r="F63" s="12"/>
      </tp>
      <tp t="e">
        <v>#N/A</v>
        <stp/>
        <stp>BDH|14779720939737527043</stp>
        <tr r="L15" s="11"/>
      </tp>
      <tp t="e">
        <v>#N/A</v>
        <stp/>
        <stp>BDH|14027814652659733792</stp>
        <tr r="G13" s="30"/>
      </tp>
      <tp t="e">
        <v>#N/A</v>
        <stp/>
        <stp>BDH|10089728511626804766</stp>
        <tr r="I14" s="12"/>
      </tp>
      <tp t="e">
        <v>#N/A</v>
        <stp/>
        <stp>BDH|17816690143061764387</stp>
        <tr r="Z106" s="18"/>
      </tp>
      <tp t="e">
        <v>#N/A</v>
        <stp/>
        <stp>BDH|14742223417075855572</stp>
        <tr r="C53" s="18"/>
      </tp>
      <tp t="e">
        <v>#N/A</v>
        <stp/>
        <stp>BDH|16531248692683787992</stp>
        <tr r="V80" s="17"/>
      </tp>
      <tp t="e">
        <v>#N/A</v>
        <stp/>
        <stp>BDH|13677721509895011608</stp>
        <tr r="S33" s="5"/>
      </tp>
      <tp t="e">
        <v>#N/A</v>
        <stp/>
        <stp>BDH|13910793473694716093</stp>
        <tr r="S19" s="9"/>
      </tp>
      <tp t="e">
        <v>#N/A</v>
        <stp/>
        <stp>BDH|10981110524476337229</stp>
        <tr r="O42" s="29"/>
        <tr r="O33" s="29"/>
        <tr r="M55" s="6"/>
        <tr r="M11" s="5"/>
        <tr r="N10" s="2"/>
      </tp>
      <tp t="e">
        <v>#N/A</v>
        <stp/>
        <stp>BDH|15464982320610461952</stp>
        <tr r="R13" s="13"/>
      </tp>
      <tp t="e">
        <v>#N/A</v>
        <stp/>
        <stp>BDH|10746390042243872397</stp>
        <tr r="E11" s="17"/>
      </tp>
      <tp t="e">
        <v>#N/A</v>
        <stp/>
        <stp>BDH|10637858195536996021</stp>
        <tr r="X98" s="18"/>
      </tp>
      <tp t="e">
        <v>#N/A</v>
        <stp/>
        <stp>BDH|11076303950443507385</stp>
        <tr r="X52" s="18"/>
      </tp>
      <tp t="e">
        <v>#N/A</v>
        <stp/>
        <stp>BDH|15014705865247117492</stp>
        <tr r="H37" s="22"/>
      </tp>
      <tp t="e">
        <v>#N/A</v>
        <stp/>
        <stp>BDH|15458000487362835860</stp>
        <tr r="V20" s="12"/>
      </tp>
      <tp t="e">
        <v>#N/A</v>
        <stp/>
        <stp>BDH|15152710072436668492</stp>
        <tr r="AA7" s="21"/>
      </tp>
      <tp t="e">
        <v>#N/A</v>
        <stp/>
        <stp>BDH|16630090434040731215</stp>
        <tr r="R22" s="25"/>
      </tp>
      <tp t="e">
        <v>#N/A</v>
        <stp/>
        <stp>BDH|17206774767472927367</stp>
        <tr r="M70" s="10"/>
      </tp>
      <tp t="e">
        <v>#N/A</v>
        <stp/>
        <stp>BDH|16412877598661231146</stp>
        <tr r="T67" s="10"/>
      </tp>
      <tp t="e">
        <v>#N/A</v>
        <stp/>
        <stp>BDH|10615451655480314681</stp>
        <tr r="P14" s="13"/>
      </tp>
      <tp t="e">
        <v>#N/A</v>
        <stp/>
        <stp>BDH|11770112157617555592</stp>
        <tr r="L10" s="34"/>
      </tp>
      <tp t="e">
        <v>#N/A</v>
        <stp/>
        <stp>BDH|13624269219171693627</stp>
        <tr r="X38" s="22"/>
      </tp>
      <tp t="e">
        <v>#N/A</v>
        <stp/>
        <stp>BDH|17820631818595944268</stp>
        <tr r="R45" s="17"/>
      </tp>
      <tp t="e">
        <v>#N/A</v>
        <stp/>
        <stp>BDH|10806885579921736925</stp>
        <tr r="K44" s="11"/>
        <tr r="K55" s="10"/>
        <tr r="K15" s="7"/>
      </tp>
      <tp t="e">
        <v>#N/A</v>
        <stp/>
        <stp>BDH|12100820799813474725</stp>
        <tr r="D150" s="18"/>
      </tp>
      <tp t="e">
        <v>#N/A</v>
        <stp/>
        <stp>BDH|14838572057820205360</stp>
        <tr r="O104" s="18"/>
      </tp>
      <tp t="e">
        <v>#N/A</v>
        <stp/>
        <stp>BDH|12909741491412696965</stp>
        <tr r="F18" s="11"/>
      </tp>
      <tp t="e">
        <v>#N/A</v>
        <stp/>
        <stp>BDH|10803805793443715509</stp>
        <tr r="AA14" s="22"/>
      </tp>
      <tp t="e">
        <v>#N/A</v>
        <stp/>
        <stp>BDH|16190888387146294700</stp>
        <tr r="H6" s="16"/>
        <tr r="I6" s="11"/>
        <tr r="I10" s="4"/>
        <tr r="K6" s="3"/>
      </tp>
      <tp t="e">
        <v>#N/A</v>
        <stp/>
        <stp>BDH|17569700222093978629</stp>
        <tr r="K53" s="18"/>
      </tp>
      <tp t="e">
        <v>#N/A</v>
        <stp/>
        <stp>BDH|10991247585979797436</stp>
        <tr r="E28" s="14"/>
      </tp>
      <tp t="e">
        <v>#N/A</v>
        <stp/>
        <stp>BDH|18180740298915784461</stp>
        <tr r="U156" s="18"/>
      </tp>
      <tp t="e">
        <v>#N/A</v>
        <stp/>
        <stp>BDH|13205580386019268029</stp>
        <tr r="V43" s="18"/>
      </tp>
      <tp t="e">
        <v>#N/A</v>
        <stp/>
        <stp>BDH|10843848770499455142</stp>
        <tr r="I28" s="21"/>
      </tp>
      <tp t="e">
        <v>#N/A</v>
        <stp/>
        <stp>BDH|16289795569128945877</stp>
        <tr r="L17" s="18"/>
      </tp>
      <tp t="e">
        <v>#N/A</v>
        <stp/>
        <stp>BDH|13733202638334656158</stp>
        <tr r="H36" s="22"/>
      </tp>
      <tp t="e">
        <v>#N/A</v>
        <stp/>
        <stp>BDH|15885449874371289065</stp>
        <tr r="S8" s="23"/>
      </tp>
      <tp t="e">
        <v>#N/A</v>
        <stp/>
        <stp>BDH|15311750853094065499</stp>
        <tr r="U64" s="17"/>
      </tp>
      <tp t="e">
        <v>#N/A</v>
        <stp/>
        <stp>BDH|16908731382556605829</stp>
        <tr r="Y14" s="28"/>
      </tp>
      <tp t="e">
        <v>#N/A</v>
        <stp/>
        <stp>BDH|17829335070996783205</stp>
        <tr r="O43" s="4"/>
      </tp>
      <tp t="e">
        <v>#N/A</v>
        <stp/>
        <stp>BDH|10040292301122501715</stp>
        <tr r="J87" s="12"/>
      </tp>
      <tp t="e">
        <v>#N/A</v>
        <stp/>
        <stp>BDH|12417814884181461493</stp>
        <tr r="U47" s="13"/>
      </tp>
      <tp t="e">
        <v>#N/A</v>
        <stp/>
        <stp>BDH|16413263225328965926</stp>
        <tr r="AA23" s="20"/>
      </tp>
      <tp t="e">
        <v>#N/A</v>
        <stp/>
        <stp>BDH|10900813003056539920</stp>
        <tr r="P9" s="17"/>
      </tp>
      <tp t="e">
        <v>#N/A</v>
        <stp/>
        <stp>BDH|17438783500037342034</stp>
        <tr r="D122" s="18"/>
      </tp>
      <tp t="e">
        <v>#N/A</v>
        <stp/>
        <stp>BDH|13448251729253561711</stp>
        <tr r="R7" s="10"/>
      </tp>
      <tp t="e">
        <v>#N/A</v>
        <stp/>
        <stp>BDH|15114454718371561650</stp>
        <tr r="D61" s="13"/>
      </tp>
      <tp t="e">
        <v>#N/A</v>
        <stp/>
        <stp>BDH|14901146076433175665</stp>
        <tr r="M90" s="17"/>
      </tp>
      <tp t="e">
        <v>#N/A</v>
        <stp/>
        <stp>BDH|10850416441517406006</stp>
        <tr r="V17" s="14"/>
      </tp>
      <tp t="e">
        <v>#N/A</v>
        <stp/>
        <stp>BDH|13240970789262142712</stp>
        <tr r="N46" s="24"/>
      </tp>
      <tp t="e">
        <v>#N/A</v>
        <stp/>
        <stp>BDH|10253424508155271667</stp>
        <tr r="AA105" s="18"/>
      </tp>
      <tp t="e">
        <v>#N/A</v>
        <stp/>
        <stp>BDH|17233524804321001483</stp>
        <tr r="D22" s="22"/>
      </tp>
      <tp t="e">
        <v>#N/A</v>
        <stp/>
        <stp>BDH|13412190923834083326</stp>
        <tr r="I21" s="21"/>
      </tp>
      <tp t="e">
        <v>#N/A</v>
        <stp/>
        <stp>BDH|15713807987306550497</stp>
        <tr r="J72" s="13"/>
      </tp>
      <tp t="e">
        <v>#N/A</v>
        <stp/>
        <stp>BDH|15324527164005972405</stp>
        <tr r="E45" s="12"/>
      </tp>
      <tp t="e">
        <v>#N/A</v>
        <stp/>
        <stp>BDH|17305281041722594438</stp>
        <tr r="Q7" s="8"/>
      </tp>
      <tp t="e">
        <v>#N/A</v>
        <stp/>
        <stp>BDH|16577157670575404282</stp>
        <tr r="H7" s="27"/>
        <tr r="H94" s="17"/>
      </tp>
      <tp t="e">
        <v>#N/A</v>
        <stp/>
        <stp>BDH|14119767432282053597</stp>
        <tr r="H9" s="12"/>
      </tp>
      <tp t="e">
        <v>#N/A</v>
        <stp/>
        <stp>BDH|17407370225143873220</stp>
        <tr r="T23" s="12"/>
      </tp>
      <tp t="e">
        <v>#N/A</v>
        <stp/>
        <stp>BDH|13069091824283841594</stp>
        <tr r="L9" s="34"/>
      </tp>
      <tp t="e">
        <v>#N/A</v>
        <stp/>
        <stp>BDH|18114007559579604326</stp>
        <tr r="R41" s="18"/>
      </tp>
      <tp t="e">
        <v>#N/A</v>
        <stp/>
        <stp>BDH|14628363369514405210</stp>
        <tr r="AA157" s="18"/>
      </tp>
      <tp t="e">
        <v>#N/A</v>
        <stp/>
        <stp>BDH|17850607914570115712</stp>
        <tr r="V13" s="2"/>
      </tp>
      <tp t="e">
        <v>#N/A</v>
        <stp/>
        <stp>BDH|14663615206532434791</stp>
        <tr r="C20" s="22"/>
      </tp>
      <tp t="e">
        <v>#N/A</v>
        <stp/>
        <stp>BDH|17603331567313737695</stp>
        <tr r="X120" s="18"/>
      </tp>
      <tp t="e">
        <v>#N/A</v>
        <stp/>
        <stp>BDH|10692936179519490047</stp>
        <tr r="E10" s="23"/>
      </tp>
      <tp t="e">
        <v>#N/A</v>
        <stp/>
        <stp>BDH|17619428999658236507</stp>
        <tr r="G43" s="6"/>
      </tp>
      <tp t="e">
        <v>#N/A</v>
        <stp/>
        <stp>BDH|16275371170072240788</stp>
        <tr r="H72" s="10"/>
      </tp>
      <tp t="e">
        <v>#N/A</v>
        <stp/>
        <stp>BDH|11384868089457185125</stp>
        <tr r="L53" s="12"/>
      </tp>
      <tp t="e">
        <v>#N/A</v>
        <stp/>
        <stp>BDH|10288629164096986120</stp>
        <tr r="E21" s="3"/>
      </tp>
      <tp t="e">
        <v>#N/A</v>
        <stp/>
        <stp>BDH|13546838388407033312</stp>
        <tr r="AA71" s="24"/>
      </tp>
      <tp t="e">
        <v>#N/A</v>
        <stp/>
        <stp>BDH|11059026912192788583</stp>
        <tr r="D31" s="26"/>
      </tp>
      <tp t="e">
        <v>#N/A</v>
        <stp/>
        <stp>BDH|15818573326896151376</stp>
        <tr r="S136" s="18"/>
      </tp>
      <tp t="e">
        <v>#N/A</v>
        <stp/>
        <stp>BDH|15762244971146982143</stp>
        <tr r="C15" s="12"/>
      </tp>
      <tp t="e">
        <v>#N/A</v>
        <stp/>
        <stp>BDH|17338421444656347698</stp>
        <tr r="K29" s="34"/>
      </tp>
      <tp t="e">
        <v>#N/A</v>
        <stp/>
        <stp>BDH|10657349323194854260</stp>
        <tr r="O48" s="17"/>
      </tp>
      <tp t="e">
        <v>#N/A</v>
        <stp/>
        <stp>BDH|18225609942735931860</stp>
        <tr r="Y9" s="17"/>
      </tp>
      <tp t="e">
        <v>#N/A</v>
        <stp/>
        <stp>BDH|17403713759941659350</stp>
        <tr r="R30" s="14"/>
      </tp>
      <tp t="e">
        <v>#N/A</v>
        <stp/>
        <stp>BDH|16989922293509590828</stp>
        <tr r="M63" s="12"/>
      </tp>
      <tp t="e">
        <v>#N/A</v>
        <stp/>
        <stp>BDH|16923398767556864207</stp>
        <tr r="W67" s="18"/>
      </tp>
      <tp t="e">
        <v>#N/A</v>
        <stp/>
        <stp>BDH|11500410677851432485</stp>
        <tr r="M18" s="14"/>
      </tp>
      <tp t="e">
        <v>#N/A</v>
        <stp/>
        <stp>BDH|13904538420594068755</stp>
        <tr r="K7" s="8"/>
      </tp>
      <tp t="e">
        <v>#N/A</v>
        <stp/>
        <stp>BDH|15265982094960427253</stp>
        <tr r="R51" s="21"/>
      </tp>
      <tp t="e">
        <v>#N/A</v>
        <stp/>
        <stp>BDH|15154643376237438485</stp>
        <tr r="I11" s="13"/>
      </tp>
      <tp t="e">
        <v>#N/A</v>
        <stp/>
        <stp>BDH|16984046702837156611</stp>
        <tr r="M109" s="18"/>
      </tp>
      <tp t="e">
        <v>#N/A</v>
        <stp/>
        <stp>BDH|14530086636246221667</stp>
        <tr r="F168" s="18"/>
      </tp>
      <tp t="e">
        <v>#N/A</v>
        <stp/>
        <stp>BDH|15056101996259007396</stp>
        <tr r="H11" s="6"/>
      </tp>
      <tp t="e">
        <v>#N/A</v>
        <stp/>
        <stp>BDH|11535310963221919210</stp>
        <tr r="V91" s="12"/>
      </tp>
      <tp t="e">
        <v>#N/A</v>
        <stp/>
        <stp>BDH|13297329728775181068</stp>
        <tr r="C32" s="22"/>
      </tp>
      <tp t="e">
        <v>#N/A</v>
        <stp/>
        <stp>BDH|13342420347961186582</stp>
        <tr r="K36" s="34"/>
      </tp>
      <tp t="e">
        <v>#N/A</v>
        <stp/>
        <stp>BDH|13356176316151913544</stp>
        <tr r="J44" s="13"/>
        <tr r="H36" s="11"/>
        <tr r="H47" s="10"/>
        <tr r="H52" s="4"/>
        <tr r="J8" s="3"/>
      </tp>
      <tp t="e">
        <v>#N/A</v>
        <stp/>
        <stp>BDH|14958576347706249447</stp>
        <tr r="C41" s="12"/>
      </tp>
      <tp t="e">
        <v>#N/A</v>
        <stp/>
        <stp>BDH|15382029268244228047</stp>
        <tr r="G15" s="13"/>
      </tp>
      <tp t="e">
        <v>#N/A</v>
        <stp/>
        <stp>BDH|17740183806050768117</stp>
        <tr r="I65" s="18"/>
      </tp>
      <tp t="e">
        <v>#N/A</v>
        <stp/>
        <stp>BDH|14157403118363044567</stp>
        <tr r="R61" s="18"/>
      </tp>
      <tp t="e">
        <v>#N/A</v>
        <stp/>
        <stp>BDH|16305560658548750956</stp>
        <tr r="U44" s="18"/>
      </tp>
      <tp t="e">
        <v>#N/A</v>
        <stp/>
        <stp>BDH|18125175986386812073</stp>
        <tr r="S12" s="12"/>
      </tp>
      <tp t="e">
        <v>#N/A</v>
        <stp/>
        <stp>BDH|12688001587988819564</stp>
        <tr r="C30" s="17"/>
      </tp>
      <tp t="e">
        <v>#N/A</v>
        <stp/>
        <stp>BDH|14984260747982214755</stp>
        <tr r="N56" s="6"/>
      </tp>
      <tp t="e">
        <v>#N/A</v>
        <stp/>
        <stp>BDH|17315533262171454293</stp>
        <tr r="V42" s="18"/>
      </tp>
      <tp t="e">
        <v>#N/A</v>
        <stp/>
        <stp>BDH|12077896177418218230</stp>
        <tr r="X7" s="6"/>
      </tp>
      <tp t="e">
        <v>#N/A</v>
        <stp/>
        <stp>BDH|14029489744617681451</stp>
        <tr r="K49" s="6"/>
      </tp>
      <tp t="e">
        <v>#N/A</v>
        <stp/>
        <stp>BDH|10837500817756843584</stp>
        <tr r="G93" s="12"/>
      </tp>
      <tp t="e">
        <v>#N/A</v>
        <stp/>
        <stp>BDH|15383057802386806438</stp>
        <tr r="H33" s="11"/>
        <tr r="H44" s="10"/>
      </tp>
      <tp t="e">
        <v>#N/A</v>
        <stp/>
        <stp>BDH|16083639001521513681</stp>
        <tr r="O11" s="18"/>
      </tp>
      <tp t="e">
        <v>#N/A</v>
        <stp/>
        <stp>BDH|10735991487826307040</stp>
        <tr r="S96" s="17"/>
      </tp>
      <tp t="e">
        <v>#N/A</v>
        <stp/>
        <stp>BDH|13451058749344206444</stp>
        <tr r="T12" s="27"/>
        <tr r="T30" s="25"/>
      </tp>
      <tp t="e">
        <v>#N/A</v>
        <stp/>
        <stp>BDH|10294284245524945586</stp>
        <tr r="D65" s="21"/>
      </tp>
      <tp t="e">
        <v>#N/A</v>
        <stp/>
        <stp>BDH|12698799073470043529</stp>
        <tr r="S25" s="22"/>
      </tp>
      <tp t="e">
        <v>#N/A</v>
        <stp/>
        <stp>BDH|12394921387207139390</stp>
        <tr r="U35" s="17"/>
      </tp>
      <tp t="e">
        <v>#N/A</v>
        <stp/>
        <stp>BDH|15278931209328130379</stp>
        <tr r="G68" s="18"/>
      </tp>
      <tp t="e">
        <v>#N/A</v>
        <stp/>
        <stp>BDH|15981172871182374622</stp>
        <tr r="P9" s="26"/>
      </tp>
      <tp t="e">
        <v>#N/A</v>
        <stp/>
        <stp>BDH|17911270256236296144</stp>
        <tr r="Z24" s="21"/>
      </tp>
      <tp t="e">
        <v>#N/A</v>
        <stp/>
        <stp>BDH|10080666214760964051</stp>
        <tr r="P24" s="24"/>
      </tp>
      <tp t="e">
        <v>#N/A</v>
        <stp/>
        <stp>BDH|11232033970422893371</stp>
        <tr r="E7" s="34"/>
      </tp>
      <tp t="e">
        <v>#N/A</v>
        <stp/>
        <stp>BDH|12666641000893435080</stp>
        <tr r="E26" s="26"/>
      </tp>
      <tp t="e">
        <v>#N/A</v>
        <stp/>
        <stp>BDH|10581030659026384423</stp>
        <tr r="Z83" s="18"/>
      </tp>
      <tp t="e">
        <v>#N/A</v>
        <stp/>
        <stp>BDH|11349827769541268943</stp>
        <tr r="K10" s="14"/>
      </tp>
      <tp t="e">
        <v>#N/A</v>
        <stp/>
        <stp>BDH|16266595235097410040</stp>
        <tr r="Y9" s="20"/>
        <tr r="Y115" s="18"/>
      </tp>
      <tp t="e">
        <v>#N/A</v>
        <stp/>
        <stp>BDH|10277081874538059804</stp>
        <tr r="V9" s="27"/>
      </tp>
      <tp t="e">
        <v>#N/A</v>
        <stp/>
        <stp>BDH|17165534741535836456</stp>
        <tr r="J49" s="22"/>
      </tp>
      <tp t="e">
        <v>#N/A</v>
        <stp/>
        <stp>BDH|17069583844567125630</stp>
        <tr r="G36" s="4"/>
      </tp>
      <tp t="e">
        <v>#N/A</v>
        <stp/>
        <stp>BDH|16165187922797151542</stp>
        <tr r="C19" s="22"/>
      </tp>
      <tp t="e">
        <v>#N/A</v>
        <stp/>
        <stp>BDH|12413691212671367321</stp>
        <tr r="E63" s="13"/>
        <tr r="C49" s="11"/>
        <tr r="C60" s="10"/>
        <tr r="C18" s="7"/>
      </tp>
      <tp t="e">
        <v>#N/A</v>
        <stp/>
        <stp>BDH|14108772869736630477</stp>
        <tr r="T13" s="10"/>
      </tp>
      <tp t="e">
        <v>#N/A</v>
        <stp/>
        <stp>BDH|14646550340690953247</stp>
        <tr r="C108" s="18"/>
      </tp>
      <tp t="e">
        <v>#N/A</v>
        <stp/>
        <stp>BDH|13619399804025791221</stp>
        <tr r="Y47" s="24"/>
      </tp>
      <tp t="e">
        <v>#N/A</v>
        <stp/>
        <stp>BDH|10032464965103409691</stp>
        <tr r="D38" s="22"/>
      </tp>
      <tp t="e">
        <v>#N/A</v>
        <stp/>
        <stp>BDH|18222583211632065957</stp>
        <tr r="S8" s="10"/>
      </tp>
      <tp t="e">
        <v>#N/A</v>
        <stp/>
        <stp>BDH|17067263262162936632</stp>
        <tr r="F16" s="6"/>
      </tp>
      <tp t="e">
        <v>#N/A</v>
        <stp/>
        <stp>BDH|11659076398276079973</stp>
        <tr r="S99" s="12"/>
      </tp>
      <tp t="e">
        <v>#N/A</v>
        <stp/>
        <stp>BDH|17159387977627034302</stp>
        <tr r="T53" s="21"/>
      </tp>
      <tp t="e">
        <v>#N/A</v>
        <stp/>
        <stp>BDH|17026101238504419623</stp>
        <tr r="Q29" s="34"/>
      </tp>
      <tp t="e">
        <v>#N/A</v>
        <stp/>
        <stp>BDH|17135246453605003287</stp>
        <tr r="O59" s="12"/>
      </tp>
      <tp t="e">
        <v>#N/A</v>
        <stp/>
        <stp>BDH|11430422045977359216</stp>
        <tr r="T35" s="21"/>
      </tp>
      <tp t="e">
        <v>#N/A</v>
        <stp/>
        <stp>BDH|12302769834224061606</stp>
        <tr r="S14" s="6"/>
      </tp>
      <tp t="e">
        <v>#N/A</v>
        <stp/>
        <stp>BDH|12466116538126495283</stp>
        <tr r="E56" s="24"/>
      </tp>
      <tp t="e">
        <v>#N/A</v>
        <stp/>
        <stp>BDH|14050415323084037239</stp>
        <tr r="I58" s="17"/>
      </tp>
      <tp t="e">
        <v>#N/A</v>
        <stp/>
        <stp>BDH|16440106007417498465</stp>
        <tr r="Z33" s="29"/>
        <tr r="Z42" s="29"/>
        <tr r="X11" s="5"/>
        <tr r="X55" s="6"/>
        <tr r="Y10" s="2"/>
      </tp>
      <tp t="e">
        <v>#N/A</v>
        <stp/>
        <stp>BDH|12148598766437960267</stp>
        <tr r="P15" s="10"/>
      </tp>
      <tp t="e">
        <v>#N/A</v>
        <stp/>
        <stp>BDH|14248838393316469770</stp>
        <tr r="C10" s="22"/>
      </tp>
      <tp t="e">
        <v>#N/A</v>
        <stp/>
        <stp>BDH|17568318352083061671</stp>
        <tr r="Z136" s="18"/>
      </tp>
      <tp t="e">
        <v>#N/A</v>
        <stp/>
        <stp>BDH|13909698178533840511</stp>
        <tr r="F31" s="26"/>
      </tp>
      <tp t="e">
        <v>#N/A</v>
        <stp/>
        <stp>BDH|17398798950783392287</stp>
        <tr r="O21" s="3"/>
      </tp>
      <tp t="e">
        <v>#N/A</v>
        <stp/>
        <stp>BDH|11357951085633791753</stp>
        <tr r="X66" s="13"/>
      </tp>
      <tp t="e">
        <v>#N/A</v>
        <stp/>
        <stp>BDH|14526544056862735212</stp>
        <tr r="U25" s="29"/>
        <tr r="U19" s="29"/>
        <tr r="U10" s="29"/>
        <tr r="S6" s="9"/>
        <tr r="U12" s="8"/>
        <tr r="S6" s="5"/>
        <tr r="T6" s="2"/>
      </tp>
      <tp t="e">
        <v>#N/A</v>
        <stp/>
        <stp>BDH|18329116951480477869</stp>
        <tr r="U46" s="24"/>
      </tp>
      <tp t="e">
        <v>#N/A</v>
        <stp/>
        <stp>BDH|10164339830402006635</stp>
        <tr r="H69" s="13"/>
      </tp>
      <tp t="e">
        <v>#N/A</v>
        <stp/>
        <stp>BDH|12641855726308791435</stp>
        <tr r="Q42" s="22"/>
      </tp>
      <tp t="e">
        <v>#N/A</v>
        <stp/>
        <stp>BDH|10227920555898537014</stp>
        <tr r="F15" s="12"/>
      </tp>
      <tp t="e">
        <v>#N/A</v>
        <stp/>
        <stp>BDH|13706037151880517212</stp>
        <tr r="Z44" s="24"/>
      </tp>
      <tp t="e">
        <v>#N/A</v>
        <stp/>
        <stp>BDH|11484277842116069504</stp>
        <tr r="T21" s="10"/>
      </tp>
      <tp t="e">
        <v>#N/A</v>
        <stp/>
        <stp>BDH|13030565117627195415</stp>
        <tr r="R15" s="18"/>
      </tp>
      <tp t="e">
        <v>#N/A</v>
        <stp/>
        <stp>BDH|18066000111518406540</stp>
        <tr r="F32" s="13"/>
        <tr r="D25" s="10"/>
      </tp>
      <tp t="e">
        <v>#N/A</v>
        <stp/>
        <stp>BDH|11278578700963517315</stp>
        <tr r="AA66" s="13"/>
      </tp>
      <tp t="e">
        <v>#N/A</v>
        <stp/>
        <stp>BDH|13564751117576258745</stp>
        <tr r="N40" s="24"/>
      </tp>
      <tp t="e">
        <v>#N/A</v>
        <stp/>
        <stp>BDH|16295154221641509029</stp>
        <tr r="D16" s="10"/>
      </tp>
      <tp t="e">
        <v>#N/A</v>
        <stp/>
        <stp>BDH|13651585267065913113</stp>
        <tr r="Q27" s="21"/>
      </tp>
      <tp t="e">
        <v>#N/A</v>
        <stp/>
        <stp>BDH|16048814591061590248</stp>
        <tr r="X30" s="24"/>
      </tp>
      <tp t="e">
        <v>#N/A</v>
        <stp/>
        <stp>BDH|15625511557720427157</stp>
        <tr r="P20" s="23"/>
      </tp>
      <tp t="e">
        <v>#N/A</v>
        <stp/>
        <stp>BDH|13916754910535488499</stp>
        <tr r="T66" s="10"/>
      </tp>
      <tp t="e">
        <v>#N/A</v>
        <stp/>
        <stp>BDH|17129713838763068490</stp>
        <tr r="H14" s="27"/>
        <tr r="H32" s="25"/>
      </tp>
      <tp t="e">
        <v>#N/A</v>
        <stp/>
        <stp>BDH|14493476543104296437</stp>
        <tr r="P7" s="27"/>
        <tr r="P94" s="17"/>
      </tp>
      <tp t="e">
        <v>#N/A</v>
        <stp/>
        <stp>BDH|15972154077307232083</stp>
        <tr r="N18" s="6"/>
      </tp>
      <tp t="e">
        <v>#N/A</v>
        <stp/>
        <stp>BDH|13073885985077571093</stp>
        <tr r="Q96" s="18"/>
      </tp>
      <tp t="e">
        <v>#N/A</v>
        <stp/>
        <stp>BDH|15731816314259369107</stp>
        <tr r="R17" s="34"/>
      </tp>
      <tp t="e">
        <v>#N/A</v>
        <stp/>
        <stp>BDH|15860387273217239206</stp>
        <tr r="L77" s="24"/>
      </tp>
      <tp t="e">
        <v>#N/A</v>
        <stp/>
        <stp>BDH|13702655409264911530</stp>
        <tr r="I22" s="18"/>
      </tp>
      <tp t="e">
        <v>#N/A</v>
        <stp/>
        <stp>BDH|14680841806668134049</stp>
        <tr r="Z64" s="18"/>
      </tp>
      <tp t="e">
        <v>#N/A</v>
        <stp/>
        <stp>BDH|18172803990064097908</stp>
        <tr r="Q38" s="34"/>
      </tp>
      <tp t="e">
        <v>#N/A</v>
        <stp/>
        <stp>BDH|11873192000152681669</stp>
        <tr r="X49" s="21"/>
      </tp>
      <tp t="e">
        <v>#N/A</v>
        <stp/>
        <stp>BDH|11709636686109673254</stp>
        <tr r="U35" s="13"/>
        <tr r="S28" s="10"/>
      </tp>
      <tp t="e">
        <v>#N/A</v>
        <stp/>
        <stp>BDH|16919420208735734351</stp>
        <tr r="G38" s="26"/>
      </tp>
      <tp t="e">
        <v>#N/A</v>
        <stp/>
        <stp>BDH|14842048113023614289</stp>
        <tr r="X11" s="13"/>
      </tp>
      <tp t="e">
        <v>#N/A</v>
        <stp/>
        <stp>BDH|18416689405299116380</stp>
        <tr r="E160" s="18"/>
      </tp>
      <tp t="e">
        <v>#N/A</v>
        <stp/>
        <stp>BDH|12471679842752102602</stp>
        <tr r="K12" s="12"/>
      </tp>
      <tp t="e">
        <v>#N/A</v>
        <stp/>
        <stp>BDH|11376689497398842242</stp>
        <tr r="AA33" s="17"/>
      </tp>
      <tp t="e">
        <v>#N/A</v>
        <stp/>
        <stp>BDH|11861194427030581631</stp>
        <tr r="W10" s="26"/>
      </tp>
      <tp t="e">
        <v>#N/A</v>
        <stp/>
        <stp>BDH|16360232601210446059</stp>
        <tr r="I54" s="10"/>
        <tr r="I43" s="11"/>
        <tr r="I14" s="7"/>
        <tr r="K9" s="3"/>
      </tp>
      <tp t="e">
        <v>#N/A</v>
        <stp/>
        <stp>BDH|10828962787545983007</stp>
        <tr r="J44" s="22"/>
      </tp>
      <tp t="e">
        <v>#N/A</v>
        <stp/>
        <stp>BDH|16116349511792744232</stp>
        <tr r="J8" s="24"/>
      </tp>
      <tp t="e">
        <v>#N/A</v>
        <stp/>
        <stp>BDH|10380098238623299406</stp>
        <tr r="V23" s="6"/>
      </tp>
      <tp t="e">
        <v>#N/A</v>
        <stp/>
        <stp>BDH|11290517844047719307</stp>
        <tr r="W76" s="12"/>
      </tp>
      <tp t="e">
        <v>#N/A</v>
        <stp/>
        <stp>BDH|16227475551312246168</stp>
        <tr r="W9" s="22"/>
      </tp>
      <tp t="e">
        <v>#N/A</v>
        <stp/>
        <stp>BDH|12276928983582730541</stp>
        <tr r="R11" s="14"/>
      </tp>
      <tp t="e">
        <v>#N/A</v>
        <stp/>
        <stp>BDH|16643560754406493401</stp>
        <tr r="S84" s="18"/>
      </tp>
      <tp t="e">
        <v>#N/A</v>
        <stp/>
        <stp>BDH|16757938186574337713</stp>
        <tr r="Q36" s="12"/>
      </tp>
      <tp t="e">
        <v>#N/A</v>
        <stp/>
        <stp>BDH|17710471305850230773</stp>
        <tr r="G53" s="34"/>
      </tp>
      <tp t="e">
        <v>#N/A</v>
        <stp/>
        <stp>BDH|13270919926675173940</stp>
        <tr r="Q13" s="20"/>
        <tr r="Q118" s="18"/>
      </tp>
      <tp t="e">
        <v>#N/A</v>
        <stp/>
        <stp>BDH|15645000328887773494</stp>
        <tr r="U172" s="18"/>
      </tp>
      <tp t="e">
        <v>#N/A</v>
        <stp/>
        <stp>BDH|12188026053031573256</stp>
        <tr r="Y19" s="24"/>
      </tp>
      <tp t="e">
        <v>#N/A</v>
        <stp/>
        <stp>BDH|14259618575883483222</stp>
        <tr r="V40" s="13"/>
        <tr r="T33" s="10"/>
      </tp>
      <tp t="e">
        <v>#N/A</v>
        <stp/>
        <stp>BDH|14199697999699620674</stp>
        <tr r="R49" s="6"/>
      </tp>
      <tp t="e">
        <v>#N/A</v>
        <stp/>
        <stp>BDH|11043832394213535729</stp>
        <tr r="Q25" s="12"/>
      </tp>
      <tp t="e">
        <v>#N/A</v>
        <stp/>
        <stp>BDH|13293293686904578989</stp>
        <tr r="C8" s="26"/>
      </tp>
      <tp t="e">
        <v>#N/A</v>
        <stp/>
        <stp>BDH|10804386221564698177</stp>
        <tr r="I140" s="18"/>
      </tp>
      <tp t="e">
        <v>#N/A</v>
        <stp/>
        <stp>BDH|17543598767096275696</stp>
        <tr r="P97" s="18"/>
      </tp>
      <tp t="e">
        <v>#N/A</v>
        <stp/>
        <stp>BDH|11417149134802393574</stp>
        <tr r="H14" s="23"/>
      </tp>
      <tp t="e">
        <v>#N/A</v>
        <stp/>
        <stp>BDH|15252378933317418622</stp>
        <tr r="M25" s="5"/>
      </tp>
      <tp t="e">
        <v>#N/A</v>
        <stp/>
        <stp>BDH|18253205582812705474</stp>
        <tr r="O39" s="29"/>
        <tr r="O16" s="29"/>
      </tp>
      <tp t="e">
        <v>#N/A</v>
        <stp/>
        <stp>BDH|10198230059016997523</stp>
        <tr r="Z43" s="26"/>
      </tp>
      <tp t="e">
        <v>#N/A</v>
        <stp/>
        <stp>BDH|17737901337771824884</stp>
        <tr r="Z57" s="12"/>
      </tp>
      <tp t="e">
        <v>#N/A</v>
        <stp/>
        <stp>BDH|13865749915560995101</stp>
        <tr r="Z56" s="17"/>
      </tp>
      <tp t="e">
        <v>#N/A</v>
        <stp/>
        <stp>BDH|10431550735524645620</stp>
        <tr r="J14" s="10"/>
      </tp>
      <tp t="e">
        <v>#N/A</v>
        <stp/>
        <stp>BDH|11412112451115377477</stp>
        <tr r="F7" s="23"/>
      </tp>
      <tp t="e">
        <v>#N/A</v>
        <stp/>
        <stp>BDH|11691508808382802260</stp>
        <tr r="T30" s="12"/>
      </tp>
      <tp t="e">
        <v>#N/A</v>
        <stp/>
        <stp>BDH|11103274369882888375</stp>
        <tr r="F68" s="10"/>
        <tr r="F25" s="4"/>
      </tp>
      <tp t="e">
        <v>#N/A</v>
        <stp/>
        <stp>BDH|12507733744393450665</stp>
        <tr r="K14" s="4"/>
      </tp>
      <tp t="e">
        <v>#N/A</v>
        <stp/>
        <stp>BDH|16984072279667357249</stp>
        <tr r="E18" s="17"/>
      </tp>
      <tp t="e">
        <v>#N/A</v>
        <stp/>
        <stp>BDH|13554739110639559838</stp>
        <tr r="X37" s="34"/>
      </tp>
      <tp t="e">
        <v>#N/A</v>
        <stp/>
        <stp>BDH|17361222815326062646</stp>
        <tr r="C26" s="12"/>
      </tp>
      <tp t="e">
        <v>#N/A</v>
        <stp/>
        <stp>BDH|12463926122598543516</stp>
        <tr r="V61" s="11"/>
      </tp>
      <tp t="e">
        <v>#N/A</v>
        <stp/>
        <stp>BDH|10701082733422862547</stp>
        <tr r="U87" s="12"/>
      </tp>
      <tp t="e">
        <v>#N/A</v>
        <stp/>
        <stp>BDH|10546683265935089180</stp>
        <tr r="Z37" s="22"/>
      </tp>
      <tp t="e">
        <v>#N/A</v>
        <stp/>
        <stp>BDH|17504724653340603121</stp>
        <tr r="I50" s="18"/>
      </tp>
      <tp t="e">
        <v>#N/A</v>
        <stp/>
        <stp>BDH|15879895150975572949</stp>
        <tr r="X53" s="12"/>
      </tp>
      <tp t="e">
        <v>#N/A</v>
        <stp/>
        <stp>BDH|15266102676454060343</stp>
        <tr r="F7" s="17"/>
      </tp>
      <tp t="e">
        <v>#N/A</v>
        <stp/>
        <stp>BDH|17006724263017434552</stp>
        <tr r="J96" s="17"/>
      </tp>
      <tp t="e">
        <v>#N/A</v>
        <stp/>
        <stp>BDH|10156213443252125023</stp>
        <tr r="H10" s="21"/>
      </tp>
      <tp t="e">
        <v>#N/A</v>
        <stp/>
        <stp>BDH|16678217421521453324</stp>
        <tr r="Y13" s="13"/>
      </tp>
      <tp t="e">
        <v>#N/A</v>
        <stp/>
        <stp>BDH|17666879684172126148</stp>
        <tr r="O29" s="17"/>
      </tp>
      <tp t="e">
        <v>#N/A</v>
        <stp/>
        <stp>BDH|14323480701956149284</stp>
        <tr r="U19" s="18"/>
      </tp>
      <tp t="e">
        <v>#N/A</v>
        <stp/>
        <stp>BDH|15336397109847979590</stp>
        <tr r="Y24" s="25"/>
      </tp>
      <tp t="e">
        <v>#N/A</v>
        <stp/>
        <stp>BDH|17545166407130508228</stp>
        <tr r="I57" s="18"/>
      </tp>
      <tp t="e">
        <v>#N/A</v>
        <stp/>
        <stp>BDH|13264784650164100188</stp>
        <tr r="V19" s="24"/>
      </tp>
      <tp t="e">
        <v>#N/A</v>
        <stp/>
        <stp>BDH|15760247131801476155</stp>
        <tr r="G41" s="17"/>
      </tp>
      <tp t="e">
        <v>#N/A</v>
        <stp/>
        <stp>BDH|15536508217266973385</stp>
        <tr r="O90" s="17"/>
      </tp>
      <tp t="e">
        <v>#N/A</v>
        <stp/>
        <stp>BDH|15304003543460288515</stp>
        <tr r="P39" s="6"/>
      </tp>
      <tp t="e">
        <v>#N/A</v>
        <stp/>
        <stp>BDH|12188133700313474455</stp>
        <tr r="P53" s="13"/>
      </tp>
      <tp t="e">
        <v>#N/A</v>
        <stp/>
        <stp>BDH|10087287379970556179</stp>
        <tr r="H19" s="11"/>
      </tp>
      <tp t="e">
        <v>#N/A</v>
        <stp/>
        <stp>BDH|11312652160571453419</stp>
        <tr r="O18" s="13"/>
      </tp>
      <tp t="e">
        <v>#N/A</v>
        <stp/>
        <stp>BDH|14174135613814545474</stp>
        <tr r="Z71" s="18"/>
      </tp>
      <tp t="e">
        <v>#N/A</v>
        <stp/>
        <stp>BDH|13955545649777357148</stp>
        <tr r="F39" s="29"/>
        <tr r="F16" s="29"/>
      </tp>
      <tp t="e">
        <v>#N/A</v>
        <stp/>
        <stp>BDH|14700436462095090756</stp>
        <tr r="Q25" s="24"/>
      </tp>
      <tp t="e">
        <v>#N/A</v>
        <stp/>
        <stp>BDH|10310322788666244988</stp>
        <tr r="S26" s="24"/>
      </tp>
      <tp t="e">
        <v>#N/A</v>
        <stp/>
        <stp>BDH|16741404640323291163</stp>
        <tr r="Q23" s="13"/>
      </tp>
      <tp t="e">
        <v>#N/A</v>
        <stp/>
        <stp>BDH|18281151004858010509</stp>
        <tr r="G17" s="12"/>
      </tp>
      <tp t="e">
        <v>#N/A</v>
        <stp/>
        <stp>BDH|18382414549958851409</stp>
        <tr r="T34" s="18"/>
      </tp>
      <tp t="e">
        <v>#N/A</v>
        <stp/>
        <stp>BDH|10877184565731199275</stp>
        <tr r="D175" s="18"/>
      </tp>
      <tp t="e">
        <v>#N/A</v>
        <stp/>
        <stp>BDH|15663426751960455024</stp>
        <tr r="F11" s="17"/>
      </tp>
      <tp t="e">
        <v>#N/A</v>
        <stp/>
        <stp>BDH|10741091112821931466</stp>
        <tr r="O6" s="15"/>
        <tr r="O6" s="10"/>
        <tr r="O12" s="2"/>
        <tr r="O11" s="4"/>
      </tp>
      <tp t="e">
        <v>#N/A</v>
        <stp/>
        <stp>BDH|13294624616328503806</stp>
        <tr r="M32" s="6"/>
      </tp>
      <tp t="e">
        <v>#N/A</v>
        <stp/>
        <stp>BDH|16303684458201398030</stp>
        <tr r="K33" s="17"/>
      </tp>
      <tp t="e">
        <v>#N/A</v>
        <stp/>
        <stp>BDH|11251112060486387434</stp>
        <tr r="K76" s="18"/>
      </tp>
      <tp t="e">
        <v>#N/A</v>
        <stp/>
        <stp>BDH|15121301467393364769</stp>
        <tr r="U13" s="24"/>
      </tp>
      <tp t="e">
        <v>#N/A</v>
        <stp/>
        <stp>BDH|14034346356641158709</stp>
        <tr r="N108" s="18"/>
      </tp>
      <tp t="e">
        <v>#N/A</v>
        <stp/>
        <stp>BDH|11571033062701185264</stp>
        <tr r="I72" s="12"/>
      </tp>
      <tp t="e">
        <v>#N/A</v>
        <stp/>
        <stp>BDH|16411639291675052854</stp>
        <tr r="H53" s="21"/>
      </tp>
      <tp t="e">
        <v>#N/A</v>
        <stp/>
        <stp>BDH|13819055986986138991</stp>
        <tr r="K20" s="10"/>
      </tp>
      <tp t="e">
        <v>#N/A</v>
        <stp/>
        <stp>BDH|10956775826757283691</stp>
        <tr r="U94" s="18"/>
      </tp>
      <tp t="e">
        <v>#N/A</v>
        <stp/>
        <stp>BDH|14405267574360235579</stp>
        <tr r="U19" s="23"/>
        <tr r="S60" s="11"/>
      </tp>
      <tp t="e">
        <v>#N/A</v>
        <stp/>
        <stp>BDH|18411528213558218040</stp>
        <tr r="J84" s="12"/>
      </tp>
      <tp t="e">
        <v>#N/A</v>
        <stp/>
        <stp>BDH|10550173560877923481</stp>
        <tr r="S8" s="22"/>
      </tp>
      <tp t="e">
        <v>#N/A</v>
        <stp/>
        <stp>BDH|15344012064915646236</stp>
        <tr r="L64" s="11"/>
        <tr r="L75" s="10"/>
      </tp>
      <tp t="e">
        <v>#N/A</v>
        <stp/>
        <stp>BDH|15346316932054770549</stp>
        <tr r="U29" s="12"/>
      </tp>
      <tp t="e">
        <v>#N/A</v>
        <stp/>
        <stp>BDH|15397675252053524102</stp>
        <tr r="T20" s="5"/>
      </tp>
      <tp t="e">
        <v>#N/A</v>
        <stp/>
        <stp>BDH|14142371207277030428</stp>
        <tr r="N27" s="17"/>
      </tp>
      <tp t="e">
        <v>#N/A</v>
        <stp/>
        <stp>BDH|14236354836989005922</stp>
        <tr r="N22" s="7"/>
      </tp>
      <tp t="e">
        <v>#N/A</v>
        <stp/>
        <stp>BDH|11619656074992350679</stp>
        <tr r="O13" s="8"/>
      </tp>
      <tp t="e">
        <v>#N/A</v>
        <stp/>
        <stp>BDH|15528290254666802035</stp>
        <tr r="M48" s="17"/>
      </tp>
      <tp t="e">
        <v>#N/A</v>
        <stp/>
        <stp>BDH|17498764131866326136</stp>
        <tr r="T77" s="17"/>
      </tp>
      <tp t="e">
        <v>#N/A</v>
        <stp/>
        <stp>BDH|10957964869242529900</stp>
        <tr r="Q16" s="14"/>
      </tp>
      <tp t="e">
        <v>#N/A</v>
        <stp/>
        <stp>BDH|12657415553450428736</stp>
        <tr r="G18" s="23"/>
      </tp>
      <tp t="e">
        <v>#N/A</v>
        <stp/>
        <stp>BDH|17514076184643139842</stp>
        <tr r="G51" s="10"/>
        <tr r="G40" s="11"/>
        <tr r="G28" s="11"/>
        <tr r="G39" s="10"/>
      </tp>
      <tp t="e">
        <v>#N/A</v>
        <stp/>
        <stp>BDH|18145033630119108606</stp>
        <tr r="I22" s="12"/>
      </tp>
      <tp t="e">
        <v>#N/A</v>
        <stp/>
        <stp>BDH|16724370164240014771</stp>
        <tr r="X10" s="12"/>
      </tp>
      <tp t="e">
        <v>#N/A</v>
        <stp/>
        <stp>BDH|10334995890113139784</stp>
        <tr r="K12" s="20"/>
        <tr r="K117" s="18"/>
      </tp>
      <tp t="e">
        <v>#N/A</v>
        <stp/>
        <stp>BDH|16302471326217744367</stp>
        <tr r="M72" s="13"/>
      </tp>
      <tp t="e">
        <v>#N/A</v>
        <stp/>
        <stp>BDH|12799750472251787744</stp>
        <tr r="P19" s="11"/>
      </tp>
      <tp t="e">
        <v>#N/A</v>
        <stp/>
        <stp>BDH|17466362962820322609</stp>
        <tr r="F19" s="24"/>
      </tp>
      <tp t="e">
        <v>#N/A</v>
        <stp/>
        <stp>BDH|15566360191902191901</stp>
        <tr r="M29" s="18"/>
      </tp>
      <tp t="e">
        <v>#N/A</v>
        <stp/>
        <stp>BDH|16809500271985869529</stp>
        <tr r="W6" s="15"/>
        <tr r="W6" s="10"/>
        <tr r="W11" s="4"/>
        <tr r="W12" s="2"/>
      </tp>
      <tp t="e">
        <v>#N/A</v>
        <stp/>
        <stp>BDH|15373549103112315648</stp>
        <tr r="J69" s="18"/>
      </tp>
      <tp t="e">
        <v>#N/A</v>
        <stp/>
        <stp>BDH|16872511516056983058</stp>
        <tr r="Z13" s="30"/>
      </tp>
      <tp t="e">
        <v>#N/A</v>
        <stp/>
        <stp>BDH|13168771953505462022</stp>
        <tr r="I13" s="7"/>
      </tp>
      <tp t="e">
        <v>#N/A</v>
        <stp/>
        <stp>BDH|17695219523322030176</stp>
        <tr r="I24" s="11"/>
        <tr r="I35" s="10"/>
      </tp>
      <tp t="e">
        <v>#N/A</v>
        <stp/>
        <stp>BDH|13147705885279175161</stp>
        <tr r="F78" s="24"/>
      </tp>
      <tp t="e">
        <v>#N/A</v>
        <stp/>
        <stp>BDH|12313715923671664241</stp>
        <tr r="G46" s="6"/>
        <tr r="G19" s="5"/>
      </tp>
      <tp t="e">
        <v>#N/A</v>
        <stp/>
        <stp>BDH|14464741903454119317</stp>
        <tr r="I9" s="27"/>
      </tp>
      <tp t="e">
        <v>#N/A</v>
        <stp/>
        <stp>BDH|15504536070421256272</stp>
        <tr r="H35" s="22"/>
      </tp>
      <tp t="e">
        <v>#N/A</v>
        <stp/>
        <stp>BDH|14256357157483678555</stp>
        <tr r="O38" s="25"/>
        <tr r="O92" s="17"/>
      </tp>
      <tp t="e">
        <v>#N/A</v>
        <stp/>
        <stp>BDH|12518659977532147542</stp>
        <tr r="K31" s="26"/>
      </tp>
      <tp t="e">
        <v>#N/A</v>
        <stp/>
        <stp>BDH|10451623596288270309</stp>
        <tr r="U22" s="4"/>
      </tp>
      <tp t="e">
        <v>#N/A</v>
        <stp/>
        <stp>BDH|15316622828167911229</stp>
        <tr r="C47" s="6"/>
      </tp>
      <tp t="e">
        <v>#N/A</v>
        <stp/>
        <stp>BDH|14092657416523130402</stp>
        <tr r="W16" s="26"/>
      </tp>
      <tp t="e">
        <v>#N/A</v>
        <stp/>
        <stp>BDH|11399776067623372727</stp>
        <tr r="G67" s="18"/>
      </tp>
      <tp t="e">
        <v>#N/A</v>
        <stp/>
        <stp>BDH|17361065948641889674</stp>
        <tr r="M44" s="21"/>
      </tp>
      <tp t="e">
        <v>#N/A</v>
        <stp/>
        <stp>BDH|15992217805974963769</stp>
        <tr r="I11" s="11"/>
      </tp>
      <tp t="e">
        <v>#N/A</v>
        <stp/>
        <stp>BDH|10016019924126429033</stp>
        <tr r="M48" s="24"/>
      </tp>
      <tp t="e">
        <v>#N/A</v>
        <stp/>
        <stp>BDH|10722681259133292463</stp>
        <tr r="L23" s="30"/>
        <tr r="L25" s="23"/>
      </tp>
      <tp t="e">
        <v>#N/A</v>
        <stp/>
        <stp>BDH|13286624067526496118</stp>
        <tr r="S17" s="18"/>
      </tp>
      <tp t="e">
        <v>#N/A</v>
        <stp/>
        <stp>BDH|13804998690123222413</stp>
        <tr r="AA13" s="26"/>
      </tp>
      <tp t="e">
        <v>#N/A</v>
        <stp/>
        <stp>BDH|17322024562993693679</stp>
        <tr r="L11" s="28"/>
      </tp>
      <tp t="e">
        <v>#N/A</v>
        <stp/>
        <stp>BDH|11178874098950449481</stp>
        <tr r="U20" s="17"/>
      </tp>
      <tp t="e">
        <v>#N/A</v>
        <stp/>
        <stp>BDH|16245148011143747126</stp>
        <tr r="C165" s="18"/>
      </tp>
      <tp t="e">
        <v>#N/A</v>
        <stp/>
        <stp>BDH|16024574386898681758</stp>
        <tr r="R37" s="13"/>
        <tr r="P30" s="10"/>
      </tp>
      <tp t="e">
        <v>#N/A</v>
        <stp/>
        <stp>BDH|11973713616345817648</stp>
        <tr r="F31" s="22"/>
      </tp>
      <tp t="e">
        <v>#N/A</v>
        <stp/>
        <stp>BDH|11862130880998143485</stp>
        <tr r="X24" s="22"/>
      </tp>
      <tp t="e">
        <v>#N/A</v>
        <stp/>
        <stp>BDH|11029344606975764374</stp>
        <tr r="T36" s="4"/>
      </tp>
      <tp t="e">
        <v>#N/A</v>
        <stp/>
        <stp>BDH|13636046462796599776</stp>
        <tr r="J86" s="12"/>
      </tp>
      <tp t="e">
        <v>#N/A</v>
        <stp/>
        <stp>BDH|17317946817468166339</stp>
        <tr r="V32" s="24"/>
      </tp>
      <tp t="e">
        <v>#N/A</v>
        <stp/>
        <stp>BDH|12701873687700719629</stp>
        <tr r="E130" s="18"/>
      </tp>
      <tp t="e">
        <v>#N/A</v>
        <stp/>
        <stp>BDH|15471149644262428622</stp>
        <tr r="AA22" s="12"/>
      </tp>
      <tp t="e">
        <v>#N/A</v>
        <stp/>
        <stp>BDH|10607544836261322358</stp>
        <tr r="M57" s="13"/>
        <tr r="K38" s="11"/>
        <tr r="K49" s="10"/>
        <tr r="K53" s="4"/>
        <tr r="K18" s="2"/>
      </tp>
      <tp t="e">
        <v>#N/A</v>
        <stp/>
        <stp>BDH|17020708413644067116</stp>
        <tr r="C70" s="18"/>
      </tp>
      <tp t="e">
        <v>#N/A</v>
        <stp/>
        <stp>BDH|13526469406865666619</stp>
        <tr r="X19" s="24"/>
      </tp>
      <tp t="e">
        <v>#N/A</v>
        <stp/>
        <stp>BDH|16829784233506150005</stp>
        <tr r="W166" s="18"/>
      </tp>
      <tp t="e">
        <v>#N/A</v>
        <stp/>
        <stp>BDH|11225411367657171071</stp>
        <tr r="V24" s="21"/>
      </tp>
      <tp t="e">
        <v>#N/A</v>
        <stp/>
        <stp>BDH|18188153986261535459</stp>
        <tr r="V8" s="23"/>
      </tp>
      <tp t="e">
        <v>#N/A</v>
        <stp/>
        <stp>BDH|17805717993144907914</stp>
        <tr r="J31" s="26"/>
      </tp>
      <tp t="e">
        <v>#N/A</v>
        <stp/>
        <stp>BDH|17135176275767919281</stp>
        <tr r="X28" s="22"/>
      </tp>
      <tp t="e">
        <v>#N/A</v>
        <stp/>
        <stp>BDH|18302046464759676374</stp>
        <tr r="W93" s="18"/>
      </tp>
      <tp t="e">
        <v>#N/A</v>
        <stp/>
        <stp>BDH|11278234582188457755</stp>
        <tr r="S44" s="11"/>
        <tr r="S55" s="10"/>
        <tr r="S15" s="7"/>
      </tp>
      <tp t="e">
        <v>#N/A</v>
        <stp/>
        <stp>BDH|11834304967255511585</stp>
        <tr r="Z63" s="24"/>
      </tp>
      <tp t="e">
        <v>#N/A</v>
        <stp/>
        <stp>BDH|11451598456194856118</stp>
        <tr r="R55" s="21"/>
      </tp>
      <tp t="e">
        <v>#N/A</v>
        <stp/>
        <stp>BDH|11345461134354408676</stp>
        <tr r="V122" s="18"/>
      </tp>
      <tp t="e">
        <v>#N/A</v>
        <stp/>
        <stp>BDH|12913601630380805333</stp>
        <tr r="I49" s="34"/>
      </tp>
      <tp t="e">
        <v>#N/A</v>
        <stp/>
        <stp>BDH|14266626893127024813</stp>
        <tr r="V106" s="18"/>
      </tp>
      <tp t="e">
        <v>#N/A</v>
        <stp/>
        <stp>BDH|12285184048242860188</stp>
        <tr r="V34" s="21"/>
      </tp>
      <tp t="e">
        <v>#N/A</v>
        <stp/>
        <stp>BDH|11448545005234018475</stp>
        <tr r="P58" s="6"/>
      </tp>
      <tp t="e">
        <v>#N/A</v>
        <stp/>
        <stp>BDH|11830080556203757333</stp>
        <tr r="L17" s="21"/>
        <tr r="L23" s="3"/>
        <tr r="J23" s="2"/>
      </tp>
      <tp t="e">
        <v>#N/A</v>
        <stp/>
        <stp>BDH|11715052827062316544</stp>
        <tr r="Q56" s="11"/>
      </tp>
      <tp t="e">
        <v>#N/A</v>
        <stp/>
        <stp>BDH|10256445805211013116</stp>
        <tr r="S28" s="9"/>
        <tr r="S30" s="5"/>
      </tp>
      <tp t="e">
        <v>#N/A</v>
        <stp/>
        <stp>BDH|16028896429141238903</stp>
        <tr r="S8" s="17"/>
      </tp>
      <tp t="e">
        <v>#N/A</v>
        <stp/>
        <stp>BDH|11501074185039200471</stp>
        <tr r="K12" s="7"/>
      </tp>
      <tp t="e">
        <v>#N/A</v>
        <stp/>
        <stp>BDH|15177065142726778306</stp>
        <tr r="AA8" s="26"/>
        <tr r="X10" s="9"/>
      </tp>
      <tp t="e">
        <v>#N/A</v>
        <stp/>
        <stp>BDH|16859451058054649714</stp>
        <tr r="J62" s="11"/>
        <tr r="J73" s="10"/>
        <tr r="J20" s="7"/>
      </tp>
      <tp t="e">
        <v>#N/A</v>
        <stp/>
        <stp>BDH|11861106050603801222</stp>
        <tr r="E161" s="18"/>
      </tp>
      <tp t="e">
        <v>#N/A</v>
        <stp/>
        <stp>BDH|15748538182524488805</stp>
        <tr r="T17" s="14"/>
      </tp>
      <tp t="e">
        <v>#N/A</v>
        <stp/>
        <stp>BDH|18112725274789013529</stp>
        <tr r="X6" s="16"/>
        <tr r="Y6" s="11"/>
        <tr r="Y10" s="4"/>
        <tr r="AA6" s="3"/>
      </tp>
      <tp t="e">
        <v>#N/A</v>
        <stp/>
        <stp>BDH|14810447248164650479</stp>
        <tr r="E8" s="6"/>
      </tp>
      <tp t="e">
        <v>#N/A</v>
        <stp/>
        <stp>BDH|12060359832545641344</stp>
        <tr r="W29" s="6"/>
      </tp>
      <tp t="e">
        <v>#N/A</v>
        <stp/>
        <stp>BDH|14678540019650695482</stp>
        <tr r="N64" s="17"/>
      </tp>
      <tp t="e">
        <v>#N/A</v>
        <stp/>
        <stp>BDH|17839488924821613478</stp>
        <tr r="C11" s="6"/>
      </tp>
      <tp t="e">
        <v>#N/A</v>
        <stp/>
        <stp>BDH|12331801986840171614</stp>
        <tr r="N96" s="12"/>
      </tp>
      <tp t="e">
        <v>#N/A</v>
        <stp/>
        <stp>BDH|12440439425072047270</stp>
        <tr r="Q28" s="6"/>
      </tp>
      <tp t="e">
        <v>#N/A</v>
        <stp/>
        <stp>BDH|16221667596929369442</stp>
        <tr r="R12" s="27"/>
        <tr r="R30" s="25"/>
      </tp>
      <tp t="e">
        <v>#N/A</v>
        <stp/>
        <stp>BDH|13018009334096059215</stp>
        <tr r="R27" s="17"/>
      </tp>
      <tp t="e">
        <v>#N/A</v>
        <stp/>
        <stp>BDH|14783444660867649508</stp>
        <tr r="K108" s="18"/>
      </tp>
      <tp t="e">
        <v>#N/A</v>
        <stp/>
        <stp>BDH|15761264321731544009</stp>
        <tr r="D33" s="17"/>
      </tp>
      <tp t="e">
        <v>#N/A</v>
        <stp/>
        <stp>BDH|14005606777007162638</stp>
        <tr r="E17" s="30"/>
      </tp>
      <tp t="e">
        <v>#N/A</v>
        <stp/>
        <stp>BDH|14719182559241388501</stp>
        <tr r="R18" s="34"/>
      </tp>
      <tp t="e">
        <v>#N/A</v>
        <stp/>
        <stp>BDH|17930591838737599284</stp>
        <tr r="E27" s="26"/>
      </tp>
      <tp t="e">
        <v>#N/A</v>
        <stp/>
        <stp>BDH|17501804391745442758</stp>
        <tr r="J38" s="24"/>
      </tp>
      <tp t="e">
        <v>#N/A</v>
        <stp/>
        <stp>BDH|17600917640539084725</stp>
        <tr r="Y12" s="18"/>
      </tp>
      <tp t="e">
        <v>#N/A</v>
        <stp/>
        <stp>BDH|15141768113355757265</stp>
        <tr r="Q69" s="24"/>
      </tp>
      <tp t="e">
        <v>#N/A</v>
        <stp/>
        <stp>BDH|15389326663301603513</stp>
        <tr r="E11" s="28"/>
      </tp>
      <tp t="e">
        <v>#N/A</v>
        <stp/>
        <stp>BDH|16932831698680523328</stp>
        <tr r="J139" s="18"/>
      </tp>
      <tp t="e">
        <v>#N/A</v>
        <stp/>
        <stp>BDH|12461080823302280683</stp>
        <tr r="L50" s="22"/>
      </tp>
      <tp t="e">
        <v>#N/A</v>
        <stp/>
        <stp>BDH|17811629602061979441</stp>
        <tr r="L36" s="18"/>
      </tp>
      <tp t="e">
        <v>#N/A</v>
        <stp/>
        <stp>BDH|16194424214246616140</stp>
        <tr r="Q24" s="24"/>
      </tp>
      <tp t="e">
        <v>#N/A</v>
        <stp/>
        <stp>BDH|18320913525563325418</stp>
        <tr r="V46" s="24"/>
      </tp>
      <tp t="e">
        <v>#N/A</v>
        <stp/>
        <stp>BDH|14709054687978745074</stp>
        <tr r="U10" s="10"/>
      </tp>
      <tp t="e">
        <v>#N/A</v>
        <stp/>
        <stp>BDH|11780221675713360365</stp>
        <tr r="Q165" s="18"/>
      </tp>
      <tp t="e">
        <v>#N/A</v>
        <stp/>
        <stp>BDH|12005393547877916627</stp>
        <tr r="P47" s="13"/>
      </tp>
      <tp t="e">
        <v>#N/A</v>
        <stp/>
        <stp>BDH|13468702447353034768</stp>
        <tr r="Q67" s="10"/>
      </tp>
      <tp t="e">
        <v>#N/A</v>
        <stp/>
        <stp>BDH|13300753133992204126</stp>
        <tr r="E16" s="10"/>
      </tp>
      <tp t="e">
        <v>#N/A</v>
        <stp/>
        <stp>BDH|13429079536967382339</stp>
        <tr r="P66" s="12"/>
      </tp>
      <tp t="e">
        <v>#N/A</v>
        <stp/>
        <stp>BDH|10726524405640233170</stp>
        <tr r="F138" s="18"/>
      </tp>
      <tp t="e">
        <v>#N/A</v>
        <stp/>
        <stp>BDH|12602416010961091225</stp>
        <tr r="T15" s="10"/>
      </tp>
      <tp t="e">
        <v>#N/A</v>
        <stp/>
        <stp>BDH|18182342298962183498</stp>
        <tr r="N95" s="18"/>
      </tp>
      <tp t="e">
        <v>#N/A</v>
        <stp/>
        <stp>BDH|17565411940764168705</stp>
        <tr r="T14" s="11"/>
      </tp>
      <tp t="e">
        <v>#N/A</v>
        <stp/>
        <stp>BDH|12477807633299385418</stp>
        <tr r="K38" s="29"/>
        <tr r="K15" s="29"/>
      </tp>
      <tp t="e">
        <v>#N/A</v>
        <stp/>
        <stp>BDH|10034198907284826139</stp>
        <tr r="R120" s="18"/>
      </tp>
      <tp t="e">
        <v>#N/A</v>
        <stp/>
        <stp>BDH|14860289873464322158</stp>
        <tr r="X31" s="13"/>
        <tr r="V23" s="11"/>
        <tr r="V34" s="10"/>
        <tr r="V45" s="4"/>
      </tp>
      <tp t="e">
        <v>#N/A</v>
        <stp/>
        <stp>BDH|16335872036581451830</stp>
        <tr r="O11" s="9"/>
      </tp>
      <tp t="e">
        <v>#N/A</v>
        <stp/>
        <stp>BDH|15790074200580383161</stp>
        <tr r="U44" s="22"/>
      </tp>
      <tp t="e">
        <v>#N/A</v>
        <stp/>
        <stp>BDH|12304853022329522543</stp>
        <tr r="C15" s="5"/>
      </tp>
      <tp t="e">
        <v>#N/A</v>
        <stp/>
        <stp>BDH|10934580864561846682</stp>
        <tr r="L129" s="18"/>
      </tp>
      <tp t="e">
        <v>#N/A</v>
        <stp/>
        <stp>BDH|15441106374075532201</stp>
        <tr r="G11" s="21"/>
      </tp>
      <tp t="e">
        <v>#N/A</v>
        <stp/>
        <stp>BDH|10017996807485377883</stp>
        <tr r="Y27" s="7"/>
      </tp>
      <tp t="e">
        <v>#N/A</v>
        <stp/>
        <stp>BDH|10467881925657916956</stp>
        <tr r="W20" s="28"/>
        <tr r="W17" s="17"/>
      </tp>
      <tp t="e">
        <v>#N/A</v>
        <stp/>
        <stp>BDH|11631676779022805653</stp>
        <tr r="Q17" s="30"/>
      </tp>
      <tp t="e">
        <v>#N/A</v>
        <stp/>
        <stp>BDH|16952391003226103770</stp>
        <tr r="C61" s="12"/>
      </tp>
      <tp t="e">
        <v>#N/A</v>
        <stp/>
        <stp>BDH|15813992395037777661</stp>
        <tr r="H29" s="11"/>
        <tr r="J45" s="13"/>
        <tr r="H40" s="10"/>
      </tp>
      <tp t="e">
        <v>#N/A</v>
        <stp/>
        <stp>BDH|11114864697256467214</stp>
        <tr r="T9" s="28"/>
      </tp>
      <tp t="e">
        <v>#N/A</v>
        <stp/>
        <stp>BDH|18146826772184176750</stp>
        <tr r="L54" s="17"/>
        <tr r="L17" s="3"/>
      </tp>
      <tp t="e">
        <v>#N/A</v>
        <stp/>
        <stp>BDH|16810396816355718551</stp>
        <tr r="H32" s="29"/>
        <tr r="F34" s="5"/>
      </tp>
      <tp t="e">
        <v>#N/A</v>
        <stp/>
        <stp>BDH|17936013954524838212</stp>
        <tr r="H88" s="17"/>
      </tp>
      <tp t="e">
        <v>#N/A</v>
        <stp/>
        <stp>BDH|17306423124330299532</stp>
        <tr r="V14" s="4"/>
      </tp>
      <tp t="e">
        <v>#N/A</v>
        <stp/>
        <stp>BDH|10908380595408563659</stp>
        <tr r="Q36" s="10"/>
        <tr r="Q25" s="11"/>
      </tp>
      <tp t="e">
        <v>#N/A</v>
        <stp/>
        <stp>BDH|10127603961307404309</stp>
        <tr r="G11" s="30"/>
      </tp>
      <tp t="e">
        <v>#N/A</v>
        <stp/>
        <stp>BDH|14038868441208738441</stp>
        <tr r="S31" s="5"/>
      </tp>
      <tp t="e">
        <v>#N/A</v>
        <stp/>
        <stp>BDH|16298141301657429477</stp>
        <tr r="U60" s="12"/>
      </tp>
      <tp t="e">
        <v>#N/A</v>
        <stp/>
        <stp>BDH|17486028651537494177</stp>
        <tr r="I15" s="24"/>
      </tp>
      <tp t="e">
        <v>#N/A</v>
        <stp/>
        <stp>BDH|16489654771776208561</stp>
        <tr r="L32" s="6"/>
      </tp>
      <tp t="e">
        <v>#N/A</v>
        <stp/>
        <stp>BDH|15696116490779739042</stp>
        <tr r="Q26" s="12"/>
      </tp>
      <tp t="e">
        <v>#N/A</v>
        <stp/>
        <stp>BDH|10959635426010008089</stp>
        <tr r="L41" s="13"/>
        <tr r="J23" s="10"/>
        <tr r="J46" s="4"/>
      </tp>
      <tp t="e">
        <v>#N/A</v>
        <stp/>
        <stp>BDH|15389210854556728057</stp>
        <tr r="K67" s="18"/>
      </tp>
      <tp t="e">
        <v>#N/A</v>
        <stp/>
        <stp>BDH|17001051074893111740</stp>
        <tr r="G46" s="24"/>
      </tp>
      <tp t="e">
        <v>#N/A</v>
        <stp/>
        <stp>BDH|11489521744723536735</stp>
        <tr r="N53" s="21"/>
      </tp>
      <tp t="e">
        <v>#N/A</v>
        <stp/>
        <stp>BDH|14136704403883460421</stp>
        <tr r="V50" s="18"/>
      </tp>
      <tp t="e">
        <v>#N/A</v>
        <stp/>
        <stp>BDH|12222266177721384243</stp>
        <tr r="N67" s="17"/>
      </tp>
      <tp t="e">
        <v>#N/A</v>
        <stp/>
        <stp>BDH|14321439247661541161</stp>
        <tr r="R84" s="12"/>
      </tp>
      <tp t="e">
        <v>#N/A</v>
        <stp/>
        <stp>BDH|16135500533270580436</stp>
        <tr r="U17" s="21"/>
        <tr r="S23" s="2"/>
        <tr r="U23" s="3"/>
      </tp>
      <tp t="e">
        <v>#N/A</v>
        <stp/>
        <stp>BDH|12598368704113693657</stp>
        <tr r="Q93" s="12"/>
      </tp>
      <tp t="e">
        <v>#N/A</v>
        <stp/>
        <stp>BDH|17290402104223668441</stp>
        <tr r="T173" s="18"/>
      </tp>
      <tp t="e">
        <v>#N/A</v>
        <stp/>
        <stp>BDH|11047965495764796101</stp>
        <tr r="J98" s="18"/>
      </tp>
      <tp t="e">
        <v>#N/A</v>
        <stp/>
        <stp>BDH|11915458506605779495</stp>
        <tr r="E18" s="20"/>
      </tp>
      <tp t="e">
        <v>#N/A</v>
        <stp/>
        <stp>BDH|17367309556686163302</stp>
        <tr r="V12" s="6"/>
      </tp>
      <tp t="e">
        <v>#N/A</v>
        <stp/>
        <stp>BDH|15431064306829344836</stp>
        <tr r="Q45" s="34"/>
      </tp>
      <tp t="e">
        <v>#N/A</v>
        <stp/>
        <stp>BDH|15672825762766303918</stp>
        <tr r="L69" s="13"/>
      </tp>
      <tp t="e">
        <v>#N/A</v>
        <stp/>
        <stp>BDH|11852813343769884064</stp>
        <tr r="O29" s="6"/>
      </tp>
      <tp t="e">
        <v>#N/A</v>
        <stp/>
        <stp>BDH|13147391985418982405</stp>
        <tr r="C43" s="34"/>
      </tp>
      <tp t="e">
        <v>#N/A</v>
        <stp/>
        <stp>BDH|13099335016925413058</stp>
        <tr r="P68" s="10"/>
        <tr r="P25" s="4"/>
      </tp>
      <tp t="e">
        <v>#N/A</v>
        <stp/>
        <stp>BDH|17313107972693680634</stp>
        <tr r="P71" s="17"/>
      </tp>
      <tp t="e">
        <v>#N/A</v>
        <stp/>
        <stp>BDH|15883487315613253730</stp>
        <tr r="C35" s="11"/>
        <tr r="C46" s="10"/>
      </tp>
      <tp t="e">
        <v>#N/A</v>
        <stp/>
        <stp>BDH|13023652000354618571</stp>
        <tr r="G9" s="23"/>
      </tp>
      <tp t="e">
        <v>#N/A</v>
        <stp/>
        <stp>BDH|12665223948150951012</stp>
        <tr r="G47" s="6"/>
      </tp>
      <tp t="e">
        <v>#N/A</v>
        <stp/>
        <stp>BDH|12478482939443710263</stp>
        <tr r="D26" s="24"/>
      </tp>
      <tp t="e">
        <v>#N/A</v>
        <stp/>
        <stp>BDH|13956693425314828795</stp>
        <tr r="K48" s="13"/>
      </tp>
      <tp t="e">
        <v>#N/A</v>
        <stp/>
        <stp>BDH|12705463774303456657</stp>
        <tr r="R36" s="6"/>
        <tr r="R17" s="5"/>
      </tp>
      <tp t="e">
        <v>#N/A</v>
        <stp/>
        <stp>BDH|10775480363442965417</stp>
        <tr r="G10" s="18"/>
      </tp>
      <tp t="e">
        <v>#N/A</v>
        <stp/>
        <stp>BDH|11986320112916481198</stp>
        <tr r="W13" s="6"/>
      </tp>
      <tp t="e">
        <v>#N/A</v>
        <stp/>
        <stp>BDH|18233801983059403512</stp>
        <tr r="F13" s="30"/>
      </tp>
      <tp t="e">
        <v>#N/A</v>
        <stp/>
        <stp>BDH|16458544663676523725</stp>
        <tr r="F11" s="20"/>
        <tr r="F116" s="18"/>
      </tp>
      <tp t="e">
        <v>#N/A</v>
        <stp/>
        <stp>BDH|16316339404651362038</stp>
        <tr r="K27" s="12"/>
      </tp>
      <tp t="e">
        <v>#N/A</v>
        <stp/>
        <stp>BDH|10150175048123906231</stp>
        <tr r="V11" s="11"/>
      </tp>
      <tp t="e">
        <v>#N/A</v>
        <stp/>
        <stp>BDH|14444496202773300785</stp>
        <tr r="H21" s="18"/>
      </tp>
      <tp t="e">
        <v>#N/A</v>
        <stp/>
        <stp>BDH|10497571738975709786</stp>
        <tr r="L9" s="14"/>
      </tp>
      <tp t="e">
        <v>#N/A</v>
        <stp/>
        <stp>BDH|12864347345936461799</stp>
        <tr r="U35" s="21"/>
      </tp>
      <tp t="e">
        <v>#N/A</v>
        <stp/>
        <stp>BDH|11751677867220168521</stp>
        <tr r="T42" s="4"/>
      </tp>
      <tp t="e">
        <v>#N/A</v>
        <stp/>
        <stp>BDH|16117777700246227301</stp>
        <tr r="K66" s="18"/>
      </tp>
      <tp t="e">
        <v>#N/A</v>
        <stp/>
        <stp>BDH|13429380027113944561</stp>
        <tr r="F18" s="18"/>
      </tp>
      <tp t="e">
        <v>#N/A</v>
        <stp/>
        <stp>BDH|16900780190744502801</stp>
        <tr r="W9" s="11"/>
      </tp>
      <tp t="e">
        <v>#N/A</v>
        <stp/>
        <stp>BDH|10465824589542342686</stp>
        <tr r="AA129" s="18"/>
      </tp>
      <tp t="e">
        <v>#N/A</v>
        <stp/>
        <stp>BDH|12814497235092303332</stp>
        <tr r="W9" s="14"/>
      </tp>
      <tp t="e">
        <v>#N/A</v>
        <stp/>
        <stp>BDH|17848094970082675633</stp>
        <tr r="I8" s="21"/>
      </tp>
      <tp t="e">
        <v>#N/A</v>
        <stp/>
        <stp>BDH|10298307006816417143</stp>
        <tr r="V111" s="18"/>
      </tp>
      <tp t="e">
        <v>#N/A</v>
        <stp/>
        <stp>BDH|13581242835216142018</stp>
        <tr r="J8" s="17"/>
      </tp>
      <tp t="e">
        <v>#N/A</v>
        <stp/>
        <stp>BDH|13140985455888878335</stp>
        <tr r="Z167" s="18"/>
      </tp>
      <tp t="e">
        <v>#N/A</v>
        <stp/>
        <stp>BDH|14114040887898121040</stp>
        <tr r="L39" s="21"/>
      </tp>
      <tp t="e">
        <v>#N/A</v>
        <stp/>
        <stp>BDH|16073765421961761676</stp>
        <tr r="F32" s="29"/>
        <tr r="D34" s="5"/>
      </tp>
      <tp t="e">
        <v>#N/A</v>
        <stp/>
        <stp>BDH|14070012767173763569</stp>
        <tr r="L26" s="24"/>
      </tp>
      <tp t="e">
        <v>#N/A</v>
        <stp/>
        <stp>BDH|17541538867806696607</stp>
        <tr r="R83" s="18"/>
      </tp>
      <tp t="e">
        <v>#N/A</v>
        <stp/>
        <stp>BDH|17366462015094794207</stp>
        <tr r="H44" s="13"/>
        <tr r="F36" s="11"/>
        <tr r="F47" s="10"/>
        <tr r="F52" s="4"/>
        <tr r="H8" s="3"/>
      </tp>
      <tp t="e">
        <v>#N/A</v>
        <stp/>
        <stp>BDH|11307197563624725699</stp>
        <tr r="F69" s="13"/>
      </tp>
      <tp t="e">
        <v>#N/A</v>
        <stp/>
        <stp>BDH|11876463379804142212</stp>
        <tr r="H34" s="29"/>
      </tp>
      <tp t="e">
        <v>#N/A</v>
        <stp/>
        <stp>BDH|14360825205521697955</stp>
        <tr r="U8" s="8"/>
      </tp>
      <tp t="e">
        <v>#N/A</v>
        <stp/>
        <stp>BDH|14384870122463566943</stp>
        <tr r="E39" s="12"/>
      </tp>
      <tp t="e">
        <v>#N/A</v>
        <stp/>
        <stp>BDH|11614586469352591454</stp>
        <tr r="V20" s="14"/>
      </tp>
      <tp t="e">
        <v>#N/A</v>
        <stp/>
        <stp>BDH|16549164177945721143</stp>
        <tr r="W33" s="6"/>
      </tp>
      <tp t="e">
        <v>#N/A</v>
        <stp/>
        <stp>BDH|11473649043396775132</stp>
        <tr r="L20" s="24"/>
      </tp>
      <tp t="e">
        <v>#N/A</v>
        <stp/>
        <stp>BDH|12189761324761307276</stp>
        <tr r="P6" s="16"/>
        <tr r="Q6" s="11"/>
        <tr r="S6" s="3"/>
        <tr r="Q10" s="4"/>
      </tp>
      <tp t="e">
        <v>#N/A</v>
        <stp/>
        <stp>BDH|11284737141185784309</stp>
        <tr r="J24" s="11"/>
        <tr r="J35" s="10"/>
      </tp>
      <tp t="e">
        <v>#N/A</v>
        <stp/>
        <stp>BDH|14211245970926550347</stp>
        <tr r="L10" s="11"/>
      </tp>
      <tp t="e">
        <v>#N/A</v>
        <stp/>
        <stp>BDH|14790567653312156247</stp>
        <tr r="S30" s="9"/>
      </tp>
      <tp t="e">
        <v>#N/A</v>
        <stp/>
        <stp>BDH|10688510552100203407</stp>
        <tr r="C76" s="17"/>
      </tp>
      <tp t="e">
        <v>#N/A</v>
        <stp/>
        <stp>BDH|17826297004837256606</stp>
        <tr r="R29" s="6"/>
      </tp>
      <tp t="e">
        <v>#N/A</v>
        <stp/>
        <stp>BDH|15585721634546635321</stp>
        <tr r="N37" s="13"/>
        <tr r="L30" s="10"/>
      </tp>
      <tp t="e">
        <v>#N/A</v>
        <stp/>
        <stp>BDH|17318530663038185854</stp>
        <tr r="U74" s="24"/>
      </tp>
      <tp t="e">
        <v>#N/A</v>
        <stp/>
        <stp>BDH|12444119531517556360</stp>
        <tr r="E18" s="29"/>
        <tr r="E41" s="29"/>
      </tp>
      <tp t="e">
        <v>#N/A</v>
        <stp/>
        <stp>BDH|12630897986422689485</stp>
        <tr r="W24" s="21"/>
      </tp>
      <tp t="e">
        <v>#N/A</v>
        <stp/>
        <stp>BDH|10789053040742270277</stp>
        <tr r="Q24" s="26"/>
      </tp>
      <tp t="e">
        <v>#N/A</v>
        <stp/>
        <stp>BDH|16918468412606355196</stp>
        <tr r="H50" s="4"/>
      </tp>
      <tp t="e">
        <v>#N/A</v>
        <stp/>
        <stp>BDH|17929421164775096481</stp>
        <tr r="AA39" s="24"/>
      </tp>
      <tp t="e">
        <v>#N/A</v>
        <stp/>
        <stp>BDH|15729867655368031439</stp>
        <tr r="Q13" s="24"/>
      </tp>
      <tp t="e">
        <v>#N/A</v>
        <stp/>
        <stp>BDH|16633273427444786660</stp>
        <tr r="X18" s="34"/>
      </tp>
      <tp t="e">
        <v>#N/A</v>
        <stp/>
        <stp>BDH|13509219055185617505</stp>
        <tr r="K59" s="12"/>
      </tp>
      <tp t="e">
        <v>#N/A</v>
        <stp/>
        <stp>BDH|15589668432546345252</stp>
        <tr r="X32" s="12"/>
      </tp>
      <tp t="e">
        <v>#N/A</v>
        <stp/>
        <stp>BDH|15133516624482605452</stp>
        <tr r="Y60" s="21"/>
        <tr r="W55" s="11"/>
      </tp>
      <tp t="e">
        <v>#N/A</v>
        <stp/>
        <stp>BDH|15442320753691696648</stp>
        <tr r="W50" s="34"/>
      </tp>
      <tp t="e">
        <v>#N/A</v>
        <stp/>
        <stp>BDH|15380703594888908790</stp>
        <tr r="J165" s="18"/>
      </tp>
      <tp t="e">
        <v>#N/A</v>
        <stp/>
        <stp>BDH|17388348249686115284</stp>
        <tr r="I7" s="6"/>
      </tp>
      <tp t="e">
        <v>#N/A</v>
        <stp/>
        <stp>BDH|17276348786870437837</stp>
        <tr r="H144" s="18"/>
      </tp>
      <tp t="e">
        <v>#N/A</v>
        <stp/>
        <stp>BDH|14267516051557402716</stp>
        <tr r="R22" s="12"/>
      </tp>
      <tp t="e">
        <v>#N/A</v>
        <stp/>
        <stp>BDH|17164529142226661409</stp>
        <tr r="P38" s="12"/>
      </tp>
      <tp t="e">
        <v>#N/A</v>
        <stp/>
        <stp>BDH|12378701263666204151</stp>
        <tr r="O42" s="26"/>
      </tp>
      <tp t="e">
        <v>#N/A</v>
        <stp/>
        <stp>BDH|12856703068120561720</stp>
        <tr r="G51" s="13"/>
      </tp>
      <tp t="e">
        <v>#N/A</v>
        <stp/>
        <stp>BDH|14545041840545138172</stp>
        <tr r="T77" s="12"/>
      </tp>
      <tp t="e">
        <v>#N/A</v>
        <stp/>
        <stp>BDH|12757926191741341701</stp>
        <tr r="V44" s="22"/>
      </tp>
      <tp t="e">
        <v>#N/A</v>
        <stp/>
        <stp>BDH|11545133689175076980</stp>
        <tr r="F136" s="18"/>
      </tp>
      <tp t="e">
        <v>#N/A</v>
        <stp/>
        <stp>BDH|15670111092710783958</stp>
        <tr r="I12" s="14"/>
      </tp>
      <tp t="e">
        <v>#N/A</v>
        <stp/>
        <stp>BDH|15423983058068582569</stp>
        <tr r="M24" s="6"/>
      </tp>
      <tp t="e">
        <v>#N/A</v>
        <stp/>
        <stp>BDH|14090985356984814813</stp>
        <tr r="Q18" s="23"/>
      </tp>
      <tp t="e">
        <v>#N/A</v>
        <stp/>
        <stp>BDH|13627548287879729357</stp>
        <tr r="K57" s="11"/>
        <tr r="K24" s="4"/>
      </tp>
      <tp t="e">
        <v>#N/A</v>
        <stp/>
        <stp>BDH|14542417881468469466</stp>
        <tr r="D42" s="6"/>
      </tp>
      <tp t="e">
        <v>#N/A</v>
        <stp/>
        <stp>BDH|17950507405442862437</stp>
        <tr r="F174" s="18"/>
      </tp>
      <tp t="e">
        <v>#N/A</v>
        <stp/>
        <stp>BDH|10581157953840610020</stp>
        <tr r="M8" s="10"/>
      </tp>
      <tp t="e">
        <v>#N/A</v>
        <stp/>
        <stp>BDH|13802192252542200161</stp>
        <tr r="O16" s="10"/>
      </tp>
      <tp t="e">
        <v>#N/A</v>
        <stp/>
        <stp>BDH|13039373560093865180</stp>
        <tr r="I37" s="13"/>
        <tr r="G30" s="10"/>
      </tp>
      <tp t="e">
        <v>#N/A</v>
        <stp/>
        <stp>BDH|12643374520677392059</stp>
        <tr r="Z24" s="20"/>
      </tp>
      <tp t="e">
        <v>#N/A</v>
        <stp/>
        <stp>BDH|12915411698342708906</stp>
        <tr r="O149" s="18"/>
      </tp>
      <tp t="e">
        <v>#N/A</v>
        <stp/>
        <stp>BDH|11548454726364431755</stp>
        <tr r="X96" s="17"/>
      </tp>
      <tp t="e">
        <v>#N/A</v>
        <stp/>
        <stp>BDH|13113610662722353566</stp>
        <tr r="L21" s="4"/>
      </tp>
      <tp t="e">
        <v>#N/A</v>
        <stp/>
        <stp>BDH|14495913061428726749</stp>
        <tr r="T137" s="18"/>
      </tp>
      <tp t="e">
        <v>#N/A</v>
        <stp/>
        <stp>BDH|15964127068076540010</stp>
        <tr r="R157" s="18"/>
      </tp>
      <tp t="e">
        <v>#N/A</v>
        <stp/>
        <stp>BDH|12868583356134496259</stp>
        <tr r="X56" s="6"/>
      </tp>
      <tp t="e">
        <v>#N/A</v>
        <stp/>
        <stp>BDH|12628044424750920487</stp>
        <tr r="O27" s="18"/>
      </tp>
      <tp t="e">
        <v>#N/A</v>
        <stp/>
        <stp>BDH|18305095526169243794</stp>
        <tr r="C65" s="21"/>
      </tp>
      <tp t="e">
        <v>#N/A</v>
        <stp/>
        <stp>BDH|14954724055993059186</stp>
        <tr r="T50" s="34"/>
      </tp>
      <tp t="e">
        <v>#N/A</v>
        <stp/>
        <stp>BDH|10655791923829878820</stp>
        <tr r="P44" s="18"/>
      </tp>
      <tp t="e">
        <v>#N/A</v>
        <stp/>
        <stp>BDH|14280171545371392458</stp>
        <tr r="C133" s="18"/>
      </tp>
      <tp t="e">
        <v>#N/A</v>
        <stp/>
        <stp>BDH|15568812258814257883</stp>
        <tr r="R30" s="22"/>
      </tp>
      <tp t="e">
        <v>#N/A</v>
        <stp/>
        <stp>BDH|15111445703935253021</stp>
        <tr r="AA164" s="18"/>
      </tp>
      <tp t="e">
        <v>#N/A</v>
        <stp/>
        <stp>BDH|10599235504987595115</stp>
        <tr r="E21" s="6"/>
      </tp>
      <tp t="e">
        <v>#N/A</v>
        <stp/>
        <stp>BDH|12010067977716499731</stp>
        <tr r="R54" s="34"/>
      </tp>
      <tp t="e">
        <v>#N/A</v>
        <stp/>
        <stp>BDH|16497574267508196938</stp>
        <tr r="T28" s="17"/>
      </tp>
      <tp t="e">
        <v>#N/A</v>
        <stp/>
        <stp>BDH|14236056651924635167</stp>
        <tr r="S37" s="24"/>
      </tp>
      <tp t="e">
        <v>#N/A</v>
        <stp/>
        <stp>BDH|13363149871783513251</stp>
        <tr r="V49" s="34"/>
      </tp>
      <tp t="e">
        <v>#N/A</v>
        <stp/>
        <stp>BDH|13384609355984578050</stp>
        <tr r="E21" s="11"/>
      </tp>
      <tp t="e">
        <v>#N/A</v>
        <stp/>
        <stp>BDH|11482704243704906284</stp>
        <tr r="N36" s="10"/>
        <tr r="N25" s="11"/>
      </tp>
      <tp t="e">
        <v>#N/A</v>
        <stp/>
        <stp>BDH|16033398029711164275</stp>
        <tr r="K45" s="22"/>
      </tp>
      <tp t="e">
        <v>#N/A</v>
        <stp/>
        <stp>BDH|11986857081934987121</stp>
        <tr r="N70" s="18"/>
      </tp>
      <tp t="e">
        <v>#N/A</v>
        <stp/>
        <stp>BDH|15521701989168349698</stp>
        <tr r="R66" s="21"/>
      </tp>
      <tp t="e">
        <v>#N/A</v>
        <stp/>
        <stp>BDH|16007221190648011148</stp>
        <tr r="D61" s="21"/>
      </tp>
      <tp t="e">
        <v>#N/A</v>
        <stp/>
        <stp>BDH|10208269961775111522</stp>
        <tr r="S11" s="9"/>
      </tp>
      <tp t="e">
        <v>#N/A</v>
        <stp/>
        <stp>BDH|17585937055519525605</stp>
        <tr r="G72" s="13"/>
      </tp>
      <tp t="e">
        <v>#N/A</v>
        <stp/>
        <stp>BDH|11880804699620633415</stp>
        <tr r="R13" s="28"/>
        <tr r="R95" s="17"/>
      </tp>
      <tp t="e">
        <v>#N/A</v>
        <stp/>
        <stp>BDH|13185694810343852369</stp>
        <tr r="U48" s="21"/>
      </tp>
      <tp t="e">
        <v>#N/A</v>
        <stp/>
        <stp>BDH|13471577270032431710</stp>
        <tr r="R55" s="13"/>
      </tp>
      <tp t="e">
        <v>#N/A</v>
        <stp/>
        <stp>BDH|17724371500095149574</stp>
        <tr r="U158" s="18"/>
      </tp>
      <tp t="e">
        <v>#N/A</v>
        <stp/>
        <stp>BDH|10905843056610928945</stp>
        <tr r="Q47" s="11"/>
        <tr r="Q58" s="10"/>
        <tr r="Q7" s="7"/>
        <tr r="S12" s="3"/>
      </tp>
      <tp t="e">
        <v>#N/A</v>
        <stp/>
        <stp>BDH|17043703448080853060</stp>
        <tr r="W12" s="22"/>
      </tp>
      <tp t="e">
        <v>#N/A</v>
        <stp/>
        <stp>BDH|16798976447226971988</stp>
        <tr r="R11" s="7"/>
      </tp>
      <tp t="e">
        <v>#N/A</v>
        <stp/>
        <stp>BDH|15411508470862444167</stp>
        <tr r="V32" s="13"/>
        <tr r="T25" s="10"/>
      </tp>
      <tp t="e">
        <v>#N/A</v>
        <stp/>
        <stp>BDH|15074463694274669821</stp>
        <tr r="G43" s="21"/>
      </tp>
      <tp t="e">
        <v>#N/A</v>
        <stp/>
        <stp>BDH|14117004492708757126</stp>
        <tr r="K22" s="25"/>
      </tp>
      <tp t="e">
        <v>#N/A</v>
        <stp/>
        <stp>BDH|15421533671263017003</stp>
        <tr r="P10" s="24"/>
      </tp>
      <tp t="e">
        <v>#N/A</v>
        <stp/>
        <stp>BDH|17896652517533460789</stp>
        <tr r="O12" s="26"/>
      </tp>
      <tp t="e">
        <v>#N/A</v>
        <stp/>
        <stp>BDH|17226127867773735761</stp>
        <tr r="V30" s="29"/>
        <tr r="V8" s="29"/>
      </tp>
      <tp t="e">
        <v>#N/A</v>
        <stp/>
        <stp>BDH|12286122875452772249</stp>
        <tr r="X160" s="18"/>
      </tp>
      <tp t="e">
        <v>#N/A</v>
        <stp/>
        <stp>BDH|10193514338433711198</stp>
        <tr r="C67" s="13"/>
      </tp>
      <tp t="e">
        <v>#N/A</v>
        <stp/>
        <stp>BDH|10048415022442462014</stp>
        <tr r="T99" s="18"/>
      </tp>
      <tp t="e">
        <v>#N/A</v>
        <stp/>
        <stp>BDH|17776437677625187549</stp>
        <tr r="C97" s="18"/>
      </tp>
      <tp t="e">
        <v>#N/A</v>
        <stp/>
        <stp>BDH|13734302074567423411</stp>
        <tr r="J148" s="18"/>
      </tp>
      <tp t="e">
        <v>#N/A</v>
        <stp/>
        <stp>BDH|17906114903693836156</stp>
        <tr r="D75" s="18"/>
      </tp>
      <tp t="e">
        <v>#N/A</v>
        <stp/>
        <stp>BDH|13749816145059051251</stp>
        <tr r="G56" s="18"/>
      </tp>
      <tp t="e">
        <v>#N/A</v>
        <stp/>
        <stp>BDH|16718954241438445713</stp>
        <tr r="O66" s="18"/>
      </tp>
      <tp t="e">
        <v>#N/A</v>
        <stp/>
        <stp>BDH|13648106657120153360</stp>
        <tr r="W80" s="18"/>
      </tp>
      <tp t="e">
        <v>#N/A</v>
        <stp/>
        <stp>BDH|13846347978372437165</stp>
        <tr r="L19" s="29"/>
        <tr r="L10" s="29"/>
        <tr r="L25" s="29"/>
        <tr r="L12" s="8"/>
        <tr r="J6" s="9"/>
        <tr r="J6" s="5"/>
        <tr r="K6" s="2"/>
      </tp>
      <tp t="e">
        <v>#N/A</v>
        <stp/>
        <stp>BDH|11601733955631645607</stp>
        <tr r="V68" s="18"/>
      </tp>
      <tp t="e">
        <v>#N/A</v>
        <stp/>
        <stp>BDH|12251984139079254572</stp>
        <tr r="I18" s="12"/>
      </tp>
      <tp t="e">
        <v>#N/A</v>
        <stp/>
        <stp>BDH|10429350157702734073</stp>
        <tr r="Z84" s="17"/>
        <tr r="X6" s="7"/>
        <tr r="Z20" s="3"/>
      </tp>
      <tp t="e">
        <v>#N/A</v>
        <stp/>
        <stp>BDH|16139313171241356742</stp>
        <tr r="I38" s="26"/>
      </tp>
      <tp t="e">
        <v>#N/A</v>
        <stp/>
        <stp>BDH|15244236463425527011</stp>
        <tr r="Z66" s="18"/>
      </tp>
      <tp t="e">
        <v>#N/A</v>
        <stp/>
        <stp>BDH|13027072031824383035</stp>
        <tr r="H6" s="8"/>
        <tr r="F51" s="6"/>
      </tp>
      <tp t="e">
        <v>#N/A</v>
        <stp/>
        <stp>BDH|11489543018005284438</stp>
        <tr r="U22" s="17"/>
        <tr r="U15" s="3"/>
      </tp>
      <tp t="e">
        <v>#N/A</v>
        <stp/>
        <stp>BDH|14980392583502828926</stp>
        <tr r="M32" s="11"/>
        <tr r="M43" s="10"/>
      </tp>
      <tp t="e">
        <v>#N/A</v>
        <stp/>
        <stp>BDH|14068319948794137310</stp>
        <tr r="D61" s="11"/>
      </tp>
      <tp t="e">
        <v>#N/A</v>
        <stp/>
        <stp>BDH|14049333818476181430</stp>
        <tr r="M21" s="24"/>
      </tp>
      <tp t="e">
        <v>#N/A</v>
        <stp/>
        <stp>BDH|15629073655873534780</stp>
        <tr r="U25" s="7"/>
      </tp>
      <tp t="e">
        <v>#N/A</v>
        <stp/>
        <stp>BDH|13894347512592110760</stp>
        <tr r="Z7" s="17"/>
      </tp>
      <tp t="e">
        <v>#N/A</v>
        <stp/>
        <stp>BDH|11857962478409912268</stp>
        <tr r="T76" s="17"/>
      </tp>
      <tp t="e">
        <v>#N/A</v>
        <stp/>
        <stp>BDH|16346498446527260575</stp>
        <tr r="I7" s="11"/>
      </tp>
      <tp t="e">
        <v>#N/A</v>
        <stp/>
        <stp>BDH|13866428676211453513</stp>
        <tr r="W57" s="12"/>
      </tp>
      <tp t="e">
        <v>#N/A</v>
        <stp/>
        <stp>BDH|15624789517636306134</stp>
        <tr r="S15" s="9"/>
      </tp>
      <tp t="e">
        <v>#N/A</v>
        <stp/>
        <stp>BDH|13920970984767790144</stp>
        <tr r="K22" s="22"/>
      </tp>
      <tp t="e">
        <v>#N/A</v>
        <stp/>
        <stp>BDH|10828228680208205610</stp>
        <tr r="C11" s="7"/>
      </tp>
      <tp t="e">
        <v>#N/A</v>
        <stp/>
        <stp>BDH|13736770774941571685</stp>
        <tr r="Z9" s="14"/>
      </tp>
      <tp t="e">
        <v>#N/A</v>
        <stp/>
        <stp>BDH|13274072495327875919</stp>
        <tr r="D87" s="12"/>
      </tp>
      <tp t="e">
        <v>#N/A</v>
        <stp/>
        <stp>BDH|12987534546561154644</stp>
        <tr r="E9" s="34"/>
      </tp>
      <tp t="e">
        <v>#N/A</v>
        <stp/>
        <stp>BDH|13046174108414446228</stp>
        <tr r="P80" s="17"/>
      </tp>
      <tp t="e">
        <v>#N/A</v>
        <stp/>
        <stp>BDH|15520235310634912668</stp>
        <tr r="C30" s="21"/>
      </tp>
      <tp t="e">
        <v>#N/A</v>
        <stp/>
        <stp>BDH|12279255143698494892</stp>
        <tr r="Y47" s="17"/>
      </tp>
      <tp t="e">
        <v>#N/A</v>
        <stp/>
        <stp>BDH|12205544305556965538</stp>
        <tr r="L22" s="22"/>
      </tp>
      <tp t="e">
        <v>#N/A</v>
        <stp/>
        <stp>BDH|15147299915471666321</stp>
        <tr r="S23" s="18"/>
      </tp>
      <tp t="e">
        <v>#N/A</v>
        <stp/>
        <stp>BDH|11009606321496898706</stp>
        <tr r="Q54" s="13"/>
      </tp>
      <tp t="e">
        <v>#N/A</v>
        <stp/>
        <stp>BDH|12903635136991480219</stp>
        <tr r="K9" s="27"/>
      </tp>
      <tp t="e">
        <v>#N/A</v>
        <stp/>
        <stp>BDH|12278102278454188424</stp>
        <tr r="Z41" s="26"/>
      </tp>
      <tp t="e">
        <v>#N/A</v>
        <stp/>
        <stp>BDH|14578769369485735444</stp>
        <tr r="C156" s="18"/>
      </tp>
      <tp t="e">
        <v>#N/A</v>
        <stp/>
        <stp>BDH|12165849788215742334</stp>
        <tr r="U127" s="18"/>
      </tp>
      <tp t="e">
        <v>#N/A</v>
        <stp/>
        <stp>BDH|13064491375711195544</stp>
        <tr r="P15" s="4"/>
      </tp>
      <tp t="e">
        <v>#N/A</v>
        <stp/>
        <stp>BDH|10656545260341346684</stp>
        <tr r="V53" s="12"/>
      </tp>
      <tp t="e">
        <v>#N/A</v>
        <stp/>
        <stp>BDH|15211243004643264091</stp>
        <tr r="W73" s="17"/>
      </tp>
      <tp t="e">
        <v>#N/A</v>
        <stp/>
        <stp>BDH|11806497142502940734</stp>
        <tr r="T71" s="10"/>
      </tp>
      <tp t="e">
        <v>#N/A</v>
        <stp/>
        <stp>BDH|14189346882962627987</stp>
        <tr r="C12" s="11"/>
      </tp>
      <tp t="e">
        <v>#N/A</v>
        <stp/>
        <stp>BDH|10488894948930961851</stp>
        <tr r="F97" s="18"/>
      </tp>
      <tp t="e">
        <v>#N/A</v>
        <stp/>
        <stp>BDH|14257187862822830598</stp>
        <tr r="W44" s="22"/>
      </tp>
      <tp t="e">
        <v>#N/A</v>
        <stp/>
        <stp>BDH|16498245276927705084</stp>
        <tr r="M34" s="18"/>
      </tp>
      <tp t="e">
        <v>#N/A</v>
        <stp/>
        <stp>BDH|17178546428881009548</stp>
        <tr r="P8" s="13"/>
      </tp>
      <tp t="e">
        <v>#N/A</v>
        <stp/>
        <stp>BDH|11109884223769753647</stp>
        <tr r="D24" s="29"/>
      </tp>
      <tp t="e">
        <v>#N/A</v>
        <stp/>
        <stp>BDH|14901247347557723141</stp>
        <tr r="J152" s="18"/>
      </tp>
      <tp t="e">
        <v>#N/A</v>
        <stp/>
        <stp>BDH|17624860772134922820</stp>
        <tr r="H24" s="20"/>
      </tp>
      <tp t="e">
        <v>#N/A</v>
        <stp/>
        <stp>BDH|11283589131690054322</stp>
        <tr r="G84" s="18"/>
      </tp>
      <tp t="e">
        <v>#N/A</v>
        <stp/>
        <stp>BDH|14774702330475948175</stp>
        <tr r="X8" s="4"/>
      </tp>
      <tp t="e">
        <v>#N/A</v>
        <stp/>
        <stp>BDH|13857950753129307243</stp>
        <tr r="R64" s="12"/>
      </tp>
      <tp t="e">
        <v>#N/A</v>
        <stp/>
        <stp>BDH|16718037610094532782</stp>
        <tr r="Q7" s="21"/>
      </tp>
      <tp t="e">
        <v>#N/A</v>
        <stp/>
        <stp>BDH|14893703776140650019</stp>
        <tr r="W34" s="21"/>
      </tp>
      <tp t="e">
        <v>#N/A</v>
        <stp/>
        <stp>BDH|10377094127296120055</stp>
        <tr r="I57" s="24"/>
      </tp>
      <tp t="e">
        <v>#N/A</v>
        <stp/>
        <stp>BDH|17588879609753328812</stp>
        <tr r="Z91" s="12"/>
      </tp>
      <tp t="e">
        <v>#N/A</v>
        <stp/>
        <stp>BDH|10094973797952019697</stp>
        <tr r="D153" s="18"/>
      </tp>
      <tp t="e">
        <v>#N/A</v>
        <stp/>
        <stp>BDH|18333844023415974341</stp>
        <tr r="O7" s="34"/>
      </tp>
      <tp t="e">
        <v>#N/A</v>
        <stp/>
        <stp>BDH|15568589240227514718</stp>
        <tr r="G18" s="14"/>
      </tp>
      <tp t="e">
        <v>#N/A</v>
        <stp/>
        <stp>BDH|14078124795218955070</stp>
        <tr r="E7" s="23"/>
      </tp>
      <tp t="e">
        <v>#N/A</v>
        <stp/>
        <stp>BDH|12204190909737379084</stp>
        <tr r="K131" s="18"/>
      </tp>
      <tp t="e">
        <v>#N/A</v>
        <stp/>
        <stp>BDH|14681462054559882853</stp>
        <tr r="X49" s="12"/>
      </tp>
      <tp t="e">
        <v>#N/A</v>
        <stp/>
        <stp>BDH|17185171735769922838</stp>
        <tr r="U25" s="13"/>
      </tp>
      <tp t="e">
        <v>#N/A</v>
        <stp/>
        <stp>BDH|14374937189654232521</stp>
        <tr r="J74" s="12"/>
      </tp>
      <tp t="e">
        <v>#N/A</v>
        <stp/>
        <stp>BDH|16280131952880233686</stp>
        <tr r="T95" s="12"/>
      </tp>
      <tp t="e">
        <v>#N/A</v>
        <stp/>
        <stp>BDH|10595687601694541617</stp>
        <tr r="L72" s="10"/>
      </tp>
      <tp t="e">
        <v>#N/A</v>
        <stp/>
        <stp>BDH|15069228817622972044</stp>
        <tr r="Y91" s="12"/>
      </tp>
      <tp t="e">
        <v>#N/A</v>
        <stp/>
        <stp>BDH|16035263624801843327</stp>
        <tr r="E81" s="12"/>
      </tp>
      <tp t="e">
        <v>#N/A</v>
        <stp/>
        <stp>BDH|10352129933362861423</stp>
        <tr r="E129" s="18"/>
      </tp>
      <tp t="e">
        <v>#N/A</v>
        <stp/>
        <stp>BDH|11440140341928005897</stp>
        <tr r="J19" s="17"/>
      </tp>
      <tp t="e">
        <v>#N/A</v>
        <stp/>
        <stp>BDH|11983511747042327641</stp>
        <tr r="K156" s="18"/>
      </tp>
      <tp t="e">
        <v>#N/A</v>
        <stp/>
        <stp>BDH|15240631660479019899</stp>
        <tr r="Z21" s="3"/>
      </tp>
      <tp t="e">
        <v>#N/A</v>
        <stp/>
        <stp>BDH|17780176159100468751</stp>
        <tr r="H16" s="13"/>
        <tr r="H28" s="13"/>
        <tr r="F17" s="10"/>
      </tp>
      <tp t="e">
        <v>#N/A</v>
        <stp/>
        <stp>BDH|17585136669566512222</stp>
        <tr r="M41" s="18"/>
      </tp>
      <tp t="e">
        <v>#N/A</v>
        <stp/>
        <stp>BDH|15756127205460884006</stp>
        <tr r="H58" s="17"/>
      </tp>
      <tp t="e">
        <v>#N/A</v>
        <stp/>
        <stp>BDH|17406341949683486757</stp>
        <tr r="Y26" s="25"/>
        <tr r="Y56" s="21"/>
      </tp>
      <tp t="e">
        <v>#N/A</v>
        <stp/>
        <stp>BDH|10272670471467990252</stp>
        <tr r="H12" s="26"/>
      </tp>
      <tp t="e">
        <v>#N/A</v>
        <stp/>
        <stp>BDH|17137212945954866151</stp>
        <tr r="T163" s="18"/>
      </tp>
      <tp t="e">
        <v>#N/A</v>
        <stp/>
        <stp>BDH|12586173701535256294</stp>
        <tr r="U31" s="5"/>
      </tp>
      <tp t="e">
        <v>#N/A</v>
        <stp/>
        <stp>BDH|15031762872803428284</stp>
        <tr r="N51" s="13"/>
      </tp>
      <tp t="e">
        <v>#N/A</v>
        <stp/>
        <stp>BDH|11997974784071357517</stp>
        <tr r="H22" s="17"/>
        <tr r="H15" s="3"/>
      </tp>
      <tp t="e">
        <v>#N/A</v>
        <stp/>
        <stp>BDH|14885762678950759098</stp>
        <tr r="M71" s="12"/>
      </tp>
      <tp t="e">
        <v>#N/A</v>
        <stp/>
        <stp>BDH|14949138217876491611</stp>
        <tr r="Y32" s="12"/>
      </tp>
      <tp t="e">
        <v>#N/A</v>
        <stp/>
        <stp>BDH|10244673346285804339</stp>
        <tr r="W22" s="20"/>
      </tp>
      <tp t="e">
        <v>#N/A</v>
        <stp/>
        <stp>BDH|14906597523510898737</stp>
        <tr r="O44" s="24"/>
      </tp>
      <tp t="e">
        <v>#N/A</v>
        <stp/>
        <stp>BDH|15834474502896195345</stp>
        <tr r="Z10" s="21"/>
      </tp>
      <tp t="e">
        <v>#N/A</v>
        <stp/>
        <stp>BDH|11143439661963257492</stp>
        <tr r="L26" s="11"/>
        <tr r="L37" s="10"/>
      </tp>
      <tp t="e">
        <v>#N/A</v>
        <stp/>
        <stp>BDH|14409440774905885643</stp>
        <tr r="K14" s="6"/>
      </tp>
      <tp t="e">
        <v>#N/A</v>
        <stp/>
        <stp>BDH|10927833663329209330</stp>
        <tr r="P9" s="27"/>
      </tp>
      <tp t="e">
        <v>#N/A</v>
        <stp/>
        <stp>BDH|17920118202993589179</stp>
        <tr r="U36" s="18"/>
      </tp>
      <tp t="e">
        <v>#N/A</v>
        <stp/>
        <stp>BDH|14242576834177852117</stp>
        <tr r="M15" s="9"/>
      </tp>
      <tp t="e">
        <v>#N/A</v>
        <stp/>
        <stp>BDH|14732764056196731484</stp>
        <tr r="M58" s="6"/>
      </tp>
      <tp t="e">
        <v>#N/A</v>
        <stp/>
        <stp>BDH|17913218071891247735</stp>
        <tr r="J18" s="34"/>
      </tp>
      <tp t="e">
        <v>#N/A</v>
        <stp/>
        <stp>BDH|12519957214398877642</stp>
        <tr r="C9" s="27"/>
      </tp>
      <tp t="e">
        <v>#N/A</v>
        <stp/>
        <stp>BDH|17972712315127624236</stp>
        <tr r="I49" s="13"/>
      </tp>
      <tp t="e">
        <v>#N/A</v>
        <stp/>
        <stp>BDH|12438754908271719063</stp>
        <tr r="C16" s="22"/>
      </tp>
      <tp t="e">
        <v>#N/A</v>
        <stp/>
        <stp>BDH|16029976737641801905</stp>
        <tr r="W42" s="21"/>
      </tp>
      <tp t="e">
        <v>#N/A</v>
        <stp/>
        <stp>BDH|16512197917137244515</stp>
        <tr r="X26" s="25"/>
        <tr r="X56" s="21"/>
      </tp>
      <tp t="e">
        <v>#N/A</v>
        <stp/>
        <stp>BDH|12587991737189663558</stp>
        <tr r="W77" s="17"/>
      </tp>
      <tp t="e">
        <v>#N/A</v>
        <stp/>
        <stp>BDH|16631136033093997379</stp>
        <tr r="R34" s="18"/>
      </tp>
      <tp t="e">
        <v>#N/A</v>
        <stp/>
        <stp>BDH|13068237461157263483</stp>
        <tr r="J10" s="34"/>
      </tp>
      <tp t="e">
        <v>#N/A</v>
        <stp/>
        <stp>BDH|16043821597434430797</stp>
        <tr r="G68" s="12"/>
      </tp>
      <tp t="e">
        <v>#N/A</v>
        <stp/>
        <stp>BDH|12903968481871726616</stp>
        <tr r="E30" s="26"/>
      </tp>
      <tp t="e">
        <v>#N/A</v>
        <stp/>
        <stp>BDH|13684607219395415506</stp>
        <tr r="D47" s="24"/>
      </tp>
      <tp t="e">
        <v>#N/A</v>
        <stp/>
        <stp>BDH|11761659110277046592</stp>
        <tr r="J15" s="14"/>
      </tp>
      <tp t="e">
        <v>#N/A</v>
        <stp/>
        <stp>BDH|10823688569561213505</stp>
        <tr r="N36" s="18"/>
      </tp>
      <tp t="e">
        <v>#N/A</v>
        <stp/>
        <stp>BDH|11498892503438173542</stp>
        <tr r="K25" s="24"/>
      </tp>
      <tp t="e">
        <v>#N/A</v>
        <stp/>
        <stp>BDH|16195273523745760791</stp>
        <tr r="F18" s="14"/>
      </tp>
      <tp t="e">
        <v>#N/A</v>
        <stp/>
        <stp>BDH|16499907930240973861</stp>
        <tr r="E28" s="11"/>
        <tr r="E39" s="10"/>
        <tr r="E51" s="10"/>
        <tr r="E40" s="11"/>
      </tp>
      <tp t="e">
        <v>#N/A</v>
        <stp/>
        <stp>BDH|13655585230807189649</stp>
        <tr r="I8" s="4"/>
      </tp>
      <tp t="e">
        <v>#N/A</v>
        <stp/>
        <stp>BDH|14138265072551838469</stp>
        <tr r="L82" s="12"/>
      </tp>
      <tp t="e">
        <v>#N/A</v>
        <stp/>
        <stp>BDH|16915736805115599016</stp>
        <tr r="F6" s="16"/>
        <tr r="G6" s="11"/>
        <tr r="G10" s="4"/>
        <tr r="I6" s="3"/>
      </tp>
      <tp t="e">
        <v>#N/A</v>
        <stp/>
        <stp>BDH|12072326119950500457</stp>
        <tr r="O8" s="28"/>
      </tp>
      <tp t="e">
        <v>#N/A</v>
        <stp/>
        <stp>BDH|15426560744439812958</stp>
        <tr r="V72" s="13"/>
      </tp>
      <tp t="e">
        <v>#N/A</v>
        <stp/>
        <stp>BDH|10480610959495713202</stp>
        <tr r="P49" s="12"/>
      </tp>
      <tp t="e">
        <v>#N/A</v>
        <stp/>
        <stp>BDH|12112373890514983841</stp>
        <tr r="M73" s="12"/>
      </tp>
      <tp t="e">
        <v>#N/A</v>
        <stp/>
        <stp>BDH|16499986142699239674</stp>
        <tr r="V20" s="26"/>
      </tp>
      <tp t="e">
        <v>#N/A</v>
        <stp/>
        <stp>BDH|12702646488779863189</stp>
        <tr r="Q22" s="24"/>
      </tp>
      <tp t="e">
        <v>#N/A</v>
        <stp/>
        <stp>BDH|12888017500157466165</stp>
        <tr r="W11" s="24"/>
      </tp>
      <tp t="e">
        <v>#N/A</v>
        <stp/>
        <stp>BDH|16429887886547352528</stp>
        <tr r="X31" s="17"/>
      </tp>
      <tp t="e">
        <v>#N/A</v>
        <stp/>
        <stp>BDH|13925871292937052172</stp>
        <tr r="G91" s="17"/>
      </tp>
      <tp t="e">
        <v>#N/A</v>
        <stp/>
        <stp>BDH|11810920668858832216</stp>
        <tr r="J90" s="12"/>
      </tp>
      <tp t="e">
        <v>#N/A</v>
        <stp/>
        <stp>BDH|14934212034514520525</stp>
        <tr r="F41" s="18"/>
      </tp>
      <tp t="e">
        <v>#N/A</v>
        <stp/>
        <stp>BDH|12206246076307368481</stp>
        <tr r="P12" s="11"/>
      </tp>
      <tp t="e">
        <v>#N/A</v>
        <stp/>
        <stp>BDH|12062915897726430095</stp>
        <tr r="D64" s="18"/>
      </tp>
      <tp t="e">
        <v>#N/A</v>
        <stp/>
        <stp>BDH|10164749424136883724</stp>
        <tr r="P22" s="6"/>
      </tp>
      <tp t="e">
        <v>#N/A</v>
        <stp/>
        <stp>BDH|12317044929895295176</stp>
        <tr r="R36" s="13"/>
        <tr r="P29" s="10"/>
      </tp>
      <tp t="e">
        <v>#N/A</v>
        <stp/>
        <stp>BDH|13525187770596338752</stp>
        <tr r="I35" s="22"/>
      </tp>
      <tp t="e">
        <v>#N/A</v>
        <stp/>
        <stp>BDH|12965522805231632235</stp>
        <tr r="D51" s="12"/>
      </tp>
      <tp t="e">
        <v>#N/A</v>
        <stp/>
        <stp>BDH|10278598705906101746</stp>
        <tr r="N24" s="26"/>
      </tp>
      <tp t="e">
        <v>#N/A</v>
        <stp/>
        <stp>BDH|18234687225158147051</stp>
        <tr r="X48" s="21"/>
      </tp>
      <tp t="e">
        <v>#N/A</v>
        <stp/>
        <stp>BDH|13792696163516640109</stp>
        <tr r="AA75" s="12"/>
      </tp>
      <tp t="e">
        <v>#N/A</v>
        <stp/>
        <stp>BDH|10698133120871943670</stp>
        <tr r="I13" s="28"/>
        <tr r="I95" s="17"/>
      </tp>
      <tp t="e">
        <v>#N/A</v>
        <stp/>
        <stp>BDH|15251414039443750566</stp>
        <tr r="O17" s="28"/>
        <tr r="O14" s="17"/>
      </tp>
      <tp t="e">
        <v>#N/A</v>
        <stp/>
        <stp>BDH|15882502177852663122</stp>
        <tr r="T18" s="18"/>
      </tp>
      <tp t="e">
        <v>#N/A</v>
        <stp/>
        <stp>BDH|10507322629004451111</stp>
        <tr r="T12" s="13"/>
      </tp>
      <tp t="e">
        <v>#N/A</v>
        <stp/>
        <stp>BDH|17789460769205772448</stp>
        <tr r="D32" s="18"/>
      </tp>
      <tp t="e">
        <v>#N/A</v>
        <stp/>
        <stp>BDH|15653504140009943941</stp>
        <tr r="I28" s="9"/>
        <tr r="I30" s="5"/>
      </tp>
      <tp t="e">
        <v>#N/A</v>
        <stp/>
        <stp>BDH|16065648209923195765</stp>
        <tr r="J17" s="9"/>
      </tp>
      <tp t="e">
        <v>#N/A</v>
        <stp/>
        <stp>BDH|16616624848611182171</stp>
        <tr r="G55" s="13"/>
      </tp>
      <tp t="e">
        <v>#N/A</v>
        <stp/>
        <stp>BDH|15698681820051026443</stp>
        <tr r="J125" s="18"/>
      </tp>
      <tp t="e">
        <v>#N/A</v>
        <stp/>
        <stp>BDH|11874587055910827572</stp>
        <tr r="W8" s="21"/>
      </tp>
      <tp t="e">
        <v>#N/A</v>
        <stp/>
        <stp>BDH|11915704254053257458</stp>
        <tr r="Z11" s="22"/>
      </tp>
      <tp t="e">
        <v>#N/A</v>
        <stp/>
        <stp>BDH|14163687652933277037</stp>
        <tr r="H54" s="18"/>
      </tp>
      <tp t="e">
        <v>#N/A</v>
        <stp/>
        <stp>BDH|13556493322357184652</stp>
        <tr r="K11" s="6"/>
      </tp>
      <tp t="e">
        <v>#N/A</v>
        <stp/>
        <stp>BDH|15138200379932038627</stp>
        <tr r="M12" s="10"/>
      </tp>
      <tp t="e">
        <v>#N/A</v>
        <stp/>
        <stp>BDH|18403224325864008891</stp>
        <tr r="Z11" s="28"/>
      </tp>
      <tp t="e">
        <v>#N/A</v>
        <stp/>
        <stp>BDH|14020669571894587586</stp>
        <tr r="H72" s="12"/>
      </tp>
      <tp t="e">
        <v>#N/A</v>
        <stp/>
        <stp>BDH|14691087846793510775</stp>
        <tr r="W13" s="12"/>
      </tp>
      <tp t="e">
        <v>#N/A</v>
        <stp/>
        <stp>BDH|17326039190579955337</stp>
        <tr r="H41" s="17"/>
      </tp>
      <tp t="e">
        <v>#N/A</v>
        <stp/>
        <stp>BDH|10519445570167250093</stp>
        <tr r="M13" s="34"/>
      </tp>
      <tp t="e">
        <v>#N/A</v>
        <stp/>
        <stp>BDH|10780895549599589183</stp>
        <tr r="O46" s="24"/>
      </tp>
      <tp t="e">
        <v>#N/A</v>
        <stp/>
        <stp>BDH|12585885690752710508</stp>
        <tr r="T27" s="11"/>
        <tr r="T38" s="10"/>
      </tp>
      <tp t="e">
        <v>#N/A</v>
        <stp/>
        <stp>BDH|14642439757992913317</stp>
        <tr r="L44" s="22"/>
      </tp>
      <tp t="e">
        <v>#N/A</v>
        <stp/>
        <stp>BDH|12336680012924537568</stp>
        <tr r="W10" s="17"/>
      </tp>
      <tp t="e">
        <v>#N/A</v>
        <stp/>
        <stp>BDH|12450491646284711267</stp>
        <tr r="M23" s="17"/>
      </tp>
      <tp t="e">
        <v>#N/A</v>
        <stp/>
        <stp>BDH|15916678581007416818</stp>
        <tr r="D84" s="18"/>
      </tp>
      <tp t="e">
        <v>#N/A</v>
        <stp/>
        <stp>BDH|17390368436703924004</stp>
        <tr r="J96" s="18"/>
      </tp>
      <tp t="e">
        <v>#N/A</v>
        <stp/>
        <stp>BDH|14468530529595207263</stp>
        <tr r="F65" s="12"/>
      </tp>
      <tp t="e">
        <v>#N/A</v>
        <stp/>
        <stp>BDH|17800046333188518806</stp>
        <tr r="M11" s="18"/>
      </tp>
      <tp t="e">
        <v>#N/A</v>
        <stp/>
        <stp>BDH|17916046237695730575</stp>
        <tr r="Z27" s="12"/>
      </tp>
      <tp t="e">
        <v>#N/A</v>
        <stp/>
        <stp>BDH|13178584902781926381</stp>
        <tr r="L36" s="13"/>
        <tr r="J29" s="10"/>
      </tp>
      <tp t="e">
        <v>#N/A</v>
        <stp/>
        <stp>BDH|17840083863253173685</stp>
        <tr r="Q16" s="22"/>
      </tp>
      <tp t="e">
        <v>#N/A</v>
        <stp/>
        <stp>BDH|17862922741458745663</stp>
        <tr r="F41" s="25"/>
        <tr r="F59" s="21"/>
        <tr r="D54" s="11"/>
        <tr r="D31" s="4"/>
      </tp>
      <tp t="e">
        <v>#N/A</v>
        <stp/>
        <stp>BDH|11267464416317956713</stp>
        <tr r="E89" s="17"/>
      </tp>
      <tp t="e">
        <v>#N/A</v>
        <stp/>
        <stp>BDH|17371652449207694639</stp>
        <tr r="D71" s="13"/>
      </tp>
      <tp t="e">
        <v>#N/A</v>
        <stp/>
        <stp>BDH|16418251198029525064</stp>
        <tr r="P23" s="21"/>
      </tp>
      <tp t="e">
        <v>#N/A</v>
        <stp/>
        <stp>BDH|12665287715762260736</stp>
        <tr r="K79" s="17"/>
        <tr r="K19" s="3"/>
      </tp>
      <tp t="e">
        <v>#N/A</v>
        <stp/>
        <stp>BDH|13925632031656856495</stp>
        <tr r="G18" s="27"/>
        <tr r="G36" s="25"/>
      </tp>
      <tp t="e">
        <v>#N/A</v>
        <stp/>
        <stp>BDH|12772595298922840849</stp>
        <tr r="C26" s="21"/>
      </tp>
      <tp t="e">
        <v>#N/A</v>
        <stp/>
        <stp>BDH|14503224030780929147</stp>
        <tr r="R42" s="22"/>
      </tp>
      <tp t="e">
        <v>#N/A</v>
        <stp/>
        <stp>BDH|17380580002103599565</stp>
        <tr r="O29" s="4"/>
      </tp>
      <tp t="e">
        <v>#N/A</v>
        <stp/>
        <stp>BDH|14641362253546941002</stp>
        <tr r="AA7" s="27"/>
        <tr r="AA94" s="17"/>
      </tp>
      <tp t="e">
        <v>#N/A</v>
        <stp/>
        <stp>BDH|15847645151056423436</stp>
        <tr r="C32" s="26"/>
      </tp>
      <tp t="e">
        <v>#N/A</v>
        <stp/>
        <stp>BDH|14070591353448955892</stp>
        <tr r="P38" s="10"/>
        <tr r="P27" s="11"/>
      </tp>
      <tp t="e">
        <v>#N/A</v>
        <stp/>
        <stp>BDH|10380955734087905919</stp>
        <tr r="C93" s="12"/>
      </tp>
      <tp t="e">
        <v>#N/A</v>
        <stp/>
        <stp>BDH|16450074206096971462</stp>
        <tr r="R172" s="18"/>
      </tp>
      <tp t="e">
        <v>#N/A</v>
        <stp/>
        <stp>BDH|11771579407567596786</stp>
        <tr r="T7" s="21"/>
      </tp>
      <tp t="e">
        <v>#N/A</v>
        <stp/>
        <stp>BDH|14511101548710232550</stp>
        <tr r="W44" s="12"/>
      </tp>
      <tp t="e">
        <v>#N/A</v>
        <stp/>
        <stp>BDH|15043567194718850505</stp>
        <tr r="C32" s="18"/>
      </tp>
      <tp t="e">
        <v>#N/A</v>
        <stp/>
        <stp>BDH|15924555880649830599</stp>
        <tr r="R28" s="17"/>
      </tp>
      <tp t="e">
        <v>#N/A</v>
        <stp/>
        <stp>BDH|17861919379589400491</stp>
        <tr r="W15" s="30"/>
      </tp>
      <tp t="e">
        <v>#N/A</v>
        <stp/>
        <stp>BDH|13988371550647065633</stp>
        <tr r="H153" s="18"/>
      </tp>
      <tp t="e">
        <v>#N/A</v>
        <stp/>
        <stp>BDH|11564385525995437113</stp>
        <tr r="W86" s="18"/>
      </tp>
      <tp t="e">
        <v>#N/A</v>
        <stp/>
        <stp>BDH|15993274102496433550</stp>
        <tr r="L32" s="11"/>
        <tr r="L43" s="10"/>
      </tp>
      <tp t="e">
        <v>#N/A</v>
        <stp/>
        <stp>BDH|17128368508701029125</stp>
        <tr r="T77" s="24"/>
      </tp>
      <tp t="e">
        <v>#N/A</v>
        <stp/>
        <stp>BDH|14072958308250533954</stp>
        <tr r="W76" s="17"/>
      </tp>
      <tp t="e">
        <v>#N/A</v>
        <stp/>
        <stp>BDH|11545577148334624018</stp>
        <tr r="T13" s="13"/>
      </tp>
      <tp t="e">
        <v>#N/A</v>
        <stp/>
        <stp>BDH|16978417354166902588</stp>
        <tr r="P11" s="11"/>
      </tp>
      <tp t="e">
        <v>#N/A</v>
        <stp/>
        <stp>BDH|16859648373284306716</stp>
        <tr r="F8" s="21"/>
      </tp>
      <tp t="e">
        <v>#N/A</v>
        <stp/>
        <stp>BDH|11924244067949648813</stp>
        <tr r="K34" s="13"/>
        <tr r="I27" s="10"/>
      </tp>
      <tp t="e">
        <v>#N/A</v>
        <stp/>
        <stp>BDH|14614028620305055797</stp>
        <tr r="C32" s="13"/>
      </tp>
      <tp t="e">
        <v>#N/A</v>
        <stp/>
        <stp>BDH|16626467873759846868</stp>
        <tr r="U98" s="12"/>
      </tp>
      <tp t="e">
        <v>#N/A</v>
        <stp/>
        <stp>BDH|12016294766272188031</stp>
        <tr r="X22" s="11"/>
      </tp>
      <tp t="e">
        <v>#N/A</v>
        <stp/>
        <stp>BDH|11184078124997858072</stp>
        <tr r="O41" s="17"/>
      </tp>
      <tp t="e">
        <v>#N/A</v>
        <stp/>
        <stp>BDH|17650036027508725989</stp>
        <tr r="Y36" s="25"/>
        <tr r="Y18" s="27"/>
      </tp>
      <tp t="e">
        <v>#N/A</v>
        <stp/>
        <stp>BDH|11793405139033501161</stp>
        <tr r="S9" s="28"/>
      </tp>
      <tp t="e">
        <v>#N/A</v>
        <stp/>
        <stp>BDH|13973145740956843482</stp>
        <tr r="W42" s="18"/>
      </tp>
      <tp t="e">
        <v>#N/A</v>
        <stp/>
        <stp>BDH|12976449444107261165</stp>
        <tr r="G13" s="24"/>
      </tp>
      <tp t="e">
        <v>#N/A</v>
        <stp/>
        <stp>BDH|14776680264117638706</stp>
        <tr r="W60" s="12"/>
      </tp>
      <tp t="e">
        <v>#N/A</v>
        <stp/>
        <stp>BDH|13445191185669387769</stp>
        <tr r="AA30" s="25"/>
        <tr r="AA12" s="27"/>
      </tp>
      <tp t="e">
        <v>#N/A</v>
        <stp/>
        <stp>BDH|10618335739795286139</stp>
        <tr r="M35" s="22"/>
      </tp>
      <tp t="e">
        <v>#N/A</v>
        <stp/>
        <stp>BDH|14353681849431703381</stp>
        <tr r="W23" s="21"/>
      </tp>
      <tp t="e">
        <v>#N/A</v>
        <stp/>
        <stp>BDH|16820637467076314425</stp>
        <tr r="V7" s="6"/>
      </tp>
      <tp t="e">
        <v>#N/A</v>
        <stp/>
        <stp>BDH|11782528569861404758</stp>
        <tr r="I28" s="6"/>
      </tp>
      <tp t="e">
        <v>#N/A</v>
        <stp/>
        <stp>BDH|10060378998286134838</stp>
        <tr r="M13" s="18"/>
      </tp>
      <tp t="e">
        <v>#N/A</v>
        <stp/>
        <stp>BDH|13068643570686804014</stp>
        <tr r="R31" s="13"/>
        <tr r="P23" s="11"/>
        <tr r="P34" s="10"/>
        <tr r="P45" s="4"/>
      </tp>
      <tp t="e">
        <v>#N/A</v>
        <stp/>
        <stp>BDH|16850027820089742901</stp>
        <tr r="G8" s="6"/>
      </tp>
      <tp t="e">
        <v>#N/A</v>
        <stp/>
        <stp>BDH|12754460262647726397</stp>
        <tr r="F8" s="12"/>
      </tp>
      <tp t="e">
        <v>#N/A</v>
        <stp/>
        <stp>BDH|13799393843927418747</stp>
        <tr r="J89" s="18"/>
      </tp>
      <tp t="e">
        <v>#N/A</v>
        <stp/>
        <stp>BDH|15897567775770157379</stp>
        <tr r="M12" s="6"/>
      </tp>
      <tp t="e">
        <v>#N/A</v>
        <stp/>
        <stp>BDH|14488090869935111385</stp>
        <tr r="K56" s="11"/>
      </tp>
      <tp t="e">
        <v>#N/A</v>
        <stp/>
        <stp>BDH|12223466209567714574</stp>
        <tr r="F29" s="6"/>
      </tp>
      <tp t="e">
        <v>#N/A</v>
        <stp/>
        <stp>BDH|10948378004343141470</stp>
        <tr r="F85" s="17"/>
      </tp>
      <tp t="e">
        <v>#N/A</v>
        <stp/>
        <stp>BDH|12465909890747965115</stp>
        <tr r="Y136" s="18"/>
      </tp>
      <tp t="e">
        <v>#N/A</v>
        <stp/>
        <stp>BDH|12249413359000156778</stp>
        <tr r="W53" s="24"/>
      </tp>
      <tp t="e">
        <v>#N/A</v>
        <stp/>
        <stp>BDH|16818706499579995541</stp>
        <tr r="J57" s="6"/>
      </tp>
      <tp t="e">
        <v>#N/A</v>
        <stp/>
        <stp>BDH|17363397750805363055</stp>
        <tr r="R42" s="4"/>
      </tp>
      <tp t="e">
        <v>#N/A</v>
        <stp/>
        <stp>BDH|16362316279271407738</stp>
        <tr r="E12" s="17"/>
      </tp>
      <tp t="e">
        <v>#N/A</v>
        <stp/>
        <stp>BDH|17884111651426042143</stp>
        <tr r="Q20" s="24"/>
      </tp>
      <tp t="e">
        <v>#N/A</v>
        <stp/>
        <stp>BDH|17480678039922227442</stp>
        <tr r="E7" s="9"/>
        <tr r="H14" s="3"/>
        <tr r="F7" s="2"/>
        <tr r="E7" s="5"/>
      </tp>
      <tp t="e">
        <v>#N/A</v>
        <stp/>
        <stp>BDH|11221616338669130968</stp>
        <tr r="X52" s="22"/>
      </tp>
      <tp t="e">
        <v>#N/A</v>
        <stp/>
        <stp>BDH|17896367882378251020</stp>
        <tr r="F149" s="18"/>
      </tp>
      <tp t="e">
        <v>#N/A</v>
        <stp/>
        <stp>BDH|12720218506440814447</stp>
        <tr r="F50" s="22"/>
      </tp>
      <tp t="e">
        <v>#N/A</v>
        <stp/>
        <stp>BDH|14373751639913511761</stp>
        <tr r="J35" s="24"/>
      </tp>
      <tp t="e">
        <v>#N/A</v>
        <stp/>
        <stp>BDH|12966861939389391493</stp>
        <tr r="L19" s="23"/>
        <tr r="J60" s="11"/>
      </tp>
      <tp t="e">
        <v>#N/A</v>
        <stp/>
        <stp>BDH|17113797423104598223</stp>
        <tr r="C28" s="12"/>
      </tp>
      <tp t="e">
        <v>#N/A</v>
        <stp/>
        <stp>BDH|12156707849984472101</stp>
        <tr r="X142" s="18"/>
      </tp>
      <tp t="e">
        <v>#N/A</v>
        <stp/>
        <stp>BDH|15958729046287727561</stp>
        <tr r="I45" s="21"/>
      </tp>
      <tp t="e">
        <v>#N/A</v>
        <stp/>
        <stp>BDH|12665673054930067596</stp>
        <tr r="O49" s="4"/>
      </tp>
      <tp t="e">
        <v>#N/A</v>
        <stp/>
        <stp>BDH|17137725298654753909</stp>
        <tr r="U49" s="4"/>
      </tp>
      <tp t="e">
        <v>#N/A</v>
        <stp/>
        <stp>BDH|11896415473565226347</stp>
        <tr r="J47" s="22"/>
      </tp>
      <tp t="e">
        <v>#N/A</v>
        <stp/>
        <stp>BDH|12438780239752050092</stp>
        <tr r="M142" s="18"/>
      </tp>
      <tp t="e">
        <v>#N/A</v>
        <stp/>
        <stp>BDH|17251283363745118243</stp>
        <tr r="O14" s="10"/>
      </tp>
      <tp t="e">
        <v>#N/A</v>
        <stp/>
        <stp>BDH|10048320458207204545</stp>
        <tr r="Q44" s="12"/>
      </tp>
      <tp t="e">
        <v>#N/A</v>
        <stp/>
        <stp>BDH|14034165948472061727</stp>
        <tr r="G51" s="34"/>
      </tp>
      <tp t="e">
        <v>#N/A</v>
        <stp/>
        <stp>BDH|14992306851461509718</stp>
        <tr r="S68" s="12"/>
      </tp>
      <tp t="e">
        <v>#N/A</v>
        <stp/>
        <stp>BDH|14528085305238345873</stp>
        <tr r="X10" s="28"/>
      </tp>
      <tp t="e">
        <v>#N/A</v>
        <stp/>
        <stp>BDH|12931207321234344270</stp>
        <tr r="S73" s="10"/>
        <tr r="S62" s="11"/>
        <tr r="S20" s="7"/>
      </tp>
      <tp t="e">
        <v>#N/A</v>
        <stp/>
        <stp>BDH|15843329641925000376</stp>
        <tr r="I22" s="10"/>
      </tp>
      <tp t="e">
        <v>#N/A</v>
        <stp/>
        <stp>BDH|13349004546091969207</stp>
        <tr r="L22" s="27"/>
      </tp>
      <tp t="e">
        <v>#N/A</v>
        <stp/>
        <stp>BDH|13861082174147808704</stp>
        <tr r="H70" s="13"/>
      </tp>
      <tp t="e">
        <v>#N/A</v>
        <stp/>
        <stp>BDH|15613073246562342783</stp>
        <tr r="Q147" s="18"/>
      </tp>
      <tp t="e">
        <v>#N/A</v>
        <stp/>
        <stp>BDH|12851277237202539514</stp>
        <tr r="O46" s="10"/>
        <tr r="O35" s="11"/>
      </tp>
      <tp t="e">
        <v>#N/A</v>
        <stp/>
        <stp>BDH|10135320330547650394</stp>
        <tr r="R70" s="24"/>
      </tp>
      <tp t="e">
        <v>#N/A</v>
        <stp/>
        <stp>BDH|16382842789305768759</stp>
        <tr r="Q16" s="6"/>
      </tp>
      <tp t="e">
        <v>#N/A</v>
        <stp/>
        <stp>BDH|10237404332026474586</stp>
        <tr r="S6" s="28"/>
      </tp>
      <tp t="e">
        <v>#N/A</v>
        <stp/>
        <stp>BDH|16754244645816388294</stp>
        <tr r="J27" s="7"/>
      </tp>
      <tp t="e">
        <v>#N/A</v>
        <stp/>
        <stp>BDH|14833405155069310822</stp>
        <tr r="H15" s="22"/>
      </tp>
      <tp t="e">
        <v>#N/A</v>
        <stp/>
        <stp>BDH|11316687356457131104</stp>
        <tr r="H15" s="4"/>
      </tp>
      <tp t="e">
        <v>#N/A</v>
        <stp/>
        <stp>BDH|17007785301343750726</stp>
        <tr r="U12" s="11"/>
      </tp>
      <tp t="e">
        <v>#N/A</v>
        <stp/>
        <stp>BDH|18221582185724579564</stp>
        <tr r="G30" s="24"/>
      </tp>
      <tp t="e">
        <v>#N/A</v>
        <stp/>
        <stp>BDH|15879666324606649338</stp>
        <tr r="S22" s="14"/>
      </tp>
      <tp t="e">
        <v>#N/A</v>
        <stp/>
        <stp>BDH|14787338826858956947</stp>
        <tr r="N111" s="18"/>
      </tp>
      <tp t="e">
        <v>#N/A</v>
        <stp/>
        <stp>BDH|11971003054168299806</stp>
        <tr r="Y23" s="20"/>
      </tp>
      <tp t="e">
        <v>#N/A</v>
        <stp/>
        <stp>BDH|10411863783330821469</stp>
        <tr r="Z11" s="30"/>
      </tp>
      <tp t="e">
        <v>#N/A</v>
        <stp/>
        <stp>BDH|13671138642000165293</stp>
        <tr r="H42" s="25"/>
      </tp>
      <tp t="e">
        <v>#N/A</v>
        <stp/>
        <stp>BDH|13645765859240684502</stp>
        <tr r="Q23" s="17"/>
      </tp>
      <tp t="e">
        <v>#N/A</v>
        <stp/>
        <stp>BDH|12858211977745022618</stp>
        <tr r="X29" s="26"/>
      </tp>
      <tp t="e">
        <v>#N/A</v>
        <stp/>
        <stp>BDH|11547437268406767168</stp>
        <tr r="T23" s="9"/>
      </tp>
      <tp t="e">
        <v>#N/A</v>
        <stp/>
        <stp>BDH|16871061004653186140</stp>
        <tr r="M40" s="24"/>
      </tp>
      <tp t="e">
        <v>#N/A</v>
        <stp/>
        <stp>BDH|17579914002979943301</stp>
        <tr r="Y40" s="21"/>
      </tp>
      <tp t="e">
        <v>#N/A</v>
        <stp/>
        <stp>BDH|15415635334697983355</stp>
        <tr r="N31" s="14"/>
      </tp>
      <tp t="e">
        <v>#N/A</v>
        <stp/>
        <stp>BDH|12604481861223945798</stp>
        <tr r="I13" s="30"/>
      </tp>
      <tp t="e">
        <v>#N/A</v>
        <stp/>
        <stp>BDH|10277590541164113148</stp>
        <tr r="U32" s="5"/>
      </tp>
      <tp t="e">
        <v>#N/A</v>
        <stp/>
        <stp>BDH|12851894581400820679</stp>
        <tr r="V17" s="30"/>
      </tp>
      <tp t="e">
        <v>#N/A</v>
        <stp/>
        <stp>BDH|10723399472254716445</stp>
        <tr r="X16" s="20"/>
      </tp>
      <tp t="e">
        <v>#N/A</v>
        <stp/>
        <stp>BDH|14606900990156816613</stp>
        <tr r="AA149" s="18"/>
      </tp>
      <tp t="e">
        <v>#N/A</v>
        <stp/>
        <stp>BDH|15600419759972918283</stp>
        <tr r="R156" s="18"/>
      </tp>
      <tp t="e">
        <v>#N/A</v>
        <stp/>
        <stp>BDH|16133599464785757449</stp>
        <tr r="S10" s="12"/>
      </tp>
      <tp t="e">
        <v>#N/A</v>
        <stp/>
        <stp>BDH|10416772728608135957</stp>
        <tr r="C6" s="19"/>
        <tr r="C38" s="17"/>
        <tr r="C16" s="3"/>
      </tp>
      <tp t="e">
        <v>#N/A</v>
        <stp/>
        <stp>BDH|14816465672706010533</stp>
        <tr r="V34" s="11"/>
        <tr r="V45" s="10"/>
      </tp>
      <tp t="e">
        <v>#N/A</v>
        <stp/>
        <stp>BDH|16112289965390439678</stp>
        <tr r="O62" s="13"/>
      </tp>
      <tp t="e">
        <v>#N/A</v>
        <stp/>
        <stp>BDH|15685945857728341599</stp>
        <tr r="V92" s="18"/>
      </tp>
      <tp t="e">
        <v>#N/A</v>
        <stp/>
        <stp>BDH|17579282292791635966</stp>
        <tr r="D106" s="18"/>
      </tp>
      <tp t="e">
        <v>#N/A</v>
        <stp/>
        <stp>BDH|17648974270715859864</stp>
        <tr r="H36" s="13"/>
        <tr r="F29" s="10"/>
      </tp>
      <tp t="e">
        <v>#N/A</v>
        <stp/>
        <stp>BDH|15849708690167490831</stp>
        <tr r="M23" s="26"/>
      </tp>
      <tp t="e">
        <v>#N/A</v>
        <stp/>
        <stp>BDH|15163207138067272743</stp>
        <tr r="M13" s="30"/>
      </tp>
      <tp t="e">
        <v>#N/A</v>
        <stp/>
        <stp>BDH|14053956969087362800</stp>
        <tr r="Z10" s="13"/>
      </tp>
      <tp t="e">
        <v>#N/A</v>
        <stp/>
        <stp>BDH|10129797951687002167</stp>
        <tr r="G39" s="6"/>
      </tp>
      <tp t="e">
        <v>#N/A</v>
        <stp/>
        <stp>BDH|16817618438862604585</stp>
        <tr r="J17" s="21"/>
        <tr r="H23" s="2"/>
        <tr r="J23" s="3"/>
      </tp>
      <tp t="e">
        <v>#N/A</v>
        <stp/>
        <stp>BDH|16775012428724412448</stp>
        <tr r="R143" s="18"/>
      </tp>
      <tp t="e">
        <v>#N/A</v>
        <stp/>
        <stp>BDH|17471124660832167696</stp>
        <tr r="W98" s="12"/>
      </tp>
      <tp t="e">
        <v>#N/A</v>
        <stp/>
        <stp>BDH|16907317598641996972</stp>
        <tr r="T19" s="34"/>
      </tp>
      <tp t="e">
        <v>#N/A</v>
        <stp/>
        <stp>BDH|13459079219345337375</stp>
        <tr r="G10" s="28"/>
      </tp>
      <tp t="e">
        <v>#N/A</v>
        <stp/>
        <stp>BDH|13158563622925227594</stp>
        <tr r="S47" s="17"/>
      </tp>
      <tp t="e">
        <v>#N/A</v>
        <stp/>
        <stp>BDH|17868414333462396676</stp>
        <tr r="I148" s="18"/>
      </tp>
      <tp t="e">
        <v>#N/A</v>
        <stp/>
        <stp>BDH|17756794666470553239</stp>
        <tr r="W27" s="24"/>
      </tp>
      <tp t="e">
        <v>#N/A</v>
        <stp/>
        <stp>BDH|15875628363408567924</stp>
        <tr r="P10" s="22"/>
      </tp>
      <tp t="e">
        <v>#N/A</v>
        <stp/>
        <stp>BDH|16525764582835761881</stp>
        <tr r="P159" s="18"/>
      </tp>
      <tp t="e">
        <v>#N/A</v>
        <stp/>
        <stp>BDH|16241591592286790806</stp>
        <tr r="M15" s="25"/>
      </tp>
      <tp t="e">
        <v>#N/A</v>
        <stp/>
        <stp>BDH|17797321358480672553</stp>
        <tr r="D35" s="18"/>
      </tp>
      <tp t="e">
        <v>#N/A</v>
        <stp/>
        <stp>BDH|13612724069570602658</stp>
        <tr r="T56" s="17"/>
      </tp>
      <tp t="e">
        <v>#N/A</v>
        <stp/>
        <stp>BDH|15812333435499268828</stp>
        <tr r="K21" s="21"/>
      </tp>
      <tp t="e">
        <v>#N/A</v>
        <stp/>
        <stp>BDH|14850619230660437531</stp>
        <tr r="F35" s="12"/>
      </tp>
      <tp t="e">
        <v>#N/A</v>
        <stp/>
        <stp>BDH|14240506656843267383</stp>
        <tr r="I19" s="20"/>
      </tp>
      <tp t="e">
        <v>#N/A</v>
        <stp/>
        <stp>BDH|12795469926298941809</stp>
        <tr r="E70" s="13"/>
      </tp>
      <tp t="e">
        <v>#N/A</v>
        <stp/>
        <stp>BDH|11867140891154408978</stp>
        <tr r="J175" s="18"/>
      </tp>
      <tp t="e">
        <v>#N/A</v>
        <stp/>
        <stp>BDH|12460222765200880250</stp>
        <tr r="G18" s="13"/>
      </tp>
      <tp t="e">
        <v>#N/A</v>
        <stp/>
        <stp>BDH|13200263986088556598</stp>
        <tr r="S41" s="18"/>
      </tp>
      <tp t="e">
        <v>#N/A</v>
        <stp/>
        <stp>BDH|17618228854057879362</stp>
        <tr r="K17" s="28"/>
        <tr r="K14" s="17"/>
      </tp>
      <tp t="e">
        <v>#N/A</v>
        <stp/>
        <stp>BDH|17540622044397517688</stp>
        <tr r="U57" s="6"/>
      </tp>
      <tp t="e">
        <v>#N/A</v>
        <stp/>
        <stp>BDH|10534190086764061940</stp>
        <tr r="S8" s="13"/>
      </tp>
      <tp t="e">
        <v>#N/A</v>
        <stp/>
        <stp>BDH|16002565438545800182</stp>
        <tr r="C41" s="17"/>
      </tp>
      <tp t="e">
        <v>#N/A</v>
        <stp/>
        <stp>BDH|18078753553379028787</stp>
        <tr r="E14" s="34"/>
      </tp>
      <tp t="e">
        <v>#N/A</v>
        <stp/>
        <stp>BDH|17576627170153903100</stp>
        <tr r="X38" s="24"/>
      </tp>
      <tp t="e">
        <v>#N/A</v>
        <stp/>
        <stp>BDH|14891365007406103569</stp>
        <tr r="P65" s="17"/>
      </tp>
      <tp t="e">
        <v>#N/A</v>
        <stp/>
        <stp>BDH|16008484276283230224</stp>
        <tr r="Y67" s="17"/>
      </tp>
      <tp t="e">
        <v>#N/A</v>
        <stp/>
        <stp>BDH|15755216964453831644</stp>
        <tr r="Q61" s="21"/>
        <tr r="O25" s="2"/>
      </tp>
      <tp t="e">
        <v>#N/A</v>
        <stp/>
        <stp>BDH|15514401277655476781</stp>
        <tr r="O44" s="6"/>
      </tp>
      <tp t="e">
        <v>#N/A</v>
        <stp/>
        <stp>BDH|11149056458498521872</stp>
        <tr r="I46" s="13"/>
        <tr r="G41" s="10"/>
        <tr r="G30" s="11"/>
      </tp>
      <tp t="e">
        <v>#N/A</v>
        <stp/>
        <stp>BDH|12168033929354560006</stp>
        <tr r="I173" s="18"/>
      </tp>
      <tp t="e">
        <v>#N/A</v>
        <stp/>
        <stp>BDH|18348873268267074527</stp>
        <tr r="T68" s="17"/>
      </tp>
      <tp t="e">
        <v>#N/A</v>
        <stp/>
        <stp>BDH|11559254639205105166</stp>
        <tr r="D14" s="34"/>
      </tp>
      <tp t="e">
        <v>#N/A</v>
        <stp/>
        <stp>BDH|16733242492559893078</stp>
        <tr r="L94" s="18"/>
      </tp>
      <tp t="e">
        <v>#N/A</v>
        <stp/>
        <stp>BDH|12474639862183832538</stp>
        <tr r="S21" s="6"/>
      </tp>
      <tp t="e">
        <v>#N/A</v>
        <stp/>
        <stp>BDH|16078288229716874584</stp>
        <tr r="W16" s="12"/>
      </tp>
      <tp t="e">
        <v>#N/A</v>
        <stp/>
        <stp>BDH|11171736229501977038</stp>
        <tr r="O175" s="18"/>
      </tp>
      <tp t="e">
        <v>#N/A</v>
        <stp/>
        <stp>BDH|12019075074022778258</stp>
        <tr r="D62" s="21"/>
      </tp>
      <tp t="e">
        <v>#N/A</v>
        <stp/>
        <stp>BDH|14679830825158546349</stp>
        <tr r="D27" s="6"/>
      </tp>
      <tp t="e">
        <v>#N/A</v>
        <stp/>
        <stp>BDH|15229771210262724439</stp>
        <tr r="S66" s="13"/>
      </tp>
      <tp t="e">
        <v>#N/A</v>
        <stp/>
        <stp>BDH|14535362023858354826</stp>
        <tr r="Q66" s="12"/>
      </tp>
      <tp t="e">
        <v>#N/A</v>
        <stp/>
        <stp>BDH|11340439269054000287</stp>
        <tr r="U45" s="22"/>
      </tp>
      <tp t="e">
        <v>#N/A</v>
        <stp/>
        <stp>BDH|12581916126049644550</stp>
        <tr r="AA45" s="24"/>
      </tp>
      <tp t="e">
        <v>#N/A</v>
        <stp/>
        <stp>BDH|10409279056500255260</stp>
        <tr r="J57" s="24"/>
      </tp>
      <tp t="e">
        <v>#N/A</v>
        <stp/>
        <stp>BDH|11880369489936460927</stp>
        <tr r="Q11" s="24"/>
      </tp>
      <tp t="e">
        <v>#N/A</v>
        <stp/>
        <stp>BDH|16701485197527993900</stp>
        <tr r="N42" s="4"/>
      </tp>
      <tp t="e">
        <v>#N/A</v>
        <stp/>
        <stp>BDH|10408526208784882470</stp>
        <tr r="W84" s="17"/>
        <tr r="U6" s="7"/>
        <tr r="W20" s="3"/>
      </tp>
      <tp t="e">
        <v>#N/A</v>
        <stp/>
        <stp>BDH|11662458366744609221</stp>
        <tr r="AA99" s="12"/>
      </tp>
      <tp t="e">
        <v>#N/A</v>
        <stp/>
        <stp>BDH|13105496275934453182</stp>
        <tr r="M38" s="6"/>
      </tp>
      <tp t="e">
        <v>#N/A</v>
        <stp/>
        <stp>BDH|13524161352280379239</stp>
        <tr r="Z46" s="22"/>
      </tp>
      <tp t="e">
        <v>#N/A</v>
        <stp/>
        <stp>BDH|18270139290670006507</stp>
        <tr r="W161" s="18"/>
      </tp>
      <tp t="e">
        <v>#N/A</v>
        <stp/>
        <stp>BDH|12724004714697775159</stp>
        <tr r="L8" s="22"/>
      </tp>
      <tp t="e">
        <v>#N/A</v>
        <stp/>
        <stp>BDH|13085163147856499547</stp>
        <tr r="D43" s="21"/>
      </tp>
      <tp t="e">
        <v>#N/A</v>
        <stp/>
        <stp>BDH|16827509710374836316</stp>
        <tr r="U13" s="22"/>
      </tp>
      <tp t="e">
        <v>#N/A</v>
        <stp/>
        <stp>BDH|15114361236357471749</stp>
        <tr r="F21" s="17"/>
      </tp>
      <tp t="e">
        <v>#N/A</v>
        <stp/>
        <stp>BDH|10794049395449687510</stp>
        <tr r="L13" s="30"/>
      </tp>
      <tp t="e">
        <v>#N/A</v>
        <stp/>
        <stp>BDH|15292820290474983589</stp>
        <tr r="M19" s="13"/>
        <tr r="K65" s="10"/>
        <tr r="K32" s="4"/>
        <tr r="K16" s="2"/>
      </tp>
      <tp t="e">
        <v>#N/A</v>
        <stp/>
        <stp>BDH|15525208348274855241</stp>
        <tr r="Y51" s="12"/>
      </tp>
      <tp t="e">
        <v>#N/A</v>
        <stp/>
        <stp>BDH|15311804081452539261</stp>
        <tr r="U38" s="29"/>
        <tr r="U15" s="29"/>
      </tp>
      <tp t="e">
        <v>#N/A</v>
        <stp/>
        <stp>BDH|18331549813869732022</stp>
        <tr r="L22" s="12"/>
      </tp>
      <tp t="e">
        <v>#N/A</v>
        <stp/>
        <stp>BDH|10004462760644519326</stp>
        <tr r="T66" s="12"/>
      </tp>
      <tp t="e">
        <v>#N/A</v>
        <stp/>
        <stp>BDH|12276896088754253300</stp>
        <tr r="X13" s="10"/>
      </tp>
      <tp t="e">
        <v>#N/A</v>
        <stp/>
        <stp>BDH|10415474627236603534</stp>
        <tr r="G28" s="9"/>
        <tr r="G30" s="5"/>
      </tp>
      <tp t="e">
        <v>#N/A</v>
        <stp/>
        <stp>BDH|14585578285195314952</stp>
        <tr r="J157" s="18"/>
      </tp>
      <tp t="e">
        <v>#N/A</v>
        <stp/>
        <stp>BDH|11877904723337253887</stp>
        <tr r="I42" s="17"/>
      </tp>
      <tp t="e">
        <v>#N/A</v>
        <stp/>
        <stp>BDH|14737007765461029633</stp>
        <tr r="P11" s="24"/>
      </tp>
      <tp t="e">
        <v>#N/A</v>
        <stp/>
        <stp>BDH|15298168273253067564</stp>
        <tr r="N53" s="10"/>
        <tr r="N42" s="11"/>
        <tr r="N8" s="7"/>
        <tr r="P11" s="3"/>
      </tp>
      <tp t="e">
        <v>#N/A</v>
        <stp/>
        <stp>BDH|17209749302993662637</stp>
        <tr r="Q18" s="22"/>
      </tp>
      <tp t="e">
        <v>#N/A</v>
        <stp/>
        <stp>BDH|10039401604035055457</stp>
        <tr r="V36" s="13"/>
        <tr r="T29" s="10"/>
      </tp>
      <tp t="e">
        <v>#N/A</v>
        <stp/>
        <stp>BDH|15244578062957720417</stp>
        <tr r="L14" s="23"/>
      </tp>
      <tp t="e">
        <v>#N/A</v>
        <stp/>
        <stp>BDH|15931705601396823110</stp>
        <tr r="I62" s="18"/>
      </tp>
      <tp t="e">
        <v>#N/A</v>
        <stp/>
        <stp>BDH|13386178252457151566</stp>
        <tr r="S23" s="23"/>
      </tp>
      <tp t="e">
        <v>#N/A</v>
        <stp/>
        <stp>BDH|17336207789749946120</stp>
        <tr r="R29" s="18"/>
      </tp>
      <tp t="e">
        <v>#N/A</v>
        <stp/>
        <stp>BDH|18308684245587861870</stp>
        <tr r="P25" s="3"/>
      </tp>
      <tp t="e">
        <v>#N/A</v>
        <stp/>
        <stp>BDH|10028259205262890596</stp>
        <tr r="P12" s="13"/>
      </tp>
      <tp t="e">
        <v>#N/A</v>
        <stp/>
        <stp>BDH|12140442644482261522</stp>
        <tr r="N19" s="29"/>
        <tr r="N10" s="29"/>
        <tr r="N25" s="29"/>
        <tr r="L6" s="9"/>
        <tr r="N12" s="8"/>
        <tr r="M6" s="2"/>
        <tr r="L6" s="5"/>
      </tp>
      <tp t="e">
        <v>#N/A</v>
        <stp/>
        <stp>BDH|10265947167208104215</stp>
        <tr r="L88" s="18"/>
      </tp>
      <tp t="e">
        <v>#N/A</v>
        <stp/>
        <stp>BDH|14097036486011510818</stp>
        <tr r="X9" s="14"/>
      </tp>
      <tp t="e">
        <v>#N/A</v>
        <stp/>
        <stp>BDH|14158727274335077463</stp>
        <tr r="N29" s="17"/>
      </tp>
      <tp t="e">
        <v>#N/A</v>
        <stp/>
        <stp>BDH|12022023931777654346</stp>
        <tr r="D90" s="12"/>
      </tp>
      <tp t="e">
        <v>#N/A</v>
        <stp/>
        <stp>BDH|17297853007969219337</stp>
        <tr r="L42" s="21"/>
      </tp>
      <tp t="e">
        <v>#N/A</v>
        <stp/>
        <stp>BDH|10489469003772805383</stp>
        <tr r="G97" s="12"/>
      </tp>
      <tp t="e">
        <v>#N/A</v>
        <stp/>
        <stp>BDH|16546002364161455447</stp>
        <tr r="T7" s="28"/>
      </tp>
      <tp t="e">
        <v>#N/A</v>
        <stp/>
        <stp>BDH|17529212837265116636</stp>
        <tr r="O12" s="24"/>
      </tp>
      <tp t="e">
        <v>#N/A</v>
        <stp/>
        <stp>BDH|11314856086554024014</stp>
        <tr r="H15" s="34"/>
      </tp>
      <tp t="e">
        <v>#N/A</v>
        <stp/>
        <stp>BDH|13565429141213184561</stp>
        <tr r="AA23" s="24"/>
      </tp>
      <tp t="e">
        <v>#N/A</v>
        <stp/>
        <stp>BDH|14786319241161353751</stp>
        <tr r="J37" s="17"/>
      </tp>
      <tp t="e">
        <v>#N/A</v>
        <stp/>
        <stp>BDH|11785888869162584832</stp>
        <tr r="G63" s="21"/>
      </tp>
      <tp t="e">
        <v>#N/A</v>
        <stp/>
        <stp>BDH|16078331147500006449</stp>
        <tr r="C29" s="34"/>
      </tp>
      <tp t="e">
        <v>#N/A</v>
        <stp/>
        <stp>BDH|15507540599864801802</stp>
        <tr r="D37" s="12"/>
      </tp>
      <tp t="e">
        <v>#N/A</v>
        <stp/>
        <stp>BDH|18381702194304005773</stp>
        <tr r="D78" s="24"/>
      </tp>
      <tp t="e">
        <v>#N/A</v>
        <stp/>
        <stp>BDH|10181429679817830120</stp>
        <tr r="N8" s="23"/>
      </tp>
      <tp t="e">
        <v>#N/A</v>
        <stp/>
        <stp>BDH|17913481672839200812</stp>
        <tr r="M14" s="8"/>
      </tp>
      <tp t="e">
        <v>#N/A</v>
        <stp/>
        <stp>BDH|15823259559615737234</stp>
        <tr r="L56" s="11"/>
      </tp>
      <tp t="e">
        <v>#N/A</v>
        <stp/>
        <stp>BDH|15100461777131908299</stp>
        <tr r="P105" s="18"/>
      </tp>
      <tp t="e">
        <v>#N/A</v>
        <stp/>
        <stp>BDH|17166531497356759828</stp>
        <tr r="U11" s="21"/>
      </tp>
      <tp t="e">
        <v>#N/A</v>
        <stp/>
        <stp>BDH|12843684524853173056</stp>
        <tr r="Q43" s="29"/>
      </tp>
      <tp t="e">
        <v>#N/A</v>
        <stp/>
        <stp>BDH|12702578755691659633</stp>
        <tr r="E42" s="24"/>
      </tp>
      <tp t="e">
        <v>#N/A</v>
        <stp/>
        <stp>BDH|15255017088540988820</stp>
        <tr r="U8" s="4"/>
      </tp>
      <tp t="e">
        <v>#N/A</v>
        <stp/>
        <stp>BDH|14326899391265249592</stp>
        <tr r="E77" s="17"/>
      </tp>
      <tp t="e">
        <v>#N/A</v>
        <stp/>
        <stp>BDH|17381074093339665216</stp>
        <tr r="C10" s="23"/>
      </tp>
      <tp t="e">
        <v>#N/A</v>
        <stp/>
        <stp>BDH|13294542014090201205</stp>
        <tr r="W29" s="14"/>
      </tp>
      <tp t="e">
        <v>#N/A</v>
        <stp/>
        <stp>BDH|18324378741388204277</stp>
        <tr r="R16" s="24"/>
      </tp>
      <tp t="e">
        <v>#N/A</v>
        <stp/>
        <stp>BDH|17162780659911373136</stp>
        <tr r="E19" s="11"/>
      </tp>
      <tp t="e">
        <v>#N/A</v>
        <stp/>
        <stp>BDH|12455857435928360473</stp>
        <tr r="H20" s="18"/>
      </tp>
      <tp t="e">
        <v>#N/A</v>
        <stp/>
        <stp>BDH|15252619319617223086</stp>
        <tr r="M122" s="18"/>
      </tp>
      <tp t="e">
        <v>#N/A</v>
        <stp/>
        <stp>BDH|13988225703296861204</stp>
        <tr r="Q12" s="10"/>
      </tp>
      <tp t="e">
        <v>#N/A</v>
        <stp/>
        <stp>BDH|10034549570330024746</stp>
        <tr r="W34" s="18"/>
      </tp>
      <tp t="e">
        <v>#N/A</v>
        <stp/>
        <stp>BDH|12686706671331426633</stp>
        <tr r="AA23" s="17"/>
      </tp>
      <tp t="e">
        <v>#N/A</v>
        <stp/>
        <stp>BDH|12876092417867531132</stp>
        <tr r="M43" s="6"/>
      </tp>
      <tp t="e">
        <v>#N/A</v>
        <stp/>
        <stp>BDH|17784084238211305042</stp>
        <tr r="S22" s="7"/>
      </tp>
      <tp t="e">
        <v>#N/A</v>
        <stp/>
        <stp>BDH|18415462858779940533</stp>
        <tr r="G85" s="18"/>
      </tp>
      <tp t="e">
        <v>#N/A</v>
        <stp/>
        <stp>BDH|17645781136763172596</stp>
        <tr r="H41" s="25"/>
        <tr r="H59" s="21"/>
        <tr r="F54" s="11"/>
        <tr r="F31" s="4"/>
      </tp>
      <tp t="e">
        <v>#N/A</v>
        <stp/>
        <stp>BDH|13837472464477279390</stp>
        <tr r="AA21" s="21"/>
      </tp>
      <tp t="e">
        <v>#N/A</v>
        <stp/>
        <stp>BDH|17615523979718931844</stp>
        <tr r="U18" s="29"/>
        <tr r="U41" s="29"/>
      </tp>
      <tp t="e">
        <v>#N/A</v>
        <stp/>
        <stp>BDH|17571626075144203702</stp>
        <tr r="K71" s="12"/>
      </tp>
      <tp t="e">
        <v>#N/A</v>
        <stp/>
        <stp>BDH|12331466851104666223</stp>
        <tr r="S57" s="13"/>
        <tr r="Q38" s="11"/>
        <tr r="Q49" s="10"/>
        <tr r="Q18" s="2"/>
        <tr r="Q53" s="4"/>
      </tp>
      <tp t="e">
        <v>#N/A</v>
        <stp/>
        <stp>BDH|11758080328233126564</stp>
        <tr r="W49" s="4"/>
      </tp>
      <tp t="e">
        <v>#N/A</v>
        <stp/>
        <stp>BDH|12036427720727428660</stp>
        <tr r="U54" s="34"/>
      </tp>
      <tp t="e">
        <v>#N/A</v>
        <stp/>
        <stp>BDH|15332154571741729703</stp>
        <tr r="V12" s="26"/>
      </tp>
      <tp t="e">
        <v>#N/A</v>
        <stp/>
        <stp>BDH|15925584753608241805</stp>
        <tr r="W44" s="11"/>
        <tr r="W55" s="10"/>
        <tr r="W15" s="7"/>
      </tp>
      <tp t="e">
        <v>#N/A</v>
        <stp/>
        <stp>BDH|18441824958944895460</stp>
        <tr r="G21" s="10"/>
      </tp>
      <tp t="e">
        <v>#N/A</v>
        <stp/>
        <stp>BDH|11447610633361151072</stp>
        <tr r="H12" s="17"/>
      </tp>
      <tp t="e">
        <v>#N/A</v>
        <stp/>
        <stp>BDH|18139013820736397939</stp>
        <tr r="D15" s="9"/>
      </tp>
      <tp t="e">
        <v>#N/A</v>
        <stp/>
        <stp>BDH|11593003864120389224</stp>
        <tr r="K36" s="21"/>
        <tr r="K24" s="3"/>
      </tp>
      <tp t="e">
        <v>#N/A</v>
        <stp/>
        <stp>BDH|17468337840593239650</stp>
        <tr r="S7" s="8"/>
      </tp>
      <tp t="e">
        <v>#N/A</v>
        <stp/>
        <stp>BDH|13443116902527795008</stp>
        <tr r="C53" s="17"/>
      </tp>
      <tp t="e">
        <v>#N/A</v>
        <stp/>
        <stp>BDH|10196679522307223667</stp>
        <tr r="Y76" s="12"/>
      </tp>
      <tp t="e">
        <v>#N/A</v>
        <stp/>
        <stp>BDH|10323702347526642027</stp>
        <tr r="H16" s="18"/>
      </tp>
      <tp t="e">
        <v>#N/A</v>
        <stp/>
        <stp>BDH|16278208362902759575</stp>
        <tr r="S28" s="14"/>
      </tp>
      <tp t="e">
        <v>#N/A</v>
        <stp/>
        <stp>BDH|13011221355080525127</stp>
        <tr r="F165" s="18"/>
      </tp>
      <tp t="e">
        <v>#N/A</v>
        <stp/>
        <stp>BDH|17547254202600175034</stp>
        <tr r="T35" s="34"/>
      </tp>
      <tp t="e">
        <v>#N/A</v>
        <stp/>
        <stp>BDH|12781822193487535139</stp>
        <tr r="Q42" s="18"/>
      </tp>
      <tp t="e">
        <v>#N/A</v>
        <stp/>
        <stp>BDH|11158406797431513832</stp>
        <tr r="N135" s="18"/>
      </tp>
      <tp t="e">
        <v>#N/A</v>
        <stp/>
        <stp>BDH|14554758164205585513</stp>
        <tr r="E37" s="24"/>
      </tp>
      <tp t="e">
        <v>#N/A</v>
        <stp/>
        <stp>BDH|14533530447227589772</stp>
        <tr r="S12" s="17"/>
      </tp>
      <tp t="e">
        <v>#N/A</v>
        <stp/>
        <stp>BDH|18099286339568722453</stp>
        <tr r="F21" s="18"/>
      </tp>
      <tp t="e">
        <v>#N/A</v>
        <stp/>
        <stp>BDH|14201789414264594389</stp>
        <tr r="S61" s="21"/>
        <tr r="Q25" s="2"/>
      </tp>
      <tp t="e">
        <v>#N/A</v>
        <stp/>
        <stp>BDH|13323784057435986161</stp>
        <tr r="D17" s="9"/>
      </tp>
      <tp t="e">
        <v>#N/A</v>
        <stp/>
        <stp>BDH|11465629134378053912</stp>
        <tr r="K80" s="17"/>
      </tp>
      <tp t="e">
        <v>#N/A</v>
        <stp/>
        <stp>BDH|16708226248830849561</stp>
        <tr r="T98" s="12"/>
      </tp>
      <tp t="e">
        <v>#N/A</v>
        <stp/>
        <stp>BDH|12936062451122822059</stp>
        <tr r="I16" s="11"/>
      </tp>
      <tp t="e">
        <v>#N/A</v>
        <stp/>
        <stp>BDH|11457906262888386369</stp>
        <tr r="C10" s="11"/>
      </tp>
      <tp t="e">
        <v>#N/A</v>
        <stp/>
        <stp>BDH|15390563395188549465</stp>
        <tr r="Y109" s="18"/>
      </tp>
      <tp t="e">
        <v>#N/A</v>
        <stp/>
        <stp>BDH|13452898415646254997</stp>
        <tr r="Q38" s="22"/>
      </tp>
      <tp t="e">
        <v>#N/A</v>
        <stp/>
        <stp>BDH|12768144865397288770</stp>
        <tr r="H69" s="18"/>
      </tp>
      <tp t="e">
        <v>#N/A</v>
        <stp/>
        <stp>BDH|11484971926249609602</stp>
        <tr r="G34" s="13"/>
        <tr r="E27" s="10"/>
      </tp>
      <tp t="e">
        <v>#N/A</v>
        <stp/>
        <stp>BDH|12819959764079999138</stp>
        <tr r="AA37" s="24"/>
      </tp>
      <tp t="e">
        <v>#N/A</v>
        <stp/>
        <stp>BDH|10094254822257051242</stp>
        <tr r="G16" s="20"/>
      </tp>
      <tp t="e">
        <v>#N/A</v>
        <stp/>
        <stp>BDH|11065401866055204378</stp>
        <tr r="Y20" s="17"/>
      </tp>
      <tp t="e">
        <v>#N/A</v>
        <stp/>
        <stp>BDH|15331933753009979598</stp>
        <tr r="K46" s="6"/>
        <tr r="K19" s="5"/>
      </tp>
      <tp t="e">
        <v>#N/A</v>
        <stp/>
        <stp>BDH|10487527454366833390</stp>
        <tr r="Z10" s="14"/>
      </tp>
      <tp t="e">
        <v>#N/A</v>
        <stp/>
        <stp>BDH|17179519353703217126</stp>
        <tr r="K70" s="24"/>
      </tp>
      <tp t="e">
        <v>#N/A</v>
        <stp/>
        <stp>BDH|14396238160972665750</stp>
        <tr r="Y11" s="11"/>
      </tp>
      <tp t="e">
        <v>#N/A</v>
        <stp/>
        <stp>BDH|16505115065230492460</stp>
        <tr r="U9" s="29"/>
      </tp>
      <tp t="e">
        <v>#N/A</v>
        <stp/>
        <stp>BDH|17018649945864494467</stp>
        <tr r="V13" s="22"/>
      </tp>
      <tp t="e">
        <v>#N/A</v>
        <stp/>
        <stp>BDH|10349072713845731130</stp>
        <tr r="E24" s="22"/>
      </tp>
      <tp t="e">
        <v>#N/A</v>
        <stp/>
        <stp>BDH|14448849881772636344</stp>
        <tr r="D22" s="10"/>
      </tp>
      <tp t="e">
        <v>#N/A</v>
        <stp/>
        <stp>BDH|13960919894423758583</stp>
        <tr r="D125" s="18"/>
      </tp>
      <tp t="e">
        <v>#N/A</v>
        <stp/>
        <stp>BDH|10152168306405528177</stp>
        <tr r="AA69" s="12"/>
      </tp>
      <tp t="e">
        <v>#N/A</v>
        <stp/>
        <stp>BDH|14909256644925265295</stp>
        <tr r="H41" s="26"/>
      </tp>
      <tp t="e">
        <v>#N/A</v>
        <stp/>
        <stp>BDH|16778441674359651923</stp>
        <tr r="H47" s="13"/>
      </tp>
      <tp t="e">
        <v>#N/A</v>
        <stp/>
        <stp>BDH|12460717682408143052</stp>
        <tr r="N46" s="6"/>
        <tr r="N19" s="5"/>
      </tp>
      <tp t="e">
        <v>#N/A</v>
        <stp/>
        <stp>BDH|16310764389405837971</stp>
        <tr r="T47" s="17"/>
      </tp>
      <tp t="e">
        <v>#N/A</v>
        <stp/>
        <stp>BDH|15925035911686936711</stp>
        <tr r="T128" s="18"/>
      </tp>
      <tp t="e">
        <v>#N/A</v>
        <stp/>
        <stp>BDH|16137653102370503500</stp>
        <tr r="X121" s="18"/>
      </tp>
      <tp t="e">
        <v>#N/A</v>
        <stp/>
        <stp>BDH|12333291580445147880</stp>
        <tr r="X44" s="12"/>
      </tp>
      <tp t="e">
        <v>#N/A</v>
        <stp/>
        <stp>BDH|15816782976067338762</stp>
        <tr r="E6" s="27"/>
      </tp>
      <tp t="e">
        <v>#N/A</v>
        <stp/>
        <stp>BDH|13561954633779042503</stp>
        <tr r="E32" s="24"/>
      </tp>
      <tp t="e">
        <v>#N/A</v>
        <stp/>
        <stp>BDH|12735475926358057951</stp>
        <tr r="E53" s="21"/>
      </tp>
      <tp t="e">
        <v>#N/A</v>
        <stp/>
        <stp>BDH|14470005873414266260</stp>
        <tr r="E170" s="18"/>
      </tp>
      <tp t="e">
        <v>#N/A</v>
        <stp/>
        <stp>BDH|13015891892260840706</stp>
        <tr r="Y24" s="24"/>
      </tp>
      <tp t="e">
        <v>#N/A</v>
        <stp/>
        <stp>BDH|13356240219870546589</stp>
        <tr r="S28" s="12"/>
      </tp>
      <tp t="e">
        <v>#N/A</v>
        <stp/>
        <stp>BDH|11931760448937182052</stp>
        <tr r="W19" s="17"/>
      </tp>
      <tp t="e">
        <v>#N/A</v>
        <stp/>
        <stp>BDH|14441647714104164264</stp>
        <tr r="U93" s="18"/>
      </tp>
      <tp t="e">
        <v>#N/A</v>
        <stp/>
        <stp>BDH|16936957586782934007</stp>
        <tr r="G75" s="17"/>
      </tp>
      <tp t="e">
        <v>#N/A</v>
        <stp/>
        <stp>BDH|13383482825359590987</stp>
        <tr r="P19" s="28"/>
        <tr r="P16" s="17"/>
      </tp>
      <tp t="e">
        <v>#N/A</v>
        <stp/>
        <stp>BDH|11673471676530173753</stp>
        <tr r="M64" s="12"/>
      </tp>
      <tp t="e">
        <v>#N/A</v>
        <stp/>
        <stp>BDH|15797357216853348144</stp>
        <tr r="D20" s="21"/>
      </tp>
      <tp t="e">
        <v>#N/A</v>
        <stp/>
        <stp>BDH|18130989518805452061</stp>
        <tr r="T45" s="17"/>
      </tp>
      <tp t="e">
        <v>#N/A</v>
        <stp/>
        <stp>BDH|11527713216060467252</stp>
        <tr r="Q23" s="30"/>
        <tr r="Q25" s="23"/>
      </tp>
      <tp t="e">
        <v>#N/A</v>
        <stp/>
        <stp>BDH|14125788608072564479</stp>
        <tr r="L27" s="18"/>
      </tp>
      <tp t="e">
        <v>#N/A</v>
        <stp/>
        <stp>BDH|18225954555196127701</stp>
        <tr r="L46" s="13"/>
        <tr r="J30" s="11"/>
        <tr r="J41" s="10"/>
      </tp>
      <tp t="e">
        <v>#N/A</v>
        <stp/>
        <stp>BDH|16610198874167997215</stp>
        <tr r="C46" s="22"/>
      </tp>
      <tp t="e">
        <v>#N/A</v>
        <stp/>
        <stp>BDH|13508727790139414103</stp>
        <tr r="N19" s="10"/>
      </tp>
      <tp t="e">
        <v>#N/A</v>
        <stp/>
        <stp>BDH|14255783727945720199</stp>
        <tr r="Z170" s="18"/>
      </tp>
      <tp t="e">
        <v>#N/A</v>
        <stp/>
        <stp>BDH|10106219664834360543</stp>
        <tr r="V8" s="26"/>
        <tr r="S10" s="9"/>
      </tp>
      <tp t="e">
        <v>#N/A</v>
        <stp/>
        <stp>BDH|14066082309425515475</stp>
        <tr r="N58" s="6"/>
      </tp>
      <tp t="e">
        <v>#N/A</v>
        <stp/>
        <stp>BDH|15909939643394849935</stp>
        <tr r="O93" s="18"/>
      </tp>
      <tp t="e">
        <v>#N/A</v>
        <stp/>
        <stp>BDH|11759837913515787824</stp>
        <tr r="I27" s="7"/>
      </tp>
      <tp t="e">
        <v>#N/A</v>
        <stp/>
        <stp>BDH|14723992491921468095</stp>
        <tr r="V11" s="10"/>
        <tr r="V14" s="2"/>
      </tp>
      <tp t="e">
        <v>#N/A</v>
        <stp/>
        <stp>BDH|10690555660802698477</stp>
        <tr r="E32" s="5"/>
      </tp>
      <tp t="e">
        <v>#N/A</v>
        <stp/>
        <stp>BDH|13243642416831403064</stp>
        <tr r="R23" s="6"/>
      </tp>
      <tp t="e">
        <v>#N/A</v>
        <stp/>
        <stp>BDH|18183501150445115826</stp>
        <tr r="K42" s="18"/>
      </tp>
      <tp t="e">
        <v>#N/A</v>
        <stp/>
        <stp>BDH|13907119872285115590</stp>
        <tr r="F9" s="26"/>
      </tp>
      <tp t="e">
        <v>#N/A</v>
        <stp/>
        <stp>BDH|13678567731907524762</stp>
        <tr r="U14" s="22"/>
      </tp>
      <tp t="e">
        <v>#N/A</v>
        <stp/>
        <stp>BDH|15937500744937758686</stp>
        <tr r="C36" s="4"/>
      </tp>
      <tp t="e">
        <v>#N/A</v>
        <stp/>
        <stp>BDH|13057706279962233490</stp>
        <tr r="N15" s="12"/>
      </tp>
      <tp t="e">
        <v>#N/A</v>
        <stp/>
        <stp>BDH|13296264770172456120</stp>
        <tr r="D9" s="23"/>
      </tp>
      <tp t="e">
        <v>#N/A</v>
        <stp/>
        <stp>BDH|17479839393553363055</stp>
        <tr r="R23" s="21"/>
      </tp>
      <tp t="e">
        <v>#N/A</v>
        <stp/>
        <stp>BDH|15416273429008024888</stp>
        <tr r="O36" s="21"/>
        <tr r="O24" s="3"/>
      </tp>
      <tp t="e">
        <v>#N/A</v>
        <stp/>
        <stp>BDH|14195176478611531692</stp>
        <tr r="G22" s="21"/>
      </tp>
      <tp t="e">
        <v>#N/A</v>
        <stp/>
        <stp>BDH|14315083868871706665</stp>
        <tr r="O23" s="23"/>
      </tp>
      <tp t="e">
        <v>#N/A</v>
        <stp/>
        <stp>BDH|12245162605161418778</stp>
        <tr r="U27" s="21"/>
      </tp>
      <tp t="e">
        <v>#N/A</v>
        <stp/>
        <stp>BDH|14267572105631489564</stp>
        <tr r="Q77" s="12"/>
      </tp>
      <tp t="e">
        <v>#N/A</v>
        <stp/>
        <stp>BDH|10672484795901857911</stp>
        <tr r="Y73" s="18"/>
      </tp>
      <tp t="e">
        <v>#N/A</v>
        <stp/>
        <stp>BDH|16650169323773909386</stp>
        <tr r="P22" s="18"/>
      </tp>
      <tp t="e">
        <v>#N/A</v>
        <stp/>
        <stp>BDH|10559146752042776369</stp>
        <tr r="D63" s="13"/>
      </tp>
      <tp t="e">
        <v>#N/A</v>
        <stp/>
        <stp>BDH|10876229219624139206</stp>
        <tr r="P37" s="24"/>
      </tp>
      <tp t="e">
        <v>#N/A</v>
        <stp/>
        <stp>BDH|13451545415133051179</stp>
        <tr r="G91" s="18"/>
      </tp>
      <tp t="e">
        <v>#N/A</v>
        <stp/>
        <stp>BDH|15376003766630177669</stp>
        <tr r="U29" s="9"/>
      </tp>
      <tp t="e">
        <v>#N/A</v>
        <stp/>
        <stp>BDH|11515648016427156444</stp>
        <tr r="E11" s="18"/>
      </tp>
      <tp t="e">
        <v>#N/A</v>
        <stp/>
        <stp>BDH|11963737149271739663</stp>
        <tr r="U61" s="11"/>
      </tp>
      <tp t="e">
        <v>#N/A</v>
        <stp/>
        <stp>BDH|10052115582235491958</stp>
        <tr r="C19" s="24"/>
      </tp>
      <tp t="e">
        <v>#N/A</v>
        <stp/>
        <stp>BDH|16963465449033277067</stp>
        <tr r="R45" s="11"/>
        <tr r="R56" s="10"/>
        <tr r="R16" s="7"/>
      </tp>
      <tp t="e">
        <v>#N/A</v>
        <stp/>
        <stp>BDH|14256370227906678669</stp>
        <tr r="G41" s="21"/>
      </tp>
      <tp t="e">
        <v>#N/A</v>
        <stp/>
        <stp>BDH|13764715312695450522</stp>
        <tr r="AA69" s="13"/>
      </tp>
      <tp t="e">
        <v>#N/A</v>
        <stp/>
        <stp>BDH|15375092479285860293</stp>
        <tr r="C62" s="18"/>
      </tp>
      <tp t="e">
        <v>#N/A</v>
        <stp/>
        <stp>BDH|14110714658761243284</stp>
        <tr r="P57" s="6"/>
      </tp>
      <tp t="e">
        <v>#N/A</v>
        <stp/>
        <stp>BDH|16928014358693544575</stp>
        <tr r="W11" s="22"/>
      </tp>
      <tp t="e">
        <v>#N/A</v>
        <stp/>
        <stp>BDH|11860051438986361148</stp>
        <tr r="J31" s="29"/>
      </tp>
      <tp t="e">
        <v>#N/A</v>
        <stp/>
        <stp>BDH|13406878953923423863</stp>
        <tr r="U53" s="24"/>
      </tp>
      <tp t="e">
        <v>#N/A</v>
        <stp/>
        <stp>BDH|12131048671823031360</stp>
        <tr r="S62" s="21"/>
      </tp>
      <tp t="e">
        <v>#N/A</v>
        <stp/>
        <stp>BDH|12933672358640757432</stp>
        <tr r="E18" s="34"/>
      </tp>
      <tp t="e">
        <v>#N/A</v>
        <stp/>
        <stp>BDH|16524731864086508454</stp>
        <tr r="K67" s="10"/>
      </tp>
      <tp t="e">
        <v>#N/A</v>
        <stp/>
        <stp>BDH|12550051987249379666</stp>
        <tr r="U12" s="27"/>
        <tr r="U30" s="25"/>
      </tp>
      <tp t="e">
        <v>#N/A</v>
        <stp/>
        <stp>BDH|10925534519782068310</stp>
        <tr r="X45" s="13"/>
        <tr r="V29" s="11"/>
        <tr r="V40" s="10"/>
      </tp>
      <tp t="e">
        <v>#N/A</v>
        <stp/>
        <stp>BDH|14124585616483417694</stp>
        <tr r="Z95" s="18"/>
      </tp>
      <tp t="e">
        <v>#N/A</v>
        <stp/>
        <stp>BDH|14528703104301604754</stp>
        <tr r="W7" s="28"/>
      </tp>
      <tp t="e">
        <v>#N/A</v>
        <stp/>
        <stp>BDH|10587619403885097656</stp>
        <tr r="W21" s="14"/>
      </tp>
      <tp t="e">
        <v>#N/A</v>
        <stp/>
        <stp>BDH|16286163048900656681</stp>
        <tr r="I32" s="11"/>
        <tr r="I43" s="10"/>
      </tp>
      <tp t="e">
        <v>#N/A</v>
        <stp/>
        <stp>BDH|11294024132946188119</stp>
        <tr r="U14" s="27"/>
        <tr r="U32" s="25"/>
      </tp>
      <tp t="e">
        <v>#N/A</v>
        <stp/>
        <stp>BDH|16416702058115913476</stp>
        <tr r="J11" s="6"/>
      </tp>
      <tp t="e">
        <v>#N/A</v>
        <stp/>
        <stp>BDH|15547335944586651164</stp>
        <tr r="T24" s="2"/>
      </tp>
      <tp t="e">
        <v>#N/A</v>
        <stp/>
        <stp>BDH|12319742811462626320</stp>
        <tr r="Z30" s="24"/>
      </tp>
      <tp t="e">
        <v>#N/A</v>
        <stp/>
        <stp>BDH|10452077068761080299</stp>
        <tr r="C76" s="18"/>
      </tp>
      <tp t="e">
        <v>#N/A</v>
        <stp/>
        <stp>BDH|15850903182979895802</stp>
        <tr r="O15" s="29"/>
        <tr r="O38" s="29"/>
      </tp>
      <tp t="e">
        <v>#N/A</v>
        <stp/>
        <stp>BDH|12280522745434779272</stp>
        <tr r="E41" s="21"/>
      </tp>
      <tp t="e">
        <v>#N/A</v>
        <stp/>
        <stp>BDH|15831045329591415349</stp>
        <tr r="U56" s="6"/>
      </tp>
      <tp t="e">
        <v>#N/A</v>
        <stp/>
        <stp>BDH|18255628612232224856</stp>
        <tr r="G33" s="11"/>
        <tr r="G44" s="10"/>
      </tp>
      <tp t="e">
        <v>#N/A</v>
        <stp/>
        <stp>BDH|15285351569202912721</stp>
        <tr r="K18" s="27"/>
        <tr r="K36" s="25"/>
      </tp>
      <tp t="e">
        <v>#N/A</v>
        <stp/>
        <stp>BDH|14442007116950223051</stp>
        <tr r="D27" s="17"/>
      </tp>
      <tp t="e">
        <v>#N/A</v>
        <stp/>
        <stp>BDH|10928726524274389496</stp>
        <tr r="K66" s="13"/>
      </tp>
      <tp t="e">
        <v>#N/A</v>
        <stp/>
        <stp>BDH|15324565264967488409</stp>
        <tr r="O16" s="26"/>
      </tp>
      <tp t="e">
        <v>#N/A</v>
        <stp/>
        <stp>BDH|15068569374104758604</stp>
        <tr r="I24" s="29"/>
      </tp>
      <tp t="e">
        <v>#N/A</v>
        <stp/>
        <stp>BDH|11783241867135162500</stp>
        <tr r="V24" s="22"/>
      </tp>
      <tp t="e">
        <v>#N/A</v>
        <stp/>
        <stp>BDH|14181734693769277662</stp>
        <tr r="E96" s="18"/>
      </tp>
      <tp t="e">
        <v>#N/A</v>
        <stp/>
        <stp>BDH|10771438001747446642</stp>
        <tr r="N9" s="27"/>
      </tp>
      <tp t="e">
        <v>#N/A</v>
        <stp/>
        <stp>BDH|16698500355551321253</stp>
        <tr r="N8" s="17"/>
      </tp>
      <tp t="e">
        <v>#N/A</v>
        <stp/>
        <stp>BDH|12773277020561317668</stp>
        <tr r="AA11" s="14"/>
      </tp>
      <tp t="e">
        <v>#N/A</v>
        <stp/>
        <stp>BDH|16013715215675286039</stp>
        <tr r="K42" s="22"/>
      </tp>
      <tp t="e">
        <v>#N/A</v>
        <stp/>
        <stp>BDH|17443723423644661364</stp>
        <tr r="I22" s="21"/>
      </tp>
      <tp t="e">
        <v>#N/A</v>
        <stp/>
        <stp>BDH|13827876928075035925</stp>
        <tr r="AA17" s="20"/>
      </tp>
      <tp t="e">
        <v>#N/A</v>
        <stp/>
        <stp>BDH|11116488309342205278</stp>
        <tr r="V68" s="17"/>
      </tp>
      <tp t="e">
        <v>#N/A</v>
        <stp/>
        <stp>BDH|12090681602026694793</stp>
        <tr r="P47" s="34"/>
      </tp>
      <tp t="e">
        <v>#N/A</v>
        <stp/>
        <stp>BDH|11637537937162624016</stp>
        <tr r="C59" s="17"/>
      </tp>
      <tp t="e">
        <v>#N/A</v>
        <stp/>
        <stp>BDH|12096963139228280581</stp>
        <tr r="Y74" s="10"/>
        <tr r="Y63" s="11"/>
      </tp>
      <tp t="e">
        <v>#N/A</v>
        <stp/>
        <stp>BDH|15260798709605785201</stp>
        <tr r="X9" s="23"/>
      </tp>
      <tp t="e">
        <v>#N/A</v>
        <stp/>
        <stp>BDH|18331253935545355950</stp>
        <tr r="G17" s="9"/>
      </tp>
      <tp t="e">
        <v>#N/A</v>
        <stp/>
        <stp>BDH|16390628821832480511</stp>
        <tr r="R71" s="24"/>
      </tp>
      <tp t="e">
        <v>#N/A</v>
        <stp/>
        <stp>BDH|13745965153493218954</stp>
        <tr r="S21" s="17"/>
      </tp>
      <tp t="e">
        <v>#N/A</v>
        <stp/>
        <stp>BDH|12672483339626567674</stp>
        <tr r="M45" s="34"/>
      </tp>
      <tp t="e">
        <v>#N/A</v>
        <stp/>
        <stp>BDH|17892592390526694827</stp>
        <tr r="E13" s="13"/>
      </tp>
      <tp t="e">
        <v>#N/A</v>
        <stp/>
        <stp>BDH|14616030989791176881</stp>
        <tr r="J36" s="21"/>
        <tr r="J24" s="3"/>
      </tp>
      <tp t="e">
        <v>#N/A</v>
        <stp/>
        <stp>BDH|15251430522504449223</stp>
        <tr r="C69" s="18"/>
      </tp>
      <tp t="e">
        <v>#N/A</v>
        <stp/>
        <stp>BDH|10939758869595914198</stp>
        <tr r="Q97" s="12"/>
      </tp>
      <tp t="e">
        <v>#N/A</v>
        <stp/>
        <stp>BDH|14943023892128962057</stp>
        <tr r="R53" s="24"/>
      </tp>
      <tp t="e">
        <v>#N/A</v>
        <stp/>
        <stp>BDH|12616632470305748373</stp>
        <tr r="W68" s="12"/>
      </tp>
      <tp t="e">
        <v>#N/A</v>
        <stp/>
        <stp>BDH|15069163953210989499</stp>
        <tr r="S19" s="30"/>
      </tp>
      <tp t="e">
        <v>#N/A</v>
        <stp/>
        <stp>BDH|16203431475678877896</stp>
        <tr r="R125" s="18"/>
      </tp>
      <tp t="e">
        <v>#N/A</v>
        <stp/>
        <stp>BDH|13815172507025513284</stp>
        <tr r="Z27" s="18"/>
      </tp>
      <tp t="e">
        <v>#N/A</v>
        <stp/>
        <stp>BDH|16081115967701094536</stp>
        <tr r="R58" s="17"/>
      </tp>
      <tp t="e">
        <v>#N/A</v>
        <stp/>
        <stp>BDH|16472934456497167854</stp>
        <tr r="U61" s="12"/>
      </tp>
      <tp t="e">
        <v>#N/A</v>
        <stp/>
        <stp>BDH|16250675566590250344</stp>
        <tr r="R55" s="18"/>
      </tp>
      <tp t="e">
        <v>#N/A</v>
        <stp/>
        <stp>BDH|11942439640394640081</stp>
        <tr r="G58" s="18"/>
      </tp>
      <tp t="e">
        <v>#N/A</v>
        <stp/>
        <stp>BDH|15290164800784035502</stp>
        <tr r="V96" s="17"/>
      </tp>
      <tp t="e">
        <v>#N/A</v>
        <stp/>
        <stp>BDH|13927355518974425047</stp>
        <tr r="Q44" s="10"/>
        <tr r="Q33" s="11"/>
      </tp>
      <tp t="e">
        <v>#N/A</v>
        <stp/>
        <stp>BDH|11508331356603249168</stp>
        <tr r="J22" s="9"/>
      </tp>
      <tp t="e">
        <v>#N/A</v>
        <stp/>
        <stp>BDH|14130933498870654184</stp>
        <tr r="Y27" s="24"/>
      </tp>
      <tp t="e">
        <v>#N/A</v>
        <stp/>
        <stp>BDH|17785430174568429907</stp>
        <tr r="I41" s="12"/>
      </tp>
      <tp t="e">
        <v>#N/A</v>
        <stp/>
        <stp>BDH|16347574757992446132</stp>
        <tr r="P82" s="12"/>
      </tp>
      <tp t="e">
        <v>#N/A</v>
        <stp/>
        <stp>BDH|15361112575952328400</stp>
        <tr r="J12" s="17"/>
      </tp>
      <tp t="e">
        <v>#N/A</v>
        <stp/>
        <stp>BDH|17488484360367114791</stp>
        <tr r="W16" s="20"/>
      </tp>
      <tp t="e">
        <v>#N/A</v>
        <stp/>
        <stp>BDH|12956034478375257548</stp>
        <tr r="L23" s="23"/>
      </tp>
      <tp t="e">
        <v>#N/A</v>
        <stp/>
        <stp>BDH|18255795488862355042</stp>
        <tr r="C37" s="29"/>
        <tr r="C23" s="29"/>
        <tr r="C14" s="29"/>
      </tp>
      <tp t="e">
        <v>#N/A</v>
        <stp/>
        <stp>BDH|16778025776176181265</stp>
        <tr r="I39" s="24"/>
      </tp>
      <tp t="e">
        <v>#N/A</v>
        <stp/>
        <stp>BDH|11060831826429052718</stp>
        <tr r="X24" s="2"/>
      </tp>
      <tp t="e">
        <v>#N/A</v>
        <stp/>
        <stp>BDH|12466680160166095180</stp>
        <tr r="P24" s="12"/>
      </tp>
      <tp t="e">
        <v>#N/A</v>
        <stp/>
        <stp>BDH|18362155765338696217</stp>
        <tr r="F67" s="24"/>
      </tp>
      <tp t="e">
        <v>#N/A</v>
        <stp/>
        <stp>BDH|15790025379534175393</stp>
        <tr r="T84" s="12"/>
      </tp>
      <tp t="e">
        <v>#N/A</v>
        <stp/>
        <stp>BDH|10641440752841046545</stp>
        <tr r="G59" s="18"/>
      </tp>
      <tp t="e">
        <v>#N/A</v>
        <stp/>
        <stp>BDH|12570525894273699814</stp>
        <tr r="R30" s="29"/>
        <tr r="R8" s="29"/>
      </tp>
      <tp t="e">
        <v>#N/A</v>
        <stp/>
        <stp>BDH|16421643324816276122</stp>
        <tr r="J38" s="25"/>
        <tr r="J92" s="17"/>
      </tp>
      <tp t="e">
        <v>#N/A</v>
        <stp/>
        <stp>BDH|11915697714810574355</stp>
        <tr r="P18" s="13"/>
      </tp>
      <tp t="e">
        <v>#N/A</v>
        <stp/>
        <stp>BDH|18100729653227516816</stp>
        <tr r="K19" s="20"/>
      </tp>
      <tp t="e">
        <v>#N/A</v>
        <stp/>
        <stp>BDH|10137927650909065078</stp>
        <tr r="P63" s="21"/>
      </tp>
      <tp t="e">
        <v>#N/A</v>
        <stp/>
        <stp>BDH|17383705851024068468</stp>
        <tr r="L43" s="4"/>
      </tp>
      <tp t="e">
        <v>#N/A</v>
        <stp/>
        <stp>BDH|10331649833436562659</stp>
        <tr r="Z14" s="20"/>
        <tr r="Z119" s="18"/>
      </tp>
      <tp t="e">
        <v>#N/A</v>
        <stp/>
        <stp>BDH|10126709032503371248</stp>
        <tr r="V8" s="12"/>
      </tp>
      <tp t="e">
        <v>#N/A</v>
        <stp/>
        <stp>BDH|10110653628756915715</stp>
        <tr r="D27" s="24"/>
      </tp>
      <tp t="e">
        <v>#N/A</v>
        <stp/>
        <stp>BDH|11538030664534004666</stp>
        <tr r="J38" s="26"/>
      </tp>
      <tp t="e">
        <v>#N/A</v>
        <stp/>
        <stp>BDH|11930554639544563644</stp>
        <tr r="I163" s="18"/>
      </tp>
      <tp t="e">
        <v>#N/A</v>
        <stp/>
        <stp>BDH|14955770377531405090</stp>
        <tr r="C15" s="29"/>
        <tr r="C38" s="29"/>
      </tp>
      <tp t="e">
        <v>#N/A</v>
        <stp/>
        <stp>BDH|17377736834130062601</stp>
        <tr r="J12" s="26"/>
      </tp>
      <tp t="e">
        <v>#N/A</v>
        <stp/>
        <stp>BDH|17901168152582093493</stp>
        <tr r="Q26" s="6"/>
      </tp>
      <tp t="e">
        <v>#N/A</v>
        <stp/>
        <stp>BDH|10210120205006833295</stp>
        <tr r="C77" s="12"/>
      </tp>
      <tp t="e">
        <v>#N/A</v>
        <stp/>
        <stp>BDH|12153600712714239457</stp>
        <tr r="K31" s="5"/>
      </tp>
      <tp t="e">
        <v>#N/A</v>
        <stp/>
        <stp>BDH|12116771105708593828</stp>
        <tr r="F9" s="30"/>
      </tp>
      <tp t="e">
        <v>#N/A</v>
        <stp/>
        <stp>BDH|13259518847445965299</stp>
        <tr r="Z57" s="13"/>
        <tr r="X38" s="11"/>
        <tr r="X49" s="10"/>
        <tr r="X53" s="4"/>
        <tr r="X18" s="2"/>
      </tp>
      <tp t="e">
        <v>#N/A</v>
        <stp/>
        <stp>BDH|11106474947333321760</stp>
        <tr r="H55" s="10"/>
        <tr r="H44" s="11"/>
        <tr r="H15" s="7"/>
      </tp>
      <tp t="e">
        <v>#N/A</v>
        <stp/>
        <stp>BDH|11660035742075017537</stp>
        <tr r="S10" s="34"/>
      </tp>
      <tp t="e">
        <v>#N/A</v>
        <stp/>
        <stp>BDH|10605107570377347415</stp>
        <tr r="W48" s="18"/>
      </tp>
      <tp t="e">
        <v>#N/A</v>
        <stp/>
        <stp>BDH|17235582303433987448</stp>
        <tr r="V9" s="14"/>
      </tp>
      <tp t="e">
        <v>#N/A</v>
        <stp/>
        <stp>BDH|15937293152291677601</stp>
        <tr r="J43" s="6"/>
      </tp>
      <tp t="e">
        <v>#N/A</v>
        <stp/>
        <stp>BDH|16524297815500984073</stp>
        <tr r="N39" s="18"/>
      </tp>
      <tp t="e">
        <v>#N/A</v>
        <stp/>
        <stp>BDH|14609238331082107223</stp>
        <tr r="R40" s="12"/>
      </tp>
      <tp t="e">
        <v>#N/A</v>
        <stp/>
        <stp>BDH|16024551919802390588</stp>
        <tr r="V31" s="11"/>
        <tr r="V42" s="10"/>
      </tp>
      <tp t="e">
        <v>#N/A</v>
        <stp/>
        <stp>BDH|17005524632503098772</stp>
        <tr r="M8" s="11"/>
      </tp>
      <tp t="e">
        <v>#N/A</v>
        <stp/>
        <stp>BDH|17122925194802617064</stp>
        <tr r="V146" s="18"/>
      </tp>
      <tp t="e">
        <v>#N/A</v>
        <stp/>
        <stp>BDH|11638396128975325037</stp>
        <tr r="V23" s="25"/>
      </tp>
      <tp t="e">
        <v>#N/A</v>
        <stp/>
        <stp>BDH|13694712674732107455</stp>
        <tr r="D18" s="34"/>
      </tp>
      <tp t="e">
        <v>#N/A</v>
        <stp/>
        <stp>BDH|18386434994278256814</stp>
        <tr r="D78" s="17"/>
      </tp>
      <tp t="e">
        <v>#N/A</v>
        <stp/>
        <stp>BDH|14580047370196481029</stp>
        <tr r="V32" s="22"/>
      </tp>
      <tp t="e">
        <v>#N/A</v>
        <stp/>
        <stp>BDH|17351390255023125798</stp>
        <tr r="G12" s="6"/>
      </tp>
      <tp t="e">
        <v>#N/A</v>
        <stp/>
        <stp>BDH|11137656837819238861</stp>
        <tr r="T70" s="24"/>
      </tp>
      <tp t="e">
        <v>#N/A</v>
        <stp/>
        <stp>BDH|14762199634514504785</stp>
        <tr r="V86" s="18"/>
      </tp>
      <tp t="e">
        <v>#N/A</v>
        <stp/>
        <stp>BDH|16643612273907521562</stp>
        <tr r="M72" s="24"/>
      </tp>
      <tp t="e">
        <v>#N/A</v>
        <stp/>
        <stp>BDH|13662838447569504306</stp>
        <tr r="C22" s="29"/>
        <tr r="C13" s="29"/>
        <tr r="C36" s="29"/>
      </tp>
      <tp t="e">
        <v>#N/A</v>
        <stp/>
        <stp>BDH|12121678313145654543</stp>
        <tr r="D42" s="21"/>
      </tp>
      <tp t="e">
        <v>#N/A</v>
        <stp/>
        <stp>BDH|12368221446918902992</stp>
        <tr r="U152" s="18"/>
      </tp>
      <tp t="e">
        <v>#N/A</v>
        <stp/>
        <stp>BDH|12308339063386109456</stp>
        <tr r="P33" s="18"/>
      </tp>
      <tp t="e">
        <v>#N/A</v>
        <stp/>
        <stp>BDH|14199419709547603286</stp>
        <tr r="J15" s="9"/>
      </tp>
      <tp t="e">
        <v>#N/A</v>
        <stp/>
        <stp>BDH|11246900885725028002</stp>
        <tr r="Q51" s="21"/>
      </tp>
      <tp t="e">
        <v>#N/A</v>
        <stp/>
        <stp>BDH|14972117255497238284</stp>
        <tr r="S66" s="12"/>
      </tp>
      <tp t="e">
        <v>#N/A</v>
        <stp/>
        <stp>BDH|11015561252345353105</stp>
        <tr r="Z16" s="25"/>
      </tp>
      <tp t="e">
        <v>#N/A</v>
        <stp/>
        <stp>BDH|10609199964997420580</stp>
        <tr r="X172" s="18"/>
      </tp>
      <tp t="e">
        <v>#N/A</v>
        <stp/>
        <stp>BDH|15997600079886666715</stp>
        <tr r="Y65" s="12"/>
      </tp>
      <tp t="e">
        <v>#N/A</v>
        <stp/>
        <stp>BDH|11114721898498801246</stp>
        <tr r="M168" s="18"/>
      </tp>
      <tp t="e">
        <v>#N/A</v>
        <stp/>
        <stp>BDH|10983379232787918225</stp>
        <tr r="L44" s="12"/>
      </tp>
      <tp t="e">
        <v>#N/A</v>
        <stp/>
        <stp>BDH|13926137348775662635</stp>
        <tr r="O38" s="12"/>
      </tp>
      <tp t="e">
        <v>#N/A</v>
        <stp/>
        <stp>BDH|12750156938247886259</stp>
        <tr r="Y73" s="13"/>
        <tr r="W50" s="11"/>
        <tr r="W61" s="10"/>
        <tr r="W19" s="7"/>
        <tr r="W20" s="2"/>
        <tr r="W18" s="4"/>
      </tp>
      <tp t="e">
        <v>#N/A</v>
        <stp/>
        <stp>BDH|16530272200246733720</stp>
        <tr r="S42" s="22"/>
      </tp>
      <tp t="e">
        <v>#N/A</v>
        <stp/>
        <stp>BDH|15140975209701846802</stp>
        <tr r="V17" s="5"/>
        <tr r="V36" s="6"/>
      </tp>
      <tp t="e">
        <v>#N/A</v>
        <stp/>
        <stp>BDH|11697671423660782026</stp>
        <tr r="S29" s="12"/>
      </tp>
      <tp t="e">
        <v>#N/A</v>
        <stp/>
        <stp>BDH|13640130657705476714</stp>
        <tr r="E63" s="17"/>
      </tp>
      <tp t="e">
        <v>#N/A</v>
        <stp/>
        <stp>BDH|11073852797616466315</stp>
        <tr r="J18" s="27"/>
        <tr r="J36" s="25"/>
      </tp>
      <tp t="e">
        <v>#N/A</v>
        <stp/>
        <stp>BDH|16329918327998701053</stp>
        <tr r="H17" s="13"/>
      </tp>
      <tp t="e">
        <v>#N/A</v>
        <stp/>
        <stp>BDH|16638754132513015464</stp>
        <tr r="V76" s="24"/>
      </tp>
      <tp t="e">
        <v>#N/A</v>
        <stp/>
        <stp>BDH|14044074377683656514</stp>
        <tr r="I30" s="21"/>
      </tp>
      <tp t="e">
        <v>#N/A</v>
        <stp/>
        <stp>BDH|16952262015008983848</stp>
        <tr r="S40" s="13"/>
        <tr r="Q33" s="10"/>
      </tp>
      <tp t="e">
        <v>#N/A</v>
        <stp/>
        <stp>BDH|14637914434479447200</stp>
        <tr r="O10" s="12"/>
      </tp>
      <tp t="e">
        <v>#N/A</v>
        <stp/>
        <stp>BDH|18002601882760718321</stp>
        <tr r="P41" s="24"/>
      </tp>
      <tp t="e">
        <v>#N/A</v>
        <stp/>
        <stp>BDH|18260631660615305857</stp>
        <tr r="J15" s="29"/>
        <tr r="J38" s="29"/>
      </tp>
      <tp t="e">
        <v>#N/A</v>
        <stp/>
        <stp>BDH|10617406683051370815</stp>
        <tr r="J109" s="18"/>
      </tp>
      <tp t="e">
        <v>#N/A</v>
        <stp/>
        <stp>BDH|15768573206796373320</stp>
        <tr r="M52" s="22"/>
      </tp>
      <tp t="e">
        <v>#N/A</v>
        <stp/>
        <stp>BDH|13190518918547671597</stp>
        <tr r="P67" s="10"/>
      </tp>
      <tp t="e">
        <v>#N/A</v>
        <stp/>
        <stp>BDH|16799521726134196054</stp>
        <tr r="O52" s="12"/>
      </tp>
      <tp t="e">
        <v>#N/A</v>
        <stp/>
        <stp>BDH|15361036117871450049</stp>
        <tr r="K25" s="11"/>
        <tr r="K36" s="10"/>
      </tp>
      <tp t="e">
        <v>#N/A</v>
        <stp/>
        <stp>BDH|14563941811350088978</stp>
        <tr r="Q40" s="11"/>
        <tr r="Q28" s="11"/>
        <tr r="Q51" s="10"/>
        <tr r="Q39" s="10"/>
      </tp>
      <tp t="e">
        <v>#N/A</v>
        <stp/>
        <stp>BDH|14745194677376624185</stp>
        <tr r="U71" s="12"/>
      </tp>
      <tp t="e">
        <v>#N/A</v>
        <stp/>
        <stp>BDH|15500079636845151620</stp>
        <tr r="M18" s="34"/>
      </tp>
      <tp t="e">
        <v>#N/A</v>
        <stp/>
        <stp>BDH|12204564996373497805</stp>
        <tr r="AA85" s="18"/>
      </tp>
      <tp t="e">
        <v>#N/A</v>
        <stp/>
        <stp>BDH|17322892994357904418</stp>
        <tr r="X79" s="12"/>
      </tp>
      <tp t="e">
        <v>#N/A</v>
        <stp/>
        <stp>BDH|17760803822660098831</stp>
        <tr r="E29" s="26"/>
      </tp>
      <tp t="e">
        <v>#N/A</v>
        <stp/>
        <stp>BDH|12487057737261644562</stp>
        <tr r="Y86" s="12"/>
      </tp>
      <tp t="e">
        <v>#N/A</v>
        <stp/>
        <stp>BDH|10980365261789085988</stp>
        <tr r="W43" s="26"/>
      </tp>
      <tp t="e">
        <v>#N/A</v>
        <stp/>
        <stp>BDH|10889984205689384508</stp>
        <tr r="R49" s="4"/>
      </tp>
      <tp t="e">
        <v>#N/A</v>
        <stp/>
        <stp>BDH|15585316663426990389</stp>
        <tr r="N81" s="12"/>
      </tp>
      <tp t="e">
        <v>#N/A</v>
        <stp/>
        <stp>BDH|12892321117982907728</stp>
        <tr r="S63" s="12"/>
      </tp>
      <tp t="e">
        <v>#N/A</v>
        <stp/>
        <stp>BDH|16408005665932637716</stp>
        <tr r="L22" s="21"/>
      </tp>
      <tp t="e">
        <v>#N/A</v>
        <stp/>
        <stp>BDH|13691140855677803597</stp>
        <tr r="N23" s="12"/>
      </tp>
      <tp t="e">
        <v>#N/A</v>
        <stp/>
        <stp>BDH|13549413813753888090</stp>
        <tr r="Q72" s="13"/>
      </tp>
      <tp t="e">
        <v>#N/A</v>
        <stp/>
        <stp>BDH|16088349216658387977</stp>
        <tr r="I57" s="6"/>
      </tp>
      <tp t="e">
        <v>#N/A</v>
        <stp/>
        <stp>BDH|16895521349883416119</stp>
        <tr r="Y13" s="21"/>
      </tp>
      <tp t="e">
        <v>#N/A</v>
        <stp/>
        <stp>BDH|12480127070607065607</stp>
        <tr r="O65" s="18"/>
      </tp>
      <tp t="e">
        <v>#N/A</v>
        <stp/>
        <stp>BDH|16027744947285044558</stp>
        <tr r="K79" s="18"/>
      </tp>
      <tp t="e">
        <v>#N/A</v>
        <stp/>
        <stp>BDH|12534174428136499280</stp>
        <tr r="E40" s="18"/>
      </tp>
      <tp t="e">
        <v>#N/A</v>
        <stp/>
        <stp>BDH|17683081089238211235</stp>
        <tr r="R97" s="12"/>
      </tp>
      <tp t="e">
        <v>#N/A</v>
        <stp/>
        <stp>BDH|13224434131136794711</stp>
        <tr r="Q19" s="28"/>
        <tr r="Q16" s="17"/>
      </tp>
      <tp t="e">
        <v>#N/A</v>
        <stp/>
        <stp>BDH|12874585403825258771</stp>
        <tr r="R78" s="12"/>
      </tp>
      <tp t="e">
        <v>#N/A</v>
        <stp/>
        <stp>BDH|10249396905206187096</stp>
        <tr r="Y65" s="17"/>
      </tp>
      <tp t="e">
        <v>#N/A</v>
        <stp/>
        <stp>BDH|12622454466837275217</stp>
        <tr r="C38" s="22"/>
      </tp>
      <tp t="e">
        <v>#N/A</v>
        <stp/>
        <stp>BDH|14080593113636952356</stp>
        <tr r="V14" s="13"/>
      </tp>
      <tp t="e">
        <v>#N/A</v>
        <stp/>
        <stp>BDH|16469847031691700909</stp>
        <tr r="P61" s="17"/>
      </tp>
      <tp t="e">
        <v>#N/A</v>
        <stp/>
        <stp>BDH|16315659525883093454</stp>
        <tr r="T23" s="30"/>
        <tr r="T25" s="23"/>
      </tp>
      <tp t="e">
        <v>#N/A</v>
        <stp/>
        <stp>BDH|11122604430973527220</stp>
        <tr r="G44" s="22"/>
      </tp>
      <tp t="e">
        <v>#N/A</v>
        <stp/>
        <stp>BDH|11316638766815196115</stp>
        <tr r="H82" s="18"/>
      </tp>
      <tp t="e">
        <v>#N/A</v>
        <stp/>
        <stp>BDH|16974331193859703083</stp>
        <tr r="N32" s="13"/>
        <tr r="L25" s="10"/>
      </tp>
      <tp t="e">
        <v>#N/A</v>
        <stp/>
        <stp>BDH|17241095558995339267</stp>
        <tr r="N68" s="12"/>
      </tp>
      <tp t="e">
        <v>#N/A</v>
        <stp/>
        <stp>BDH|16861592284369172723</stp>
        <tr r="D9" s="8"/>
      </tp>
      <tp t="e">
        <v>#N/A</v>
        <stp/>
        <stp>BDH|10079454941067107230</stp>
        <tr r="J20" s="18"/>
      </tp>
      <tp t="e">
        <v>#N/A</v>
        <stp/>
        <stp>BDH|10417304605310411634</stp>
        <tr r="D18" s="5"/>
        <tr r="D41" s="6"/>
      </tp>
      <tp t="e">
        <v>#N/A</v>
        <stp/>
        <stp>BDH|14354031427832882197</stp>
        <tr r="O22" s="14"/>
      </tp>
      <tp t="e">
        <v>#N/A</v>
        <stp/>
        <stp>BDH|10149324934682515746</stp>
        <tr r="J43" s="25"/>
        <tr r="J22" s="13"/>
        <tr r="J7" s="13"/>
        <tr r="H17" s="11"/>
        <tr r="J7" s="3"/>
      </tp>
      <tp t="e">
        <v>#N/A</v>
        <stp/>
        <stp>BDH|13579480827783515390</stp>
        <tr r="G95" s="18"/>
      </tp>
      <tp t="e">
        <v>#N/A</v>
        <stp/>
        <stp>BDH|16406328916801694008</stp>
        <tr r="J47" s="34"/>
      </tp>
      <tp t="e">
        <v>#N/A</v>
        <stp/>
        <stp>BDH|11978372620153151690</stp>
        <tr r="C30" s="26"/>
      </tp>
      <tp t="e">
        <v>#N/A</v>
        <stp/>
        <stp>BDH|14959917714269315091</stp>
        <tr r="H165" s="18"/>
      </tp>
      <tp t="e">
        <v>#N/A</v>
        <stp/>
        <stp>BDH|12647194363434810425</stp>
        <tr r="K32" s="21"/>
      </tp>
      <tp t="e">
        <v>#N/A</v>
        <stp/>
        <stp>BDH|17332019270036323378</stp>
        <tr r="S32" s="24"/>
      </tp>
      <tp t="e">
        <v>#N/A</v>
        <stp/>
        <stp>BDH|12898826165259831019</stp>
        <tr r="R28" s="14"/>
      </tp>
      <tp t="e">
        <v>#N/A</v>
        <stp/>
        <stp>BDH|17327390649283060651</stp>
        <tr r="W28" s="17"/>
      </tp>
      <tp t="e">
        <v>#N/A</v>
        <stp/>
        <stp>BDH|12380995014629983614</stp>
        <tr r="D40" s="13"/>
      </tp>
      <tp t="e">
        <v>#N/A</v>
        <stp/>
        <stp>BDH|17661325034212003066</stp>
        <tr r="V7" s="21"/>
      </tp>
      <tp t="e">
        <v>#N/A</v>
        <stp/>
        <stp>BDH|16373100964424652070</stp>
        <tr r="K12" s="24"/>
      </tp>
      <tp t="e">
        <v>#N/A</v>
        <stp/>
        <stp>BDH|10355349443862167034</stp>
        <tr r="X7" s="14"/>
      </tp>
      <tp t="e">
        <v>#N/A</v>
        <stp/>
        <stp>BDH|13405362510837540318</stp>
        <tr r="N9" s="10"/>
      </tp>
      <tp t="e">
        <v>#N/A</v>
        <stp/>
        <stp>BDH|13152023863720777013</stp>
        <tr r="K35" s="21"/>
      </tp>
      <tp t="e">
        <v>#N/A</v>
        <stp/>
        <stp>BDH|16088211631082654009</stp>
        <tr r="F62" s="13"/>
      </tp>
      <tp t="e">
        <v>#N/A</v>
        <stp/>
        <stp>BDH|10836063009653149606</stp>
        <tr r="M19" s="34"/>
      </tp>
      <tp t="e">
        <v>#N/A</v>
        <stp/>
        <stp>BDH|10926605489243487829</stp>
        <tr r="E10" s="28"/>
      </tp>
      <tp t="e">
        <v>#N/A</v>
        <stp/>
        <stp>BDH|15106246302463753163</stp>
        <tr r="J21" s="22"/>
      </tp>
      <tp t="e">
        <v>#N/A</v>
        <stp/>
        <stp>BDH|10931373029267054313</stp>
        <tr r="N64" s="24"/>
      </tp>
      <tp t="e">
        <v>#N/A</v>
        <stp/>
        <stp>BDH|15395766880539938652</stp>
        <tr r="D79" s="18"/>
      </tp>
      <tp t="e">
        <v>#N/A</v>
        <stp/>
        <stp>BDH|16638094997472099810</stp>
        <tr r="G12" s="25"/>
      </tp>
      <tp t="e">
        <v>#N/A</v>
        <stp/>
        <stp>BDH|15849278434000605146</stp>
        <tr r="M15" s="24"/>
      </tp>
      <tp t="e">
        <v>#N/A</v>
        <stp/>
        <stp>BDH|10595436658906782204</stp>
        <tr r="P28" s="12"/>
      </tp>
      <tp t="e">
        <v>#N/A</v>
        <stp/>
        <stp>BDH|14356599736870777729</stp>
        <tr r="P49" s="4"/>
      </tp>
      <tp t="e">
        <v>#N/A</v>
        <stp/>
        <stp>BDH|15962373111732494023</stp>
        <tr r="Z16" s="24"/>
      </tp>
      <tp t="e">
        <v>#N/A</v>
        <stp/>
        <stp>BDH|10924577042805474112</stp>
        <tr r="Y53" s="22"/>
      </tp>
      <tp t="e">
        <v>#N/A</v>
        <stp/>
        <stp>BDH|14492791065238561844</stp>
        <tr r="S104" s="18"/>
      </tp>
      <tp t="e">
        <v>#N/A</v>
        <stp/>
        <stp>BDH|12243898820155631841</stp>
        <tr r="Y23" s="21"/>
      </tp>
      <tp t="e">
        <v>#N/A</v>
        <stp/>
        <stp>BDH|12926206794139637529</stp>
        <tr r="S32" s="6"/>
      </tp>
      <tp t="e">
        <v>#N/A</v>
        <stp/>
        <stp>BDH|13190280760151206327</stp>
        <tr r="R111" s="18"/>
      </tp>
      <tp t="e">
        <v>#N/A</v>
        <stp/>
        <stp>BDH|12061763021944605683</stp>
        <tr r="M21" s="20"/>
      </tp>
      <tp t="e">
        <v>#N/A</v>
        <stp/>
        <stp>BDH|15192395130394228432</stp>
        <tr r="P33" s="17"/>
      </tp>
      <tp t="e">
        <v>#N/A</v>
        <stp/>
        <stp>BDH|16773328283371735981</stp>
        <tr r="K49" s="34"/>
      </tp>
      <tp t="e">
        <v>#N/A</v>
        <stp/>
        <stp>BDH|18428831919534230058</stp>
        <tr r="C19" s="12"/>
      </tp>
      <tp t="e">
        <v>#N/A</v>
        <stp/>
        <stp>BDH|10871611121349719868</stp>
        <tr r="F26" s="13"/>
      </tp>
      <tp t="e">
        <v>#N/A</v>
        <stp/>
        <stp>BDH|14401924180579649999</stp>
        <tr r="H70" s="18"/>
      </tp>
      <tp t="e">
        <v>#N/A</v>
        <stp/>
        <stp>BDH|13856138139011376586</stp>
        <tr r="V47" s="11"/>
        <tr r="V58" s="10"/>
        <tr r="V7" s="7"/>
        <tr r="X12" s="3"/>
      </tp>
      <tp t="e">
        <v>#N/A</v>
        <stp/>
        <stp>BDH|18126846247500879135</stp>
        <tr r="C37" s="13"/>
      </tp>
      <tp t="e">
        <v>#N/A</v>
        <stp/>
        <stp>BDH|15758264075254445195</stp>
        <tr r="I48" s="22"/>
      </tp>
      <tp t="e">
        <v>#N/A</v>
        <stp/>
        <stp>BDH|11357532108421770066</stp>
        <tr r="J26" s="12"/>
      </tp>
      <tp t="e">
        <v>#N/A</v>
        <stp/>
        <stp>BDH|11653808618759193461</stp>
        <tr r="Z98" s="18"/>
      </tp>
      <tp t="e">
        <v>#N/A</v>
        <stp/>
        <stp>BDH|15677180426595688678</stp>
        <tr r="Z19" s="22"/>
      </tp>
      <tp t="e">
        <v>#N/A</v>
        <stp/>
        <stp>BDH|15697685442387690537</stp>
        <tr r="Z36" s="26"/>
      </tp>
      <tp t="e">
        <v>#N/A</v>
        <stp/>
        <stp>BDH|17597799557382559277</stp>
        <tr r="W70" s="17"/>
        <tr r="T8" s="5"/>
        <tr r="T8" s="9"/>
      </tp>
      <tp t="e">
        <v>#N/A</v>
        <stp/>
        <stp>BDH|16894858036291152936</stp>
        <tr r="U35" s="4"/>
      </tp>
      <tp t="e">
        <v>#N/A</v>
        <stp/>
        <stp>BDH|11757253176591804053</stp>
        <tr r="L29" s="24"/>
      </tp>
      <tp t="e">
        <v>#N/A</v>
        <stp/>
        <stp>BDH|14800991381440163083</stp>
        <tr r="U17" s="28"/>
        <tr r="U14" s="17"/>
      </tp>
      <tp t="e">
        <v>#N/A</v>
        <stp/>
        <stp>BDH|13871070378001873060</stp>
        <tr r="E43" s="11"/>
        <tr r="E54" s="10"/>
        <tr r="E14" s="7"/>
        <tr r="G9" s="3"/>
      </tp>
      <tp t="e">
        <v>#N/A</v>
        <stp/>
        <stp>BDH|12588689242444105172</stp>
        <tr r="K25" s="29"/>
        <tr r="K19" s="29"/>
        <tr r="K10" s="29"/>
        <tr r="K12" s="8"/>
        <tr r="I6" s="9"/>
        <tr r="I6" s="5"/>
        <tr r="J6" s="2"/>
      </tp>
      <tp t="e">
        <v>#N/A</v>
        <stp/>
        <stp>BDH|10514562015157827677</stp>
        <tr r="H13" s="7"/>
      </tp>
      <tp t="e">
        <v>#N/A</v>
        <stp/>
        <stp>BDH|14870903174478476710</stp>
        <tr r="Y58" s="24"/>
      </tp>
      <tp t="e">
        <v>#N/A</v>
        <stp/>
        <stp>BDH|12127007974688414885</stp>
        <tr r="V9" s="21"/>
      </tp>
      <tp t="e">
        <v>#N/A</v>
        <stp/>
        <stp>BDH|15928585109122983788</stp>
        <tr r="F9" s="23"/>
      </tp>
      <tp t="e">
        <v>#N/A</v>
        <stp/>
        <stp>BDH|12457915950043500896</stp>
        <tr r="N9" s="34"/>
      </tp>
      <tp t="e">
        <v>#N/A</v>
        <stp/>
        <stp>BDH|16984757825424884285</stp>
        <tr r="N164" s="18"/>
      </tp>
      <tp t="e">
        <v>#N/A</v>
        <stp/>
        <stp>BDH|16801738012573826689</stp>
        <tr r="T27" s="7"/>
      </tp>
      <tp t="e">
        <v>#N/A</v>
        <stp/>
        <stp>BDH|10149660087923999802</stp>
        <tr r="L146" s="18"/>
      </tp>
      <tp t="e">
        <v>#N/A</v>
        <stp/>
        <stp>BDH|12551166801632270497</stp>
        <tr r="P13" s="26"/>
      </tp>
      <tp t="e">
        <v>#N/A</v>
        <stp/>
        <stp>BDH|15863972185661311006</stp>
        <tr r="S20" s="26"/>
      </tp>
      <tp t="e">
        <v>#N/A</v>
        <stp/>
        <stp>BDH|13418333839300360642</stp>
        <tr r="U31" s="17"/>
      </tp>
      <tp t="e">
        <v>#N/A</v>
        <stp/>
        <stp>BDH|14145643679781076153</stp>
        <tr r="O66" s="13"/>
      </tp>
      <tp t="e">
        <v>#N/A</v>
        <stp/>
        <stp>BDH|12782098854766447477</stp>
        <tr r="N9" s="22"/>
      </tp>
      <tp t="e">
        <v>#N/A</v>
        <stp/>
        <stp>BDH|15000386912752327007</stp>
        <tr r="O99" s="12"/>
      </tp>
      <tp t="e">
        <v>#N/A</v>
        <stp/>
        <stp>BDH|12881326031176724159</stp>
        <tr r="N78" s="18"/>
      </tp>
      <tp t="e">
        <v>#N/A</v>
        <stp/>
        <stp>BDH|13427354363186290585</stp>
        <tr r="H46" s="34"/>
      </tp>
      <tp t="e">
        <v>#N/A</v>
        <stp/>
        <stp>BDH|17501521079843004362</stp>
        <tr r="U37" s="13"/>
        <tr r="S30" s="10"/>
      </tp>
      <tp t="e">
        <v>#N/A</v>
        <stp/>
        <stp>BDH|15885343103215726600</stp>
        <tr r="Q89" s="12"/>
      </tp>
      <tp t="e">
        <v>#N/A</v>
        <stp/>
        <stp>BDH|13785457179515379007</stp>
        <tr r="F91" s="18"/>
      </tp>
      <tp t="e">
        <v>#N/A</v>
        <stp/>
        <stp>BDH|11629809703228465495</stp>
        <tr r="Z22" s="25"/>
      </tp>
      <tp t="e">
        <v>#N/A</v>
        <stp/>
        <stp>BDH|11979756633929638911</stp>
        <tr r="C24" s="29"/>
      </tp>
      <tp t="e">
        <v>#N/A</v>
        <stp/>
        <stp>BDH|18321499027343764824</stp>
        <tr r="W15" s="34"/>
      </tp>
      <tp t="e">
        <v>#N/A</v>
        <stp/>
        <stp>BDH|12176487778411841519</stp>
        <tr r="Q14" s="34"/>
      </tp>
      <tp t="e">
        <v>#N/A</v>
        <stp/>
        <stp>BDH|13212199853341449347</stp>
        <tr r="R69" s="13"/>
      </tp>
      <tp t="e">
        <v>#N/A</v>
        <stp/>
        <stp>BDH|13277349855284919422</stp>
        <tr r="R14" s="11"/>
      </tp>
      <tp t="e">
        <v>#N/A</v>
        <stp/>
        <stp>BDH|16378202489510176938</stp>
        <tr r="C88" s="18"/>
      </tp>
      <tp t="e">
        <v>#N/A</v>
        <stp/>
        <stp>BDH|14982700856794270757</stp>
        <tr r="Q22" s="22"/>
      </tp>
      <tp t="e">
        <v>#N/A</v>
        <stp/>
        <stp>BDH|14280997726238721221</stp>
        <tr r="G34" s="12"/>
      </tp>
      <tp t="e">
        <v>#N/A</v>
        <stp/>
        <stp>BDH|16729010430454789490</stp>
        <tr r="V44" s="18"/>
      </tp>
      <tp t="e">
        <v>#N/A</v>
        <stp/>
        <stp>BDH|12840048043104190769</stp>
        <tr r="L19" s="34"/>
      </tp>
      <tp t="e">
        <v>#N/A</v>
        <stp/>
        <stp>BDH|10757393118183726499</stp>
        <tr r="O72" s="12"/>
      </tp>
      <tp t="e">
        <v>#N/A</v>
        <stp/>
        <stp>BDH|15100719212522275487</stp>
        <tr r="X67" s="18"/>
      </tp>
      <tp t="e">
        <v>#N/A</v>
        <stp/>
        <stp>BDH|14759622913834947277</stp>
        <tr r="AA68" s="18"/>
      </tp>
      <tp t="e">
        <v>#N/A</v>
        <stp/>
        <stp>BDH|18241626091292959009</stp>
        <tr r="T33" s="6"/>
      </tp>
      <tp t="e">
        <v>#N/A</v>
        <stp/>
        <stp>BDH|15309424564887564586</stp>
        <tr r="F85" s="18"/>
      </tp>
      <tp t="e">
        <v>#N/A</v>
        <stp/>
        <stp>BDH|17027368501135813476</stp>
        <tr r="Y15" s="21"/>
      </tp>
      <tp t="e">
        <v>#N/A</v>
        <stp/>
        <stp>BDH|17888660712015622029</stp>
        <tr r="S13" s="30"/>
      </tp>
      <tp t="e">
        <v>#N/A</v>
        <stp/>
        <stp>BDH|18018773297671038284</stp>
        <tr r="W16" s="25"/>
      </tp>
      <tp t="e">
        <v>#N/A</v>
        <stp/>
        <stp>BDH|12502640298250297838</stp>
        <tr r="Q63" s="11"/>
        <tr r="Q74" s="10"/>
      </tp>
      <tp t="e">
        <v>#N/A</v>
        <stp/>
        <stp>BDH|17640710033406841046</stp>
        <tr r="X43" s="10"/>
        <tr r="X32" s="11"/>
      </tp>
      <tp t="e">
        <v>#N/A</v>
        <stp/>
        <stp>BDH|17111434924417923373</stp>
        <tr r="D7" s="21"/>
      </tp>
      <tp t="e">
        <v>#N/A</v>
        <stp/>
        <stp>BDH|10441971877193415885</stp>
        <tr r="O7" s="6"/>
      </tp>
      <tp t="e">
        <v>#N/A</v>
        <stp/>
        <stp>BDH|13957430558041362693</stp>
        <tr r="J39" s="6"/>
      </tp>
      <tp t="e">
        <v>#N/A</v>
        <stp/>
        <stp>BDH|11504829803284994852</stp>
        <tr r="W46" s="13"/>
        <tr r="U41" s="10"/>
        <tr r="U30" s="11"/>
      </tp>
      <tp t="e">
        <v>#N/A</v>
        <stp/>
        <stp>BDH|16221087599129315385</stp>
        <tr r="L103" s="18"/>
      </tp>
      <tp t="e">
        <v>#N/A</v>
        <stp/>
        <stp>BDH|15821542634052522455</stp>
        <tr r="M66" s="21"/>
      </tp>
      <tp t="e">
        <v>#N/A</v>
        <stp/>
        <stp>BDH|14880624863931740067</stp>
        <tr r="W30" s="26"/>
      </tp>
      <tp t="e">
        <v>#N/A</v>
        <stp/>
        <stp>BDH|16461398511079686820</stp>
        <tr r="W11" s="28"/>
      </tp>
      <tp t="e">
        <v>#N/A</v>
        <stp/>
        <stp>BDH|11707195216531131515</stp>
        <tr r="J10" s="27"/>
        <tr r="J29" s="25"/>
      </tp>
      <tp t="e">
        <v>#N/A</v>
        <stp/>
        <stp>BDH|16528716938346032142</stp>
        <tr r="N62" s="24"/>
      </tp>
      <tp t="e">
        <v>#N/A</v>
        <stp/>
        <stp>BDH|11357918364228800369</stp>
        <tr r="D12" s="26"/>
      </tp>
      <tp t="e">
        <v>#N/A</v>
        <stp/>
        <stp>BDH|17836003823392008236</stp>
        <tr r="P6" s="15"/>
        <tr r="P11" s="4"/>
        <tr r="P6" s="10"/>
        <tr r="P12" s="2"/>
      </tp>
      <tp t="e">
        <v>#N/A</v>
        <stp/>
        <stp>BDH|11312542404569873834</stp>
        <tr r="L26" s="6"/>
      </tp>
      <tp t="e">
        <v>#N/A</v>
        <stp/>
        <stp>BDH|18401663400133974830</stp>
        <tr r="L12" s="12"/>
      </tp>
      <tp t="e">
        <v>#N/A</v>
        <stp/>
        <stp>BDH|16598571732112853708</stp>
        <tr r="C23" s="23"/>
      </tp>
      <tp t="e">
        <v>#N/A</v>
        <stp/>
        <stp>BDH|11167599077434698216</stp>
        <tr r="D71" s="24"/>
      </tp>
      <tp t="e">
        <v>#N/A</v>
        <stp/>
        <stp>BDH|11504241935596901350</stp>
        <tr r="X81" s="12"/>
      </tp>
      <tp t="e">
        <v>#N/A</v>
        <stp/>
        <stp>BDH|12969198807676958056</stp>
        <tr r="S44" s="12"/>
      </tp>
      <tp t="e">
        <v>#N/A</v>
        <stp/>
        <stp>BDH|13230369052610804057</stp>
        <tr r="H13" s="10"/>
      </tp>
      <tp t="e">
        <v>#N/A</v>
        <stp/>
        <stp>BDH|16218279384289811020</stp>
        <tr r="O20" s="17"/>
      </tp>
      <tp t="e">
        <v>#N/A</v>
        <stp/>
        <stp>BDH|13550539539587025741</stp>
        <tr r="O80" s="18"/>
      </tp>
      <tp t="e">
        <v>#N/A</v>
        <stp/>
        <stp>BDH|17867311877222676438</stp>
        <tr r="F153" s="18"/>
      </tp>
      <tp t="e">
        <v>#N/A</v>
        <stp/>
        <stp>BDH|15285663885026939832</stp>
        <tr r="M47" s="6"/>
      </tp>
      <tp t="e">
        <v>#N/A</v>
        <stp/>
        <stp>BDH|15961098749167652340</stp>
        <tr r="M48" s="34"/>
      </tp>
      <tp t="e">
        <v>#N/A</v>
        <stp/>
        <stp>BDH|17957861856489515679</stp>
        <tr r="Z30" s="14"/>
      </tp>
      <tp t="e">
        <v>#N/A</v>
        <stp/>
        <stp>BDH|13345186271459916988</stp>
        <tr r="R10" s="10"/>
      </tp>
      <tp t="e">
        <v>#N/A</v>
        <stp/>
        <stp>BDH|12033226581855179894</stp>
        <tr r="N57" s="11"/>
        <tr r="N24" s="4"/>
      </tp>
      <tp t="e">
        <v>#N/A</v>
        <stp/>
        <stp>BDH|10131894253450157818</stp>
        <tr r="AA90" s="17"/>
      </tp>
      <tp t="e">
        <v>#N/A</v>
        <stp/>
        <stp>BDH|13893090511365350281</stp>
        <tr r="P45" s="12"/>
      </tp>
      <tp t="e">
        <v>#N/A</v>
        <stp/>
        <stp>BDH|10719175938010614758</stp>
        <tr r="M52" s="13"/>
      </tp>
      <tp t="e">
        <v>#N/A</v>
        <stp/>
        <stp>BDH|15131588335670091679</stp>
        <tr r="N10" s="28"/>
      </tp>
      <tp t="e">
        <v>#N/A</v>
        <stp/>
        <stp>BDH|14789393443652218441</stp>
        <tr r="AA23" s="12"/>
      </tp>
      <tp t="e">
        <v>#N/A</v>
        <stp/>
        <stp>BDH|12650943688004594242</stp>
        <tr r="L74" s="12"/>
      </tp>
      <tp t="e">
        <v>#N/A</v>
        <stp/>
        <stp>BDH|12656515894173950818</stp>
        <tr r="M70" s="13"/>
      </tp>
      <tp t="e">
        <v>#N/A</v>
        <stp/>
        <stp>BDH|14829574454436901791</stp>
        <tr r="J48" s="21"/>
      </tp>
      <tp t="e">
        <v>#N/A</v>
        <stp/>
        <stp>BDH|10831775633411368047</stp>
        <tr r="J25" s="5"/>
      </tp>
      <tp t="e">
        <v>#N/A</v>
        <stp/>
        <stp>BDH|17779185533212278254</stp>
        <tr r="O17" s="6"/>
      </tp>
      <tp t="e">
        <v>#N/A</v>
        <stp/>
        <stp>BDH|12350517344323935541</stp>
        <tr r="O11" s="13"/>
      </tp>
      <tp t="e">
        <v>#N/A</v>
        <stp/>
        <stp>BDH|12053876113609765780</stp>
        <tr r="N80" s="12"/>
      </tp>
      <tp t="e">
        <v>#N/A</v>
        <stp/>
        <stp>BDH|13817419351887164024</stp>
        <tr r="C19" s="25"/>
      </tp>
      <tp t="e">
        <v>#N/A</v>
        <stp/>
        <stp>BDH|17135994892413298138</stp>
        <tr r="Q44" s="6"/>
      </tp>
      <tp t="e">
        <v>#N/A</v>
        <stp/>
        <stp>BDH|14214096006996271749</stp>
        <tr r="F14" s="13"/>
      </tp>
      <tp t="e">
        <v>#N/A</v>
        <stp/>
        <stp>BDH|17459115742986496180</stp>
        <tr r="X68" s="24"/>
      </tp>
      <tp t="e">
        <v>#N/A</v>
        <stp/>
        <stp>BDH|16190934708082081812</stp>
        <tr r="K8" s="28"/>
      </tp>
      <tp t="e">
        <v>#N/A</v>
        <stp/>
        <stp>BDH|18131359907927050981</stp>
        <tr r="C64" s="12"/>
      </tp>
      <tp t="e">
        <v>#N/A</v>
        <stp/>
        <stp>BDH|11816335032062546677</stp>
        <tr r="R40" s="18"/>
      </tp>
      <tp t="e">
        <v>#N/A</v>
        <stp/>
        <stp>BDH|14400918590752611389</stp>
        <tr r="I27" s="21"/>
      </tp>
      <tp t="e">
        <v>#N/A</v>
        <stp/>
        <stp>BDH|12567475024538577986</stp>
        <tr r="X72" s="17"/>
      </tp>
      <tp t="e">
        <v>#N/A</v>
        <stp/>
        <stp>BDH|11852946484374728144</stp>
        <tr r="E7" s="17"/>
      </tp>
      <tp t="e">
        <v>#N/A</v>
        <stp/>
        <stp>BDH|14158232025470516194</stp>
        <tr r="Y35" s="26"/>
        <tr r="V14" s="9"/>
      </tp>
      <tp t="e">
        <v>#N/A</v>
        <stp/>
        <stp>BDH|15887319820594628543</stp>
        <tr r="O8" s="10"/>
      </tp>
      <tp t="e">
        <v>#N/A</v>
        <stp/>
        <stp>BDH|17469320141997539299</stp>
        <tr r="E66" s="17"/>
      </tp>
      <tp t="e">
        <v>#N/A</v>
        <stp/>
        <stp>BDH|18138540408730758814</stp>
        <tr r="C9" s="14"/>
      </tp>
      <tp t="e">
        <v>#N/A</v>
        <stp/>
        <stp>BDH|16276026164685633090</stp>
        <tr r="F74" s="18"/>
      </tp>
      <tp t="e">
        <v>#N/A</v>
        <stp/>
        <stp>BDH|10049115809001359500</stp>
        <tr r="T31" s="26"/>
      </tp>
      <tp t="e">
        <v>#N/A</v>
        <stp/>
        <stp>BDH|15809653974341503074</stp>
        <tr r="J12" s="7"/>
      </tp>
      <tp t="e">
        <v>#N/A</v>
        <stp/>
        <stp>BDH|11184823571813061891</stp>
        <tr r="I94" s="18"/>
      </tp>
      <tp t="e">
        <v>#N/A</v>
        <stp/>
        <stp>BDH|18383417487196811774</stp>
        <tr r="J52" s="18"/>
      </tp>
      <tp t="e">
        <v>#N/A</v>
        <stp/>
        <stp>BDH|11446928949769710021</stp>
        <tr r="T16" s="28"/>
        <tr r="T13" s="17"/>
      </tp>
      <tp t="e">
        <v>#N/A</v>
        <stp/>
        <stp>BDH|12561905728184496830</stp>
        <tr r="AA18" s="13"/>
      </tp>
      <tp t="e">
        <v>#N/A</v>
        <stp/>
        <stp>BDH|12837832083815501272</stp>
        <tr r="Q8" s="14"/>
      </tp>
      <tp t="e">
        <v>#N/A</v>
        <stp/>
        <stp>BDH|16328898514358759237</stp>
        <tr r="O38" s="26"/>
      </tp>
      <tp t="e">
        <v>#N/A</v>
        <stp/>
        <stp>BDH|11759638962232860642</stp>
        <tr r="I59" s="12"/>
      </tp>
      <tp t="e">
        <v>#N/A</v>
        <stp/>
        <stp>BDH|14965752546786385431</stp>
        <tr r="D22" s="14"/>
      </tp>
      <tp t="e">
        <v>#N/A</v>
        <stp/>
        <stp>BDH|14600305444506925018</stp>
        <tr r="N29" s="21"/>
      </tp>
      <tp t="e">
        <v>#N/A</v>
        <stp/>
        <stp>BDH|17644569628125123034</stp>
        <tr r="T45" s="18"/>
      </tp>
      <tp t="e">
        <v>#N/A</v>
        <stp/>
        <stp>BDH|10145484352695273138</stp>
        <tr r="Z9" s="26"/>
      </tp>
      <tp t="e">
        <v>#N/A</v>
        <stp/>
        <stp>BDH|14144338675764848156</stp>
        <tr r="E64" s="18"/>
      </tp>
      <tp t="e">
        <v>#N/A</v>
        <stp/>
        <stp>BDH|12649639004881891034</stp>
        <tr r="U27" s="18"/>
      </tp>
      <tp t="e">
        <v>#N/A</v>
        <stp/>
        <stp>BDH|15074231218572621179</stp>
        <tr r="E16" s="28"/>
        <tr r="E13" s="17"/>
      </tp>
      <tp t="e">
        <v>#N/A</v>
        <stp/>
        <stp>BDH|16214509785796963846</stp>
        <tr r="Y10" s="11"/>
      </tp>
      <tp t="e">
        <v>#N/A</v>
        <stp/>
        <stp>BDH|16894901420571643946</stp>
        <tr r="H23" s="13"/>
      </tp>
      <tp t="e">
        <v>#N/A</v>
        <stp/>
        <stp>BDH|15150099762661323737</stp>
        <tr r="E74" s="24"/>
      </tp>
      <tp t="e">
        <v>#N/A</v>
        <stp/>
        <stp>BDH|14638375555004801368</stp>
        <tr r="V10" s="17"/>
      </tp>
      <tp t="e">
        <v>#N/A</v>
        <stp/>
        <stp>BDH|17018292272196388124</stp>
        <tr r="N14" s="8"/>
      </tp>
      <tp t="e">
        <v>#N/A</v>
        <stp/>
        <stp>BDH|14897595658680526165</stp>
        <tr r="C17" s="28"/>
        <tr r="C14" s="17"/>
      </tp>
      <tp t="e">
        <v>#N/A</v>
        <stp/>
        <stp>BDH|17315324979850686648</stp>
        <tr r="I146" s="18"/>
      </tp>
      <tp t="e">
        <v>#N/A</v>
        <stp/>
        <stp>BDH|15336397817206490433</stp>
        <tr r="AA62" s="18"/>
      </tp>
      <tp t="e">
        <v>#N/A</v>
        <stp/>
        <stp>BDH|12767453263277927229</stp>
        <tr r="N20" s="22"/>
      </tp>
      <tp t="e">
        <v>#N/A</v>
        <stp/>
        <stp>BDH|14821029427607097478</stp>
        <tr r="Q49" s="13"/>
      </tp>
      <tp t="e">
        <v>#N/A</v>
        <stp/>
        <stp>BDH|10221076953638416880</stp>
        <tr r="O53" s="10"/>
        <tr r="O42" s="11"/>
        <tr r="O8" s="7"/>
        <tr r="Q11" s="3"/>
      </tp>
      <tp t="e">
        <v>#N/A</v>
        <stp/>
        <stp>BDH|17039335548627230230</stp>
        <tr r="G51" s="17"/>
      </tp>
      <tp t="e">
        <v>#N/A</v>
        <stp/>
        <stp>BDH|13171230032704241387</stp>
        <tr r="X23" s="23"/>
      </tp>
      <tp t="e">
        <v>#N/A</v>
        <stp/>
        <stp>BDH|10714364758673379006</stp>
        <tr r="M11" s="10"/>
        <tr r="M14" s="2"/>
      </tp>
      <tp t="e">
        <v>#N/A</v>
        <stp/>
        <stp>BDH|11230849159799181047</stp>
        <tr r="C91" s="18"/>
      </tp>
      <tp t="e">
        <v>#N/A</v>
        <stp/>
        <stp>BDH|11374550982621706893</stp>
        <tr r="O46" s="34"/>
      </tp>
      <tp t="e">
        <v>#N/A</v>
        <stp/>
        <stp>BDH|11246682936789717812</stp>
        <tr r="J18" s="26"/>
      </tp>
      <tp t="e">
        <v>#N/A</v>
        <stp/>
        <stp>BDH|16267489502644789350</stp>
        <tr r="T28" s="34"/>
      </tp>
      <tp t="e">
        <v>#N/A</v>
        <stp/>
        <stp>BDH|16285793157901035060</stp>
        <tr r="N38" s="6"/>
      </tp>
      <tp t="e">
        <v>#N/A</v>
        <stp/>
        <stp>BDH|13886208251204734541</stp>
        <tr r="Q19" s="34"/>
      </tp>
      <tp t="e">
        <v>#N/A</v>
        <stp/>
        <stp>BDH|14449352700572955021</stp>
        <tr r="Y8" s="26"/>
        <tr r="V10" s="9"/>
      </tp>
      <tp t="e">
        <v>#N/A</v>
        <stp/>
        <stp>BDH|17406596128905699091</stp>
        <tr r="S149" s="18"/>
      </tp>
      <tp t="e">
        <v>#N/A</v>
        <stp/>
        <stp>BDH|11530944017148994458</stp>
        <tr r="I26" s="12"/>
      </tp>
      <tp t="e">
        <v>#N/A</v>
        <stp/>
        <stp>BDH|12564582218702715184</stp>
        <tr r="V39" s="21"/>
      </tp>
      <tp t="e">
        <v>#N/A</v>
        <stp/>
        <stp>BDH|13024378172842848073</stp>
        <tr r="G52" s="12"/>
      </tp>
      <tp t="e">
        <v>#N/A</v>
        <stp/>
        <stp>BDH|11691319058305521704</stp>
        <tr r="T24" s="20"/>
      </tp>
      <tp t="e">
        <v>#N/A</v>
        <stp/>
        <stp>BDH|14875502756045677426</stp>
        <tr r="P43" s="17"/>
      </tp>
      <tp t="e">
        <v>#N/A</v>
        <stp/>
        <stp>BDH|10040356019054435325</stp>
        <tr r="W26" s="17"/>
      </tp>
      <tp t="e">
        <v>#N/A</v>
        <stp/>
        <stp>BDH|12172408269334483160</stp>
        <tr r="J140" s="18"/>
      </tp>
      <tp t="e">
        <v>#N/A</v>
        <stp/>
        <stp>BDH|12476773388628667070</stp>
        <tr r="Q8" s="17"/>
      </tp>
      <tp t="e">
        <v>#N/A</v>
        <stp/>
        <stp>BDH|11155073907604894042</stp>
        <tr r="H38" s="13"/>
        <tr r="F31" s="10"/>
      </tp>
      <tp t="e">
        <v>#N/A</v>
        <stp/>
        <stp>BDH|13378983775490199823</stp>
        <tr r="U29" s="17"/>
      </tp>
      <tp t="e">
        <v>#N/A</v>
        <stp/>
        <stp>BDH|14179740939271279438</stp>
        <tr r="AA41" s="26"/>
      </tp>
      <tp t="e">
        <v>#N/A</v>
        <stp/>
        <stp>BDH|13612196019270367689</stp>
        <tr r="C11" s="29"/>
      </tp>
      <tp t="e">
        <v>#N/A</v>
        <stp/>
        <stp>BDH|14326488581168333541</stp>
        <tr r="D13" s="34"/>
      </tp>
      <tp t="e">
        <v>#N/A</v>
        <stp/>
        <stp>BDH|15728557503060846549</stp>
        <tr r="U47" s="11"/>
        <tr r="U58" s="10"/>
        <tr r="W12" s="3"/>
        <tr r="U7" s="7"/>
      </tp>
      <tp t="e">
        <v>#N/A</v>
        <stp/>
        <stp>BDH|15864068209845989536</stp>
        <tr r="W96" s="12"/>
      </tp>
      <tp t="e">
        <v>#N/A</v>
        <stp/>
        <stp>BDH|13447549016597810536</stp>
        <tr r="W74" s="18"/>
      </tp>
      <tp t="e">
        <v>#N/A</v>
        <stp/>
        <stp>BDH|13338049549030037236</stp>
        <tr r="L41" s="29"/>
        <tr r="L18" s="29"/>
      </tp>
      <tp t="e">
        <v>#N/A</v>
        <stp/>
        <stp>BDH|13822528964225139024</stp>
        <tr r="H49" s="24"/>
      </tp>
      <tp t="e">
        <v>#N/A</v>
        <stp/>
        <stp>BDH|13054370353016093692</stp>
        <tr r="C10" s="24"/>
      </tp>
      <tp t="e">
        <v>#N/A</v>
        <stp/>
        <stp>BDH|10308421069260174749</stp>
        <tr r="I16" s="25"/>
      </tp>
      <tp t="e">
        <v>#N/A</v>
        <stp/>
        <stp>BDH|11524640874920904516</stp>
        <tr r="L76" s="24"/>
      </tp>
      <tp t="e">
        <v>#N/A</v>
        <stp/>
        <stp>BDH|16424526370352845330</stp>
        <tr r="J173" s="18"/>
      </tp>
      <tp t="e">
        <v>#N/A</v>
        <stp/>
        <stp>BDH|10019358324121527598</stp>
        <tr r="S84" s="17"/>
        <tr r="Q6" s="7"/>
        <tr r="S20" s="3"/>
      </tp>
      <tp t="e">
        <v>#N/A</v>
        <stp/>
        <stp>BDH|15424067605559356997</stp>
        <tr r="M34" s="29"/>
      </tp>
      <tp t="e">
        <v>#N/A</v>
        <stp/>
        <stp>BDH|16344919894925222697</stp>
        <tr r="M46" s="6"/>
        <tr r="M19" s="5"/>
      </tp>
      <tp t="e">
        <v>#N/A</v>
        <stp/>
        <stp>BDH|11063222146597881518</stp>
        <tr r="T14" s="21"/>
      </tp>
      <tp t="e">
        <v>#N/A</v>
        <stp/>
        <stp>BDH|13817969863299292022</stp>
        <tr r="V56" s="11"/>
      </tp>
      <tp t="e">
        <v>#N/A</v>
        <stp/>
        <stp>BDH|12143039967744899502</stp>
        <tr r="G7" s="27"/>
        <tr r="G94" s="17"/>
      </tp>
      <tp t="e">
        <v>#N/A</v>
        <stp/>
        <stp>BDH|14351287343640039757</stp>
        <tr r="M22" s="7"/>
      </tp>
      <tp t="e">
        <v>#N/A</v>
        <stp/>
        <stp>BDH|12000695944524443143</stp>
        <tr r="P39" s="11"/>
        <tr r="P50" s="10"/>
      </tp>
      <tp t="e">
        <v>#N/A</v>
        <stp/>
        <stp>BDH|12062395862567138572</stp>
        <tr r="U43" s="12"/>
      </tp>
      <tp t="e">
        <v>#N/A</v>
        <stp/>
        <stp>BDH|15625297136506347773</stp>
        <tr r="X39" s="18"/>
      </tp>
      <tp t="e">
        <v>#N/A</v>
        <stp/>
        <stp>BDH|11828733046377368032</stp>
        <tr r="M162" s="18"/>
      </tp>
      <tp t="e">
        <v>#N/A</v>
        <stp/>
        <stp>BDH|17342295403441155156</stp>
        <tr r="O7" s="14"/>
      </tp>
      <tp t="e">
        <v>#N/A</v>
        <stp/>
        <stp>BDH|14884383101111897345</stp>
        <tr r="AA20" s="26"/>
      </tp>
      <tp t="e">
        <v>#N/A</v>
        <stp/>
        <stp>BDH|16257747149713464365</stp>
        <tr r="P43" s="26"/>
      </tp>
      <tp t="e">
        <v>#N/A</v>
        <stp/>
        <stp>BDH|11059277253917885417</stp>
        <tr r="S18" s="11"/>
      </tp>
      <tp t="e">
        <v>#N/A</v>
        <stp/>
        <stp>BDH|11765779132919633991</stp>
        <tr r="U26" s="29"/>
      </tp>
      <tp t="e">
        <v>#N/A</v>
        <stp/>
        <stp>BDH|10081366076564812541</stp>
        <tr r="O67" s="24"/>
      </tp>
      <tp t="e">
        <v>#N/A</v>
        <stp/>
        <stp>BDH|12302170106653945578</stp>
        <tr r="S21" s="21"/>
      </tp>
      <tp t="e">
        <v>#N/A</v>
        <stp/>
        <stp>BDH|17293720502715672080</stp>
        <tr r="J21" s="11"/>
      </tp>
      <tp t="e">
        <v>#N/A</v>
        <stp/>
        <stp>BDH|10886535847437251324</stp>
        <tr r="Q41" s="6"/>
        <tr r="Q18" s="5"/>
      </tp>
      <tp t="e">
        <v>#N/A</v>
        <stp/>
        <stp>BDH|14698483437137225171</stp>
        <tr r="J6" s="28"/>
      </tp>
      <tp t="e">
        <v>#N/A</v>
        <stp/>
        <stp>BDH|13736905438975574960</stp>
        <tr r="D25" s="17"/>
      </tp>
      <tp t="e">
        <v>#N/A</v>
        <stp/>
        <stp>BDH|11816881763883604996</stp>
        <tr r="O158" s="18"/>
      </tp>
      <tp t="e">
        <v>#N/A</v>
        <stp/>
        <stp>BDH|16668152398929706203</stp>
        <tr r="N17" s="18"/>
      </tp>
      <tp t="e">
        <v>#N/A</v>
        <stp/>
        <stp>BDH|13107598096309603345</stp>
        <tr r="M15" s="5"/>
      </tp>
      <tp t="e">
        <v>#N/A</v>
        <stp/>
        <stp>BDH|11795384404230302741</stp>
        <tr r="E25" s="12"/>
      </tp>
      <tp t="e">
        <v>#N/A</v>
        <stp/>
        <stp>BDH|15310611248010748219</stp>
        <tr r="I23" s="29"/>
        <tr r="I37" s="29"/>
        <tr r="I14" s="29"/>
      </tp>
      <tp t="e">
        <v>#N/A</v>
        <stp/>
        <stp>BDH|16909457903117297012</stp>
        <tr r="P82" s="18"/>
      </tp>
      <tp t="e">
        <v>#N/A</v>
        <stp/>
        <stp>BDH|15511192520444193713</stp>
        <tr r="X26" s="13"/>
      </tp>
      <tp t="e">
        <v>#N/A</v>
        <stp/>
        <stp>BDH|10104789917872498165</stp>
        <tr r="I126" s="18"/>
      </tp>
      <tp t="e">
        <v>#N/A</v>
        <stp/>
        <stp>BDH|11709249137507943214</stp>
        <tr r="E65" s="21"/>
      </tp>
      <tp t="e">
        <v>#N/A</v>
        <stp/>
        <stp>BDH|15976568212472258632</stp>
        <tr r="O34" s="26"/>
      </tp>
      <tp t="e">
        <v>#N/A</v>
        <stp/>
        <stp>BDH|16233074444474870358</stp>
        <tr r="H64" s="17"/>
      </tp>
      <tp t="e">
        <v>#N/A</v>
        <stp/>
        <stp>BDH|15136903783715722499</stp>
        <tr r="D36" s="29"/>
        <tr r="D13" s="29"/>
        <tr r="D22" s="29"/>
      </tp>
      <tp t="e">
        <v>#N/A</v>
        <stp/>
        <stp>BDH|12960675293759309126</stp>
        <tr r="W64" s="12"/>
      </tp>
      <tp t="e">
        <v>#N/A</v>
        <stp/>
        <stp>BDH|10519224937293861743</stp>
        <tr r="M44" s="18"/>
      </tp>
      <tp t="e">
        <v>#N/A</v>
        <stp/>
        <stp>BDH|10070431810127754783</stp>
        <tr r="S90" s="17"/>
      </tp>
      <tp t="e">
        <v>#N/A</v>
        <stp/>
        <stp>BDH|11715025619830698564</stp>
        <tr r="F43" s="21"/>
      </tp>
      <tp t="e">
        <v>#N/A</v>
        <stp/>
        <stp>BDH|14384199536224746776</stp>
        <tr r="D12" s="3"/>
      </tp>
      <tp t="e">
        <v>#N/A</v>
        <stp/>
        <stp>BDH|14597496479314187685</stp>
        <tr r="P97" s="12"/>
      </tp>
      <tp t="e">
        <v>#N/A</v>
        <stp/>
        <stp>BDH|16211480632615134155</stp>
        <tr r="X39" s="12"/>
      </tp>
      <tp t="e">
        <v>#N/A</v>
        <stp/>
        <stp>BDH|11218281576284115513</stp>
        <tr r="I37" s="34"/>
      </tp>
      <tp t="e">
        <v>#N/A</v>
        <stp/>
        <stp>BDH|18347593959665904866</stp>
        <tr r="P21" s="27"/>
      </tp>
      <tp t="e">
        <v>#N/A</v>
        <stp/>
        <stp>BDH|11095542114583905359</stp>
        <tr r="I17" s="14"/>
      </tp>
      <tp t="e">
        <v>#N/A</v>
        <stp/>
        <stp>BDH|18295279499776281028</stp>
        <tr r="Y28" s="4"/>
      </tp>
      <tp t="e">
        <v>#N/A</v>
        <stp/>
        <stp>BDH|10564506346652869676</stp>
        <tr r="I76" s="24"/>
      </tp>
      <tp t="e">
        <v>#N/A</v>
        <stp/>
        <stp>BDH|15839182843796812371</stp>
        <tr r="L18" s="28"/>
        <tr r="L15" s="17"/>
      </tp>
      <tp t="e">
        <v>#N/A</v>
        <stp/>
        <stp>BDH|12261688634833771157</stp>
        <tr r="D20" s="23"/>
      </tp>
      <tp t="e">
        <v>#N/A</v>
        <stp/>
        <stp>BDH|11869608475272839799</stp>
        <tr r="X27" s="13"/>
      </tp>
      <tp t="e">
        <v>#N/A</v>
        <stp/>
        <stp>BDH|17698002788509724359</stp>
        <tr r="W34" s="22"/>
      </tp>
      <tp t="e">
        <v>#N/A</v>
        <stp/>
        <stp>BDH|11951532611256142664</stp>
        <tr r="L21" s="5"/>
      </tp>
      <tp t="e">
        <v>#N/A</v>
        <stp/>
        <stp>BDH|16929028306911407257</stp>
        <tr r="J13" s="25"/>
      </tp>
      <tp t="e">
        <v>#N/A</v>
        <stp/>
        <stp>BDH|10441044082185961873</stp>
        <tr r="D149" s="18"/>
      </tp>
      <tp t="e">
        <v>#N/A</v>
        <stp/>
        <stp>BDH|18164411681121407092</stp>
        <tr r="G22" s="18"/>
      </tp>
      <tp t="e">
        <v>#N/A</v>
        <stp/>
        <stp>BDH|15541409379344185712</stp>
        <tr r="S18" s="23"/>
      </tp>
      <tp t="e">
        <v>#N/A</v>
        <stp/>
        <stp>BDH|15972319465173234607</stp>
        <tr r="K50" s="34"/>
      </tp>
      <tp t="e">
        <v>#N/A</v>
        <stp/>
        <stp>BDH|11231600237958367997</stp>
        <tr r="H76" s="10"/>
        <tr r="H65" s="11"/>
      </tp>
      <tp t="e">
        <v>#N/A</v>
        <stp/>
        <stp>BDH|16564557261311607189</stp>
        <tr r="U18" s="27"/>
        <tr r="U36" s="25"/>
      </tp>
      <tp t="e">
        <v>#N/A</v>
        <stp/>
        <stp>BDH|11927088981455959960</stp>
        <tr r="Q42" s="34"/>
      </tp>
      <tp t="e">
        <v>#N/A</v>
        <stp/>
        <stp>BDH|13293417329246541602</stp>
        <tr r="C32" s="6"/>
      </tp>
      <tp t="e">
        <v>#N/A</v>
        <stp/>
        <stp>BDH|14389185409614899458</stp>
        <tr r="H24" s="22"/>
      </tp>
      <tp t="e">
        <v>#N/A</v>
        <stp/>
        <stp>BDH|18296075209715540865</stp>
        <tr r="H76" s="24"/>
      </tp>
      <tp t="e">
        <v>#N/A</v>
        <stp/>
        <stp>BDH|13804867666528306048</stp>
        <tr r="Z9" s="8"/>
        <tr r="X52" s="6"/>
      </tp>
      <tp t="e">
        <v>#N/A</v>
        <stp/>
        <stp>BDH|16777930527121890945</stp>
        <tr r="V38" s="34"/>
      </tp>
      <tp t="e">
        <v>#N/A</v>
        <stp/>
        <stp>BDH|18365447815181425998</stp>
        <tr r="P89" s="12"/>
      </tp>
      <tp t="e">
        <v>#N/A</v>
        <stp/>
        <stp>BDH|12567691147534206168</stp>
        <tr r="Q82" s="18"/>
      </tp>
      <tp t="e">
        <v>#N/A</v>
        <stp/>
        <stp>BDH|13189476028734679474</stp>
        <tr r="Y95" s="18"/>
      </tp>
      <tp t="e">
        <v>#N/A</v>
        <stp/>
        <stp>BDH|13532748343331596489</stp>
        <tr r="J19" s="30"/>
      </tp>
      <tp t="e">
        <v>#N/A</v>
        <stp/>
        <stp>BDH|16546728240346041683</stp>
        <tr r="I79" s="18"/>
      </tp>
      <tp t="e">
        <v>#N/A</v>
        <stp/>
        <stp>BDH|17642487116987655010</stp>
        <tr r="U57" s="17"/>
      </tp>
      <tp t="e">
        <v>#N/A</v>
        <stp/>
        <stp>BDH|15859324977892725655</stp>
        <tr r="Z21" s="22"/>
      </tp>
      <tp t="e">
        <v>#N/A</v>
        <stp/>
        <stp>BDH|12689086480968310728</stp>
        <tr r="X9" s="28"/>
      </tp>
      <tp t="e">
        <v>#N/A</v>
        <stp/>
        <stp>BDH|18412445886883879215</stp>
        <tr r="J45" s="18"/>
      </tp>
      <tp t="e">
        <v>#N/A</v>
        <stp/>
        <stp>BDH|11843043621597059129</stp>
        <tr r="K6" s="15"/>
        <tr r="K6" s="10"/>
        <tr r="K11" s="4"/>
        <tr r="K12" s="2"/>
      </tp>
      <tp t="e">
        <v>#N/A</v>
        <stp/>
        <stp>BDH|15794881255058045552</stp>
        <tr r="Q64" s="24"/>
      </tp>
      <tp t="e">
        <v>#N/A</v>
        <stp/>
        <stp>BDH|17065463773976350794</stp>
        <tr r="X64" s="13"/>
      </tp>
      <tp t="e">
        <v>#N/A</v>
        <stp/>
        <stp>BDH|14785174129230740217</stp>
        <tr r="N47" s="6"/>
      </tp>
      <tp t="e">
        <v>#N/A</v>
        <stp/>
        <stp>BDH|15998784921590657591</stp>
        <tr r="S38" s="22"/>
      </tp>
      <tp t="e">
        <v>#N/A</v>
        <stp/>
        <stp>BDH|17737209569954394226</stp>
        <tr r="AA18" s="14"/>
      </tp>
      <tp t="e">
        <v>#N/A</v>
        <stp/>
        <stp>BDH|11438960010365971944</stp>
        <tr r="AA102" s="18"/>
      </tp>
      <tp t="e">
        <v>#N/A</v>
        <stp/>
        <stp>BDH|16114342782639808106</stp>
        <tr r="F34" s="22"/>
      </tp>
      <tp t="e">
        <v>#N/A</v>
        <stp/>
        <stp>BDH|15337163419677340701</stp>
        <tr r="T102" s="18"/>
      </tp>
      <tp t="e">
        <v>#N/A</v>
        <stp/>
        <stp>BDH|15816915585564222510</stp>
        <tr r="Z10" s="17"/>
      </tp>
      <tp t="e">
        <v>#N/A</v>
        <stp/>
        <stp>BDH|15626695208175172392</stp>
        <tr r="D164" s="18"/>
      </tp>
      <tp t="e">
        <v>#N/A</v>
        <stp/>
        <stp>BDH|15399342922730294187</stp>
        <tr r="F8" s="11"/>
      </tp>
      <tp t="e">
        <v>#N/A</v>
        <stp/>
        <stp>BDH|16381749780008177494</stp>
        <tr r="S60" s="21"/>
        <tr r="Q55" s="11"/>
      </tp>
      <tp t="e">
        <v>#N/A</v>
        <stp/>
        <stp>BDH|17831002789759762392</stp>
        <tr r="K24" s="5"/>
      </tp>
      <tp t="e">
        <v>#N/A</v>
        <stp/>
        <stp>BDH|12113091827473363633</stp>
        <tr r="N90" s="12"/>
      </tp>
      <tp t="e">
        <v>#N/A</v>
        <stp/>
        <stp>BDH|13322913879000254865</stp>
        <tr r="AA147" s="18"/>
      </tp>
      <tp t="e">
        <v>#N/A</v>
        <stp/>
        <stp>BDH|17835362818614018496</stp>
        <tr r="U93" s="17"/>
      </tp>
      <tp t="e">
        <v>#N/A</v>
        <stp/>
        <stp>BDH|17438598123713627679</stp>
        <tr r="K41" s="22"/>
      </tp>
      <tp t="e">
        <v>#N/A</v>
        <stp/>
        <stp>BDH|17219724056016113683</stp>
        <tr r="Q43" s="25"/>
        <tr r="Q22" s="13"/>
        <tr r="Q7" s="13"/>
        <tr r="O17" s="11"/>
        <tr r="Q7" s="3"/>
      </tp>
      <tp t="e">
        <v>#N/A</v>
        <stp/>
        <stp>BDH|12622374502056930252</stp>
        <tr r="U90" s="12"/>
      </tp>
      <tp t="e">
        <v>#N/A</v>
        <stp/>
        <stp>BDH|10448276138457660326</stp>
        <tr r="N69" s="13"/>
      </tp>
      <tp t="e">
        <v>#N/A</v>
        <stp/>
        <stp>BDH|17768661559410503125</stp>
        <tr r="T58" s="24"/>
      </tp>
      <tp t="e">
        <v>#N/A</v>
        <stp/>
        <stp>BDH|13564461915220816310</stp>
        <tr r="P60" s="17"/>
      </tp>
      <tp t="e">
        <v>#N/A</v>
        <stp/>
        <stp>BDH|14647157773763772487</stp>
        <tr r="S21" s="24"/>
      </tp>
      <tp t="e">
        <v>#N/A</v>
        <stp/>
        <stp>BDH|15803736234636546250</stp>
        <tr r="E24" s="17"/>
      </tp>
      <tp t="e">
        <v>#N/A</v>
        <stp/>
        <stp>BDH|11749419708404734471</stp>
        <tr r="R8" s="28"/>
      </tp>
      <tp t="e">
        <v>#N/A</v>
        <stp/>
        <stp>BDH|12655174461940970074</stp>
        <tr r="U65" s="21"/>
        <tr r="R31" s="6"/>
      </tp>
      <tp t="e">
        <v>#N/A</v>
        <stp/>
        <stp>BDH|12486167461546997648</stp>
        <tr r="M98" s="18"/>
      </tp>
      <tp t="e">
        <v>#N/A</v>
        <stp/>
        <stp>BDH|15977292308922538035</stp>
        <tr r="G81" s="18"/>
      </tp>
      <tp t="e">
        <v>#N/A</v>
        <stp/>
        <stp>BDH|14925541106173695731</stp>
        <tr r="S54" s="17"/>
        <tr r="S17" s="3"/>
      </tp>
      <tp t="e">
        <v>#N/A</v>
        <stp/>
        <stp>BDH|10892626523645130460</stp>
        <tr r="J58" s="6"/>
      </tp>
      <tp t="e">
        <v>#N/A</v>
        <stp/>
        <stp>BDH|12240661720835923636</stp>
        <tr r="K44" s="22"/>
      </tp>
      <tp t="e">
        <v>#N/A</v>
        <stp/>
        <stp>BDH|18017176929417899983</stp>
        <tr r="N19" s="23"/>
        <tr r="L60" s="11"/>
      </tp>
      <tp t="e">
        <v>#N/A</v>
        <stp/>
        <stp>BDH|10457882403154375928</stp>
        <tr r="W82" s="12"/>
      </tp>
      <tp t="e">
        <v>#N/A</v>
        <stp/>
        <stp>BDH|17410268685711832915</stp>
        <tr r="D105" s="18"/>
      </tp>
      <tp t="e">
        <v>#N/A</v>
        <stp/>
        <stp>BDH|10414725372614895123</stp>
        <tr r="Z26" s="24"/>
      </tp>
      <tp t="e">
        <v>#N/A</v>
        <stp/>
        <stp>BDH|16582501211056868120</stp>
        <tr r="Z29" s="18"/>
      </tp>
      <tp t="e">
        <v>#N/A</v>
        <stp/>
        <stp>BDH|11149533528313623029</stp>
        <tr r="R22" s="20"/>
      </tp>
      <tp t="e">
        <v>#N/A</v>
        <stp/>
        <stp>BDH|13988052020713621740</stp>
        <tr r="F12" s="24"/>
      </tp>
      <tp t="e">
        <v>#N/A</v>
        <stp/>
        <stp>BDH|10794725533290002181</stp>
        <tr r="U144" s="18"/>
      </tp>
      <tp t="e">
        <v>#N/A</v>
        <stp/>
        <stp>BDH|16401142802853576192</stp>
        <tr r="M72" s="10"/>
      </tp>
      <tp t="e">
        <v>#N/A</v>
        <stp/>
        <stp>BDH|11901259000510631641</stp>
        <tr r="C46" s="13"/>
      </tp>
      <tp t="e">
        <v>#N/A</v>
        <stp/>
        <stp>BDH|15717375959913627512</stp>
        <tr r="G20" s="22"/>
      </tp>
      <tp t="e">
        <v>#N/A</v>
        <stp/>
        <stp>BDH|14872389920668706894</stp>
        <tr r="AA20" s="18"/>
      </tp>
      <tp t="e">
        <v>#N/A</v>
        <stp/>
        <stp>BDH|12432727751237894213</stp>
        <tr r="Q15" s="34"/>
      </tp>
      <tp t="e">
        <v>#N/A</v>
        <stp/>
        <stp>BDH|14400282933347271735</stp>
        <tr r="N8" s="20"/>
        <tr r="N114" s="18"/>
      </tp>
      <tp t="e">
        <v>#N/A</v>
        <stp/>
        <stp>BDH|16499368648903031748</stp>
        <tr r="Y73" s="17"/>
      </tp>
      <tp t="e">
        <v>#N/A</v>
        <stp/>
        <stp>BDH|15742872131112878973</stp>
        <tr r="F10" s="26"/>
      </tp>
      <tp t="e">
        <v>#N/A</v>
        <stp/>
        <stp>BDH|18121039637956241895</stp>
        <tr r="U35" s="12"/>
      </tp>
      <tp t="e">
        <v>#N/A</v>
        <stp/>
        <stp>BDH|10403493476796621034</stp>
        <tr r="H43" s="25"/>
        <tr r="H7" s="13"/>
        <tr r="H22" s="13"/>
        <tr r="F17" s="11"/>
        <tr r="H7" s="3"/>
      </tp>
      <tp t="e">
        <v>#N/A</v>
        <stp/>
        <stp>BDH|14687703901326025098</stp>
        <tr r="N41" s="22"/>
      </tp>
      <tp t="e">
        <v>#N/A</v>
        <stp/>
        <stp>BDH|16747898956939020766</stp>
        <tr r="V66" s="18"/>
      </tp>
      <tp t="e">
        <v>#N/A</v>
        <stp/>
        <stp>BDH|12969953595707372044</stp>
        <tr r="I9" s="21"/>
      </tp>
      <tp t="e">
        <v>#N/A</v>
        <stp/>
        <stp>BDH|15956114735824208619</stp>
        <tr r="X51" s="17"/>
      </tp>
      <tp t="e">
        <v>#N/A</v>
        <stp/>
        <stp>BDH|15339114233681937362</stp>
        <tr r="Z98" s="12"/>
      </tp>
      <tp t="e">
        <v>#N/A</v>
        <stp/>
        <stp>BDH|16908446234723212757</stp>
        <tr r="G32" s="24"/>
      </tp>
      <tp t="e">
        <v>#N/A</v>
        <stp/>
        <stp>BDH|17621021524766957676</stp>
        <tr r="P32" s="21"/>
      </tp>
      <tp t="e">
        <v>#N/A</v>
        <stp/>
        <stp>BDH|15092291536086288737</stp>
        <tr r="Q14" s="10"/>
      </tp>
      <tp t="e">
        <v>#N/A</v>
        <stp/>
        <stp>BDH|13685020900803851523</stp>
        <tr r="X57" s="6"/>
      </tp>
      <tp t="e">
        <v>#N/A</v>
        <stp/>
        <stp>BDH|10045813196337000392</stp>
        <tr r="C6" s="15"/>
        <tr r="C12" s="2"/>
        <tr r="C6" s="10"/>
        <tr r="C11" s="4"/>
      </tp>
      <tp t="e">
        <v>#N/A</v>
        <stp/>
        <stp>BDH|17407645017734912105</stp>
        <tr r="W175" s="18"/>
      </tp>
      <tp t="e">
        <v>#N/A</v>
        <stp/>
        <stp>BDH|12627668816985007586</stp>
        <tr r="S18" s="25"/>
      </tp>
    </main>
    <main first="bofaddin.rtdserver">
      <tp t="e">
        <v>#N/A</v>
        <stp/>
        <stp>BDH|3617603481497886</stp>
        <tr r="J16" s="26"/>
      </tp>
      <tp t="e">
        <v>#N/A</v>
        <stp/>
        <stp>BDH|3157309685764016</stp>
        <tr r="Z37" s="12"/>
      </tp>
      <tp t="e">
        <v>#N/A</v>
        <stp/>
        <stp>BDH|4522087678160187</stp>
        <tr r="J46" s="22"/>
      </tp>
      <tp t="e">
        <v>#N/A</v>
        <stp/>
        <stp>BDH|6358973032199555993</stp>
        <tr r="K22" s="6"/>
      </tp>
      <tp t="e">
        <v>#N/A</v>
        <stp/>
        <stp>BDH|9549011285094365982</stp>
        <tr r="F69" s="10"/>
        <tr r="F39" s="4"/>
      </tp>
      <tp t="e">
        <v>#N/A</v>
        <stp/>
        <stp>BDH|3881710395911012061</stp>
        <tr r="U8" s="28"/>
      </tp>
      <tp t="e">
        <v>#N/A</v>
        <stp/>
        <stp>BDH|7812844460091451421</stp>
        <tr r="W35" s="24"/>
      </tp>
      <tp t="e">
        <v>#N/A</v>
        <stp/>
        <stp>BDH|3485098492093288578</stp>
        <tr r="V48" s="6"/>
      </tp>
      <tp t="e">
        <v>#N/A</v>
        <stp/>
        <stp>BDH|7148371686186956631</stp>
        <tr r="N7" s="24"/>
      </tp>
      <tp t="e">
        <v>#N/A</v>
        <stp/>
        <stp>BDH|3121066817606377895</stp>
        <tr r="U12" s="12"/>
      </tp>
      <tp t="e">
        <v>#N/A</v>
        <stp/>
        <stp>BDH|1020910717530513595</stp>
        <tr r="AA64" s="17"/>
      </tp>
      <tp t="e">
        <v>#N/A</v>
        <stp/>
        <stp>BDH|9246697011684302636</stp>
        <tr r="H10" s="27"/>
        <tr r="H29" s="25"/>
      </tp>
      <tp t="e">
        <v>#N/A</v>
        <stp/>
        <stp>BDH|1416334428694691839</stp>
        <tr r="P21" s="4"/>
      </tp>
      <tp t="e">
        <v>#N/A</v>
        <stp/>
        <stp>BDH|2849858312226549108</stp>
        <tr r="P26" s="24"/>
      </tp>
      <tp t="e">
        <v>#N/A</v>
        <stp/>
        <stp>BDH|9429604927710950106</stp>
        <tr r="Z33" s="13"/>
        <tr r="X26" s="10"/>
      </tp>
      <tp t="e">
        <v>#N/A</v>
        <stp/>
        <stp>BDH|8317351448785668623</stp>
        <tr r="K19" s="10"/>
      </tp>
      <tp t="e">
        <v>#N/A</v>
        <stp/>
        <stp>BDH|3801068347583276818</stp>
        <tr r="K52" s="17"/>
      </tp>
      <tp t="e">
        <v>#N/A</v>
        <stp/>
        <stp>BDH|6594207670896616995</stp>
        <tr r="X40" s="18"/>
      </tp>
      <tp t="e">
        <v>#N/A</v>
        <stp/>
        <stp>BDH|8802797234394834475</stp>
        <tr r="W14" s="21"/>
      </tp>
      <tp t="e">
        <v>#N/A</v>
        <stp/>
        <stp>BDH|9491268873423354382</stp>
        <tr r="S48" s="22"/>
      </tp>
      <tp t="e">
        <v>#N/A</v>
        <stp/>
        <stp>BDH|2280689987789303943</stp>
        <tr r="F162" s="18"/>
      </tp>
      <tp t="e">
        <v>#N/A</v>
        <stp/>
        <stp>BDH|4578011355484269991</stp>
        <tr r="W54" s="34"/>
      </tp>
      <tp t="e">
        <v>#N/A</v>
        <stp/>
        <stp>BDH|8575395056437174515</stp>
        <tr r="U107" s="18"/>
      </tp>
      <tp t="e">
        <v>#N/A</v>
        <stp/>
        <stp>BDH|1991778962444216840</stp>
        <tr r="G76" s="12"/>
      </tp>
      <tp t="e">
        <v>#N/A</v>
        <stp/>
        <stp>BDH|9630592758701561487</stp>
        <tr r="T32" s="17"/>
      </tp>
      <tp t="e">
        <v>#N/A</v>
        <stp/>
        <stp>BDH|9693889491707346364</stp>
        <tr r="M43" s="11"/>
        <tr r="M54" s="10"/>
        <tr r="M14" s="7"/>
        <tr r="O9" s="3"/>
      </tp>
      <tp t="e">
        <v>#N/A</v>
        <stp/>
        <stp>BDH|4231040971076939946</stp>
        <tr r="N7" s="4"/>
      </tp>
      <tp t="e">
        <v>#N/A</v>
        <stp/>
        <stp>BDH|3979754327783932981</stp>
        <tr r="U12" s="17"/>
      </tp>
      <tp t="e">
        <v>#N/A</v>
        <stp/>
        <stp>BDH|1945707876169127446</stp>
        <tr r="Q20" s="27"/>
      </tp>
      <tp t="e">
        <v>#N/A</v>
        <stp/>
        <stp>BDH|8154106257263439384</stp>
        <tr r="M7" s="21"/>
      </tp>
      <tp t="e">
        <v>#N/A</v>
        <stp/>
        <stp>BDH|4118548739129181779</stp>
        <tr r="K13" s="28"/>
        <tr r="K95" s="17"/>
      </tp>
      <tp t="e">
        <v>#N/A</v>
        <stp/>
        <stp>BDH|4253967114988853827</stp>
        <tr r="X15" s="5"/>
      </tp>
      <tp t="e">
        <v>#N/A</v>
        <stp/>
        <stp>BDH|3061057498490790604</stp>
        <tr r="Y9" s="11"/>
      </tp>
      <tp t="e">
        <v>#N/A</v>
        <stp/>
        <stp>BDH|5601700371799899054</stp>
        <tr r="U149" s="18"/>
      </tp>
      <tp t="e">
        <v>#N/A</v>
        <stp/>
        <stp>BDH|6247284411858013114</stp>
        <tr r="J18" s="23"/>
      </tp>
      <tp t="e">
        <v>#N/A</v>
        <stp/>
        <stp>BDH|8015862158861055843</stp>
        <tr r="J54" s="12"/>
      </tp>
      <tp t="e">
        <v>#N/A</v>
        <stp/>
        <stp>BDH|8055288400903282500</stp>
        <tr r="Q27" s="22"/>
      </tp>
      <tp t="e">
        <v>#N/A</v>
        <stp/>
        <stp>BDH|4264807133383391087</stp>
        <tr r="J26" s="25"/>
        <tr r="J56" s="21"/>
      </tp>
      <tp t="e">
        <v>#N/A</v>
        <stp/>
        <stp>BDH|1684387882627367153</stp>
        <tr r="Q21" s="30"/>
      </tp>
      <tp t="e">
        <v>#N/A</v>
        <stp/>
        <stp>BDH|4330547678423377968</stp>
        <tr r="H87" s="17"/>
      </tp>
      <tp t="e">
        <v>#N/A</v>
        <stp/>
        <stp>BDH|9580163079160425347</stp>
        <tr r="P65" s="21"/>
        <tr r="M31" s="6"/>
      </tp>
      <tp t="e">
        <v>#N/A</v>
        <stp/>
        <stp>BDH|6823279432793523821</stp>
        <tr r="L87" s="17"/>
      </tp>
      <tp t="e">
        <v>#N/A</v>
        <stp/>
        <stp>BDH|7569662989530377538</stp>
        <tr r="F45" s="17"/>
      </tp>
      <tp t="e">
        <v>#N/A</v>
        <stp/>
        <stp>BDH|2286136739818441473</stp>
        <tr r="V30" s="9"/>
      </tp>
      <tp t="e">
        <v>#N/A</v>
        <stp/>
        <stp>BDH|5373924655044778185</stp>
        <tr r="O71" s="18"/>
      </tp>
      <tp t="e">
        <v>#N/A</v>
        <stp/>
        <stp>BDH|4901579297936517271</stp>
        <tr r="G21" s="18"/>
      </tp>
      <tp t="e">
        <v>#N/A</v>
        <stp/>
        <stp>BDH|6432962331248045887</stp>
        <tr r="V9" s="25"/>
        <tr r="V44" s="17"/>
      </tp>
      <tp t="e">
        <v>#N/A</v>
        <stp/>
        <stp>BDH|1842273345693514840</stp>
        <tr r="AA10" s="22"/>
      </tp>
      <tp t="e">
        <v>#N/A</v>
        <stp/>
        <stp>BDH|5764867760257390099</stp>
        <tr r="Q73" s="17"/>
      </tp>
      <tp t="e">
        <v>#N/A</v>
        <stp/>
        <stp>BDH|7850493145079706285</stp>
        <tr r="I26" s="18"/>
      </tp>
      <tp t="e">
        <v>#N/A</v>
        <stp/>
        <stp>BDH|3924052525248521572</stp>
        <tr r="O34" s="12"/>
      </tp>
      <tp t="e">
        <v>#N/A</v>
        <stp/>
        <stp>BDH|6535721008614431905</stp>
        <tr r="E65" s="13"/>
      </tp>
      <tp t="e">
        <v>#N/A</v>
        <stp/>
        <stp>BDH|5022905942294932003</stp>
        <tr r="F23" s="18"/>
      </tp>
      <tp t="e">
        <v>#N/A</v>
        <stp/>
        <stp>BDH|4529975864071874654</stp>
        <tr r="H29" s="9"/>
      </tp>
      <tp t="e">
        <v>#N/A</v>
        <stp/>
        <stp>BDH|8357705846916797194</stp>
        <tr r="D131" s="18"/>
      </tp>
      <tp t="e">
        <v>#N/A</v>
        <stp/>
        <stp>BDH|3926629382028750959</stp>
        <tr r="F20" s="10"/>
      </tp>
      <tp t="e">
        <v>#N/A</v>
        <stp/>
        <stp>BDH|7062035662354336994</stp>
        <tr r="X68" s="13"/>
      </tp>
      <tp t="e">
        <v>#N/A</v>
        <stp/>
        <stp>BDH|7711785588542567690</stp>
        <tr r="P84" s="12"/>
      </tp>
      <tp t="e">
        <v>#N/A</v>
        <stp/>
        <stp>BDH|2452133728198288569</stp>
        <tr r="Y15" s="30"/>
      </tp>
      <tp t="e">
        <v>#N/A</v>
        <stp/>
        <stp>BDH|2960027126164368850</stp>
        <tr r="Z42" s="18"/>
      </tp>
      <tp t="e">
        <v>#N/A</v>
        <stp/>
        <stp>BDH|9289008867581611282</stp>
        <tr r="T43" s="22"/>
      </tp>
      <tp t="e">
        <v>#N/A</v>
        <stp/>
        <stp>BDH|6338501498827978194</stp>
        <tr r="V28" s="21"/>
      </tp>
      <tp t="e">
        <v>#N/A</v>
        <stp/>
        <stp>BDH|2177989810460649646</stp>
        <tr r="J69" s="10"/>
        <tr r="J39" s="4"/>
      </tp>
      <tp t="e">
        <v>#N/A</v>
        <stp/>
        <stp>BDH|4738598840641745821</stp>
        <tr r="G8" s="2"/>
      </tp>
      <tp t="e">
        <v>#N/A</v>
        <stp/>
        <stp>BDH|5382813307991787092</stp>
        <tr r="J71" s="13"/>
      </tp>
      <tp t="e">
        <v>#N/A</v>
        <stp/>
        <stp>BDH|6085713985817790280</stp>
        <tr r="G37" s="13"/>
        <tr r="E30" s="10"/>
      </tp>
      <tp t="e">
        <v>#N/A</v>
        <stp/>
        <stp>BDH|4918059576419207631</stp>
        <tr r="Q61" s="12"/>
      </tp>
      <tp t="e">
        <v>#N/A</v>
        <stp/>
        <stp>BDH|4091835737627735485</stp>
        <tr r="W61" s="11"/>
      </tp>
      <tp t="e">
        <v>#N/A</v>
        <stp/>
        <stp>BDH|4935245103789247379</stp>
        <tr r="K168" s="18"/>
      </tp>
      <tp t="e">
        <v>#N/A</v>
        <stp/>
        <stp>BDH|9695610051273477593</stp>
        <tr r="J64" s="18"/>
      </tp>
      <tp t="e">
        <v>#N/A</v>
        <stp/>
        <stp>BDH|8050404998891174820</stp>
        <tr r="E19" s="22"/>
      </tp>
      <tp t="e">
        <v>#N/A</v>
        <stp/>
        <stp>BDH|5844429606095121861</stp>
        <tr r="D6" s="16"/>
        <tr r="E6" s="11"/>
        <tr r="G6" s="3"/>
        <tr r="E10" s="4"/>
      </tp>
      <tp t="e">
        <v>#N/A</v>
        <stp/>
        <stp>BDH|4406168991931248194</stp>
        <tr r="S15" s="18"/>
      </tp>
      <tp t="e">
        <v>#N/A</v>
        <stp/>
        <stp>BDH|6248277007881295982</stp>
        <tr r="P55" s="13"/>
      </tp>
      <tp t="e">
        <v>#N/A</v>
        <stp/>
        <stp>BDH|6438388414890668865</stp>
        <tr r="Y77" s="12"/>
      </tp>
      <tp t="e">
        <v>#N/A</v>
        <stp/>
        <stp>BDH|5122814200151867002</stp>
        <tr r="X43" s="22"/>
      </tp>
      <tp t="e">
        <v>#N/A</v>
        <stp/>
        <stp>BDH|8961250355473736062</stp>
        <tr r="F9" s="22"/>
      </tp>
      <tp t="e">
        <v>#N/A</v>
        <stp/>
        <stp>BDH|1874508794311286066</stp>
        <tr r="G83" s="18"/>
      </tp>
      <tp t="e">
        <v>#N/A</v>
        <stp/>
        <stp>BDH|9781497853571118549</stp>
        <tr r="AA8" s="23"/>
      </tp>
      <tp t="e">
        <v>#N/A</v>
        <stp/>
        <stp>BDH|9830962439006746987</stp>
        <tr r="L20" s="29"/>
      </tp>
      <tp t="e">
        <v>#N/A</v>
        <stp/>
        <stp>BDH|7300811252230834605</stp>
        <tr r="G172" s="18"/>
      </tp>
      <tp t="e">
        <v>#N/A</v>
        <stp/>
        <stp>BDH|7642063989172975184</stp>
        <tr r="K69" s="17"/>
        <tr r="K18" s="3"/>
      </tp>
      <tp t="e">
        <v>#N/A</v>
        <stp/>
        <stp>BDH|8142984095646075245</stp>
        <tr r="Q27" s="25"/>
        <tr r="O20" s="11"/>
      </tp>
      <tp t="e">
        <v>#N/A</v>
        <stp/>
        <stp>BDH|5134332585507916563</stp>
        <tr r="P41" s="34"/>
      </tp>
      <tp t="e">
        <v>#N/A</v>
        <stp/>
        <stp>BDH|1072301531968989501</stp>
        <tr r="W8" s="6"/>
      </tp>
      <tp t="e">
        <v>#N/A</v>
        <stp/>
        <stp>BDH|9461020322642489581</stp>
        <tr r="F31" s="14"/>
      </tp>
      <tp t="e">
        <v>#N/A</v>
        <stp/>
        <stp>BDH|5480466497735895158</stp>
        <tr r="Y23" s="18"/>
      </tp>
      <tp t="e">
        <v>#N/A</v>
        <stp/>
        <stp>BDH|8970175095434156828</stp>
        <tr r="W174" s="18"/>
      </tp>
      <tp t="e">
        <v>#N/A</v>
        <stp/>
        <stp>BDH|7023691636868740604</stp>
        <tr r="Y12" s="12"/>
      </tp>
      <tp t="e">
        <v>#N/A</v>
        <stp/>
        <stp>BDH|5149529734597637891</stp>
        <tr r="U7" s="6"/>
      </tp>
      <tp t="e">
        <v>#N/A</v>
        <stp/>
        <stp>BDH|6012048260424879847</stp>
        <tr r="T18" s="23"/>
      </tp>
      <tp t="e">
        <v>#N/A</v>
        <stp/>
        <stp>BDH|2545171319918118621</stp>
        <tr r="U61" s="17"/>
      </tp>
      <tp t="e">
        <v>#N/A</v>
        <stp/>
        <stp>BDH|2653321035797982907</stp>
        <tr r="J36" s="26"/>
      </tp>
      <tp t="e">
        <v>#N/A</v>
        <stp/>
        <stp>BDH|9614199942626461617</stp>
        <tr r="M93" s="17"/>
      </tp>
      <tp t="e">
        <v>#N/A</v>
        <stp/>
        <stp>BDH|7793536469759076151</stp>
        <tr r="T24" s="29"/>
      </tp>
      <tp t="e">
        <v>#N/A</v>
        <stp/>
        <stp>BDH|8402428299291216855</stp>
        <tr r="E16" s="24"/>
      </tp>
      <tp t="e">
        <v>#N/A</v>
        <stp/>
        <stp>BDH|7662950662065008198</stp>
        <tr r="J49" s="13"/>
      </tp>
      <tp t="e">
        <v>#N/A</v>
        <stp/>
        <stp>BDH|7876658830057341965</stp>
        <tr r="P29" s="25"/>
        <tr r="P10" s="27"/>
      </tp>
      <tp t="e">
        <v>#N/A</v>
        <stp/>
        <stp>BDH|5246181513551471846</stp>
        <tr r="K45" s="18"/>
      </tp>
      <tp t="e">
        <v>#N/A</v>
        <stp/>
        <stp>BDH|1002466122399503284</stp>
        <tr r="D35" s="26"/>
      </tp>
      <tp t="e">
        <v>#N/A</v>
        <stp/>
        <stp>BDH|5101606996354959273</stp>
        <tr r="R7" s="11"/>
      </tp>
      <tp t="e">
        <v>#N/A</v>
        <stp/>
        <stp>BDH|9587549053051877435</stp>
        <tr r="Q13" s="25"/>
      </tp>
      <tp t="e">
        <v>#N/A</v>
        <stp/>
        <stp>BDH|7727273185068926950</stp>
        <tr r="O9" s="20"/>
        <tr r="O115" s="18"/>
      </tp>
      <tp t="e">
        <v>#N/A</v>
        <stp/>
        <stp>BDH|4124412712408828535</stp>
        <tr r="C38" s="6"/>
      </tp>
      <tp t="e">
        <v>#N/A</v>
        <stp/>
        <stp>BDH|7707970631346182799</stp>
        <tr r="AA12" s="17"/>
      </tp>
      <tp t="e">
        <v>#N/A</v>
        <stp/>
        <stp>BDH|4822049087073217308</stp>
        <tr r="E32" s="18"/>
      </tp>
      <tp t="e">
        <v>#N/A</v>
        <stp/>
        <stp>BDH|4732319269895726812</stp>
        <tr r="D42" s="29"/>
        <tr r="D33" s="29"/>
        <tr r="C10" s="2"/>
      </tp>
      <tp t="e">
        <v>#N/A</v>
        <stp/>
        <stp>BDH|1118761019729362243</stp>
        <tr r="F10" s="21"/>
      </tp>
      <tp t="e">
        <v>#N/A</v>
        <stp/>
        <stp>BDH|8333922488726959396</stp>
        <tr r="E27" s="6"/>
      </tp>
      <tp t="e">
        <v>#N/A</v>
        <stp/>
        <stp>BDH|6384264294887184699</stp>
        <tr r="F68" s="13"/>
      </tp>
      <tp t="e">
        <v>#N/A</v>
        <stp/>
        <stp>BDH|1325415564657739886</stp>
        <tr r="H71" s="18"/>
      </tp>
      <tp t="e">
        <v>#N/A</v>
        <stp/>
        <stp>BDH|5477987313477136670</stp>
        <tr r="G47" s="22"/>
      </tp>
      <tp t="e">
        <v>#N/A</v>
        <stp/>
        <stp>BDH|6158063394264975734</stp>
        <tr r="T80" s="18"/>
      </tp>
      <tp t="e">
        <v>#N/A</v>
        <stp/>
        <stp>BDH|4702115361127649887</stp>
        <tr r="U92" s="12"/>
      </tp>
      <tp t="e">
        <v>#N/A</v>
        <stp/>
        <stp>BDH|1497709392215951661</stp>
        <tr r="S49" s="18"/>
      </tp>
      <tp t="e">
        <v>#N/A</v>
        <stp/>
        <stp>BDH|8881124222226402158</stp>
        <tr r="Y65" s="24"/>
      </tp>
      <tp t="e">
        <v>#N/A</v>
        <stp/>
        <stp>BDH|4878818421975211731</stp>
        <tr r="N69" s="17"/>
        <tr r="N18" s="3"/>
      </tp>
      <tp t="e">
        <v>#N/A</v>
        <stp/>
        <stp>BDH|7849393359568190502</stp>
        <tr r="I68" s="18"/>
      </tp>
      <tp t="e">
        <v>#N/A</v>
        <stp/>
        <stp>BDH|5597898386920186928</stp>
        <tr r="AA9" s="23"/>
      </tp>
      <tp t="e">
        <v>#N/A</v>
        <stp/>
        <stp>BDH|2490924775637317792</stp>
        <tr r="AA25" s="24"/>
      </tp>
      <tp t="e">
        <v>#N/A</v>
        <stp/>
        <stp>BDH|3746590764704039838</stp>
        <tr r="D20" s="18"/>
      </tp>
      <tp t="e">
        <v>#N/A</v>
        <stp/>
        <stp>BDH|9042389864512002250</stp>
        <tr r="C42" s="18"/>
      </tp>
      <tp t="e">
        <v>#N/A</v>
        <stp/>
        <stp>BDH|6907659842330006872</stp>
        <tr r="E11" s="13"/>
      </tp>
      <tp t="e">
        <v>#N/A</v>
        <stp/>
        <stp>BDH|8864067691265680800</stp>
        <tr r="G25" s="18"/>
      </tp>
      <tp t="e">
        <v>#N/A</v>
        <stp/>
        <stp>BDH|8980422526986783430</stp>
        <tr r="N87" s="12"/>
      </tp>
      <tp t="e">
        <v>#N/A</v>
        <stp/>
        <stp>BDH|9661867374758559288</stp>
        <tr r="V74" s="10"/>
        <tr r="V63" s="11"/>
      </tp>
      <tp t="e">
        <v>#N/A</v>
        <stp/>
        <stp>BDH|2799271617248942575</stp>
        <tr r="C17" s="30"/>
      </tp>
      <tp t="e">
        <v>#N/A</v>
        <stp/>
        <stp>BDH|5307991786318218078</stp>
        <tr r="AA61" s="24"/>
      </tp>
      <tp t="e">
        <v>#N/A</v>
        <stp/>
        <stp>BDH|1584894336012778441</stp>
        <tr r="H53" s="17"/>
      </tp>
      <tp t="e">
        <v>#N/A</v>
        <stp/>
        <stp>BDH|7056759241971911949</stp>
        <tr r="X44" s="18"/>
      </tp>
      <tp t="e">
        <v>#N/A</v>
        <stp/>
        <stp>BDH|3818803767085194477</stp>
        <tr r="H13" s="21"/>
      </tp>
      <tp t="e">
        <v>#N/A</v>
        <stp/>
        <stp>BDH|5176993650911036410</stp>
        <tr r="Q26" s="18"/>
      </tp>
      <tp t="e">
        <v>#N/A</v>
        <stp/>
        <stp>BDH|6955324457744214879</stp>
        <tr r="E9" s="29"/>
      </tp>
      <tp t="e">
        <v>#N/A</v>
        <stp/>
        <stp>BDH|7005863637641770183</stp>
        <tr r="P35" s="12"/>
      </tp>
      <tp t="e">
        <v>#N/A</v>
        <stp/>
        <stp>BDH|3150438005212990906</stp>
        <tr r="C26" s="24"/>
      </tp>
      <tp t="e">
        <v>#N/A</v>
        <stp/>
        <stp>BDH|1866854155188136870</stp>
        <tr r="O37" s="24"/>
      </tp>
      <tp t="e">
        <v>#N/A</v>
        <stp/>
        <stp>BDH|8702910407559806476</stp>
        <tr r="U10" s="21"/>
      </tp>
      <tp t="e">
        <v>#N/A</v>
        <stp/>
        <stp>BDH|9678520632442830103</stp>
        <tr r="X48" s="18"/>
      </tp>
      <tp t="e">
        <v>#N/A</v>
        <stp/>
        <stp>BDH|5977563760032237835</stp>
        <tr r="K46" s="13"/>
        <tr r="I30" s="11"/>
        <tr r="I41" s="10"/>
      </tp>
      <tp t="e">
        <v>#N/A</v>
        <stp/>
        <stp>BDH|4835076783235543571</stp>
        <tr r="G98" s="18"/>
      </tp>
      <tp t="e">
        <v>#N/A</v>
        <stp/>
        <stp>BDH|9077696814004141620</stp>
        <tr r="H10" s="24"/>
      </tp>
      <tp t="e">
        <v>#N/A</v>
        <stp/>
        <stp>BDH|1773752957477263893</stp>
        <tr r="Y126" s="18"/>
      </tp>
      <tp t="e">
        <v>#N/A</v>
        <stp/>
        <stp>BDH|1248860058619301915</stp>
        <tr r="R46" s="22"/>
      </tp>
      <tp t="e">
        <v>#N/A</v>
        <stp/>
        <stp>BDH|4382169782147138685</stp>
        <tr r="H25" s="21"/>
      </tp>
      <tp t="e">
        <v>#N/A</v>
        <stp/>
        <stp>BDH|9266885671573395966</stp>
        <tr r="G44" s="18"/>
      </tp>
      <tp t="e">
        <v>#N/A</v>
        <stp/>
        <stp>BDH|4463383735549283151</stp>
        <tr r="X7" s="11"/>
      </tp>
      <tp t="e">
        <v>#N/A</v>
        <stp/>
        <stp>BDH|1416824687374999966</stp>
        <tr r="I57" s="17"/>
      </tp>
      <tp t="e">
        <v>#N/A</v>
        <stp/>
        <stp>BDH|4840164064988467706</stp>
        <tr r="N41" s="17"/>
      </tp>
      <tp t="e">
        <v>#N/A</v>
        <stp/>
        <stp>BDH|9460149274644949734</stp>
        <tr r="S33" s="22"/>
      </tp>
      <tp t="e">
        <v>#N/A</v>
        <stp/>
        <stp>BDH|9539599352152893789</stp>
        <tr r="R60" s="13"/>
        <tr r="P59" s="10"/>
        <tr r="P48" s="11"/>
        <tr r="P17" s="7"/>
        <tr r="P17" s="4"/>
        <tr r="R10" s="3"/>
      </tp>
      <tp t="e">
        <v>#N/A</v>
        <stp/>
        <stp>BDH|5646318995925589697</stp>
        <tr r="H34" s="6"/>
      </tp>
      <tp t="e">
        <v>#N/A</v>
        <stp/>
        <stp>BDH|4183226191056901554</stp>
        <tr r="S51" s="17"/>
      </tp>
      <tp t="e">
        <v>#N/A</v>
        <stp/>
        <stp>BDH|6937014556606622969</stp>
        <tr r="X9" s="27"/>
      </tp>
      <tp t="e">
        <v>#N/A</v>
        <stp/>
        <stp>BDH|9926557145813377740</stp>
        <tr r="M39" s="6"/>
      </tp>
      <tp t="e">
        <v>#N/A</v>
        <stp/>
        <stp>BDH|8405937138219511748</stp>
        <tr r="Q15" s="12"/>
      </tp>
      <tp t="e">
        <v>#N/A</v>
        <stp/>
        <stp>BDH|9847245626741494403</stp>
        <tr r="O9" s="18"/>
      </tp>
      <tp t="e">
        <v>#N/A</v>
        <stp/>
        <stp>BDH|8708478085411940924</stp>
        <tr r="L6" s="6"/>
      </tp>
      <tp t="e">
        <v>#N/A</v>
        <stp/>
        <stp>BDH|3487287683273941686</stp>
        <tr r="V7" s="30"/>
      </tp>
      <tp t="e">
        <v>#N/A</v>
        <stp/>
        <stp>BDH|1211366738218226508</stp>
        <tr r="O67" s="12"/>
      </tp>
      <tp t="e">
        <v>#N/A</v>
        <stp/>
        <stp>BDH|5732700688905959380</stp>
        <tr r="T129" s="18"/>
      </tp>
      <tp t="e">
        <v>#N/A</v>
        <stp/>
        <stp>BDH|8405386015256798002</stp>
        <tr r="Z80" s="12"/>
      </tp>
      <tp t="e">
        <v>#N/A</v>
        <stp/>
        <stp>BDH|9384040864366513585</stp>
        <tr r="C32" s="12"/>
      </tp>
      <tp t="e">
        <v>#N/A</v>
        <stp/>
        <stp>BDH|5821631853893401925</stp>
        <tr r="M6" s="16"/>
        <tr r="N6" s="11"/>
        <tr r="P6" s="3"/>
        <tr r="N10" s="4"/>
      </tp>
      <tp t="e">
        <v>#N/A</v>
        <stp/>
        <stp>BDH|1584184782923588743</stp>
        <tr r="N27" s="22"/>
      </tp>
      <tp t="e">
        <v>#N/A</v>
        <stp/>
        <stp>BDH|2568159286361865604</stp>
        <tr r="V55" s="12"/>
      </tp>
      <tp t="e">
        <v>#N/A</v>
        <stp/>
        <stp>BDH|4223872334812997170</stp>
        <tr r="F21" s="27"/>
      </tp>
      <tp t="e">
        <v>#N/A</v>
        <stp/>
        <stp>BDH|6150840223691947106</stp>
        <tr r="S7" s="27"/>
        <tr r="S94" s="17"/>
      </tp>
      <tp t="e">
        <v>#N/A</v>
        <stp/>
        <stp>BDH|7418795523758774665</stp>
        <tr r="M49" s="17"/>
      </tp>
      <tp t="e">
        <v>#N/A</v>
        <stp/>
        <stp>BDH|8995401668540791694</stp>
        <tr r="R19" s="25"/>
      </tp>
      <tp t="e">
        <v>#N/A</v>
        <stp/>
        <stp>BDH|8570217965089634980</stp>
        <tr r="H149" s="18"/>
      </tp>
      <tp t="e">
        <v>#N/A</v>
        <stp/>
        <stp>BDH|5132192294579231814</stp>
        <tr r="Z49" s="21"/>
      </tp>
      <tp t="e">
        <v>#N/A</v>
        <stp/>
        <stp>BDH|5703804779772063416</stp>
        <tr r="T6" s="8"/>
        <tr r="R51" s="6"/>
      </tp>
      <tp t="e">
        <v>#N/A</v>
        <stp/>
        <stp>BDH|8237267114743913461</stp>
        <tr r="L45" s="21"/>
      </tp>
      <tp t="e">
        <v>#N/A</v>
        <stp/>
        <stp>BDH|2541231231567127891</stp>
        <tr r="K71" s="24"/>
      </tp>
      <tp t="e">
        <v>#N/A</v>
        <stp/>
        <stp>BDH|6755782933687259917</stp>
        <tr r="X24" s="17"/>
      </tp>
      <tp t="e">
        <v>#N/A</v>
        <stp/>
        <stp>BDH|2673826828465642152</stp>
        <tr r="Q35" s="34"/>
      </tp>
      <tp t="e">
        <v>#N/A</v>
        <stp/>
        <stp>BDH|5210047475038574693</stp>
        <tr r="S43" s="34"/>
      </tp>
      <tp t="e">
        <v>#N/A</v>
        <stp/>
        <stp>BDH|8629367538180737405</stp>
        <tr r="Y23" s="24"/>
      </tp>
      <tp t="e">
        <v>#N/A</v>
        <stp/>
        <stp>BDH|2153893667582710270</stp>
        <tr r="T24" s="17"/>
      </tp>
      <tp t="e">
        <v>#N/A</v>
        <stp/>
        <stp>BDH|2319467930131261884</stp>
        <tr r="O11" s="29"/>
      </tp>
      <tp t="e">
        <v>#N/A</v>
        <stp/>
        <stp>BDH|5858426627536666944</stp>
        <tr r="J38" s="34"/>
      </tp>
      <tp t="e">
        <v>#N/A</v>
        <stp/>
        <stp>BDH|7886904706741043318</stp>
        <tr r="M20" s="14"/>
      </tp>
      <tp t="e">
        <v>#N/A</v>
        <stp/>
        <stp>BDH|5949430011468441403</stp>
        <tr r="L37" s="12"/>
      </tp>
      <tp t="e">
        <v>#N/A</v>
        <stp/>
        <stp>BDH|2551597994050132266</stp>
        <tr r="E9" s="22"/>
      </tp>
      <tp t="e">
        <v>#N/A</v>
        <stp/>
        <stp>BDH|6446007492821148288</stp>
        <tr r="X23" s="13"/>
      </tp>
      <tp t="e">
        <v>#N/A</v>
        <stp/>
        <stp>BDH|3050327636736202993</stp>
        <tr r="M124" s="18"/>
      </tp>
      <tp t="e">
        <v>#N/A</v>
        <stp/>
        <stp>BDH|5332983575534909383</stp>
        <tr r="P47" s="24"/>
      </tp>
      <tp t="e">
        <v>#N/A</v>
        <stp/>
        <stp>BDH|4649957774851102792</stp>
        <tr r="Q30" s="14"/>
      </tp>
      <tp t="e">
        <v>#N/A</v>
        <stp/>
        <stp>BDH|9087365723740251487</stp>
        <tr r="Q29" s="6"/>
      </tp>
      <tp t="e">
        <v>#N/A</v>
        <stp/>
        <stp>BDH|5371448097466957266</stp>
        <tr r="S58" s="18"/>
      </tp>
      <tp t="e">
        <v>#N/A</v>
        <stp/>
        <stp>BDH|9643089043236451762</stp>
        <tr r="Z28" s="21"/>
      </tp>
      <tp t="e">
        <v>#N/A</v>
        <stp/>
        <stp>BDH|4187459543928962016</stp>
        <tr r="Q16" s="29"/>
        <tr r="Q39" s="29"/>
      </tp>
      <tp t="e">
        <v>#N/A</v>
        <stp/>
        <stp>BDH|2351885744587387535</stp>
        <tr r="Q16" s="23"/>
      </tp>
      <tp t="e">
        <v>#N/A</v>
        <stp/>
        <stp>BDH|8615372479081490132</stp>
        <tr r="D11" s="30"/>
      </tp>
      <tp t="e">
        <v>#N/A</v>
        <stp/>
        <stp>BDH|8746887644499387174</stp>
        <tr r="Q65" s="17"/>
      </tp>
      <tp t="e">
        <v>#N/A</v>
        <stp/>
        <stp>BDH|3888633887624617556</stp>
        <tr r="D10" s="17"/>
      </tp>
      <tp t="e">
        <v>#N/A</v>
        <stp/>
        <stp>BDH|6904719481587548232</stp>
        <tr r="U16" s="29"/>
        <tr r="U39" s="29"/>
      </tp>
      <tp t="e">
        <v>#N/A</v>
        <stp/>
        <stp>BDH|9761049800015534096</stp>
        <tr r="Y12" s="10"/>
      </tp>
      <tp t="e">
        <v>#N/A</v>
        <stp/>
        <stp>BDH|3927892668838517924</stp>
        <tr r="W9" s="25"/>
        <tr r="W44" s="17"/>
      </tp>
      <tp t="e">
        <v>#N/A</v>
        <stp/>
        <stp>BDH|4887791708719537630</stp>
        <tr r="S37" s="10"/>
        <tr r="S26" s="11"/>
      </tp>
      <tp t="e">
        <v>#N/A</v>
        <stp/>
        <stp>BDH|9944269636923791710</stp>
        <tr r="F16" s="27"/>
        <tr r="F34" s="25"/>
      </tp>
      <tp t="e">
        <v>#N/A</v>
        <stp/>
        <stp>BDH|1629841296815216997</stp>
        <tr r="Z142" s="18"/>
      </tp>
      <tp t="e">
        <v>#N/A</v>
        <stp/>
        <stp>BDH|5225865510024930428</stp>
        <tr r="S75" s="17"/>
      </tp>
      <tp t="e">
        <v>#N/A</v>
        <stp/>
        <stp>BDH|1426948371255624685</stp>
        <tr r="H22" s="21"/>
      </tp>
      <tp t="e">
        <v>#N/A</v>
        <stp/>
        <stp>BDH|1827943075331185275</stp>
        <tr r="S65" s="13"/>
      </tp>
      <tp t="e">
        <v>#N/A</v>
        <stp/>
        <stp>BDH|7993078282867030434</stp>
        <tr r="W63" s="24"/>
      </tp>
      <tp t="e">
        <v>#N/A</v>
        <stp/>
        <stp>BDH|8455510259260618458</stp>
        <tr r="S13" s="18"/>
      </tp>
      <tp t="e">
        <v>#N/A</v>
        <stp/>
        <stp>BDH|8716769447380000795</stp>
        <tr r="K120" s="18"/>
      </tp>
      <tp t="e">
        <v>#N/A</v>
        <stp/>
        <stp>BDH|1403711788770039214</stp>
        <tr r="V55" s="21"/>
      </tp>
      <tp t="e">
        <v>#N/A</v>
        <stp/>
        <stp>BDH|6865406357092511961</stp>
        <tr r="X13" s="5"/>
      </tp>
      <tp t="e">
        <v>#N/A</v>
        <stp/>
        <stp>BDH|6640816318102326103</stp>
        <tr r="Z21" s="17"/>
      </tp>
      <tp t="e">
        <v>#N/A</v>
        <stp/>
        <stp>BDH|5016984725711783368</stp>
        <tr r="G75" s="12"/>
      </tp>
      <tp t="e">
        <v>#N/A</v>
        <stp/>
        <stp>BDH|3705293428579349690</stp>
        <tr r="L52" s="17"/>
      </tp>
      <tp t="e">
        <v>#N/A</v>
        <stp/>
        <stp>BDH|8536081113742304710</stp>
        <tr r="F82" s="18"/>
      </tp>
      <tp t="e">
        <v>#N/A</v>
        <stp/>
        <stp>BDH|2138647170168945704</stp>
        <tr r="O18" s="25"/>
      </tp>
      <tp t="e">
        <v>#N/A</v>
        <stp/>
        <stp>BDH|4430093581467671767</stp>
        <tr r="V108" s="18"/>
      </tp>
      <tp t="e">
        <v>#N/A</v>
        <stp/>
        <stp>BDH|5352629926888368586</stp>
        <tr r="M24" s="2"/>
      </tp>
      <tp t="e">
        <v>#N/A</v>
        <stp/>
        <stp>BDH|1773085046130735926</stp>
        <tr r="S10" s="22"/>
      </tp>
      <tp t="e">
        <v>#N/A</v>
        <stp/>
        <stp>BDH|5673891904851108068</stp>
        <tr r="Y29" s="29"/>
        <tr r="Y7" s="29"/>
      </tp>
      <tp t="e">
        <v>#N/A</v>
        <stp/>
        <stp>BDH|4795604448873747947</stp>
        <tr r="S148" s="18"/>
      </tp>
      <tp t="e">
        <v>#N/A</v>
        <stp/>
        <stp>BDH|5380783880382288456</stp>
        <tr r="Q9" s="21"/>
      </tp>
      <tp t="e">
        <v>#N/A</v>
        <stp/>
        <stp>BDH|5401074755818342491</stp>
        <tr r="O66" s="17"/>
      </tp>
      <tp t="e">
        <v>#N/A</v>
        <stp/>
        <stp>BDH|9426097820693494453</stp>
        <tr r="H65" s="18"/>
      </tp>
      <tp t="e">
        <v>#N/A</v>
        <stp/>
        <stp>BDH|2427488586661111375</stp>
        <tr r="O152" s="18"/>
      </tp>
      <tp t="e">
        <v>#N/A</v>
        <stp/>
        <stp>BDH|8085024826427831100</stp>
        <tr r="AA18" s="26"/>
      </tp>
      <tp t="e">
        <v>#N/A</v>
        <stp/>
        <stp>BDH|2107333722136894941</stp>
        <tr r="R46" s="6"/>
        <tr r="R19" s="5"/>
      </tp>
      <tp t="e">
        <v>#N/A</v>
        <stp/>
        <stp>BDH|6088274795766949775</stp>
        <tr r="U40" s="21"/>
      </tp>
      <tp t="e">
        <v>#N/A</v>
        <stp/>
        <stp>BDH|9222259128004191128</stp>
        <tr r="K47" s="24"/>
      </tp>
      <tp t="e">
        <v>#N/A</v>
        <stp/>
        <stp>BDH|8005432838371394242</stp>
        <tr r="Q72" s="18"/>
      </tp>
      <tp t="e">
        <v>#N/A</v>
        <stp/>
        <stp>BDH|8845001513725767009</stp>
        <tr r="Y64" s="18"/>
      </tp>
      <tp t="e">
        <v>#N/A</v>
        <stp/>
        <stp>BDH|8840810055859474047</stp>
        <tr r="C30" s="34"/>
      </tp>
      <tp t="e">
        <v>#N/A</v>
        <stp/>
        <stp>BDH|1022684625981227831</stp>
        <tr r="E22" s="4"/>
      </tp>
      <tp t="e">
        <v>#N/A</v>
        <stp/>
        <stp>BDH|8485593368791842617</stp>
        <tr r="S70" s="12"/>
      </tp>
      <tp t="e">
        <v>#N/A</v>
        <stp/>
        <stp>BDH|4550340029931048847</stp>
        <tr r="H43" s="21"/>
      </tp>
      <tp t="e">
        <v>#N/A</v>
        <stp/>
        <stp>BDH|1914348110627371826</stp>
        <tr r="H56" s="17"/>
      </tp>
      <tp t="e">
        <v>#N/A</v>
        <stp/>
        <stp>BDH|9424517038173534054</stp>
        <tr r="AA84" s="17"/>
        <tr r="Y6" s="7"/>
        <tr r="AA20" s="3"/>
      </tp>
      <tp t="e">
        <v>#N/A</v>
        <stp/>
        <stp>BDH|3891593079415593804</stp>
        <tr r="M17" s="9"/>
      </tp>
      <tp t="e">
        <v>#N/A</v>
        <stp/>
        <stp>BDH|4120967928350055320</stp>
        <tr r="W8" s="24"/>
      </tp>
      <tp t="e">
        <v>#N/A</v>
        <stp/>
        <stp>BDH|1242155485000922461</stp>
        <tr r="Q71" s="17"/>
      </tp>
      <tp t="e">
        <v>#N/A</v>
        <stp/>
        <stp>BDH|8840227715132132534</stp>
        <tr r="F11" s="18"/>
      </tp>
      <tp t="e">
        <v>#N/A</v>
        <stp/>
        <stp>BDH|6888481484626885012</stp>
        <tr r="C19" s="11"/>
      </tp>
      <tp t="e">
        <v>#N/A</v>
        <stp/>
        <stp>BDH|9849473724091589238</stp>
        <tr r="M18" s="11"/>
      </tp>
      <tp t="e">
        <v>#N/A</v>
        <stp/>
        <stp>BDH|1694420231733007988</stp>
        <tr r="AA6" s="28"/>
      </tp>
      <tp t="e">
        <v>#N/A</v>
        <stp/>
        <stp>BDH|5805154984980634027</stp>
        <tr r="P34" s="12"/>
      </tp>
      <tp t="e">
        <v>#N/A</v>
        <stp/>
        <stp>BDH|4254480517375492847</stp>
        <tr r="O11" s="24"/>
      </tp>
      <tp t="e">
        <v>#N/A</v>
        <stp/>
        <stp>BDH|8169116940846551785</stp>
        <tr r="D69" s="24"/>
      </tp>
      <tp t="e">
        <v>#N/A</v>
        <stp/>
        <stp>BDH|6368689636617116813</stp>
        <tr r="D37" s="29"/>
        <tr r="D23" s="29"/>
        <tr r="D14" s="29"/>
      </tp>
      <tp t="e">
        <v>#N/A</v>
        <stp/>
        <stp>BDH|6151894371311007448</stp>
        <tr r="D36" s="26"/>
      </tp>
      <tp t="e">
        <v>#N/A</v>
        <stp/>
        <stp>BDH|9650561118523522209</stp>
        <tr r="D25" s="7"/>
      </tp>
      <tp t="e">
        <v>#N/A</v>
        <stp/>
        <stp>BDH|2422773597329862919</stp>
        <tr r="K96" s="17"/>
      </tp>
      <tp t="e">
        <v>#N/A</v>
        <stp/>
        <stp>BDH|2327804768787349758</stp>
        <tr r="R103" s="18"/>
      </tp>
      <tp t="e">
        <v>#N/A</v>
        <stp/>
        <stp>BDH|2850075297062585505</stp>
        <tr r="Z6" s="20"/>
        <tr r="Z112" s="18"/>
      </tp>
      <tp t="e">
        <v>#N/A</v>
        <stp/>
        <stp>BDH|5163805470970462681</stp>
        <tr r="O57" s="13"/>
        <tr r="M38" s="11"/>
        <tr r="M49" s="10"/>
        <tr r="M53" s="4"/>
        <tr r="M18" s="2"/>
      </tp>
      <tp t="e">
        <v>#N/A</v>
        <stp/>
        <stp>BDH|2868768838598326284</stp>
        <tr r="G47" s="24"/>
      </tp>
      <tp t="e">
        <v>#N/A</v>
        <stp/>
        <stp>BDH|2261168282395210291</stp>
        <tr r="L19" s="22"/>
      </tp>
      <tp t="e">
        <v>#N/A</v>
        <stp/>
        <stp>BDH|2795692046924263878</stp>
        <tr r="V55" s="13"/>
      </tp>
      <tp t="e">
        <v>#N/A</v>
        <stp/>
        <stp>BDH|9989525296159093009</stp>
        <tr r="Z68" s="17"/>
      </tp>
      <tp t="e">
        <v>#N/A</v>
        <stp/>
        <stp>BDH|1205885557500191016</stp>
        <tr r="I66" s="10"/>
      </tp>
      <tp t="e">
        <v>#N/A</v>
        <stp/>
        <stp>BDH|9663419516059416980</stp>
        <tr r="D13" s="22"/>
      </tp>
      <tp t="e">
        <v>#N/A</v>
        <stp/>
        <stp>BDH|9264662243174281383</stp>
        <tr r="W34" s="11"/>
        <tr r="W45" s="10"/>
      </tp>
      <tp t="e">
        <v>#N/A</v>
        <stp/>
        <stp>BDH|6966236271027850814</stp>
        <tr r="C63" s="12"/>
      </tp>
      <tp t="e">
        <v>#N/A</v>
        <stp/>
        <stp>BDH|1408224506319026624</stp>
        <tr r="X16" s="27"/>
        <tr r="X34" s="25"/>
      </tp>
      <tp t="e">
        <v>#N/A</v>
        <stp/>
        <stp>BDH|8196237661316390624</stp>
        <tr r="Q44" s="34"/>
      </tp>
      <tp t="e">
        <v>#N/A</v>
        <stp/>
        <stp>BDH|3271508195287686435</stp>
        <tr r="V18" s="12"/>
      </tp>
      <tp t="e">
        <v>#N/A</v>
        <stp/>
        <stp>BDH|1757477530599350317</stp>
        <tr r="K75" s="18"/>
      </tp>
      <tp t="e">
        <v>#N/A</v>
        <stp/>
        <stp>BDH|6786570483466295131</stp>
        <tr r="V19" s="26"/>
      </tp>
      <tp t="e">
        <v>#N/A</v>
        <stp/>
        <stp>BDH|7513291549538059577</stp>
        <tr r="J52" s="17"/>
      </tp>
      <tp t="e">
        <v>#N/A</v>
        <stp/>
        <stp>BDH|3213708591870845193</stp>
        <tr r="W50" s="18"/>
      </tp>
      <tp t="e">
        <v>#N/A</v>
        <stp/>
        <stp>BDH|1418588987811917106</stp>
        <tr r="D146" s="18"/>
      </tp>
      <tp t="e">
        <v>#N/A</v>
        <stp/>
        <stp>BDH|8844002208376042227</stp>
        <tr r="L40" s="13"/>
        <tr r="J33" s="10"/>
      </tp>
      <tp t="e">
        <v>#N/A</v>
        <stp/>
        <stp>BDH|4316073597731378024</stp>
        <tr r="O41" s="13"/>
        <tr r="M23" s="10"/>
        <tr r="M46" s="4"/>
      </tp>
      <tp t="e">
        <v>#N/A</v>
        <stp/>
        <stp>BDH|1334064082605196041</stp>
        <tr r="AA18" s="18"/>
      </tp>
      <tp t="e">
        <v>#N/A</v>
        <stp/>
        <stp>BDH|5476066230569150319</stp>
        <tr r="V25" s="3"/>
      </tp>
      <tp t="e">
        <v>#N/A</v>
        <stp/>
        <stp>BDH|6696268688960374097</stp>
        <tr r="K33" s="21"/>
      </tp>
      <tp t="e">
        <v>#N/A</v>
        <stp/>
        <stp>BDH|7658989609177007555</stp>
        <tr r="Y64" s="12"/>
      </tp>
      <tp t="e">
        <v>#N/A</v>
        <stp/>
        <stp>BDH|5947849091219833167</stp>
        <tr r="T52" s="22"/>
      </tp>
      <tp t="e">
        <v>#N/A</v>
        <stp/>
        <stp>BDH|8776546767446584136</stp>
        <tr r="P52" s="34"/>
      </tp>
      <tp t="e">
        <v>#N/A</v>
        <stp/>
        <stp>BDH|9136715667601383563</stp>
        <tr r="N33" s="12"/>
      </tp>
      <tp t="e">
        <v>#N/A</v>
        <stp/>
        <stp>BDH|8668451875967418004</stp>
        <tr r="R17" s="20"/>
      </tp>
      <tp t="e">
        <v>#N/A</v>
        <stp/>
        <stp>BDH|8265369742902294165</stp>
        <tr r="K23" s="9"/>
      </tp>
      <tp t="e">
        <v>#N/A</v>
        <stp/>
        <stp>BDH|1297740376129421460</stp>
        <tr r="F13" s="5"/>
      </tp>
      <tp t="e">
        <v>#N/A</v>
        <stp/>
        <stp>BDH|8085596666593997448</stp>
        <tr r="M33" s="18"/>
      </tp>
      <tp t="e">
        <v>#N/A</v>
        <stp/>
        <stp>BDH|4915882023992176017</stp>
        <tr r="T40" s="11"/>
        <tr r="T28" s="11"/>
        <tr r="T39" s="10"/>
        <tr r="T51" s="10"/>
      </tp>
      <tp t="e">
        <v>#N/A</v>
        <stp/>
        <stp>BDH|9123067243319537838</stp>
        <tr r="AA34" s="18"/>
      </tp>
      <tp t="e">
        <v>#N/A</v>
        <stp/>
        <stp>BDH|5112696296301900759</stp>
        <tr r="Q36" s="4"/>
      </tp>
      <tp t="e">
        <v>#N/A</v>
        <stp/>
        <stp>BDH|5071898974051840776</stp>
        <tr r="G49" s="34"/>
      </tp>
      <tp t="e">
        <v>#N/A</v>
        <stp/>
        <stp>BDH|5860007906078583194</stp>
        <tr r="I136" s="18"/>
      </tp>
      <tp t="e">
        <v>#N/A</v>
        <stp/>
        <stp>BDH|1808916777367513499</stp>
        <tr r="D23" s="17"/>
      </tp>
      <tp t="e">
        <v>#N/A</v>
        <stp/>
        <stp>BDH|1161162530308620739</stp>
        <tr r="AA136" s="18"/>
      </tp>
      <tp t="e">
        <v>#N/A</v>
        <stp/>
        <stp>BDH|3709062390952567461</stp>
        <tr r="H29" s="26"/>
      </tp>
      <tp t="e">
        <v>#N/A</v>
        <stp/>
        <stp>BDH|3440158054599512224</stp>
        <tr r="Q23" s="9"/>
      </tp>
      <tp t="e">
        <v>#N/A</v>
        <stp/>
        <stp>BDH|7729491800306875948</stp>
        <tr r="N74" s="24"/>
      </tp>
      <tp t="e">
        <v>#N/A</v>
        <stp/>
        <stp>BDH|1050984677256455599</stp>
        <tr r="AA59" s="17"/>
      </tp>
      <tp t="e">
        <v>#N/A</v>
        <stp/>
        <stp>BDH|8963031456133713299</stp>
        <tr r="Z66" s="13"/>
      </tp>
      <tp t="e">
        <v>#N/A</v>
        <stp/>
        <stp>BDH|2027838054752691125</stp>
        <tr r="T71" s="13"/>
      </tp>
      <tp t="e">
        <v>#N/A</v>
        <stp/>
        <stp>BDH|4041008704640281853</stp>
        <tr r="X29" s="24"/>
      </tp>
      <tp t="e">
        <v>#N/A</v>
        <stp/>
        <stp>BDH|4574234232378015171</stp>
        <tr r="E50" s="34"/>
      </tp>
      <tp t="e">
        <v>#N/A</v>
        <stp/>
        <stp>BDH|3774596528510230877</stp>
        <tr r="C61" s="24"/>
      </tp>
      <tp t="e">
        <v>#N/A</v>
        <stp/>
        <stp>BDH|7620410142388250344</stp>
        <tr r="S15" s="12"/>
      </tp>
      <tp t="e">
        <v>#N/A</v>
        <stp/>
        <stp>BDH|8388009248274909410</stp>
        <tr r="G7" s="34"/>
      </tp>
      <tp t="e">
        <v>#N/A</v>
        <stp/>
        <stp>BDH|9541366745544006654</stp>
        <tr r="H18" s="23"/>
      </tp>
      <tp t="e">
        <v>#N/A</v>
        <stp/>
        <stp>BDH|8072225700327116103</stp>
        <tr r="Q29" s="25"/>
        <tr r="Q10" s="27"/>
      </tp>
      <tp t="e">
        <v>#N/A</v>
        <stp/>
        <stp>BDH|7038077636591647947</stp>
        <tr r="C96" s="18"/>
      </tp>
      <tp t="e">
        <v>#N/A</v>
        <stp/>
        <stp>BDH|3837572349129368764</stp>
        <tr r="F23" s="23"/>
      </tp>
      <tp t="e">
        <v>#N/A</v>
        <stp/>
        <stp>BDH|7419557926494431803</stp>
        <tr r="N18" s="13"/>
      </tp>
      <tp t="e">
        <v>#N/A</v>
        <stp/>
        <stp>BDH|9820392103291834794</stp>
        <tr r="F8" s="13"/>
      </tp>
      <tp t="e">
        <v>#N/A</v>
        <stp/>
        <stp>BDH|5516750506496419810</stp>
        <tr r="D123" s="18"/>
      </tp>
      <tp t="e">
        <v>#N/A</v>
        <stp/>
        <stp>BDH|8833260290586960944</stp>
        <tr r="X11" s="29"/>
      </tp>
      <tp t="e">
        <v>#N/A</v>
        <stp/>
        <stp>BDH|4578826323185073770</stp>
        <tr r="Y29" s="17"/>
      </tp>
      <tp t="e">
        <v>#N/A</v>
        <stp/>
        <stp>BDH|1187117941301780953</stp>
        <tr r="X30" s="18"/>
      </tp>
      <tp t="e">
        <v>#N/A</v>
        <stp/>
        <stp>BDH|4010583786486905341</stp>
        <tr r="C82" s="12"/>
      </tp>
      <tp t="e">
        <v>#N/A</v>
        <stp/>
        <stp>BDH|9178505820226308417</stp>
        <tr r="Q87" s="18"/>
      </tp>
      <tp t="e">
        <v>#N/A</v>
        <stp/>
        <stp>BDH|5737913086148558063</stp>
        <tr r="E22" s="11"/>
      </tp>
      <tp t="e">
        <v>#N/A</v>
        <stp/>
        <stp>BDH|4645483238069364667</stp>
        <tr r="S20" s="12"/>
      </tp>
      <tp t="e">
        <v>#N/A</v>
        <stp/>
        <stp>BDH|9086190612002175799</stp>
        <tr r="R65" s="17"/>
      </tp>
      <tp t="e">
        <v>#N/A</v>
        <stp/>
        <stp>BDH|8849691251646538166</stp>
        <tr r="Q62" s="12"/>
      </tp>
      <tp t="e">
        <v>#N/A</v>
        <stp/>
        <stp>BDH|2749276981107473362</stp>
        <tr r="AA15" s="12"/>
      </tp>
      <tp t="e">
        <v>#N/A</v>
        <stp/>
        <stp>BDH|4354664832014360971</stp>
        <tr r="R9" s="30"/>
      </tp>
      <tp t="e">
        <v>#N/A</v>
        <stp/>
        <stp>BDH|8377035669482274087</stp>
        <tr r="K15" s="26"/>
      </tp>
      <tp t="e">
        <v>#N/A</v>
        <stp/>
        <stp>BDH|4025745168850872971</stp>
        <tr r="H35" s="4"/>
      </tp>
      <tp t="e">
        <v>#N/A</v>
        <stp/>
        <stp>BDH|1061572780881706135</stp>
        <tr r="I10" s="14"/>
      </tp>
      <tp t="e">
        <v>#N/A</v>
        <stp/>
        <stp>BDH|2137488445178920660</stp>
        <tr r="C42" s="25"/>
      </tp>
      <tp t="e">
        <v>#N/A</v>
        <stp/>
        <stp>BDH|3772858873783686348</stp>
        <tr r="G52" s="13"/>
      </tp>
      <tp t="e">
        <v>#N/A</v>
        <stp/>
        <stp>BDH|3805343090671696494</stp>
        <tr r="D22" s="27"/>
      </tp>
      <tp t="e">
        <v>#N/A</v>
        <stp/>
        <stp>BDH|5997658189900001760</stp>
        <tr r="V11" s="7"/>
      </tp>
      <tp t="e">
        <v>#N/A</v>
        <stp/>
        <stp>BDH|9130379052462547122</stp>
        <tr r="E44" s="21"/>
      </tp>
      <tp t="e">
        <v>#N/A</v>
        <stp/>
        <stp>BDH|2098224643390375811</stp>
        <tr r="H11" s="7"/>
      </tp>
      <tp t="e">
        <v>#N/A</v>
        <stp/>
        <stp>BDH|2554949243396845593</stp>
        <tr r="T9" s="22"/>
      </tp>
      <tp t="e">
        <v>#N/A</v>
        <stp/>
        <stp>BDH|8652578555051436535</stp>
        <tr r="D41" s="21"/>
      </tp>
      <tp t="e">
        <v>#N/A</v>
        <stp/>
        <stp>BDH|8770035328914672297</stp>
        <tr r="U23" s="29"/>
        <tr r="U14" s="29"/>
        <tr r="U37" s="29"/>
      </tp>
      <tp t="e">
        <v>#N/A</v>
        <stp/>
        <stp>BDH|4502919103772426307</stp>
        <tr r="H22" s="11"/>
      </tp>
      <tp t="e">
        <v>#N/A</v>
        <stp/>
        <stp>BDH|4525867791609791061</stp>
        <tr r="X41" s="25"/>
        <tr r="X59" s="21"/>
        <tr r="V54" s="11"/>
        <tr r="V31" s="4"/>
      </tp>
      <tp t="e">
        <v>#N/A</v>
        <stp/>
        <stp>BDH|1677739083325038755</stp>
        <tr r="X62" s="11"/>
        <tr r="X73" s="10"/>
        <tr r="X20" s="7"/>
      </tp>
      <tp t="e">
        <v>#N/A</v>
        <stp/>
        <stp>BDH|1244867740881232053</stp>
        <tr r="X163" s="18"/>
      </tp>
      <tp t="e">
        <v>#N/A</v>
        <stp/>
        <stp>BDH|1676604673119498520</stp>
        <tr r="W48" s="13"/>
      </tp>
      <tp t="e">
        <v>#N/A</v>
        <stp/>
        <stp>BDH|3228526662615604979</stp>
        <tr r="M16" s="26"/>
      </tp>
      <tp t="e">
        <v>#N/A</v>
        <stp/>
        <stp>BDH|4136808359684221195</stp>
        <tr r="F72" s="10"/>
      </tp>
      <tp t="e">
        <v>#N/A</v>
        <stp/>
        <stp>BDH|8558870598262841719</stp>
        <tr r="E44" s="18"/>
      </tp>
      <tp t="e">
        <v>#N/A</v>
        <stp/>
        <stp>BDH|1807809720437860036</stp>
        <tr r="G69" s="13"/>
      </tp>
      <tp t="e">
        <v>#N/A</v>
        <stp/>
        <stp>BDH|1443526627403225908</stp>
        <tr r="J22" s="11"/>
      </tp>
      <tp t="e">
        <v>#N/A</v>
        <stp/>
        <stp>BDH|2182590588530104321</stp>
        <tr r="S133" s="18"/>
      </tp>
      <tp t="e">
        <v>#N/A</v>
        <stp/>
        <stp>BDH|8021345079065688583</stp>
        <tr r="W12" s="11"/>
      </tp>
      <tp t="e">
        <v>#N/A</v>
        <stp/>
        <stp>BDH|4523963507228390945</stp>
        <tr r="T56" s="13"/>
      </tp>
      <tp t="e">
        <v>#N/A</v>
        <stp/>
        <stp>BDH|9574366724466785232</stp>
        <tr r="S22" s="18"/>
      </tp>
      <tp t="e">
        <v>#N/A</v>
        <stp/>
        <stp>BDH|5934991602157994785</stp>
        <tr r="G9" s="11"/>
      </tp>
      <tp t="e">
        <v>#N/A</v>
        <stp/>
        <stp>BDH|6767600985671994586</stp>
        <tr r="F130" s="18"/>
      </tp>
      <tp t="e">
        <v>#N/A</v>
        <stp/>
        <stp>BDH|6328168486145016605</stp>
        <tr r="L96" s="12"/>
      </tp>
      <tp t="e">
        <v>#N/A</v>
        <stp/>
        <stp>BDH|1711677625279693003</stp>
        <tr r="R21" s="30"/>
      </tp>
      <tp t="e">
        <v>#N/A</v>
        <stp/>
        <stp>BDH|2329162135844035835</stp>
        <tr r="M8" s="24"/>
      </tp>
      <tp t="e">
        <v>#N/A</v>
        <stp/>
        <stp>BDH|3560219932769464710</stp>
        <tr r="L28" s="9"/>
        <tr r="L30" s="5"/>
      </tp>
      <tp t="e">
        <v>#N/A</v>
        <stp/>
        <stp>BDH|3694351668922885838</stp>
        <tr r="S33" s="17"/>
      </tp>
      <tp t="e">
        <v>#N/A</v>
        <stp/>
        <stp>BDH|7661018060848522525</stp>
        <tr r="D76" s="17"/>
      </tp>
      <tp t="e">
        <v>#N/A</v>
        <stp/>
        <stp>BDH|5009277605498405362</stp>
        <tr r="W48" s="17"/>
      </tp>
      <tp t="e">
        <v>#N/A</v>
        <stp/>
        <stp>BDH|3890916369486335639</stp>
        <tr r="L42" s="22"/>
      </tp>
      <tp t="e">
        <v>#N/A</v>
        <stp/>
        <stp>BDH|6113991131160026093</stp>
        <tr r="N28" s="14"/>
      </tp>
      <tp t="e">
        <v>#N/A</v>
        <stp/>
        <stp>BDH|8118661594808592361</stp>
        <tr r="O8" s="27"/>
      </tp>
      <tp t="e">
        <v>#N/A</v>
        <stp/>
        <stp>BDH|4613100203381433811</stp>
        <tr r="F11" s="24"/>
      </tp>
      <tp t="e">
        <v>#N/A</v>
        <stp/>
        <stp>BDH|5262626596311268746</stp>
        <tr r="Z72" s="12"/>
      </tp>
      <tp t="e">
        <v>#N/A</v>
        <stp/>
        <stp>BDH|4620717495257127137</stp>
        <tr r="X35" s="4"/>
      </tp>
      <tp t="e">
        <v>#N/A</v>
        <stp/>
        <stp>BDH|5167339310809338216</stp>
        <tr r="D25" s="22"/>
      </tp>
      <tp t="e">
        <v>#N/A</v>
        <stp/>
        <stp>BDH|8839603105406552484</stp>
        <tr r="V43" s="21"/>
      </tp>
      <tp t="e">
        <v>#N/A</v>
        <stp/>
        <stp>BDH|6165309495923054347</stp>
        <tr r="H21" s="17"/>
      </tp>
      <tp t="e">
        <v>#N/A</v>
        <stp/>
        <stp>BDH|8002652809306470482</stp>
        <tr r="V79" s="18"/>
      </tp>
      <tp t="e">
        <v>#N/A</v>
        <stp/>
        <stp>BDH|2134520813793561955</stp>
        <tr r="V16" s="6"/>
      </tp>
      <tp t="e">
        <v>#N/A</v>
        <stp/>
        <stp>BDH|3053961302510754633</stp>
        <tr r="K16" s="18"/>
      </tp>
      <tp t="e">
        <v>#N/A</v>
        <stp/>
        <stp>BDH|4683301021071561828</stp>
        <tr r="S66" s="10"/>
      </tp>
      <tp t="e">
        <v>#N/A</v>
        <stp/>
        <stp>BDH|6397914032867414743</stp>
        <tr r="S13" s="11"/>
      </tp>
      <tp t="e">
        <v>#N/A</v>
        <stp/>
        <stp>BDH|7065332397794219565</stp>
        <tr r="T74" s="24"/>
      </tp>
      <tp t="e">
        <v>#N/A</v>
        <stp/>
        <stp>BDH|4879182995914021459</stp>
        <tr r="V10" s="25"/>
        <tr r="V55" s="17"/>
      </tp>
      <tp t="e">
        <v>#N/A</v>
        <stp/>
        <stp>BDH|2003991639174563051</stp>
        <tr r="I63" s="24"/>
      </tp>
      <tp t="e">
        <v>#N/A</v>
        <stp/>
        <stp>BDH|8962905020139819614</stp>
        <tr r="C62" s="24"/>
      </tp>
      <tp t="e">
        <v>#N/A</v>
        <stp/>
        <stp>BDH|3590032065759731049</stp>
        <tr r="T135" s="18"/>
      </tp>
      <tp t="e">
        <v>#N/A</v>
        <stp/>
        <stp>BDH|3751136088610407683</stp>
        <tr r="G57" s="11"/>
        <tr r="G24" s="4"/>
      </tp>
      <tp t="e">
        <v>#N/A</v>
        <stp/>
        <stp>BDH|9407805988736916355</stp>
        <tr r="J49" s="12"/>
      </tp>
      <tp t="e">
        <v>#N/A</v>
        <stp/>
        <stp>BDH|3421163391515285215</stp>
        <tr r="I34" s="17"/>
      </tp>
      <tp t="e">
        <v>#N/A</v>
        <stp/>
        <stp>BDH|6691926435466131601</stp>
        <tr r="Q67" s="17"/>
      </tp>
      <tp t="e">
        <v>#N/A</v>
        <stp/>
        <stp>BDH|5798267483331724256</stp>
        <tr r="O25" s="17"/>
      </tp>
      <tp t="e">
        <v>#N/A</v>
        <stp/>
        <stp>BDH|1556172390086581374</stp>
        <tr r="X14" s="13"/>
      </tp>
      <tp t="e">
        <v>#N/A</v>
        <stp/>
        <stp>BDH|3103773581457387745</stp>
        <tr r="G56" s="17"/>
      </tp>
      <tp t="e">
        <v>#N/A</v>
        <stp/>
        <stp>BDH|6863683791373796665</stp>
        <tr r="S26" s="13"/>
      </tp>
      <tp t="e">
        <v>#N/A</v>
        <stp/>
        <stp>BDH|6453737161272237949</stp>
        <tr r="K90" s="12"/>
      </tp>
      <tp t="e">
        <v>#N/A</v>
        <stp/>
        <stp>BDH|4488576156299314160</stp>
        <tr r="F42" s="26"/>
      </tp>
      <tp t="e">
        <v>#N/A</v>
        <stp/>
        <stp>BDH|1257251344689166229</stp>
        <tr r="N131" s="18"/>
      </tp>
      <tp t="e">
        <v>#N/A</v>
        <stp/>
        <stp>BDH|7481301502850696804</stp>
        <tr r="W6" s="19"/>
        <tr r="W38" s="17"/>
        <tr r="W16" s="3"/>
      </tp>
      <tp t="e">
        <v>#N/A</v>
        <stp/>
        <stp>BDH|1881651049198614725</stp>
        <tr r="L43" s="24"/>
      </tp>
      <tp t="e">
        <v>#N/A</v>
        <stp/>
        <stp>BDH|6684253060718057636</stp>
        <tr r="N22" s="24"/>
      </tp>
      <tp t="e">
        <v>#N/A</v>
        <stp/>
        <stp>BDH|8978395262253362219</stp>
        <tr r="O14" s="23"/>
      </tp>
      <tp t="e">
        <v>#N/A</v>
        <stp/>
        <stp>BDH|3853039181751923637</stp>
        <tr r="H8" s="11"/>
      </tp>
      <tp t="e">
        <v>#N/A</v>
        <stp/>
        <stp>BDH|1780124778068971345</stp>
        <tr r="C28" s="17"/>
      </tp>
      <tp t="e">
        <v>#N/A</v>
        <stp/>
        <stp>BDH|9468141802900312411</stp>
        <tr r="Z53" s="21"/>
      </tp>
      <tp t="e">
        <v>#N/A</v>
        <stp/>
        <stp>BDH|2726327542109315054</stp>
        <tr r="P43" s="21"/>
      </tp>
      <tp t="e">
        <v>#N/A</v>
        <stp/>
        <stp>BDH|3688377694410288562</stp>
        <tr r="C15" s="4"/>
      </tp>
      <tp t="e">
        <v>#N/A</v>
        <stp/>
        <stp>BDH|5238812803575157400</stp>
        <tr r="P17" s="18"/>
      </tp>
      <tp t="e">
        <v>#N/A</v>
        <stp/>
        <stp>BDH|1832848458618156849</stp>
        <tr r="H52" s="18"/>
      </tp>
      <tp t="e">
        <v>#N/A</v>
        <stp/>
        <stp>BDH|9574403625232722165</stp>
        <tr r="I31" s="22"/>
      </tp>
      <tp t="e">
        <v>#N/A</v>
        <stp/>
        <stp>BDH|6345032155839598617</stp>
        <tr r="D75" s="12"/>
      </tp>
      <tp t="e">
        <v>#N/A</v>
        <stp/>
        <stp>BDH|9909288227506052378</stp>
        <tr r="E84" s="18"/>
      </tp>
      <tp t="e">
        <v>#N/A</v>
        <stp/>
        <stp>BDH|1247013653740250836</stp>
        <tr r="K22" s="26"/>
      </tp>
      <tp t="e">
        <v>#N/A</v>
        <stp/>
        <stp>BDH|5824988866687176168</stp>
        <tr r="K29" s="29"/>
        <tr r="K7" s="29"/>
      </tp>
      <tp t="e">
        <v>#N/A</v>
        <stp/>
        <stp>BDH|2436804803413017561</stp>
        <tr r="Y161" s="18"/>
      </tp>
      <tp t="e">
        <v>#N/A</v>
        <stp/>
        <stp>BDH|6694198154728333697</stp>
        <tr r="O15" s="4"/>
      </tp>
      <tp t="e">
        <v>#N/A</v>
        <stp/>
        <stp>BDH|6881835208363493165</stp>
        <tr r="H15" s="11"/>
      </tp>
      <tp t="e">
        <v>#N/A</v>
        <stp/>
        <stp>BDH|1994802866072606189</stp>
        <tr r="S22" s="17"/>
        <tr r="S15" s="3"/>
      </tp>
      <tp t="e">
        <v>#N/A</v>
        <stp/>
        <stp>BDH|7535843925211636033</stp>
        <tr r="Z8" s="13"/>
      </tp>
      <tp t="e">
        <v>#N/A</v>
        <stp/>
        <stp>BDH|4303470065263237924</stp>
        <tr r="M36" s="26"/>
      </tp>
      <tp t="e">
        <v>#N/A</v>
        <stp/>
        <stp>BDH|7674309571459477628</stp>
        <tr r="U11" s="17"/>
      </tp>
      <tp t="e">
        <v>#N/A</v>
        <stp/>
        <stp>BDH|2129112266110523926</stp>
        <tr r="AA9" s="22"/>
      </tp>
      <tp t="e">
        <v>#N/A</v>
        <stp/>
        <stp>BDH|5684275983337285413</stp>
        <tr r="F78" s="18"/>
      </tp>
      <tp t="e">
        <v>#N/A</v>
        <stp/>
        <stp>BDH|8913450954324143183</stp>
        <tr r="X81" s="18"/>
      </tp>
      <tp t="e">
        <v>#N/A</v>
        <stp/>
        <stp>BDH|6630923992789360345</stp>
        <tr r="G44" s="6"/>
      </tp>
      <tp t="e">
        <v>#N/A</v>
        <stp/>
        <stp>BDH|9261260353254456625</stp>
        <tr r="J26" s="6"/>
      </tp>
      <tp t="e">
        <v>#N/A</v>
        <stp/>
        <stp>BDH|6147689125618975648</stp>
        <tr r="S56" s="10"/>
        <tr r="S45" s="11"/>
        <tr r="S16" s="7"/>
      </tp>
      <tp t="e">
        <v>#N/A</v>
        <stp/>
        <stp>BDH|3606216967693932884</stp>
        <tr r="T45" s="11"/>
        <tr r="T56" s="10"/>
        <tr r="T16" s="7"/>
      </tp>
      <tp t="e">
        <v>#N/A</v>
        <stp/>
        <stp>BDH|6047875087449623370</stp>
        <tr r="J76" s="10"/>
        <tr r="J65" s="11"/>
      </tp>
      <tp t="e">
        <v>#N/A</v>
        <stp/>
        <stp>BDH|1122071834586583869</stp>
        <tr r="Q18" s="9"/>
      </tp>
      <tp t="e">
        <v>#N/A</v>
        <stp/>
        <stp>BDH|6743103099585847770</stp>
        <tr r="Z12" s="20"/>
        <tr r="Z117" s="18"/>
      </tp>
      <tp t="e">
        <v>#N/A</v>
        <stp/>
        <stp>BDH|6947486690590157714</stp>
        <tr r="S39" s="12"/>
      </tp>
      <tp t="e">
        <v>#N/A</v>
        <stp/>
        <stp>BDH|5769393388297666518</stp>
        <tr r="U31" s="21"/>
      </tp>
      <tp t="e">
        <v>#N/A</v>
        <stp/>
        <stp>BDH|6617417544673193930</stp>
        <tr r="F79" s="12"/>
      </tp>
      <tp t="e">
        <v>#N/A</v>
        <stp/>
        <stp>BDH|9799674646406021172</stp>
        <tr r="W42" s="26"/>
      </tp>
      <tp t="e">
        <v>#N/A</v>
        <stp/>
        <stp>BDH|9889237427343437696</stp>
        <tr r="R39" s="6"/>
      </tp>
      <tp t="e">
        <v>#N/A</v>
        <stp/>
        <stp>BDH|7730703911829013470</stp>
        <tr r="H65" s="13"/>
      </tp>
      <tp t="e">
        <v>#N/A</v>
        <stp/>
        <stp>BDH|9269381282806820814</stp>
        <tr r="Y73" s="12"/>
      </tp>
      <tp t="e">
        <v>#N/A</v>
        <stp/>
        <stp>BDH|1600865565405411608</stp>
        <tr r="E110" s="18"/>
      </tp>
      <tp t="e">
        <v>#N/A</v>
        <stp/>
        <stp>BDH|5998409178972827880</stp>
        <tr r="L17" s="23"/>
      </tp>
      <tp t="e">
        <v>#N/A</v>
        <stp/>
        <stp>BDH|3863818628126050306</stp>
        <tr r="S17" s="34"/>
      </tp>
      <tp t="e">
        <v>#N/A</v>
        <stp/>
        <stp>BDH|4101723640438433368</stp>
        <tr r="E42" s="34"/>
      </tp>
      <tp t="e">
        <v>#N/A</v>
        <stp/>
        <stp>BDH|3754414286833734066</stp>
        <tr r="H9" s="18"/>
      </tp>
      <tp t="e">
        <v>#N/A</v>
        <stp/>
        <stp>BDH|6905447027204825838</stp>
        <tr r="I11" s="6"/>
      </tp>
      <tp t="e">
        <v>#N/A</v>
        <stp/>
        <stp>BDH|6497244696982334348</stp>
        <tr r="S49" s="17"/>
      </tp>
      <tp t="e">
        <v>#N/A</v>
        <stp/>
        <stp>BDH|1851641418738783225</stp>
        <tr r="G32" s="6"/>
      </tp>
      <tp t="e">
        <v>#N/A</v>
        <stp/>
        <stp>BDH|9780600851296627016</stp>
        <tr r="Y81" s="18"/>
      </tp>
      <tp t="e">
        <v>#N/A</v>
        <stp/>
        <stp>BDH|5083465677179125310</stp>
        <tr r="E66" s="10"/>
      </tp>
      <tp t="e">
        <v>#N/A</v>
        <stp/>
        <stp>BDH|5223773347883129925</stp>
        <tr r="O91" s="18"/>
      </tp>
      <tp t="e">
        <v>#N/A</v>
        <stp/>
        <stp>BDH|1114572197385185416</stp>
        <tr r="T24" s="26"/>
      </tp>
      <tp t="e">
        <v>#N/A</v>
        <stp/>
        <stp>BDH|5454999340642933628</stp>
        <tr r="L31" s="11"/>
        <tr r="L42" s="10"/>
      </tp>
      <tp t="e">
        <v>#N/A</v>
        <stp/>
        <stp>BDH|5750867057484665061</stp>
        <tr r="P19" s="12"/>
      </tp>
      <tp t="e">
        <v>#N/A</v>
        <stp/>
        <stp>BDH|7358440307026057961</stp>
        <tr r="F12" s="26"/>
      </tp>
      <tp t="e">
        <v>#N/A</v>
        <stp/>
        <stp>BDH|3947872663607210691</stp>
        <tr r="D54" s="13"/>
      </tp>
      <tp t="e">
        <v>#N/A</v>
        <stp/>
        <stp>BDH|8363520702068149942</stp>
        <tr r="S35" s="34"/>
      </tp>
      <tp t="e">
        <v>#N/A</v>
        <stp/>
        <stp>BDH|6858790987212547751</stp>
        <tr r="X85" s="18"/>
      </tp>
      <tp t="e">
        <v>#N/A</v>
        <stp/>
        <stp>BDH|4876891197411885888</stp>
        <tr r="X43" s="26"/>
      </tp>
      <tp t="e">
        <v>#N/A</v>
        <stp/>
        <stp>BDH|5371812505061458052</stp>
        <tr r="N13" s="11"/>
      </tp>
      <tp t="e">
        <v>#N/A</v>
        <stp/>
        <stp>BDH|6580147722900332960</stp>
        <tr r="G11" s="29"/>
      </tp>
      <tp t="e">
        <v>#N/A</v>
        <stp/>
        <stp>BDH|3221439327201992895</stp>
        <tr r="U19" s="24"/>
      </tp>
      <tp t="e">
        <v>#N/A</v>
        <stp/>
        <stp>BDH|7824300938452017962</stp>
        <tr r="D16" s="12"/>
      </tp>
      <tp t="e">
        <v>#N/A</v>
        <stp/>
        <stp>BDH|8818506954094941036</stp>
        <tr r="V154" s="18"/>
      </tp>
      <tp t="e">
        <v>#N/A</v>
        <stp/>
        <stp>BDH|1553914905051069573</stp>
        <tr r="C24" s="10"/>
      </tp>
      <tp t="e">
        <v>#N/A</v>
        <stp/>
        <stp>BDH|7070466406979084664</stp>
        <tr r="M78" s="12"/>
      </tp>
      <tp t="e">
        <v>#N/A</v>
        <stp/>
        <stp>BDH|2643771189224708593</stp>
        <tr r="K84" s="12"/>
      </tp>
      <tp t="e">
        <v>#N/A</v>
        <stp/>
        <stp>BDH|7951846158150546660</stp>
        <tr r="U88" s="12"/>
      </tp>
      <tp t="e">
        <v>#N/A</v>
        <stp/>
        <stp>BDH|2028266376439664200</stp>
        <tr r="U15" s="23"/>
        <tr r="S59" s="11"/>
      </tp>
      <tp t="e">
        <v>#N/A</v>
        <stp/>
        <stp>BDH|8632011654685488414</stp>
        <tr r="T57" s="12"/>
      </tp>
      <tp t="e">
        <v>#N/A</v>
        <stp/>
        <stp>BDH|2248494694790067399</stp>
        <tr r="D10" s="13"/>
      </tp>
      <tp t="e">
        <v>#N/A</v>
        <stp/>
        <stp>BDH|7833872889483353838</stp>
        <tr r="G7" s="23"/>
      </tp>
      <tp t="e">
        <v>#N/A</v>
        <stp/>
        <stp>BDH|7148291668889617604</stp>
        <tr r="M10" s="14"/>
      </tp>
      <tp t="e">
        <v>#N/A</v>
        <stp/>
        <stp>BDH|4666055255385596852</stp>
        <tr r="L45" s="18"/>
      </tp>
      <tp t="e">
        <v>#N/A</v>
        <stp/>
        <stp>BDH|8798303743572323116</stp>
        <tr r="E23" s="17"/>
      </tp>
      <tp t="e">
        <v>#N/A</v>
        <stp/>
        <stp>BDH|6560639821648206633</stp>
        <tr r="J33" s="22"/>
      </tp>
      <tp t="e">
        <v>#N/A</v>
        <stp/>
        <stp>BDH|6270117251768732639</stp>
        <tr r="L63" s="11"/>
        <tr r="L74" s="10"/>
      </tp>
      <tp t="e">
        <v>#N/A</v>
        <stp/>
        <stp>BDH|4404202356879238664</stp>
        <tr r="U19" s="34"/>
      </tp>
      <tp t="e">
        <v>#N/A</v>
        <stp/>
        <stp>BDH|2156884155974364792</stp>
        <tr r="S45" s="24"/>
      </tp>
      <tp t="e">
        <v>#N/A</v>
        <stp/>
        <stp>BDH|2934807079250628108</stp>
        <tr r="Y70" s="12"/>
      </tp>
      <tp t="e">
        <v>#N/A</v>
        <stp/>
        <stp>BDH|3504968789149901756</stp>
        <tr r="D15" s="14"/>
      </tp>
      <tp t="e">
        <v>#N/A</v>
        <stp/>
        <stp>BDH|8328977986006297363</stp>
        <tr r="V70" s="10"/>
      </tp>
      <tp t="e">
        <v>#N/A</v>
        <stp/>
        <stp>BDH|8497616182352965885</stp>
        <tr r="D91" s="18"/>
      </tp>
      <tp t="e">
        <v>#N/A</v>
        <stp/>
        <stp>BDH|8458114035893536535</stp>
        <tr r="V6" s="6"/>
      </tp>
      <tp t="e">
        <v>#N/A</v>
        <stp/>
        <stp>BDH|6590438614908747733</stp>
        <tr r="G53" s="18"/>
      </tp>
      <tp t="e">
        <v>#N/A</v>
        <stp/>
        <stp>BDH|2185845513113943497</stp>
        <tr r="AA62" s="12"/>
      </tp>
      <tp t="e">
        <v>#N/A</v>
        <stp/>
        <stp>BDH|4475450404859187528</stp>
        <tr r="Y21" s="17"/>
      </tp>
      <tp t="e">
        <v>#N/A</v>
        <stp/>
        <stp>BDH|9842428139221602330</stp>
        <tr r="N39" s="26"/>
      </tp>
      <tp t="e">
        <v>#N/A</v>
        <stp/>
        <stp>BDH|8953665185953868941</stp>
        <tr r="T56" s="12"/>
      </tp>
      <tp t="e">
        <v>#N/A</v>
        <stp/>
        <stp>BDH|5049715500969142762</stp>
        <tr r="L128" s="18"/>
      </tp>
      <tp t="e">
        <v>#N/A</v>
        <stp/>
        <stp>BDH|3723758413049039077</stp>
        <tr r="Z110" s="18"/>
      </tp>
      <tp t="e">
        <v>#N/A</v>
        <stp/>
        <stp>BDH|9583928762202116832</stp>
        <tr r="M19" s="11"/>
      </tp>
      <tp t="e">
        <v>#N/A</v>
        <stp/>
        <stp>BDH|8632936361242756943</stp>
        <tr r="V88" s="18"/>
      </tp>
      <tp t="e">
        <v>#N/A</v>
        <stp/>
        <stp>BDH|8200199853415651599</stp>
        <tr r="S34" s="26"/>
      </tp>
      <tp t="e">
        <v>#N/A</v>
        <stp/>
        <stp>BDH|1520927777367067470</stp>
        <tr r="I72" s="18"/>
      </tp>
      <tp t="e">
        <v>#N/A</v>
        <stp/>
        <stp>BDH|2555557212498173241</stp>
        <tr r="Z65" s="17"/>
      </tp>
      <tp t="e">
        <v>#N/A</v>
        <stp/>
        <stp>BDH|8221169943713351239</stp>
        <tr r="W43" s="11"/>
        <tr r="W54" s="10"/>
        <tr r="Y9" s="3"/>
        <tr r="W14" s="7"/>
      </tp>
      <tp t="e">
        <v>#N/A</v>
        <stp/>
        <stp>BDH|6712105574634066847</stp>
        <tr r="M65" s="11"/>
        <tr r="M76" s="10"/>
      </tp>
      <tp t="e">
        <v>#N/A</v>
        <stp/>
        <stp>BDH|8966965427409608694</stp>
        <tr r="Q65" s="18"/>
      </tp>
      <tp t="e">
        <v>#N/A</v>
        <stp/>
        <stp>BDH|9268186364570108287</stp>
        <tr r="O31" s="9"/>
      </tp>
      <tp t="e">
        <v>#N/A</v>
        <stp/>
        <stp>BDH|5244802763413642404</stp>
        <tr r="I12" s="7"/>
      </tp>
      <tp t="e">
        <v>#N/A</v>
        <stp/>
        <stp>BDH|9971443333721872316</stp>
        <tr r="T8" s="21"/>
      </tp>
      <tp t="e">
        <v>#N/A</v>
        <stp/>
        <stp>BDH|6063012214209167235</stp>
        <tr r="G10" s="34"/>
      </tp>
      <tp t="e">
        <v>#N/A</v>
        <stp/>
        <stp>BDH|6795469519037735886</stp>
        <tr r="F58" s="24"/>
      </tp>
      <tp t="e">
        <v>#N/A</v>
        <stp/>
        <stp>BDH|9500632360504262134</stp>
        <tr r="U28" s="6"/>
      </tp>
      <tp t="e">
        <v>#N/A</v>
        <stp/>
        <stp>BDH|1068036194533896789</stp>
        <tr r="G30" s="21"/>
      </tp>
      <tp t="e">
        <v>#N/A</v>
        <stp/>
        <stp>BDH|1404018994503205749</stp>
        <tr r="W6" s="27"/>
      </tp>
      <tp t="e">
        <v>#N/A</v>
        <stp/>
        <stp>BDH|2888074491530947709</stp>
        <tr r="Y24" s="20"/>
      </tp>
      <tp t="e">
        <v>#N/A</v>
        <stp/>
        <stp>BDH|1002731347128706647</stp>
        <tr r="F19" s="9"/>
      </tp>
      <tp t="e">
        <v>#N/A</v>
        <stp/>
        <stp>BDH|9483706824991787108</stp>
        <tr r="D21" s="6"/>
      </tp>
      <tp t="e">
        <v>#N/A</v>
        <stp/>
        <stp>BDH|6759636218569807431</stp>
        <tr r="AA23" s="25"/>
      </tp>
      <tp t="e">
        <v>#N/A</v>
        <stp/>
        <stp>BDH|7393203080814475503</stp>
        <tr r="G19" s="6"/>
      </tp>
      <tp t="e">
        <v>#N/A</v>
        <stp/>
        <stp>BDH|3718671310620701800</stp>
        <tr r="Y166" s="18"/>
      </tp>
      <tp t="e">
        <v>#N/A</v>
        <stp/>
        <stp>BDH|5536176885320479048</stp>
        <tr r="R9" s="29"/>
      </tp>
      <tp t="e">
        <v>#N/A</v>
        <stp/>
        <stp>BDH|7990975804062459090</stp>
        <tr r="E88" s="18"/>
      </tp>
      <tp t="e">
        <v>#N/A</v>
        <stp/>
        <stp>BDH|8990088834965595278</stp>
        <tr r="J14" s="34"/>
      </tp>
      <tp t="e">
        <v>#N/A</v>
        <stp/>
        <stp>BDH|2341961168503899221</stp>
        <tr r="AA22" s="24"/>
      </tp>
      <tp t="e">
        <v>#N/A</v>
        <stp/>
        <stp>BDH|3859869050683024193</stp>
        <tr r="L45" s="12"/>
      </tp>
      <tp t="e">
        <v>#N/A</v>
        <stp/>
        <stp>BDH|8892086560771229351</stp>
        <tr r="I39" s="21"/>
      </tp>
      <tp t="e">
        <v>#N/A</v>
        <stp/>
        <stp>BDH|1839634888724129759</stp>
        <tr r="E8" s="23"/>
      </tp>
      <tp t="e">
        <v>#N/A</v>
        <stp/>
        <stp>BDH|4089963143583524676</stp>
        <tr r="W17" s="20"/>
      </tp>
      <tp t="e">
        <v>#N/A</v>
        <stp/>
        <stp>BDH|4817832655177993201</stp>
        <tr r="D73" s="13"/>
      </tp>
      <tp t="e">
        <v>#N/A</v>
        <stp/>
        <stp>BDH|9703828717688146440</stp>
        <tr r="G127" s="18"/>
      </tp>
      <tp t="e">
        <v>#N/A</v>
        <stp/>
        <stp>BDH|8016472230591292222</stp>
        <tr r="O10" s="18"/>
      </tp>
      <tp t="e">
        <v>#N/A</v>
        <stp/>
        <stp>BDH|9617054872350698203</stp>
        <tr r="K26" s="6"/>
      </tp>
      <tp t="e">
        <v>#N/A</v>
        <stp/>
        <stp>BDH|4371235022290347868</stp>
        <tr r="G57" s="13"/>
        <tr r="E38" s="11"/>
        <tr r="E49" s="10"/>
        <tr r="E53" s="4"/>
        <tr r="E18" s="2"/>
      </tp>
      <tp t="e">
        <v>#N/A</v>
        <stp/>
        <stp>BDH|9831181096078079519</stp>
        <tr r="X48" s="12"/>
      </tp>
      <tp t="e">
        <v>#N/A</v>
        <stp/>
        <stp>BDH|1582414005051666805</stp>
        <tr r="V24" s="20"/>
      </tp>
      <tp t="e">
        <v>#N/A</v>
        <stp/>
        <stp>BDH|8307711007481780252</stp>
        <tr r="V81" s="12"/>
      </tp>
      <tp t="e">
        <v>#N/A</v>
        <stp/>
        <stp>BDH|6350633712894123942</stp>
        <tr r="X14" s="11"/>
      </tp>
      <tp t="e">
        <v>#N/A</v>
        <stp/>
        <stp>BDH|4734679150392777900</stp>
        <tr r="Y7" s="21"/>
      </tp>
      <tp t="e">
        <v>#N/A</v>
        <stp/>
        <stp>BDH|4564793339539099518</stp>
        <tr r="M8" s="22"/>
      </tp>
      <tp t="e">
        <v>#N/A</v>
        <stp/>
        <stp>BDH|3707270346091166837</stp>
        <tr r="R57" s="13"/>
        <tr r="P38" s="11"/>
        <tr r="P49" s="10"/>
        <tr r="P53" s="4"/>
        <tr r="P18" s="2"/>
      </tp>
      <tp t="e">
        <v>#N/A</v>
        <stp/>
        <stp>BDH|1142480547504991938</stp>
        <tr r="R76" s="17"/>
      </tp>
      <tp t="e">
        <v>#N/A</v>
        <stp/>
        <stp>BDH|4737015305398648013</stp>
        <tr r="V91" s="17"/>
      </tp>
      <tp t="e">
        <v>#N/A</v>
        <stp/>
        <stp>BDH|5412050536849796342</stp>
        <tr r="U166" s="18"/>
      </tp>
      <tp t="e">
        <v>#N/A</v>
        <stp/>
        <stp>BDH|4853386294924715679</stp>
        <tr r="P63" s="17"/>
      </tp>
      <tp t="e">
        <v>#N/A</v>
        <stp/>
        <stp>BDH|4732037282633154335</stp>
        <tr r="G94" s="18"/>
      </tp>
      <tp t="e">
        <v>#N/A</v>
        <stp/>
        <stp>BDH|9724427105452431300</stp>
        <tr r="AA109" s="18"/>
      </tp>
      <tp t="e">
        <v>#N/A</v>
        <stp/>
        <stp>BDH|3150857155534059650</stp>
        <tr r="H22" s="24"/>
      </tp>
      <tp t="e">
        <v>#N/A</v>
        <stp/>
        <stp>BDH|8731471654976780376</stp>
        <tr r="Y62" s="24"/>
      </tp>
      <tp t="e">
        <v>#N/A</v>
        <stp/>
        <stp>BDH|7050926368775801160</stp>
        <tr r="P8" s="26"/>
        <tr r="M10" s="9"/>
      </tp>
      <tp t="e">
        <v>#N/A</v>
        <stp/>
        <stp>BDH|5577946516727511663</stp>
        <tr r="J24" s="24"/>
      </tp>
      <tp t="e">
        <v>#N/A</v>
        <stp/>
        <stp>BDH|6921358612910325895</stp>
        <tr r="O23" s="25"/>
      </tp>
      <tp t="e">
        <v>#N/A</v>
        <stp/>
        <stp>BDH|5832766872791938816</stp>
        <tr r="F23" s="6"/>
      </tp>
      <tp t="e">
        <v>#N/A</v>
        <stp/>
        <stp>BDH|5439750376890697954</stp>
        <tr r="C43" s="6"/>
      </tp>
      <tp t="e">
        <v>#N/A</v>
        <stp/>
        <stp>BDH|4634836423543062120</stp>
        <tr r="X27" s="26"/>
      </tp>
      <tp t="e">
        <v>#N/A</v>
        <stp/>
        <stp>BDH|1960435209439002071</stp>
        <tr r="F105" s="18"/>
      </tp>
      <tp t="e">
        <v>#N/A</v>
        <stp/>
        <stp>BDH|7447673126699734664</stp>
        <tr r="T39" s="26"/>
      </tp>
      <tp t="e">
        <v>#N/A</v>
        <stp/>
        <stp>BDH|5127583245009885100</stp>
        <tr r="K13" s="26"/>
      </tp>
      <tp t="e">
        <v>#N/A</v>
        <stp/>
        <stp>BDH|2191003443162000862</stp>
        <tr r="G43" s="34"/>
      </tp>
      <tp t="e">
        <v>#N/A</v>
        <stp/>
        <stp>BDH|1249745885812205051</stp>
        <tr r="E174" s="18"/>
      </tp>
      <tp t="e">
        <v>#N/A</v>
        <stp/>
        <stp>BDH|8498017612580368505</stp>
        <tr r="L70" s="18"/>
      </tp>
      <tp t="e">
        <v>#N/A</v>
        <stp/>
        <stp>BDH|2378139190636555015</stp>
        <tr r="U64" s="11"/>
        <tr r="U75" s="10"/>
      </tp>
      <tp t="e">
        <v>#N/A</v>
        <stp/>
        <stp>BDH|4032257885442011049</stp>
        <tr r="Q8" s="6"/>
      </tp>
      <tp t="e">
        <v>#N/A</v>
        <stp/>
        <stp>BDH|2864813975223965219</stp>
        <tr r="P168" s="18"/>
      </tp>
      <tp t="e">
        <v>#N/A</v>
        <stp/>
        <stp>BDH|8667467439345593680</stp>
        <tr r="Z54" s="17"/>
        <tr r="Z17" s="3"/>
      </tp>
      <tp t="e">
        <v>#N/A</v>
        <stp/>
        <stp>BDH|1012889877352996028</stp>
        <tr r="E171" s="18"/>
      </tp>
      <tp t="e">
        <v>#N/A</v>
        <stp/>
        <stp>BDH|4101896643286774289</stp>
        <tr r="C49" s="22"/>
      </tp>
      <tp t="e">
        <v>#N/A</v>
        <stp/>
        <stp>BDH|2416289787521814571</stp>
        <tr r="O71" s="17"/>
      </tp>
      <tp t="e">
        <v>#N/A</v>
        <stp/>
        <stp>BDH|6394105817462352830</stp>
        <tr r="F15" s="30"/>
      </tp>
      <tp t="e">
        <v>#N/A</v>
        <stp/>
        <stp>BDH|3494974785207169934</stp>
        <tr r="P8" s="6"/>
      </tp>
      <tp t="e">
        <v>#N/A</v>
        <stp/>
        <stp>BDH|4319943089330854928</stp>
        <tr r="D17" s="28"/>
        <tr r="D14" s="17"/>
      </tp>
      <tp t="e">
        <v>#N/A</v>
        <stp/>
        <stp>BDH|8160438166063029500</stp>
        <tr r="AA172" s="18"/>
      </tp>
      <tp t="e">
        <v>#N/A</v>
        <stp/>
        <stp>BDH|9379032110844697028</stp>
        <tr r="AA18" s="22"/>
      </tp>
      <tp t="e">
        <v>#N/A</v>
        <stp/>
        <stp>BDH|2629335913675361918</stp>
        <tr r="C10" s="28"/>
      </tp>
      <tp t="e">
        <v>#N/A</v>
        <stp/>
        <stp>BDH|7620520481360864698</stp>
        <tr r="F83" s="18"/>
      </tp>
      <tp t="e">
        <v>#N/A</v>
        <stp/>
        <stp>BDH|4268736444372582944</stp>
        <tr r="L60" s="17"/>
      </tp>
      <tp t="e">
        <v>#N/A</v>
        <stp/>
        <stp>BDH|6603118191045772751</stp>
        <tr r="D29" s="24"/>
      </tp>
      <tp t="e">
        <v>#N/A</v>
        <stp/>
        <stp>BDH|5887463828748205702</stp>
        <tr r="I172" s="18"/>
      </tp>
      <tp t="e">
        <v>#N/A</v>
        <stp/>
        <stp>BDH|5448748790705450200</stp>
        <tr r="J10" s="18"/>
      </tp>
      <tp t="e">
        <v>#N/A</v>
        <stp/>
        <stp>BDH|5091909533962249153</stp>
        <tr r="J50" s="4"/>
      </tp>
      <tp t="e">
        <v>#N/A</v>
        <stp/>
        <stp>BDH|7912420369618765100</stp>
        <tr r="N26" s="29"/>
      </tp>
      <tp t="e">
        <v>#N/A</v>
        <stp/>
        <stp>BDH|2605042143813287963</stp>
        <tr r="U31" s="11"/>
        <tr r="U42" s="10"/>
      </tp>
      <tp t="e">
        <v>#N/A</v>
        <stp/>
        <stp>BDH|6286793895157938328</stp>
        <tr r="Z44" s="13"/>
        <tr r="X36" s="11"/>
        <tr r="X47" s="10"/>
        <tr r="X52" s="4"/>
        <tr r="Z8" s="3"/>
      </tp>
      <tp t="e">
        <v>#N/A</v>
        <stp/>
        <stp>BDH|8460039825870136665</stp>
        <tr r="F24" s="12"/>
      </tp>
      <tp t="e">
        <v>#N/A</v>
        <stp/>
        <stp>BDH|3066222495567493368</stp>
        <tr r="W36" s="26"/>
      </tp>
      <tp t="e">
        <v>#N/A</v>
        <stp/>
        <stp>BDH|8352720587859543269</stp>
        <tr r="AA7" s="28"/>
      </tp>
      <tp t="e">
        <v>#N/A</v>
        <stp/>
        <stp>BDH|3370584480657653580</stp>
        <tr r="E15" s="13"/>
      </tp>
      <tp t="e">
        <v>#N/A</v>
        <stp/>
        <stp>BDH|6670845061551026565</stp>
        <tr r="I24" s="5"/>
      </tp>
      <tp t="e">
        <v>#N/A</v>
        <stp/>
        <stp>BDH|6149527597652875492</stp>
        <tr r="X17" s="21"/>
        <tr r="V23" s="2"/>
        <tr r="X23" s="3"/>
      </tp>
      <tp t="e">
        <v>#N/A</v>
        <stp/>
        <stp>BDH|2799671471928741735</stp>
        <tr r="Z63" s="17"/>
      </tp>
      <tp t="e">
        <v>#N/A</v>
        <stp/>
        <stp>BDH|1069761386052543000</stp>
        <tr r="Y38" s="24"/>
      </tp>
      <tp t="e">
        <v>#N/A</v>
        <stp/>
        <stp>BDH|7816565917747905850</stp>
        <tr r="AA34" s="17"/>
      </tp>
      <tp t="e">
        <v>#N/A</v>
        <stp/>
        <stp>BDH|6680616943200376828</stp>
        <tr r="Q20" s="10"/>
      </tp>
      <tp t="e">
        <v>#N/A</v>
        <stp/>
        <stp>BDH|3765700000420139833</stp>
        <tr r="R46" s="24"/>
      </tp>
      <tp t="e">
        <v>#N/A</v>
        <stp/>
        <stp>BDH|5134060910781681949</stp>
        <tr r="R46" s="21"/>
      </tp>
      <tp t="e">
        <v>#N/A</v>
        <stp/>
        <stp>BDH|4543750567241135830</stp>
        <tr r="P16" s="23"/>
      </tp>
      <tp t="e">
        <v>#N/A</v>
        <stp/>
        <stp>BDH|8460092927537969163</stp>
        <tr r="W54" s="17"/>
        <tr r="W17" s="3"/>
      </tp>
      <tp t="e">
        <v>#N/A</v>
        <stp/>
        <stp>BDH|7568860521556047773</stp>
        <tr r="Z55" s="21"/>
      </tp>
      <tp t="e">
        <v>#N/A</v>
        <stp/>
        <stp>BDH|2429387939799751773</stp>
        <tr r="H8" s="24"/>
      </tp>
      <tp t="e">
        <v>#N/A</v>
        <stp/>
        <stp>BDH|3838822191277739997</stp>
        <tr r="Y57" s="18"/>
      </tp>
      <tp t="e">
        <v>#N/A</v>
        <stp/>
        <stp>BDH|9265796809694545625</stp>
        <tr r="X14" s="20"/>
        <tr r="X119" s="18"/>
      </tp>
      <tp t="e">
        <v>#N/A</v>
        <stp/>
        <stp>BDH|5039306372568349542</stp>
        <tr r="F85" s="12"/>
      </tp>
      <tp t="e">
        <v>#N/A</v>
        <stp/>
        <stp>BDH|2003328324887448872</stp>
        <tr r="S20" s="23"/>
      </tp>
      <tp t="e">
        <v>#N/A</v>
        <stp/>
        <stp>BDH|6130702528648831742</stp>
        <tr r="W37" s="10"/>
        <tr r="W26" s="11"/>
      </tp>
      <tp t="e">
        <v>#N/A</v>
        <stp/>
        <stp>BDH|8884903007928824526</stp>
        <tr r="P12" s="26"/>
      </tp>
      <tp t="e">
        <v>#N/A</v>
        <stp/>
        <stp>BDH|4436087761476119897</stp>
        <tr r="H23" s="20"/>
      </tp>
      <tp t="e">
        <v>#N/A</v>
        <stp/>
        <stp>BDH|2363188328125176871</stp>
        <tr r="K41" s="6"/>
        <tr r="K18" s="5"/>
      </tp>
      <tp t="e">
        <v>#N/A</v>
        <stp/>
        <stp>BDH|7116869576197098349</stp>
        <tr r="M33" s="6"/>
      </tp>
      <tp t="e">
        <v>#N/A</v>
        <stp/>
        <stp>BDH|3855036408596576938</stp>
        <tr r="F26" s="17"/>
      </tp>
      <tp t="e">
        <v>#N/A</v>
        <stp/>
        <stp>BDH|9442369725934642048</stp>
        <tr r="T14" s="23"/>
      </tp>
      <tp t="e">
        <v>#N/A</v>
        <stp/>
        <stp>BDH|9483303282186514863</stp>
        <tr r="W36" s="13"/>
        <tr r="U29" s="10"/>
      </tp>
      <tp t="e">
        <v>#N/A</v>
        <stp/>
        <stp>BDH|8142578758642328680</stp>
        <tr r="N39" s="21"/>
      </tp>
      <tp t="e">
        <v>#N/A</v>
        <stp/>
        <stp>BDH|5497405181656117310</stp>
        <tr r="P8" s="18"/>
      </tp>
      <tp t="e">
        <v>#N/A</v>
        <stp/>
        <stp>BDH|3202828926764008134</stp>
        <tr r="C27" s="12"/>
      </tp>
      <tp t="e">
        <v>#N/A</v>
        <stp/>
        <stp>BDH|5194002881489010854</stp>
        <tr r="H32" s="12"/>
      </tp>
      <tp t="e">
        <v>#N/A</v>
        <stp/>
        <stp>BDH|6880199626640297904</stp>
        <tr r="K70" s="18"/>
      </tp>
      <tp t="e">
        <v>#N/A</v>
        <stp/>
        <stp>BDH|2941088219397417894</stp>
        <tr r="J16" s="20"/>
      </tp>
      <tp t="e">
        <v>#N/A</v>
        <stp/>
        <stp>BDH|4142327925961485878</stp>
        <tr r="N12" s="10"/>
      </tp>
      <tp t="e">
        <v>#N/A</v>
        <stp/>
        <stp>BDH|6173775406008388567</stp>
        <tr r="T83" s="12"/>
      </tp>
      <tp t="e">
        <v>#N/A</v>
        <stp/>
        <stp>BDH|3295078484825039247</stp>
        <tr r="E41" s="17"/>
      </tp>
      <tp t="e">
        <v>#N/A</v>
        <stp/>
        <stp>BDH|8495383527376635386</stp>
        <tr r="V153" s="18"/>
      </tp>
      <tp t="e">
        <v>#N/A</v>
        <stp/>
        <stp>BDH|3190844516161210741</stp>
        <tr r="L56" s="24"/>
      </tp>
      <tp t="e">
        <v>#N/A</v>
        <stp/>
        <stp>BDH|9371050706930046556</stp>
        <tr r="F8" s="17"/>
      </tp>
      <tp t="e">
        <v>#N/A</v>
        <stp/>
        <stp>BDH|6313902418510898263</stp>
        <tr r="H15" s="5"/>
      </tp>
      <tp t="e">
        <v>#N/A</v>
        <stp/>
        <stp>BDH|9522924792922404740</stp>
        <tr r="T49" s="4"/>
      </tp>
      <tp t="e">
        <v>#N/A</v>
        <stp/>
        <stp>BDH|9022238002434379376</stp>
        <tr r="F35" s="18"/>
      </tp>
      <tp t="e">
        <v>#N/A</v>
        <stp/>
        <stp>BDH|15703030284057163</stp>
        <tr r="P69" s="12"/>
      </tp>
      <tp t="e">
        <v>#N/A</v>
        <stp/>
        <stp>BDH|10567269783119180</stp>
        <tr r="J73" s="17"/>
      </tp>
      <tp t="e">
        <v>#N/A</v>
        <stp/>
        <stp>BDH|41461390604201800</stp>
        <tr r="AA39" s="25"/>
      </tp>
      <tp t="e">
        <v>#N/A</v>
        <stp/>
        <stp>BDH|66073386900452906</stp>
        <tr r="C73" s="18"/>
      </tp>
      <tp t="e">
        <v>#N/A</v>
        <stp/>
        <stp>BDH|78076164065669265</stp>
        <tr r="Q28" s="9"/>
        <tr r="Q30" s="5"/>
      </tp>
      <tp t="e">
        <v>#N/A</v>
        <stp/>
        <stp>BDH|38076009405701479</stp>
        <tr r="T10" s="28"/>
      </tp>
      <tp t="e">
        <v>#N/A</v>
        <stp/>
        <stp>BDH|10818958314375879</stp>
        <tr r="T45" s="21"/>
      </tp>
      <tp t="e">
        <v>#N/A</v>
        <stp/>
        <stp>BDH|79788060946471642</stp>
        <tr r="W167" s="18"/>
      </tp>
      <tp t="e">
        <v>#N/A</v>
        <stp/>
        <stp>BDH|13218765705914042</stp>
        <tr r="D52" s="18"/>
      </tp>
      <tp t="e">
        <v>#N/A</v>
        <stp/>
        <stp>BDH|7438958275937719392</stp>
        <tr r="Y12" s="21"/>
      </tp>
      <tp t="e">
        <v>#N/A</v>
        <stp/>
        <stp>BDH|1974251904616521873</stp>
        <tr r="K30" s="18"/>
      </tp>
      <tp t="e">
        <v>#N/A</v>
        <stp/>
        <stp>BDH|4498885060746321158</stp>
        <tr r="Y53" s="17"/>
      </tp>
      <tp t="e">
        <v>#N/A</v>
        <stp/>
        <stp>BDH|6554273347669627492</stp>
        <tr r="S26" s="21"/>
      </tp>
      <tp t="e">
        <v>#N/A</v>
        <stp/>
        <stp>BDH|5833394688635475676</stp>
        <tr r="G121" s="18"/>
      </tp>
      <tp t="e">
        <v>#N/A</v>
        <stp/>
        <stp>BDH|5800293985940785292</stp>
        <tr r="S37" s="34"/>
      </tp>
      <tp t="e">
        <v>#N/A</v>
        <stp/>
        <stp>BDH|4853626590591775772</stp>
        <tr r="D11" s="18"/>
      </tp>
      <tp t="e">
        <v>#N/A</v>
        <stp/>
        <stp>BDH|5737347956429966765</stp>
        <tr r="H11" s="9"/>
      </tp>
      <tp t="e">
        <v>#N/A</v>
        <stp/>
        <stp>BDH|7131695802415805980</stp>
        <tr r="W17" s="13"/>
      </tp>
      <tp t="e">
        <v>#N/A</v>
        <stp/>
        <stp>BDH|5978614153622372920</stp>
        <tr r="F15" s="23"/>
        <tr r="D59" s="11"/>
      </tp>
      <tp t="e">
        <v>#N/A</v>
        <stp/>
        <stp>BDH|9357039671135968629</stp>
        <tr r="O46" s="17"/>
      </tp>
      <tp t="e">
        <v>#N/A</v>
        <stp/>
        <stp>BDH|3266112132549273593</stp>
        <tr r="T41" s="29"/>
        <tr r="T18" s="29"/>
      </tp>
      <tp t="e">
        <v>#N/A</v>
        <stp/>
        <stp>BDH|4356367605653226983</stp>
        <tr r="F63" s="13"/>
        <tr r="D49" s="11"/>
        <tr r="D60" s="10"/>
        <tr r="D18" s="7"/>
      </tp>
      <tp t="e">
        <v>#N/A</v>
        <stp/>
        <stp>BDH|5853700703056842994</stp>
        <tr r="H9" s="28"/>
      </tp>
      <tp t="e">
        <v>#N/A</v>
        <stp/>
        <stp>BDH|1921642240459018770</stp>
        <tr r="H22" s="26"/>
      </tp>
      <tp t="e">
        <v>#N/A</v>
        <stp/>
        <stp>BDH|7325519940358081385</stp>
        <tr r="K15" s="34"/>
      </tp>
      <tp t="e">
        <v>#N/A</v>
        <stp/>
        <stp>BDH|2466114831418848566</stp>
        <tr r="X36" s="4"/>
      </tp>
      <tp t="e">
        <v>#N/A</v>
        <stp/>
        <stp>BDH|4672054763608294788</stp>
        <tr r="Y13" s="29"/>
        <tr r="Y22" s="29"/>
        <tr r="Y36" s="29"/>
      </tp>
      <tp t="e">
        <v>#N/A</v>
        <stp/>
        <stp>BDH|4021060897789378986</stp>
        <tr r="E15" s="24"/>
      </tp>
      <tp t="e">
        <v>#N/A</v>
        <stp/>
        <stp>BDH|8349375068514038460</stp>
        <tr r="J31" s="11"/>
        <tr r="J42" s="10"/>
      </tp>
      <tp t="e">
        <v>#N/A</v>
        <stp/>
        <stp>BDH|8745045163667899429</stp>
        <tr r="Z154" s="18"/>
      </tp>
      <tp t="e">
        <v>#N/A</v>
        <stp/>
        <stp>BDH|6606514192816937169</stp>
        <tr r="J38" s="12"/>
      </tp>
      <tp t="e">
        <v>#N/A</v>
        <stp/>
        <stp>BDH|5819388365215621890</stp>
        <tr r="X28" s="9"/>
        <tr r="X30" s="5"/>
      </tp>
      <tp t="e">
        <v>#N/A</v>
        <stp/>
        <stp>BDH|1348326067911436880</stp>
        <tr r="V45" s="22"/>
      </tp>
      <tp t="e">
        <v>#N/A</v>
        <stp/>
        <stp>BDH|4590830810190538093</stp>
        <tr r="V7" s="4"/>
      </tp>
      <tp t="e">
        <v>#N/A</v>
        <stp/>
        <stp>BDH|2699256899352340633</stp>
        <tr r="S164" s="18"/>
      </tp>
      <tp t="e">
        <v>#N/A</v>
        <stp/>
        <stp>BDH|2997561945596157813</stp>
        <tr r="U47" s="24"/>
      </tp>
      <tp t="e">
        <v>#N/A</v>
        <stp/>
        <stp>BDH|9216953382614888176</stp>
        <tr r="M146" s="18"/>
      </tp>
      <tp t="e">
        <v>#N/A</v>
        <stp/>
        <stp>BDH|5878165081253434219</stp>
        <tr r="U19" s="11"/>
      </tp>
      <tp t="e">
        <v>#N/A</v>
        <stp/>
        <stp>BDH|6345167243908423685</stp>
        <tr r="V34" s="17"/>
      </tp>
      <tp t="e">
        <v>#N/A</v>
        <stp/>
        <stp>BDH|5522094285315216519</stp>
        <tr r="K53" s="17"/>
      </tp>
      <tp t="e">
        <v>#N/A</v>
        <stp/>
        <stp>BDH|1854026637748294750</stp>
        <tr r="S22" s="27"/>
      </tp>
      <tp t="e">
        <v>#N/A</v>
        <stp/>
        <stp>BDH|9881505449101341484</stp>
        <tr r="S66" s="17"/>
      </tp>
      <tp t="e">
        <v>#N/A</v>
        <stp/>
        <stp>BDH|9309054072901706291</stp>
        <tr r="U143" s="18"/>
      </tp>
      <tp t="e">
        <v>#N/A</v>
        <stp/>
        <stp>BDH|9888966163949419239</stp>
        <tr r="I44" s="12"/>
      </tp>
      <tp t="e">
        <v>#N/A</v>
        <stp/>
        <stp>BDH|1879337811656015808</stp>
        <tr r="F23" s="22"/>
      </tp>
      <tp t="e">
        <v>#N/A</v>
        <stp/>
        <stp>BDH|3649805072523996273</stp>
        <tr r="T24" s="21"/>
      </tp>
      <tp t="e">
        <v>#N/A</v>
        <stp/>
        <stp>BDH|5791419985433081792</stp>
        <tr r="G37" s="34"/>
      </tp>
      <tp t="e">
        <v>#N/A</v>
        <stp/>
        <stp>BDH|3827245343761262967</stp>
        <tr r="C20" s="12"/>
      </tp>
      <tp t="e">
        <v>#N/A</v>
        <stp/>
        <stp>BDH|4385816038733396120</stp>
        <tr r="O64" s="17"/>
      </tp>
      <tp t="e">
        <v>#N/A</v>
        <stp/>
        <stp>BDH|3551139528628587502</stp>
        <tr r="U125" s="18"/>
      </tp>
      <tp t="e">
        <v>#N/A</v>
        <stp/>
        <stp>BDH|6134715991603842624</stp>
        <tr r="I8" s="14"/>
      </tp>
      <tp t="e">
        <v>#N/A</v>
        <stp/>
        <stp>BDH|3728983706502707554</stp>
        <tr r="J34" s="21"/>
      </tp>
      <tp t="e">
        <v>#N/A</v>
        <stp/>
        <stp>BDH|6367572792293543482</stp>
        <tr r="R41" s="22"/>
      </tp>
      <tp t="e">
        <v>#N/A</v>
        <stp/>
        <stp>BDH|4494263283475286685</stp>
        <tr r="X19" s="10"/>
      </tp>
      <tp t="e">
        <v>#N/A</v>
        <stp/>
        <stp>BDH|3085994364063389257</stp>
        <tr r="E61" s="24"/>
      </tp>
      <tp t="e">
        <v>#N/A</v>
        <stp/>
        <stp>BDH|1672866645144673485</stp>
        <tr r="P166" s="18"/>
      </tp>
      <tp t="e">
        <v>#N/A</v>
        <stp/>
        <stp>BDH|9865417905703612315</stp>
        <tr r="K39" s="13"/>
        <tr r="I32" s="10"/>
      </tp>
      <tp t="e">
        <v>#N/A</v>
        <stp/>
        <stp>BDH|5401066596123929267</stp>
        <tr r="U71" s="17"/>
      </tp>
      <tp t="e">
        <v>#N/A</v>
        <stp/>
        <stp>BDH|6659914172155617083</stp>
        <tr r="X53" s="21"/>
      </tp>
      <tp t="e">
        <v>#N/A</v>
        <stp/>
        <stp>BDH|9472123624174868311</stp>
        <tr r="Y22" s="25"/>
      </tp>
      <tp t="e">
        <v>#N/A</v>
        <stp/>
        <stp>BDH|6970036280701527241</stp>
        <tr r="Y58" s="12"/>
      </tp>
      <tp t="e">
        <v>#N/A</v>
        <stp/>
        <stp>BDH|8921437705085331473</stp>
        <tr r="G72" s="10"/>
      </tp>
      <tp t="e">
        <v>#N/A</v>
        <stp/>
        <stp>BDH|2298542832590930968</stp>
        <tr r="S16" s="24"/>
      </tp>
      <tp t="e">
        <v>#N/A</v>
        <stp/>
        <stp>BDH|5860192242284173995</stp>
        <tr r="S20" s="17"/>
      </tp>
      <tp t="e">
        <v>#N/A</v>
        <stp/>
        <stp>BDH|5709082835282239934</stp>
        <tr r="P41" s="25"/>
        <tr r="P59" s="21"/>
        <tr r="N54" s="11"/>
        <tr r="N31" s="4"/>
      </tp>
      <tp t="e">
        <v>#N/A</v>
        <stp/>
        <stp>BDH|3795090343833464920</stp>
        <tr r="Y110" s="18"/>
      </tp>
      <tp t="e">
        <v>#N/A</v>
        <stp/>
        <stp>BDH|8080253549985540621</stp>
        <tr r="M71" s="13"/>
      </tp>
      <tp t="e">
        <v>#N/A</v>
        <stp/>
        <stp>BDH|5350067820398958273</stp>
        <tr r="P42" s="34"/>
      </tp>
      <tp t="e">
        <v>#N/A</v>
        <stp/>
        <stp>BDH|7796550928579992482</stp>
        <tr r="C31" s="5"/>
      </tp>
      <tp t="e">
        <v>#N/A</v>
        <stp/>
        <stp>BDH|3231909363872278383</stp>
        <tr r="Q10" s="14"/>
      </tp>
      <tp t="e">
        <v>#N/A</v>
        <stp/>
        <stp>BDH|6693243488853938287</stp>
        <tr r="Q48" s="21"/>
      </tp>
      <tp t="e">
        <v>#N/A</v>
        <stp/>
        <stp>BDH|5968838366306277053</stp>
        <tr r="Q75" s="12"/>
      </tp>
      <tp t="e">
        <v>#N/A</v>
        <stp/>
        <stp>BDH|5890912613320922082</stp>
        <tr r="F122" s="18"/>
      </tp>
      <tp t="e">
        <v>#N/A</v>
        <stp/>
        <stp>BDH|8114592617087287663</stp>
        <tr r="V27" s="7"/>
      </tp>
      <tp t="e">
        <v>#N/A</v>
        <stp/>
        <stp>BDH|5247637089711699755</stp>
        <tr r="M12" s="27"/>
        <tr r="M30" s="25"/>
      </tp>
      <tp t="e">
        <v>#N/A</v>
        <stp/>
        <stp>BDH|7693013875514912906</stp>
        <tr r="M167" s="18"/>
      </tp>
      <tp t="e">
        <v>#N/A</v>
        <stp/>
        <stp>BDH|5032741814858974625</stp>
        <tr r="V20" s="28"/>
        <tr r="V17" s="17"/>
      </tp>
      <tp t="e">
        <v>#N/A</v>
        <stp/>
        <stp>BDH|2378230725178658788</stp>
        <tr r="F15" s="4"/>
      </tp>
      <tp t="e">
        <v>#N/A</v>
        <stp/>
        <stp>BDH|8364260861492684391</stp>
        <tr r="S13" s="24"/>
      </tp>
      <tp t="e">
        <v>#N/A</v>
        <stp/>
        <stp>BDH|7244101358189473758</stp>
        <tr r="X22" s="14"/>
      </tp>
      <tp t="e">
        <v>#N/A</v>
        <stp/>
        <stp>BDH|5283976073491469791</stp>
        <tr r="Z41" s="13"/>
        <tr r="X23" s="10"/>
        <tr r="X46" s="4"/>
      </tp>
      <tp t="e">
        <v>#N/A</v>
        <stp/>
        <stp>BDH|6286846732263618390</stp>
        <tr r="W14" s="8"/>
      </tp>
      <tp t="e">
        <v>#N/A</v>
        <stp/>
        <stp>BDH|6626769679832747958</stp>
        <tr r="AA17" s="12"/>
      </tp>
      <tp t="e">
        <v>#N/A</v>
        <stp/>
        <stp>BDH|1812415897433274279</stp>
        <tr r="P16" s="24"/>
      </tp>
      <tp t="e">
        <v>#N/A</v>
        <stp/>
        <stp>BDH|8476162578675644646</stp>
        <tr r="H19" s="25"/>
      </tp>
      <tp t="e">
        <v>#N/A</v>
        <stp/>
        <stp>BDH|7839536880497029033</stp>
        <tr r="AA80" s="17"/>
      </tp>
      <tp t="e">
        <v>#N/A</v>
        <stp/>
        <stp>BDH|9818546200986378779</stp>
        <tr r="T139" s="18"/>
      </tp>
      <tp t="e">
        <v>#N/A</v>
        <stp/>
        <stp>BDH|2943473946199917694</stp>
        <tr r="O48" s="34"/>
      </tp>
      <tp t="e">
        <v>#N/A</v>
        <stp/>
        <stp>BDH|1533208693056991171</stp>
        <tr r="T19" s="17"/>
      </tp>
      <tp t="e">
        <v>#N/A</v>
        <stp/>
        <stp>BDH|9613135641161862040</stp>
        <tr r="F39" s="6"/>
      </tp>
      <tp t="e">
        <v>#N/A</v>
        <stp/>
        <stp>BDH|2649832977079954930</stp>
        <tr r="Q66" s="17"/>
      </tp>
      <tp t="e">
        <v>#N/A</v>
        <stp/>
        <stp>BDH|1830539190932023233</stp>
        <tr r="C16" s="25"/>
      </tp>
      <tp t="e">
        <v>#N/A</v>
        <stp/>
        <stp>BDH|2421692685645271423</stp>
        <tr r="O19" s="10"/>
      </tp>
      <tp t="e">
        <v>#N/A</v>
        <stp/>
        <stp>BDH|8153280025783044644</stp>
        <tr r="L27" s="13"/>
      </tp>
      <tp t="e">
        <v>#N/A</v>
        <stp/>
        <stp>BDH|4250439209514555959</stp>
        <tr r="Z23" s="20"/>
      </tp>
      <tp t="e">
        <v>#N/A</v>
        <stp/>
        <stp>BDH|1486027275949322281</stp>
        <tr r="P31" s="29"/>
      </tp>
      <tp t="e">
        <v>#N/A</v>
        <stp/>
        <stp>BDH|1622900948029545833</stp>
        <tr r="J11" s="11"/>
      </tp>
      <tp t="e">
        <v>#N/A</v>
        <stp/>
        <stp>BDH|7449444053509895239</stp>
        <tr r="G26" s="6"/>
      </tp>
      <tp t="e">
        <v>#N/A</v>
        <stp/>
        <stp>BDH|5867186708191727876</stp>
        <tr r="W31" s="22"/>
      </tp>
      <tp t="e">
        <v>#N/A</v>
        <stp/>
        <stp>BDH|9348096723734412251</stp>
        <tr r="Z156" s="18"/>
      </tp>
      <tp t="e">
        <v>#N/A</v>
        <stp/>
        <stp>BDH|3741981155853121138</stp>
        <tr r="V157" s="18"/>
      </tp>
      <tp t="e">
        <v>#N/A</v>
        <stp/>
        <stp>BDH|5981959537126746443</stp>
        <tr r="Q68" s="12"/>
      </tp>
      <tp t="e">
        <v>#N/A</v>
        <stp/>
        <stp>BDH|2988061252192192846</stp>
        <tr r="M8" s="2"/>
      </tp>
      <tp t="e">
        <v>#N/A</v>
        <stp/>
        <stp>BDH|3350996943037366422</stp>
        <tr r="W23" s="22"/>
      </tp>
      <tp t="e">
        <v>#N/A</v>
        <stp/>
        <stp>BDH|5943087321572179896</stp>
        <tr r="AA146" s="18"/>
      </tp>
      <tp t="e">
        <v>#N/A</v>
        <stp/>
        <stp>BDH|5298368478538725431</stp>
        <tr r="H28" s="12"/>
      </tp>
      <tp t="e">
        <v>#N/A</v>
        <stp/>
        <stp>BDH|4396517114615989876</stp>
        <tr r="O31" s="13"/>
        <tr r="M23" s="11"/>
        <tr r="M34" s="10"/>
        <tr r="M45" s="4"/>
      </tp>
      <tp t="e">
        <v>#N/A</v>
        <stp/>
        <stp>BDH|4766715523084461893</stp>
        <tr r="O20" s="22"/>
      </tp>
      <tp t="e">
        <v>#N/A</v>
        <stp/>
        <stp>BDH|9845116079375083780</stp>
        <tr r="C72" s="13"/>
      </tp>
      <tp t="e">
        <v>#N/A</v>
        <stp/>
        <stp>BDH|9129693307985670716</stp>
        <tr r="D40" s="21"/>
      </tp>
      <tp t="e">
        <v>#N/A</v>
        <stp/>
        <stp>BDH|5717599285884282111</stp>
        <tr r="D62" s="24"/>
      </tp>
      <tp t="e">
        <v>#N/A</v>
        <stp/>
        <stp>BDH|9674129046355932436</stp>
        <tr r="H21" s="20"/>
      </tp>
      <tp t="e">
        <v>#N/A</v>
        <stp/>
        <stp>BDH|1717174652878814027</stp>
        <tr r="U35" s="26"/>
        <tr r="R14" s="9"/>
      </tp>
      <tp t="e">
        <v>#N/A</v>
        <stp/>
        <stp>BDH|6967486008679992684</stp>
        <tr r="N19" s="28"/>
        <tr r="N16" s="17"/>
      </tp>
      <tp t="e">
        <v>#N/A</v>
        <stp/>
        <stp>BDH|9034948934017964917</stp>
        <tr r="X76" s="17"/>
      </tp>
      <tp t="e">
        <v>#N/A</v>
        <stp/>
        <stp>BDH|2746779568816969899</stp>
        <tr r="L49" s="17"/>
      </tp>
      <tp t="e">
        <v>#N/A</v>
        <stp/>
        <stp>BDH|3427776609988363116</stp>
        <tr r="X8" s="28"/>
      </tp>
      <tp t="e">
        <v>#N/A</v>
        <stp/>
        <stp>BDH|3838366090831631503</stp>
        <tr r="F37" s="34"/>
      </tp>
      <tp t="e">
        <v>#N/A</v>
        <stp/>
        <stp>BDH|8134408339783345137</stp>
        <tr r="I15" s="22"/>
      </tp>
      <tp t="e">
        <v>#N/A</v>
        <stp/>
        <stp>BDH|3312479881957580587</stp>
        <tr r="R13" s="10"/>
      </tp>
      <tp t="e">
        <v>#N/A</v>
        <stp/>
        <stp>BDH|4983116425873736934</stp>
        <tr r="S11" s="29"/>
      </tp>
      <tp t="e">
        <v>#N/A</v>
        <stp/>
        <stp>BDH|9004412417500750183</stp>
        <tr r="M10" s="25"/>
        <tr r="M55" s="17"/>
      </tp>
      <tp t="e">
        <v>#N/A</v>
        <stp/>
        <stp>BDH|6356533988544968284</stp>
        <tr r="Z51" s="17"/>
      </tp>
      <tp t="e">
        <v>#N/A</v>
        <stp/>
        <stp>BDH|1549807158629410804</stp>
        <tr r="G96" s="12"/>
      </tp>
      <tp t="e">
        <v>#N/A</v>
        <stp/>
        <stp>BDH|5608242280193209193</stp>
        <tr r="X56" s="17"/>
      </tp>
      <tp t="e">
        <v>#N/A</v>
        <stp/>
        <stp>BDH|3767022909409238770</stp>
        <tr r="H14" s="22"/>
      </tp>
      <tp t="e">
        <v>#N/A</v>
        <stp/>
        <stp>BDH|4790881044756084324</stp>
        <tr r="H9" s="14"/>
      </tp>
      <tp t="e">
        <v>#N/A</v>
        <stp/>
        <stp>BDH|9885116421817763063</stp>
        <tr r="G29" s="18"/>
      </tp>
      <tp t="e">
        <v>#N/A</v>
        <stp/>
        <stp>BDH|3140212489362329634</stp>
        <tr r="E13" s="6"/>
      </tp>
      <tp t="e">
        <v>#N/A</v>
        <stp/>
        <stp>BDH|1380608958109628641</stp>
        <tr r="O25" s="21"/>
      </tp>
      <tp t="e">
        <v>#N/A</v>
        <stp/>
        <stp>BDH|3267331372279338394</stp>
        <tr r="W32" s="18"/>
      </tp>
      <tp t="e">
        <v>#N/A</v>
        <stp/>
        <stp>BDH|8788075419836472247</stp>
        <tr r="Q133" s="18"/>
      </tp>
      <tp t="e">
        <v>#N/A</v>
        <stp/>
        <stp>BDH|2283736359688243539</stp>
        <tr r="Z161" s="18"/>
      </tp>
      <tp t="e">
        <v>#N/A</v>
        <stp/>
        <stp>BDH|2150631729362509973</stp>
        <tr r="N175" s="18"/>
      </tp>
      <tp t="e">
        <v>#N/A</v>
        <stp/>
        <stp>BDH|2325575016172258997</stp>
        <tr r="U70" s="10"/>
      </tp>
      <tp t="e">
        <v>#N/A</v>
        <stp/>
        <stp>BDH|1923032672738001310</stp>
        <tr r="N65" s="10"/>
        <tr r="P19" s="13"/>
        <tr r="N16" s="2"/>
        <tr r="N32" s="4"/>
      </tp>
      <tp t="e">
        <v>#N/A</v>
        <stp/>
        <stp>BDH|4666283486252057114</stp>
        <tr r="R8" s="25"/>
        <tr r="O10" s="5"/>
        <tr r="P9" s="2"/>
      </tp>
      <tp t="e">
        <v>#N/A</v>
        <stp/>
        <stp>BDH|1886488784946805650</stp>
        <tr r="S8" s="12"/>
      </tp>
      <tp t="e">
        <v>#N/A</v>
        <stp/>
        <stp>BDH|9509045939924420357</stp>
        <tr r="Z126" s="18"/>
      </tp>
      <tp t="e">
        <v>#N/A</v>
        <stp/>
        <stp>BDH|2330919335552979771</stp>
        <tr r="H36" s="12"/>
      </tp>
      <tp t="e">
        <v>#N/A</v>
        <stp/>
        <stp>BDH|4912734191623634448</stp>
        <tr r="O18" s="18"/>
      </tp>
      <tp t="e">
        <v>#N/A</v>
        <stp/>
        <stp>BDH|3275167041223488882</stp>
        <tr r="K42" s="21"/>
      </tp>
      <tp t="e">
        <v>#N/A</v>
        <stp/>
        <stp>BDH|2335762376487895824</stp>
        <tr r="G9" s="30"/>
      </tp>
      <tp t="e">
        <v>#N/A</v>
        <stp/>
        <stp>BDH|8467969866359521386</stp>
        <tr r="W46" s="17"/>
      </tp>
      <tp t="e">
        <v>#N/A</v>
        <stp/>
        <stp>BDH|2581052592923919529</stp>
        <tr r="W39" s="25"/>
      </tp>
      <tp t="e">
        <v>#N/A</v>
        <stp/>
        <stp>BDH|4333745808849740711</stp>
        <tr r="T41" s="25"/>
        <tr r="T59" s="21"/>
        <tr r="R54" s="11"/>
        <tr r="R31" s="4"/>
      </tp>
      <tp t="e">
        <v>#N/A</v>
        <stp/>
        <stp>BDH|5301192119170312898</stp>
        <tr r="AA50" s="18"/>
      </tp>
      <tp t="e">
        <v>#N/A</v>
        <stp/>
        <stp>BDH|9183392612814186220</stp>
        <tr r="K56" s="24"/>
      </tp>
      <tp t="e">
        <v>#N/A</v>
        <stp/>
        <stp>BDH|1538726805443229899</stp>
        <tr r="N16" s="25"/>
      </tp>
      <tp t="e">
        <v>#N/A</v>
        <stp/>
        <stp>BDH|3482484262568007474</stp>
        <tr r="L84" s="18"/>
      </tp>
      <tp t="e">
        <v>#N/A</v>
        <stp/>
        <stp>BDH|5302110828052199925</stp>
        <tr r="E29" s="17"/>
      </tp>
      <tp t="e">
        <v>#N/A</v>
        <stp/>
        <stp>BDH|1307085860118520279</stp>
        <tr r="Y105" s="18"/>
      </tp>
      <tp t="e">
        <v>#N/A</v>
        <stp/>
        <stp>BDH|1453739445489367681</stp>
        <tr r="V20" s="22"/>
      </tp>
      <tp t="e">
        <v>#N/A</v>
        <stp/>
        <stp>BDH|4246587695910047560</stp>
        <tr r="Q75" s="18"/>
      </tp>
      <tp t="e">
        <v>#N/A</v>
        <stp/>
        <stp>BDH|4192761958188314356</stp>
        <tr r="P19" s="18"/>
      </tp>
      <tp t="e">
        <v>#N/A</v>
        <stp/>
        <stp>BDH|7356614057109971059</stp>
        <tr r="D16" s="24"/>
      </tp>
      <tp t="e">
        <v>#N/A</v>
        <stp/>
        <stp>BDH|9377689741974118257</stp>
        <tr r="L91" s="12"/>
      </tp>
      <tp t="e">
        <v>#N/A</v>
        <stp/>
        <stp>BDH|9752088917853728617</stp>
        <tr r="T36" s="13"/>
        <tr r="R29" s="10"/>
      </tp>
      <tp t="e">
        <v>#N/A</v>
        <stp/>
        <stp>BDH|8978622346500299719</stp>
        <tr r="E15" s="34"/>
      </tp>
      <tp t="e">
        <v>#N/A</v>
        <stp/>
        <stp>BDH|5501087580281375102</stp>
        <tr r="Y97" s="12"/>
      </tp>
      <tp t="e">
        <v>#N/A</v>
        <stp/>
        <stp>BDH|2741185734258219572</stp>
        <tr r="Q102" s="18"/>
      </tp>
      <tp t="e">
        <v>#N/A</v>
        <stp/>
        <stp>BDH|6728228294393886372</stp>
        <tr r="X26" s="24"/>
      </tp>
      <tp t="e">
        <v>#N/A</v>
        <stp/>
        <stp>BDH|3545872989206578801</stp>
        <tr r="H23" s="6"/>
      </tp>
      <tp t="e">
        <v>#N/A</v>
        <stp/>
        <stp>BDH|7928964997512015867</stp>
        <tr r="D27" s="11"/>
        <tr r="D38" s="10"/>
      </tp>
      <tp t="e">
        <v>#N/A</v>
        <stp/>
        <stp>BDH|2582932340935932714</stp>
        <tr r="H6" s="6"/>
      </tp>
      <tp t="e">
        <v>#N/A</v>
        <stp/>
        <stp>BDH|5240056198352065313</stp>
        <tr r="T61" s="13"/>
      </tp>
      <tp t="e">
        <v>#N/A</v>
        <stp/>
        <stp>BDH|9877881824188818622</stp>
        <tr r="Y98" s="12"/>
      </tp>
      <tp t="e">
        <v>#N/A</v>
        <stp/>
        <stp>BDH|9739593758036878200</stp>
        <tr r="C13" s="25"/>
      </tp>
      <tp t="e">
        <v>#N/A</v>
        <stp/>
        <stp>BDH|7743164848689683618</stp>
        <tr r="Z18" s="25"/>
      </tp>
      <tp t="e">
        <v>#N/A</v>
        <stp/>
        <stp>BDH|3853893271156807761</stp>
        <tr r="J7" s="14"/>
      </tp>
      <tp t="e">
        <v>#N/A</v>
        <stp/>
        <stp>BDH|2396425791014921677</stp>
        <tr r="V24" s="25"/>
      </tp>
      <tp t="e">
        <v>#N/A</v>
        <stp/>
        <stp>BDH|5144012620853878961</stp>
        <tr r="F58" s="18"/>
      </tp>
      <tp t="e">
        <v>#N/A</v>
        <stp/>
        <stp>BDH|6503093730930343815</stp>
        <tr r="J26" s="21"/>
      </tp>
      <tp t="e">
        <v>#N/A</v>
        <stp/>
        <stp>BDH|1687412681992114299</stp>
        <tr r="D61" s="18"/>
      </tp>
      <tp t="e">
        <v>#N/A</v>
        <stp/>
        <stp>BDH|7647967808757670408</stp>
        <tr r="S13" s="8"/>
      </tp>
      <tp t="e">
        <v>#N/A</v>
        <stp/>
        <stp>BDH|3092499050066130969</stp>
        <tr r="Y32" s="13"/>
        <tr r="W25" s="10"/>
      </tp>
      <tp t="e">
        <v>#N/A</v>
        <stp/>
        <stp>BDH|1584987652115903584</stp>
        <tr r="N57" s="6"/>
      </tp>
      <tp t="e">
        <v>#N/A</v>
        <stp/>
        <stp>BDH|9702225102691005799</stp>
        <tr r="Y64" s="11"/>
        <tr r="Y75" s="10"/>
      </tp>
      <tp t="e">
        <v>#N/A</v>
        <stp/>
        <stp>BDH|9881502670680676601</stp>
        <tr r="X26" s="11"/>
        <tr r="X37" s="10"/>
      </tp>
      <tp t="e">
        <v>#N/A</v>
        <stp/>
        <stp>BDH|6708423589847508077</stp>
        <tr r="U19" s="28"/>
        <tr r="U16" s="17"/>
      </tp>
      <tp t="e">
        <v>#N/A</v>
        <stp/>
        <stp>BDH|9300298534717277224</stp>
        <tr r="P30" s="18"/>
      </tp>
      <tp t="e">
        <v>#N/A</v>
        <stp/>
        <stp>BDH|8786193168425013781</stp>
        <tr r="Y53" s="13"/>
      </tp>
      <tp t="e">
        <v>#N/A</v>
        <stp/>
        <stp>BDH|2606653651698982452</stp>
        <tr r="U10" s="24"/>
      </tp>
      <tp t="e">
        <v>#N/A</v>
        <stp/>
        <stp>BDH|6237748160273947913</stp>
        <tr r="I27" s="18"/>
      </tp>
      <tp t="e">
        <v>#N/A</v>
        <stp/>
        <stp>BDH|9856479253405113037</stp>
        <tr r="K30" s="24"/>
      </tp>
      <tp t="e">
        <v>#N/A</v>
        <stp/>
        <stp>BDH|5802434445979002103</stp>
        <tr r="L110" s="18"/>
      </tp>
      <tp t="e">
        <v>#N/A</v>
        <stp/>
        <stp>BDH|1457580561899107623</stp>
        <tr r="D28" s="6"/>
      </tp>
      <tp t="e">
        <v>#N/A</v>
        <stp/>
        <stp>BDH|9133070627535919369</stp>
        <tr r="S11" s="14"/>
      </tp>
      <tp t="e">
        <v>#N/A</v>
        <stp/>
        <stp>BDH|8621152969024464617</stp>
        <tr r="L155" s="18"/>
      </tp>
      <tp t="e">
        <v>#N/A</v>
        <stp/>
        <stp>BDH|3945372685294262163</stp>
        <tr r="W9" s="27"/>
      </tp>
      <tp t="e">
        <v>#N/A</v>
        <stp/>
        <stp>BDH|9504032847644960472</stp>
        <tr r="M30" s="24"/>
      </tp>
      <tp t="e">
        <v>#N/A</v>
        <stp/>
        <stp>BDH|7864134282285638600</stp>
        <tr r="F64" s="18"/>
      </tp>
      <tp t="e">
        <v>#N/A</v>
        <stp/>
        <stp>BDH|2096520790786599584</stp>
        <tr r="J70" s="12"/>
      </tp>
      <tp t="e">
        <v>#N/A</v>
        <stp/>
        <stp>BDH|5185391643937750836</stp>
        <tr r="AA27" s="21"/>
      </tp>
      <tp t="e">
        <v>#N/A</v>
        <stp/>
        <stp>BDH|5709963225261373285</stp>
        <tr r="E47" s="22"/>
      </tp>
      <tp t="e">
        <v>#N/A</v>
        <stp/>
        <stp>BDH|8223932259928036178</stp>
        <tr r="E52" s="13"/>
      </tp>
      <tp t="e">
        <v>#N/A</v>
        <stp/>
        <stp>BDH|8355026061373867074</stp>
        <tr r="R100" s="12"/>
      </tp>
      <tp t="e">
        <v>#N/A</v>
        <stp/>
        <stp>BDH|3067872033803884631</stp>
        <tr r="X53" s="13"/>
      </tp>
      <tp t="e">
        <v>#N/A</v>
        <stp/>
        <stp>BDH|9264703088219409212</stp>
        <tr r="N16" s="20"/>
      </tp>
      <tp t="e">
        <v>#N/A</v>
        <stp/>
        <stp>BDH|7329375486434477591</stp>
        <tr r="R41" s="29"/>
        <tr r="R18" s="29"/>
      </tp>
      <tp t="e">
        <v>#N/A</v>
        <stp/>
        <stp>BDH|8869559415523264258</stp>
        <tr r="S30" s="17"/>
      </tp>
      <tp t="e">
        <v>#N/A</v>
        <stp/>
        <stp>BDH|4122459591013981734</stp>
        <tr r="V19" s="22"/>
      </tp>
      <tp t="e">
        <v>#N/A</v>
        <stp/>
        <stp>BDH|5562353079389468526</stp>
        <tr r="K9" s="23"/>
      </tp>
      <tp t="e">
        <v>#N/A</v>
        <stp/>
        <stp>BDH|9920071896048200555</stp>
        <tr r="K128" s="18"/>
      </tp>
      <tp t="e">
        <v>#N/A</v>
        <stp/>
        <stp>BDH|4448944722167999541</stp>
        <tr r="I47" s="34"/>
      </tp>
      <tp t="e">
        <v>#N/A</v>
        <stp/>
        <stp>BDH|3544293684240255459</stp>
        <tr r="O61" s="12"/>
      </tp>
      <tp t="e">
        <v>#N/A</v>
        <stp/>
        <stp>BDH|8714315246247970569</stp>
        <tr r="T26" s="29"/>
      </tp>
      <tp t="e">
        <v>#N/A</v>
        <stp/>
        <stp>BDH|2464513504362743899</stp>
        <tr r="O29" s="9"/>
      </tp>
      <tp t="e">
        <v>#N/A</v>
        <stp/>
        <stp>BDH|4414297051916363802</stp>
        <tr r="Y158" s="18"/>
      </tp>
      <tp t="e">
        <v>#N/A</v>
        <stp/>
        <stp>BDH|5407816049730732449</stp>
        <tr r="K56" s="6"/>
      </tp>
      <tp t="e">
        <v>#N/A</v>
        <stp/>
        <stp>BDH|6933569921218729461</stp>
        <tr r="H52" s="13"/>
      </tp>
      <tp t="e">
        <v>#N/A</v>
        <stp/>
        <stp>BDH|5015903552325936148</stp>
        <tr r="C12" s="12"/>
      </tp>
      <tp t="e">
        <v>#N/A</v>
        <stp/>
        <stp>BDH|7100258180958827839</stp>
        <tr r="V41" s="6"/>
        <tr r="V18" s="5"/>
      </tp>
      <tp t="e">
        <v>#N/A</v>
        <stp/>
        <stp>BDH|6273545164719904148</stp>
        <tr r="P44" s="21"/>
      </tp>
      <tp t="e">
        <v>#N/A</v>
        <stp/>
        <stp>BDH|1446561956579881535</stp>
        <tr r="AA7" s="20"/>
        <tr r="AA113" s="18"/>
      </tp>
      <tp t="e">
        <v>#N/A</v>
        <stp/>
        <stp>BDH|7040697392637588211</stp>
        <tr r="U60" s="17"/>
      </tp>
      <tp t="e">
        <v>#N/A</v>
        <stp/>
        <stp>BDH|7504052432831949842</stp>
        <tr r="P68" s="17"/>
      </tp>
      <tp t="e">
        <v>#N/A</v>
        <stp/>
        <stp>BDH|3923811258237959468</stp>
        <tr r="J77" s="18"/>
      </tp>
      <tp t="e">
        <v>#N/A</v>
        <stp/>
        <stp>BDH|3986134105746960992</stp>
        <tr r="J64" s="21"/>
        <tr r="H23" s="7"/>
      </tp>
      <tp t="e">
        <v>#N/A</v>
        <stp/>
        <stp>BDH|6479006383945037684</stp>
        <tr r="K16" s="34"/>
      </tp>
      <tp t="e">
        <v>#N/A</v>
        <stp/>
        <stp>BDH|6565744213289497497</stp>
        <tr r="H51" s="21"/>
      </tp>
      <tp t="e">
        <v>#N/A</v>
        <stp/>
        <stp>BDH|9625246174750974135</stp>
        <tr r="J18" s="9"/>
      </tp>
      <tp t="e">
        <v>#N/A</v>
        <stp/>
        <stp>BDH|7427533394330774684</stp>
        <tr r="K137" s="18"/>
      </tp>
      <tp t="e">
        <v>#N/A</v>
        <stp/>
        <stp>BDH|8978975741419433174</stp>
        <tr r="I64" s="13"/>
      </tp>
      <tp t="e">
        <v>#N/A</v>
        <stp/>
        <stp>BDH|9186884995403212628</stp>
        <tr r="D80" s="18"/>
      </tp>
      <tp t="e">
        <v>#N/A</v>
        <stp/>
        <stp>BDH|1403454582805796585</stp>
        <tr r="H9" s="22"/>
      </tp>
      <tp t="e">
        <v>#N/A</v>
        <stp/>
        <stp>BDH|3761089630958053533</stp>
        <tr r="T53" s="13"/>
      </tp>
      <tp t="e">
        <v>#N/A</v>
        <stp/>
        <stp>BDH|5080987900875121455</stp>
        <tr r="K30" s="26"/>
      </tp>
      <tp t="e">
        <v>#N/A</v>
        <stp/>
        <stp>BDH|5473509189550603578</stp>
        <tr r="T19" s="23"/>
        <tr r="R60" s="11"/>
      </tp>
      <tp t="e">
        <v>#N/A</v>
        <stp/>
        <stp>BDH|7520349040915483899</stp>
        <tr r="Y10" s="18"/>
      </tp>
      <tp t="e">
        <v>#N/A</v>
        <stp/>
        <stp>BDH|8800442274384225260</stp>
        <tr r="J63" s="17"/>
      </tp>
      <tp t="e">
        <v>#N/A</v>
        <stp/>
        <stp>BDH|9650605045402644492</stp>
        <tr r="Y44" s="11"/>
        <tr r="Y55" s="10"/>
        <tr r="Y15" s="7"/>
      </tp>
      <tp t="e">
        <v>#N/A</v>
        <stp/>
        <stp>BDH|3144995456231649345</stp>
        <tr r="F15" s="24"/>
      </tp>
      <tp t="e">
        <v>#N/A</v>
        <stp/>
        <stp>BDH|8987640973905604143</stp>
        <tr r="Y35" s="4"/>
      </tp>
      <tp t="e">
        <v>#N/A</v>
        <stp/>
        <stp>BDH|1625754387421830204</stp>
        <tr r="R32" s="11"/>
        <tr r="R43" s="10"/>
      </tp>
      <tp t="e">
        <v>#N/A</v>
        <stp/>
        <stp>BDH|6418838834504815478</stp>
        <tr r="F60" s="17"/>
      </tp>
      <tp t="e">
        <v>#N/A</v>
        <stp/>
        <stp>BDH|4910642128775065897</stp>
        <tr r="Y23" s="12"/>
      </tp>
      <tp t="e">
        <v>#N/A</v>
        <stp/>
        <stp>BDH|6653408803396021998</stp>
        <tr r="Z29" s="29"/>
        <tr r="Z7" s="29"/>
      </tp>
      <tp t="e">
        <v>#N/A</v>
        <stp/>
        <stp>BDH|7051813341015420380</stp>
        <tr r="I75" s="18"/>
      </tp>
      <tp t="e">
        <v>#N/A</v>
        <stp/>
        <stp>BDH|1259794982383725024</stp>
        <tr r="I19" s="22"/>
      </tp>
      <tp t="e">
        <v>#N/A</v>
        <stp/>
        <stp>BDH|9093088716341339415</stp>
        <tr r="K57" s="17"/>
      </tp>
      <tp t="e">
        <v>#N/A</v>
        <stp/>
        <stp>BDH|6501054193302994069</stp>
        <tr r="S85" s="12"/>
      </tp>
      <tp t="e">
        <v>#N/A</v>
        <stp/>
        <stp>BDH|6951840031773624367</stp>
        <tr r="G24" s="24"/>
      </tp>
      <tp t="e">
        <v>#N/A</v>
        <stp/>
        <stp>BDH|1437167098574543032</stp>
        <tr r="R19" s="34"/>
      </tp>
      <tp t="e">
        <v>#N/A</v>
        <stp/>
        <stp>BDH|9511494763457010137</stp>
        <tr r="Q25" s="17"/>
      </tp>
      <tp t="e">
        <v>#N/A</v>
        <stp/>
        <stp>BDH|7357490488291685786</stp>
        <tr r="H23" s="24"/>
      </tp>
      <tp t="e">
        <v>#N/A</v>
        <stp/>
        <stp>BDH|7989488610918574787</stp>
        <tr r="Q38" s="24"/>
      </tp>
      <tp t="e">
        <v>#N/A</v>
        <stp/>
        <stp>BDH|4484881800737007605</stp>
        <tr r="T63" s="12"/>
      </tp>
      <tp t="e">
        <v>#N/A</v>
        <stp/>
        <stp>BDH|2630834737861743591</stp>
        <tr r="Z147" s="18"/>
      </tp>
      <tp t="e">
        <v>#N/A</v>
        <stp/>
        <stp>BDH|7043585813929471735</stp>
        <tr r="Z22" s="14"/>
      </tp>
      <tp t="e">
        <v>#N/A</v>
        <stp/>
        <stp>BDH|4248688726819418448</stp>
        <tr r="W41" s="18"/>
      </tp>
      <tp t="e">
        <v>#N/A</v>
        <stp/>
        <stp>BDH|6221673680287184286</stp>
        <tr r="I70" s="10"/>
      </tp>
      <tp t="e">
        <v>#N/A</v>
        <stp/>
        <stp>BDH|3489283181210101405</stp>
        <tr r="O69" s="18"/>
      </tp>
      <tp t="e">
        <v>#N/A</v>
        <stp/>
        <stp>BDH|3738856014806890128</stp>
        <tr r="Q34" s="12"/>
      </tp>
      <tp t="e">
        <v>#N/A</v>
        <stp/>
        <stp>BDH|9469545593871850972</stp>
        <tr r="T22" s="7"/>
      </tp>
      <tp t="e">
        <v>#N/A</v>
        <stp/>
        <stp>BDH|8314197873884051754</stp>
        <tr r="C9" s="18"/>
      </tp>
      <tp t="e">
        <v>#N/A</v>
        <stp/>
        <stp>BDH|9996388461225998455</stp>
        <tr r="D41" s="34"/>
      </tp>
      <tp t="e">
        <v>#N/A</v>
        <stp/>
        <stp>BDH|9264240139872504760</stp>
        <tr r="X41" s="13"/>
        <tr r="V23" s="10"/>
        <tr r="V46" s="4"/>
      </tp>
      <tp t="e">
        <v>#N/A</v>
        <stp/>
        <stp>BDH|2495542040279842743</stp>
        <tr r="C146" s="18"/>
      </tp>
      <tp t="e">
        <v>#N/A</v>
        <stp/>
        <stp>BDH|5870449783615334105</stp>
        <tr r="X100" s="18"/>
      </tp>
      <tp t="e">
        <v>#N/A</v>
        <stp/>
        <stp>BDH|3117282270509134255</stp>
        <tr r="Z79" s="17"/>
        <tr r="Z19" s="3"/>
      </tp>
      <tp t="e">
        <v>#N/A</v>
        <stp/>
        <stp>BDH|9344497327360653266</stp>
        <tr r="P20" s="21"/>
      </tp>
      <tp t="e">
        <v>#N/A</v>
        <stp/>
        <stp>BDH|6037492838204537893</stp>
        <tr r="E91" s="12"/>
      </tp>
      <tp t="e">
        <v>#N/A</v>
        <stp/>
        <stp>BDH|4751288440889539674</stp>
        <tr r="K28" s="14"/>
      </tp>
      <tp t="e">
        <v>#N/A</v>
        <stp/>
        <stp>BDH|9813190014145932111</stp>
        <tr r="K79" s="12"/>
      </tp>
      <tp t="e">
        <v>#N/A</v>
        <stp/>
        <stp>BDH|5473916531367197589</stp>
        <tr r="T36" s="17"/>
      </tp>
      <tp t="e">
        <v>#N/A</v>
        <stp/>
        <stp>BDH|3295588525349404060</stp>
        <tr r="H101" s="18"/>
      </tp>
      <tp t="e">
        <v>#N/A</v>
        <stp/>
        <stp>BDH|4053367010852394981</stp>
        <tr r="O163" s="18"/>
      </tp>
      <tp t="e">
        <v>#N/A</v>
        <stp/>
        <stp>BDH|1274177265678432397</stp>
        <tr r="E43" s="29"/>
      </tp>
      <tp t="e">
        <v>#N/A</v>
        <stp/>
        <stp>BDH|6526030599782777050</stp>
        <tr r="J22" s="30"/>
        <tr r="J24" s="23"/>
      </tp>
      <tp t="e">
        <v>#N/A</v>
        <stp/>
        <stp>BDH|5526356318039632332</stp>
        <tr r="N35" s="22"/>
      </tp>
      <tp t="e">
        <v>#N/A</v>
        <stp/>
        <stp>BDH|3995189029315473811</stp>
        <tr r="T40" s="13"/>
        <tr r="R33" s="10"/>
      </tp>
      <tp t="e">
        <v>#N/A</v>
        <stp/>
        <stp>BDH|2954251528187839812</stp>
        <tr r="AA56" s="12"/>
      </tp>
      <tp t="e">
        <v>#N/A</v>
        <stp/>
        <stp>BDH|2939603605379749063</stp>
        <tr r="K62" s="12"/>
      </tp>
      <tp t="e">
        <v>#N/A</v>
        <stp/>
        <stp>BDH|2881748757984682905</stp>
        <tr r="L20" s="10"/>
      </tp>
      <tp t="e">
        <v>#N/A</v>
        <stp/>
        <stp>BDH|2914854313081269704</stp>
        <tr r="M145" s="18"/>
      </tp>
      <tp t="e">
        <v>#N/A</v>
        <stp/>
        <stp>BDH|1239194143118077156</stp>
        <tr r="M21" s="2"/>
      </tp>
      <tp t="e">
        <v>#N/A</v>
        <stp/>
        <stp>BDH|8303541171446271194</stp>
        <tr r="D13" s="18"/>
      </tp>
      <tp t="e">
        <v>#N/A</v>
        <stp/>
        <stp>BDH|4709885734811371352</stp>
        <tr r="F45" s="21"/>
      </tp>
      <tp t="e">
        <v>#N/A</v>
        <stp/>
        <stp>BDH|5821672157913366864</stp>
        <tr r="H60" s="12"/>
      </tp>
      <tp t="e">
        <v>#N/A</v>
        <stp/>
        <stp>BDH|4112421302185424888</stp>
        <tr r="V42" s="17"/>
      </tp>
      <tp t="e">
        <v>#N/A</v>
        <stp/>
        <stp>BDH|8225026657770261088</stp>
        <tr r="V102" s="18"/>
      </tp>
      <tp t="e">
        <v>#N/A</v>
        <stp/>
        <stp>BDH|4900905334220597353</stp>
        <tr r="S7" s="34"/>
      </tp>
      <tp t="e">
        <v>#N/A</v>
        <stp/>
        <stp>BDH|3644449595073877027</stp>
        <tr r="G14" s="4"/>
      </tp>
      <tp t="e">
        <v>#N/A</v>
        <stp/>
        <stp>BDH|7494256401540978840</stp>
        <tr r="F65" s="13"/>
      </tp>
      <tp t="e">
        <v>#N/A</v>
        <stp/>
        <stp>BDH|1183998301431216469</stp>
        <tr r="J49" s="24"/>
      </tp>
      <tp t="e">
        <v>#N/A</v>
        <stp/>
        <stp>BDH|9942759444162653535</stp>
        <tr r="M10" s="17"/>
      </tp>
      <tp t="e">
        <v>#N/A</v>
        <stp/>
        <stp>BDH|1685262327809293584</stp>
        <tr r="O85" s="12"/>
      </tp>
      <tp t="e">
        <v>#N/A</v>
        <stp/>
        <stp>BDH|2030804868547758629</stp>
        <tr r="Y36" s="22"/>
      </tp>
      <tp t="e">
        <v>#N/A</v>
        <stp/>
        <stp>BDH|1806992701544230105</stp>
        <tr r="L42" s="18"/>
      </tp>
      <tp t="e">
        <v>#N/A</v>
        <stp/>
        <stp>BDH|8156371125320005416</stp>
        <tr r="T127" s="18"/>
      </tp>
      <tp t="e">
        <v>#N/A</v>
        <stp/>
        <stp>BDH|5561444126598647632</stp>
        <tr r="M13" s="11"/>
      </tp>
      <tp t="e">
        <v>#N/A</v>
        <stp/>
        <stp>BDH|9603046532567264005</stp>
        <tr r="P50" s="34"/>
      </tp>
      <tp t="e">
        <v>#N/A</v>
        <stp/>
        <stp>BDH|6104744605155601945</stp>
        <tr r="N70" s="24"/>
      </tp>
      <tp t="e">
        <v>#N/A</v>
        <stp/>
        <stp>BDH|8113241772132171246</stp>
        <tr r="D13" s="7"/>
      </tp>
      <tp t="e">
        <v>#N/A</v>
        <stp/>
        <stp>BDH|4249953167116168030</stp>
        <tr r="I72" s="24"/>
      </tp>
      <tp t="e">
        <v>#N/A</v>
        <stp/>
        <stp>BDH|5230204596467150476</stp>
        <tr r="D11" s="28"/>
      </tp>
      <tp t="e">
        <v>#N/A</v>
        <stp/>
        <stp>BDH|8088257019223696584</stp>
        <tr r="C13" s="34"/>
      </tp>
      <tp t="e">
        <v>#N/A</v>
        <stp/>
        <stp>BDH|1120391888546332115</stp>
        <tr r="X145" s="18"/>
      </tp>
      <tp t="e">
        <v>#N/A</v>
        <stp/>
        <stp>BDH|6063664645180349924</stp>
        <tr r="E71" s="12"/>
      </tp>
      <tp t="e">
        <v>#N/A</v>
        <stp/>
        <stp>BDH|8074243225433377604</stp>
        <tr r="L24" s="10"/>
      </tp>
      <tp t="e">
        <v>#N/A</v>
        <stp/>
        <stp>BDH|2921968335123908618</stp>
        <tr r="M60" s="13"/>
        <tr r="K59" s="10"/>
        <tr r="K48" s="11"/>
        <tr r="K17" s="7"/>
        <tr r="K17" s="4"/>
        <tr r="M10" s="3"/>
      </tp>
      <tp t="e">
        <v>#N/A</v>
        <stp/>
        <stp>BDH|3066205288740364490</stp>
        <tr r="I26" s="13"/>
      </tp>
      <tp t="e">
        <v>#N/A</v>
        <stp/>
        <stp>BDH|5122255497341651273</stp>
        <tr r="W7" s="20"/>
        <tr r="W113" s="18"/>
      </tp>
      <tp t="e">
        <v>#N/A</v>
        <stp/>
        <stp>BDH|7008405780597645146</stp>
        <tr r="D19" s="34"/>
      </tp>
      <tp t="e">
        <v>#N/A</v>
        <stp/>
        <stp>BDH|4092643688394733398</stp>
        <tr r="G72" s="17"/>
      </tp>
      <tp t="e">
        <v>#N/A</v>
        <stp/>
        <stp>BDH|8029975401009163553</stp>
        <tr r="W17" s="23"/>
      </tp>
      <tp t="e">
        <v>#N/A</v>
        <stp/>
        <stp>BDH|9453259022693381720</stp>
        <tr r="Y9" s="29"/>
      </tp>
      <tp t="e">
        <v>#N/A</v>
        <stp/>
        <stp>BDH|6723378617929436015</stp>
        <tr r="L26" s="7"/>
      </tp>
      <tp t="e">
        <v>#N/A</v>
        <stp/>
        <stp>BDH|5421453285482390659</stp>
        <tr r="R11" s="22"/>
      </tp>
      <tp t="e">
        <v>#N/A</v>
        <stp/>
        <stp>BDH|1781428984522068237</stp>
        <tr r="T20" s="23"/>
      </tp>
      <tp t="e">
        <v>#N/A</v>
        <stp/>
        <stp>BDH|1122175276802683840</stp>
        <tr r="W136" s="18"/>
      </tp>
      <tp t="e">
        <v>#N/A</v>
        <stp/>
        <stp>BDH|4544981647522050683</stp>
        <tr r="Q49" s="22"/>
      </tp>
      <tp t="e">
        <v>#N/A</v>
        <stp/>
        <stp>BDH|6173800241206287104</stp>
        <tr r="S35" s="13"/>
        <tr r="Q28" s="10"/>
      </tp>
      <tp t="e">
        <v>#N/A</v>
        <stp/>
        <stp>BDH|2084923371409676871</stp>
        <tr r="Y19" s="30"/>
      </tp>
      <tp t="e">
        <v>#N/A</v>
        <stp/>
        <stp>BDH|9180273647582504067</stp>
        <tr r="AA25" s="12"/>
      </tp>
      <tp t="e">
        <v>#N/A</v>
        <stp/>
        <stp>BDH|9681685745353076591</stp>
        <tr r="L175" s="18"/>
      </tp>
      <tp t="e">
        <v>#N/A</v>
        <stp/>
        <stp>BDH|4290517966258032277</stp>
        <tr r="AA160" s="18"/>
      </tp>
      <tp t="e">
        <v>#N/A</v>
        <stp/>
        <stp>BDH|3728838772131556016</stp>
        <tr r="T17" s="5"/>
        <tr r="T36" s="6"/>
      </tp>
      <tp t="e">
        <v>#N/A</v>
        <stp/>
        <stp>BDH|4010385299266189525</stp>
        <tr r="Z140" s="18"/>
      </tp>
      <tp t="e">
        <v>#N/A</v>
        <stp/>
        <stp>BDH|3169396741468286197</stp>
        <tr r="P24" s="5"/>
      </tp>
      <tp t="e">
        <v>#N/A</v>
        <stp/>
        <stp>BDH|9750808055368979192</stp>
        <tr r="G8" s="28"/>
      </tp>
      <tp t="e">
        <v>#N/A</v>
        <stp/>
        <stp>BDH|6543219201341353841</stp>
        <tr r="I60" s="18"/>
      </tp>
      <tp t="e">
        <v>#N/A</v>
        <stp/>
        <stp>BDH|4576937516061451068</stp>
        <tr r="O100" s="12"/>
      </tp>
      <tp t="e">
        <v>#N/A</v>
        <stp/>
        <stp>BDH|1903519666829484684</stp>
        <tr r="E19" s="34"/>
      </tp>
      <tp t="e">
        <v>#N/A</v>
        <stp/>
        <stp>BDH|1142398672509829106</stp>
        <tr r="G50" s="12"/>
      </tp>
      <tp t="e">
        <v>#N/A</v>
        <stp/>
        <stp>BDH|6748247674147483917</stp>
        <tr r="I102" s="18"/>
      </tp>
      <tp t="e">
        <v>#N/A</v>
        <stp/>
        <stp>BDH|3193606270368100720</stp>
        <tr r="S46" s="34"/>
      </tp>
      <tp t="e">
        <v>#N/A</v>
        <stp/>
        <stp>BDH|8480421535612645077</stp>
        <tr r="T31" s="9"/>
      </tp>
      <tp t="e">
        <v>#N/A</v>
        <stp/>
        <stp>BDH|4927685598681393784</stp>
        <tr r="P27" s="18"/>
      </tp>
      <tp t="e">
        <v>#N/A</v>
        <stp/>
        <stp>BDH|6890200552255145990</stp>
        <tr r="Q38" s="29"/>
        <tr r="Q15" s="29"/>
      </tp>
      <tp t="e">
        <v>#N/A</v>
        <stp/>
        <stp>BDH|1587252043009805395</stp>
        <tr r="Q124" s="18"/>
      </tp>
      <tp t="e">
        <v>#N/A</v>
        <stp/>
        <stp>BDH|7572537051053698936</stp>
        <tr r="M104" s="18"/>
      </tp>
      <tp t="e">
        <v>#N/A</v>
        <stp/>
        <stp>BDH|4054821304557497606</stp>
        <tr r="I71" s="13"/>
      </tp>
      <tp t="e">
        <v>#N/A</v>
        <stp/>
        <stp>BDH|2192279547719201019</stp>
        <tr r="V32" s="18"/>
      </tp>
      <tp t="e">
        <v>#N/A</v>
        <stp/>
        <stp>BDH|8487371616113127464</stp>
        <tr r="Q14" s="13"/>
      </tp>
      <tp t="e">
        <v>#N/A</v>
        <stp/>
        <stp>BDH|6255241255139724569</stp>
        <tr r="F22" s="14"/>
      </tp>
      <tp t="e">
        <v>#N/A</v>
        <stp/>
        <stp>BDH|9879587377973171540</stp>
        <tr r="G13" s="34"/>
      </tp>
      <tp t="e">
        <v>#N/A</v>
        <stp/>
        <stp>BDH|4745850080810209922</stp>
        <tr r="I168" s="18"/>
      </tp>
      <tp t="e">
        <v>#N/A</v>
        <stp/>
        <stp>BDH|9073248563730508006</stp>
        <tr r="AA28" s="22"/>
      </tp>
      <tp t="e">
        <v>#N/A</v>
        <stp/>
        <stp>BDH|5929889226254150642</stp>
        <tr r="G14" s="13"/>
      </tp>
      <tp t="e">
        <v>#N/A</v>
        <stp/>
        <stp>BDH|3726902386396195924</stp>
        <tr r="T71" s="18"/>
      </tp>
      <tp t="e">
        <v>#N/A</v>
        <stp/>
        <stp>BDH|6042420404356125944</stp>
        <tr r="Q35" s="4"/>
      </tp>
      <tp t="e">
        <v>#N/A</v>
        <stp/>
        <stp>BDH|6397969317121028212</stp>
        <tr r="Y13" s="23"/>
        <tr r="W58" s="11"/>
        <tr r="W38" s="4"/>
      </tp>
      <tp t="e">
        <v>#N/A</v>
        <stp/>
        <stp>BDH|5097169285169207821</stp>
        <tr r="S49" s="34"/>
      </tp>
      <tp t="e">
        <v>#N/A</v>
        <stp/>
        <stp>BDH|3975677789671167150</stp>
        <tr r="N58" s="18"/>
      </tp>
      <tp t="e">
        <v>#N/A</v>
        <stp/>
        <stp>BDH|8388593508276514648</stp>
        <tr r="L47" s="13"/>
      </tp>
      <tp t="e">
        <v>#N/A</v>
        <stp/>
        <stp>BDH|5885496482630923499</stp>
        <tr r="S23" s="21"/>
      </tp>
      <tp t="e">
        <v>#N/A</v>
        <stp/>
        <stp>BDH|4831097795648351844</stp>
        <tr r="C141" s="18"/>
      </tp>
      <tp t="e">
        <v>#N/A</v>
        <stp/>
        <stp>BDH|2000179553649280255</stp>
        <tr r="J6" s="20"/>
        <tr r="J112" s="18"/>
      </tp>
      <tp t="e">
        <v>#N/A</v>
        <stp/>
        <stp>BDH|9711536914458342802</stp>
        <tr r="Q173" s="18"/>
      </tp>
      <tp t="e">
        <v>#N/A</v>
        <stp/>
        <stp>BDH|1816191862678600363</stp>
        <tr r="O80" s="17"/>
      </tp>
      <tp t="e">
        <v>#N/A</v>
        <stp/>
        <stp>BDH|2718462480670231302</stp>
        <tr r="G17" s="20"/>
      </tp>
      <tp t="e">
        <v>#N/A</v>
        <stp/>
        <stp>BDH|7115557020124711901</stp>
        <tr r="AA86" s="17"/>
      </tp>
      <tp t="e">
        <v>#N/A</v>
        <stp/>
        <stp>BDH|4159541336479800687</stp>
        <tr r="I43" s="12"/>
      </tp>
      <tp t="e">
        <v>#N/A</v>
        <stp/>
        <stp>BDH|5408581431338905675</stp>
        <tr r="U24" s="24"/>
      </tp>
      <tp t="e">
        <v>#N/A</v>
        <stp/>
        <stp>BDH|2722471010438127223</stp>
        <tr r="Y44" s="24"/>
      </tp>
      <tp t="e">
        <v>#N/A</v>
        <stp/>
        <stp>BDH|9906879889904041042</stp>
        <tr r="K44" s="6"/>
      </tp>
      <tp t="e">
        <v>#N/A</v>
        <stp/>
        <stp>BDH|5078436234168265760</stp>
        <tr r="D16" s="26"/>
      </tp>
      <tp t="e">
        <v>#N/A</v>
        <stp/>
        <stp>BDH|6604868632671050112</stp>
        <tr r="Q74" s="18"/>
      </tp>
      <tp t="e">
        <v>#N/A</v>
        <stp/>
        <stp>BDH|9934172838282381462</stp>
        <tr r="O7" s="10"/>
      </tp>
      <tp t="e">
        <v>#N/A</v>
        <stp/>
        <stp>BDH|5573903618776625688</stp>
        <tr r="R8" s="22"/>
      </tp>
      <tp t="e">
        <v>#N/A</v>
        <stp/>
        <stp>BDH|1574138395112108616</stp>
        <tr r="Z15" s="14"/>
      </tp>
      <tp t="e">
        <v>#N/A</v>
        <stp/>
        <stp>BDH|7945406039618766549</stp>
        <tr r="U37" s="18"/>
      </tp>
      <tp t="e">
        <v>#N/A</v>
        <stp/>
        <stp>BDH|4487510267212578846</stp>
        <tr r="Z70" s="17"/>
        <tr r="W8" s="5"/>
        <tr r="W8" s="9"/>
      </tp>
      <tp t="e">
        <v>#N/A</v>
        <stp/>
        <stp>BDH|2930111669440058828</stp>
        <tr r="Q39" s="11"/>
        <tr r="Q50" s="10"/>
      </tp>
      <tp t="e">
        <v>#N/A</v>
        <stp/>
        <stp>BDH|2955811699566435868</stp>
        <tr r="F8" s="23"/>
      </tp>
      <tp t="e">
        <v>#N/A</v>
        <stp/>
        <stp>BDH|8769181369712089052</stp>
        <tr r="Z53" s="24"/>
      </tp>
      <tp t="e">
        <v>#N/A</v>
        <stp/>
        <stp>BDH|6595049041907476874</stp>
        <tr r="P92" s="12"/>
      </tp>
      <tp t="e">
        <v>#N/A</v>
        <stp/>
        <stp>BDH|2192938116430104768</stp>
        <tr r="J149" s="18"/>
      </tp>
      <tp t="e">
        <v>#N/A</v>
        <stp/>
        <stp>BDH|2781972901476018022</stp>
        <tr r="T62" s="21"/>
      </tp>
      <tp t="e">
        <v>#N/A</v>
        <stp/>
        <stp>BDH|8776015846101383006</stp>
        <tr r="G15" s="10"/>
      </tp>
      <tp t="e">
        <v>#N/A</v>
        <stp/>
        <stp>BDH|5904645412266921959</stp>
        <tr r="Z10" s="12"/>
      </tp>
      <tp t="e">
        <v>#N/A</v>
        <stp/>
        <stp>BDH|6708558463298341011</stp>
        <tr r="J10" s="23"/>
      </tp>
      <tp t="e">
        <v>#N/A</v>
        <stp/>
        <stp>BDH|2013299432658904611</stp>
        <tr r="O21" s="11"/>
      </tp>
      <tp t="e">
        <v>#N/A</v>
        <stp/>
        <stp>BDH|8383868048338783194</stp>
        <tr r="U17" s="18"/>
      </tp>
      <tp t="e">
        <v>#N/A</v>
        <stp/>
        <stp>BDH|2798365595734212155</stp>
        <tr r="V93" s="18"/>
      </tp>
      <tp t="e">
        <v>#N/A</v>
        <stp/>
        <stp>BDH|4828480085227763219</stp>
        <tr r="I132" s="18"/>
      </tp>
      <tp t="e">
        <v>#N/A</v>
        <stp/>
        <stp>BDH|7862457647643919909</stp>
        <tr r="O66" s="12"/>
      </tp>
      <tp t="e">
        <v>#N/A</v>
        <stp/>
        <stp>BDH|7241611695846561305</stp>
        <tr r="Z108" s="18"/>
      </tp>
      <tp t="e">
        <v>#N/A</v>
        <stp/>
        <stp>BDH|7201746213178399450</stp>
        <tr r="I7" s="20"/>
        <tr r="I113" s="18"/>
      </tp>
      <tp t="e">
        <v>#N/A</v>
        <stp/>
        <stp>BDH|3085145113467202958</stp>
        <tr r="K10" s="13"/>
      </tp>
      <tp t="e">
        <v>#N/A</v>
        <stp/>
        <stp>BDH|5226212600282244817</stp>
        <tr r="M42" s="11"/>
        <tr r="M53" s="10"/>
        <tr r="M8" s="7"/>
        <tr r="O11" s="3"/>
      </tp>
      <tp t="e">
        <v>#N/A</v>
        <stp/>
        <stp>BDH|7725868077980039560</stp>
        <tr r="G28" s="22"/>
      </tp>
      <tp t="e">
        <v>#N/A</v>
        <stp/>
        <stp>BDH|2657718563728382672</stp>
        <tr r="Q27" s="18"/>
      </tp>
      <tp t="e">
        <v>#N/A</v>
        <stp/>
        <stp>BDH|8481684907070841338</stp>
        <tr r="X52" s="17"/>
      </tp>
      <tp t="e">
        <v>#N/A</v>
        <stp/>
        <stp>BDH|9446324111737606114</stp>
        <tr r="F42" s="21"/>
      </tp>
      <tp t="e">
        <v>#N/A</v>
        <stp/>
        <stp>BDH|8445850287632487729</stp>
        <tr r="Y17" s="14"/>
      </tp>
      <tp t="e">
        <v>#N/A</v>
        <stp/>
        <stp>BDH|7715371615799564102</stp>
        <tr r="G32" s="26"/>
      </tp>
      <tp t="e">
        <v>#N/A</v>
        <stp/>
        <stp>BDH|9616990999742548630</stp>
        <tr r="G67" s="24"/>
      </tp>
      <tp t="e">
        <v>#N/A</v>
        <stp/>
        <stp>BDH|7262967397399472377</stp>
        <tr r="N32" s="9"/>
      </tp>
      <tp t="e">
        <v>#N/A</v>
        <stp/>
        <stp>BDH|2472822473612647232</stp>
        <tr r="Z12" s="12"/>
      </tp>
      <tp t="e">
        <v>#N/A</v>
        <stp/>
        <stp>BDH|9574549034636655438</stp>
        <tr r="Q58" s="12"/>
      </tp>
      <tp t="e">
        <v>#N/A</v>
        <stp/>
        <stp>BDH|2555902875253355235</stp>
        <tr r="G146" s="18"/>
      </tp>
      <tp t="e">
        <v>#N/A</v>
        <stp/>
        <stp>BDH|4022731096352461511</stp>
        <tr r="J46" s="18"/>
      </tp>
      <tp t="e">
        <v>#N/A</v>
        <stp/>
        <stp>BDH|4030858715344275428</stp>
        <tr r="O28" s="9"/>
        <tr r="O30" s="5"/>
      </tp>
      <tp t="e">
        <v>#N/A</v>
        <stp/>
        <stp>BDH|8652259143923112013</stp>
        <tr r="D36" s="34"/>
      </tp>
      <tp t="e">
        <v>#N/A</v>
        <stp/>
        <stp>BDH|1622328282353179479</stp>
        <tr r="C107" s="18"/>
      </tp>
      <tp t="e">
        <v>#N/A</v>
        <stp/>
        <stp>BDH|2849833815927906178</stp>
        <tr r="C66" s="24"/>
      </tp>
      <tp t="e">
        <v>#N/A</v>
        <stp/>
        <stp>BDH|8935703528613192309</stp>
        <tr r="J47" s="24"/>
      </tp>
      <tp t="e">
        <v>#N/A</v>
        <stp/>
        <stp>BDH|8434081430151448781</stp>
        <tr r="I8" s="25"/>
        <tr r="F10" s="5"/>
        <tr r="G9" s="2"/>
      </tp>
      <tp t="e">
        <v>#N/A</v>
        <stp/>
        <stp>BDH|5529040400961409952</stp>
        <tr r="Q52" s="22"/>
      </tp>
      <tp t="e">
        <v>#N/A</v>
        <stp/>
        <stp>BDH|7733125182674089771</stp>
        <tr r="V91" s="18"/>
      </tp>
      <tp t="e">
        <v>#N/A</v>
        <stp/>
        <stp>BDH|3599494285621037391</stp>
        <tr r="M22" s="10"/>
      </tp>
      <tp t="e">
        <v>#N/A</v>
        <stp/>
        <stp>BDH|4647338164448092419</stp>
        <tr r="C14" s="11"/>
      </tp>
      <tp t="e">
        <v>#N/A</v>
        <stp/>
        <stp>BDH|6446322941068489436</stp>
        <tr r="AA45" s="22"/>
      </tp>
      <tp t="e">
        <v>#N/A</v>
        <stp/>
        <stp>BDH|9814409116140820163</stp>
        <tr r="U43" s="22"/>
      </tp>
      <tp t="e">
        <v>#N/A</v>
        <stp/>
        <stp>BDH|6593804797618406263</stp>
        <tr r="X24" s="10"/>
      </tp>
      <tp t="e">
        <v>#N/A</v>
        <stp/>
        <stp>BDH|1941613849837460951</stp>
        <tr r="F21" s="10"/>
      </tp>
      <tp t="e">
        <v>#N/A</v>
        <stp/>
        <stp>BDH|9587857511119807495</stp>
        <tr r="M11" s="29"/>
      </tp>
      <tp t="e">
        <v>#N/A</v>
        <stp/>
        <stp>BDH|2701088353412865841</stp>
        <tr r="R47" s="34"/>
      </tp>
      <tp t="e">
        <v>#N/A</v>
        <stp/>
        <stp>BDH|4806224280522992132</stp>
        <tr r="O16" s="23"/>
      </tp>
      <tp t="e">
        <v>#N/A</v>
        <stp/>
        <stp>BDH|8149143323626727019</stp>
        <tr r="Y61" s="12"/>
      </tp>
      <tp t="e">
        <v>#N/A</v>
        <stp/>
        <stp>BDH|7197404082664329203</stp>
        <tr r="AA55" s="24"/>
      </tp>
      <tp t="e">
        <v>#N/A</v>
        <stp/>
        <stp>BDH|9556571907464293574</stp>
        <tr r="AA32" s="18"/>
      </tp>
      <tp t="e">
        <v>#N/A</v>
        <stp/>
        <stp>BDH|5205497208804651856</stp>
        <tr r="Q50" s="12"/>
      </tp>
      <tp t="e">
        <v>#N/A</v>
        <stp/>
        <stp>BDH|2287185591630819736</stp>
        <tr r="R12" s="18"/>
      </tp>
      <tp t="e">
        <v>#N/A</v>
        <stp/>
        <stp>BDH|2844253317775374998</stp>
        <tr r="M88" s="12"/>
      </tp>
      <tp t="e">
        <v>#N/A</v>
        <stp/>
        <stp>BDH|8868697100986649573</stp>
        <tr r="M47" s="18"/>
      </tp>
      <tp t="e">
        <v>#N/A</v>
        <stp/>
        <stp>BDH|4021248284194623766</stp>
        <tr r="M16" s="21"/>
      </tp>
      <tp t="e">
        <v>#N/A</v>
        <stp/>
        <stp>BDH|4104041255154865888</stp>
        <tr r="O24" s="20"/>
      </tp>
      <tp t="e">
        <v>#N/A</v>
        <stp/>
        <stp>BDH|4377077572039637712</stp>
        <tr r="C8" s="11"/>
      </tp>
      <tp t="e">
        <v>#N/A</v>
        <stp/>
        <stp>BDH|4132018135388502219</stp>
        <tr r="F16" s="21"/>
      </tp>
      <tp t="e">
        <v>#N/A</v>
        <stp/>
        <stp>BDH|1546031130057264853</stp>
        <tr r="N14" s="12"/>
      </tp>
      <tp t="e">
        <v>#N/A</v>
        <stp/>
        <stp>BDH|5647983798681557924</stp>
        <tr r="O49" s="34"/>
      </tp>
      <tp t="e">
        <v>#N/A</v>
        <stp/>
        <stp>BDH|3116593592181862335</stp>
        <tr r="S52" s="12"/>
      </tp>
      <tp t="e">
        <v>#N/A</v>
        <stp/>
        <stp>BDH|6191959143594720217</stp>
        <tr r="O10" s="13"/>
      </tp>
      <tp t="e">
        <v>#N/A</v>
        <stp/>
        <stp>BDH|1384903990484140838</stp>
        <tr r="X31" s="5"/>
      </tp>
      <tp t="e">
        <v>#N/A</v>
        <stp/>
        <stp>BDH|9192135662051978288</stp>
        <tr r="W76" s="18"/>
      </tp>
      <tp t="e">
        <v>#N/A</v>
        <stp/>
        <stp>BDH|6510651708445957803</stp>
        <tr r="O10" s="25"/>
        <tr r="O55" s="17"/>
      </tp>
      <tp t="e">
        <v>#N/A</v>
        <stp/>
        <stp>BDH|1775610094501345204</stp>
        <tr r="H12" s="25"/>
      </tp>
      <tp t="e">
        <v>#N/A</v>
        <stp/>
        <stp>BDH|1535062721676507865</stp>
        <tr r="R94" s="12"/>
      </tp>
      <tp t="e">
        <v>#N/A</v>
        <stp/>
        <stp>BDH|8916309430986869305</stp>
        <tr r="E16" s="6"/>
      </tp>
      <tp t="e">
        <v>#N/A</v>
        <stp/>
        <stp>BDH|5345327571645700960</stp>
        <tr r="Q6" s="19"/>
        <tr r="Q38" s="17"/>
        <tr r="Q16" s="3"/>
      </tp>
      <tp t="e">
        <v>#N/A</v>
        <stp/>
        <stp>BDH|5656209488945860776</stp>
        <tr r="C18" s="24"/>
      </tp>
      <tp t="e">
        <v>#N/A</v>
        <stp/>
        <stp>BDH|8946200240765872601</stp>
        <tr r="U42" s="18"/>
      </tp>
      <tp t="e">
        <v>#N/A</v>
        <stp/>
        <stp>BDH|3659103284047643057</stp>
        <tr r="W26" s="22"/>
      </tp>
      <tp t="e">
        <v>#N/A</v>
        <stp/>
        <stp>BDH|2919023673201961903</stp>
        <tr r="D44" s="24"/>
      </tp>
      <tp t="e">
        <v>#N/A</v>
        <stp/>
        <stp>BDH|9821978133488437698</stp>
        <tr r="U34" s="25"/>
        <tr r="U16" s="27"/>
      </tp>
      <tp t="e">
        <v>#N/A</v>
        <stp/>
        <stp>BDH|8033013964307371471</stp>
        <tr r="N88" s="17"/>
      </tp>
      <tp t="e">
        <v>#N/A</v>
        <stp/>
        <stp>BDH|1570349080615054209</stp>
        <tr r="C59" s="18"/>
      </tp>
      <tp t="e">
        <v>#N/A</v>
        <stp/>
        <stp>BDH|8947187147650086079</stp>
        <tr r="C16" s="14"/>
      </tp>
      <tp t="e">
        <v>#N/A</v>
        <stp/>
        <stp>BDH|1720576442375330800</stp>
        <tr r="AA89" s="12"/>
      </tp>
      <tp t="e">
        <v>#N/A</v>
        <stp/>
        <stp>BDH|5662217474214220906</stp>
        <tr r="E8" s="12"/>
      </tp>
      <tp t="e">
        <v>#N/A</v>
        <stp/>
        <stp>BDH|2818110576689907070</stp>
        <tr r="Y8" s="13"/>
      </tp>
      <tp t="e">
        <v>#N/A</v>
        <stp/>
        <stp>BDH|9592982665742888913</stp>
        <tr r="T22" s="30"/>
        <tr r="T24" s="23"/>
      </tp>
      <tp t="e">
        <v>#N/A</v>
        <stp/>
        <stp>BDH|4870511743228240096</stp>
        <tr r="N58" s="12"/>
      </tp>
      <tp t="e">
        <v>#N/A</v>
        <stp/>
        <stp>BDH|9913979458880673811</stp>
        <tr r="V77" s="18"/>
      </tp>
      <tp t="e">
        <v>#N/A</v>
        <stp/>
        <stp>BDH|6685965146793744508</stp>
        <tr r="V42" s="22"/>
      </tp>
      <tp t="e">
        <v>#N/A</v>
        <stp/>
        <stp>BDH|5038814962046672049</stp>
        <tr r="G70" s="10"/>
      </tp>
      <tp t="e">
        <v>#N/A</v>
        <stp/>
        <stp>BDH|8336148906663936797</stp>
        <tr r="K27" s="17"/>
      </tp>
      <tp t="e">
        <v>#N/A</v>
        <stp/>
        <stp>BDH|9188302117250773607</stp>
        <tr r="P49" s="13"/>
      </tp>
      <tp t="e">
        <v>#N/A</v>
        <stp/>
        <stp>BDH|5586173625293631802</stp>
        <tr r="H42" s="34"/>
      </tp>
      <tp t="e">
        <v>#N/A</v>
        <stp/>
        <stp>BDH|9877335228821404460</stp>
        <tr r="F17" s="22"/>
      </tp>
      <tp t="e">
        <v>#N/A</v>
        <stp/>
        <stp>BDH|3294525619498821200</stp>
        <tr r="P16" s="25"/>
      </tp>
      <tp t="e">
        <v>#N/A</v>
        <stp/>
        <stp>BDH|7782603742201142950</stp>
        <tr r="U22" s="20"/>
      </tp>
      <tp t="e">
        <v>#N/A</v>
        <stp/>
        <stp>BDH|4344304883661789363</stp>
        <tr r="U34" s="6"/>
      </tp>
      <tp t="e">
        <v>#N/A</v>
        <stp/>
        <stp>BDH|3737169690661729773</stp>
        <tr r="L32" s="9"/>
      </tp>
      <tp t="e">
        <v>#N/A</v>
        <stp/>
        <stp>BDH|9580478654004798104</stp>
        <tr r="H19" s="22"/>
      </tp>
      <tp t="e">
        <v>#N/A</v>
        <stp/>
        <stp>BDH|9186363015607003131</stp>
        <tr r="I10" s="23"/>
      </tp>
      <tp t="e">
        <v>#N/A</v>
        <stp/>
        <stp>BDH|9157013657864226540</stp>
        <tr r="U38" s="6"/>
      </tp>
      <tp t="e">
        <v>#N/A</v>
        <stp/>
        <stp>BDH|2250705054129550428</stp>
        <tr r="Q22" s="10"/>
      </tp>
      <tp t="e">
        <v>#N/A</v>
        <stp/>
        <stp>BDH|5311026255319195442</stp>
        <tr r="T25" s="21"/>
      </tp>
      <tp t="e">
        <v>#N/A</v>
        <stp/>
        <stp>BDH|1296104767488113357</stp>
        <tr r="L18" s="25"/>
      </tp>
      <tp t="e">
        <v>#N/A</v>
        <stp/>
        <stp>BDH|3046024721609181530</stp>
        <tr r="M20" s="18"/>
      </tp>
      <tp t="e">
        <v>#N/A</v>
        <stp/>
        <stp>BDH|5705358464364475932</stp>
        <tr r="X167" s="18"/>
      </tp>
      <tp t="e">
        <v>#N/A</v>
        <stp/>
        <stp>BDH|2262769499324949556</stp>
        <tr r="I45" s="11"/>
        <tr r="I56" s="10"/>
        <tr r="I16" s="7"/>
      </tp>
      <tp t="e">
        <v>#N/A</v>
        <stp/>
        <stp>BDH|5161074349235123983</stp>
        <tr r="M54" s="24"/>
      </tp>
      <tp t="e">
        <v>#N/A</v>
        <stp/>
        <stp>BDH|7392809413835186671</stp>
        <tr r="T48" s="17"/>
      </tp>
      <tp t="e">
        <v>#N/A</v>
        <stp/>
        <stp>BDH|9156696470725763093</stp>
        <tr r="S45" s="12"/>
      </tp>
      <tp t="e">
        <v>#N/A</v>
        <stp/>
        <stp>BDH|5115729886750466778</stp>
        <tr r="D17" s="30"/>
      </tp>
      <tp t="e">
        <v>#N/A</v>
        <stp/>
        <stp>BDH|7045821170794677124</stp>
        <tr r="K43" s="12"/>
      </tp>
      <tp t="e">
        <v>#N/A</v>
        <stp/>
        <stp>BDH|9615682459702336527</stp>
        <tr r="H49" s="6"/>
      </tp>
      <tp t="e">
        <v>#N/A</v>
        <stp/>
        <stp>BDH|5714185286035965462</stp>
        <tr r="D18" s="17"/>
      </tp>
      <tp t="e">
        <v>#N/A</v>
        <stp/>
        <stp>BDH|4720855202065236444</stp>
        <tr r="O29" s="24"/>
      </tp>
      <tp t="e">
        <v>#N/A</v>
        <stp/>
        <stp>BDH|7135514401537714800</stp>
        <tr r="U40" s="22"/>
      </tp>
      <tp t="e">
        <v>#N/A</v>
        <stp/>
        <stp>BDH|4872974962687823134</stp>
        <tr r="H28" s="6"/>
      </tp>
      <tp t="e">
        <v>#N/A</v>
        <stp/>
        <stp>BDH|4765907464725040351</stp>
        <tr r="S18" s="28"/>
        <tr r="S15" s="17"/>
      </tp>
      <tp t="e">
        <v>#N/A</v>
        <stp/>
        <stp>BDH|6490794649798281001</stp>
        <tr r="U12" s="21"/>
      </tp>
      <tp t="e">
        <v>#N/A</v>
        <stp/>
        <stp>BDH|5807838731003582092</stp>
        <tr r="T77" s="18"/>
      </tp>
      <tp t="e">
        <v>#N/A</v>
        <stp/>
        <stp>BDH|9501100688554258992</stp>
        <tr r="G19" s="20"/>
      </tp>
      <tp t="e">
        <v>#N/A</v>
        <stp/>
        <stp>BDH|5863512339679429725</stp>
        <tr r="L85" s="17"/>
      </tp>
      <tp t="e">
        <v>#N/A</v>
        <stp/>
        <stp>BDH|7031553954113376943</stp>
        <tr r="Y143" s="18"/>
      </tp>
      <tp t="e">
        <v>#N/A</v>
        <stp/>
        <stp>BDH|8406156652981021058</stp>
        <tr r="U58" s="17"/>
      </tp>
      <tp t="e">
        <v>#N/A</v>
        <stp/>
        <stp>BDH|3017111795535408360</stp>
        <tr r="C23" s="24"/>
      </tp>
      <tp t="e">
        <v>#N/A</v>
        <stp/>
        <stp>BDH|8362337489208620695</stp>
        <tr r="F90" s="12"/>
      </tp>
      <tp t="e">
        <v>#N/A</v>
        <stp/>
        <stp>BDH|1215041652770416962</stp>
        <tr r="S65" s="17"/>
      </tp>
      <tp t="e">
        <v>#N/A</v>
        <stp/>
        <stp>BDH|3618731534308643213</stp>
        <tr r="N18" s="23"/>
      </tp>
      <tp t="e">
        <v>#N/A</v>
        <stp/>
        <stp>BDH|2482409962755357837</stp>
        <tr r="D38" s="13"/>
      </tp>
      <tp t="e">
        <v>#N/A</v>
        <stp/>
        <stp>BDH|1446338106909450636</stp>
        <tr r="V45" s="11"/>
        <tr r="V56" s="10"/>
        <tr r="V16" s="7"/>
      </tp>
      <tp t="e">
        <v>#N/A</v>
        <stp/>
        <stp>BDH|3715456524058075006</stp>
        <tr r="C35" s="26"/>
      </tp>
      <tp t="e">
        <v>#N/A</v>
        <stp/>
        <stp>BDH|1787078134069079621</stp>
        <tr r="E26" s="17"/>
      </tp>
      <tp t="e">
        <v>#N/A</v>
        <stp/>
        <stp>BDH|5272567795182201658</stp>
        <tr r="U8" s="10"/>
      </tp>
      <tp t="e">
        <v>#N/A</v>
        <stp/>
        <stp>BDH|8305142784288187441</stp>
        <tr r="C19" s="34"/>
      </tp>
      <tp t="e">
        <v>#N/A</v>
        <stp/>
        <stp>BDH|2492715699624229581</stp>
        <tr r="F27" s="24"/>
      </tp>
      <tp t="e">
        <v>#N/A</v>
        <stp/>
        <stp>BDH|6209005666534293900</stp>
        <tr r="H105" s="18"/>
      </tp>
      <tp t="e">
        <v>#N/A</v>
        <stp/>
        <stp>BDH|9290304245686373525</stp>
        <tr r="V10" s="24"/>
      </tp>
      <tp t="e">
        <v>#N/A</v>
        <stp/>
        <stp>BDH|2794537803738763267</stp>
        <tr r="D9" s="27"/>
      </tp>
      <tp t="e">
        <v>#N/A</v>
        <stp/>
        <stp>BDH|8037825056691682940</stp>
        <tr r="O62" s="21"/>
      </tp>
      <tp t="e">
        <v>#N/A</v>
        <stp/>
        <stp>BDH|9127558645387364247</stp>
        <tr r="N152" s="18"/>
      </tp>
      <tp t="e">
        <v>#N/A</v>
        <stp/>
        <stp>BDH|3323956275808270870</stp>
        <tr r="F76" s="12"/>
      </tp>
      <tp t="e">
        <v>#N/A</v>
        <stp/>
        <stp>BDH|6799224085710642105</stp>
        <tr r="R17" s="18"/>
      </tp>
      <tp t="e">
        <v>#N/A</v>
        <stp/>
        <stp>BDH|6742649431127643922</stp>
        <tr r="R6" s="8"/>
        <tr r="P51" s="6"/>
      </tp>
      <tp t="e">
        <v>#N/A</v>
        <stp/>
        <stp>BDH|9166241760673537368</stp>
        <tr r="L31" s="29"/>
      </tp>
      <tp t="e">
        <v>#N/A</v>
        <stp/>
        <stp>BDH|1843796340037601818</stp>
        <tr r="W8" s="18"/>
      </tp>
      <tp t="e">
        <v>#N/A</v>
        <stp/>
        <stp>BDH|9590730277890435438</stp>
        <tr r="D20" s="14"/>
      </tp>
      <tp t="e">
        <v>#N/A</v>
        <stp/>
        <stp>BDH|4867643598066106038</stp>
        <tr r="W52" s="22"/>
      </tp>
      <tp t="e">
        <v>#N/A</v>
        <stp/>
        <stp>BDH|4144855171980445671</stp>
        <tr r="L34" s="12"/>
      </tp>
      <tp t="e">
        <v>#N/A</v>
        <stp/>
        <stp>BDH|3389010710559158654</stp>
        <tr r="Y15" s="25"/>
      </tp>
      <tp t="e">
        <v>#N/A</v>
        <stp/>
        <stp>BDH|4871872424414999744</stp>
        <tr r="N71" s="24"/>
      </tp>
      <tp t="e">
        <v>#N/A</v>
        <stp/>
        <stp>BDH|1208068774212067960</stp>
        <tr r="C33" s="29"/>
        <tr r="C42" s="29"/>
      </tp>
      <tp t="e">
        <v>#N/A</v>
        <stp/>
        <stp>BDH|8155337977372796347</stp>
        <tr r="V15" s="22"/>
      </tp>
      <tp t="e">
        <v>#N/A</v>
        <stp/>
        <stp>BDH|5875208893324806753</stp>
        <tr r="J23" s="22"/>
      </tp>
      <tp t="e">
        <v>#N/A</v>
        <stp/>
        <stp>BDH|7383741962623258814</stp>
        <tr r="Q32" s="26"/>
      </tp>
      <tp t="e">
        <v>#N/A</v>
        <stp/>
        <stp>BDH|1772324254872426837</stp>
        <tr r="C13" s="9"/>
      </tp>
      <tp t="e">
        <v>#N/A</v>
        <stp/>
        <stp>BDH|1111203993237286066</stp>
        <tr r="V125" s="18"/>
      </tp>
      <tp t="e">
        <v>#N/A</v>
        <stp/>
        <stp>BDH|9625938237316529815</stp>
        <tr r="D45" s="12"/>
      </tp>
      <tp t="e">
        <v>#N/A</v>
        <stp/>
        <stp>BDH|4206166118498941127</stp>
        <tr r="J17" s="24"/>
      </tp>
      <tp t="e">
        <v>#N/A</v>
        <stp/>
        <stp>BDH|9674210515857082057</stp>
        <tr r="L43" s="34"/>
      </tp>
      <tp t="e">
        <v>#N/A</v>
        <stp/>
        <stp>BDH|8470909914808229554</stp>
        <tr r="S85" s="18"/>
      </tp>
      <tp t="e">
        <v>#N/A</v>
        <stp/>
        <stp>BDH|8916027817761848535</stp>
        <tr r="F9" s="28"/>
      </tp>
      <tp t="e">
        <v>#N/A</v>
        <stp/>
        <stp>BDH|3554358666178488354</stp>
        <tr r="D63" s="11"/>
        <tr r="D74" s="10"/>
      </tp>
      <tp t="e">
        <v>#N/A</v>
        <stp/>
        <stp>BDH|8451811327236769920</stp>
        <tr r="L13" s="18"/>
      </tp>
      <tp t="e">
        <v>#N/A</v>
        <stp/>
        <stp>BDH|6418850717504609677</stp>
        <tr r="X134" s="18"/>
      </tp>
      <tp t="e">
        <v>#N/A</v>
        <stp/>
        <stp>BDH|7006833487208154227</stp>
        <tr r="P48" s="18"/>
      </tp>
      <tp t="e">
        <v>#N/A</v>
        <stp/>
        <stp>BDH|2892983588837655994</stp>
        <tr r="S38" s="13"/>
        <tr r="Q31" s="10"/>
      </tp>
      <tp t="e">
        <v>#N/A</v>
        <stp/>
        <stp>BDH|7028796880283654680</stp>
        <tr r="I21" s="4"/>
      </tp>
      <tp t="e">
        <v>#N/A</v>
        <stp/>
        <stp>BDH|9530607113294538747</stp>
        <tr r="J46" s="34"/>
      </tp>
      <tp t="e">
        <v>#N/A</v>
        <stp/>
        <stp>BDH|8349573000546617651</stp>
        <tr r="C49" s="12"/>
      </tp>
      <tp t="e">
        <v>#N/A</v>
        <stp/>
        <stp>BDH|7894917028021791012</stp>
        <tr r="I8" s="8"/>
      </tp>
      <tp t="e">
        <v>#N/A</v>
        <stp/>
        <stp>BDH|8626694129210076116</stp>
        <tr r="U78" s="17"/>
        <tr r="R9" s="5"/>
        <tr r="R9" s="9"/>
      </tp>
      <tp t="e">
        <v>#N/A</v>
        <stp/>
        <stp>BDH|2248830870777345752</stp>
        <tr r="Z28" s="17"/>
      </tp>
      <tp t="e">
        <v>#N/A</v>
        <stp/>
        <stp>BDH|6728196499696302536</stp>
        <tr r="I30" s="34"/>
      </tp>
      <tp t="e">
        <v>#N/A</v>
        <stp/>
        <stp>BDH|9156387153144804657</stp>
        <tr r="K65" s="12"/>
      </tp>
      <tp t="e">
        <v>#N/A</v>
        <stp/>
        <stp>BDH|7614919063314295116</stp>
        <tr r="Y19" s="13"/>
        <tr r="W65" s="10"/>
        <tr r="W16" s="2"/>
        <tr r="W32" s="4"/>
      </tp>
      <tp t="e">
        <v>#N/A</v>
        <stp/>
        <stp>BDH|9720049302715582130</stp>
        <tr r="G20" s="5"/>
      </tp>
      <tp t="e">
        <v>#N/A</v>
        <stp/>
        <stp>BDH|9130072311623022601</stp>
        <tr r="G24" s="10"/>
      </tp>
      <tp t="e">
        <v>#N/A</v>
        <stp/>
        <stp>BDH|8771064436391418746</stp>
        <tr r="O87" s="17"/>
      </tp>
      <tp t="e">
        <v>#N/A</v>
        <stp/>
        <stp>BDH|6503880759826183027</stp>
        <tr r="T46" s="34"/>
      </tp>
      <tp t="e">
        <v>#N/A</v>
        <stp/>
        <stp>BDH|3600466916369527240</stp>
        <tr r="R11" s="21"/>
      </tp>
      <tp t="e">
        <v>#N/A</v>
        <stp/>
        <stp>BDH|8668319272521243006</stp>
        <tr r="AA43" s="21"/>
      </tp>
      <tp t="e">
        <v>#N/A</v>
        <stp/>
        <stp>BDH|3695904963285560472</stp>
        <tr r="N30" s="21"/>
      </tp>
      <tp t="e">
        <v>#N/A</v>
        <stp/>
        <stp>BDH|8870587677771641668</stp>
        <tr r="Q104" s="18"/>
      </tp>
      <tp t="e">
        <v>#N/A</v>
        <stp/>
        <stp>BDH|7310482338884072947</stp>
        <tr r="Q62" s="21"/>
      </tp>
      <tp t="e">
        <v>#N/A</v>
        <stp/>
        <stp>BDH|8555882091975972124</stp>
        <tr r="I68" s="12"/>
      </tp>
      <tp t="e">
        <v>#N/A</v>
        <stp/>
        <stp>BDH|8296732254490430761</stp>
        <tr r="J28" s="4"/>
      </tp>
      <tp t="e">
        <v>#N/A</v>
        <stp/>
        <stp>BDH|1410241653699036248</stp>
        <tr r="M96" s="12"/>
      </tp>
      <tp t="e">
        <v>#N/A</v>
        <stp/>
        <stp>BDH|6154834313016673409</stp>
        <tr r="Y70" s="10"/>
      </tp>
      <tp t="e">
        <v>#N/A</v>
        <stp/>
        <stp>BDH|6237199403078701285</stp>
        <tr r="W8" s="25"/>
        <tr r="U9" s="2"/>
        <tr r="T10" s="5"/>
      </tp>
      <tp t="e">
        <v>#N/A</v>
        <stp/>
        <stp>BDH|5432169710051230976</stp>
        <tr r="F16" s="26"/>
      </tp>
      <tp t="e">
        <v>#N/A</v>
        <stp/>
        <stp>BDH|7919980644142071528</stp>
        <tr r="Q132" s="18"/>
      </tp>
      <tp t="e">
        <v>#N/A</v>
        <stp/>
        <stp>BDH|3348449518912125998</stp>
        <tr r="D9" s="10"/>
      </tp>
      <tp t="e">
        <v>#N/A</v>
        <stp/>
        <stp>BDH|2242240628016357990</stp>
        <tr r="Y96" s="12"/>
      </tp>
      <tp t="e">
        <v>#N/A</v>
        <stp/>
        <stp>BDH|7215232692055319443</stp>
        <tr r="U140" s="18"/>
      </tp>
      <tp t="e">
        <v>#N/A</v>
        <stp/>
        <stp>BDH|3196910283947655815</stp>
        <tr r="J6" s="15"/>
        <tr r="J6" s="10"/>
        <tr r="J12" s="2"/>
        <tr r="J11" s="4"/>
      </tp>
      <tp t="e">
        <v>#N/A</v>
        <stp/>
        <stp>BDH|8771330341555601772</stp>
        <tr r="X42" s="21"/>
      </tp>
      <tp t="e">
        <v>#N/A</v>
        <stp/>
        <stp>BDH|5679922800768810983</stp>
        <tr r="AA28" s="18"/>
      </tp>
      <tp t="e">
        <v>#N/A</v>
        <stp/>
        <stp>BDH|4359456912474309837</stp>
        <tr r="Y16" s="24"/>
      </tp>
      <tp t="e">
        <v>#N/A</v>
        <stp/>
        <stp>BDH|1766229803649625748</stp>
        <tr r="W35" s="17"/>
      </tp>
      <tp t="e">
        <v>#N/A</v>
        <stp/>
        <stp>BDH|7408820613510700366</stp>
        <tr r="M6" s="8"/>
        <tr r="K51" s="6"/>
      </tp>
      <tp t="e">
        <v>#N/A</v>
        <stp/>
        <stp>BDH|4380996348885631106</stp>
        <tr r="I29" s="14"/>
      </tp>
      <tp t="e">
        <v>#N/A</v>
        <stp/>
        <stp>BDH|1903703028789770020</stp>
        <tr r="P33" s="22"/>
      </tp>
      <tp t="e">
        <v>#N/A</v>
        <stp/>
        <stp>BDH|1745208884110678618</stp>
        <tr r="R10" s="25"/>
        <tr r="R55" s="17"/>
      </tp>
      <tp t="e">
        <v>#N/A</v>
        <stp/>
        <stp>BDH|4145674170678655041</stp>
        <tr r="C58" s="24"/>
      </tp>
      <tp t="e">
        <v>#N/A</v>
        <stp/>
        <stp>BDH|7779716502274997998</stp>
        <tr r="V10" s="21"/>
      </tp>
      <tp t="e">
        <v>#N/A</v>
        <stp/>
        <stp>BDH|7616798058218172029</stp>
        <tr r="G157" s="18"/>
      </tp>
      <tp t="e">
        <v>#N/A</v>
        <stp/>
        <stp>BDH|7244933851122678424</stp>
        <tr r="W37" s="18"/>
      </tp>
      <tp t="e">
        <v>#N/A</v>
        <stp/>
        <stp>BDH|5834906601686548783</stp>
        <tr r="D152" s="18"/>
      </tp>
      <tp t="e">
        <v>#N/A</v>
        <stp/>
        <stp>BDH|6757556537059341420</stp>
        <tr r="D30" s="18"/>
      </tp>
      <tp t="e">
        <v>#N/A</v>
        <stp/>
        <stp>BDH|1379261834785518806</stp>
        <tr r="O8" s="21"/>
      </tp>
      <tp t="e">
        <v>#N/A</v>
        <stp/>
        <stp>BDH|5448281565928478492</stp>
        <tr r="E19" s="5"/>
        <tr r="E46" s="6"/>
      </tp>
      <tp t="e">
        <v>#N/A</v>
        <stp/>
        <stp>BDH|8848510118883162243</stp>
        <tr r="D7" s="9"/>
        <tr r="E7" s="2"/>
        <tr r="D7" s="5"/>
        <tr r="G14" s="3"/>
      </tp>
      <tp t="e">
        <v>#N/A</v>
        <stp/>
        <stp>BDH|3063658948529101582</stp>
        <tr r="P18" s="25"/>
      </tp>
      <tp t="e">
        <v>#N/A</v>
        <stp/>
        <stp>BDH|7927686205848511455</stp>
        <tr r="S141" s="18"/>
      </tp>
      <tp t="e">
        <v>#N/A</v>
        <stp/>
        <stp>BDH|1417041240568698024</stp>
        <tr r="K25" s="21"/>
      </tp>
      <tp t="e">
        <v>#N/A</v>
        <stp/>
        <stp>BDH|2206645476579281763</stp>
        <tr r="V19" s="30"/>
      </tp>
      <tp t="e">
        <v>#N/A</v>
        <stp/>
        <stp>BDH|8173368220891359508</stp>
        <tr r="Q10" s="22"/>
      </tp>
      <tp t="e">
        <v>#N/A</v>
        <stp/>
        <stp>BDH|1683848577836132507</stp>
        <tr r="R33" s="12"/>
      </tp>
      <tp t="e">
        <v>#N/A</v>
        <stp/>
        <stp>BDH|8784478213516707609</stp>
        <tr r="S85" s="17"/>
      </tp>
      <tp t="e">
        <v>#N/A</v>
        <stp/>
        <stp>BDH|8412954284173833798</stp>
        <tr r="T62" s="12"/>
      </tp>
      <tp t="e">
        <v>#N/A</v>
        <stp/>
        <stp>BDH|9888543867401795689</stp>
        <tr r="W8" s="20"/>
        <tr r="W114" s="18"/>
      </tp>
      <tp t="e">
        <v>#N/A</v>
        <stp/>
        <stp>BDH|2025839679537963777</stp>
        <tr r="D96" s="17"/>
      </tp>
      <tp t="e">
        <v>#N/A</v>
        <stp/>
        <stp>BDH|4573756026145678948</stp>
        <tr r="G88" s="18"/>
      </tp>
      <tp t="e">
        <v>#N/A</v>
        <stp/>
        <stp>BDH|5210857426776495416</stp>
        <tr r="N17" s="6"/>
      </tp>
      <tp t="e">
        <v>#N/A</v>
        <stp/>
        <stp>BDH|6397531549383861953</stp>
        <tr r="AA49" s="17"/>
      </tp>
      <tp t="e">
        <v>#N/A</v>
        <stp/>
        <stp>BDH|7634952447796767161</stp>
        <tr r="I88" s="17"/>
      </tp>
      <tp t="e">
        <v>#N/A</v>
        <stp/>
        <stp>BDH|1372803075987245418</stp>
        <tr r="F8" s="26"/>
        <tr r="C10" s="9"/>
      </tp>
      <tp t="e">
        <v>#N/A</v>
        <stp/>
        <stp>BDH|9795276551735217669</stp>
        <tr r="U98" s="18"/>
      </tp>
      <tp t="e">
        <v>#N/A</v>
        <stp/>
        <stp>BDH|1251679891941408255</stp>
        <tr r="V54" s="12"/>
      </tp>
      <tp t="e">
        <v>#N/A</v>
        <stp/>
        <stp>BDH|3343126815678936687</stp>
        <tr r="D10" s="21"/>
      </tp>
      <tp t="e">
        <v>#N/A</v>
        <stp/>
        <stp>BDH|9190126572266681426</stp>
        <tr r="T54" s="18"/>
      </tp>
      <tp t="e">
        <v>#N/A</v>
        <stp/>
        <stp>BDH|6309351077569541613</stp>
        <tr r="C14" s="22"/>
      </tp>
      <tp t="e">
        <v>#N/A</v>
        <stp/>
        <stp>BDH|9303870726389563726</stp>
        <tr r="Q161" s="18"/>
      </tp>
      <tp t="e">
        <v>#N/A</v>
        <stp/>
        <stp>BDH|2979832433250968453</stp>
        <tr r="N10" s="25"/>
        <tr r="N55" s="17"/>
      </tp>
      <tp t="e">
        <v>#N/A</v>
        <stp/>
        <stp>BDH|1885272698257087025</stp>
        <tr r="X46" s="13"/>
        <tr r="V41" s="10"/>
        <tr r="V30" s="11"/>
      </tp>
      <tp t="e">
        <v>#N/A</v>
        <stp/>
        <stp>BDH|5028261236350732926</stp>
        <tr r="U63" s="21"/>
      </tp>
      <tp t="e">
        <v>#N/A</v>
        <stp/>
        <stp>BDH|3221666984274524401</stp>
        <tr r="W40" s="13"/>
        <tr r="U33" s="10"/>
      </tp>
      <tp t="e">
        <v>#N/A</v>
        <stp/>
        <stp>BDH|3343942616706233066</stp>
        <tr r="M108" s="18"/>
      </tp>
      <tp t="e">
        <v>#N/A</v>
        <stp/>
        <stp>BDH|3585058691656206162</stp>
        <tr r="Q150" s="18"/>
      </tp>
      <tp t="e">
        <v>#N/A</v>
        <stp/>
        <stp>BDH|3566200804678544410</stp>
        <tr r="E128" s="18"/>
      </tp>
      <tp t="e">
        <v>#N/A</v>
        <stp/>
        <stp>BDH|8258342172782858391</stp>
        <tr r="T107" s="18"/>
      </tp>
      <tp t="e">
        <v>#N/A</v>
        <stp/>
        <stp>BDH|7828188851249672728</stp>
        <tr r="W41" s="12"/>
      </tp>
      <tp t="e">
        <v>#N/A</v>
        <stp/>
        <stp>BDH|1187573082177892694</stp>
        <tr r="O19" s="13"/>
        <tr r="M65" s="10"/>
        <tr r="M32" s="4"/>
        <tr r="M16" s="2"/>
      </tp>
      <tp t="e">
        <v>#N/A</v>
        <stp/>
        <stp>BDH|6138929713815334666</stp>
        <tr r="T78" s="18"/>
      </tp>
      <tp t="e">
        <v>#N/A</v>
        <stp/>
        <stp>BDH|1743140852239359175</stp>
        <tr r="Y43" s="4"/>
      </tp>
      <tp t="e">
        <v>#N/A</v>
        <stp/>
        <stp>BDH|2398937791398703735</stp>
        <tr r="L16" s="21"/>
      </tp>
      <tp t="e">
        <v>#N/A</v>
        <stp/>
        <stp>BDH|2099115554959887285</stp>
        <tr r="AA28" s="17"/>
      </tp>
      <tp t="e">
        <v>#N/A</v>
        <stp/>
        <stp>BDH|9028325002365595206</stp>
        <tr r="H25" s="18"/>
      </tp>
      <tp t="e">
        <v>#N/A</v>
        <stp/>
        <stp>BDH|5837191988096410789</stp>
        <tr r="D56" s="17"/>
      </tp>
      <tp t="e">
        <v>#N/A</v>
        <stp/>
        <stp>BDH|2411876756777831589</stp>
        <tr r="Y72" s="13"/>
      </tp>
      <tp t="e">
        <v>#N/A</v>
        <stp/>
        <stp>BDH|2131878860057625657</stp>
        <tr r="Z26" s="18"/>
      </tp>
      <tp t="e">
        <v>#N/A</v>
        <stp/>
        <stp>BDH|8691012868550936333</stp>
        <tr r="R41" s="12"/>
      </tp>
      <tp t="e">
        <v>#N/A</v>
        <stp/>
        <stp>BDH|7508054354957105803</stp>
        <tr r="W40" s="21"/>
      </tp>
      <tp t="e">
        <v>#N/A</v>
        <stp/>
        <stp>BDH|44588501637781296</stp>
        <tr r="Q33" s="5"/>
      </tp>
      <tp t="e">
        <v>#N/A</v>
        <stp/>
        <stp>BDH|36473666215026757</stp>
        <tr r="V15" s="24"/>
      </tp>
      <tp t="e">
        <v>#N/A</v>
        <stp/>
        <stp>BDH|26509963352772117</stp>
        <tr r="Q22" s="7"/>
      </tp>
      <tp t="e">
        <v>#N/A</v>
        <stp/>
        <stp>BDH|99791746541947246</stp>
        <tr r="F13" s="25"/>
      </tp>
      <tp t="e">
        <v>#N/A</v>
        <stp/>
        <stp>BDH|87538050220504049</stp>
        <tr r="I36" s="4"/>
      </tp>
      <tp t="e">
        <v>#N/A</v>
        <stp/>
        <stp>BDH|38883120183166988</stp>
        <tr r="S97" s="18"/>
      </tp>
      <tp t="e">
        <v>#N/A</v>
        <stp/>
        <stp>BDH|44521231776164034</stp>
        <tr r="Q91" s="12"/>
      </tp>
      <tp t="e">
        <v>#N/A</v>
        <stp/>
        <stp>BDH|23754034782810671</stp>
        <tr r="K78" s="17"/>
        <tr r="H9" s="9"/>
        <tr r="H9" s="5"/>
      </tp>
      <tp t="e">
        <v>#N/A</v>
        <stp/>
        <stp>BDH|68216888849564311</stp>
        <tr r="J7" s="6"/>
      </tp>
      <tp t="e">
        <v>#N/A</v>
        <stp/>
        <stp>BDH|19949999713466300</stp>
        <tr r="F27" s="7"/>
      </tp>
      <tp t="e">
        <v>#N/A</v>
        <stp/>
        <stp>BDH|6732624296120857712</stp>
        <tr r="K64" s="11"/>
        <tr r="K75" s="10"/>
      </tp>
      <tp t="e">
        <v>#N/A</v>
        <stp/>
        <stp>BDH|2928167167009029226</stp>
        <tr r="T14" s="28"/>
      </tp>
      <tp t="e">
        <v>#N/A</v>
        <stp/>
        <stp>BDH|8864235050430814197</stp>
        <tr r="M7" s="11"/>
      </tp>
      <tp t="e">
        <v>#N/A</v>
        <stp/>
        <stp>BDH|9036955628718104461</stp>
        <tr r="J20" s="28"/>
        <tr r="J17" s="17"/>
      </tp>
      <tp t="e">
        <v>#N/A</v>
        <stp/>
        <stp>BDH|6916127884571459016</stp>
        <tr r="F56" s="12"/>
      </tp>
      <tp t="e">
        <v>#N/A</v>
        <stp/>
        <stp>BDH|4020482675419158061</stp>
        <tr r="I19" s="25"/>
      </tp>
      <tp t="e">
        <v>#N/A</v>
        <stp/>
        <stp>BDH|1550947907341816740</stp>
        <tr r="M25" s="7"/>
      </tp>
      <tp t="e">
        <v>#N/A</v>
        <stp/>
        <stp>BDH|9414530431386594798</stp>
        <tr r="N172" s="18"/>
      </tp>
      <tp t="e">
        <v>#N/A</v>
        <stp/>
        <stp>BDH|8041233813563987639</stp>
        <tr r="D45" s="18"/>
      </tp>
      <tp t="e">
        <v>#N/A</v>
        <stp/>
        <stp>BDH|3992843174914008630</stp>
        <tr r="Q19" s="30"/>
      </tp>
      <tp t="e">
        <v>#N/A</v>
        <stp/>
        <stp>BDH|3521750758409401664</stp>
        <tr r="R23" s="22"/>
      </tp>
      <tp t="e">
        <v>#N/A</v>
        <stp/>
        <stp>BDH|3692907441819417995</stp>
        <tr r="U43" s="17"/>
      </tp>
      <tp t="e">
        <v>#N/A</v>
        <stp/>
        <stp>BDH|3101447803418404181</stp>
        <tr r="L13" s="34"/>
      </tp>
      <tp t="e">
        <v>#N/A</v>
        <stp/>
        <stp>BDH|9428482513092023057</stp>
        <tr r="Q8" s="21"/>
      </tp>
      <tp t="e">
        <v>#N/A</v>
        <stp/>
        <stp>BDH|8372828285613680584</stp>
        <tr r="AA75" s="18"/>
      </tp>
      <tp t="e">
        <v>#N/A</v>
        <stp/>
        <stp>BDH|9974552724257574775</stp>
        <tr r="J29" s="17"/>
      </tp>
      <tp t="e">
        <v>#N/A</v>
        <stp/>
        <stp>BDH|6899577711694299864</stp>
        <tr r="K60" s="13"/>
        <tr r="I48" s="11"/>
        <tr r="I59" s="10"/>
        <tr r="I17" s="7"/>
        <tr r="I17" s="4"/>
        <tr r="K10" s="3"/>
      </tp>
      <tp t="e">
        <v>#N/A</v>
        <stp/>
        <stp>BDH|6216352290463840154</stp>
        <tr r="F34" s="21"/>
      </tp>
      <tp t="e">
        <v>#N/A</v>
        <stp/>
        <stp>BDH|1379986896338610715</stp>
        <tr r="L10" s="17"/>
      </tp>
      <tp t="e">
        <v>#N/A</v>
        <stp/>
        <stp>BDH|6180994265186295152</stp>
        <tr r="E72" s="12"/>
      </tp>
      <tp t="e">
        <v>#N/A</v>
        <stp/>
        <stp>BDH|5682844305993955049</stp>
        <tr r="C58" s="12"/>
      </tp>
      <tp t="e">
        <v>#N/A</v>
        <stp/>
        <stp>BDH|9564493752847059141</stp>
        <tr r="M7" s="6"/>
      </tp>
      <tp t="e">
        <v>#N/A</v>
        <stp/>
        <stp>BDH|9317423465906876364</stp>
        <tr r="C30" s="12"/>
      </tp>
      <tp t="e">
        <v>#N/A</v>
        <stp/>
        <stp>BDH|6749904082508658198</stp>
        <tr r="G53" s="22"/>
      </tp>
      <tp t="e">
        <v>#N/A</v>
        <stp/>
        <stp>BDH|9627785236070698346</stp>
        <tr r="W39" s="21"/>
      </tp>
      <tp t="e">
        <v>#N/A</v>
        <stp/>
        <stp>BDH|9955990560528228089</stp>
        <tr r="R66" s="24"/>
      </tp>
      <tp t="e">
        <v>#N/A</v>
        <stp/>
        <stp>BDH|9964310443233085316</stp>
        <tr r="V31" s="9"/>
      </tp>
      <tp t="e">
        <v>#N/A</v>
        <stp/>
        <stp>BDH|1045204009019685452</stp>
        <tr r="G46" s="34"/>
      </tp>
      <tp t="e">
        <v>#N/A</v>
        <stp/>
        <stp>BDH|7229707239969410457</stp>
        <tr r="M9" s="24"/>
      </tp>
      <tp t="e">
        <v>#N/A</v>
        <stp/>
        <stp>BDH|2555995911741687515</stp>
        <tr r="L10" s="8"/>
        <tr r="J53" s="6"/>
      </tp>
      <tp t="e">
        <v>#N/A</v>
        <stp/>
        <stp>BDH|8204298004672751626</stp>
        <tr r="C83" s="18"/>
      </tp>
      <tp t="e">
        <v>#N/A</v>
        <stp/>
        <stp>BDH|5391604275263836941</stp>
        <tr r="G68" s="17"/>
      </tp>
      <tp t="e">
        <v>#N/A</v>
        <stp/>
        <stp>BDH|3231884382674089924</stp>
        <tr r="K91" s="12"/>
      </tp>
      <tp t="e">
        <v>#N/A</v>
        <stp/>
        <stp>BDH|7990637992354557274</stp>
        <tr r="J58" s="18"/>
      </tp>
      <tp t="e">
        <v>#N/A</v>
        <stp/>
        <stp>BDH|7520179294415545494</stp>
        <tr r="R25" s="3"/>
      </tp>
      <tp t="e">
        <v>#N/A</v>
        <stp/>
        <stp>BDH|2400854128830440677</stp>
        <tr r="C89" s="17"/>
      </tp>
      <tp t="e">
        <v>#N/A</v>
        <stp/>
        <stp>BDH|3696686698686939454</stp>
        <tr r="G15" s="18"/>
      </tp>
      <tp t="e">
        <v>#N/A</v>
        <stp/>
        <stp>BDH|8059219449743121337</stp>
        <tr r="K25" s="18"/>
      </tp>
      <tp t="e">
        <v>#N/A</v>
        <stp/>
        <stp>BDH|9915254440765535420</stp>
        <tr r="C125" s="18"/>
      </tp>
      <tp t="e">
        <v>#N/A</v>
        <stp/>
        <stp>BDH|3278621582684075797</stp>
        <tr r="R28" s="6"/>
      </tp>
      <tp t="e">
        <v>#N/A</v>
        <stp/>
        <stp>BDH|8904060586769624745</stp>
        <tr r="I9" s="17"/>
      </tp>
      <tp t="e">
        <v>#N/A</v>
        <stp/>
        <stp>BDH|4557915409497213445</stp>
        <tr r="L13" s="12"/>
      </tp>
      <tp t="e">
        <v>#N/A</v>
        <stp/>
        <stp>BDH|9205396415082303766</stp>
        <tr r="U33" s="13"/>
        <tr r="S26" s="10"/>
      </tp>
      <tp t="e">
        <v>#N/A</v>
        <stp/>
        <stp>BDH|7293079099665115564</stp>
        <tr r="P27" s="17"/>
      </tp>
      <tp t="e">
        <v>#N/A</v>
        <stp/>
        <stp>BDH|5994088972385824903</stp>
        <tr r="Z42" s="21"/>
      </tp>
      <tp t="e">
        <v>#N/A</v>
        <stp/>
        <stp>BDH|8825429539325928419</stp>
        <tr r="J74" s="24"/>
      </tp>
      <tp t="e">
        <v>#N/A</v>
        <stp/>
        <stp>BDH|5256174488201446325</stp>
        <tr r="M41" s="6"/>
        <tr r="M18" s="5"/>
      </tp>
      <tp t="e">
        <v>#N/A</v>
        <stp/>
        <stp>BDH|2152472712141934867</stp>
        <tr r="AA58" s="17"/>
      </tp>
      <tp t="e">
        <v>#N/A</v>
        <stp/>
        <stp>BDH|2523878449193414348</stp>
        <tr r="V103" s="18"/>
      </tp>
      <tp t="e">
        <v>#N/A</v>
        <stp/>
        <stp>BDH|5064851057545028395</stp>
        <tr r="J67" s="24"/>
      </tp>
      <tp t="e">
        <v>#N/A</v>
        <stp/>
        <stp>BDH|9131554541274652284</stp>
        <tr r="U9" s="13"/>
      </tp>
      <tp t="e">
        <v>#N/A</v>
        <stp/>
        <stp>BDH|5559502820499935574</stp>
        <tr r="S8" s="26"/>
        <tr r="P10" s="9"/>
      </tp>
      <tp t="e">
        <v>#N/A</v>
        <stp/>
        <stp>BDH|4693987473587771318</stp>
        <tr r="P13" s="27"/>
        <tr r="P31" s="25"/>
      </tp>
      <tp t="e">
        <v>#N/A</v>
        <stp/>
        <stp>BDH|8212628639796293503</stp>
        <tr r="G21" s="2"/>
      </tp>
      <tp t="e">
        <v>#N/A</v>
        <stp/>
        <stp>BDH|6385929844254829166</stp>
        <tr r="S28" s="21"/>
      </tp>
      <tp t="e">
        <v>#N/A</v>
        <stp/>
        <stp>BDH|1853909338252816738</stp>
        <tr r="M65" s="21"/>
        <tr r="J31" s="6"/>
      </tp>
      <tp t="e">
        <v>#N/A</v>
        <stp/>
        <stp>BDH|9506461313122808037</stp>
        <tr r="Y6" s="8"/>
        <tr r="W51" s="6"/>
      </tp>
      <tp t="e">
        <v>#N/A</v>
        <stp/>
        <stp>BDH|8389296711267997293</stp>
        <tr r="C13" s="24"/>
      </tp>
      <tp t="e">
        <v>#N/A</v>
        <stp/>
        <stp>BDH|5575869004074873740</stp>
        <tr r="D18" s="23"/>
      </tp>
      <tp t="e">
        <v>#N/A</v>
        <stp/>
        <stp>BDH|9577521095318892314</stp>
        <tr r="K32" s="13"/>
        <tr r="I25" s="10"/>
      </tp>
      <tp t="e">
        <v>#N/A</v>
        <stp/>
        <stp>BDH|1794466473458076494</stp>
        <tr r="M15" s="4"/>
      </tp>
      <tp t="e">
        <v>#N/A</v>
        <stp/>
        <stp>BDH|6357599091475153115</stp>
        <tr r="W40" s="29"/>
        <tr r="W17" s="29"/>
      </tp>
      <tp t="e">
        <v>#N/A</v>
        <stp/>
        <stp>BDH|2421569869349423642</stp>
        <tr r="T30" s="17"/>
      </tp>
      <tp t="e">
        <v>#N/A</v>
        <stp/>
        <stp>BDH|9268297769762197187</stp>
        <tr r="H6" s="28"/>
      </tp>
      <tp t="e">
        <v>#N/A</v>
        <stp/>
        <stp>BDH|2788261412148892709</stp>
        <tr r="Q64" s="18"/>
      </tp>
      <tp t="e">
        <v>#N/A</v>
        <stp/>
        <stp>BDH|3531885717823831796</stp>
        <tr r="T84" s="17"/>
        <tr r="R6" s="7"/>
        <tr r="T20" s="3"/>
      </tp>
      <tp t="e">
        <v>#N/A</v>
        <stp/>
        <stp>BDH|1767564388266648449</stp>
        <tr r="Y56" s="18"/>
      </tp>
      <tp t="e">
        <v>#N/A</v>
        <stp/>
        <stp>BDH|7237711979631717868</stp>
        <tr r="Q17" s="6"/>
      </tp>
      <tp t="e">
        <v>#N/A</v>
        <stp/>
        <stp>BDH|3086450663718461795</stp>
        <tr r="N54" s="13"/>
      </tp>
      <tp t="e">
        <v>#N/A</v>
        <stp/>
        <stp>BDH|8843197175744798481</stp>
        <tr r="Q84" s="12"/>
      </tp>
      <tp t="e">
        <v>#N/A</v>
        <stp/>
        <stp>BDH|1206868683707839840</stp>
        <tr r="G22" s="30"/>
        <tr r="G24" s="23"/>
      </tp>
      <tp t="e">
        <v>#N/A</v>
        <stp/>
        <stp>BDH|1649882324871230432</stp>
        <tr r="Z70" s="24"/>
      </tp>
      <tp t="e">
        <v>#N/A</v>
        <stp/>
        <stp>BDH|9791747818068650964</stp>
        <tr r="H164" s="18"/>
      </tp>
      <tp t="e">
        <v>#N/A</v>
        <stp/>
        <stp>BDH|7836514589370921428</stp>
        <tr r="I56" s="6"/>
      </tp>
      <tp t="e">
        <v>#N/A</v>
        <stp/>
        <stp>BDH|3699036636487876902</stp>
        <tr r="N22" s="11"/>
      </tp>
      <tp t="e">
        <v>#N/A</v>
        <stp/>
        <stp>BDH|3947808763970230307</stp>
        <tr r="O37" s="12"/>
      </tp>
      <tp t="e">
        <v>#N/A</v>
        <stp/>
        <stp>BDH|9806503440924522259</stp>
        <tr r="U32" s="6"/>
      </tp>
      <tp t="e">
        <v>#N/A</v>
        <stp/>
        <stp>BDH|8106876874500350997</stp>
        <tr r="T28" s="18"/>
      </tp>
      <tp t="e">
        <v>#N/A</v>
        <stp/>
        <stp>BDH|6632368741047984803</stp>
        <tr r="I42" s="26"/>
      </tp>
      <tp t="e">
        <v>#N/A</v>
        <stp/>
        <stp>BDH|5730857919420177227</stp>
        <tr r="G86" s="12"/>
      </tp>
      <tp t="e">
        <v>#N/A</v>
        <stp/>
        <stp>BDH|9218913398666147120</stp>
        <tr r="S169" s="18"/>
      </tp>
      <tp t="e">
        <v>#N/A</v>
        <stp/>
        <stp>BDH|9423126563199907946</stp>
        <tr r="H86" s="17"/>
      </tp>
      <tp t="e">
        <v>#N/A</v>
        <stp/>
        <stp>BDH|1502158947759856378</stp>
        <tr r="I86" s="17"/>
      </tp>
      <tp t="e">
        <v>#N/A</v>
        <stp/>
        <stp>BDH|3565424479776108870</stp>
        <tr r="C42" s="34"/>
      </tp>
      <tp t="e">
        <v>#N/A</v>
        <stp/>
        <stp>BDH|8015821786045411386</stp>
        <tr r="O15" s="11"/>
      </tp>
      <tp t="e">
        <v>#N/A</v>
        <stp/>
        <stp>BDH|9227122747181715387</stp>
        <tr r="P101" s="18"/>
      </tp>
      <tp t="e">
        <v>#N/A</v>
        <stp/>
        <stp>BDH|3373897517482056656</stp>
        <tr r="D18" s="27"/>
        <tr r="D36" s="25"/>
      </tp>
      <tp t="e">
        <v>#N/A</v>
        <stp/>
        <stp>BDH|3448006881522847755</stp>
        <tr r="Z39" s="21"/>
      </tp>
      <tp t="e">
        <v>#N/A</v>
        <stp/>
        <stp>BDH|1919919951263085014</stp>
        <tr r="X15" s="21"/>
      </tp>
      <tp t="e">
        <v>#N/A</v>
        <stp/>
        <stp>BDH|9982575249813752586</stp>
        <tr r="T58" s="6"/>
      </tp>
      <tp t="e">
        <v>#N/A</v>
        <stp/>
        <stp>BDH|6788819069467788104</stp>
        <tr r="I13" s="20"/>
        <tr r="I118" s="18"/>
      </tp>
      <tp t="e">
        <v>#N/A</v>
        <stp/>
        <stp>BDH|2568558768656212921</stp>
        <tr r="N7" s="34"/>
      </tp>
      <tp t="e">
        <v>#N/A</v>
        <stp/>
        <stp>BDH|3867378456422139901</stp>
        <tr r="W24" s="12"/>
      </tp>
      <tp t="e">
        <v>#N/A</v>
        <stp/>
        <stp>BDH|8127076647994152680</stp>
        <tr r="L34" s="6"/>
      </tp>
      <tp t="e">
        <v>#N/A</v>
        <stp/>
        <stp>BDH|2347216032878815500</stp>
        <tr r="L49" s="4"/>
      </tp>
      <tp t="e">
        <v>#N/A</v>
        <stp/>
        <stp>BDH|5540875179833504762</stp>
        <tr r="M42" s="24"/>
      </tp>
      <tp t="e">
        <v>#N/A</v>
        <stp/>
        <stp>BDH|4789607995344866121</stp>
        <tr r="D6" s="3"/>
      </tp>
      <tp t="e">
        <v>#N/A</v>
        <stp/>
        <stp>BDH|3205851291744980874</stp>
        <tr r="V41" s="24"/>
      </tp>
      <tp t="e">
        <v>#N/A</v>
        <stp/>
        <stp>BDH|2924277006416588853</stp>
        <tr r="M136" s="18"/>
      </tp>
      <tp t="e">
        <v>#N/A</v>
        <stp/>
        <stp>BDH|7128672420069941479</stp>
        <tr r="C62" s="17"/>
      </tp>
      <tp t="e">
        <v>#N/A</v>
        <stp/>
        <stp>BDH|9168418125237504680</stp>
        <tr r="U53" s="34"/>
      </tp>
      <tp t="e">
        <v>#N/A</v>
        <stp/>
        <stp>BDH|8104859638585253865</stp>
        <tr r="E26" s="29"/>
      </tp>
      <tp t="e">
        <v>#N/A</v>
        <stp/>
        <stp>BDH|1530949850025112684</stp>
        <tr r="N12" s="27"/>
        <tr r="N30" s="25"/>
      </tp>
      <tp t="e">
        <v>#N/A</v>
        <stp/>
        <stp>BDH|9191527448002313401</stp>
        <tr r="V19" s="18"/>
      </tp>
      <tp t="e">
        <v>#N/A</v>
        <stp/>
        <stp>BDH|9281039109086388137</stp>
        <tr r="H45" s="12"/>
      </tp>
      <tp t="e">
        <v>#N/A</v>
        <stp/>
        <stp>BDH|2152946171455962740</stp>
        <tr r="S48" s="18"/>
      </tp>
      <tp t="e">
        <v>#N/A</v>
        <stp/>
        <stp>BDH|4606553397526860051</stp>
        <tr r="S41" s="29"/>
        <tr r="S18" s="29"/>
      </tp>
      <tp t="e">
        <v>#N/A</v>
        <stp/>
        <stp>BDH|6470284324429862190</stp>
        <tr r="D43" s="11"/>
        <tr r="D54" s="10"/>
        <tr r="D14" s="7"/>
        <tr r="F9" s="3"/>
      </tp>
      <tp t="e">
        <v>#N/A</v>
        <stp/>
        <stp>BDH|5966022094090277242</stp>
        <tr r="F22" s="4"/>
      </tp>
      <tp t="e">
        <v>#N/A</v>
        <stp/>
        <stp>BDH|9978004545876132549</stp>
        <tr r="Y49" s="12"/>
      </tp>
      <tp t="e">
        <v>#N/A</v>
        <stp/>
        <stp>BDH|1341301494323714697</stp>
        <tr r="R89" s="12"/>
      </tp>
      <tp t="e">
        <v>#N/A</v>
        <stp/>
        <stp>BDH|5008684036887693915</stp>
        <tr r="P10" s="23"/>
      </tp>
      <tp t="e">
        <v>#N/A</v>
        <stp/>
        <stp>BDH|2810712880054062705</stp>
        <tr r="K44" s="21"/>
      </tp>
      <tp t="e">
        <v>#N/A</v>
        <stp/>
        <stp>BDH|6205436332618262785</stp>
        <tr r="AA7" s="17"/>
      </tp>
      <tp t="e">
        <v>#N/A</v>
        <stp/>
        <stp>BDH|4770436639919237468</stp>
        <tr r="P94" s="18"/>
      </tp>
      <tp t="e">
        <v>#N/A</v>
        <stp/>
        <stp>BDH|9765154311697381099</stp>
        <tr r="J26" s="17"/>
      </tp>
      <tp t="e">
        <v>#N/A</v>
        <stp/>
        <stp>BDH|7838745306519023735</stp>
        <tr r="X19" s="9"/>
      </tp>
      <tp t="e">
        <v>#N/A</v>
        <stp/>
        <stp>BDH|6732367819422052811</stp>
        <tr r="U46" s="21"/>
      </tp>
      <tp t="e">
        <v>#N/A</v>
        <stp/>
        <stp>BDH|2430802598754524903</stp>
        <tr r="W49" s="6"/>
      </tp>
      <tp t="e">
        <v>#N/A</v>
        <stp/>
        <stp>BDH|2805942500734665134</stp>
        <tr r="W49" s="17"/>
      </tp>
      <tp t="e">
        <v>#N/A</v>
        <stp/>
        <stp>BDH|4966915764456279377</stp>
        <tr r="M91" s="17"/>
      </tp>
      <tp t="e">
        <v>#N/A</v>
        <stp/>
        <stp>BDH|5993773417165882885</stp>
        <tr r="P35" s="24"/>
      </tp>
      <tp t="e">
        <v>#N/A</v>
        <stp/>
        <stp>BDH|2805448711460128958</stp>
        <tr r="Q62" s="13"/>
      </tp>
      <tp t="e">
        <v>#N/A</v>
        <stp/>
        <stp>BDH|3376172669918421207</stp>
        <tr r="N81" s="18"/>
      </tp>
      <tp t="e">
        <v>#N/A</v>
        <stp/>
        <stp>BDH|9117244923307861079</stp>
        <tr r="AA78" s="12"/>
      </tp>
      <tp t="e">
        <v>#N/A</v>
        <stp/>
        <stp>BDH|8132195511937258122</stp>
        <tr r="E20" s="5"/>
      </tp>
      <tp t="e">
        <v>#N/A</v>
        <stp/>
        <stp>BDH|1765324836587988837</stp>
        <tr r="S30" s="29"/>
        <tr r="S8" s="29"/>
      </tp>
      <tp t="e">
        <v>#N/A</v>
        <stp/>
        <stp>BDH|4835996288818071301</stp>
        <tr r="M43" s="12"/>
      </tp>
      <tp t="e">
        <v>#N/A</v>
        <stp/>
        <stp>BDH|2586204507248851631</stp>
        <tr r="G87" s="12"/>
      </tp>
      <tp t="e">
        <v>#N/A</v>
        <stp/>
        <stp>BDH|8433635013858944940</stp>
        <tr r="K37" s="24"/>
      </tp>
      <tp t="e">
        <v>#N/A</v>
        <stp/>
        <stp>BDH|2287503306969498091</stp>
        <tr r="C25" s="11"/>
        <tr r="C36" s="10"/>
      </tp>
      <tp t="e">
        <v>#N/A</v>
        <stp/>
        <stp>BDH|2915799416653960965</stp>
        <tr r="F24" s="5"/>
      </tp>
      <tp t="e">
        <v>#N/A</v>
        <stp/>
        <stp>BDH|4395902654831796797</stp>
        <tr r="I21" s="3"/>
      </tp>
      <tp t="e">
        <v>#N/A</v>
        <stp/>
        <stp>BDH|3933560231979665211</stp>
        <tr r="E43" s="24"/>
      </tp>
      <tp t="e">
        <v>#N/A</v>
        <stp/>
        <stp>BDH|6953027438962379991</stp>
        <tr r="M7" s="5"/>
        <tr r="M7" s="9"/>
        <tr r="N7" s="2"/>
        <tr r="P14" s="3"/>
      </tp>
      <tp t="e">
        <v>#N/A</v>
        <stp/>
        <stp>BDH|2822915302172126738</stp>
        <tr r="G13" s="13"/>
      </tp>
      <tp t="e">
        <v>#N/A</v>
        <stp/>
        <stp>BDH|9027082007315586237</stp>
        <tr r="P14" s="4"/>
      </tp>
      <tp t="e">
        <v>#N/A</v>
        <stp/>
        <stp>BDH|6319697850752088935</stp>
        <tr r="E53" s="13"/>
      </tp>
      <tp t="e">
        <v>#N/A</v>
        <stp/>
        <stp>BDH|9065025136543429798</stp>
        <tr r="M44" s="11"/>
        <tr r="M55" s="10"/>
        <tr r="M15" s="7"/>
      </tp>
      <tp t="e">
        <v>#N/A</v>
        <stp/>
        <stp>BDH|2775893159847722691</stp>
        <tr r="Z15" s="30"/>
      </tp>
      <tp t="e">
        <v>#N/A</v>
        <stp/>
        <stp>BDH|6522689483370203657</stp>
        <tr r="F24" s="24"/>
      </tp>
      <tp t="e">
        <v>#N/A</v>
        <stp/>
        <stp>BDH|3467992801422287677</stp>
        <tr r="E24" s="2"/>
      </tp>
      <tp t="e">
        <v>#N/A</v>
        <stp/>
        <stp>BDH|2394481896648705930</stp>
        <tr r="P30" s="25"/>
        <tr r="P12" s="27"/>
      </tp>
      <tp t="e">
        <v>#N/A</v>
        <stp/>
        <stp>BDH|4327266645635910972</stp>
        <tr r="R9" s="26"/>
      </tp>
      <tp t="e">
        <v>#N/A</v>
        <stp/>
        <stp>BDH|7524672996336273085</stp>
        <tr r="M35" s="24"/>
      </tp>
      <tp t="e">
        <v>#N/A</v>
        <stp/>
        <stp>BDH|7572964400110935041</stp>
        <tr r="X28" s="6"/>
      </tp>
      <tp t="e">
        <v>#N/A</v>
        <stp/>
        <stp>BDH|8082558137049403983</stp>
        <tr r="K36" s="4"/>
      </tp>
      <tp t="e">
        <v>#N/A</v>
        <stp/>
        <stp>BDH|9604522066434443081</stp>
        <tr r="Q23" s="12"/>
      </tp>
      <tp t="e">
        <v>#N/A</v>
        <stp/>
        <stp>BDH|6672887274133750437</stp>
        <tr r="AA65" s="24"/>
      </tp>
      <tp t="e">
        <v>#N/A</v>
        <stp/>
        <stp>BDH|5274776950680271992</stp>
        <tr r="R23" s="25"/>
      </tp>
      <tp t="e">
        <v>#N/A</v>
        <stp/>
        <stp>BDH|3078147081775368183</stp>
        <tr r="R16" s="22"/>
      </tp>
      <tp t="e">
        <v>#N/A</v>
        <stp/>
        <stp>BDH|7771984131343602065</stp>
        <tr r="T28" s="14"/>
      </tp>
      <tp t="e">
        <v>#N/A</v>
        <stp/>
        <stp>BDH|1167807791396827865</stp>
        <tr r="G17" s="22"/>
      </tp>
      <tp t="e">
        <v>#N/A</v>
        <stp/>
        <stp>BDH|5740148898566656539</stp>
        <tr r="Q53" s="21"/>
      </tp>
      <tp t="e">
        <v>#N/A</v>
        <stp/>
        <stp>BDH|3845733525439804187</stp>
        <tr r="M24" s="5"/>
      </tp>
      <tp t="e">
        <v>#N/A</v>
        <stp/>
        <stp>BDH|6391059588851141118</stp>
        <tr r="L46" s="6"/>
        <tr r="L19" s="5"/>
      </tp>
      <tp t="e">
        <v>#N/A</v>
        <stp/>
        <stp>BDH|6530679298050777739</stp>
        <tr r="T72" s="13"/>
      </tp>
      <tp t="e">
        <v>#N/A</v>
        <stp/>
        <stp>BDH|3389198565473372927</stp>
        <tr r="Z13" s="25"/>
      </tp>
      <tp t="e">
        <v>#N/A</v>
        <stp/>
        <stp>BDH|2672939572765890717</stp>
        <tr r="C45" s="13"/>
      </tp>
      <tp t="e">
        <v>#N/A</v>
        <stp/>
        <stp>BDH|6359446597310953572</stp>
        <tr r="S23" s="30"/>
        <tr r="S25" s="23"/>
      </tp>
      <tp t="e">
        <v>#N/A</v>
        <stp/>
        <stp>BDH|9021911859079320256</stp>
        <tr r="X50" s="22"/>
      </tp>
      <tp t="e">
        <v>#N/A</v>
        <stp/>
        <stp>BDH|9183726299649481006</stp>
        <tr r="R74" s="17"/>
      </tp>
      <tp t="e">
        <v>#N/A</v>
        <stp/>
        <stp>BDH|4179854469564026032</stp>
        <tr r="W10" s="14"/>
      </tp>
      <tp t="e">
        <v>#N/A</v>
        <stp/>
        <stp>BDH|7677006490162948212</stp>
        <tr r="D47" s="22"/>
      </tp>
      <tp t="e">
        <v>#N/A</v>
        <stp/>
        <stp>BDH|8164872238055595854</stp>
        <tr r="K45" s="13"/>
        <tr r="I40" s="10"/>
        <tr r="I29" s="11"/>
      </tp>
      <tp t="e">
        <v>#N/A</v>
        <stp/>
        <stp>BDH|5132788380824633019</stp>
        <tr r="V145" s="18"/>
      </tp>
      <tp t="e">
        <v>#N/A</v>
        <stp/>
        <stp>BDH|4040246388463478368</stp>
        <tr r="AA13" s="13"/>
      </tp>
      <tp t="e">
        <v>#N/A</v>
        <stp/>
        <stp>BDH|7830846295930519824</stp>
        <tr r="M94" s="12"/>
      </tp>
      <tp t="e">
        <v>#N/A</v>
        <stp/>
        <stp>BDH|2910927614052567648</stp>
        <tr r="M15" s="21"/>
      </tp>
      <tp t="e">
        <v>#N/A</v>
        <stp/>
        <stp>BDH|8026899234065617851</stp>
        <tr r="W62" s="21"/>
      </tp>
      <tp t="e">
        <v>#N/A</v>
        <stp/>
        <stp>BDH|6661510066048643399</stp>
        <tr r="D35" s="13"/>
      </tp>
      <tp t="e">
        <v>#N/A</v>
        <stp/>
        <stp>BDH|1711435279955261910</stp>
        <tr r="V22" s="9"/>
      </tp>
      <tp t="e">
        <v>#N/A</v>
        <stp/>
        <stp>BDH|3333062203569895406</stp>
        <tr r="Y18" s="26"/>
      </tp>
      <tp t="e">
        <v>#N/A</v>
        <stp/>
        <stp>BDH|9171003038104297056</stp>
        <tr r="M40" s="13"/>
        <tr r="K33" s="10"/>
      </tp>
      <tp t="e">
        <v>#N/A</v>
        <stp/>
        <stp>BDH|7529766874190094996</stp>
        <tr r="W35" s="13"/>
        <tr r="U28" s="10"/>
      </tp>
      <tp t="e">
        <v>#N/A</v>
        <stp/>
        <stp>BDH|7804246926720624929</stp>
        <tr r="S10" s="17"/>
      </tp>
      <tp t="e">
        <v>#N/A</v>
        <stp/>
        <stp>BDH|1211339836637166885</stp>
        <tr r="K146" s="18"/>
      </tp>
      <tp t="e">
        <v>#N/A</v>
        <stp/>
        <stp>BDH|9016392570994265751</stp>
        <tr r="P21" s="18"/>
      </tp>
      <tp t="e">
        <v>#N/A</v>
        <stp/>
        <stp>BDH|4138827271436581395</stp>
        <tr r="K14" s="13"/>
      </tp>
      <tp t="e">
        <v>#N/A</v>
        <stp/>
        <stp>BDH|3422826912072805629</stp>
        <tr r="U80" s="18"/>
      </tp>
      <tp t="e">
        <v>#N/A</v>
        <stp/>
        <stp>BDH|1317080344042054918</stp>
        <tr r="N75" s="12"/>
      </tp>
      <tp t="e">
        <v>#N/A</v>
        <stp/>
        <stp>BDH|8836750002823166201</stp>
        <tr r="J51" s="22"/>
      </tp>
      <tp t="e">
        <v>#N/A</v>
        <stp/>
        <stp>BDH|3252781214752658969</stp>
        <tr r="M7" s="30"/>
      </tp>
      <tp t="e">
        <v>#N/A</v>
        <stp/>
        <stp>BDH|4698618928099274727</stp>
        <tr r="H12" s="10"/>
      </tp>
      <tp t="e">
        <v>#N/A</v>
        <stp/>
        <stp>BDH|2298054980253960719</stp>
        <tr r="H26" s="18"/>
      </tp>
      <tp t="e">
        <v>#N/A</v>
        <stp/>
        <stp>BDH|6063227978634667931</stp>
        <tr r="L8" s="18"/>
      </tp>
      <tp t="e">
        <v>#N/A</v>
        <stp/>
        <stp>BDH|8754035122536935205</stp>
        <tr r="V41" s="13"/>
        <tr r="T23" s="10"/>
        <tr r="T46" s="4"/>
      </tp>
      <tp t="e">
        <v>#N/A</v>
        <stp/>
        <stp>BDH|2397191598633589785</stp>
        <tr r="I16" s="18"/>
      </tp>
      <tp t="e">
        <v>#N/A</v>
        <stp/>
        <stp>BDH|6847468725787082941</stp>
        <tr r="O9" s="14"/>
      </tp>
      <tp t="e">
        <v>#N/A</v>
        <stp/>
        <stp>BDH|6628948849227658228</stp>
        <tr r="K57" s="13"/>
        <tr r="I38" s="11"/>
        <tr r="I49" s="10"/>
        <tr r="I53" s="4"/>
        <tr r="I18" s="2"/>
      </tp>
      <tp t="e">
        <v>#N/A</v>
        <stp/>
        <stp>BDH|9862257660680462365</stp>
        <tr r="M26" s="25"/>
        <tr r="M56" s="21"/>
      </tp>
      <tp t="e">
        <v>#N/A</v>
        <stp/>
        <stp>BDH|4819932646423042424</stp>
        <tr r="Q21" s="24"/>
      </tp>
      <tp t="e">
        <v>#N/A</v>
        <stp/>
        <stp>BDH|1984283774958859221</stp>
        <tr r="L20" s="27"/>
      </tp>
      <tp t="e">
        <v>#N/A</v>
        <stp/>
        <stp>BDH|6091034497576384789</stp>
        <tr r="N62" s="13"/>
      </tp>
      <tp t="e">
        <v>#N/A</v>
        <stp/>
        <stp>BDH|5194446959142566863</stp>
        <tr r="K44" s="13"/>
        <tr r="I36" s="11"/>
        <tr r="I47" s="10"/>
        <tr r="K8" s="3"/>
        <tr r="I52" s="4"/>
      </tp>
      <tp t="e">
        <v>#N/A</v>
        <stp/>
        <stp>BDH|6418565223569733699</stp>
        <tr r="Z27" s="24"/>
      </tp>
      <tp t="e">
        <v>#N/A</v>
        <stp/>
        <stp>BDH|1093520192387692498</stp>
        <tr r="H7" s="21"/>
      </tp>
      <tp t="e">
        <v>#N/A</v>
        <stp/>
        <stp>BDH|5037080890406444438</stp>
        <tr r="G68" s="13"/>
      </tp>
      <tp t="e">
        <v>#N/A</v>
        <stp/>
        <stp>BDH|7125487597923155703</stp>
        <tr r="S10" s="21"/>
      </tp>
      <tp t="e">
        <v>#N/A</v>
        <stp/>
        <stp>BDH|5580944260727622383</stp>
        <tr r="O32" s="13"/>
        <tr r="M25" s="10"/>
      </tp>
      <tp t="e">
        <v>#N/A</v>
        <stp/>
        <stp>BDH|8398637515056372793</stp>
        <tr r="X7" s="34"/>
      </tp>
      <tp t="e">
        <v>#N/A</v>
        <stp/>
        <stp>BDH|4650094423689157128</stp>
        <tr r="L45" s="24"/>
      </tp>
      <tp t="e">
        <v>#N/A</v>
        <stp/>
        <stp>BDH|7590921086448774096</stp>
        <tr r="R72" s="18"/>
      </tp>
      <tp t="e">
        <v>#N/A</v>
        <stp/>
        <stp>BDH|4542567428025799837</stp>
        <tr r="C21" s="18"/>
      </tp>
      <tp t="e">
        <v>#N/A</v>
        <stp/>
        <stp>BDH|9991221447599401870</stp>
        <tr r="E23" s="25"/>
      </tp>
      <tp t="e">
        <v>#N/A</v>
        <stp/>
        <stp>BDH|7090346199716269503</stp>
        <tr r="W14" s="11"/>
      </tp>
      <tp t="e">
        <v>#N/A</v>
        <stp/>
        <stp>BDH|1288080622035159862</stp>
        <tr r="U15" s="9"/>
      </tp>
      <tp t="e">
        <v>#N/A</v>
        <stp/>
        <stp>BDH|3365866008130683546</stp>
        <tr r="V35" s="12"/>
      </tp>
      <tp t="e">
        <v>#N/A</v>
        <stp/>
        <stp>BDH|9696179195388849738</stp>
        <tr r="F21" s="3"/>
      </tp>
      <tp t="e">
        <v>#N/A</v>
        <stp/>
        <stp>BDH|8673507571135194197</stp>
        <tr r="J9" s="23"/>
      </tp>
      <tp t="e">
        <v>#N/A</v>
        <stp/>
        <stp>BDH|1830661803028490164</stp>
        <tr r="T70" s="18"/>
      </tp>
      <tp t="e">
        <v>#N/A</v>
        <stp/>
        <stp>BDH|7817843314612038279</stp>
        <tr r="J45" s="22"/>
      </tp>
      <tp t="e">
        <v>#N/A</v>
        <stp/>
        <stp>BDH|5912356332342060923</stp>
        <tr r="AA57" s="13"/>
        <tr r="Y38" s="11"/>
        <tr r="Y49" s="10"/>
        <tr r="Y53" s="4"/>
        <tr r="Y18" s="2"/>
      </tp>
      <tp t="e">
        <v>#N/A</v>
        <stp/>
        <stp>BDH|4744336702141970835</stp>
        <tr r="V27" s="6"/>
      </tp>
      <tp t="e">
        <v>#N/A</v>
        <stp/>
        <stp>BDH|2600932208085135000</stp>
        <tr r="M67" s="24"/>
      </tp>
      <tp t="e">
        <v>#N/A</v>
        <stp/>
        <stp>BDH|3003635148937041878</stp>
        <tr r="U67" s="24"/>
      </tp>
      <tp t="e">
        <v>#N/A</v>
        <stp/>
        <stp>BDH|8242138544926929505</stp>
        <tr r="D12" s="25"/>
      </tp>
      <tp t="e">
        <v>#N/A</v>
        <stp/>
        <stp>BDH|1508974944413934136</stp>
        <tr r="X52" s="12"/>
      </tp>
      <tp t="e">
        <v>#N/A</v>
        <stp/>
        <stp>BDH|5608779078819678233</stp>
        <tr r="G65" s="21"/>
        <tr r="D31" s="6"/>
      </tp>
      <tp t="e">
        <v>#N/A</v>
        <stp/>
        <stp>BDH|5434964560062679687</stp>
        <tr r="N71" s="10"/>
      </tp>
      <tp t="e">
        <v>#N/A</v>
        <stp/>
        <stp>BDH|1097139538389623416</stp>
        <tr r="M29" s="26"/>
      </tp>
      <tp t="e">
        <v>#N/A</v>
        <stp/>
        <stp>BDH|3632918867963428189</stp>
        <tr r="H14" s="34"/>
      </tp>
      <tp t="e">
        <v>#N/A</v>
        <stp/>
        <stp>BDH|5172759611554115983</stp>
        <tr r="N51" s="21"/>
      </tp>
      <tp t="e">
        <v>#N/A</v>
        <stp/>
        <stp>BDH|3636192973678677368</stp>
        <tr r="O16" s="25"/>
      </tp>
      <tp t="e">
        <v>#N/A</v>
        <stp/>
        <stp>BDH|2423320571931338983</stp>
        <tr r="P42" s="4"/>
      </tp>
      <tp t="e">
        <v>#N/A</v>
        <stp/>
        <stp>BDH|2289368389334613379</stp>
        <tr r="C13" s="10"/>
      </tp>
      <tp t="e">
        <v>#N/A</v>
        <stp/>
        <stp>BDH|5868803895082193807</stp>
        <tr r="O76" s="12"/>
      </tp>
      <tp t="e">
        <v>#N/A</v>
        <stp/>
        <stp>BDH|8651547792463444988</stp>
        <tr r="J66" s="12"/>
      </tp>
      <tp t="e">
        <v>#N/A</v>
        <stp/>
        <stp>BDH|6247887641902683618</stp>
        <tr r="X21" s="3"/>
      </tp>
      <tp t="e">
        <v>#N/A</v>
        <stp/>
        <stp>BDH|5865298369347044844</stp>
        <tr r="D46" s="34"/>
      </tp>
      <tp t="e">
        <v>#N/A</v>
        <stp/>
        <stp>BDH|9110429621355711497</stp>
        <tr r="X39" s="21"/>
      </tp>
      <tp t="e">
        <v>#N/A</v>
        <stp/>
        <stp>BDH|6201656100847841935</stp>
        <tr r="H16" s="11"/>
      </tp>
      <tp t="e">
        <v>#N/A</v>
        <stp/>
        <stp>BDH|6948193085164988501</stp>
        <tr r="W9" s="17"/>
      </tp>
      <tp t="e">
        <v>#N/A</v>
        <stp/>
        <stp>BDH|6081237084572964023</stp>
        <tr r="G124" s="18"/>
      </tp>
      <tp t="e">
        <v>#N/A</v>
        <stp/>
        <stp>BDH|5251552890547948028</stp>
        <tr r="H12" s="22"/>
      </tp>
      <tp t="e">
        <v>#N/A</v>
        <stp/>
        <stp>BDH|6610120068336390935</stp>
        <tr r="V20" s="17"/>
      </tp>
      <tp t="e">
        <v>#N/A</v>
        <stp/>
        <stp>BDH|7008370358059078626</stp>
        <tr r="O53" s="21"/>
      </tp>
      <tp t="e">
        <v>#N/A</v>
        <stp/>
        <stp>BDH|6802814950476321373</stp>
        <tr r="C65" s="13"/>
      </tp>
      <tp t="e">
        <v>#N/A</v>
        <stp/>
        <stp>BDH|9265132144775145797</stp>
        <tr r="Y55" s="21"/>
      </tp>
      <tp t="e">
        <v>#N/A</v>
        <stp/>
        <stp>BDH|9124451939652529257</stp>
        <tr r="C8" s="8"/>
      </tp>
      <tp t="e">
        <v>#N/A</v>
        <stp/>
        <stp>BDH|6714359358267283952</stp>
        <tr r="AA41" s="21"/>
      </tp>
      <tp t="e">
        <v>#N/A</v>
        <stp/>
        <stp>BDH|3403840433020763694</stp>
        <tr r="R63" s="17"/>
      </tp>
      <tp t="e">
        <v>#N/A</v>
        <stp/>
        <stp>BDH|6094466498613030638</stp>
        <tr r="K10" s="34"/>
      </tp>
      <tp t="e">
        <v>#N/A</v>
        <stp/>
        <stp>BDH|2314652726628863056</stp>
        <tr r="E10" s="10"/>
      </tp>
      <tp t="e">
        <v>#N/A</v>
        <stp/>
        <stp>BDH|2811540492482770247</stp>
        <tr r="O80" s="12"/>
      </tp>
      <tp t="e">
        <v>#N/A</v>
        <stp/>
        <stp>BDH|1322213211198807465</stp>
        <tr r="E20" s="17"/>
      </tp>
      <tp t="e">
        <v>#N/A</v>
        <stp/>
        <stp>BDH|4237973275631409593</stp>
        <tr r="V31" s="17"/>
      </tp>
      <tp t="e">
        <v>#N/A</v>
        <stp/>
        <stp>BDH|1961322973289663234</stp>
        <tr r="K18" s="23"/>
      </tp>
      <tp t="e">
        <v>#N/A</v>
        <stp/>
        <stp>BDH|3555879566734046798</stp>
        <tr r="Y14" s="23"/>
      </tp>
      <tp t="e">
        <v>#N/A</v>
        <stp/>
        <stp>BDH|4777231518408775163</stp>
        <tr r="H12" s="6"/>
      </tp>
      <tp t="e">
        <v>#N/A</v>
        <stp/>
        <stp>BDH|4871109597701311311</stp>
        <tr r="U13" s="18"/>
      </tp>
      <tp t="e">
        <v>#N/A</v>
        <stp/>
        <stp>BDH|9989482089322386968</stp>
        <tr r="L81" s="12"/>
      </tp>
      <tp t="e">
        <v>#N/A</v>
        <stp/>
        <stp>BDH|2878933334412790451</stp>
        <tr r="M23" s="18"/>
      </tp>
      <tp t="e">
        <v>#N/A</v>
        <stp/>
        <stp>BDH|2924424438039656288</stp>
        <tr r="V36" s="18"/>
      </tp>
      <tp t="e">
        <v>#N/A</v>
        <stp/>
        <stp>BDH|3858802079696991453</stp>
        <tr r="E60" s="18"/>
      </tp>
      <tp t="e">
        <v>#N/A</v>
        <stp/>
        <stp>BDH|4376463288035474348</stp>
        <tr r="P73" s="17"/>
      </tp>
      <tp t="e">
        <v>#N/A</v>
        <stp/>
        <stp>BDH|2210054988845543172</stp>
        <tr r="P48" s="13"/>
      </tp>
      <tp t="e">
        <v>#N/A</v>
        <stp/>
        <stp>BDH|3050246407836942975</stp>
        <tr r="M12" s="20"/>
        <tr r="M117" s="18"/>
      </tp>
      <tp t="e">
        <v>#N/A</v>
        <stp/>
        <stp>BDH|4041508152373618994</stp>
        <tr r="C24" s="6"/>
      </tp>
      <tp t="e">
        <v>#N/A</v>
        <stp/>
        <stp>BDH|5431747842870825874</stp>
        <tr r="O20" s="18"/>
      </tp>
      <tp t="e">
        <v>#N/A</v>
        <stp/>
        <stp>BDH|6958493435988872705</stp>
        <tr r="R56" s="18"/>
      </tp>
      <tp t="e">
        <v>#N/A</v>
        <stp/>
        <stp>BDH|4129791316784018838</stp>
        <tr r="L13" s="5"/>
      </tp>
      <tp t="e">
        <v>#N/A</v>
        <stp/>
        <stp>BDH|5890563488005317387</stp>
        <tr r="U73" s="17"/>
      </tp>
      <tp t="e">
        <v>#N/A</v>
        <stp/>
        <stp>BDH|3123832948075197465</stp>
        <tr r="V17" s="21"/>
        <tr r="V23" s="3"/>
        <tr r="T23" s="2"/>
      </tp>
      <tp t="e">
        <v>#N/A</v>
        <stp/>
        <stp>BDH|2716912099845259902</stp>
        <tr r="H10" s="17"/>
      </tp>
      <tp t="e">
        <v>#N/A</v>
        <stp/>
        <stp>BDH|2239210480590716699</stp>
        <tr r="P151" s="18"/>
      </tp>
      <tp t="e">
        <v>#N/A</v>
        <stp/>
        <stp>BDH|8846033691908669716</stp>
        <tr r="H97" s="12"/>
      </tp>
      <tp t="e">
        <v>#N/A</v>
        <stp/>
        <stp>BDH|4522243491522377313</stp>
        <tr r="E49" s="6"/>
      </tp>
      <tp t="e">
        <v>#N/A</v>
        <stp/>
        <stp>BDH|9744482134216049690</stp>
        <tr r="D16" s="21"/>
      </tp>
      <tp t="e">
        <v>#N/A</v>
        <stp/>
        <stp>BDH|7347777918806797992</stp>
        <tr r="I9" s="30"/>
      </tp>
      <tp t="e">
        <v>#N/A</v>
        <stp/>
        <stp>BDH|5763871434723772314</stp>
        <tr r="D160" s="18"/>
      </tp>
      <tp t="e">
        <v>#N/A</v>
        <stp/>
        <stp>BDH|7159572491643053657</stp>
        <tr r="E82" s="18"/>
      </tp>
      <tp t="e">
        <v>#N/A</v>
        <stp/>
        <stp>BDH|9294226611093191725</stp>
        <tr r="Q96" s="17"/>
      </tp>
      <tp t="e">
        <v>#N/A</v>
        <stp/>
        <stp>BDH|5661061981833340008</stp>
        <tr r="M25" s="21"/>
      </tp>
      <tp t="e">
        <v>#N/A</v>
        <stp/>
        <stp>BDH|7858887736627719537</stp>
        <tr r="Y60" s="12"/>
      </tp>
      <tp t="e">
        <v>#N/A</v>
        <stp/>
        <stp>BDH|5569434394110539655</stp>
        <tr r="T71" s="24"/>
      </tp>
      <tp t="e">
        <v>#N/A</v>
        <stp/>
        <stp>BDH|1384869361264148572</stp>
        <tr r="Y53" s="12"/>
      </tp>
      <tp t="e">
        <v>#N/A</v>
        <stp/>
        <stp>BDH|4452825872827388254</stp>
        <tr r="J97" s="18"/>
      </tp>
      <tp t="e">
        <v>#N/A</v>
        <stp/>
        <stp>BDH|7004960321462668036</stp>
        <tr r="I13" s="23"/>
        <tr r="G58" s="11"/>
        <tr r="G38" s="4"/>
      </tp>
      <tp t="e">
        <v>#N/A</v>
        <stp/>
        <stp>BDH|8464614015391016024</stp>
        <tr r="K17" s="23"/>
      </tp>
      <tp t="e">
        <v>#N/A</v>
        <stp/>
        <stp>BDH|3175331216129722612</stp>
        <tr r="V19" s="9"/>
      </tp>
      <tp t="e">
        <v>#N/A</v>
        <stp/>
        <stp>BDH|8264444244232079400</stp>
        <tr r="I97" s="12"/>
      </tp>
      <tp t="e">
        <v>#N/A</v>
        <stp/>
        <stp>BDH|3739406375427575951</stp>
        <tr r="Q143" s="18"/>
      </tp>
      <tp t="e">
        <v>#N/A</v>
        <stp/>
        <stp>BDH|2699358962679347005</stp>
        <tr r="Y33" s="22"/>
      </tp>
      <tp t="e">
        <v>#N/A</v>
        <stp/>
        <stp>BDH|7421572957511159876</stp>
        <tr r="J11" s="13"/>
      </tp>
      <tp t="e">
        <v>#N/A</v>
        <stp/>
        <stp>BDH|5257381876247667886</stp>
        <tr r="M19" s="12"/>
      </tp>
      <tp t="e">
        <v>#N/A</v>
        <stp/>
        <stp>BDH|5661214048584836952</stp>
        <tr r="F53" s="12"/>
      </tp>
      <tp t="e">
        <v>#N/A</v>
        <stp/>
        <stp>BDH|5090064735190468852</stp>
        <tr r="K85" s="17"/>
      </tp>
      <tp t="e">
        <v>#N/A</v>
        <stp/>
        <stp>BDH|5305130318209806229</stp>
        <tr r="F11" s="10"/>
        <tr r="F14" s="2"/>
      </tp>
      <tp t="e">
        <v>#N/A</v>
        <stp/>
        <stp>BDH|1659923682889375772</stp>
        <tr r="G29" s="24"/>
      </tp>
      <tp t="e">
        <v>#N/A</v>
        <stp/>
        <stp>BDH|4157040061938257442</stp>
        <tr r="Z13" s="29"/>
        <tr r="Z22" s="29"/>
        <tr r="Z36" s="29"/>
      </tp>
      <tp t="e">
        <v>#N/A</v>
        <stp/>
        <stp>BDH|9406648403990594143</stp>
        <tr r="W130" s="18"/>
      </tp>
      <tp t="e">
        <v>#N/A</v>
        <stp/>
        <stp>BDH|8133613275351560628</stp>
        <tr r="Y48" s="18"/>
      </tp>
      <tp t="e">
        <v>#N/A</v>
        <stp/>
        <stp>BDH|1748296483035885077</stp>
        <tr r="U58" s="6"/>
      </tp>
      <tp t="e">
        <v>#N/A</v>
        <stp/>
        <stp>BDH|3981243696051135784</stp>
        <tr r="Y58" s="17"/>
      </tp>
      <tp t="e">
        <v>#N/A</v>
        <stp/>
        <stp>BDH|4974575565909101087</stp>
        <tr r="E22" s="30"/>
        <tr r="E24" s="23"/>
      </tp>
      <tp t="e">
        <v>#N/A</v>
        <stp/>
        <stp>BDH|3547225772631722909</stp>
        <tr r="F72" s="12"/>
      </tp>
      <tp t="e">
        <v>#N/A</v>
        <stp/>
        <stp>BDH|9622794183321989971</stp>
        <tr r="C23" s="9"/>
      </tp>
      <tp t="e">
        <v>#N/A</v>
        <stp/>
        <stp>BDH|6722489820579918740</stp>
        <tr r="W110" s="18"/>
      </tp>
      <tp t="e">
        <v>#N/A</v>
        <stp/>
        <stp>BDH|2893038929036779879</stp>
        <tr r="C48" s="12"/>
      </tp>
      <tp t="e">
        <v>#N/A</v>
        <stp/>
        <stp>BDH|1973618028182185938</stp>
        <tr r="J23" s="9"/>
      </tp>
      <tp t="e">
        <v>#N/A</v>
        <stp/>
        <stp>BDH|5120417892247602169</stp>
        <tr r="C9" s="22"/>
      </tp>
      <tp t="e">
        <v>#N/A</v>
        <stp/>
        <stp>BDH|9957313000647277396</stp>
        <tr r="O69" s="17"/>
        <tr r="O18" s="3"/>
      </tp>
      <tp t="e">
        <v>#N/A</v>
        <stp/>
        <stp>BDH|1811738039608893397</stp>
        <tr r="S43" s="24"/>
      </tp>
      <tp t="e">
        <v>#N/A</v>
        <stp/>
        <stp>BDH|5754592104349822717</stp>
        <tr r="D18" s="24"/>
      </tp>
      <tp t="e">
        <v>#N/A</v>
        <stp/>
        <stp>BDH|7211121090120019131</stp>
        <tr r="Q13" s="12"/>
      </tp>
      <tp t="e">
        <v>#N/A</v>
        <stp/>
        <stp>BDH|6587243725279011178</stp>
        <tr r="C28" s="34"/>
      </tp>
      <tp t="e">
        <v>#N/A</v>
        <stp/>
        <stp>BDH|3215198696495998074</stp>
        <tr r="M80" s="12"/>
      </tp>
      <tp t="e">
        <v>#N/A</v>
        <stp/>
        <stp>BDH|8785711060810116740</stp>
        <tr r="T25" s="13"/>
      </tp>
      <tp t="e">
        <v>#N/A</v>
        <stp/>
        <stp>BDH|8906664774415058285</stp>
        <tr r="V60" s="21"/>
        <tr r="T55" s="11"/>
      </tp>
      <tp t="e">
        <v>#N/A</v>
        <stp/>
        <stp>BDH|7105983561005983328</stp>
        <tr r="C7" s="14"/>
      </tp>
      <tp t="e">
        <v>#N/A</v>
        <stp/>
        <stp>BDH|3583400823052129948</stp>
        <tr r="Y16" s="28"/>
        <tr r="Y13" s="17"/>
      </tp>
      <tp t="e">
        <v>#N/A</v>
        <stp/>
        <stp>BDH|2596304166419424049</stp>
        <tr r="D51" s="21"/>
      </tp>
      <tp t="e">
        <v>#N/A</v>
        <stp/>
        <stp>BDH|9948560498998177358</stp>
        <tr r="G23" s="23"/>
      </tp>
      <tp t="e">
        <v>#N/A</v>
        <stp/>
        <stp>BDH|4709502041453033857</stp>
        <tr r="C90" s="12"/>
      </tp>
      <tp t="e">
        <v>#N/A</v>
        <stp/>
        <stp>BDH|4773057015758714333</stp>
        <tr r="G40" s="29"/>
        <tr r="G17" s="29"/>
      </tp>
      <tp t="e">
        <v>#N/A</v>
        <stp/>
        <stp>BDH|2217526690396505661</stp>
        <tr r="W10" s="25"/>
        <tr r="W55" s="17"/>
      </tp>
      <tp t="e">
        <v>#N/A</v>
        <stp/>
        <stp>BDH|1519945353593611074</stp>
        <tr r="K103" s="18"/>
      </tp>
      <tp t="e">
        <v>#N/A</v>
        <stp/>
        <stp>BDH|2466633194840490340</stp>
        <tr r="F63" s="21"/>
      </tp>
      <tp t="e">
        <v>#N/A</v>
        <stp/>
        <stp>BDH|4330697942620266890</stp>
        <tr r="P55" s="24"/>
      </tp>
      <tp t="e">
        <v>#N/A</v>
        <stp/>
        <stp>BDH|3139416393551861182</stp>
        <tr r="F54" s="13"/>
      </tp>
      <tp t="e">
        <v>#N/A</v>
        <stp/>
        <stp>BDH|4064945426482840397</stp>
        <tr r="P20" s="28"/>
        <tr r="P17" s="17"/>
      </tp>
      <tp t="e">
        <v>#N/A</v>
        <stp/>
        <stp>BDH|8870556834500951035</stp>
        <tr r="F76" s="24"/>
      </tp>
      <tp t="e">
        <v>#N/A</v>
        <stp/>
        <stp>BDH|5862127199311158213</stp>
        <tr r="U37" s="22"/>
      </tp>
      <tp t="e">
        <v>#N/A</v>
        <stp/>
        <stp>BDH|9566837024235170803</stp>
        <tr r="W14" s="34"/>
      </tp>
      <tp t="e">
        <v>#N/A</v>
        <stp/>
        <stp>BDH|2709221917329042611</stp>
        <tr r="I159" s="18"/>
      </tp>
      <tp t="e">
        <v>#N/A</v>
        <stp/>
        <stp>BDH|3414852867042737127</stp>
        <tr r="G77" s="17"/>
      </tp>
      <tp t="e">
        <v>#N/A</v>
        <stp/>
        <stp>BDH|3965283777980385863</stp>
        <tr r="G33" s="21"/>
      </tp>
      <tp t="e">
        <v>#N/A</v>
        <stp/>
        <stp>BDH|2784821143317451719</stp>
        <tr r="E73" s="13"/>
        <tr r="C50" s="11"/>
        <tr r="C61" s="10"/>
        <tr r="C19" s="7"/>
        <tr r="C20" s="2"/>
        <tr r="C18" s="4"/>
      </tp>
      <tp t="e">
        <v>#N/A</v>
        <stp/>
        <stp>BDH|3492684157739996715</stp>
        <tr r="M113" s="18"/>
        <tr r="M7" s="20"/>
      </tp>
      <tp t="e">
        <v>#N/A</v>
        <stp/>
        <stp>BDH|2711917729106401181</stp>
        <tr r="L9" s="26"/>
      </tp>
      <tp t="e">
        <v>#N/A</v>
        <stp/>
        <stp>BDH|7737933270371450630</stp>
        <tr r="Q36" s="11"/>
        <tr r="S44" s="13"/>
        <tr r="Q47" s="10"/>
        <tr r="Q52" s="4"/>
        <tr r="S8" s="3"/>
      </tp>
      <tp t="e">
        <v>#N/A</v>
        <stp/>
        <stp>BDH|6126686051788321387</stp>
        <tr r="D13" s="2"/>
      </tp>
      <tp t="e">
        <v>#N/A</v>
        <stp/>
        <stp>BDH|6324863407293988382</stp>
        <tr r="E165" s="18"/>
      </tp>
      <tp t="e">
        <v>#N/A</v>
        <stp/>
        <stp>BDH|3477805953207405708</stp>
        <tr r="V37" s="24"/>
      </tp>
      <tp t="e">
        <v>#N/A</v>
        <stp/>
        <stp>BDH|1061963537445399013</stp>
        <tr r="Z49" s="22"/>
      </tp>
      <tp t="e">
        <v>#N/A</v>
        <stp/>
        <stp>BDH|5612919624523353332</stp>
        <tr r="V16" s="11"/>
      </tp>
      <tp t="e">
        <v>#N/A</v>
        <stp/>
        <stp>BDH|5399316211741368834</stp>
        <tr r="Y17" s="23"/>
      </tp>
      <tp t="e">
        <v>#N/A</v>
        <stp/>
        <stp>BDH|8297242342525205554</stp>
        <tr r="P11" s="22"/>
      </tp>
      <tp t="e">
        <v>#N/A</v>
        <stp/>
        <stp>BDH|9286818164991146857</stp>
        <tr r="V44" s="12"/>
      </tp>
      <tp t="e">
        <v>#N/A</v>
        <stp/>
        <stp>BDH|9861259718690367455</stp>
        <tr r="K34" s="22"/>
      </tp>
      <tp t="e">
        <v>#N/A</v>
        <stp/>
        <stp>BDH|2078797327981809853</stp>
        <tr r="H67" s="12"/>
      </tp>
      <tp t="e">
        <v>#N/A</v>
        <stp/>
        <stp>BDH|2268821366085097753</stp>
        <tr r="M37" s="24"/>
      </tp>
      <tp t="e">
        <v>#N/A</v>
        <stp/>
        <stp>BDH|3619539380222209247</stp>
        <tr r="X20" s="21"/>
      </tp>
      <tp t="e">
        <v>#N/A</v>
        <stp/>
        <stp>BDH|9198430264594127142</stp>
        <tr r="Q22" s="21"/>
      </tp>
      <tp t="e">
        <v>#N/A</v>
        <stp/>
        <stp>BDH|8218111791387765969</stp>
        <tr r="Y56" s="12"/>
      </tp>
      <tp t="e">
        <v>#N/A</v>
        <stp/>
        <stp>BDH|6028166670058188640</stp>
        <tr r="R129" s="18"/>
      </tp>
      <tp t="e">
        <v>#N/A</v>
        <stp/>
        <stp>BDH|3925759755738825721</stp>
        <tr r="D43" s="4"/>
      </tp>
      <tp t="e">
        <v>#N/A</v>
        <stp/>
        <stp>BDH|6530929765554531343</stp>
        <tr r="S57" s="24"/>
      </tp>
      <tp t="e">
        <v>#N/A</v>
        <stp/>
        <stp>BDH|9459060327653694605</stp>
        <tr r="M50" s="13"/>
      </tp>
      <tp t="e">
        <v>#N/A</v>
        <stp/>
        <stp>BDH|6439761580101642679</stp>
        <tr r="E48" s="34"/>
      </tp>
      <tp t="e">
        <v>#N/A</v>
        <stp/>
        <stp>BDH|7256279384433810098</stp>
        <tr r="V26" s="18"/>
      </tp>
      <tp t="e">
        <v>#N/A</v>
        <stp/>
        <stp>BDH|1545665298442860232</stp>
        <tr r="J56" s="13"/>
      </tp>
      <tp t="e">
        <v>#N/A</v>
        <stp/>
        <stp>BDH|3211251891720378651</stp>
        <tr r="R26" s="26"/>
      </tp>
      <tp t="e">
        <v>#N/A</v>
        <stp/>
        <stp>BDH|8306852118516928974</stp>
        <tr r="I31" s="13"/>
        <tr r="G34" s="10"/>
        <tr r="G23" s="11"/>
        <tr r="G45" s="4"/>
      </tp>
      <tp t="e">
        <v>#N/A</v>
        <stp/>
        <stp>BDH|4646920900575460606</stp>
        <tr r="L67" s="24"/>
      </tp>
      <tp t="e">
        <v>#N/A</v>
        <stp/>
        <stp>BDH|9684652968863303483</stp>
        <tr r="K82" s="12"/>
      </tp>
      <tp t="e">
        <v>#N/A</v>
        <stp/>
        <stp>BDH|1674592455607921831</stp>
        <tr r="Z67" s="18"/>
      </tp>
      <tp t="e">
        <v>#N/A</v>
        <stp/>
        <stp>BDH|9914181900065649374</stp>
        <tr r="C76" s="24"/>
      </tp>
      <tp t="e">
        <v>#N/A</v>
        <stp/>
        <stp>BDH|8830373061495700694</stp>
        <tr r="R80" s="18"/>
      </tp>
      <tp t="e">
        <v>#N/A</v>
        <stp/>
        <stp>BDH|3284376313066097964</stp>
        <tr r="X50" s="17"/>
      </tp>
      <tp t="e">
        <v>#N/A</v>
        <stp/>
        <stp>BDH|7121775182514444204</stp>
        <tr r="G20" s="12"/>
      </tp>
      <tp t="e">
        <v>#N/A</v>
        <stp/>
        <stp>BDH|5215986119352617157</stp>
        <tr r="Y48" s="22"/>
      </tp>
      <tp t="e">
        <v>#N/A</v>
        <stp/>
        <stp>BDH|1657122338479806446</stp>
        <tr r="M48" s="6"/>
      </tp>
      <tp t="e">
        <v>#N/A</v>
        <stp/>
        <stp>BDH|4625962039478842815</stp>
        <tr r="R70" s="12"/>
      </tp>
      <tp t="e">
        <v>#N/A</v>
        <stp/>
        <stp>BDH|3742900514415457070</stp>
        <tr r="J33" s="17"/>
      </tp>
      <tp t="e">
        <v>#N/A</v>
        <stp/>
        <stp>BDH|3393193991025870038</stp>
        <tr r="K64" s="12"/>
      </tp>
      <tp t="e">
        <v>#N/A</v>
        <stp/>
        <stp>BDH|3668698327690099984</stp>
        <tr r="Q29" s="14"/>
      </tp>
      <tp t="e">
        <v>#N/A</v>
        <stp/>
        <stp>BDH|9372119903872277434</stp>
        <tr r="S47" s="13"/>
      </tp>
      <tp t="e">
        <v>#N/A</v>
        <stp/>
        <stp>BDH|4207355791052731212</stp>
        <tr r="X11" s="24"/>
      </tp>
      <tp t="e">
        <v>#N/A</v>
        <stp/>
        <stp>BDH|2876575692648953845</stp>
        <tr r="W39" s="12"/>
      </tp>
      <tp t="e">
        <v>#N/A</v>
        <stp/>
        <stp>BDH|6747762649952084983</stp>
        <tr r="E18" s="26"/>
      </tp>
      <tp t="e">
        <v>#N/A</v>
        <stp/>
        <stp>BDH|9122504104570162242</stp>
        <tr r="N22" s="12"/>
      </tp>
      <tp t="e">
        <v>#N/A</v>
        <stp/>
        <stp>BDH|2325462031752050945</stp>
        <tr r="C31" s="22"/>
      </tp>
      <tp t="e">
        <v>#N/A</v>
        <stp/>
        <stp>BDH|8672274511296518356</stp>
        <tr r="C20" s="17"/>
      </tp>
      <tp t="e">
        <v>#N/A</v>
        <stp/>
        <stp>BDH|3929385113007449865</stp>
        <tr r="Q94" s="12"/>
      </tp>
      <tp t="e">
        <v>#N/A</v>
        <stp/>
        <stp>BDH|9546382660526943441</stp>
        <tr r="T12" s="20"/>
        <tr r="T117" s="18"/>
      </tp>
      <tp t="e">
        <v>#N/A</v>
        <stp/>
        <stp>BDH|9253956504277612956</stp>
        <tr r="H81" s="12"/>
      </tp>
      <tp t="e">
        <v>#N/A</v>
        <stp/>
        <stp>BDH|4388434652929200203</stp>
        <tr r="Z51" s="21"/>
      </tp>
      <tp t="e">
        <v>#N/A</v>
        <stp/>
        <stp>BDH|8658611911283413221</stp>
        <tr r="L25" s="18"/>
      </tp>
      <tp t="e">
        <v>#N/A</v>
        <stp/>
        <stp>BDH|4797690999210554528</stp>
        <tr r="P18" s="18"/>
      </tp>
      <tp t="e">
        <v>#N/A</v>
        <stp/>
        <stp>BDH|2906379133619831555</stp>
        <tr r="W59" s="12"/>
      </tp>
      <tp t="e">
        <v>#N/A</v>
        <stp/>
        <stp>BDH|7805165692793887243</stp>
        <tr r="N31" s="17"/>
      </tp>
      <tp t="e">
        <v>#N/A</v>
        <stp/>
        <stp>BDH|1682428202812538932</stp>
        <tr r="U20" s="24"/>
      </tp>
      <tp t="e">
        <v>#N/A</v>
        <stp/>
        <stp>BDH|6564418036538000720</stp>
        <tr r="S46" s="22"/>
      </tp>
      <tp t="e">
        <v>#N/A</v>
        <stp/>
        <stp>BDH|6931081943418254408</stp>
        <tr r="N13" s="7"/>
      </tp>
      <tp t="e">
        <v>#N/A</v>
        <stp/>
        <stp>BDH|1184342914009842495</stp>
        <tr r="K9" s="10"/>
      </tp>
      <tp t="e">
        <v>#N/A</v>
        <stp/>
        <stp>BDH|1925233545981912862</stp>
        <tr r="W13" s="22"/>
      </tp>
      <tp t="e">
        <v>#N/A</v>
        <stp/>
        <stp>BDH|8227516102556639579</stp>
        <tr r="G35" s="11"/>
        <tr r="G46" s="10"/>
      </tp>
      <tp t="e">
        <v>#N/A</v>
        <stp/>
        <stp>BDH|9502525173893421604</stp>
        <tr r="G30" s="22"/>
      </tp>
      <tp t="e">
        <v>#N/A</v>
        <stp/>
        <stp>BDH|8205634083829278101</stp>
        <tr r="D41" s="26"/>
      </tp>
      <tp t="e">
        <v>#N/A</v>
        <stp/>
        <stp>BDH|2637364492800308615</stp>
        <tr r="O17" s="30"/>
      </tp>
      <tp t="e">
        <v>#N/A</v>
        <stp/>
        <stp>BDH|3187375535268253517</stp>
        <tr r="K17" s="18"/>
      </tp>
      <tp t="e">
        <v>#N/A</v>
        <stp/>
        <stp>BDH|2375236086276290047</stp>
        <tr r="N26" s="12"/>
      </tp>
      <tp t="e">
        <v>#N/A</v>
        <stp/>
        <stp>BDH|3381507042195369924</stp>
        <tr r="X65" s="24"/>
      </tp>
      <tp t="e">
        <v>#N/A</v>
        <stp/>
        <stp>BDH|8342560072811708500</stp>
        <tr r="K11" s="9"/>
      </tp>
      <tp t="e">
        <v>#N/A</v>
        <stp/>
        <stp>BDH|2186737566978711538</stp>
        <tr r="M69" s="12"/>
      </tp>
      <tp t="e">
        <v>#N/A</v>
        <stp/>
        <stp>BDH|5282425814646669823</stp>
        <tr r="X58" s="6"/>
      </tp>
      <tp t="e">
        <v>#N/A</v>
        <stp/>
        <stp>BDH|6574353083804567764</stp>
        <tr r="M39" s="26"/>
      </tp>
      <tp t="e">
        <v>#N/A</v>
        <stp/>
        <stp>BDH|5295897054793872570</stp>
        <tr r="V16" s="23"/>
      </tp>
      <tp t="e">
        <v>#N/A</v>
        <stp/>
        <stp>BDH|6370829322771001328</stp>
        <tr r="C32" s="29"/>
      </tp>
      <tp t="e">
        <v>#N/A</v>
        <stp/>
        <stp>BDH|9525671770054132221</stp>
        <tr r="L52" s="34"/>
      </tp>
      <tp t="e">
        <v>#N/A</v>
        <stp/>
        <stp>BDH|3395372480924215272</stp>
        <tr r="X18" s="28"/>
        <tr r="X15" s="17"/>
      </tp>
      <tp t="e">
        <v>#N/A</v>
        <stp/>
        <stp>BDH|5051329866397582906</stp>
        <tr r="L42" s="29"/>
        <tr r="L33" s="29"/>
        <tr r="J55" s="6"/>
        <tr r="J11" s="5"/>
        <tr r="K10" s="2"/>
      </tp>
      <tp t="e">
        <v>#N/A</v>
        <stp/>
        <stp>BDH|7839074299424141466</stp>
        <tr r="M80" s="17"/>
      </tp>
      <tp t="e">
        <v>#N/A</v>
        <stp/>
        <stp>BDH|6772507570599637307</stp>
        <tr r="W80" s="12"/>
      </tp>
      <tp t="e">
        <v>#N/A</v>
        <stp/>
        <stp>BDH|6282607082681580740</stp>
        <tr r="J13" s="20"/>
        <tr r="J118" s="18"/>
      </tp>
      <tp t="e">
        <v>#N/A</v>
        <stp/>
        <stp>BDH|1531685398022661220</stp>
        <tr r="R10" s="21"/>
      </tp>
      <tp t="e">
        <v>#N/A</v>
        <stp/>
        <stp>BDH|1862163606519149784</stp>
        <tr r="T26" s="26"/>
      </tp>
      <tp t="e">
        <v>#N/A</v>
        <stp/>
        <stp>BDH|9638945017249501614</stp>
        <tr r="J30" s="17"/>
      </tp>
      <tp t="e">
        <v>#N/A</v>
        <stp/>
        <stp>BDH|5225910220085510573</stp>
        <tr r="N23" s="24"/>
      </tp>
      <tp t="e">
        <v>#N/A</v>
        <stp/>
        <stp>BDH|4716960626622706314</stp>
        <tr r="Q55" s="12"/>
      </tp>
      <tp t="e">
        <v>#N/A</v>
        <stp/>
        <stp>BDH|3501567680765600543</stp>
        <tr r="O18" s="23"/>
      </tp>
      <tp t="e">
        <v>#N/A</v>
        <stp/>
        <stp>BDH|8400800997584100336</stp>
        <tr r="L104" s="18"/>
      </tp>
      <tp t="e">
        <v>#N/A</v>
        <stp/>
        <stp>BDH|6787719493275519311</stp>
        <tr r="G49" s="21"/>
      </tp>
      <tp t="e">
        <v>#N/A</v>
        <stp/>
        <stp>BDH|9460604754692350622</stp>
        <tr r="Z90" s="18"/>
      </tp>
      <tp t="e">
        <v>#N/A</v>
        <stp/>
        <stp>BDH|7421467150439201113</stp>
        <tr r="P153" s="18"/>
      </tp>
      <tp t="e">
        <v>#N/A</v>
        <stp/>
        <stp>BDH|4760461601728239631</stp>
        <tr r="E135" s="18"/>
      </tp>
      <tp t="e">
        <v>#N/A</v>
        <stp/>
        <stp>BDH|8801374180508716595</stp>
        <tr r="Y44" s="22"/>
      </tp>
      <tp t="e">
        <v>#N/A</v>
        <stp/>
        <stp>BDH|2910796798923194182</stp>
        <tr r="X35" s="13"/>
        <tr r="V28" s="10"/>
      </tp>
      <tp t="e">
        <v>#N/A</v>
        <stp/>
        <stp>BDH|9580808979161844950</stp>
        <tr r="Y49" s="22"/>
      </tp>
      <tp t="e">
        <v>#N/A</v>
        <stp/>
        <stp>BDH|9998082337551295552</stp>
        <tr r="I20" s="22"/>
      </tp>
      <tp t="e">
        <v>#N/A</v>
        <stp/>
        <stp>BDH|9051584509051836386</stp>
        <tr r="U73" s="13"/>
        <tr r="S50" s="11"/>
        <tr r="S61" s="10"/>
        <tr r="S19" s="7"/>
        <tr r="S18" s="4"/>
        <tr r="S20" s="2"/>
      </tp>
      <tp t="e">
        <v>#N/A</v>
        <stp/>
        <stp>BDH|8952624659233145623</stp>
        <tr r="S36" s="13"/>
        <tr r="Q29" s="10"/>
      </tp>
      <tp t="e">
        <v>#N/A</v>
        <stp/>
        <stp>BDH|1935277847140964917</stp>
        <tr r="J161" s="18"/>
      </tp>
      <tp t="e">
        <v>#N/A</v>
        <stp/>
        <stp>BDH|5616076837101423930</stp>
        <tr r="K30" s="25"/>
        <tr r="K12" s="27"/>
      </tp>
      <tp t="e">
        <v>#N/A</v>
        <stp/>
        <stp>BDH|1319796048304708843</stp>
        <tr r="D7" s="23"/>
      </tp>
      <tp t="e">
        <v>#N/A</v>
        <stp/>
        <stp>BDH|8421127433050731431</stp>
        <tr r="X8" s="18"/>
      </tp>
      <tp t="e">
        <v>#N/A</v>
        <stp/>
        <stp>BDH|9148285167167936464</stp>
        <tr r="V163" s="18"/>
      </tp>
      <tp t="e">
        <v>#N/A</v>
        <stp/>
        <stp>BDH|3156294989113539455</stp>
        <tr r="E33" s="5"/>
      </tp>
      <tp t="e">
        <v>#N/A</v>
        <stp/>
        <stp>BDH|1027880119565858384</stp>
        <tr r="X12" s="21"/>
      </tp>
      <tp t="e">
        <v>#N/A</v>
        <stp/>
        <stp>BDH|6180917938240178283</stp>
        <tr r="G159" s="18"/>
      </tp>
      <tp t="e">
        <v>#N/A</v>
        <stp/>
        <stp>BDH|1104942267901226110</stp>
        <tr r="U9" s="10"/>
      </tp>
      <tp t="e">
        <v>#N/A</v>
        <stp/>
        <stp>BDH|6086923467134605322</stp>
        <tr r="E39" s="21"/>
      </tp>
      <tp t="e">
        <v>#N/A</v>
        <stp/>
        <stp>BDH|1963981583078267619</stp>
        <tr r="E10" s="8"/>
        <tr r="C53" s="6"/>
      </tp>
      <tp t="e">
        <v>#N/A</v>
        <stp/>
        <stp>BDH|7727904107918521845</stp>
        <tr r="O18" s="10"/>
      </tp>
      <tp t="e">
        <v>#N/A</v>
        <stp/>
        <stp>BDH|2177798119019445343</stp>
        <tr r="S109" s="18"/>
      </tp>
      <tp t="e">
        <v>#N/A</v>
        <stp/>
        <stp>BDH|2581841220107807183</stp>
        <tr r="K18" s="11"/>
      </tp>
      <tp t="e">
        <v>#N/A</v>
        <stp/>
        <stp>BDH|9155935190931317603</stp>
        <tr r="N18" s="27"/>
        <tr r="N36" s="25"/>
      </tp>
      <tp t="e">
        <v>#N/A</v>
        <stp/>
        <stp>BDH|2249580872569185782</stp>
        <tr r="J21" s="27"/>
      </tp>
      <tp t="e">
        <v>#N/A</v>
        <stp/>
        <stp>BDH|5693929630555188446</stp>
        <tr r="N46" s="18"/>
      </tp>
      <tp t="e">
        <v>#N/A</v>
        <stp/>
        <stp>BDH|3297760225749858181</stp>
        <tr r="L73" s="18"/>
      </tp>
      <tp t="e">
        <v>#N/A</v>
        <stp/>
        <stp>BDH|8715899818918485733</stp>
        <tr r="I22" s="30"/>
        <tr r="I24" s="23"/>
      </tp>
      <tp t="e">
        <v>#N/A</v>
        <stp/>
        <stp>BDH|2135432420662425878</stp>
        <tr r="D31" s="5"/>
      </tp>
      <tp t="e">
        <v>#N/A</v>
        <stp/>
        <stp>BDH|8985743508866275769</stp>
        <tr r="I63" s="21"/>
      </tp>
      <tp t="e">
        <v>#N/A</v>
        <stp/>
        <stp>BDH|5731077264285699833</stp>
        <tr r="O18" s="24"/>
      </tp>
      <tp t="e">
        <v>#N/A</v>
        <stp/>
        <stp>BDH|1665641792357884790</stp>
        <tr r="H120" s="18"/>
      </tp>
      <tp t="e">
        <v>#N/A</v>
        <stp/>
        <stp>BDH|6521079973478131710</stp>
        <tr r="G28" s="21"/>
      </tp>
      <tp t="e">
        <v>#N/A</v>
        <stp/>
        <stp>BDH|7823427246520458999</stp>
        <tr r="O34" s="11"/>
        <tr r="O45" s="10"/>
      </tp>
      <tp t="e">
        <v>#N/A</v>
        <stp/>
        <stp>BDH|1510103106627026929</stp>
        <tr r="D19" s="26"/>
      </tp>
      <tp t="e">
        <v>#N/A</v>
        <stp/>
        <stp>BDH|6587308377969703538</stp>
        <tr r="D23" s="9"/>
      </tp>
      <tp t="e">
        <v>#N/A</v>
        <stp/>
        <stp>BDH|4540887376447804256</stp>
        <tr r="V95" s="12"/>
      </tp>
      <tp t="e">
        <v>#N/A</v>
        <stp/>
        <stp>BDH|5499267785261580045</stp>
        <tr r="N28" s="21"/>
      </tp>
      <tp t="e">
        <v>#N/A</v>
        <stp/>
        <stp>BDH|4151711052641537911</stp>
        <tr r="R57" s="6"/>
      </tp>
      <tp t="e">
        <v>#N/A</v>
        <stp/>
        <stp>BDH|3688038170273214913</stp>
        <tr r="L40" s="18"/>
      </tp>
      <tp t="e">
        <v>#N/A</v>
        <stp/>
        <stp>BDH|2513767923260767912</stp>
        <tr r="E49" s="21"/>
      </tp>
      <tp t="e">
        <v>#N/A</v>
        <stp/>
        <stp>BDH|9883379748701322127</stp>
        <tr r="X49" s="13"/>
      </tp>
      <tp t="e">
        <v>#N/A</v>
        <stp/>
        <stp>BDH|1538950109470879673</stp>
        <tr r="K37" s="6"/>
      </tp>
      <tp t="e">
        <v>#N/A</v>
        <stp/>
        <stp>BDH|9900700809133058367</stp>
        <tr r="T46" s="24"/>
      </tp>
      <tp t="e">
        <v>#N/A</v>
        <stp/>
        <stp>BDH|8838565909220726364</stp>
        <tr r="U43" s="4"/>
      </tp>
      <tp t="e">
        <v>#N/A</v>
        <stp/>
        <stp>BDH|1132820363595304454</stp>
        <tr r="Y24" s="13"/>
      </tp>
      <tp t="e">
        <v>#N/A</v>
        <stp/>
        <stp>BDH|9689479428707860672</stp>
        <tr r="O43" s="24"/>
      </tp>
      <tp t="e">
        <v>#N/A</v>
        <stp/>
        <stp>BDH|6727868638170888371</stp>
        <tr r="W56" s="18"/>
      </tp>
      <tp t="e">
        <v>#N/A</v>
        <stp/>
        <stp>BDH|9931206954062346283</stp>
        <tr r="Q15" s="22"/>
      </tp>
      <tp t="e">
        <v>#N/A</v>
        <stp/>
        <stp>BDH|1532365144920186802</stp>
        <tr r="I32" s="13"/>
        <tr r="G25" s="10"/>
      </tp>
      <tp t="e">
        <v>#N/A</v>
        <stp/>
        <stp>BDH|3835890487638907591</stp>
        <tr r="S31" s="29"/>
      </tp>
      <tp t="e">
        <v>#N/A</v>
        <stp/>
        <stp>BDH|1095279159338938014</stp>
        <tr r="Q53" s="22"/>
      </tp>
      <tp t="e">
        <v>#N/A</v>
        <stp/>
        <stp>BDH|9503216947469523804</stp>
        <tr r="H44" s="22"/>
      </tp>
      <tp t="e">
        <v>#N/A</v>
        <stp/>
        <stp>BDH|2997999901967382245</stp>
        <tr r="E40" s="21"/>
      </tp>
      <tp t="e">
        <v>#N/A</v>
        <stp/>
        <stp>BDH|3247396378570039950</stp>
        <tr r="L98" s="12"/>
      </tp>
      <tp t="e">
        <v>#N/A</v>
        <stp/>
        <stp>BDH|7818210097636811402</stp>
        <tr r="G12" s="21"/>
      </tp>
      <tp t="e">
        <v>#N/A</v>
        <stp/>
        <stp>BDH|1998849466755595489</stp>
        <tr r="F10" s="22"/>
      </tp>
      <tp t="e">
        <v>#N/A</v>
        <stp/>
        <stp>BDH|6129991618519120973</stp>
        <tr r="P61" s="12"/>
      </tp>
      <tp t="e">
        <v>#N/A</v>
        <stp/>
        <stp>BDH|4122222581057426704</stp>
        <tr r="V46" s="22"/>
      </tp>
      <tp t="e">
        <v>#N/A</v>
        <stp/>
        <stp>BDH|7618616580155608270</stp>
        <tr r="T59" s="24"/>
      </tp>
      <tp t="e">
        <v>#N/A</v>
        <stp/>
        <stp>BDH|3547366091914103352</stp>
        <tr r="G13" s="18"/>
      </tp>
      <tp t="e">
        <v>#N/A</v>
        <stp/>
        <stp>BDH|3976008988113252652</stp>
        <tr r="O54" s="12"/>
      </tp>
      <tp t="e">
        <v>#N/A</v>
        <stp/>
        <stp>BDH|6167394918632053868</stp>
        <tr r="M102" s="18"/>
      </tp>
      <tp t="e">
        <v>#N/A</v>
        <stp/>
        <stp>BDH|7463729985790649635</stp>
        <tr r="M29" s="17"/>
      </tp>
      <tp t="e">
        <v>#N/A</v>
        <stp/>
        <stp>BDH|1654911491109645669</stp>
        <tr r="M27" s="25"/>
        <tr r="K20" s="11"/>
      </tp>
      <tp t="e">
        <v>#N/A</v>
        <stp/>
        <stp>BDH|6931166051835027982</stp>
        <tr r="S21" s="5"/>
      </tp>
      <tp t="e">
        <v>#N/A</v>
        <stp/>
        <stp>BDH|5084827367337654256</stp>
        <tr r="I31" s="26"/>
      </tp>
      <tp t="e">
        <v>#N/A</v>
        <stp/>
        <stp>BDH|1499891918116356002</stp>
        <tr r="Z34" s="21"/>
      </tp>
      <tp t="e">
        <v>#N/A</v>
        <stp/>
        <stp>BDH|8149733021882306161</stp>
        <tr r="K15" s="25"/>
      </tp>
      <tp t="e">
        <v>#N/A</v>
        <stp/>
        <stp>BDH|9849218805602803724</stp>
        <tr r="N174" s="18"/>
      </tp>
      <tp t="e">
        <v>#N/A</v>
        <stp/>
        <stp>BDH|6843081182588790837</stp>
        <tr r="W41" s="34"/>
      </tp>
      <tp t="e">
        <v>#N/A</v>
        <stp/>
        <stp>BDH|5001220786878185921</stp>
        <tr r="H54" s="13"/>
      </tp>
      <tp t="e">
        <v>#N/A</v>
        <stp/>
        <stp>BDH|9594229316461642501</stp>
        <tr r="D17" s="18"/>
      </tp>
      <tp t="e">
        <v>#N/A</v>
        <stp/>
        <stp>BDH|6576771494184656273</stp>
        <tr r="D25" s="24"/>
      </tp>
      <tp t="e">
        <v>#N/A</v>
        <stp/>
        <stp>BDH|1147531901883482905</stp>
        <tr r="X23" s="24"/>
      </tp>
      <tp t="e">
        <v>#N/A</v>
        <stp/>
        <stp>BDH|7957594655130727952</stp>
        <tr r="N28" s="18"/>
      </tp>
      <tp t="e">
        <v>#N/A</v>
        <stp/>
        <stp>BDH|9346375244659403937</stp>
        <tr r="R32" s="29"/>
        <tr r="P34" s="5"/>
      </tp>
      <tp t="e">
        <v>#N/A</v>
        <stp/>
        <stp>BDH|9619876707966185906</stp>
        <tr r="C35" s="12"/>
      </tp>
      <tp t="e">
        <v>#N/A</v>
        <stp/>
        <stp>BDH|5908880876017956396</stp>
        <tr r="U55" s="12"/>
      </tp>
      <tp t="e">
        <v>#N/A</v>
        <stp/>
        <stp>BDH|9442421423387372612</stp>
        <tr r="P30" s="26"/>
      </tp>
      <tp t="e">
        <v>#N/A</v>
        <stp/>
        <stp>BDH|3199832543316085763</stp>
        <tr r="H45" s="22"/>
      </tp>
      <tp t="e">
        <v>#N/A</v>
        <stp/>
        <stp>BDH|9419348347595589557</stp>
        <tr r="R77" s="17"/>
      </tp>
      <tp t="e">
        <v>#N/A</v>
        <stp/>
        <stp>BDH|2221422177148126711</stp>
        <tr r="X17" s="30"/>
      </tp>
      <tp t="e">
        <v>#N/A</v>
        <stp/>
        <stp>BDH|7640787248992909888</stp>
        <tr r="P68" s="18"/>
      </tp>
      <tp t="e">
        <v>#N/A</v>
        <stp/>
        <stp>BDH|7132329186622795050</stp>
        <tr r="G24" s="12"/>
      </tp>
      <tp t="e">
        <v>#N/A</v>
        <stp/>
        <stp>BDH|8223003054874959788</stp>
        <tr r="T15" s="12"/>
      </tp>
      <tp t="e">
        <v>#N/A</v>
        <stp/>
        <stp>BDH|7640908101715845588</stp>
        <tr r="C25" s="17"/>
      </tp>
      <tp t="e">
        <v>#N/A</v>
        <stp/>
        <stp>BDH|6611600387630203640</stp>
        <tr r="T23" s="17"/>
      </tp>
      <tp t="e">
        <v>#N/A</v>
        <stp/>
        <stp>BDH|8103066879937003698</stp>
        <tr r="G12" s="11"/>
      </tp>
      <tp t="e">
        <v>#N/A</v>
        <stp/>
        <stp>BDH|6542977692920585824</stp>
        <tr r="W14" s="22"/>
      </tp>
      <tp t="e">
        <v>#N/A</v>
        <stp/>
        <stp>BDH|5961304911229815077</stp>
        <tr r="L16" s="28"/>
        <tr r="L13" s="17"/>
      </tp>
      <tp t="e">
        <v>#N/A</v>
        <stp/>
        <stp>BDH|2218395620138537590</stp>
        <tr r="Z18" s="29"/>
        <tr r="Z41" s="29"/>
      </tp>
      <tp t="e">
        <v>#N/A</v>
        <stp/>
        <stp>BDH|8422007433176954398</stp>
        <tr r="N22" s="9"/>
      </tp>
      <tp t="e">
        <v>#N/A</v>
        <stp/>
        <stp>BDH|6183140153509922586</stp>
        <tr r="P14" s="20"/>
        <tr r="P119" s="18"/>
      </tp>
      <tp t="e">
        <v>#N/A</v>
        <stp/>
        <stp>BDH|7614103113371012829</stp>
        <tr r="Q22" s="25"/>
      </tp>
      <tp t="e">
        <v>#N/A</v>
        <stp/>
        <stp>BDH|4559702742501997892</stp>
        <tr r="F49" s="12"/>
      </tp>
      <tp t="e">
        <v>#N/A</v>
        <stp/>
        <stp>BDH|5397532826309078517</stp>
        <tr r="T23" s="23"/>
      </tp>
      <tp t="e">
        <v>#N/A</v>
        <stp/>
        <stp>BDH|5368679673493977997</stp>
        <tr r="E12" s="10"/>
      </tp>
      <tp t="e">
        <v>#N/A</v>
        <stp/>
        <stp>BDH|9738737780861378900</stp>
        <tr r="Q78" s="12"/>
      </tp>
      <tp t="e">
        <v>#N/A</v>
        <stp/>
        <stp>BDH|3850652986455581690</stp>
        <tr r="N14" s="20"/>
        <tr r="N119" s="18"/>
      </tp>
      <tp t="e">
        <v>#N/A</v>
        <stp/>
        <stp>BDH|1198449353367695971</stp>
        <tr r="W25" s="12"/>
      </tp>
      <tp t="e">
        <v>#N/A</v>
        <stp/>
        <stp>BDH|1222841661087604668</stp>
        <tr r="R69" s="24"/>
      </tp>
      <tp t="e">
        <v>#N/A</v>
        <stp/>
        <stp>BDH|5675255824543053809</stp>
        <tr r="O13" s="25"/>
      </tp>
      <tp t="e">
        <v>#N/A</v>
        <stp/>
        <stp>BDH|4369140760364679968</stp>
        <tr r="G27" s="22"/>
      </tp>
      <tp t="e">
        <v>#N/A</v>
        <stp/>
        <stp>BDH|8787371252577171741</stp>
        <tr r="C23" s="22"/>
      </tp>
      <tp t="e">
        <v>#N/A</v>
        <stp/>
        <stp>BDH|5391503596311302614</stp>
        <tr r="D42" s="34"/>
      </tp>
      <tp t="e">
        <v>#N/A</v>
        <stp/>
        <stp>BDH|2192293799922194577</stp>
        <tr r="Z45" s="21"/>
      </tp>
      <tp t="e">
        <v>#N/A</v>
        <stp/>
        <stp>BDH|6207367461779788457</stp>
        <tr r="E63" s="21"/>
      </tp>
      <tp t="e">
        <v>#N/A</v>
        <stp/>
        <stp>BDH|9498846592200376665</stp>
        <tr r="G15" s="12"/>
      </tp>
      <tp t="e">
        <v>#N/A</v>
        <stp/>
        <stp>BDH|3037792110942766990</stp>
        <tr r="N27" s="6"/>
      </tp>
      <tp t="e">
        <v>#N/A</v>
        <stp/>
        <stp>BDH|5568604523207888896</stp>
        <tr r="J41" s="12"/>
      </tp>
      <tp t="e">
        <v>#N/A</v>
        <stp/>
        <stp>BDH|3464555553724582902</stp>
        <tr r="V16" s="25"/>
      </tp>
      <tp t="e">
        <v>#N/A</v>
        <stp/>
        <stp>BDH|8701426490192678971</stp>
        <tr r="AA14" s="27"/>
        <tr r="AA32" s="25"/>
      </tp>
      <tp t="e">
        <v>#N/A</v>
        <stp/>
        <stp>BDH|9217076152675375707</stp>
        <tr r="O43" s="10"/>
        <tr r="O32" s="11"/>
      </tp>
      <tp t="e">
        <v>#N/A</v>
        <stp/>
        <stp>BDH|3420752156528404774</stp>
        <tr r="O47" s="6"/>
      </tp>
      <tp t="e">
        <v>#N/A</v>
        <stp/>
        <stp>BDH|6313152555738639416</stp>
        <tr r="S32" s="18"/>
      </tp>
      <tp t="e">
        <v>#N/A</v>
        <stp/>
        <stp>BDH|2829684626939062128</stp>
        <tr r="U41" s="13"/>
        <tr r="S23" s="10"/>
        <tr r="S46" s="4"/>
      </tp>
      <tp t="e">
        <v>#N/A</v>
        <stp/>
        <stp>BDH|2622204482727619163</stp>
        <tr r="R36" s="18"/>
      </tp>
      <tp t="e">
        <v>#N/A</v>
        <stp/>
        <stp>BDH|7681921954422164758</stp>
        <tr r="U51" s="13"/>
      </tp>
      <tp t="e">
        <v>#N/A</v>
        <stp/>
        <stp>BDH|5746776793435315045</stp>
        <tr r="O17" s="34"/>
      </tp>
      <tp t="e">
        <v>#N/A</v>
        <stp/>
        <stp>BDH|8371740854510278450</stp>
        <tr r="C110" s="18"/>
      </tp>
      <tp t="e">
        <v>#N/A</v>
        <stp/>
        <stp>BDH|6353732445283714861</stp>
        <tr r="D48" s="18"/>
      </tp>
      <tp t="e">
        <v>#N/A</v>
        <stp/>
        <stp>BDH|9051604642131332457</stp>
        <tr r="S13" s="21"/>
      </tp>
      <tp t="e">
        <v>#N/A</v>
        <stp/>
        <stp>BDH|2173879143700342029</stp>
        <tr r="E35" s="10"/>
        <tr r="E24" s="11"/>
      </tp>
      <tp t="e">
        <v>#N/A</v>
        <stp/>
        <stp>BDH|4501550282693509431</stp>
        <tr r="F61" s="18"/>
      </tp>
      <tp t="e">
        <v>#N/A</v>
        <stp/>
        <stp>BDH|6382684743079826348</stp>
        <tr r="F72" s="24"/>
      </tp>
      <tp t="e">
        <v>#N/A</v>
        <stp/>
        <stp>BDH|9058525852600326772</stp>
        <tr r="Q16" s="11"/>
      </tp>
      <tp t="e">
        <v>#N/A</v>
        <stp/>
        <stp>BDH|3896701158176193956</stp>
        <tr r="Y85" s="18"/>
      </tp>
      <tp t="e">
        <v>#N/A</v>
        <stp/>
        <stp>BDH|4501714275553155942</stp>
        <tr r="Y85" s="12"/>
      </tp>
      <tp t="e">
        <v>#N/A</v>
        <stp/>
        <stp>BDH|1494512814543716829</stp>
        <tr r="E76" s="12"/>
      </tp>
      <tp t="e">
        <v>#N/A</v>
        <stp/>
        <stp>BDH|8368462267395782116</stp>
        <tr r="J11" s="10"/>
        <tr r="J14" s="2"/>
      </tp>
      <tp t="e">
        <v>#N/A</v>
        <stp/>
        <stp>BDH|2141760317128155258</stp>
        <tr r="R30" s="12"/>
      </tp>
      <tp t="e">
        <v>#N/A</v>
        <stp/>
        <stp>BDH|8720275015824542143</stp>
        <tr r="M64" s="11"/>
        <tr r="M75" s="10"/>
      </tp>
      <tp t="e">
        <v>#N/A</v>
        <stp/>
        <stp>BDH|9227010767921516051</stp>
        <tr r="N36" s="21"/>
        <tr r="N24" s="3"/>
      </tp>
      <tp t="e">
        <v>#N/A</v>
        <stp/>
        <stp>BDH|2801895751351455008</stp>
        <tr r="Y18" s="20"/>
      </tp>
      <tp t="e">
        <v>#N/A</v>
        <stp/>
        <stp>BDH|3487102181636041212</stp>
        <tr r="AA83" s="18"/>
      </tp>
      <tp t="e">
        <v>#N/A</v>
        <stp/>
        <stp>BDH|4708511971589088136</stp>
        <tr r="L82" s="18"/>
      </tp>
      <tp t="e">
        <v>#N/A</v>
        <stp/>
        <stp>BDH|1069187693426765189</stp>
        <tr r="Z53" s="17"/>
      </tp>
      <tp t="e">
        <v>#N/A</v>
        <stp/>
        <stp>BDH|3056803348856851746</stp>
        <tr r="L65" s="24"/>
      </tp>
      <tp t="e">
        <v>#N/A</v>
        <stp/>
        <stp>BDH|6271210389446762499</stp>
        <tr r="N17" s="30"/>
      </tp>
      <tp t="e">
        <v>#N/A</v>
        <stp/>
        <stp>BDH|5840850232043906328</stp>
        <tr r="Q63" s="24"/>
      </tp>
      <tp t="e">
        <v>#N/A</v>
        <stp/>
        <stp>BDH|3428845220877175054</stp>
        <tr r="D52" s="12"/>
      </tp>
      <tp t="e">
        <v>#N/A</v>
        <stp/>
        <stp>BDH|7702914622147918598</stp>
        <tr r="C22" s="6"/>
      </tp>
      <tp t="e">
        <v>#N/A</v>
        <stp/>
        <stp>BDH|9011646018841892109</stp>
        <tr r="U36" s="13"/>
        <tr r="S29" s="10"/>
      </tp>
      <tp t="e">
        <v>#N/A</v>
        <stp/>
        <stp>BDH|8233615779041798690</stp>
        <tr r="J27" s="21"/>
      </tp>
      <tp t="e">
        <v>#N/A</v>
        <stp/>
        <stp>BDH|8104768907238307974</stp>
        <tr r="E16" s="23"/>
      </tp>
      <tp t="e">
        <v>#N/A</v>
        <stp/>
        <stp>BDH|1767950071300562132</stp>
        <tr r="P18" s="17"/>
      </tp>
      <tp t="e">
        <v>#N/A</v>
        <stp/>
        <stp>BDH|3422424742158525544</stp>
        <tr r="J43" s="11"/>
        <tr r="J54" s="10"/>
        <tr r="L9" s="3"/>
        <tr r="J14" s="7"/>
      </tp>
      <tp t="e">
        <v>#N/A</v>
        <stp/>
        <stp>BDH|1050659447864010974</stp>
        <tr r="F26" s="21"/>
      </tp>
      <tp t="e">
        <v>#N/A</v>
        <stp/>
        <stp>BDH|9017631035531056331</stp>
        <tr r="L6" s="8"/>
        <tr r="J51" s="6"/>
      </tp>
      <tp t="e">
        <v>#N/A</v>
        <stp/>
        <stp>BDH|1230800860725270452</stp>
        <tr r="I29" s="29"/>
        <tr r="I7" s="29"/>
      </tp>
      <tp t="e">
        <v>#N/A</v>
        <stp/>
        <stp>BDH|9965493315655409742</stp>
        <tr r="X10" s="27"/>
        <tr r="X29" s="25"/>
      </tp>
      <tp t="e">
        <v>#N/A</v>
        <stp/>
        <stp>BDH|1213012409786624997</stp>
        <tr r="V16" s="34"/>
      </tp>
      <tp t="e">
        <v>#N/A</v>
        <stp/>
        <stp>BDH|6671622720579217531</stp>
        <tr r="L78" s="18"/>
      </tp>
      <tp t="e">
        <v>#N/A</v>
        <stp/>
        <stp>BDH|9575191954910561389</stp>
        <tr r="W59" s="18"/>
      </tp>
      <tp t="e">
        <v>#N/A</v>
        <stp/>
        <stp>BDH|4990911104736157589</stp>
        <tr r="P22" s="30"/>
        <tr r="P24" s="23"/>
      </tp>
      <tp t="e">
        <v>#N/A</v>
        <stp/>
        <stp>BDH|2245341299650375697</stp>
        <tr r="M20" s="26"/>
      </tp>
      <tp t="e">
        <v>#N/A</v>
        <stp/>
        <stp>BDH|8313757701365364411</stp>
        <tr r="C46" s="21"/>
      </tp>
      <tp t="e">
        <v>#N/A</v>
        <stp/>
        <stp>BDH|3500719536978772105</stp>
        <tr r="N45" s="22"/>
      </tp>
      <tp t="e">
        <v>#N/A</v>
        <stp/>
        <stp>BDH|9348028248143597096</stp>
        <tr r="V22" s="18"/>
      </tp>
      <tp t="e">
        <v>#N/A</v>
        <stp/>
        <stp>BDH|1440891947901872279</stp>
        <tr r="W39" s="26"/>
      </tp>
      <tp t="e">
        <v>#N/A</v>
        <stp/>
        <stp>BDH|1855900173593926270</stp>
        <tr r="V26" s="12"/>
      </tp>
      <tp t="e">
        <v>#N/A</v>
        <stp/>
        <stp>BDH|3468947317697009225</stp>
        <tr r="C53" s="24"/>
      </tp>
      <tp t="e">
        <v>#N/A</v>
        <stp/>
        <stp>BDH|5995358192795866432</stp>
        <tr r="Z62" s="18"/>
      </tp>
      <tp t="e">
        <v>#N/A</v>
        <stp/>
        <stp>BDH|6330031182937084776</stp>
        <tr r="U64" s="24"/>
      </tp>
      <tp t="e">
        <v>#N/A</v>
        <stp/>
        <stp>BDH|1691776696392312318</stp>
        <tr r="E78" s="18"/>
      </tp>
      <tp t="e">
        <v>#N/A</v>
        <stp/>
        <stp>BDH|7027813020906699524</stp>
        <tr r="I15" s="11"/>
      </tp>
      <tp t="e">
        <v>#N/A</v>
        <stp/>
        <stp>BDH|6147736154393162923</stp>
        <tr r="Q21" s="20"/>
      </tp>
      <tp t="e">
        <v>#N/A</v>
        <stp/>
        <stp>BDH|9430281985405495888</stp>
        <tr r="R9" s="24"/>
      </tp>
      <tp t="e">
        <v>#N/A</v>
        <stp/>
        <stp>BDH|3840256821258026595</stp>
        <tr r="Y62" s="12"/>
      </tp>
      <tp t="e">
        <v>#N/A</v>
        <stp/>
        <stp>BDH|3776990363063872106</stp>
        <tr r="P41" s="13"/>
        <tr r="N23" s="10"/>
        <tr r="N46" s="4"/>
      </tp>
      <tp t="e">
        <v>#N/A</v>
        <stp/>
        <stp>BDH|6414200884016437414</stp>
        <tr r="D21" s="24"/>
      </tp>
      <tp t="e">
        <v>#N/A</v>
        <stp/>
        <stp>BDH|6491275684503285108</stp>
        <tr r="Z28" s="13"/>
        <tr r="Z16" s="13"/>
        <tr r="X17" s="10"/>
      </tp>
      <tp t="e">
        <v>#N/A</v>
        <stp/>
        <stp>BDH|6084758955298387263</stp>
        <tr r="D83" s="12"/>
      </tp>
      <tp t="e">
        <v>#N/A</v>
        <stp/>
        <stp>BDH|6265113484952257300</stp>
        <tr r="X43" s="18"/>
      </tp>
      <tp t="e">
        <v>#N/A</v>
        <stp/>
        <stp>BDH|7578929461883278518</stp>
        <tr r="N47" s="34"/>
      </tp>
      <tp t="e">
        <v>#N/A</v>
        <stp/>
        <stp>BDH|6027557087910532524</stp>
        <tr r="Q56" s="10"/>
        <tr r="Q45" s="11"/>
        <tr r="Q16" s="7"/>
      </tp>
      <tp t="e">
        <v>#N/A</v>
        <stp/>
        <stp>BDH|6465065643864144854</stp>
        <tr r="F27" s="21"/>
      </tp>
      <tp t="e">
        <v>#N/A</v>
        <stp/>
        <stp>BDH|7319656010997322907</stp>
        <tr r="C91" s="12"/>
      </tp>
      <tp t="e">
        <v>#N/A</v>
        <stp/>
        <stp>BDH|4871170032288183096</stp>
        <tr r="X49" s="22"/>
      </tp>
      <tp t="e">
        <v>#N/A</v>
        <stp/>
        <stp>BDH|8020456210737012408</stp>
        <tr r="L7" s="30"/>
      </tp>
      <tp t="e">
        <v>#N/A</v>
        <stp/>
        <stp>BDH|7498950910883026249</stp>
        <tr r="W160" s="18"/>
      </tp>
      <tp t="e">
        <v>#N/A</v>
        <stp/>
        <stp>BDH|2484763395704017620</stp>
        <tr r="Z43" s="29"/>
      </tp>
      <tp t="e">
        <v>#N/A</v>
        <stp/>
        <stp>BDH|5553102825900449817</stp>
        <tr r="H15" s="23"/>
        <tr r="F59" s="11"/>
      </tp>
      <tp t="e">
        <v>#N/A</v>
        <stp/>
        <stp>BDH|2241589599312656206</stp>
        <tr r="V22" s="20"/>
      </tp>
      <tp t="e">
        <v>#N/A</v>
        <stp/>
        <stp>BDH|3118644131901511940</stp>
        <tr r="H36" s="21"/>
        <tr r="H24" s="3"/>
      </tp>
      <tp t="e">
        <v>#N/A</v>
        <stp/>
        <stp>BDH|3128981979892451113</stp>
        <tr r="D69" s="18"/>
      </tp>
      <tp t="e">
        <v>#N/A</v>
        <stp/>
        <stp>BDH|4654165299447585590</stp>
        <tr r="H23" s="17"/>
      </tp>
      <tp t="e">
        <v>#N/A</v>
        <stp/>
        <stp>BDH|5783890151120327697</stp>
        <tr r="F77" s="17"/>
      </tp>
      <tp t="e">
        <v>#N/A</v>
        <stp/>
        <stp>BDH|5041686508045594804</stp>
        <tr r="I49" s="21"/>
      </tp>
      <tp t="e">
        <v>#N/A</v>
        <stp/>
        <stp>BDH|3708707615188717308</stp>
        <tr r="Z9" s="22"/>
      </tp>
      <tp t="e">
        <v>#N/A</v>
        <stp/>
        <stp>BDH|8112458500575428751</stp>
        <tr r="C11" s="11"/>
      </tp>
      <tp t="e">
        <v>#N/A</v>
        <stp/>
        <stp>BDH|2957119014465835915</stp>
        <tr r="R62" s="18"/>
      </tp>
      <tp t="e">
        <v>#N/A</v>
        <stp/>
        <stp>BDH|3916832943833471282</stp>
        <tr r="O30" s="17"/>
      </tp>
      <tp t="e">
        <v>#N/A</v>
        <stp/>
        <stp>BDH|5868984103424210649</stp>
        <tr r="AA18" s="25"/>
      </tp>
      <tp t="e">
        <v>#N/A</v>
        <stp/>
        <stp>BDH|31344529282800028</stp>
        <tr r="F6" s="27"/>
      </tp>
      <tp t="e">
        <v>#N/A</v>
        <stp/>
        <stp>BDH|23185521879821967</stp>
        <tr r="P31" s="5"/>
      </tp>
      <tp t="e">
        <v>#N/A</v>
        <stp/>
        <stp>BDH|32654358373231386</stp>
        <tr r="D104" s="18"/>
      </tp>
      <tp t="e">
        <v>#N/A</v>
        <stp/>
        <stp>BDH|16052844495114207</stp>
        <tr r="P54" s="12"/>
      </tp>
      <tp t="e">
        <v>#N/A</v>
        <stp/>
        <stp>BDH|12665535911282706</stp>
        <tr r="F15" s="14"/>
      </tp>
      <tp t="e">
        <v>#N/A</v>
        <stp/>
        <stp>BDH|67178316082986121</stp>
        <tr r="R41" s="25"/>
        <tr r="R59" s="21"/>
        <tr r="P54" s="11"/>
        <tr r="P31" s="4"/>
      </tp>
      <tp t="e">
        <v>#N/A</v>
        <stp/>
        <stp>BDH|3667326788084137372</stp>
        <tr r="G29" s="14"/>
      </tp>
      <tp t="e">
        <v>#N/A</v>
        <stp/>
        <stp>BDH|9140592660426220300</stp>
        <tr r="T37" s="18"/>
      </tp>
      <tp t="e">
        <v>#N/A</v>
        <stp/>
        <stp>BDH|3813686730241835826</stp>
        <tr r="W29" s="17"/>
      </tp>
      <tp t="e">
        <v>#N/A</v>
        <stp/>
        <stp>BDH|9524389141343081260</stp>
        <tr r="V12" s="13"/>
      </tp>
      <tp t="e">
        <v>#N/A</v>
        <stp/>
        <stp>BDH|8795325918267666218</stp>
        <tr r="H25" s="22"/>
      </tp>
      <tp t="e">
        <v>#N/A</v>
        <stp/>
        <stp>BDH|5261676765462937835</stp>
        <tr r="F156" s="18"/>
      </tp>
      <tp t="e">
        <v>#N/A</v>
        <stp/>
        <stp>BDH|7462601131468894578</stp>
        <tr r="E91" s="17"/>
      </tp>
      <tp t="e">
        <v>#N/A</v>
        <stp/>
        <stp>BDH|2969826670660576243</stp>
        <tr r="U40" s="11"/>
        <tr r="U28" s="11"/>
        <tr r="U39" s="10"/>
        <tr r="U51" s="10"/>
      </tp>
      <tp t="e">
        <v>#N/A</v>
        <stp/>
        <stp>BDH|4423482712958445608</stp>
        <tr r="G23" s="25"/>
      </tp>
      <tp t="e">
        <v>#N/A</v>
        <stp/>
        <stp>BDH|7776443074039932242</stp>
        <tr r="E27" s="13"/>
      </tp>
      <tp t="e">
        <v>#N/A</v>
        <stp/>
        <stp>BDH|9612604169775704327</stp>
        <tr r="I50" s="34"/>
      </tp>
      <tp t="e">
        <v>#N/A</v>
        <stp/>
        <stp>BDH|4967967822571745105</stp>
        <tr r="U8" s="22"/>
      </tp>
      <tp t="e">
        <v>#N/A</v>
        <stp/>
        <stp>BDH|1571728280498483996</stp>
        <tr r="R70" s="17"/>
        <tr r="O8" s="9"/>
        <tr r="O8" s="5"/>
      </tp>
      <tp t="e">
        <v>#N/A</v>
        <stp/>
        <stp>BDH|3085545298136413629</stp>
        <tr r="W9" s="12"/>
      </tp>
      <tp t="e">
        <v>#N/A</v>
        <stp/>
        <stp>BDH|3915547411728332056</stp>
        <tr r="P54" s="18"/>
      </tp>
      <tp t="e">
        <v>#N/A</v>
        <stp/>
        <stp>BDH|8672013579254548416</stp>
        <tr r="X7" s="23"/>
      </tp>
      <tp t="e">
        <v>#N/A</v>
        <stp/>
        <stp>BDH|4393327888949039933</stp>
        <tr r="G42" s="26"/>
      </tp>
      <tp t="e">
        <v>#N/A</v>
        <stp/>
        <stp>BDH|4308761511589637480</stp>
        <tr r="M17" s="28"/>
        <tr r="M14" s="17"/>
      </tp>
      <tp t="e">
        <v>#N/A</v>
        <stp/>
        <stp>BDH|7583180584711125024</stp>
        <tr r="P15" s="24"/>
      </tp>
      <tp t="e">
        <v>#N/A</v>
        <stp/>
        <stp>BDH|5347544023018703598</stp>
        <tr r="I82" s="12"/>
      </tp>
      <tp t="e">
        <v>#N/A</v>
        <stp/>
        <stp>BDH|1555485722591687935</stp>
        <tr r="D15" s="10"/>
      </tp>
      <tp t="e">
        <v>#N/A</v>
        <stp/>
        <stp>BDH|2497935552687707682</stp>
        <tr r="N64" s="18"/>
      </tp>
      <tp t="e">
        <v>#N/A</v>
        <stp/>
        <stp>BDH|8145490824512492320</stp>
        <tr r="K46" s="22"/>
      </tp>
      <tp t="e">
        <v>#N/A</v>
        <stp/>
        <stp>BDH|8483613261447603084</stp>
        <tr r="J44" s="24"/>
      </tp>
      <tp t="e">
        <v>#N/A</v>
        <stp/>
        <stp>BDH|4381754397417201293</stp>
        <tr r="W78" s="12"/>
      </tp>
      <tp t="e">
        <v>#N/A</v>
        <stp/>
        <stp>BDH|9451540333232884215</stp>
        <tr r="Y20" s="12"/>
      </tp>
      <tp t="e">
        <v>#N/A</v>
        <stp/>
        <stp>BDH|2274424116639967159</stp>
        <tr r="T37" s="22"/>
      </tp>
      <tp t="e">
        <v>#N/A</v>
        <stp/>
        <stp>BDH|9061511030871965123</stp>
        <tr r="AA36" s="13"/>
        <tr r="Y29" s="10"/>
      </tp>
      <tp t="e">
        <v>#N/A</v>
        <stp/>
        <stp>BDH|8304140331900844540</stp>
        <tr r="L31" s="14"/>
      </tp>
      <tp t="e">
        <v>#N/A</v>
        <stp/>
        <stp>BDH|5499052783715023783</stp>
        <tr r="O18" s="22"/>
      </tp>
      <tp t="e">
        <v>#N/A</v>
        <stp/>
        <stp>BDH|1404912040853870071</stp>
        <tr r="Z25" s="13"/>
      </tp>
      <tp t="e">
        <v>#N/A</v>
        <stp/>
        <stp>BDH|9842180078464595475</stp>
        <tr r="Q81" s="12"/>
      </tp>
      <tp t="e">
        <v>#N/A</v>
        <stp/>
        <stp>BDH|9912851393741110649</stp>
        <tr r="Z10" s="26"/>
      </tp>
      <tp t="e">
        <v>#N/A</v>
        <stp/>
        <stp>BDH|4594521349638767237</stp>
        <tr r="P23" s="6"/>
      </tp>
      <tp t="e">
        <v>#N/A</v>
        <stp/>
        <stp>BDH|7042289646037173954</stp>
        <tr r="X21" s="11"/>
      </tp>
      <tp t="e">
        <v>#N/A</v>
        <stp/>
        <stp>BDH|6307349745859160799</stp>
        <tr r="V33" s="18"/>
      </tp>
      <tp t="e">
        <v>#N/A</v>
        <stp/>
        <stp>BDH|2055463711648870059</stp>
        <tr r="X11" s="22"/>
      </tp>
      <tp t="e">
        <v>#N/A</v>
        <stp/>
        <stp>BDH|4320292838883962910</stp>
        <tr r="C54" s="24"/>
      </tp>
      <tp t="e">
        <v>#N/A</v>
        <stp/>
        <stp>BDH|9252881690890411743</stp>
        <tr r="Q159" s="18"/>
      </tp>
      <tp t="e">
        <v>#N/A</v>
        <stp/>
        <stp>BDH|9535557689032005925</stp>
        <tr r="V19" s="6"/>
      </tp>
      <tp t="e">
        <v>#N/A</v>
        <stp/>
        <stp>BDH|8936039022505091037</stp>
        <tr r="K124" s="18"/>
      </tp>
      <tp t="e">
        <v>#N/A</v>
        <stp/>
        <stp>BDH|8018045360076702785</stp>
        <tr r="P79" s="18"/>
      </tp>
      <tp t="e">
        <v>#N/A</v>
        <stp/>
        <stp>BDH|8442073479688995889</stp>
        <tr r="S65" s="12"/>
      </tp>
      <tp t="e">
        <v>#N/A</v>
        <stp/>
        <stp>BDH|2022301628389298519</stp>
        <tr r="Q64" s="11"/>
        <tr r="Q75" s="10"/>
      </tp>
      <tp t="e">
        <v>#N/A</v>
        <stp/>
        <stp>BDH|2739400509580055953</stp>
        <tr r="I19" s="28"/>
        <tr r="I16" s="17"/>
      </tp>
      <tp t="e">
        <v>#N/A</v>
        <stp/>
        <stp>BDH|6337707329094804894</stp>
        <tr r="I15" s="23"/>
        <tr r="G59" s="11"/>
      </tp>
      <tp t="e">
        <v>#N/A</v>
        <stp/>
        <stp>BDH|5890269874499277630</stp>
        <tr r="M95" s="12"/>
      </tp>
      <tp t="e">
        <v>#N/A</v>
        <stp/>
        <stp>BDH|9777858391856822107</stp>
        <tr r="F81" s="12"/>
      </tp>
      <tp t="e">
        <v>#N/A</v>
        <stp/>
        <stp>BDH|7442674881707823117</stp>
        <tr r="T54" s="24"/>
      </tp>
      <tp t="e">
        <v>#N/A</v>
        <stp/>
        <stp>BDH|5892480229395293901</stp>
        <tr r="K71" s="13"/>
      </tp>
      <tp t="e">
        <v>#N/A</v>
        <stp/>
        <stp>BDH|3908710871179207504</stp>
        <tr r="U18" s="24"/>
      </tp>
      <tp t="e">
        <v>#N/A</v>
        <stp/>
        <stp>BDH|7710429369753534929</stp>
        <tr r="J128" s="18"/>
      </tp>
      <tp t="e">
        <v>#N/A</v>
        <stp/>
        <stp>BDH|3983859033267723035</stp>
        <tr r="L65" s="17"/>
      </tp>
      <tp t="e">
        <v>#N/A</v>
        <stp/>
        <stp>BDH|7470189181193288243</stp>
        <tr r="F11" s="6"/>
      </tp>
      <tp t="e">
        <v>#N/A</v>
        <stp/>
        <stp>BDH|1518534498046382469</stp>
        <tr r="W37" s="6"/>
      </tp>
      <tp t="e">
        <v>#N/A</v>
        <stp/>
        <stp>BDH|9863301767173058047</stp>
        <tr r="J8" s="12"/>
      </tp>
      <tp t="e">
        <v>#N/A</v>
        <stp/>
        <stp>BDH|2225114085173855755</stp>
        <tr r="E49" s="22"/>
      </tp>
      <tp t="e">
        <v>#N/A</v>
        <stp/>
        <stp>BDH|9050222249754206427</stp>
        <tr r="F8" s="6"/>
      </tp>
      <tp t="e">
        <v>#N/A</v>
        <stp/>
        <stp>BDH|5616846379425114015</stp>
        <tr r="P79" s="17"/>
        <tr r="P19" s="3"/>
      </tp>
      <tp t="e">
        <v>#N/A</v>
        <stp/>
        <stp>BDH|8637695965725060210</stp>
        <tr r="Z67" s="12"/>
      </tp>
      <tp t="e">
        <v>#N/A</v>
        <stp/>
        <stp>BDH|1829915752244674665</stp>
        <tr r="H58" s="24"/>
      </tp>
      <tp t="e">
        <v>#N/A</v>
        <stp/>
        <stp>BDH|8023393943426622670</stp>
        <tr r="R53" s="12"/>
      </tp>
      <tp t="e">
        <v>#N/A</v>
        <stp/>
        <stp>BDH|5652843241070041684</stp>
        <tr r="T10" s="26"/>
      </tp>
      <tp t="e">
        <v>#N/A</v>
        <stp/>
        <stp>BDH|2139803269657201410</stp>
        <tr r="G22" s="26"/>
      </tp>
      <tp t="e">
        <v>#N/A</v>
        <stp/>
        <stp>BDH|9153982867071424813</stp>
        <tr r="V19" s="23"/>
        <tr r="T60" s="11"/>
      </tp>
      <tp t="e">
        <v>#N/A</v>
        <stp/>
        <stp>BDH|5503639528859239774</stp>
        <tr r="X67" s="10"/>
      </tp>
      <tp t="e">
        <v>#N/A</v>
        <stp/>
        <stp>BDH|7614587650811209978</stp>
        <tr r="W45" s="22"/>
      </tp>
      <tp t="e">
        <v>#N/A</v>
        <stp/>
        <stp>BDH|4174038294157472591</stp>
        <tr r="D63" s="12"/>
      </tp>
      <tp t="e">
        <v>#N/A</v>
        <stp/>
        <stp>BDH|1713534269998719516</stp>
        <tr r="D10" s="14"/>
      </tp>
      <tp t="e">
        <v>#N/A</v>
        <stp/>
        <stp>BDH|8091264738645020352</stp>
        <tr r="E16" s="22"/>
      </tp>
      <tp t="e">
        <v>#N/A</v>
        <stp/>
        <stp>BDH|5119477368749122148</stp>
        <tr r="G132" s="18"/>
      </tp>
      <tp t="e">
        <v>#N/A</v>
        <stp/>
        <stp>BDH|7689337488705602603</stp>
        <tr r="D40" s="24"/>
      </tp>
      <tp t="e">
        <v>#N/A</v>
        <stp/>
        <stp>BDH|3961805701975065136</stp>
        <tr r="F121" s="18"/>
      </tp>
      <tp t="e">
        <v>#N/A</v>
        <stp/>
        <stp>BDH|7716679108337546965</stp>
        <tr r="N91" s="17"/>
      </tp>
      <tp t="e">
        <v>#N/A</v>
        <stp/>
        <stp>BDH|9830115317592084451</stp>
        <tr r="E19" s="25"/>
      </tp>
      <tp t="e">
        <v>#N/A</v>
        <stp/>
        <stp>BDH|9643562128885673453</stp>
        <tr r="N23" s="20"/>
      </tp>
      <tp t="e">
        <v>#N/A</v>
        <stp/>
        <stp>BDH|9426969924739851454</stp>
        <tr r="T51" s="34"/>
      </tp>
      <tp t="e">
        <v>#N/A</v>
        <stp/>
        <stp>BDH|2694854056453916374</stp>
        <tr r="L106" s="18"/>
      </tp>
      <tp t="e">
        <v>#N/A</v>
        <stp/>
        <stp>BDH|7878831502923703353</stp>
        <tr r="U72" s="24"/>
      </tp>
      <tp t="e">
        <v>#N/A</v>
        <stp/>
        <stp>BDH|6227998960062560450</stp>
        <tr r="R89" s="18"/>
      </tp>
      <tp t="e">
        <v>#N/A</v>
        <stp/>
        <stp>BDH|2831984749831054125</stp>
        <tr r="O79" s="18"/>
      </tp>
      <tp t="e">
        <v>#N/A</v>
        <stp/>
        <stp>BDH|4622929232473524282</stp>
        <tr r="O35" s="17"/>
      </tp>
      <tp t="e">
        <v>#N/A</v>
        <stp/>
        <stp>BDH|9753643839616267539</stp>
        <tr r="O19" s="22"/>
      </tp>
      <tp t="e">
        <v>#N/A</v>
        <stp/>
        <stp>BDH|9650075596728503799</stp>
        <tr r="L21" s="18"/>
      </tp>
      <tp t="e">
        <v>#N/A</v>
        <stp/>
        <stp>BDH|3251347214998173682</stp>
        <tr r="T17" s="21"/>
        <tr r="R23" s="2"/>
        <tr r="T23" s="3"/>
      </tp>
      <tp t="e">
        <v>#N/A</v>
        <stp/>
        <stp>BDH|9907711772366171034</stp>
        <tr r="W19" s="12"/>
      </tp>
      <tp t="e">
        <v>#N/A</v>
        <stp/>
        <stp>BDH|9766550801042815136</stp>
        <tr r="O26" s="12"/>
      </tp>
      <tp t="e">
        <v>#N/A</v>
        <stp/>
        <stp>BDH|6866930607453356377</stp>
        <tr r="V21" s="11"/>
      </tp>
      <tp t="e">
        <v>#N/A</v>
        <stp/>
        <stp>BDH|2693265678930468843</stp>
        <tr r="E52" s="18"/>
      </tp>
      <tp t="e">
        <v>#N/A</v>
        <stp/>
        <stp>BDH|5953240914531702860</stp>
        <tr r="O151" s="18"/>
      </tp>
      <tp t="e">
        <v>#N/A</v>
        <stp/>
        <stp>BDH|6305659408837439822</stp>
        <tr r="G64" s="17"/>
      </tp>
      <tp t="e">
        <v>#N/A</v>
        <stp/>
        <stp>BDH|9888233403875668166</stp>
        <tr r="H15" s="24"/>
      </tp>
      <tp t="e">
        <v>#N/A</v>
        <stp/>
        <stp>BDH|6471407389480105547</stp>
        <tr r="S61" s="17"/>
      </tp>
      <tp t="e">
        <v>#N/A</v>
        <stp/>
        <stp>BDH|4787172908322638868</stp>
        <tr r="Z36" s="22"/>
      </tp>
      <tp t="e">
        <v>#N/A</v>
        <stp/>
        <stp>BDH|2792429919168165055</stp>
        <tr r="C20" s="10"/>
      </tp>
      <tp t="e">
        <v>#N/A</v>
        <stp/>
        <stp>BDH|7171422048968091030</stp>
        <tr r="Q70" s="13"/>
      </tp>
      <tp t="e">
        <v>#N/A</v>
        <stp/>
        <stp>BDH|9348203047222554295</stp>
        <tr r="N7" s="23"/>
      </tp>
      <tp t="e">
        <v>#N/A</v>
        <stp/>
        <stp>BDH|4404859437231689186</stp>
        <tr r="P10" s="11"/>
      </tp>
      <tp t="e">
        <v>#N/A</v>
        <stp/>
        <stp>BDH|7276832916562868372</stp>
        <tr r="O13" s="11"/>
      </tp>
      <tp t="e">
        <v>#N/A</v>
        <stp/>
        <stp>BDH|8331813763191903806</stp>
        <tr r="C29" s="4"/>
      </tp>
      <tp t="e">
        <v>#N/A</v>
        <stp/>
        <stp>BDH|9811343038197924156</stp>
        <tr r="C122" s="18"/>
      </tp>
      <tp t="e">
        <v>#N/A</v>
        <stp/>
        <stp>BDH|8024640668540178757</stp>
        <tr r="R15" s="22"/>
      </tp>
      <tp t="e">
        <v>#N/A</v>
        <stp/>
        <stp>BDH|8713834907479233695</stp>
        <tr r="Z9" s="12"/>
      </tp>
      <tp t="e">
        <v>#N/A</v>
        <stp/>
        <stp>BDH|7669107788519225840</stp>
        <tr r="Q24" s="13"/>
      </tp>
      <tp t="e">
        <v>#N/A</v>
        <stp/>
        <stp>BDH|4081632588546653353</stp>
        <tr r="R14" s="20"/>
        <tr r="R119" s="18"/>
      </tp>
      <tp t="e">
        <v>#N/A</v>
        <stp/>
        <stp>BDH|8842385677160791381</stp>
        <tr r="G36" s="12"/>
      </tp>
      <tp t="e">
        <v>#N/A</v>
        <stp/>
        <stp>BDH|9577047707493692585</stp>
        <tr r="X31" s="29"/>
      </tp>
      <tp t="e">
        <v>#N/A</v>
        <stp/>
        <stp>BDH|3881984857173638395</stp>
        <tr r="W8" s="8"/>
      </tp>
      <tp t="e">
        <v>#N/A</v>
        <stp/>
        <stp>BDH|6188673899034292259</stp>
        <tr r="S23" s="24"/>
      </tp>
      <tp t="e">
        <v>#N/A</v>
        <stp/>
        <stp>BDH|5985407221404486849</stp>
        <tr r="Y32" s="24"/>
      </tp>
      <tp t="e">
        <v>#N/A</v>
        <stp/>
        <stp>BDH|1604322928548495704</stp>
        <tr r="S49" s="21"/>
      </tp>
      <tp t="e">
        <v>#N/A</v>
        <stp/>
        <stp>BDH|1428807139650595500</stp>
        <tr r="H65" s="24"/>
      </tp>
      <tp t="e">
        <v>#N/A</v>
        <stp/>
        <stp>BDH|7902850900281085147</stp>
        <tr r="K57" s="6"/>
      </tp>
      <tp t="e">
        <v>#N/A</v>
        <stp/>
        <stp>BDH|3289242069519449136</stp>
        <tr r="T22" s="9"/>
      </tp>
      <tp t="e">
        <v>#N/A</v>
        <stp/>
        <stp>BDH|2889767063979093552</stp>
        <tr r="P22" s="11"/>
      </tp>
      <tp t="e">
        <v>#N/A</v>
        <stp/>
        <stp>BDH|5254230797927724692</stp>
        <tr r="X83" s="12"/>
      </tp>
      <tp t="e">
        <v>#N/A</v>
        <stp/>
        <stp>BDH|8360269108422420715</stp>
        <tr r="N41" s="24"/>
      </tp>
      <tp t="e">
        <v>#N/A</v>
        <stp/>
        <stp>BDH|6495294540787065850</stp>
        <tr r="AA19" s="24"/>
      </tp>
      <tp t="e">
        <v>#N/A</v>
        <stp/>
        <stp>BDH|3431109770672872844</stp>
        <tr r="C43" s="22"/>
      </tp>
      <tp t="e">
        <v>#N/A</v>
        <stp/>
        <stp>BDH|4076086666819769411</stp>
        <tr r="F10" s="8"/>
        <tr r="D53" s="6"/>
      </tp>
      <tp t="e">
        <v>#N/A</v>
        <stp/>
        <stp>BDH|4729861828942890382</stp>
        <tr r="R74" s="24"/>
      </tp>
      <tp t="e">
        <v>#N/A</v>
        <stp/>
        <stp>BDH|6445817449290504500</stp>
        <tr r="AA27" s="26"/>
      </tp>
      <tp t="e">
        <v>#N/A</v>
        <stp/>
        <stp>BDH|1898639781262553266</stp>
        <tr r="W72" s="24"/>
      </tp>
      <tp t="e">
        <v>#N/A</v>
        <stp/>
        <stp>BDH|5594899134375048417</stp>
        <tr r="U67" s="18"/>
      </tp>
      <tp t="e">
        <v>#N/A</v>
        <stp/>
        <stp>BDH|7448551168859698266</stp>
        <tr r="W95" s="12"/>
      </tp>
      <tp t="e">
        <v>#N/A</v>
        <stp/>
        <stp>BDH|8816532818420209385</stp>
        <tr r="T6" s="6"/>
      </tp>
      <tp t="e">
        <v>#N/A</v>
        <stp/>
        <stp>BDH|4487288980488674931</stp>
        <tr r="I15" s="12"/>
      </tp>
      <tp t="e">
        <v>#N/A</v>
        <stp/>
        <stp>BDH|9234982681894526379</stp>
        <tr r="M57" s="24"/>
      </tp>
      <tp t="e">
        <v>#N/A</v>
        <stp/>
        <stp>BDH|5392690056148339169</stp>
        <tr r="G16" s="24"/>
      </tp>
      <tp t="e">
        <v>#N/A</v>
        <stp/>
        <stp>BDH|4467533247019003390</stp>
        <tr r="O31" s="29"/>
      </tp>
      <tp t="e">
        <v>#N/A</v>
        <stp/>
        <stp>BDH|3373494270487701842</stp>
        <tr r="W10" s="27"/>
        <tr r="W29" s="25"/>
      </tp>
      <tp t="e">
        <v>#N/A</v>
        <stp/>
        <stp>BDH|9935291422542241494</stp>
        <tr r="P15" s="9"/>
      </tp>
      <tp t="e">
        <v>#N/A</v>
        <stp/>
        <stp>BDH|8075314148706762675</stp>
        <tr r="I37" s="22"/>
      </tp>
      <tp t="e">
        <v>#N/A</v>
        <stp/>
        <stp>BDH|8645890543499410216</stp>
        <tr r="P7" s="24"/>
      </tp>
      <tp t="e">
        <v>#N/A</v>
        <stp/>
        <stp>BDH|8953906410997455849</stp>
        <tr r="G8" s="12"/>
      </tp>
      <tp t="e">
        <v>#N/A</v>
        <stp/>
        <stp>BDH|4085551160548914054</stp>
        <tr r="P137" s="18"/>
      </tp>
      <tp t="e">
        <v>#N/A</v>
        <stp/>
        <stp>BDH|9889681520281033391</stp>
        <tr r="S56" s="17"/>
      </tp>
      <tp t="e">
        <v>#N/A</v>
        <stp/>
        <stp>BDH|1276091744332486825</stp>
        <tr r="R87" s="17"/>
      </tp>
      <tp t="e">
        <v>#N/A</v>
        <stp/>
        <stp>BDH|1188630056094997949</stp>
        <tr r="U96" s="17"/>
      </tp>
      <tp t="e">
        <v>#N/A</v>
        <stp/>
        <stp>BDH|8097251922703728495</stp>
        <tr r="X34" s="6"/>
      </tp>
      <tp t="e">
        <v>#N/A</v>
        <stp/>
        <stp>BDH|1498236786342866602</stp>
        <tr r="C49" s="17"/>
      </tp>
      <tp t="e">
        <v>#N/A</v>
        <stp/>
        <stp>BDH|5406569073318970010</stp>
        <tr r="J61" s="21"/>
        <tr r="H25" s="2"/>
      </tp>
      <tp t="e">
        <v>#N/A</v>
        <stp/>
        <stp>BDH|5849498069728456053</stp>
        <tr r="T34" s="13"/>
        <tr r="R27" s="10"/>
      </tp>
      <tp t="e">
        <v>#N/A</v>
        <stp/>
        <stp>BDH|4776360958815504852</stp>
        <tr r="S29" s="29"/>
        <tr r="S7" s="29"/>
      </tp>
      <tp t="e">
        <v>#N/A</v>
        <stp/>
        <stp>BDH|6699608976231171988</stp>
        <tr r="O63" s="11"/>
        <tr r="O74" s="10"/>
      </tp>
      <tp t="e">
        <v>#N/A</v>
        <stp/>
        <stp>BDH|4106750769992776832</stp>
        <tr r="N53" s="34"/>
      </tp>
      <tp t="e">
        <v>#N/A</v>
        <stp/>
        <stp>BDH|9817416514533279069</stp>
        <tr r="J22" s="4"/>
      </tp>
      <tp t="e">
        <v>#N/A</v>
        <stp/>
        <stp>BDH|6636941563960831607</stp>
        <tr r="R88" s="17"/>
      </tp>
      <tp t="e">
        <v>#N/A</v>
        <stp/>
        <stp>BDH|4284921849483756577</stp>
        <tr r="U133" s="18"/>
      </tp>
      <tp t="e">
        <v>#N/A</v>
        <stp/>
        <stp>BDH|6710286844169616648</stp>
        <tr r="V59" s="24"/>
      </tp>
      <tp t="e">
        <v>#N/A</v>
        <stp/>
        <stp>BDH|9376703564925834260</stp>
        <tr r="T61" s="21"/>
        <tr r="R25" s="2"/>
      </tp>
      <tp t="e">
        <v>#N/A</v>
        <stp/>
        <stp>BDH|5706600428097488926</stp>
        <tr r="M52" s="12"/>
      </tp>
      <tp t="e">
        <v>#N/A</v>
        <stp/>
        <stp>BDH|1697951272442794284</stp>
        <tr r="H47" s="22"/>
      </tp>
      <tp t="e">
        <v>#N/A</v>
        <stp/>
        <stp>BDH|1007687695000116127</stp>
        <tr r="V52" s="34"/>
      </tp>
      <tp t="e">
        <v>#N/A</v>
        <stp/>
        <stp>BDH|8611659021671491286</stp>
        <tr r="O44" s="12"/>
      </tp>
      <tp t="e">
        <v>#N/A</v>
        <stp/>
        <stp>BDH|9089329630623466581</stp>
        <tr r="M14" s="11"/>
      </tp>
      <tp t="e">
        <v>#N/A</v>
        <stp/>
        <stp>BDH|9861203188408845466</stp>
        <tr r="K8" s="26"/>
        <tr r="H10" s="9"/>
      </tp>
      <tp t="e">
        <v>#N/A</v>
        <stp/>
        <stp>BDH|6723051599017591709</stp>
        <tr r="J22" s="10"/>
      </tp>
      <tp t="e">
        <v>#N/A</v>
        <stp/>
        <stp>BDH|5530970102591974272</stp>
        <tr r="V35" s="22"/>
      </tp>
      <tp t="e">
        <v>#N/A</v>
        <stp/>
        <stp>BDH|8719236059676007632</stp>
        <tr r="V22" s="4"/>
      </tp>
      <tp t="e">
        <v>#N/A</v>
        <stp/>
        <stp>BDH|2078408043984804954</stp>
        <tr r="L15" s="10"/>
      </tp>
      <tp t="e">
        <v>#N/A</v>
        <stp/>
        <stp>BDH|5732487261751038905</stp>
        <tr r="O22" s="12"/>
      </tp>
      <tp t="e">
        <v>#N/A</v>
        <stp/>
        <stp>BDH|2714976545519811937</stp>
        <tr r="V33" s="21"/>
      </tp>
      <tp t="e">
        <v>#N/A</v>
        <stp/>
        <stp>BDH|6871914958673777685</stp>
        <tr r="P27" s="21"/>
      </tp>
      <tp t="e">
        <v>#N/A</v>
        <stp/>
        <stp>BDH|5711994887323327842</stp>
        <tr r="J35" s="4"/>
      </tp>
      <tp t="e">
        <v>#N/A</v>
        <stp/>
        <stp>BDH|1065894880967384945</stp>
        <tr r="P10" s="29"/>
        <tr r="P25" s="29"/>
        <tr r="P19" s="29"/>
        <tr r="N6" s="9"/>
        <tr r="P12" s="8"/>
        <tr r="N6" s="5"/>
        <tr r="O6" s="2"/>
      </tp>
      <tp t="e">
        <v>#N/A</v>
        <stp/>
        <stp>BDH|8865001517842874490</stp>
        <tr r="P78" s="18"/>
      </tp>
      <tp t="e">
        <v>#N/A</v>
        <stp/>
        <stp>BDH|6282284602628505332</stp>
        <tr r="V16" s="12"/>
      </tp>
      <tp t="e">
        <v>#N/A</v>
        <stp/>
        <stp>BDH|4985912121593474330</stp>
        <tr r="J102" s="18"/>
      </tp>
      <tp t="e">
        <v>#N/A</v>
        <stp/>
        <stp>BDH|7209998264340074714</stp>
        <tr r="W53" s="6"/>
        <tr r="Y10" s="8"/>
      </tp>
      <tp t="e">
        <v>#N/A</v>
        <stp/>
        <stp>BDH|8170533064330197495</stp>
        <tr r="AA30" s="17"/>
      </tp>
      <tp t="e">
        <v>#N/A</v>
        <stp/>
        <stp>BDH|8971082518241545728</stp>
        <tr r="V17" s="22"/>
      </tp>
      <tp t="e">
        <v>#N/A</v>
        <stp/>
        <stp>BDH|9390797221626065555</stp>
        <tr r="L25" s="3"/>
      </tp>
      <tp t="e">
        <v>#N/A</v>
        <stp/>
        <stp>BDH|8284034493406830840</stp>
        <tr r="C41" s="24"/>
      </tp>
      <tp t="e">
        <v>#N/A</v>
        <stp/>
        <stp>BDH|2204299197164133231</stp>
        <tr r="P56" s="13"/>
      </tp>
      <tp t="e">
        <v>#N/A</v>
        <stp/>
        <stp>BDH|6651515988832333621</stp>
        <tr r="C50" s="34"/>
      </tp>
      <tp t="e">
        <v>#N/A</v>
        <stp/>
        <stp>BDH|9162481133011325078</stp>
        <tr r="O34" s="18"/>
      </tp>
      <tp t="e">
        <v>#N/A</v>
        <stp/>
        <stp>BDH|6926567900905501941</stp>
        <tr r="G130" s="18"/>
      </tp>
      <tp t="e">
        <v>#N/A</v>
        <stp/>
        <stp>BDH|2547905924442699490</stp>
        <tr r="T40" s="22"/>
      </tp>
      <tp t="e">
        <v>#N/A</v>
        <stp/>
        <stp>BDH|8123537602577991575</stp>
        <tr r="Q38" s="6"/>
      </tp>
      <tp t="e">
        <v>#N/A</v>
        <stp/>
        <stp>BDH|5660595194955679331</stp>
        <tr r="F12" s="17"/>
      </tp>
      <tp t="e">
        <v>#N/A</v>
        <stp/>
        <stp>BDH|2124055949971728843</stp>
        <tr r="P12" s="17"/>
      </tp>
      <tp t="e">
        <v>#N/A</v>
        <stp/>
        <stp>BDH|6662770039884375956</stp>
        <tr r="G61" s="21"/>
        <tr r="E25" s="2"/>
      </tp>
      <tp t="e">
        <v>#N/A</v>
        <stp/>
        <stp>BDH|4522927405524475689</stp>
        <tr r="H45" s="13"/>
        <tr r="F29" s="11"/>
        <tr r="F40" s="10"/>
      </tp>
      <tp t="e">
        <v>#N/A</v>
        <stp/>
        <stp>BDH|6251984978017486087</stp>
        <tr r="E43" s="18"/>
      </tp>
      <tp t="e">
        <v>#N/A</v>
        <stp/>
        <stp>BDH|1152493580995398747</stp>
        <tr r="Y63" s="18"/>
      </tp>
      <tp t="e">
        <v>#N/A</v>
        <stp/>
        <stp>BDH|6639406423547277886</stp>
        <tr r="X47" s="22"/>
      </tp>
      <tp t="e">
        <v>#N/A</v>
        <stp/>
        <stp>BDH|1917868573893363206</stp>
        <tr r="P14" s="27"/>
        <tr r="P32" s="25"/>
      </tp>
      <tp t="e">
        <v>#N/A</v>
        <stp/>
        <stp>BDH|5790477081906839065</stp>
        <tr r="D29" s="18"/>
      </tp>
      <tp t="e">
        <v>#N/A</v>
        <stp/>
        <stp>BDH|2005785200689360345</stp>
        <tr r="T83" s="18"/>
      </tp>
      <tp t="e">
        <v>#N/A</v>
        <stp/>
        <stp>BDH|3944074873392791959</stp>
        <tr r="R25" s="24"/>
      </tp>
      <tp t="e">
        <v>#N/A</v>
        <stp/>
        <stp>BDH|3030817517631863417</stp>
        <tr r="Z162" s="18"/>
      </tp>
      <tp t="e">
        <v>#N/A</v>
        <stp/>
        <stp>BDH|1604395156711242945</stp>
        <tr r="F14" s="6"/>
      </tp>
      <tp t="e">
        <v>#N/A</v>
        <stp/>
        <stp>BDH|1848330242268233146</stp>
        <tr r="U59" s="24"/>
      </tp>
      <tp t="e">
        <v>#N/A</v>
        <stp/>
        <stp>BDH|3498983276852110040</stp>
        <tr r="K31" s="29"/>
      </tp>
      <tp t="e">
        <v>#N/A</v>
        <stp/>
        <stp>BDH|8402995488774969237</stp>
        <tr r="U8" s="12"/>
      </tp>
      <tp t="e">
        <v>#N/A</v>
        <stp/>
        <stp>BDH|2250421981772938372</stp>
        <tr r="G111" s="18"/>
      </tp>
      <tp t="e">
        <v>#N/A</v>
        <stp/>
        <stp>BDH|9100581738546671681</stp>
        <tr r="Q131" s="18"/>
      </tp>
      <tp t="e">
        <v>#N/A</v>
        <stp/>
        <stp>BDH|8644569749007078168</stp>
        <tr r="N54" s="18"/>
      </tp>
      <tp t="e">
        <v>#N/A</v>
        <stp/>
        <stp>BDH|9385619935487142494</stp>
        <tr r="H30" s="12"/>
      </tp>
      <tp t="e">
        <v>#N/A</v>
        <stp/>
        <stp>BDH|5956119098953951164</stp>
        <tr r="R16" s="27"/>
        <tr r="R34" s="25"/>
      </tp>
      <tp t="e">
        <v>#N/A</v>
        <stp/>
        <stp>BDH|6928867472771470761</stp>
        <tr r="Y42" s="26"/>
      </tp>
      <tp t="e">
        <v>#N/A</v>
        <stp/>
        <stp>BDH|8342282506054747155</stp>
        <tr r="V94" s="12"/>
      </tp>
      <tp t="e">
        <v>#N/A</v>
        <stp/>
        <stp>BDH|9961193541306663586</stp>
        <tr r="AA121" s="18"/>
      </tp>
      <tp t="e">
        <v>#N/A</v>
        <stp/>
        <stp>BDH|7956405576129142213</stp>
        <tr r="J41" s="18"/>
      </tp>
      <tp t="e">
        <v>#N/A</v>
        <stp/>
        <stp>BDH|5956940318864903634</stp>
        <tr r="R49" s="18"/>
      </tp>
      <tp t="e">
        <v>#N/A</v>
        <stp/>
        <stp>BDH|1794430171319976434</stp>
        <tr r="T63" s="17"/>
      </tp>
      <tp t="e">
        <v>#N/A</v>
        <stp/>
        <stp>BDH|4259836630173636388</stp>
        <tr r="K11" s="22"/>
      </tp>
      <tp t="e">
        <v>#N/A</v>
        <stp/>
        <stp>BDH|9044237462402998074</stp>
        <tr r="G36" s="22"/>
      </tp>
      <tp t="e">
        <v>#N/A</v>
        <stp/>
        <stp>BDH|2833349301309054721</stp>
        <tr r="M34" s="21"/>
      </tp>
      <tp t="e">
        <v>#N/A</v>
        <stp/>
        <stp>BDH|4637239045555669894</stp>
        <tr r="S9" s="20"/>
        <tr r="S115" s="18"/>
      </tp>
      <tp t="e">
        <v>#N/A</v>
        <stp/>
        <stp>BDH|8126178541391805306</stp>
        <tr r="D19" s="17"/>
      </tp>
      <tp t="e">
        <v>#N/A</v>
        <stp/>
        <stp>BDH|6152793978838978167</stp>
        <tr r="L46" s="18"/>
      </tp>
      <tp t="e">
        <v>#N/A</v>
        <stp/>
        <stp>BDH|6311552155591807877</stp>
        <tr r="Q63" s="13"/>
        <tr r="O49" s="11"/>
        <tr r="O60" s="10"/>
        <tr r="O18" s="7"/>
      </tp>
      <tp t="e">
        <v>#N/A</v>
        <stp/>
        <stp>BDH|4128298920262590911</stp>
        <tr r="U43" s="26"/>
      </tp>
      <tp t="e">
        <v>#N/A</v>
        <stp/>
        <stp>BDH|4587225408868475172</stp>
        <tr r="M49" s="22"/>
      </tp>
      <tp t="e">
        <v>#N/A</v>
        <stp/>
        <stp>BDH|9133382501580706534</stp>
        <tr r="U7" s="11"/>
      </tp>
      <tp t="e">
        <v>#N/A</v>
        <stp/>
        <stp>BDH|8543339811467831239</stp>
        <tr r="I21" s="9"/>
        <tr r="I23" s="5"/>
      </tp>
      <tp t="e">
        <v>#N/A</v>
        <stp/>
        <stp>BDH|9086419345270118691</stp>
        <tr r="Z92" s="12"/>
      </tp>
      <tp t="e">
        <v>#N/A</v>
        <stp/>
        <stp>BDH|3281394437924332834</stp>
        <tr r="J17" s="14"/>
      </tp>
      <tp t="e">
        <v>#N/A</v>
        <stp/>
        <stp>BDH|4961191499375424614</stp>
        <tr r="AA74" s="12"/>
      </tp>
      <tp t="e">
        <v>#N/A</v>
        <stp/>
        <stp>BDH|6572547170243505880</stp>
        <tr r="C39" s="6"/>
      </tp>
      <tp t="e">
        <v>#N/A</v>
        <stp/>
        <stp>BDH|6803397033430963977</stp>
        <tr r="E101" s="18"/>
      </tp>
      <tp t="e">
        <v>#N/A</v>
        <stp/>
        <stp>BDH|3933124850109617115</stp>
        <tr r="X49" s="17"/>
      </tp>
      <tp t="e">
        <v>#N/A</v>
        <stp/>
        <stp>BDH|5772781971513783959</stp>
        <tr r="E62" s="18"/>
      </tp>
      <tp t="e">
        <v>#N/A</v>
        <stp/>
        <stp>BDH|8408354319680256562</stp>
        <tr r="R11" s="29"/>
      </tp>
      <tp t="e">
        <v>#N/A</v>
        <stp/>
        <stp>BDH|8533413650013823507</stp>
        <tr r="E98" s="18"/>
      </tp>
      <tp t="e">
        <v>#N/A</v>
        <stp/>
        <stp>BDH|1485118689262675561</stp>
        <tr r="P76" s="17"/>
      </tp>
      <tp t="e">
        <v>#N/A</v>
        <stp/>
        <stp>BDH|6948164627253176952</stp>
        <tr r="P15" s="14"/>
      </tp>
      <tp t="e">
        <v>#N/A</v>
        <stp/>
        <stp>BDH|8212484163273319661</stp>
        <tr r="Z8" s="24"/>
      </tp>
      <tp t="e">
        <v>#N/A</v>
        <stp/>
        <stp>BDH|4200610805225312894</stp>
        <tr r="C17" s="23"/>
      </tp>
      <tp t="e">
        <v>#N/A</v>
        <stp/>
        <stp>BDH|3679815724824709282</stp>
        <tr r="U7" s="20"/>
        <tr r="U113" s="18"/>
      </tp>
      <tp t="e">
        <v>#N/A</v>
        <stp/>
        <stp>BDH|3726449692231933042</stp>
        <tr r="Q14" s="21"/>
      </tp>
      <tp t="e">
        <v>#N/A</v>
        <stp/>
        <stp>BDH|1503907379585026508</stp>
        <tr r="W88" s="18"/>
      </tp>
      <tp t="e">
        <v>#N/A</v>
        <stp/>
        <stp>BDH|5876546615567558909</stp>
        <tr r="I158" s="18"/>
      </tp>
      <tp t="e">
        <v>#N/A</v>
        <stp/>
        <stp>BDH|1569048738739055454</stp>
        <tr r="C57" s="13"/>
      </tp>
      <tp t="e">
        <v>#N/A</v>
        <stp/>
        <stp>BDH|3724789985522514137</stp>
        <tr r="R169" s="18"/>
      </tp>
      <tp t="e">
        <v>#N/A</v>
        <stp/>
        <stp>BDH|7056606641853811951</stp>
        <tr r="C35" s="34"/>
      </tp>
      <tp t="e">
        <v>#N/A</v>
        <stp/>
        <stp>BDH|6907920584521781946</stp>
        <tr r="U32" s="24"/>
      </tp>
      <tp t="e">
        <v>#N/A</v>
        <stp/>
        <stp>BDH|1172511399791438318</stp>
        <tr r="I26" s="6"/>
      </tp>
      <tp t="e">
        <v>#N/A</v>
        <stp/>
        <stp>BDH|1897673582837309728</stp>
        <tr r="P19" s="24"/>
      </tp>
      <tp t="e">
        <v>#N/A</v>
        <stp/>
        <stp>BDH|7644678882752907467</stp>
        <tr r="S88" s="18"/>
      </tp>
      <tp t="e">
        <v>#N/A</v>
        <stp/>
        <stp>BDH|2784446811350855867</stp>
        <tr r="Z9" s="30"/>
      </tp>
      <tp t="e">
        <v>#N/A</v>
        <stp/>
        <stp>BDH|3553072857859010091</stp>
        <tr r="N89" s="18"/>
      </tp>
      <tp t="e">
        <v>#N/A</v>
        <stp/>
        <stp>BDH|4686143603019918345</stp>
        <tr r="D26" s="6"/>
      </tp>
      <tp t="e">
        <v>#N/A</v>
        <stp/>
        <stp>BDH|5919861143606291020</stp>
        <tr r="O68" s="13"/>
      </tp>
      <tp t="e">
        <v>#N/A</v>
        <stp/>
        <stp>BDH|1589887945133554115</stp>
        <tr r="V56" s="17"/>
      </tp>
      <tp t="e">
        <v>#N/A</v>
        <stp/>
        <stp>BDH|8660760063257985162</stp>
        <tr r="O54" s="17"/>
        <tr r="O17" s="3"/>
      </tp>
      <tp t="e">
        <v>#N/A</v>
        <stp/>
        <stp>BDH|6642466997543993720</stp>
        <tr r="W17" s="24"/>
      </tp>
      <tp t="e">
        <v>#N/A</v>
        <stp/>
        <stp>BDH|4850611689353531685</stp>
        <tr r="D89" s="12"/>
      </tp>
      <tp t="e">
        <v>#N/A</v>
        <stp/>
        <stp>BDH|9873577097148702221</stp>
        <tr r="D62" s="11"/>
        <tr r="D73" s="10"/>
        <tr r="D20" s="7"/>
      </tp>
      <tp t="e">
        <v>#N/A</v>
        <stp/>
        <stp>BDH|3939596340298444593</stp>
        <tr r="M42" s="26"/>
      </tp>
      <tp t="e">
        <v>#N/A</v>
        <stp/>
        <stp>BDH|1864816992436552931</stp>
        <tr r="U84" s="17"/>
        <tr r="S6" s="7"/>
        <tr r="U20" s="3"/>
      </tp>
      <tp t="e">
        <v>#N/A</v>
        <stp/>
        <stp>BDH|9648619157001954448</stp>
        <tr r="V21" s="5"/>
      </tp>
      <tp t="e">
        <v>#N/A</v>
        <stp/>
        <stp>BDH|1688625526988743283</stp>
        <tr r="U53" s="21"/>
      </tp>
      <tp t="e">
        <v>#N/A</v>
        <stp/>
        <stp>BDH|3802353462348724151</stp>
        <tr r="Z7" s="30"/>
      </tp>
      <tp t="e">
        <v>#N/A</v>
        <stp/>
        <stp>BDH|9776600950285360090</stp>
        <tr r="N22" s="25"/>
      </tp>
      <tp t="e">
        <v>#N/A</v>
        <stp/>
        <stp>BDH|8116739129196537439</stp>
        <tr r="F22" s="7"/>
      </tp>
      <tp t="e">
        <v>#N/A</v>
        <stp/>
        <stp>BDH|4341881344767640044</stp>
        <tr r="V19" s="17"/>
      </tp>
      <tp t="e">
        <v>#N/A</v>
        <stp/>
        <stp>BDH|1331585976129940596</stp>
        <tr r="W38" s="6"/>
      </tp>
      <tp t="e">
        <v>#N/A</v>
        <stp/>
        <stp>BDH|1731844612374963356</stp>
        <tr r="O74" s="17"/>
      </tp>
      <tp t="e">
        <v>#N/A</v>
        <stp/>
        <stp>BDH|3609609379438594570</stp>
        <tr r="I40" s="22"/>
      </tp>
      <tp t="e">
        <v>#N/A</v>
        <stp/>
        <stp>BDH|4741513280093337580</stp>
        <tr r="E18" s="25"/>
      </tp>
      <tp t="e">
        <v>#N/A</v>
        <stp/>
        <stp>BDH|8230895754699003324</stp>
        <tr r="H13" s="13"/>
      </tp>
      <tp t="e">
        <v>#N/A</v>
        <stp/>
        <stp>BDH|9107880182285374352</stp>
        <tr r="C40" s="22"/>
      </tp>
      <tp t="e">
        <v>#N/A</v>
        <stp/>
        <stp>BDH|1371681970017458825</stp>
        <tr r="O25" s="22"/>
      </tp>
      <tp t="e">
        <v>#N/A</v>
        <stp/>
        <stp>BDH|2611334644782804844</stp>
        <tr r="M7" s="8"/>
      </tp>
      <tp t="e">
        <v>#N/A</v>
        <stp/>
        <stp>BDH|3681039731219821618</stp>
        <tr r="Z38" s="12"/>
      </tp>
      <tp t="e">
        <v>#N/A</v>
        <stp/>
        <stp>BDH|4067617680460944559</stp>
        <tr r="E22" s="14"/>
      </tp>
      <tp t="e">
        <v>#N/A</v>
        <stp/>
        <stp>BDH|5343313753474498882</stp>
        <tr r="U11" s="30"/>
      </tp>
      <tp t="e">
        <v>#N/A</v>
        <stp/>
        <stp>BDH|5193887021606462615</stp>
        <tr r="K9" s="6"/>
      </tp>
      <tp t="e">
        <v>#N/A</v>
        <stp/>
        <stp>BDH|1773739398222920285</stp>
        <tr r="M22" s="9"/>
      </tp>
      <tp t="e">
        <v>#N/A</v>
        <stp/>
        <stp>BDH|5982556497521598739</stp>
        <tr r="J40" s="18"/>
      </tp>
      <tp t="e">
        <v>#N/A</v>
        <stp/>
        <stp>BDH|8698799085271083971</stp>
        <tr r="J42" s="22"/>
      </tp>
      <tp t="e">
        <v>#N/A</v>
        <stp/>
        <stp>BDH|6222104318358478138</stp>
        <tr r="R34" s="13"/>
        <tr r="P27" s="10"/>
      </tp>
      <tp t="e">
        <v>#N/A</v>
        <stp/>
        <stp>BDH|3490972786638009587</stp>
        <tr r="AA11" s="30"/>
      </tp>
      <tp t="e">
        <v>#N/A</v>
        <stp/>
        <stp>BDH|5179451554268992347</stp>
        <tr r="H42" s="6"/>
      </tp>
      <tp t="e">
        <v>#N/A</v>
        <stp/>
        <stp>BDH|1996641866599319750</stp>
        <tr r="Y41" s="18"/>
      </tp>
      <tp t="e">
        <v>#N/A</v>
        <stp/>
        <stp>BDH|8102555017725955678</stp>
        <tr r="T19" s="20"/>
      </tp>
      <tp t="e">
        <v>#N/A</v>
        <stp/>
        <stp>BDH|7681737281646029194</stp>
        <tr r="E92" s="12"/>
      </tp>
      <tp t="e">
        <v>#N/A</v>
        <stp/>
        <stp>BDH|6598516552148971126</stp>
        <tr r="Z33" s="12"/>
      </tp>
      <tp t="e">
        <v>#N/A</v>
        <stp/>
        <stp>BDH|1949795348459694433</stp>
        <tr r="S36" s="34"/>
      </tp>
      <tp t="e">
        <v>#N/A</v>
        <stp/>
        <stp>BDH|3701331624744545973</stp>
        <tr r="F13" s="13"/>
      </tp>
      <tp t="e">
        <v>#N/A</v>
        <stp/>
        <stp>BDH|5269574701259476626</stp>
        <tr r="K43" s="21"/>
      </tp>
      <tp t="e">
        <v>#N/A</v>
        <stp/>
        <stp>BDH|9896459912170535383</stp>
        <tr r="X92" s="12"/>
      </tp>
      <tp t="e">
        <v>#N/A</v>
        <stp/>
        <stp>BDH|5805882354317179077</stp>
        <tr r="V18" s="27"/>
        <tr r="V36" s="25"/>
      </tp>
      <tp t="e">
        <v>#N/A</v>
        <stp/>
        <stp>BDH|4758003781221726237</stp>
        <tr r="I21" s="2"/>
      </tp>
      <tp t="e">
        <v>#N/A</v>
        <stp/>
        <stp>BDH|6772407120527441811</stp>
        <tr r="J34" s="6"/>
      </tp>
      <tp t="e">
        <v>#N/A</v>
        <stp/>
        <stp>BDH|5896287400281593975</stp>
        <tr r="I78" s="12"/>
      </tp>
      <tp t="e">
        <v>#N/A</v>
        <stp/>
        <stp>BDH|4050947672372043746</stp>
        <tr r="F48" s="22"/>
      </tp>
      <tp t="e">
        <v>#N/A</v>
        <stp/>
        <stp>BDH|7771701424624105903</stp>
        <tr r="P24" s="17"/>
      </tp>
      <tp t="e">
        <v>#N/A</v>
        <stp/>
        <stp>BDH|2957836140025929412</stp>
        <tr r="W134" s="18"/>
      </tp>
      <tp t="e">
        <v>#N/A</v>
        <stp/>
        <stp>BDH|4945798005094692816</stp>
        <tr r="R28" s="18"/>
      </tp>
      <tp t="e">
        <v>#N/A</v>
        <stp/>
        <stp>BDH|1110910517290658634</stp>
        <tr r="L6" s="15"/>
        <tr r="L6" s="10"/>
        <tr r="L11" s="4"/>
        <tr r="L12" s="2"/>
      </tp>
      <tp t="e">
        <v>#N/A</v>
        <stp/>
        <stp>BDH|3288029714419059462</stp>
        <tr r="O127" s="18"/>
      </tp>
      <tp t="e">
        <v>#N/A</v>
        <stp/>
        <stp>BDH|6385909336311364246</stp>
        <tr r="Z13" s="18"/>
      </tp>
      <tp t="e">
        <v>#N/A</v>
        <stp/>
        <stp>BDH|1596934664406638768</stp>
        <tr r="Y164" s="18"/>
      </tp>
      <tp t="e">
        <v>#N/A</v>
        <stp/>
        <stp>BDH|2769972626060441602</stp>
        <tr r="W63" s="17"/>
      </tp>
      <tp t="e">
        <v>#N/A</v>
        <stp/>
        <stp>BDH|6373552511068636533</stp>
        <tr r="AA66" s="21"/>
      </tp>
      <tp t="e">
        <v>#N/A</v>
        <stp/>
        <stp>BDH|8873982920285534971</stp>
        <tr r="F49" s="4"/>
      </tp>
      <tp t="e">
        <v>#N/A</v>
        <stp/>
        <stp>BDH|8247372063233587119</stp>
        <tr r="G28" s="4"/>
      </tp>
      <tp t="e">
        <v>#N/A</v>
        <stp/>
        <stp>BDH|8477482348735428225</stp>
        <tr r="O84" s="12"/>
      </tp>
      <tp t="e">
        <v>#N/A</v>
        <stp/>
        <stp>BDH|8501651052594577056</stp>
        <tr r="P66" s="24"/>
      </tp>
      <tp t="e">
        <v>#N/A</v>
        <stp/>
        <stp>BDH|8657616216525353507</stp>
        <tr r="W70" s="18"/>
      </tp>
      <tp t="e">
        <v>#N/A</v>
        <stp/>
        <stp>BDH|7319406282193213710</stp>
        <tr r="M64" s="13"/>
      </tp>
      <tp t="e">
        <v>#N/A</v>
        <stp/>
        <stp>BDH|5762828466912684678</stp>
        <tr r="F71" s="13"/>
      </tp>
      <tp t="e">
        <v>#N/A</v>
        <stp/>
        <stp>BDH|6986900439002491166</stp>
        <tr r="K25" s="7"/>
      </tp>
      <tp t="e">
        <v>#N/A</v>
        <stp/>
        <stp>BDH|9953121679628364833</stp>
        <tr r="W41" s="6"/>
        <tr r="W18" s="5"/>
      </tp>
      <tp t="e">
        <v>#N/A</v>
        <stp/>
        <stp>BDH|5840192184090127362</stp>
        <tr r="O27" s="21"/>
      </tp>
      <tp t="e">
        <v>#N/A</v>
        <stp/>
        <stp>BDH|5689957253960634643</stp>
        <tr r="H41" s="21"/>
      </tp>
      <tp t="e">
        <v>#N/A</v>
        <stp/>
        <stp>BDH|8210180179829430853</stp>
        <tr r="M135" s="18"/>
      </tp>
      <tp t="e">
        <v>#N/A</v>
        <stp/>
        <stp>BDH|9716559223093475276</stp>
        <tr r="Y45" s="18"/>
      </tp>
      <tp t="e">
        <v>#N/A</v>
        <stp/>
        <stp>BDH|5395917615714334662</stp>
        <tr r="M7" s="10"/>
      </tp>
      <tp t="e">
        <v>#N/A</v>
        <stp/>
        <stp>BDH|1096567144247478843</stp>
        <tr r="P129" s="18"/>
      </tp>
      <tp t="e">
        <v>#N/A</v>
        <stp/>
        <stp>BDH|2512245286273045459</stp>
        <tr r="H70" s="17"/>
        <tr r="E8" s="9"/>
        <tr r="E8" s="5"/>
      </tp>
      <tp t="e">
        <v>#N/A</v>
        <stp/>
        <stp>BDH|3362740201413003848</stp>
        <tr r="T12" s="18"/>
      </tp>
      <tp t="e">
        <v>#N/A</v>
        <stp/>
        <stp>BDH|1119035650022018908</stp>
        <tr r="M54" s="13"/>
      </tp>
      <tp t="e">
        <v>#N/A</v>
        <stp/>
        <stp>BDH|8463844684376145178</stp>
        <tr r="T44" s="22"/>
      </tp>
      <tp t="e">
        <v>#N/A</v>
        <stp/>
        <stp>BDH|9505559746032011545</stp>
        <tr r="N6" s="16"/>
        <tr r="O6" s="11"/>
        <tr r="O10" s="4"/>
        <tr r="Q6" s="3"/>
      </tp>
      <tp t="e">
        <v>#N/A</v>
        <stp/>
        <stp>BDH|2588311076230516957</stp>
        <tr r="U11" s="14"/>
      </tp>
      <tp t="e">
        <v>#N/A</v>
        <stp/>
        <stp>BDH|8255553141936219063</stp>
        <tr r="L100" s="12"/>
      </tp>
      <tp t="e">
        <v>#N/A</v>
        <stp/>
        <stp>BDH|6369929952804399123</stp>
        <tr r="K40" s="18"/>
      </tp>
      <tp t="e">
        <v>#N/A</v>
        <stp/>
        <stp>BDH|1633191780304496394</stp>
        <tr r="J90" s="18"/>
      </tp>
      <tp t="e">
        <v>#N/A</v>
        <stp/>
        <stp>BDH|8283337336516452110</stp>
        <tr r="V73" s="13"/>
        <tr r="T50" s="11"/>
        <tr r="T61" s="10"/>
        <tr r="T18" s="4"/>
        <tr r="T19" s="7"/>
        <tr r="T20" s="2"/>
      </tp>
      <tp t="e">
        <v>#N/A</v>
        <stp/>
        <stp>BDH|1057728330283781978</stp>
        <tr r="D9" s="18"/>
      </tp>
      <tp t="e">
        <v>#N/A</v>
        <stp/>
        <stp>BDH|5389972067935888095</stp>
        <tr r="R57" s="18"/>
      </tp>
      <tp t="e">
        <v>#N/A</v>
        <stp/>
        <stp>BDH|1654175466111361876</stp>
        <tr r="I63" s="17"/>
      </tp>
      <tp t="e">
        <v>#N/A</v>
        <stp/>
        <stp>BDH|2616508092917305641</stp>
        <tr r="M12" s="13"/>
      </tp>
      <tp t="e">
        <v>#N/A</v>
        <stp/>
        <stp>BDH|9018396455453915363</stp>
        <tr r="C111" s="18"/>
      </tp>
      <tp t="e">
        <v>#N/A</v>
        <stp/>
        <stp>BDH|3679290245738865217</stp>
        <tr r="K142" s="18"/>
      </tp>
      <tp t="e">
        <v>#N/A</v>
        <stp/>
        <stp>BDH|4108289712400049889</stp>
        <tr r="H13" s="11"/>
      </tp>
      <tp t="e">
        <v>#N/A</v>
        <stp/>
        <stp>BDH|8003771307378610853</stp>
        <tr r="F48" s="21"/>
      </tp>
      <tp t="e">
        <v>#N/A</v>
        <stp/>
        <stp>BDH|6480236784960539354</stp>
        <tr r="AA44" s="18"/>
      </tp>
      <tp t="e">
        <v>#N/A</v>
        <stp/>
        <stp>BDH|7915191985826388753</stp>
        <tr r="Y88" s="17"/>
      </tp>
      <tp t="e">
        <v>#N/A</v>
        <stp/>
        <stp>BDH|9617156796156565833</stp>
        <tr r="N16" s="26"/>
      </tp>
      <tp t="e">
        <v>#N/A</v>
        <stp/>
        <stp>BDH|4428768621267329938</stp>
        <tr r="X15" s="14"/>
      </tp>
      <tp t="e">
        <v>#N/A</v>
        <stp/>
        <stp>BDH|2317500205071548907</stp>
        <tr r="Q39" s="18"/>
      </tp>
      <tp t="e">
        <v>#N/A</v>
        <stp/>
        <stp>BDH|1959769493695860579</stp>
        <tr r="J9" s="24"/>
      </tp>
      <tp t="e">
        <v>#N/A</v>
        <stp/>
        <stp>BDH|1044960360085223473</stp>
        <tr r="W14" s="4"/>
      </tp>
      <tp t="e">
        <v>#N/A</v>
        <stp/>
        <stp>BDH|7074434839488123781</stp>
        <tr r="K101" s="18"/>
      </tp>
      <tp t="e">
        <v>#N/A</v>
        <stp/>
        <stp>BDH|9042907581106078121</stp>
        <tr r="O28" s="22"/>
      </tp>
      <tp t="e">
        <v>#N/A</v>
        <stp/>
        <stp>BDH|9029178152022093067</stp>
        <tr r="Y11" s="17"/>
      </tp>
      <tp t="e">
        <v>#N/A</v>
        <stp/>
        <stp>BDH|2557797762788563487</stp>
        <tr r="R20" s="29"/>
      </tp>
      <tp t="e">
        <v>#N/A</v>
        <stp/>
        <stp>BDH|7580509516429876585</stp>
        <tr r="L38" s="6"/>
      </tp>
      <tp t="e">
        <v>#N/A</v>
        <stp/>
        <stp>BDH|7651888790021930848</stp>
        <tr r="H53" s="24"/>
      </tp>
      <tp t="e">
        <v>#N/A</v>
        <stp/>
        <stp>BDH|3895113579949104325</stp>
        <tr r="R47" s="22"/>
      </tp>
      <tp t="e">
        <v>#N/A</v>
        <stp/>
        <stp>BDH|1945965005680107781</stp>
        <tr r="U20" s="27"/>
      </tp>
      <tp t="e">
        <v>#N/A</v>
        <stp/>
        <stp>BDH|2799570220118479276</stp>
        <tr r="C166" s="18"/>
      </tp>
      <tp t="e">
        <v>#N/A</v>
        <stp/>
        <stp>BDH|4682456460798251125</stp>
        <tr r="Z139" s="18"/>
      </tp>
      <tp t="e">
        <v>#N/A</v>
        <stp/>
        <stp>BDH|7457343699860808227</stp>
        <tr r="I6" s="19"/>
        <tr r="I38" s="17"/>
        <tr r="I16" s="3"/>
      </tp>
      <tp t="e">
        <v>#N/A</v>
        <stp/>
        <stp>BDH|9201559547892096531</stp>
        <tr r="T172" s="18"/>
      </tp>
      <tp t="e">
        <v>#N/A</v>
        <stp/>
        <stp>BDH|3859920865744491783</stp>
        <tr r="L70" s="13"/>
      </tp>
      <tp t="e">
        <v>#N/A</v>
        <stp/>
        <stp>BDH|5037231768157896902</stp>
        <tr r="X17" s="12"/>
      </tp>
      <tp t="e">
        <v>#N/A</v>
        <stp/>
        <stp>BDH|4471524887482098426</stp>
        <tr r="X44" s="6"/>
      </tp>
      <tp t="e">
        <v>#N/A</v>
        <stp/>
        <stp>BDH|6576566197983063675</stp>
        <tr r="Q11" s="20"/>
        <tr r="Q116" s="18"/>
      </tp>
      <tp t="e">
        <v>#N/A</v>
        <stp/>
        <stp>BDH|4095372372739608607</stp>
        <tr r="L17" s="34"/>
      </tp>
      <tp t="e">
        <v>#N/A</v>
        <stp/>
        <stp>BDH|2101466247484719949</stp>
        <tr r="Y32" s="22"/>
      </tp>
      <tp t="e">
        <v>#N/A</v>
        <stp/>
        <stp>BDH|9054914435465701908</stp>
        <tr r="U13" s="30"/>
      </tp>
      <tp t="e">
        <v>#N/A</v>
        <stp/>
        <stp>BDH|3411615279935823872</stp>
        <tr r="X48" s="13"/>
      </tp>
      <tp t="e">
        <v>#N/A</v>
        <stp/>
        <stp>BDH|1877309389972531778</stp>
        <tr r="J94" s="12"/>
      </tp>
      <tp t="e">
        <v>#N/A</v>
        <stp/>
        <stp>BDH|8312734253584455149</stp>
        <tr r="I61" s="13"/>
      </tp>
      <tp t="e">
        <v>#N/A</v>
        <stp/>
        <stp>BDH|6083029865948511715</stp>
        <tr r="N55" s="13"/>
      </tp>
      <tp t="e">
        <v>#N/A</v>
        <stp/>
        <stp>BDH|4914689692165739175</stp>
        <tr r="W137" s="18"/>
      </tp>
      <tp t="e">
        <v>#N/A</v>
        <stp/>
        <stp>BDH|3487709013802678821</stp>
        <tr r="Q75" s="17"/>
      </tp>
      <tp t="e">
        <v>#N/A</v>
        <stp/>
        <stp>BDH|1652946874800102044</stp>
        <tr r="AA45" s="21"/>
      </tp>
      <tp t="e">
        <v>#N/A</v>
        <stp/>
        <stp>BDH|1454575340428034709</stp>
        <tr r="M75" s="12"/>
      </tp>
      <tp t="e">
        <v>#N/A</v>
        <stp/>
        <stp>BDH|7573650161470289805</stp>
        <tr r="U67" s="10"/>
      </tp>
      <tp t="e">
        <v>#N/A</v>
        <stp/>
        <stp>BDH|7324831291391764858</stp>
        <tr r="F139" s="18"/>
      </tp>
      <tp t="e">
        <v>#N/A</v>
        <stp/>
        <stp>BDH|8507400123024025563</stp>
        <tr r="C10" s="17"/>
      </tp>
      <tp t="e">
        <v>#N/A</v>
        <stp/>
        <stp>BDH|7269673263299112176</stp>
        <tr r="Y22" s="12"/>
      </tp>
      <tp t="e">
        <v>#N/A</v>
        <stp/>
        <stp>BDH|2871048986456936338</stp>
        <tr r="I9" s="26"/>
      </tp>
      <tp t="e">
        <v>#N/A</v>
        <stp/>
        <stp>BDH|2927715739771421851</stp>
        <tr r="T33" s="17"/>
      </tp>
      <tp t="e">
        <v>#N/A</v>
        <stp/>
        <stp>BDH|3675977537236044065</stp>
        <tr r="S83" s="12"/>
      </tp>
      <tp t="e">
        <v>#N/A</v>
        <stp/>
        <stp>BDH|2997109878633901885</stp>
        <tr r="I23" s="13"/>
      </tp>
      <tp t="e">
        <v>#N/A</v>
        <stp/>
        <stp>BDH|3016444225228103205</stp>
        <tr r="T27" s="17"/>
      </tp>
      <tp t="e">
        <v>#N/A</v>
        <stp/>
        <stp>BDH|2654806222337118053</stp>
        <tr r="C23" s="13"/>
      </tp>
      <tp t="e">
        <v>#N/A</v>
        <stp/>
        <stp>BDH|4460599654043886812</stp>
        <tr r="G137" s="18"/>
      </tp>
      <tp t="e">
        <v>#N/A</v>
        <stp/>
        <stp>BDH|7145350760159700430</stp>
        <tr r="J62" s="18"/>
      </tp>
      <tp t="e">
        <v>#N/A</v>
        <stp/>
        <stp>BDH|4336070792776585439</stp>
        <tr r="H26" s="25"/>
        <tr r="H56" s="21"/>
      </tp>
      <tp t="e">
        <v>#N/A</v>
        <stp/>
        <stp>BDH|9299361834103855588</stp>
        <tr r="J55" s="24"/>
      </tp>
      <tp t="e">
        <v>#N/A</v>
        <stp/>
        <stp>BDH|3142754007143011834</stp>
        <tr r="L9" s="20"/>
        <tr r="L115" s="18"/>
      </tp>
      <tp t="e">
        <v>#N/A</v>
        <stp/>
        <stp>BDH|6213332990081845293</stp>
        <tr r="T60" s="21"/>
        <tr r="R55" s="11"/>
      </tp>
      <tp t="e">
        <v>#N/A</v>
        <stp/>
        <stp>BDH|3910331549768300303</stp>
        <tr r="I27" s="6"/>
      </tp>
      <tp t="e">
        <v>#N/A</v>
        <stp/>
        <stp>BDH|8555612114008362836</stp>
        <tr r="R104" s="18"/>
      </tp>
      <tp t="e">
        <v>#N/A</v>
        <stp/>
        <stp>BDH|8021170179781646086</stp>
        <tr r="I91" s="17"/>
      </tp>
      <tp t="e">
        <v>#N/A</v>
        <stp/>
        <stp>BDH|8325634681148542145</stp>
        <tr r="AA72" s="17"/>
      </tp>
      <tp t="e">
        <v>#N/A</v>
        <stp/>
        <stp>BDH|9957941622734874972</stp>
        <tr r="AA23" s="13"/>
      </tp>
      <tp t="e">
        <v>#N/A</v>
        <stp/>
        <stp>BDH|5554811430542724335</stp>
        <tr r="Y8" s="18"/>
      </tp>
      <tp t="e">
        <v>#N/A</v>
        <stp/>
        <stp>BDH|3339310971938542068</stp>
        <tr r="Q71" s="18"/>
      </tp>
      <tp t="e">
        <v>#N/A</v>
        <stp/>
        <stp>BDH|6235115065949303759</stp>
        <tr r="M15" s="13"/>
      </tp>
      <tp t="e">
        <v>#N/A</v>
        <stp/>
        <stp>BDH|6735122985634246425</stp>
        <tr r="G35" s="26"/>
        <tr r="D14" s="9"/>
      </tp>
      <tp t="e">
        <v>#N/A</v>
        <stp/>
        <stp>BDH|5205732496933353747</stp>
        <tr r="R7" s="14"/>
      </tp>
      <tp t="e">
        <v>#N/A</v>
        <stp/>
        <stp>BDH|4141853177212243618</stp>
        <tr r="U41" s="12"/>
      </tp>
      <tp t="e">
        <v>#N/A</v>
        <stp/>
        <stp>BDH|5761229095770268127</stp>
        <tr r="O161" s="18"/>
      </tp>
      <tp t="e">
        <v>#N/A</v>
        <stp/>
        <stp>BDH|7214133483001127038</stp>
        <tr r="N7" s="8"/>
      </tp>
      <tp t="e">
        <v>#N/A</v>
        <stp/>
        <stp>BDH|6067529350801789857</stp>
        <tr r="T47" s="34"/>
      </tp>
      <tp t="e">
        <v>#N/A</v>
        <stp/>
        <stp>BDH|9019489725373991348</stp>
        <tr r="H174" s="18"/>
      </tp>
      <tp t="e">
        <v>#N/A</v>
        <stp/>
        <stp>BDH|7686461087764256056</stp>
        <tr r="V73" s="17"/>
      </tp>
      <tp t="e">
        <v>#N/A</v>
        <stp/>
        <stp>BDH|1289125097731479730</stp>
        <tr r="S14" s="23"/>
      </tp>
      <tp t="e">
        <v>#N/A</v>
        <stp/>
        <stp>BDH|9001445727020180021</stp>
        <tr r="C6" s="8"/>
      </tp>
      <tp t="e">
        <v>#N/A</v>
        <stp/>
        <stp>BDH|8786747915397286648</stp>
        <tr r="E30" s="22"/>
      </tp>
      <tp t="e">
        <v>#N/A</v>
        <stp/>
        <stp>BDH|7735092540865745991</stp>
        <tr r="J76" s="18"/>
      </tp>
      <tp t="e">
        <v>#N/A</v>
        <stp/>
        <stp>BDH|2234870273004740619</stp>
        <tr r="V134" s="18"/>
      </tp>
      <tp t="e">
        <v>#N/A</v>
        <stp/>
        <stp>BDH|8363513440762647448</stp>
        <tr r="S26" s="12"/>
      </tp>
      <tp t="e">
        <v>#N/A</v>
        <stp/>
        <stp>BDH|9363677150247751238</stp>
        <tr r="T18" s="13"/>
      </tp>
      <tp t="e">
        <v>#N/A</v>
        <stp/>
        <stp>BDH|8564552354843310473</stp>
        <tr r="AA65" s="13"/>
      </tp>
      <tp t="e">
        <v>#N/A</v>
        <stp/>
        <stp>BDH|4708961631072391336</stp>
        <tr r="V143" s="18"/>
      </tp>
      <tp t="e">
        <v>#N/A</v>
        <stp/>
        <stp>BDH|8054246835787457141</stp>
        <tr r="K93" s="18"/>
      </tp>
      <tp t="e">
        <v>#N/A</v>
        <stp/>
        <stp>BDH|3565450536169228255</stp>
        <tr r="R22" s="10"/>
      </tp>
      <tp t="e">
        <v>#N/A</v>
        <stp/>
        <stp>BDH|5666863350190775763</stp>
        <tr r="K55" s="21"/>
      </tp>
      <tp t="e">
        <v>#N/A</v>
        <stp/>
        <stp>BDH|8683768706043563325</stp>
        <tr r="M55" s="18"/>
      </tp>
      <tp t="e">
        <v>#N/A</v>
        <stp/>
        <stp>BDH|3728861805802199641</stp>
        <tr r="Y59" s="18"/>
      </tp>
      <tp t="e">
        <v>#N/A</v>
        <stp/>
        <stp>BDH|7570803387109347103</stp>
        <tr r="R54" s="12"/>
      </tp>
      <tp t="e">
        <v>#N/A</v>
        <stp/>
        <stp>BDH|9819412051831094690</stp>
        <tr r="W43" s="4"/>
      </tp>
      <tp t="e">
        <v>#N/A</v>
        <stp/>
        <stp>BDH|1306746715930349809</stp>
        <tr r="T51" s="12"/>
      </tp>
      <tp t="e">
        <v>#N/A</v>
        <stp/>
        <stp>BDH|9676094459040101366</stp>
        <tr r="V33" s="5"/>
      </tp>
      <tp t="e">
        <v>#N/A</v>
        <stp/>
        <stp>BDH|8295757464585464368</stp>
        <tr r="AA171" s="18"/>
      </tp>
      <tp t="e">
        <v>#N/A</v>
        <stp/>
        <stp>BDH|1988023250439880220</stp>
        <tr r="D18" s="14"/>
      </tp>
      <tp t="e">
        <v>#N/A</v>
        <stp/>
        <stp>BDH|5532786714059074584</stp>
        <tr r="C44" s="11"/>
        <tr r="C55" s="10"/>
        <tr r="C15" s="7"/>
      </tp>
      <tp t="e">
        <v>#N/A</v>
        <stp/>
        <stp>BDH|7566974710425690559</stp>
        <tr r="X51" s="13"/>
      </tp>
      <tp t="e">
        <v>#N/A</v>
        <stp/>
        <stp>BDH|8908107129124333023</stp>
        <tr r="Q42" s="6"/>
      </tp>
      <tp t="e">
        <v>#N/A</v>
        <stp/>
        <stp>BDH|2580262107908218774</stp>
        <tr r="D19" s="18"/>
      </tp>
      <tp t="e">
        <v>#N/A</v>
        <stp/>
        <stp>BDH|7094860106450499052</stp>
        <tr r="P65" s="12"/>
      </tp>
      <tp t="e">
        <v>#N/A</v>
        <stp/>
        <stp>BDH|2839659998505716736</stp>
        <tr r="Q13" s="6"/>
      </tp>
      <tp t="e">
        <v>#N/A</v>
        <stp/>
        <stp>BDH|2376253524739297412</stp>
        <tr r="N52" s="13"/>
      </tp>
      <tp t="e">
        <v>#N/A</v>
        <stp/>
        <stp>BDH|5315773760619393265</stp>
        <tr r="D27" s="26"/>
      </tp>
      <tp t="e">
        <v>#N/A</v>
        <stp/>
        <stp>BDH|1159553813262445828</stp>
        <tr r="C26" s="7"/>
      </tp>
      <tp t="e">
        <v>#N/A</v>
        <stp/>
        <stp>BDH|8681427699189450383</stp>
        <tr r="K12" s="22"/>
      </tp>
      <tp t="e">
        <v>#N/A</v>
        <stp/>
        <stp>BDH|2295921078311812211</stp>
        <tr r="H26" s="12"/>
      </tp>
      <tp t="e">
        <v>#N/A</v>
        <stp/>
        <stp>BDH|9314899328485732944</stp>
        <tr r="T69" s="17"/>
        <tr r="T18" s="3"/>
      </tp>
      <tp t="e">
        <v>#N/A</v>
        <stp/>
        <stp>BDH|5690701003075278864</stp>
        <tr r="F20" s="27"/>
      </tp>
      <tp t="e">
        <v>#N/A</v>
        <stp/>
        <stp>BDH|6514422934977436963</stp>
        <tr r="T43" s="25"/>
        <tr r="T22" s="13"/>
        <tr r="T7" s="13"/>
        <tr r="R17" s="11"/>
        <tr r="T7" s="3"/>
      </tp>
      <tp t="e">
        <v>#N/A</v>
        <stp/>
        <stp>BDH|9359371156175794546</stp>
        <tr r="S13" s="6"/>
      </tp>
      <tp t="e">
        <v>#N/A</v>
        <stp/>
        <stp>BDH|8208602005935457422</stp>
        <tr r="V31" s="14"/>
      </tp>
      <tp t="e">
        <v>#N/A</v>
        <stp/>
        <stp>BDH|8066640519273897342</stp>
        <tr r="G9" s="10"/>
      </tp>
      <tp t="e">
        <v>#N/A</v>
        <stp/>
        <stp>BDH|4456366802910413854</stp>
        <tr r="W61" s="24"/>
      </tp>
      <tp t="e">
        <v>#N/A</v>
        <stp/>
        <stp>BDH|8641349244408417836</stp>
        <tr r="D57" s="11"/>
        <tr r="D24" s="4"/>
      </tp>
      <tp t="e">
        <v>#N/A</v>
        <stp/>
        <stp>BDH|1085747236962684850</stp>
        <tr r="Z28" s="12"/>
      </tp>
      <tp t="e">
        <v>#N/A</v>
        <stp/>
        <stp>BDH|4566027154756381810</stp>
        <tr r="U13" s="26"/>
      </tp>
      <tp t="e">
        <v>#N/A</v>
        <stp/>
        <stp>BDH|2525708987300444273</stp>
        <tr r="V47" s="24"/>
      </tp>
      <tp t="e">
        <v>#N/A</v>
        <stp/>
        <stp>BDH|8749503255791561616</stp>
        <tr r="K47" s="11"/>
        <tr r="K58" s="10"/>
        <tr r="K7" s="7"/>
        <tr r="M12" s="3"/>
      </tp>
      <tp t="e">
        <v>#N/A</v>
        <stp/>
        <stp>BDH|9097772855350200468</stp>
        <tr r="J83" s="18"/>
      </tp>
      <tp t="e">
        <v>#N/A</v>
        <stp/>
        <stp>BDH|5844187556976400849</stp>
        <tr r="L10" s="12"/>
      </tp>
      <tp t="e">
        <v>#N/A</v>
        <stp/>
        <stp>BDH|6785949466183373504</stp>
        <tr r="G10" s="24"/>
      </tp>
      <tp t="e">
        <v>#N/A</v>
        <stp/>
        <stp>BDH|8679652204959999887</stp>
        <tr r="R24" s="2"/>
      </tp>
      <tp t="e">
        <v>#N/A</v>
        <stp/>
        <stp>BDH|9962765919223608364</stp>
        <tr r="G106" s="18"/>
      </tp>
      <tp t="e">
        <v>#N/A</v>
        <stp/>
        <stp>BDH|6462712376350500903</stp>
        <tr r="F9" s="17"/>
      </tp>
      <tp t="e">
        <v>#N/A</v>
        <stp/>
        <stp>BDH|2588905623382208428</stp>
        <tr r="K28" s="12"/>
      </tp>
      <tp t="e">
        <v>#N/A</v>
        <stp/>
        <stp>BDH|1478452152549410618</stp>
        <tr r="W23" s="13"/>
      </tp>
      <tp t="e">
        <v>#N/A</v>
        <stp/>
        <stp>BDH|8489090308055537262</stp>
        <tr r="D77" s="12"/>
      </tp>
      <tp t="e">
        <v>#N/A</v>
        <stp/>
        <stp>BDH|9126550613964391629</stp>
        <tr r="H67" s="10"/>
      </tp>
      <tp t="e">
        <v>#N/A</v>
        <stp/>
        <stp>BDH|2694066096915795172</stp>
        <tr r="W64" s="13"/>
      </tp>
      <tp t="e">
        <v>#N/A</v>
        <stp/>
        <stp>BDH|1815298521179024767</stp>
        <tr r="U22" s="6"/>
      </tp>
      <tp t="e">
        <v>#N/A</v>
        <stp/>
        <stp>BDH|6519601304456002979</stp>
        <tr r="Q13" s="26"/>
      </tp>
      <tp t="e">
        <v>#N/A</v>
        <stp/>
        <stp>BDH|5139239393398256950</stp>
        <tr r="J31" s="5"/>
      </tp>
      <tp t="e">
        <v>#N/A</v>
        <stp/>
        <stp>BDH|9375119292166771814</stp>
        <tr r="E31" s="13"/>
        <tr r="C23" s="11"/>
        <tr r="C34" s="10"/>
        <tr r="C45" s="4"/>
      </tp>
      <tp t="e">
        <v>#N/A</v>
        <stp/>
        <stp>BDH|6894884539450627294</stp>
        <tr r="Y10" s="27"/>
        <tr r="Y29" s="25"/>
      </tp>
      <tp t="e">
        <v>#N/A</v>
        <stp/>
        <stp>BDH|5567751667168916389</stp>
        <tr r="W54" s="24"/>
      </tp>
      <tp t="e">
        <v>#N/A</v>
        <stp/>
        <stp>BDH|3035532182850303147</stp>
        <tr r="S36" s="21"/>
        <tr r="S24" s="3"/>
      </tp>
      <tp t="e">
        <v>#N/A</v>
        <stp/>
        <stp>BDH|7146821551920202562</stp>
        <tr r="J31" s="24"/>
      </tp>
      <tp t="e">
        <v>#N/A</v>
        <stp/>
        <stp>BDH|7965627256618324394</stp>
        <tr r="Y22" s="10"/>
      </tp>
      <tp t="e">
        <v>#N/A</v>
        <stp/>
        <stp>BDH|1010566698590036290</stp>
        <tr r="Z157" s="18"/>
      </tp>
      <tp t="e">
        <v>#N/A</v>
        <stp/>
        <stp>BDH|4528617732629246736</stp>
        <tr r="C15" s="23"/>
      </tp>
      <tp t="e">
        <v>#N/A</v>
        <stp/>
        <stp>BDH|2566892549703236203</stp>
        <tr r="U36" s="34"/>
      </tp>
      <tp t="e">
        <v>#N/A</v>
        <stp/>
        <stp>BDH|9122164174951355179</stp>
        <tr r="P44" s="10"/>
        <tr r="P33" s="11"/>
      </tp>
      <tp t="e">
        <v>#N/A</v>
        <stp/>
        <stp>BDH|9843545541082261584</stp>
        <tr r="F62" s="21"/>
      </tp>
      <tp t="e">
        <v>#N/A</v>
        <stp/>
        <stp>BDH|3596271925344081800</stp>
        <tr r="X61" s="18"/>
      </tp>
      <tp t="e">
        <v>#N/A</v>
        <stp/>
        <stp>BDH|1381658336022536921</stp>
        <tr r="E23" s="21"/>
      </tp>
      <tp t="e">
        <v>#N/A</v>
        <stp/>
        <stp>BDH|2179904827795158303</stp>
        <tr r="C11" s="28"/>
      </tp>
      <tp t="e">
        <v>#N/A</v>
        <stp/>
        <stp>BDH|1799619065248720632</stp>
        <tr r="K7" s="21"/>
      </tp>
      <tp t="e">
        <v>#N/A</v>
        <stp/>
        <stp>BDH|4034513370540129975</stp>
        <tr r="C28" s="6"/>
      </tp>
      <tp t="e">
        <v>#N/A</v>
        <stp/>
        <stp>BDH|8869554858305135237</stp>
        <tr r="H39" s="24"/>
      </tp>
      <tp t="e">
        <v>#N/A</v>
        <stp/>
        <stp>BDH|3914166476072817863</stp>
        <tr r="P26" s="26"/>
      </tp>
      <tp t="e">
        <v>#N/A</v>
        <stp/>
        <stp>BDH|5481135893627068538</stp>
        <tr r="O10" s="17"/>
      </tp>
      <tp t="e">
        <v>#N/A</v>
        <stp/>
        <stp>BDH|3396374992914099219</stp>
        <tr r="V13" s="6"/>
      </tp>
      <tp t="e">
        <v>#N/A</v>
        <stp/>
        <stp>BDH|3432867644357454755</stp>
        <tr r="K33" s="22"/>
      </tp>
      <tp t="e">
        <v>#N/A</v>
        <stp/>
        <stp>BDH|5800880520257410734</stp>
        <tr r="J19" s="20"/>
      </tp>
      <tp t="e">
        <v>#N/A</v>
        <stp/>
        <stp>BDH|6245101411100511912</stp>
        <tr r="AA48" s="24"/>
      </tp>
      <tp t="e">
        <v>#N/A</v>
        <stp/>
        <stp>BDH|8167311254037545664</stp>
        <tr r="AA7" s="24"/>
      </tp>
      <tp t="e">
        <v>#N/A</v>
        <stp/>
        <stp>BDH|9090575435349521904</stp>
        <tr r="W9" s="29"/>
      </tp>
      <tp t="e">
        <v>#N/A</v>
        <stp/>
        <stp>BDH|4534352497952362336</stp>
        <tr r="Q74" s="17"/>
      </tp>
      <tp t="e">
        <v>#N/A</v>
        <stp/>
        <stp>BDH|5499772073452530827</stp>
        <tr r="D132" s="18"/>
      </tp>
      <tp t="e">
        <v>#N/A</v>
        <stp/>
        <stp>BDH|5823951463660982507</stp>
        <tr r="K48" s="6"/>
      </tp>
      <tp t="e">
        <v>#N/A</v>
        <stp/>
        <stp>BDH|9709993682954827332</stp>
        <tr r="R13" s="24"/>
      </tp>
      <tp t="e">
        <v>#N/A</v>
        <stp/>
        <stp>BDH|2204970499314819938</stp>
        <tr r="N132" s="18"/>
      </tp>
      <tp t="e">
        <v>#N/A</v>
        <stp/>
        <stp>BDH|8768953096724202318</stp>
        <tr r="K72" s="13"/>
      </tp>
      <tp t="e">
        <v>#N/A</v>
        <stp/>
        <stp>BDH|1096470230130013904</stp>
        <tr r="W40" s="22"/>
      </tp>
      <tp t="e">
        <v>#N/A</v>
        <stp/>
        <stp>BDH|9865036079373662238</stp>
        <tr r="N24" s="10"/>
      </tp>
      <tp t="e">
        <v>#N/A</v>
        <stp/>
        <stp>BDH|4061275882610396111</stp>
        <tr r="E15" s="4"/>
      </tp>
      <tp t="e">
        <v>#N/A</v>
        <stp/>
        <stp>BDH|3358418885466825687</stp>
        <tr r="E65" s="12"/>
      </tp>
      <tp t="e">
        <v>#N/A</v>
        <stp/>
        <stp>BDH|9837837580283485582</stp>
        <tr r="S11" s="17"/>
      </tp>
      <tp t="e">
        <v>#N/A</v>
        <stp/>
        <stp>BDH|4786919341507782173</stp>
        <tr r="P6" s="20"/>
        <tr r="P112" s="18"/>
      </tp>
      <tp t="e">
        <v>#N/A</v>
        <stp/>
        <stp>BDH|3538919420376255113</stp>
        <tr r="V61" s="17"/>
      </tp>
      <tp t="e">
        <v>#N/A</v>
        <stp/>
        <stp>BDH|2303946070842328133</stp>
        <tr r="O33" s="17"/>
      </tp>
      <tp t="e">
        <v>#N/A</v>
        <stp/>
        <stp>BDH|6414991929677383501</stp>
        <tr r="G38" s="34"/>
      </tp>
      <tp t="e">
        <v>#N/A</v>
        <stp/>
        <stp>BDH|1081845830071753446</stp>
        <tr r="E156" s="18"/>
      </tp>
      <tp t="e">
        <v>#N/A</v>
        <stp/>
        <stp>BDH|3062821825213192512</stp>
        <tr r="S11" s="24"/>
      </tp>
      <tp t="e">
        <v>#N/A</v>
        <stp/>
        <stp>BDH|3655744290462575033</stp>
        <tr r="H13" s="2"/>
      </tp>
      <tp t="e">
        <v>#N/A</v>
        <stp/>
        <stp>BDH|3833937548633510222</stp>
        <tr r="Q72" s="17"/>
      </tp>
      <tp t="e">
        <v>#N/A</v>
        <stp/>
        <stp>BDH|8378755782770337837</stp>
        <tr r="G68" s="24"/>
      </tp>
      <tp t="e">
        <v>#N/A</v>
        <stp/>
        <stp>BDH|9840912738028752423</stp>
        <tr r="I10" s="27"/>
        <tr r="I29" s="25"/>
      </tp>
      <tp t="e">
        <v>#N/A</v>
        <stp/>
        <stp>BDH|5873556882744910327</stp>
        <tr r="I66" s="17"/>
      </tp>
      <tp t="e">
        <v>#N/A</v>
        <stp/>
        <stp>BDH|2793531681784558449</stp>
        <tr r="W41" s="17"/>
      </tp>
      <tp t="e">
        <v>#N/A</v>
        <stp/>
        <stp>BDH|2756967856264159526</stp>
        <tr r="N11" s="17"/>
      </tp>
      <tp t="e">
        <v>#N/A</v>
        <stp/>
        <stp>BDH|3227945442222739375</stp>
        <tr r="P46" s="18"/>
      </tp>
      <tp t="e">
        <v>#N/A</v>
        <stp/>
        <stp>BDH|7843553722388839735</stp>
        <tr r="C11" s="17"/>
      </tp>
      <tp t="e">
        <v>#N/A</v>
        <stp/>
        <stp>BDH|5829744831046053891</stp>
        <tr r="N23" s="30"/>
        <tr r="N25" s="23"/>
      </tp>
      <tp t="e">
        <v>#N/A</v>
        <stp/>
        <stp>BDH|9814364157426510682</stp>
        <tr r="U15" s="5"/>
      </tp>
      <tp t="e">
        <v>#N/A</v>
        <stp/>
        <stp>BDH|8480454377911301517</stp>
        <tr r="H14" s="6"/>
      </tp>
      <tp t="e">
        <v>#N/A</v>
        <stp/>
        <stp>BDH|1437910671056269627</stp>
        <tr r="W135" s="18"/>
      </tp>
      <tp t="e">
        <v>#N/A</v>
        <stp/>
        <stp>BDH|2066126082086061244</stp>
        <tr r="Y24" s="22"/>
      </tp>
      <tp t="e">
        <v>#N/A</v>
        <stp/>
        <stp>BDH|2710817953364317426</stp>
        <tr r="C31" s="29"/>
      </tp>
      <tp t="e">
        <v>#N/A</v>
        <stp/>
        <stp>BDH|5433301038778908210</stp>
        <tr r="D8" s="24"/>
      </tp>
      <tp t="e">
        <v>#N/A</v>
        <stp/>
        <stp>BDH|3604036677603302854</stp>
        <tr r="Z10" s="23"/>
      </tp>
      <tp t="e">
        <v>#N/A</v>
        <stp/>
        <stp>BDH|4859029268708364559</stp>
        <tr r="F14" s="11"/>
      </tp>
      <tp t="e">
        <v>#N/A</v>
        <stp/>
        <stp>BDH|1895003658968131357</stp>
        <tr r="M7" s="23"/>
      </tp>
      <tp t="e">
        <v>#N/A</v>
        <stp/>
        <stp>BDH|6830679757529983350</stp>
        <tr r="I44" s="22"/>
      </tp>
      <tp t="e">
        <v>#N/A</v>
        <stp/>
        <stp>BDH|2233057703739050401</stp>
        <tr r="I30" s="18"/>
      </tp>
      <tp t="e">
        <v>#N/A</v>
        <stp/>
        <stp>BDH|9810292065576065406</stp>
        <tr r="S21" s="2"/>
      </tp>
      <tp t="e">
        <v>#N/A</v>
        <stp/>
        <stp>BDH|9026241455781234071</stp>
        <tr r="Q31" s="21"/>
      </tp>
      <tp t="e">
        <v>#N/A</v>
        <stp/>
        <stp>BDH|1164715784327149612</stp>
        <tr r="Q32" s="13"/>
        <tr r="O25" s="10"/>
      </tp>
      <tp t="e">
        <v>#N/A</v>
        <stp/>
        <stp>BDH|3966651792963805027</stp>
        <tr r="AA94" s="12"/>
      </tp>
      <tp t="e">
        <v>#N/A</v>
        <stp/>
        <stp>BDH|6828589061603233977</stp>
        <tr r="K85" s="18"/>
      </tp>
      <tp t="e">
        <v>#N/A</v>
        <stp/>
        <stp>BDH|9997355077991995365</stp>
        <tr r="W52" s="13"/>
      </tp>
      <tp t="e">
        <v>#N/A</v>
        <stp/>
        <stp>BDH|8521055075901436155</stp>
        <tr r="O64" s="12"/>
      </tp>
      <tp t="e">
        <v>#N/A</v>
        <stp/>
        <stp>BDH|8368377523591766749</stp>
        <tr r="F17" s="18"/>
      </tp>
      <tp t="e">
        <v>#N/A</v>
        <stp/>
        <stp>BDH|6840147289909644974</stp>
        <tr r="W31" s="14"/>
      </tp>
      <tp t="e">
        <v>#N/A</v>
        <stp/>
        <stp>BDH|9022864663511389921</stp>
        <tr r="F8" s="24"/>
      </tp>
      <tp t="e">
        <v>#N/A</v>
        <stp/>
        <stp>BDH|6805789181733200573</stp>
        <tr r="AA24" s="25"/>
      </tp>
      <tp t="e">
        <v>#N/A</v>
        <stp/>
        <stp>BDH|3587065863372414802</stp>
        <tr r="D25" s="5"/>
      </tp>
      <tp t="e">
        <v>#N/A</v>
        <stp/>
        <stp>BDH|5441884528453619368</stp>
        <tr r="E20" s="14"/>
      </tp>
      <tp t="e">
        <v>#N/A</v>
        <stp/>
        <stp>BDH|7711099682459838903</stp>
        <tr r="U27" s="26"/>
      </tp>
      <tp t="e">
        <v>#N/A</v>
        <stp/>
        <stp>BDH|9125223422533199541</stp>
        <tr r="T90" s="18"/>
      </tp>
      <tp t="e">
        <v>#N/A</v>
        <stp/>
        <stp>BDH|1791684667949986753</stp>
        <tr r="X16" s="29"/>
        <tr r="X39" s="29"/>
      </tp>
      <tp t="e">
        <v>#N/A</v>
        <stp/>
        <stp>BDH|7128684345982871807</stp>
        <tr r="E38" s="29"/>
        <tr r="E15" s="29"/>
      </tp>
      <tp t="e">
        <v>#N/A</v>
        <stp/>
        <stp>BDH|8031753577543035468</stp>
        <tr r="R28" s="9"/>
        <tr r="R30" s="5"/>
      </tp>
      <tp t="e">
        <v>#N/A</v>
        <stp/>
        <stp>BDH|6010321737718106109</stp>
        <tr r="F13" s="28"/>
        <tr r="F95" s="17"/>
      </tp>
      <tp t="e">
        <v>#N/A</v>
        <stp/>
        <stp>BDH|7208723007526486970</stp>
        <tr r="K63" s="12"/>
      </tp>
      <tp t="e">
        <v>#N/A</v>
        <stp/>
        <stp>BDH|2550827663862794162</stp>
        <tr r="R15" s="13"/>
      </tp>
      <tp t="e">
        <v>#N/A</v>
        <stp/>
        <stp>BDH|1892148401057161896</stp>
        <tr r="N24" s="21"/>
      </tp>
      <tp t="e">
        <v>#N/A</v>
        <stp/>
        <stp>BDH|1369820532237602205</stp>
        <tr r="E19" s="28"/>
        <tr r="E16" s="17"/>
      </tp>
      <tp t="e">
        <v>#N/A</v>
        <stp/>
        <stp>BDH|7664796925028875576</stp>
        <tr r="I11" s="20"/>
        <tr r="I116" s="18"/>
      </tp>
      <tp t="e">
        <v>#N/A</v>
        <stp/>
        <stp>BDH|9038601176157739040</stp>
        <tr r="H61" s="12"/>
      </tp>
      <tp t="e">
        <v>#N/A</v>
        <stp/>
        <stp>BDH|9941259277993955071</stp>
        <tr r="P21" s="20"/>
      </tp>
      <tp t="e">
        <v>#N/A</v>
        <stp/>
        <stp>BDH|4720125588655076785</stp>
        <tr r="G98" s="12"/>
      </tp>
      <tp t="e">
        <v>#N/A</v>
        <stp/>
        <stp>BDH|3723422851405354822</stp>
        <tr r="S43" s="25"/>
        <tr r="S22" s="13"/>
        <tr r="S7" s="13"/>
        <tr r="Q17" s="11"/>
        <tr r="S7" s="3"/>
      </tp>
      <tp t="e">
        <v>#N/A</v>
        <stp/>
        <stp>BDH|7892281160929358567</stp>
        <tr r="C79" s="17"/>
        <tr r="C19" s="3"/>
      </tp>
      <tp t="e">
        <v>#N/A</v>
        <stp/>
        <stp>BDH|8787167223790729408</stp>
        <tr r="X11" s="28"/>
      </tp>
      <tp t="e">
        <v>#N/A</v>
        <stp/>
        <stp>BDH|7526687675381862852</stp>
        <tr r="X34" s="11"/>
        <tr r="X45" s="10"/>
      </tp>
      <tp t="e">
        <v>#N/A</v>
        <stp/>
        <stp>BDH|2083841521105092204</stp>
        <tr r="Z17" s="21"/>
        <tr r="X23" s="2"/>
        <tr r="Z23" s="3"/>
      </tp>
      <tp t="e">
        <v>#N/A</v>
        <stp/>
        <stp>BDH|6917071392450835012</stp>
        <tr r="I25" s="22"/>
      </tp>
      <tp t="e">
        <v>#N/A</v>
        <stp/>
        <stp>BDH|6593545993720380546</stp>
        <tr r="V14" s="28"/>
      </tp>
      <tp t="e">
        <v>#N/A</v>
        <stp/>
        <stp>BDH|7295158724093550831</stp>
        <tr r="C7" s="6"/>
      </tp>
      <tp t="e">
        <v>#N/A</v>
        <stp/>
        <stp>BDH|7176550196570356443</stp>
        <tr r="P15" s="29"/>
        <tr r="P38" s="29"/>
      </tp>
      <tp t="e">
        <v>#N/A</v>
        <stp/>
        <stp>BDH|7844820378352460535</stp>
        <tr r="K123" s="18"/>
      </tp>
      <tp t="e">
        <v>#N/A</v>
        <stp/>
        <stp>BDH|3030793261825583884</stp>
        <tr r="W9" s="26"/>
      </tp>
      <tp t="e">
        <v>#N/A</v>
        <stp/>
        <stp>BDH|5024555951918520248</stp>
        <tr r="R145" s="18"/>
      </tp>
      <tp t="e">
        <v>#N/A</v>
        <stp/>
        <stp>BDH|9791267742027494720</stp>
        <tr r="T22" s="26"/>
      </tp>
      <tp t="e">
        <v>#N/A</v>
        <stp/>
        <stp>BDH|8553939356809507202</stp>
        <tr r="K40" s="21"/>
      </tp>
      <tp t="e">
        <v>#N/A</v>
        <stp/>
        <stp>BDH|3754946214936385214</stp>
        <tr r="AA40" s="22"/>
      </tp>
      <tp t="e">
        <v>#N/A</v>
        <stp/>
        <stp>BDH|9685380404414683192</stp>
        <tr r="F48" s="13"/>
      </tp>
      <tp t="e">
        <v>#N/A</v>
        <stp/>
        <stp>BDH|1130166412499720775</stp>
        <tr r="G19" s="9"/>
      </tp>
      <tp t="e">
        <v>#N/A</v>
        <stp/>
        <stp>BDH|7911947128587006405</stp>
        <tr r="F86" s="17"/>
      </tp>
      <tp t="e">
        <v>#N/A</v>
        <stp/>
        <stp>BDH|8050742068780183681</stp>
        <tr r="M9" s="27"/>
      </tp>
      <tp t="e">
        <v>#N/A</v>
        <stp/>
        <stp>BDH|3737219575430162970</stp>
        <tr r="X22" s="18"/>
      </tp>
      <tp t="e">
        <v>#N/A</v>
        <stp/>
        <stp>BDH|8901017903884970373</stp>
        <tr r="K8" s="14"/>
      </tp>
      <tp t="e">
        <v>#N/A</v>
        <stp/>
        <stp>BDH|6417994511880840112</stp>
        <tr r="P95" s="12"/>
      </tp>
      <tp t="e">
        <v>#N/A</v>
        <stp/>
        <stp>BDH|6510513286272394643</stp>
        <tr r="P87" s="12"/>
      </tp>
      <tp t="e">
        <v>#N/A</v>
        <stp/>
        <stp>BDH|1529208794010322572</stp>
        <tr r="X20" s="27"/>
      </tp>
      <tp t="e">
        <v>#N/A</v>
        <stp/>
        <stp>BDH|5241561690841324722</stp>
        <tr r="S37" s="18"/>
      </tp>
      <tp t="e">
        <v>#N/A</v>
        <stp/>
        <stp>BDH|1563030784802709402</stp>
        <tr r="E7" s="4"/>
      </tp>
      <tp t="e">
        <v>#N/A</v>
        <stp/>
        <stp>BDH|6492001615688455007</stp>
        <tr r="AA34" s="12"/>
      </tp>
      <tp t="e">
        <v>#N/A</v>
        <stp/>
        <stp>BDH|8764388548477303714</stp>
        <tr r="T11" s="7"/>
      </tp>
      <tp t="e">
        <v>#N/A</v>
        <stp/>
        <stp>BDH|96741457176039674</stp>
        <tr r="X46" s="34"/>
      </tp>
      <tp t="e">
        <v>#N/A</v>
        <stp/>
        <stp>BDH|88314124642756166</stp>
        <tr r="I7" s="27"/>
        <tr r="I94" s="17"/>
      </tp>
      <tp t="e">
        <v>#N/A</v>
        <stp/>
        <stp>BDH|30823206912436841</stp>
        <tr r="Z25" s="18"/>
      </tp>
      <tp t="e">
        <v>#N/A</v>
        <stp/>
        <stp>BDH|58200211812038359</stp>
        <tr r="N10" s="27"/>
        <tr r="N29" s="25"/>
      </tp>
      <tp t="e">
        <v>#N/A</v>
        <stp/>
        <stp>BDH|34340110652656203</stp>
        <tr r="W30" s="22"/>
      </tp>
      <tp t="e">
        <v>#N/A</v>
        <stp/>
        <stp>BDH|85778371703387154</stp>
        <tr r="Q42" s="26"/>
      </tp>
      <tp t="e">
        <v>#N/A</v>
        <stp/>
        <stp>BDH|11468362719500901</stp>
        <tr r="C89" s="18"/>
      </tp>
      <tp t="e">
        <v>#N/A</v>
        <stp/>
        <stp>BDH|55794590228752466</stp>
        <tr r="O35" s="34"/>
      </tp>
      <tp t="e">
        <v>#N/A</v>
        <stp/>
        <stp>BDH|4966320192240243611</stp>
        <tr r="M63" s="18"/>
      </tp>
      <tp t="e">
        <v>#N/A</v>
        <stp/>
        <stp>BDH|4059070558781116842</stp>
        <tr r="R9" s="25"/>
        <tr r="R44" s="17"/>
      </tp>
      <tp t="e">
        <v>#N/A</v>
        <stp/>
        <stp>BDH|3839277480034426517</stp>
        <tr r="G31" s="29"/>
      </tp>
      <tp t="e">
        <v>#N/A</v>
        <stp/>
        <stp>BDH|2914304103301306836</stp>
        <tr r="AA26" s="21"/>
      </tp>
      <tp t="e">
        <v>#N/A</v>
        <stp/>
        <stp>BDH|5529210904526245980</stp>
        <tr r="W15" s="10"/>
      </tp>
      <tp t="e">
        <v>#N/A</v>
        <stp/>
        <stp>BDH|4173124288062395729</stp>
        <tr r="X59" s="24"/>
      </tp>
      <tp t="e">
        <v>#N/A</v>
        <stp/>
        <stp>BDH|5224831925223635481</stp>
        <tr r="M36" s="34"/>
      </tp>
      <tp t="e">
        <v>#N/A</v>
        <stp/>
        <stp>BDH|7545242840238945123</stp>
        <tr r="N12" s="26"/>
      </tp>
      <tp t="e">
        <v>#N/A</v>
        <stp/>
        <stp>BDH|4376839419752641758</stp>
        <tr r="R21" s="24"/>
      </tp>
      <tp t="e">
        <v>#N/A</v>
        <stp/>
        <stp>BDH|9920751506977161119</stp>
        <tr r="H24" s="6"/>
      </tp>
      <tp t="e">
        <v>#N/A</v>
        <stp/>
        <stp>BDH|8518234733515903465</stp>
        <tr r="V56" s="24"/>
      </tp>
      <tp t="e">
        <v>#N/A</v>
        <stp/>
        <stp>BDH|8635427259296414733</stp>
        <tr r="W42" s="17"/>
      </tp>
      <tp t="e">
        <v>#N/A</v>
        <stp/>
        <stp>BDH|3611437127984896901</stp>
        <tr r="C80" s="12"/>
      </tp>
      <tp t="e">
        <v>#N/A</v>
        <stp/>
        <stp>BDH|8169852844448370491</stp>
        <tr r="G38" s="6"/>
      </tp>
      <tp t="e">
        <v>#N/A</v>
        <stp/>
        <stp>BDH|8276697316140167761</stp>
        <tr r="I156" s="18"/>
      </tp>
      <tp t="e">
        <v>#N/A</v>
        <stp/>
        <stp>BDH|2432183354306010824</stp>
        <tr r="F172" s="18"/>
      </tp>
      <tp t="e">
        <v>#N/A</v>
        <stp/>
        <stp>BDH|8917765141782603125</stp>
        <tr r="T36" s="34"/>
      </tp>
      <tp t="e">
        <v>#N/A</v>
        <stp/>
        <stp>BDH|6476197725415380815</stp>
        <tr r="C28" s="9"/>
        <tr r="C30" s="5"/>
      </tp>
      <tp t="e">
        <v>#N/A</v>
        <stp/>
        <stp>BDH|9356214628060612168</stp>
        <tr r="M12" s="24"/>
      </tp>
      <tp t="e">
        <v>#N/A</v>
        <stp/>
        <stp>BDH|3412093065954725951</stp>
        <tr r="K20" s="23"/>
      </tp>
      <tp t="e">
        <v>#N/A</v>
        <stp/>
        <stp>BDH|8809004379327371088</stp>
        <tr r="O9" s="26"/>
      </tp>
      <tp t="e">
        <v>#N/A</v>
        <stp/>
        <stp>BDH|2189981563755602066</stp>
        <tr r="K21" s="17"/>
      </tp>
      <tp t="e">
        <v>#N/A</v>
        <stp/>
        <stp>BDH|9783642041692051181</stp>
        <tr r="E21" s="27"/>
      </tp>
      <tp t="e">
        <v>#N/A</v>
        <stp/>
        <stp>BDH|6445031287483886522</stp>
        <tr r="T42" s="25"/>
      </tp>
      <tp t="e">
        <v>#N/A</v>
        <stp/>
        <stp>BDH|8919250157930345726</stp>
        <tr r="V90" s="17"/>
      </tp>
      <tp t="e">
        <v>#N/A</v>
        <stp/>
        <stp>BDH|5962630064728746539</stp>
        <tr r="X21" s="10"/>
      </tp>
      <tp t="e">
        <v>#N/A</v>
        <stp/>
        <stp>BDH|2046755387611124499</stp>
        <tr r="U29" s="34"/>
      </tp>
      <tp t="e">
        <v>#N/A</v>
        <stp/>
        <stp>BDH|2595758488977676240</stp>
        <tr r="Q99" s="12"/>
      </tp>
      <tp t="e">
        <v>#N/A</v>
        <stp/>
        <stp>BDH|9464309764050246484</stp>
        <tr r="AA60" s="12"/>
      </tp>
      <tp t="e">
        <v>#N/A</v>
        <stp/>
        <stp>BDH|2900633080896573253</stp>
        <tr r="Z51" s="22"/>
      </tp>
      <tp t="e">
        <v>#N/A</v>
        <stp/>
        <stp>BDH|2930826703534153624</stp>
        <tr r="T13" s="8"/>
      </tp>
      <tp t="e">
        <v>#N/A</v>
        <stp/>
        <stp>BDH|8427455684725632983</stp>
        <tr r="J18" s="24"/>
      </tp>
      <tp t="e">
        <v>#N/A</v>
        <stp/>
        <stp>BDH|5634265119558353616</stp>
        <tr r="M7" s="29"/>
        <tr r="M29" s="29"/>
      </tp>
      <tp t="e">
        <v>#N/A</v>
        <stp/>
        <stp>BDH|3021855299119215354</stp>
        <tr r="N21" s="22"/>
      </tp>
      <tp t="e">
        <v>#N/A</v>
        <stp/>
        <stp>BDH|4304678671659658488</stp>
        <tr r="R7" s="23"/>
      </tp>
      <tp t="e">
        <v>#N/A</v>
        <stp/>
        <stp>BDH|1704902899391250876</stp>
        <tr r="C55" s="18"/>
      </tp>
      <tp t="e">
        <v>#N/A</v>
        <stp/>
        <stp>BDH|6846203733158363732</stp>
        <tr r="O31" s="14"/>
      </tp>
      <tp t="e">
        <v>#N/A</v>
        <stp/>
        <stp>BDH|6872577792470510237</stp>
        <tr r="J20" s="21"/>
      </tp>
      <tp t="e">
        <v>#N/A</v>
        <stp/>
        <stp>BDH|8566214139142525334</stp>
        <tr r="Y41" s="17"/>
      </tp>
      <tp t="e">
        <v>#N/A</v>
        <stp/>
        <stp>BDH|7421107086273154587</stp>
        <tr r="S74" s="18"/>
      </tp>
      <tp t="e">
        <v>#N/A</v>
        <stp/>
        <stp>BDH|5329696543426411964</stp>
        <tr r="R64" s="11"/>
        <tr r="R75" s="10"/>
      </tp>
      <tp t="e">
        <v>#N/A</v>
        <stp/>
        <stp>BDH|4932657432480128946</stp>
        <tr r="G92" s="18"/>
      </tp>
      <tp t="e">
        <v>#N/A</v>
        <stp/>
        <stp>BDH|4136255059318109371</stp>
        <tr r="P23" s="23"/>
      </tp>
      <tp t="e">
        <v>#N/A</v>
        <stp/>
        <stp>BDH|6615388906355398804</stp>
        <tr r="W61" s="17"/>
      </tp>
      <tp t="e">
        <v>#N/A</v>
        <stp/>
        <stp>BDH|6976878527944398018</stp>
        <tr r="K47" s="13"/>
      </tp>
      <tp t="e">
        <v>#N/A</v>
        <stp/>
        <stp>BDH|2572617744390848831</stp>
        <tr r="L19" s="26"/>
      </tp>
      <tp t="e">
        <v>#N/A</v>
        <stp/>
        <stp>BDH|9733751410201050693</stp>
        <tr r="U47" s="21"/>
      </tp>
      <tp t="e">
        <v>#N/A</v>
        <stp/>
        <stp>BDH|7828586229668320016</stp>
        <tr r="N30" s="9"/>
      </tp>
      <tp t="e">
        <v>#N/A</v>
        <stp/>
        <stp>BDH|9359921014841933879</stp>
        <tr r="Z7" s="23"/>
      </tp>
      <tp t="e">
        <v>#N/A</v>
        <stp/>
        <stp>BDH|8155598638175844331</stp>
        <tr r="Y36" s="17"/>
      </tp>
      <tp t="e">
        <v>#N/A</v>
        <stp/>
        <stp>BDH|8983086458191543472</stp>
        <tr r="S26" s="22"/>
      </tp>
      <tp t="e">
        <v>#N/A</v>
        <stp/>
        <stp>BDH|5620945376624608798</stp>
        <tr r="H35" s="12"/>
      </tp>
      <tp t="e">
        <v>#N/A</v>
        <stp/>
        <stp>BDH|9300580559994120581</stp>
        <tr r="P14" s="8"/>
      </tp>
      <tp t="e">
        <v>#N/A</v>
        <stp/>
        <stp>BDH|5637899242895487420</stp>
        <tr r="M79" s="12"/>
      </tp>
      <tp t="e">
        <v>#N/A</v>
        <stp/>
        <stp>BDH|4463232465350923808</stp>
        <tr r="C8" s="14"/>
      </tp>
      <tp t="e">
        <v>#N/A</v>
        <stp/>
        <stp>BDH|3793347877479817677</stp>
        <tr r="N12" s="6"/>
      </tp>
      <tp t="e">
        <v>#N/A</v>
        <stp/>
        <stp>BDH|8944689724990729499</stp>
        <tr r="D30" s="24"/>
      </tp>
      <tp t="e">
        <v>#N/A</v>
        <stp/>
        <stp>BDH|5763084698397485386</stp>
        <tr r="M20" s="24"/>
      </tp>
      <tp t="e">
        <v>#N/A</v>
        <stp/>
        <stp>BDH|1256147742758737488</stp>
        <tr r="H26" s="24"/>
      </tp>
      <tp t="e">
        <v>#N/A</v>
        <stp/>
        <stp>BDH|4218985070217606547</stp>
        <tr r="O11" s="11"/>
      </tp>
      <tp t="e">
        <v>#N/A</v>
        <stp/>
        <stp>BDH|7941391108295550952</stp>
        <tr r="W78" s="24"/>
      </tp>
      <tp t="e">
        <v>#N/A</v>
        <stp/>
        <stp>BDH|3823119918083086890</stp>
        <tr r="U20" s="25"/>
      </tp>
      <tp t="e">
        <v>#N/A</v>
        <stp/>
        <stp>BDH|2954372069166778982</stp>
        <tr r="D24" s="17"/>
      </tp>
      <tp t="e">
        <v>#N/A</v>
        <stp/>
        <stp>BDH|6516089645752650868</stp>
        <tr r="G100" s="12"/>
      </tp>
      <tp t="e">
        <v>#N/A</v>
        <stp/>
        <stp>BDH|7338315527999487795</stp>
        <tr r="P162" s="18"/>
      </tp>
      <tp t="e">
        <v>#N/A</v>
        <stp/>
        <stp>BDH|3834350912689549023</stp>
        <tr r="U41" s="18"/>
      </tp>
      <tp t="e">
        <v>#N/A</v>
        <stp/>
        <stp>BDH|1296691788387983021</stp>
        <tr r="I48" s="34"/>
      </tp>
      <tp t="e">
        <v>#N/A</v>
        <stp/>
        <stp>BDH|4020948173814837674</stp>
        <tr r="N66" s="10"/>
      </tp>
      <tp t="e">
        <v>#N/A</v>
        <stp/>
        <stp>BDH|3652503898750260743</stp>
        <tr r="G22" s="22"/>
      </tp>
      <tp t="e">
        <v>#N/A</v>
        <stp/>
        <stp>BDH|8558050220475005785</stp>
        <tr r="U86" s="17"/>
      </tp>
      <tp t="e">
        <v>#N/A</v>
        <stp/>
        <stp>BDH|9449814732538929260</stp>
        <tr r="D16" s="25"/>
      </tp>
      <tp t="e">
        <v>#N/A</v>
        <stp/>
        <stp>BDH|7366582654719074673</stp>
        <tr r="Q57" s="13"/>
        <tr r="O38" s="11"/>
        <tr r="O49" s="10"/>
        <tr r="O18" s="2"/>
        <tr r="O53" s="4"/>
      </tp>
      <tp t="e">
        <v>#N/A</v>
        <stp/>
        <stp>BDH|4916226163048553055</stp>
        <tr r="E49" s="12"/>
      </tp>
      <tp t="e">
        <v>#N/A</v>
        <stp/>
        <stp>BDH|6201021098381529657</stp>
        <tr r="G80" s="12"/>
      </tp>
      <tp t="e">
        <v>#N/A</v>
        <stp/>
        <stp>BDH|1506168696866478790</stp>
        <tr r="U26" s="17"/>
      </tp>
      <tp t="e">
        <v>#N/A</v>
        <stp/>
        <stp>BDH|3486168419362362903</stp>
        <tr r="M85" s="17"/>
      </tp>
      <tp t="e">
        <v>#N/A</v>
        <stp/>
        <stp>BDH|1908869137250852288</stp>
        <tr r="T14" s="6"/>
      </tp>
      <tp t="e">
        <v>#N/A</v>
        <stp/>
        <stp>BDH|9894323258453925435</stp>
        <tr r="Z92" s="18"/>
      </tp>
      <tp t="e">
        <v>#N/A</v>
        <stp/>
        <stp>BDH|2710783641058080163</stp>
        <tr r="S41" s="17"/>
      </tp>
      <tp t="e">
        <v>#N/A</v>
        <stp/>
        <stp>BDH|5625212528135480830</stp>
        <tr r="J43" s="17"/>
      </tp>
      <tp t="e">
        <v>#N/A</v>
        <stp/>
        <stp>BDH|9839965383831042153</stp>
        <tr r="F36" s="21"/>
        <tr r="F24" s="3"/>
      </tp>
      <tp t="e">
        <v>#N/A</v>
        <stp/>
        <stp>BDH|8288196150265769142</stp>
        <tr r="N35" s="34"/>
      </tp>
      <tp t="e">
        <v>#N/A</v>
        <stp/>
        <stp>BDH|9321724358810367323</stp>
        <tr r="G64" s="21"/>
        <tr r="E23" s="7"/>
      </tp>
      <tp t="e">
        <v>#N/A</v>
        <stp/>
        <stp>BDH|9103301563745344199</stp>
        <tr r="H28" s="18"/>
      </tp>
      <tp t="e">
        <v>#N/A</v>
        <stp/>
        <stp>BDH|4855926567371080255</stp>
        <tr r="H16" s="14"/>
      </tp>
      <tp t="e">
        <v>#N/A</v>
        <stp/>
        <stp>BDH|1071012191332921219</stp>
        <tr r="V18" s="11"/>
      </tp>
      <tp t="e">
        <v>#N/A</v>
        <stp/>
        <stp>BDH|1171907349442880680</stp>
        <tr r="D45" s="22"/>
      </tp>
      <tp t="e">
        <v>#N/A</v>
        <stp/>
        <stp>BDH|1460851366705851279</stp>
        <tr r="J44" s="6"/>
      </tp>
      <tp t="e">
        <v>#N/A</v>
        <stp/>
        <stp>BDH|9216746435897267295</stp>
        <tr r="AA64" s="18"/>
      </tp>
      <tp t="e">
        <v>#N/A</v>
        <stp/>
        <stp>BDH|3701856710336396493</stp>
        <tr r="J12" s="10"/>
      </tp>
      <tp t="e">
        <v>#N/A</v>
        <stp/>
        <stp>BDH|7154200498686796265</stp>
        <tr r="R20" s="26"/>
      </tp>
      <tp t="e">
        <v>#N/A</v>
        <stp/>
        <stp>BDH|6569045263958312095</stp>
        <tr r="G15" s="24"/>
      </tp>
      <tp t="e">
        <v>#N/A</v>
        <stp/>
        <stp>BDH|8162185713540130024</stp>
        <tr r="Q51" s="34"/>
      </tp>
      <tp t="e">
        <v>#N/A</v>
        <stp/>
        <stp>BDH|6560812139196044340</stp>
        <tr r="J71" s="17"/>
      </tp>
      <tp t="e">
        <v>#N/A</v>
        <stp/>
        <stp>BDH|9364826930659124395</stp>
        <tr r="M52" s="6"/>
        <tr r="O9" s="8"/>
      </tp>
      <tp t="e">
        <v>#N/A</v>
        <stp/>
        <stp>BDH|6708971667649812867</stp>
        <tr r="X94" s="18"/>
      </tp>
      <tp t="e">
        <v>#N/A</v>
        <stp/>
        <stp>BDH|3698804580093993864</stp>
        <tr r="G13" s="26"/>
      </tp>
      <tp t="e">
        <v>#N/A</v>
        <stp/>
        <stp>BDH|2293298199084898538</stp>
        <tr r="V71" s="12"/>
      </tp>
      <tp t="e">
        <v>#N/A</v>
        <stp/>
        <stp>BDH|6620913768286251746</stp>
        <tr r="V29" s="29"/>
        <tr r="V7" s="29"/>
      </tp>
      <tp t="e">
        <v>#N/A</v>
        <stp/>
        <stp>BDH|2578861305463767184</stp>
        <tr r="T30" s="29"/>
        <tr r="T8" s="29"/>
      </tp>
      <tp t="e">
        <v>#N/A</v>
        <stp/>
        <stp>BDH|7071123307498810641</stp>
        <tr r="W24" s="5"/>
      </tp>
      <tp t="e">
        <v>#N/A</v>
        <stp/>
        <stp>BDH|6060252595873866619</stp>
        <tr r="V8" s="27"/>
      </tp>
      <tp t="e">
        <v>#N/A</v>
        <stp/>
        <stp>BDH|8049548766380234399</stp>
        <tr r="P22" s="4"/>
      </tp>
      <tp t="e">
        <v>#N/A</v>
        <stp/>
        <stp>BDH|4324490925643640905</stp>
        <tr r="P21" s="22"/>
      </tp>
      <tp t="e">
        <v>#N/A</v>
        <stp/>
        <stp>BDH|3287192936110695927</stp>
        <tr r="W164" s="18"/>
      </tp>
      <tp t="e">
        <v>#N/A</v>
        <stp/>
        <stp>BDH|8301414528644524267</stp>
        <tr r="F72" s="18"/>
      </tp>
      <tp t="e">
        <v>#N/A</v>
        <stp/>
        <stp>BDH|2905798212628890430</stp>
        <tr r="J8" s="28"/>
      </tp>
      <tp t="e">
        <v>#N/A</v>
        <stp/>
        <stp>BDH|1346190593818731978</stp>
        <tr r="M10" s="21"/>
      </tp>
      <tp t="e">
        <v>#N/A</v>
        <stp/>
        <stp>BDH|2449837661060826476</stp>
        <tr r="Q13" s="13"/>
      </tp>
      <tp t="e">
        <v>#N/A</v>
        <stp/>
        <stp>BDH|9937452568380965343</stp>
        <tr r="J29" s="26"/>
      </tp>
      <tp t="e">
        <v>#N/A</v>
        <stp/>
        <stp>BDH|2896195182261206288</stp>
        <tr r="O9" s="29"/>
      </tp>
      <tp t="e">
        <v>#N/A</v>
        <stp/>
        <stp>BDH|8535546483298832532</stp>
        <tr r="C48" s="17"/>
      </tp>
      <tp t="e">
        <v>#N/A</v>
        <stp/>
        <stp>BDH|6287817729191325505</stp>
        <tr r="N74" s="12"/>
      </tp>
      <tp t="e">
        <v>#N/A</v>
        <stp/>
        <stp>BDH|1153191173048250709</stp>
        <tr r="U134" s="18"/>
      </tp>
      <tp t="e">
        <v>#N/A</v>
        <stp/>
        <stp>BDH|3259009178784619852</stp>
        <tr r="K22" s="30"/>
        <tr r="K24" s="23"/>
      </tp>
      <tp t="e">
        <v>#N/A</v>
        <stp/>
        <stp>BDH|2961652323287198974</stp>
        <tr r="C9" s="20"/>
        <tr r="C115" s="18"/>
      </tp>
      <tp t="e">
        <v>#N/A</v>
        <stp/>
        <stp>BDH|8222433648652199215</stp>
        <tr r="S41" s="24"/>
      </tp>
      <tp t="e">
        <v>#N/A</v>
        <stp/>
        <stp>BDH|9223713908831772755</stp>
        <tr r="V43" s="6"/>
      </tp>
      <tp t="e">
        <v>#N/A</v>
        <stp/>
        <stp>BDH|1068848678706076054</stp>
        <tr r="R12" s="24"/>
      </tp>
      <tp t="e">
        <v>#N/A</v>
        <stp/>
        <stp>BDH|2703185484912445165</stp>
        <tr r="J78" s="24"/>
      </tp>
      <tp t="e">
        <v>#N/A</v>
        <stp/>
        <stp>BDH|2176699455711323877</stp>
        <tr r="U42" s="21"/>
      </tp>
      <tp t="e">
        <v>#N/A</v>
        <stp/>
        <stp>BDH|6948019387922595431</stp>
        <tr r="L141" s="18"/>
      </tp>
      <tp t="e">
        <v>#N/A</v>
        <stp/>
        <stp>BDH|7010839582187866803</stp>
        <tr r="L9" s="17"/>
      </tp>
      <tp t="e">
        <v>#N/A</v>
        <stp/>
        <stp>BDH|2806829120469435971</stp>
        <tr r="M39" s="12"/>
      </tp>
      <tp t="e">
        <v>#N/A</v>
        <stp/>
        <stp>BDH|5896014671392228833</stp>
        <tr r="W11" s="13"/>
      </tp>
      <tp t="e">
        <v>#N/A</v>
        <stp/>
        <stp>BDH|2932793213558927438</stp>
        <tr r="Q30" s="22"/>
      </tp>
      <tp t="e">
        <v>#N/A</v>
        <stp/>
        <stp>BDH|4651318891457853173</stp>
        <tr r="P62" s="13"/>
      </tp>
      <tp t="e">
        <v>#N/A</v>
        <stp/>
        <stp>BDH|1581936249200702412</stp>
        <tr r="AA36" s="22"/>
      </tp>
      <tp t="e">
        <v>#N/A</v>
        <stp/>
        <stp>BDH|8070368602383541086</stp>
        <tr r="J65" s="13"/>
      </tp>
      <tp t="e">
        <v>#N/A</v>
        <stp/>
        <stp>BDH|7177267089184077178</stp>
        <tr r="R37" s="18"/>
      </tp>
      <tp t="e">
        <v>#N/A</v>
        <stp/>
        <stp>BDH|8969729857090471216</stp>
        <tr r="V16" s="22"/>
      </tp>
      <tp t="e">
        <v>#N/A</v>
        <stp/>
        <stp>BDH|6941077919608723799</stp>
        <tr r="U15" s="10"/>
      </tp>
      <tp t="e">
        <v>#N/A</v>
        <stp/>
        <stp>BDH|5868149698385341099</stp>
        <tr r="Y66" s="10"/>
      </tp>
      <tp t="e">
        <v>#N/A</v>
        <stp/>
        <stp>BDH|7839576787595524732</stp>
        <tr r="W103" s="18"/>
      </tp>
      <tp t="e">
        <v>#N/A</v>
        <stp/>
        <stp>BDH|9861855292657645771</stp>
        <tr r="S12" s="14"/>
      </tp>
      <tp t="e">
        <v>#N/A</v>
        <stp/>
        <stp>BDH|3062218186824129584</stp>
        <tr r="S50" s="34"/>
      </tp>
      <tp t="e">
        <v>#N/A</v>
        <stp/>
        <stp>BDH|7760562562494887858</stp>
        <tr r="N55" s="18"/>
      </tp>
      <tp t="e">
        <v>#N/A</v>
        <stp/>
        <stp>BDH|7494224298162177618</stp>
        <tr r="V6" s="27"/>
      </tp>
      <tp t="e">
        <v>#N/A</v>
        <stp/>
        <stp>BDH|1086888973980628638</stp>
        <tr r="W52" s="34"/>
      </tp>
      <tp t="e">
        <v>#N/A</v>
        <stp/>
        <stp>BDH|9384314921933467390</stp>
        <tr r="N157" s="18"/>
      </tp>
      <tp t="e">
        <v>#N/A</v>
        <stp/>
        <stp>BDH|8153254721691837137</stp>
        <tr r="I22" s="11"/>
      </tp>
      <tp t="e">
        <v>#N/A</v>
        <stp/>
        <stp>BDH|8034068242740997437</stp>
        <tr r="U23" s="17"/>
      </tp>
      <tp t="e">
        <v>#N/A</v>
        <stp/>
        <stp>BDH|7177293195330207415</stp>
        <tr r="J18" s="20"/>
      </tp>
      <tp t="e">
        <v>#N/A</v>
        <stp/>
        <stp>BDH|9637027508507741657</stp>
        <tr r="J99" s="18"/>
      </tp>
      <tp t="e">
        <v>#N/A</v>
        <stp/>
        <stp>BDH|5524634659379850795</stp>
        <tr r="O75" s="12"/>
      </tp>
      <tp t="e">
        <v>#N/A</v>
        <stp/>
        <stp>BDH|1640302691184102782</stp>
        <tr r="L11" s="17"/>
      </tp>
      <tp t="e">
        <v>#N/A</v>
        <stp/>
        <stp>BDH|3801972901562013003</stp>
        <tr r="C16" s="13"/>
        <tr r="C28" s="13"/>
      </tp>
      <tp t="e">
        <v>#N/A</v>
        <stp/>
        <stp>BDH|4190875552991879025</stp>
        <tr r="X39" s="24"/>
      </tp>
      <tp t="e">
        <v>#N/A</v>
        <stp/>
        <stp>BDH|4706210132605247885</stp>
        <tr r="V20" s="23"/>
      </tp>
      <tp t="e">
        <v>#N/A</v>
        <stp/>
        <stp>BDH|1756232259798414676</stp>
        <tr r="P65" s="24"/>
      </tp>
      <tp t="e">
        <v>#N/A</v>
        <stp/>
        <stp>BDH|6543031386155917373</stp>
        <tr r="V64" s="17"/>
      </tp>
      <tp t="e">
        <v>#N/A</v>
        <stp/>
        <stp>BDH|6158884175676047725</stp>
        <tr r="H72" s="24"/>
      </tp>
      <tp t="e">
        <v>#N/A</v>
        <stp/>
        <stp>BDH|9696228205073648093</stp>
        <tr r="O19" s="29"/>
        <tr r="O10" s="29"/>
        <tr r="O25" s="29"/>
        <tr r="O12" s="8"/>
        <tr r="M6" s="9"/>
        <tr r="M6" s="5"/>
        <tr r="N6" s="2"/>
      </tp>
      <tp t="e">
        <v>#N/A</v>
        <stp/>
        <stp>BDH|7982944567427570717</stp>
        <tr r="J16" s="24"/>
      </tp>
      <tp t="e">
        <v>#N/A</v>
        <stp/>
        <stp>BDH|3964517131334603919</stp>
        <tr r="E51" s="21"/>
      </tp>
      <tp t="e">
        <v>#N/A</v>
        <stp/>
        <stp>BDH|1879013332892353863</stp>
        <tr r="O15" s="30"/>
      </tp>
      <tp t="e">
        <v>#N/A</v>
        <stp/>
        <stp>BDH|5813830423231018668</stp>
        <tr r="P46" s="24"/>
      </tp>
      <tp t="e">
        <v>#N/A</v>
        <stp/>
        <stp>BDH|9248312052915735286</stp>
        <tr r="O63" s="24"/>
      </tp>
      <tp t="e">
        <v>#N/A</v>
        <stp/>
        <stp>BDH|9003823947905331883</stp>
        <tr r="Y89" s="18"/>
      </tp>
      <tp t="e">
        <v>#N/A</v>
        <stp/>
        <stp>BDH|9351803103851737890</stp>
        <tr r="R24" s="25"/>
      </tp>
      <tp t="e">
        <v>#N/A</v>
        <stp/>
        <stp>BDH|8354647534517935248</stp>
        <tr r="T55" s="18"/>
      </tp>
      <tp t="e">
        <v>#N/A</v>
        <stp/>
        <stp>BDH|5087246927045857854</stp>
        <tr r="W27" s="12"/>
      </tp>
      <tp t="e">
        <v>#N/A</v>
        <stp/>
        <stp>BDH|6526299951618340107</stp>
        <tr r="X16" s="14"/>
      </tp>
      <tp t="e">
        <v>#N/A</v>
        <stp/>
        <stp>BDH|3971979968026012281</stp>
        <tr r="Z89" s="18"/>
      </tp>
      <tp t="e">
        <v>#N/A</v>
        <stp/>
        <stp>BDH|6513863969749738927</stp>
        <tr r="K6" s="28"/>
      </tp>
      <tp t="e">
        <v>#N/A</v>
        <stp/>
        <stp>BDH|2457402985360930676</stp>
        <tr r="U44" s="13"/>
        <tr r="S36" s="11"/>
        <tr r="S47" s="10"/>
        <tr r="U8" s="3"/>
        <tr r="S52" s="4"/>
      </tp>
      <tp t="e">
        <v>#N/A</v>
        <stp/>
        <stp>BDH|2073991402640795339</stp>
        <tr r="G12" s="24"/>
      </tp>
      <tp t="e">
        <v>#N/A</v>
        <stp/>
        <stp>BDH|2665749429827264861</stp>
        <tr r="Y132" s="18"/>
      </tp>
      <tp t="e">
        <v>#N/A</v>
        <stp/>
        <stp>BDH|4957963055761646135</stp>
        <tr r="O16" s="27"/>
        <tr r="O34" s="25"/>
      </tp>
      <tp t="e">
        <v>#N/A</v>
        <stp/>
        <stp>BDH|7185686042978455502</stp>
        <tr r="R66" s="12"/>
      </tp>
      <tp t="e">
        <v>#N/A</v>
        <stp/>
        <stp>BDH|5405147488102158663</stp>
        <tr r="N62" s="17"/>
      </tp>
      <tp t="e">
        <v>#N/A</v>
        <stp/>
        <stp>BDH|4810860103150741456</stp>
        <tr r="N158" s="18"/>
      </tp>
      <tp t="e">
        <v>#N/A</v>
        <stp/>
        <stp>BDH|8954711554523144127</stp>
        <tr r="C9" s="28"/>
      </tp>
      <tp t="e">
        <v>#N/A</v>
        <stp/>
        <stp>BDH|7946043305108214755</stp>
        <tr r="U47" s="6"/>
      </tp>
      <tp t="e">
        <v>#N/A</v>
        <stp/>
        <stp>BDH|4708753760389811454</stp>
        <tr r="AA168" s="18"/>
      </tp>
      <tp t="e">
        <v>#N/A</v>
        <stp/>
        <stp>BDH|1962011786336894798</stp>
        <tr r="Y7" s="8"/>
      </tp>
      <tp t="e">
        <v>#N/A</v>
        <stp/>
        <stp>BDH|6473267099571766436</stp>
        <tr r="F42" s="6"/>
      </tp>
      <tp t="e">
        <v>#N/A</v>
        <stp/>
        <stp>BDH|6505398933846905895</stp>
        <tr r="E63" s="24"/>
      </tp>
      <tp t="e">
        <v>#N/A</v>
        <stp/>
        <stp>BDH|9445763945027130591</stp>
        <tr r="F60" s="13"/>
        <tr r="D48" s="11"/>
        <tr r="D59" s="10"/>
        <tr r="D17" s="7"/>
        <tr r="D17" s="4"/>
        <tr r="F10" s="3"/>
      </tp>
      <tp t="e">
        <v>#N/A</v>
        <stp/>
        <stp>BDH|8266481414675921087</stp>
        <tr r="H28" s="22"/>
      </tp>
      <tp t="e">
        <v>#N/A</v>
        <stp/>
        <stp>BDH|2881854616723673028</stp>
        <tr r="E13" s="7"/>
      </tp>
      <tp t="e">
        <v>#N/A</v>
        <stp/>
        <stp>BDH|3846602422818295773</stp>
        <tr r="S16" s="10"/>
      </tp>
      <tp t="e">
        <v>#N/A</v>
        <stp/>
        <stp>BDH|5468259363181995843</stp>
        <tr r="O42" s="34"/>
      </tp>
      <tp t="e">
        <v>#N/A</v>
        <stp/>
        <stp>BDH|9566139762866879034</stp>
        <tr r="F48" s="18"/>
      </tp>
      <tp t="e">
        <v>#N/A</v>
        <stp/>
        <stp>BDH|5664283733798132435</stp>
        <tr r="D17" s="21"/>
        <tr r="D23" s="3"/>
      </tp>
      <tp t="e">
        <v>#N/A</v>
        <stp/>
        <stp>BDH|8032790469672628393</stp>
        <tr r="Y68" s="17"/>
      </tp>
      <tp t="e">
        <v>#N/A</v>
        <stp/>
        <stp>BDH|9129892813519324170</stp>
        <tr r="Q13" s="7"/>
      </tp>
      <tp t="e">
        <v>#N/A</v>
        <stp/>
        <stp>BDH|8151020124514811606</stp>
        <tr r="I22" s="25"/>
      </tp>
      <tp t="e">
        <v>#N/A</v>
        <stp/>
        <stp>BDH|8371282217327692458</stp>
        <tr r="K9" s="30"/>
      </tp>
      <tp t="e">
        <v>#N/A</v>
        <stp/>
        <stp>BDH|3160848334722695286</stp>
        <tr r="U48" s="6"/>
      </tp>
      <tp t="e">
        <v>#N/A</v>
        <stp/>
        <stp>BDH|4532046499510031575</stp>
        <tr r="J41" s="25"/>
        <tr r="J59" s="21"/>
        <tr r="H54" s="11"/>
        <tr r="H31" s="4"/>
      </tp>
      <tp t="e">
        <v>#N/A</v>
        <stp/>
        <stp>BDH|4542740028689467022</stp>
        <tr r="J11" s="21"/>
      </tp>
      <tp t="e">
        <v>#N/A</v>
        <stp/>
        <stp>BDH|9028046760226840134</stp>
        <tr r="N6" s="6"/>
      </tp>
      <tp t="e">
        <v>#N/A</v>
        <stp/>
        <stp>BDH|6580183555452170861</stp>
        <tr r="D53" s="13"/>
      </tp>
      <tp t="e">
        <v>#N/A</v>
        <stp/>
        <stp>BDH|5774086716544285844</stp>
        <tr r="K29" s="17"/>
      </tp>
      <tp t="e">
        <v>#N/A</v>
        <stp/>
        <stp>BDH|4891435883048101864</stp>
        <tr r="W75" s="24"/>
      </tp>
      <tp t="e">
        <v>#N/A</v>
        <stp/>
        <stp>BDH|3732127589430799241</stp>
        <tr r="S9" s="24"/>
      </tp>
      <tp t="e">
        <v>#N/A</v>
        <stp/>
        <stp>BDH|3954917050147706008</stp>
        <tr r="K13" s="23"/>
        <tr r="I58" s="11"/>
        <tr r="I38" s="4"/>
      </tp>
      <tp t="e">
        <v>#N/A</v>
        <stp/>
        <stp>BDH|8834131279893478596</stp>
        <tr r="AA51" s="17"/>
      </tp>
      <tp t="e">
        <v>#N/A</v>
        <stp/>
        <stp>BDH|4705223396630585796</stp>
        <tr r="X35" s="26"/>
        <tr r="U14" s="9"/>
      </tp>
      <tp t="e">
        <v>#N/A</v>
        <stp/>
        <stp>BDH|2354329592331543190</stp>
        <tr r="Y15" s="18"/>
      </tp>
      <tp t="e">
        <v>#N/A</v>
        <stp/>
        <stp>BDH|6563031959818227326</stp>
        <tr r="I15" s="9"/>
      </tp>
      <tp t="e">
        <v>#N/A</v>
        <stp/>
        <stp>BDH|9188725476809992837</stp>
        <tr r="F135" s="18"/>
      </tp>
      <tp t="e">
        <v>#N/A</v>
        <stp/>
        <stp>BDH|7088926098698427710</stp>
        <tr r="N76" s="12"/>
      </tp>
      <tp t="e">
        <v>#N/A</v>
        <stp/>
        <stp>BDH|7136117449948471220</stp>
        <tr r="R9" s="22"/>
      </tp>
      <tp t="e">
        <v>#N/A</v>
        <stp/>
        <stp>BDH|7324976872654909508</stp>
        <tr r="F34" s="17"/>
      </tp>
      <tp t="e">
        <v>#N/A</v>
        <stp/>
        <stp>BDH|1930810108031983061</stp>
        <tr r="Z88" s="12"/>
      </tp>
      <tp t="e">
        <v>#N/A</v>
        <stp/>
        <stp>BDH|1871454036048097647</stp>
        <tr r="L33" s="12"/>
      </tp>
      <tp t="e">
        <v>#N/A</v>
        <stp/>
        <stp>BDH|7830748993707087609</stp>
        <tr r="Q11" s="18"/>
      </tp>
      <tp t="e">
        <v>#N/A</v>
        <stp/>
        <stp>BDH|4808444043945269924</stp>
        <tr r="G50" s="18"/>
      </tp>
      <tp t="e">
        <v>#N/A</v>
        <stp/>
        <stp>BDH|8942745577893404316</stp>
        <tr r="E26" s="18"/>
      </tp>
      <tp t="e">
        <v>#N/A</v>
        <stp/>
        <stp>BDH|7999327932438630707</stp>
        <tr r="U22" s="12"/>
      </tp>
      <tp t="e">
        <v>#N/A</v>
        <stp/>
        <stp>BDH|4611982851849367933</stp>
        <tr r="U16" s="21"/>
      </tp>
      <tp t="e">
        <v>#N/A</v>
        <stp/>
        <stp>BDH|2749742898773190769</stp>
        <tr r="K9" s="29"/>
      </tp>
      <tp t="e">
        <v>#N/A</v>
        <stp/>
        <stp>BDH|4633927808386065300</stp>
        <tr r="M20" s="23"/>
      </tp>
      <tp t="e">
        <v>#N/A</v>
        <stp/>
        <stp>BDH|7942183394346968103</stp>
        <tr r="AA32" s="26"/>
      </tp>
      <tp t="e">
        <v>#N/A</v>
        <stp/>
        <stp>BDH|1046256680894133789</stp>
        <tr r="N47" s="21"/>
      </tp>
      <tp t="e">
        <v>#N/A</v>
        <stp/>
        <stp>BDH|3553003268188903587</stp>
        <tr r="C51" s="34"/>
      </tp>
      <tp t="e">
        <v>#N/A</v>
        <stp/>
        <stp>BDH|8085090701917125750</stp>
        <tr r="S40" s="24"/>
      </tp>
      <tp t="e">
        <v>#N/A</v>
        <stp/>
        <stp>BDH|8417135429205273602</stp>
        <tr r="J15" s="22"/>
      </tp>
      <tp t="e">
        <v>#N/A</v>
        <stp/>
        <stp>BDH|5915120248119615192</stp>
        <tr r="Z26" s="17"/>
      </tp>
      <tp t="e">
        <v>#N/A</v>
        <stp/>
        <stp>BDH|5399168427756916874</stp>
        <tr r="H13" s="22"/>
      </tp>
      <tp t="e">
        <v>#N/A</v>
        <stp/>
        <stp>BDH|2871265447065403910</stp>
        <tr r="H166" s="18"/>
      </tp>
      <tp t="e">
        <v>#N/A</v>
        <stp/>
        <stp>BDH|8122735870632953276</stp>
        <tr r="G13" s="9"/>
      </tp>
      <tp t="e">
        <v>#N/A</v>
        <stp/>
        <stp>BDH|1738190817791386869</stp>
        <tr r="V15" s="26"/>
      </tp>
      <tp t="e">
        <v>#N/A</v>
        <stp/>
        <stp>BDH|4695946909352186761</stp>
        <tr r="K29" s="12"/>
      </tp>
      <tp t="e">
        <v>#N/A</v>
        <stp/>
        <stp>BDH|2230490831224541930</stp>
        <tr r="I28" s="17"/>
      </tp>
      <tp t="e">
        <v>#N/A</v>
        <stp/>
        <stp>BDH|8213888697009745869</stp>
        <tr r="K45" s="21"/>
      </tp>
      <tp t="e">
        <v>#N/A</v>
        <stp/>
        <stp>BDH|4245597207241748872</stp>
        <tr r="D75" s="24"/>
      </tp>
      <tp t="e">
        <v>#N/A</v>
        <stp/>
        <stp>BDH|5703206703726126995</stp>
        <tr r="S6" s="8"/>
        <tr r="Q51" s="6"/>
      </tp>
      <tp t="e">
        <v>#N/A</v>
        <stp/>
        <stp>BDH|8244300198512457822</stp>
        <tr r="F10" s="10"/>
      </tp>
      <tp t="e">
        <v>#N/A</v>
        <stp/>
        <stp>BDH|9899453422205161228</stp>
        <tr r="X11" s="14"/>
      </tp>
      <tp t="e">
        <v>#N/A</v>
        <stp/>
        <stp>BDH|5557326520439966528</stp>
        <tr r="V140" s="18"/>
      </tp>
      <tp t="e">
        <v>#N/A</v>
        <stp/>
        <stp>BDH|7751356884037227388</stp>
        <tr r="M22" s="20"/>
      </tp>
      <tp t="e">
        <v>#N/A</v>
        <stp/>
        <stp>BDH|5897806811223107744</stp>
        <tr r="W172" s="18"/>
      </tp>
      <tp t="e">
        <v>#N/A</v>
        <stp/>
        <stp>BDH|3127026588255163668</stp>
        <tr r="W7" s="11"/>
      </tp>
      <tp t="e">
        <v>#N/A</v>
        <stp/>
        <stp>BDH|6739099673429615077</stp>
        <tr r="Q126" s="18"/>
      </tp>
      <tp t="e">
        <v>#N/A</v>
        <stp/>
        <stp>BDH|7442019012796396888</stp>
        <tr r="P64" s="13"/>
      </tp>
      <tp t="e">
        <v>#N/A</v>
        <stp/>
        <stp>BDH|2189377298655348517</stp>
        <tr r="F15" s="5"/>
      </tp>
      <tp t="e">
        <v>#N/A</v>
        <stp/>
        <stp>BDH|8229508014650973431</stp>
        <tr r="Y13" s="12"/>
      </tp>
      <tp t="e">
        <v>#N/A</v>
        <stp/>
        <stp>BDH|6290677586350695099</stp>
        <tr r="N34" s="18"/>
      </tp>
      <tp t="e">
        <v>#N/A</v>
        <stp/>
        <stp>BDH|2951669117508536517</stp>
        <tr r="V26" s="7"/>
      </tp>
      <tp t="e">
        <v>#N/A</v>
        <stp/>
        <stp>BDH|2762218833509157283</stp>
        <tr r="U16" s="23"/>
      </tp>
      <tp t="e">
        <v>#N/A</v>
        <stp/>
        <stp>BDH|2674367329449305268</stp>
        <tr r="M58" s="12"/>
      </tp>
      <tp t="e">
        <v>#N/A</v>
        <stp/>
        <stp>BDH|1133799237515500863</stp>
        <tr r="I19" s="9"/>
      </tp>
      <tp t="e">
        <v>#N/A</v>
        <stp/>
        <stp>BDH|6656780187776790727</stp>
        <tr r="H68" s="18"/>
      </tp>
      <tp t="e">
        <v>#N/A</v>
        <stp/>
        <stp>BDH|8752449348151406132</stp>
        <tr r="O68" s="24"/>
      </tp>
      <tp t="e">
        <v>#N/A</v>
        <stp/>
        <stp>BDH|7629179229058529417</stp>
        <tr r="L40" s="29"/>
        <tr r="L17" s="29"/>
      </tp>
      <tp t="e">
        <v>#N/A</v>
        <stp/>
        <stp>BDH|4405922467886819555</stp>
        <tr r="O92" s="12"/>
      </tp>
      <tp t="e">
        <v>#N/A</v>
        <stp/>
        <stp>BDH|8587676470352916372</stp>
        <tr r="G37" s="6"/>
      </tp>
      <tp t="e">
        <v>#N/A</v>
        <stp/>
        <stp>BDH|4744281946092401804</stp>
        <tr r="T43" s="18"/>
      </tp>
      <tp t="e">
        <v>#N/A</v>
        <stp/>
        <stp>BDH|2050597645293291839</stp>
        <tr r="X147" s="18"/>
      </tp>
      <tp t="e">
        <v>#N/A</v>
        <stp/>
        <stp>BDH|5889004660308766329</stp>
        <tr r="G9" s="8"/>
        <tr r="E52" s="6"/>
      </tp>
      <tp t="e">
        <v>#N/A</v>
        <stp/>
        <stp>BDH|7832950700617133115</stp>
        <tr r="Z21" s="14"/>
      </tp>
      <tp t="e">
        <v>#N/A</v>
        <stp/>
        <stp>BDH|8945863364637371954</stp>
        <tr r="T15" s="26"/>
      </tp>
      <tp t="e">
        <v>#N/A</v>
        <stp/>
        <stp>BDH|9823879990898044822</stp>
        <tr r="G10" s="27"/>
        <tr r="G29" s="25"/>
      </tp>
      <tp t="e">
        <v>#N/A</v>
        <stp/>
        <stp>BDH|5200309419989136676</stp>
        <tr r="Q9" s="25"/>
        <tr r="Q44" s="17"/>
      </tp>
      <tp t="e">
        <v>#N/A</v>
        <stp/>
        <stp>BDH|8859830577819417659</stp>
        <tr r="K86" s="12"/>
      </tp>
      <tp t="e">
        <v>#N/A</v>
        <stp/>
        <stp>BDH|4237483187429060906</stp>
        <tr r="K32" s="11"/>
        <tr r="K43" s="10"/>
      </tp>
      <tp t="e">
        <v>#N/A</v>
        <stp/>
        <stp>BDH|4256530597433322387</stp>
        <tr r="M93" s="18"/>
      </tp>
      <tp t="e">
        <v>#N/A</v>
        <stp/>
        <stp>BDH|2812992929073401217</stp>
        <tr r="O7" s="20"/>
        <tr r="O113" s="18"/>
      </tp>
      <tp t="e">
        <v>#N/A</v>
        <stp/>
        <stp>BDH|8260982684176236710</stp>
        <tr r="Q34" s="26"/>
      </tp>
      <tp t="e">
        <v>#N/A</v>
        <stp/>
        <stp>BDH|6060192580264112351</stp>
        <tr r="J79" s="17"/>
        <tr r="J19" s="3"/>
      </tp>
      <tp t="e">
        <v>#N/A</v>
        <stp/>
        <stp>BDH|5150917676467272497</stp>
        <tr r="E16" s="27"/>
        <tr r="E34" s="25"/>
      </tp>
      <tp t="e">
        <v>#N/A</v>
        <stp/>
        <stp>BDH|9287988466129804799</stp>
        <tr r="V7" s="27"/>
        <tr r="V94" s="17"/>
      </tp>
      <tp t="e">
        <v>#N/A</v>
        <stp/>
        <stp>BDH|4924518817731339916</stp>
        <tr r="AA65" s="21"/>
        <tr r="X31" s="6"/>
      </tp>
      <tp t="e">
        <v>#N/A</v>
        <stp/>
        <stp>BDH|9386132739311250264</stp>
        <tr r="M44" s="10"/>
        <tr r="M33" s="11"/>
      </tp>
      <tp t="e">
        <v>#N/A</v>
        <stp/>
        <stp>BDH|9295130224005995718</stp>
        <tr r="T22" s="12"/>
      </tp>
      <tp t="e">
        <v>#N/A</v>
        <stp/>
        <stp>BDH|5762060109045751828</stp>
        <tr r="J9" s="21"/>
      </tp>
      <tp t="e">
        <v>#N/A</v>
        <stp/>
        <stp>BDH|9208380179133629688</stp>
        <tr r="O16" s="14"/>
      </tp>
      <tp t="e">
        <v>#N/A</v>
        <stp/>
        <stp>BDH|1730308646196495888</stp>
        <tr r="C17" s="18"/>
      </tp>
      <tp t="e">
        <v>#N/A</v>
        <stp/>
        <stp>BDH|2595251486310344085</stp>
        <tr r="M31" s="22"/>
      </tp>
      <tp t="e">
        <v>#N/A</v>
        <stp/>
        <stp>BDH|2686755179353322946</stp>
        <tr r="M39" s="25"/>
      </tp>
      <tp t="e">
        <v>#N/A</v>
        <stp/>
        <stp>BDH|9677924787130782096</stp>
        <tr r="AA46" s="21"/>
      </tp>
      <tp t="e">
        <v>#N/A</v>
        <stp/>
        <stp>BDH|8057846597265799494</stp>
        <tr r="P53" s="22"/>
      </tp>
      <tp t="e">
        <v>#N/A</v>
        <stp/>
        <stp>BDH|3359899511254623600</stp>
        <tr r="Y16" s="29"/>
        <tr r="Y39" s="29"/>
      </tp>
      <tp t="e">
        <v>#N/A</v>
        <stp/>
        <stp>BDH|1672841715439292985</stp>
        <tr r="S13" s="27"/>
        <tr r="S31" s="25"/>
      </tp>
      <tp t="e">
        <v>#N/A</v>
        <stp/>
        <stp>BDH|8948058321381176316</stp>
        <tr r="E7" s="27"/>
        <tr r="E94" s="17"/>
      </tp>
      <tp t="e">
        <v>#N/A</v>
        <stp/>
        <stp>BDH|6648552389467594425</stp>
        <tr r="U102" s="18"/>
      </tp>
      <tp t="e">
        <v>#N/A</v>
        <stp/>
        <stp>BDH|5063438608861155882</stp>
        <tr r="D11" s="7"/>
      </tp>
      <tp t="e">
        <v>#N/A</v>
        <stp/>
        <stp>BDH|9159861085655917492</stp>
        <tr r="V45" s="18"/>
      </tp>
      <tp t="e">
        <v>#N/A</v>
        <stp/>
        <stp>BDH|3256712266683209951</stp>
        <tr r="D10" s="18"/>
      </tp>
      <tp t="e">
        <v>#N/A</v>
        <stp/>
        <stp>BDH|6759798666396384996</stp>
        <tr r="T25" s="24"/>
      </tp>
      <tp t="e">
        <v>#N/A</v>
        <stp/>
        <stp>BDH|8316016901744869496</stp>
        <tr r="Q32" s="6"/>
      </tp>
      <tp t="e">
        <v>#N/A</v>
        <stp/>
        <stp>BDH|9207577254120219114</stp>
        <tr r="E65" s="18"/>
      </tp>
      <tp t="e">
        <v>#N/A</v>
        <stp/>
        <stp>BDH|4028513215910022869</stp>
        <tr r="T25" s="7"/>
      </tp>
      <tp t="e">
        <v>#N/A</v>
        <stp/>
        <stp>BDH|6673733498420670095</stp>
        <tr r="F34" s="12"/>
      </tp>
      <tp t="e">
        <v>#N/A</v>
        <stp/>
        <stp>BDH|6842821024225455180</stp>
        <tr r="Q50" s="13"/>
      </tp>
      <tp t="e">
        <v>#N/A</v>
        <stp/>
        <stp>BDH|4200711374575542902</stp>
        <tr r="P88" s="18"/>
      </tp>
      <tp t="e">
        <v>#N/A</v>
        <stp/>
        <stp>BDH|5460279553962212805</stp>
        <tr r="V31" s="21"/>
      </tp>
      <tp t="e">
        <v>#N/A</v>
        <stp/>
        <stp>BDH|8829651604223320581</stp>
        <tr r="V15" s="13"/>
      </tp>
      <tp t="e">
        <v>#N/A</v>
        <stp/>
        <stp>BDH|2479934190048352264</stp>
        <tr r="N53" s="12"/>
      </tp>
      <tp t="e">
        <v>#N/A</v>
        <stp/>
        <stp>BDH|4628120001538763504</stp>
        <tr r="I33" s="13"/>
        <tr r="G26" s="10"/>
      </tp>
      <tp t="e">
        <v>#N/A</v>
        <stp/>
        <stp>BDH|5333254714777058900</stp>
        <tr r="E13" s="5"/>
      </tp>
      <tp t="e">
        <v>#N/A</v>
        <stp/>
        <stp>BDH|5680014086951146425</stp>
        <tr r="AA37" s="18"/>
      </tp>
      <tp t="e">
        <v>#N/A</v>
        <stp/>
        <stp>BDH|3174074937831273918</stp>
        <tr r="K13" s="27"/>
        <tr r="K31" s="25"/>
      </tp>
      <tp t="e">
        <v>#N/A</v>
        <stp/>
        <stp>BDH|9968314584692620881</stp>
        <tr r="Z20" s="17"/>
      </tp>
      <tp t="e">
        <v>#N/A</v>
        <stp/>
        <stp>BDH|7136904539153344695</stp>
        <tr r="R83" s="12"/>
      </tp>
      <tp t="e">
        <v>#N/A</v>
        <stp/>
        <stp>BDH|3841904229250742040</stp>
        <tr r="M19" s="24"/>
      </tp>
      <tp t="e">
        <v>#N/A</v>
        <stp/>
        <stp>BDH|7171855492998656628</stp>
        <tr r="H11" s="18"/>
      </tp>
      <tp t="e">
        <v>#N/A</v>
        <stp/>
        <stp>BDH|4106504228913934827</stp>
        <tr r="C18" s="27"/>
        <tr r="C36" s="25"/>
      </tp>
      <tp t="e">
        <v>#N/A</v>
        <stp/>
        <stp>BDH|7611114010648794723</stp>
        <tr r="O6" s="6"/>
      </tp>
      <tp t="e">
        <v>#N/A</v>
        <stp/>
        <stp>BDH|1439734291761590611</stp>
        <tr r="U9" s="11"/>
      </tp>
      <tp t="e">
        <v>#N/A</v>
        <stp/>
        <stp>BDH|6019927851995217736</stp>
        <tr r="N30" s="26"/>
      </tp>
      <tp t="e">
        <v>#N/A</v>
        <stp/>
        <stp>BDH|9116309610547154423</stp>
        <tr r="P15" s="22"/>
      </tp>
      <tp t="e">
        <v>#N/A</v>
        <stp/>
        <stp>BDH|3500878405612236176</stp>
        <tr r="W89" s="17"/>
      </tp>
      <tp t="e">
        <v>#N/A</v>
        <stp/>
        <stp>BDH|1443866583851496879</stp>
        <tr r="C14" s="6"/>
      </tp>
      <tp t="e">
        <v>#N/A</v>
        <stp/>
        <stp>BDH|8082925632429270304</stp>
        <tr r="M69" s="10"/>
        <tr r="M39" s="4"/>
      </tp>
      <tp t="e">
        <v>#N/A</v>
        <stp/>
        <stp>BDH|9122196963081910708</stp>
        <tr r="M45" s="12"/>
      </tp>
      <tp t="e">
        <v>#N/A</v>
        <stp/>
        <stp>BDH|1320958185581952987</stp>
        <tr r="I98" s="12"/>
      </tp>
      <tp t="e">
        <v>#N/A</v>
        <stp/>
        <stp>BDH|1350252424538762178</stp>
        <tr r="G32" s="13"/>
        <tr r="E25" s="10"/>
      </tp>
      <tp t="e">
        <v>#N/A</v>
        <stp/>
        <stp>BDH|5841774588431182340</stp>
        <tr r="X55" s="10"/>
        <tr r="X44" s="11"/>
        <tr r="X15" s="7"/>
      </tp>
      <tp t="e">
        <v>#N/A</v>
        <stp/>
        <stp>BDH|9199427080775869893</stp>
        <tr r="V77" s="17"/>
      </tp>
      <tp t="e">
        <v>#N/A</v>
        <stp/>
        <stp>BDH|8721772739526337289</stp>
        <tr r="C31" s="26"/>
      </tp>
      <tp t="e">
        <v>#N/A</v>
        <stp/>
        <stp>BDH|3206809843657085038</stp>
        <tr r="E12" s="6"/>
      </tp>
      <tp t="e">
        <v>#N/A</v>
        <stp/>
        <stp>BDH|1064342414199421268</stp>
        <tr r="Z34" s="18"/>
      </tp>
      <tp t="e">
        <v>#N/A</v>
        <stp/>
        <stp>BDH|8040782012353831508</stp>
        <tr r="P83" s="18"/>
      </tp>
      <tp t="e">
        <v>#N/A</v>
        <stp/>
        <stp>BDH|3617465640822763954</stp>
        <tr r="S40" s="22"/>
      </tp>
      <tp t="e">
        <v>#N/A</v>
        <stp/>
        <stp>BDH|6946617805860647891</stp>
        <tr r="I8" s="23"/>
      </tp>
      <tp t="e">
        <v>#N/A</v>
        <stp/>
        <stp>BDH|9569718763340515002</stp>
        <tr r="K144" s="18"/>
      </tp>
      <tp t="e">
        <v>#N/A</v>
        <stp/>
        <stp>BDH|2553878961844327029</stp>
        <tr r="L6" s="19"/>
        <tr r="L38" s="17"/>
        <tr r="L16" s="3"/>
      </tp>
      <tp t="e">
        <v>#N/A</v>
        <stp/>
        <stp>BDH|9139913953534411945</stp>
        <tr r="Z15" s="23"/>
        <tr r="X59" s="11"/>
      </tp>
      <tp t="e">
        <v>#N/A</v>
        <stp/>
        <stp>BDH|6278322559729931130</stp>
        <tr r="M36" s="21"/>
        <tr r="M24" s="3"/>
      </tp>
      <tp t="e">
        <v>#N/A</v>
        <stp/>
        <stp>BDH|3089077180016182556</stp>
        <tr r="X46" s="24"/>
      </tp>
      <tp t="e">
        <v>#N/A</v>
        <stp/>
        <stp>BDH|5053777905338855294</stp>
        <tr r="C9" s="12"/>
      </tp>
      <tp t="e">
        <v>#N/A</v>
        <stp/>
        <stp>BDH|8017661757294043726</stp>
        <tr r="F73" s="17"/>
      </tp>
      <tp t="e">
        <v>#N/A</v>
        <stp/>
        <stp>BDH|6428346395424760015</stp>
        <tr r="L44" s="13"/>
        <tr r="J36" s="11"/>
        <tr r="J47" s="10"/>
        <tr r="J52" s="4"/>
        <tr r="L8" s="3"/>
      </tp>
      <tp t="e">
        <v>#N/A</v>
        <stp/>
        <stp>BDH|2050993683948096394</stp>
        <tr r="C17" s="29"/>
        <tr r="C40" s="29"/>
      </tp>
      <tp t="e">
        <v>#N/A</v>
        <stp/>
        <stp>BDH|4819987573394610666</stp>
        <tr r="L132" s="18"/>
      </tp>
      <tp t="e">
        <v>#N/A</v>
        <stp/>
        <stp>BDH|4737312176431032934</stp>
        <tr r="H90" s="18"/>
      </tp>
      <tp t="e">
        <v>#N/A</v>
        <stp/>
        <stp>BDH|8348048663703089571</stp>
        <tr r="S36" s="17"/>
      </tp>
      <tp t="e">
        <v>#N/A</v>
        <stp/>
        <stp>BDH|8573613569214855461</stp>
        <tr r="V161" s="18"/>
      </tp>
      <tp t="e">
        <v>#N/A</v>
        <stp/>
        <stp>BDH|6369840724652417643</stp>
        <tr r="L43" s="26"/>
      </tp>
      <tp t="e">
        <v>#N/A</v>
        <stp/>
        <stp>BDH|1477607076108661072</stp>
        <tr r="F13" s="6"/>
      </tp>
      <tp t="e">
        <v>#N/A</v>
        <stp/>
        <stp>BDH|5045987775011965270</stp>
        <tr r="K21" s="5"/>
      </tp>
      <tp t="e">
        <v>#N/A</v>
        <stp/>
        <stp>BDH|4725225480360050664</stp>
        <tr r="T65" s="11"/>
        <tr r="T76" s="10"/>
      </tp>
      <tp t="e">
        <v>#N/A</v>
        <stp/>
        <stp>BDH|9217682228925163008</stp>
        <tr r="W25" s="29"/>
        <tr r="W19" s="29"/>
        <tr r="W10" s="29"/>
        <tr r="W12" s="8"/>
        <tr r="U6" s="9"/>
        <tr r="V6" s="2"/>
        <tr r="U6" s="5"/>
      </tp>
      <tp t="e">
        <v>#N/A</v>
        <stp/>
        <stp>BDH|8449033948256514290</stp>
        <tr r="I62" s="13"/>
      </tp>
      <tp t="e">
        <v>#N/A</v>
        <stp/>
        <stp>BDH|7506776188765802515</stp>
        <tr r="R40" s="13"/>
        <tr r="P33" s="10"/>
      </tp>
      <tp t="e">
        <v>#N/A</v>
        <stp/>
        <stp>BDH|8368939797505242569</stp>
        <tr r="Z74" s="17"/>
      </tp>
      <tp t="e">
        <v>#N/A</v>
        <stp/>
        <stp>BDH|5011643166075539846</stp>
        <tr r="E14" s="11"/>
      </tp>
      <tp t="e">
        <v>#N/A</v>
        <stp/>
        <stp>BDH|8749202025911302128</stp>
        <tr r="O6" s="20"/>
        <tr r="O112" s="18"/>
      </tp>
      <tp t="e">
        <v>#N/A</v>
        <stp/>
        <stp>BDH|8576424406152543670</stp>
        <tr r="J40" s="21"/>
      </tp>
      <tp t="e">
        <v>#N/A</v>
        <stp/>
        <stp>BDH|8944594445144243543</stp>
        <tr r="E11" s="30"/>
      </tp>
      <tp t="e">
        <v>#N/A</v>
        <stp/>
        <stp>BDH|8330434104040739402</stp>
        <tr r="C61" s="21"/>
      </tp>
      <tp t="e">
        <v>#N/A</v>
        <stp/>
        <stp>BDH|8592060014674603527</stp>
        <tr r="V74" s="17"/>
      </tp>
      <tp t="e">
        <v>#N/A</v>
        <stp/>
        <stp>BDH|7931633716151682992</stp>
        <tr r="X49" s="34"/>
      </tp>
      <tp t="e">
        <v>#N/A</v>
        <stp/>
        <stp>BDH|6186342619045719980</stp>
        <tr r="W77" s="18"/>
      </tp>
      <tp t="e">
        <v>#N/A</v>
        <stp/>
        <stp>BDH|1798281821849534089</stp>
        <tr r="X49" s="24"/>
      </tp>
      <tp t="e">
        <v>#N/A</v>
        <stp/>
        <stp>BDH|9244242317755581773</stp>
        <tr r="Y22" s="17"/>
        <tr r="Y15" s="3"/>
      </tp>
      <tp t="e">
        <v>#N/A</v>
        <stp/>
        <stp>BDH|2909312749468457569</stp>
        <tr r="O14" s="28"/>
      </tp>
      <tp t="e">
        <v>#N/A</v>
        <stp/>
        <stp>BDH|7650148992236355100</stp>
        <tr r="L36" s="34"/>
      </tp>
      <tp t="e">
        <v>#N/A</v>
        <stp/>
        <stp>BDH|5098035396840585436</stp>
        <tr r="C16" s="10"/>
      </tp>
      <tp t="e">
        <v>#N/A</v>
        <stp/>
        <stp>BDH|8292116584620732937</stp>
        <tr r="Q14" s="27"/>
        <tr r="Q32" s="25"/>
      </tp>
      <tp t="e">
        <v>#N/A</v>
        <stp/>
        <stp>BDH|5768360153278884391</stp>
        <tr r="C32" s="17"/>
      </tp>
      <tp t="e">
        <v>#N/A</v>
        <stp/>
        <stp>BDH|8685866181378715850</stp>
        <tr r="X19" s="23"/>
        <tr r="V60" s="11"/>
      </tp>
      <tp t="e">
        <v>#N/A</v>
        <stp/>
        <stp>BDH|7042239762462364913</stp>
        <tr r="I128" s="18"/>
      </tp>
      <tp t="e">
        <v>#N/A</v>
        <stp/>
        <stp>BDH|4475419074537156832</stp>
        <tr r="G23" s="12"/>
      </tp>
      <tp t="e">
        <v>#N/A</v>
        <stp/>
        <stp>BDH|6661001795822129511</stp>
        <tr r="H163" s="18"/>
      </tp>
      <tp t="e">
        <v>#N/A</v>
        <stp/>
        <stp>BDH|5978068788311207460</stp>
        <tr r="E131" s="18"/>
      </tp>
      <tp t="e">
        <v>#N/A</v>
        <stp/>
        <stp>BDH|8325753511644291261</stp>
        <tr r="D143" s="18"/>
      </tp>
      <tp t="e">
        <v>#N/A</v>
        <stp/>
        <stp>BDH|8714342137196684615</stp>
        <tr r="AA18" s="12"/>
      </tp>
      <tp t="e">
        <v>#N/A</v>
        <stp/>
        <stp>BDH|6092225878399958205</stp>
        <tr r="W67" s="17"/>
      </tp>
      <tp t="e">
        <v>#N/A</v>
        <stp/>
        <stp>BDH|4055301762868120100</stp>
        <tr r="J9" s="13"/>
      </tp>
      <tp t="e">
        <v>#N/A</v>
        <stp/>
        <stp>BDH|2930317235029726398</stp>
        <tr r="E62" s="24"/>
      </tp>
      <tp t="e">
        <v>#N/A</v>
        <stp/>
        <stp>BDH|9013670040992657123</stp>
        <tr r="G35" s="17"/>
      </tp>
      <tp t="e">
        <v>#N/A</v>
        <stp/>
        <stp>BDH|2976904634028544886</stp>
        <tr r="N27" s="18"/>
      </tp>
      <tp t="e">
        <v>#N/A</v>
        <stp/>
        <stp>BDH|7415052733194005823</stp>
        <tr r="H12" s="11"/>
      </tp>
      <tp t="e">
        <v>#N/A</v>
        <stp/>
        <stp>BDH|5139899374993445187</stp>
        <tr r="X54" s="12"/>
      </tp>
      <tp t="e">
        <v>#N/A</v>
        <stp/>
        <stp>BDH|1545631767551790869</stp>
        <tr r="Y65" s="21"/>
        <tr r="V31" s="6"/>
      </tp>
      <tp t="e">
        <v>#N/A</v>
        <stp/>
        <stp>BDH|9460443988568155595</stp>
        <tr r="Q46" s="21"/>
      </tp>
      <tp t="e">
        <v>#N/A</v>
        <stp/>
        <stp>BDH|9249290343772088588</stp>
        <tr r="S37" s="22"/>
      </tp>
      <tp t="e">
        <v>#N/A</v>
        <stp/>
        <stp>BDH|4641019284125493177</stp>
        <tr r="F99" s="12"/>
      </tp>
      <tp t="e">
        <v>#N/A</v>
        <stp/>
        <stp>BDH|7167776377257243834</stp>
        <tr r="J111" s="18"/>
      </tp>
      <tp t="e">
        <v>#N/A</v>
        <stp/>
        <stp>BDH|6858249289714689036</stp>
        <tr r="Y80" s="12"/>
      </tp>
      <tp t="e">
        <v>#N/A</v>
        <stp/>
        <stp>BDH|5330937243060377006</stp>
        <tr r="N77" s="18"/>
      </tp>
      <tp t="e">
        <v>#N/A</v>
        <stp/>
        <stp>BDH|9776210471792037676</stp>
        <tr r="W13" s="34"/>
      </tp>
      <tp t="e">
        <v>#N/A</v>
        <stp/>
        <stp>BDH|6935783261167744871</stp>
        <tr r="R26" s="13"/>
      </tp>
      <tp t="e">
        <v>#N/A</v>
        <stp/>
        <stp>BDH|6748663591371246024</stp>
        <tr r="G9" s="25"/>
        <tr r="G44" s="17"/>
      </tp>
      <tp t="e">
        <v>#N/A</v>
        <stp/>
        <stp>BDH|7477716993430747115</stp>
        <tr r="G44" s="21"/>
      </tp>
      <tp t="e">
        <v>#N/A</v>
        <stp/>
        <stp>BDH|8473330535037462766</stp>
        <tr r="Q12" s="12"/>
      </tp>
      <tp t="e">
        <v>#N/A</v>
        <stp/>
        <stp>BDH|3745807567411545455</stp>
        <tr r="H55" s="24"/>
      </tp>
      <tp t="e">
        <v>#N/A</v>
        <stp/>
        <stp>BDH|2499437444852551865</stp>
        <tr r="T18" s="26"/>
      </tp>
      <tp t="e">
        <v>#N/A</v>
        <stp/>
        <stp>BDH|4965838629206644051</stp>
        <tr r="R88" s="12"/>
      </tp>
      <tp t="e">
        <v>#N/A</v>
        <stp/>
        <stp>BDH|5223101980314784051</stp>
        <tr r="N7" s="28"/>
      </tp>
      <tp t="e">
        <v>#N/A</v>
        <stp/>
        <stp>BDH|4589053256268199178</stp>
        <tr r="I22" s="4"/>
      </tp>
      <tp t="e">
        <v>#N/A</v>
        <stp/>
        <stp>BDH|6815471613968812340</stp>
        <tr r="I30" s="14"/>
      </tp>
      <tp t="e">
        <v>#N/A</v>
        <stp/>
        <stp>BDH|7189432662334625960</stp>
        <tr r="J21" s="4"/>
      </tp>
      <tp t="e">
        <v>#N/A</v>
        <stp/>
        <stp>BDH|4780057273212365921</stp>
        <tr r="V10" s="18"/>
      </tp>
      <tp t="e">
        <v>#N/A</v>
        <stp/>
        <stp>BDH|3582025514169433375</stp>
        <tr r="O55" s="13"/>
      </tp>
      <tp t="e">
        <v>#N/A</v>
        <stp/>
        <stp>BDH|5495904230661373676</stp>
        <tr r="N53" s="18"/>
      </tp>
      <tp t="e">
        <v>#N/A</v>
        <stp/>
        <stp>BDH|3222975723648732818</stp>
        <tr r="O38" s="22"/>
      </tp>
      <tp t="e">
        <v>#N/A</v>
        <stp/>
        <stp>BDH|1791159888034930439</stp>
        <tr r="L7" s="6"/>
      </tp>
      <tp t="e">
        <v>#N/A</v>
        <stp/>
        <stp>BDH|1294201581320642352</stp>
        <tr r="S137" s="18"/>
      </tp>
      <tp t="e">
        <v>#N/A</v>
        <stp/>
        <stp>BDH|2544874662085390134</stp>
        <tr r="X20" s="18"/>
      </tp>
      <tp t="e">
        <v>#N/A</v>
        <stp/>
        <stp>BDH|8870588750259996998</stp>
        <tr r="N46" s="21"/>
      </tp>
      <tp t="e">
        <v>#N/A</v>
        <stp/>
        <stp>BDH|2946816298888622364</stp>
        <tr r="L15" s="4"/>
      </tp>
      <tp t="e">
        <v>#N/A</v>
        <stp/>
        <stp>BDH|5237229982531644647</stp>
        <tr r="Y62" s="13"/>
      </tp>
      <tp t="e">
        <v>#N/A</v>
        <stp/>
        <stp>BDH|9956125916690599180</stp>
        <tr r="I24" s="6"/>
      </tp>
      <tp t="e">
        <v>#N/A</v>
        <stp/>
        <stp>BDH|8591913725112615974</stp>
        <tr r="N17" s="34"/>
      </tp>
      <tp t="e">
        <v>#N/A</v>
        <stp/>
        <stp>BDH|9682221448102425584</stp>
        <tr r="D17" s="12"/>
      </tp>
      <tp t="e">
        <v>#N/A</v>
        <stp/>
        <stp>BDH|9459016376276098029</stp>
        <tr r="V53" s="18"/>
      </tp>
      <tp t="e">
        <v>#N/A</v>
        <stp/>
        <stp>BDH|5820897104254723134</stp>
        <tr r="AA18" s="28"/>
        <tr r="AA15" s="17"/>
      </tp>
      <tp t="e">
        <v>#N/A</v>
        <stp/>
        <stp>BDH|2016939143886714160</stp>
        <tr r="V74" s="24"/>
      </tp>
      <tp t="e">
        <v>#N/A</v>
        <stp/>
        <stp>BDH|4813345449583548815</stp>
        <tr r="Z30" s="22"/>
      </tp>
      <tp t="e">
        <v>#N/A</v>
        <stp/>
        <stp>BDH|6433023063451467902</stp>
        <tr r="W32" s="17"/>
      </tp>
      <tp t="e">
        <v>#N/A</v>
        <stp/>
        <stp>BDH|1025265584080764341</stp>
        <tr r="U7" s="23"/>
      </tp>
      <tp t="e">
        <v>#N/A</v>
        <stp/>
        <stp>BDH|7289943480478496636</stp>
        <tr r="F23" s="20"/>
      </tp>
      <tp t="e">
        <v>#N/A</v>
        <stp/>
        <stp>BDH|4803912864674428785</stp>
        <tr r="C19" s="29"/>
        <tr r="C25" s="29"/>
        <tr r="C10" s="29"/>
        <tr r="C12" s="8"/>
      </tp>
      <tp t="e">
        <v>#N/A</v>
        <stp/>
        <stp>BDH|2757664089810097493</stp>
        <tr r="L14" s="20"/>
        <tr r="L119" s="18"/>
      </tp>
      <tp t="e">
        <v>#N/A</v>
        <stp/>
        <stp>BDH|6751921966793300210</stp>
        <tr r="K14" s="20"/>
        <tr r="K119" s="18"/>
      </tp>
      <tp t="e">
        <v>#N/A</v>
        <stp/>
        <stp>BDH|9129167756657420242</stp>
        <tr r="F134" s="18"/>
      </tp>
      <tp t="e">
        <v>#N/A</v>
        <stp/>
        <stp>BDH|8694541030112232418</stp>
        <tr r="Q40" s="13"/>
        <tr r="O33" s="10"/>
      </tp>
      <tp t="e">
        <v>#N/A</v>
        <stp/>
        <stp>BDH|5977380791664474354</stp>
        <tr r="F84" s="12"/>
      </tp>
      <tp t="e">
        <v>#N/A</v>
        <stp/>
        <stp>BDH|2031824926209245973</stp>
        <tr r="R11" s="9"/>
      </tp>
      <tp t="e">
        <v>#N/A</v>
        <stp/>
        <stp>BDH|3258040596000259235</stp>
        <tr r="X144" s="18"/>
      </tp>
      <tp t="e">
        <v>#N/A</v>
        <stp/>
        <stp>BDH|1075105430453232830</stp>
        <tr r="F17" s="20"/>
      </tp>
      <tp t="e">
        <v>#N/A</v>
        <stp/>
        <stp>BDH|4773250516059072655</stp>
        <tr r="F50" s="18"/>
      </tp>
      <tp t="e">
        <v>#N/A</v>
        <stp/>
        <stp>BDH|7873826039815283104</stp>
        <tr r="E13" s="28"/>
        <tr r="E95" s="17"/>
      </tp>
      <tp t="e">
        <v>#N/A</v>
        <stp/>
        <stp>BDH|8716215802026650434</stp>
        <tr r="V52" s="13"/>
      </tp>
      <tp t="e">
        <v>#N/A</v>
        <stp/>
        <stp>BDH|6100747535902291833</stp>
        <tr r="O23" s="12"/>
      </tp>
      <tp t="e">
        <v>#N/A</v>
        <stp/>
        <stp>BDH|6524155726388056575</stp>
        <tr r="E31" s="11"/>
        <tr r="E42" s="10"/>
      </tp>
      <tp t="e">
        <v>#N/A</v>
        <stp/>
        <stp>BDH|9389273816984377601</stp>
        <tr r="W9" s="18"/>
      </tp>
      <tp t="e">
        <v>#N/A</v>
        <stp/>
        <stp>BDH|9473374813604893798</stp>
        <tr r="L32" s="26"/>
      </tp>
      <tp t="e">
        <v>#N/A</v>
        <stp/>
        <stp>BDH|5153716881095416745</stp>
        <tr r="I45" s="24"/>
      </tp>
      <tp t="e">
        <v>#N/A</v>
        <stp/>
        <stp>BDH|1774550666418430217</stp>
        <tr r="I41" s="17"/>
      </tp>
      <tp t="e">
        <v>#N/A</v>
        <stp/>
        <stp>BDH|7334554061445343950</stp>
        <tr r="F39" s="25"/>
      </tp>
      <tp t="e">
        <v>#N/A</v>
        <stp/>
        <stp>BDH|9759452321394428361</stp>
        <tr r="Q86" s="12"/>
      </tp>
      <tp t="e">
        <v>#N/A</v>
        <stp/>
        <stp>BDH|3258078462614306952</stp>
        <tr r="L11" s="22"/>
      </tp>
      <tp t="e">
        <v>#N/A</v>
        <stp/>
        <stp>BDH|6019975027897070213</stp>
        <tr r="O15" s="21"/>
      </tp>
      <tp t="e">
        <v>#N/A</v>
        <stp/>
        <stp>BDH|7634757361058680654</stp>
        <tr r="Y146" s="18"/>
      </tp>
      <tp t="e">
        <v>#N/A</v>
        <stp/>
        <stp>BDH|6643355013668966489</stp>
        <tr r="T75" s="12"/>
      </tp>
      <tp t="e">
        <v>#N/A</v>
        <stp/>
        <stp>BDH|4155377985563396416</stp>
        <tr r="AA53" s="21"/>
      </tp>
      <tp t="e">
        <v>#N/A</v>
        <stp/>
        <stp>BDH|8118254508906479496</stp>
        <tr r="AA19" s="23"/>
        <tr r="Y60" s="11"/>
      </tp>
      <tp t="e">
        <v>#N/A</v>
        <stp/>
        <stp>BDH|6279121908958870714</stp>
        <tr r="E52" s="12"/>
      </tp>
      <tp t="e">
        <v>#N/A</v>
        <stp/>
        <stp>BDH|6102324104534057968</stp>
        <tr r="L17" s="14"/>
      </tp>
      <tp t="e">
        <v>#N/A</v>
        <stp/>
        <stp>BDH|6764825475425582443</stp>
        <tr r="F60" s="21"/>
        <tr r="D55" s="11"/>
      </tp>
      <tp t="e">
        <v>#N/A</v>
        <stp/>
        <stp>BDH|7308983615730605798</stp>
        <tr r="Q14" s="8"/>
      </tp>
      <tp t="e">
        <v>#N/A</v>
        <stp/>
        <stp>BDH|9169721660466591676</stp>
        <tr r="W21" s="6"/>
      </tp>
      <tp t="e">
        <v>#N/A</v>
        <stp/>
        <stp>BDH|1675034794149442949</stp>
        <tr r="D8" s="23"/>
      </tp>
      <tp t="e">
        <v>#N/A</v>
        <stp/>
        <stp>BDH|4581934220204605311</stp>
        <tr r="Y22" s="4"/>
      </tp>
      <tp t="e">
        <v>#N/A</v>
        <stp/>
        <stp>BDH|1388015424203483838</stp>
        <tr r="R9" s="10"/>
      </tp>
      <tp t="e">
        <v>#N/A</v>
        <stp/>
        <stp>BDH|3094530372359226026</stp>
        <tr r="W18" s="27"/>
        <tr r="W36" s="25"/>
      </tp>
      <tp t="e">
        <v>#N/A</v>
        <stp/>
        <stp>BDH|1321126984382713238</stp>
        <tr r="X38" s="25"/>
        <tr r="X92" s="17"/>
      </tp>
      <tp t="e">
        <v>#N/A</v>
        <stp/>
        <stp>BDH|9356978493470526135</stp>
        <tr r="U81" s="12"/>
      </tp>
      <tp t="e">
        <v>#N/A</v>
        <stp/>
        <stp>BDH|3670834934330964098</stp>
        <tr r="W21" s="10"/>
      </tp>
      <tp t="e">
        <v>#N/A</v>
        <stp/>
        <stp>BDH|3591905170275062039</stp>
        <tr r="P53" s="12"/>
      </tp>
      <tp t="e">
        <v>#N/A</v>
        <stp/>
        <stp>BDH|4716058485574290034</stp>
        <tr r="Z17" s="13"/>
      </tp>
      <tp t="e">
        <v>#N/A</v>
        <stp/>
        <stp>BDH|6058270611429449444</stp>
        <tr r="I21" s="27"/>
      </tp>
      <tp t="e">
        <v>#N/A</v>
        <stp/>
        <stp>BDH|4206840020094213221</stp>
        <tr r="T32" s="21"/>
      </tp>
      <tp t="e">
        <v>#N/A</v>
        <stp/>
        <stp>BDH|5772326004066070874</stp>
        <tr r="S51" s="22"/>
      </tp>
      <tp t="e">
        <v>#N/A</v>
        <stp/>
        <stp>BDH|5053283715118819634</stp>
        <tr r="E73" s="12"/>
      </tp>
      <tp t="e">
        <v>#N/A</v>
        <stp/>
        <stp>BDH|4235130530238349647</stp>
        <tr r="M174" s="18"/>
      </tp>
      <tp t="e">
        <v>#N/A</v>
        <stp/>
        <stp>BDH|8599846367949758776</stp>
        <tr r="J68" s="24"/>
      </tp>
      <tp t="e">
        <v>#N/A</v>
        <stp/>
        <stp>BDH|3905963192948972328</stp>
        <tr r="S88" s="12"/>
      </tp>
      <tp t="e">
        <v>#N/A</v>
        <stp/>
        <stp>BDH|5716628079028896425</stp>
        <tr r="K10" s="25"/>
        <tr r="K55" s="17"/>
      </tp>
      <tp t="e">
        <v>#N/A</v>
        <stp/>
        <stp>BDH|6248296103929996577</stp>
        <tr r="X23" s="21"/>
      </tp>
      <tp t="e">
        <v>#N/A</v>
        <stp/>
        <stp>BDH|6218007654542234925</stp>
        <tr r="Y21" s="10"/>
      </tp>
      <tp t="e">
        <v>#N/A</v>
        <stp/>
        <stp>BDH|3739844275321316530</stp>
        <tr r="F24" s="13"/>
      </tp>
      <tp t="e">
        <v>#N/A</v>
        <stp/>
        <stp>BDH|9005654708176315183</stp>
        <tr r="D42" s="18"/>
      </tp>
      <tp t="e">
        <v>#N/A</v>
        <stp/>
        <stp>BDH|5020512083604003441</stp>
        <tr r="W13" s="2"/>
      </tp>
      <tp t="e">
        <v>#N/A</v>
        <stp/>
        <stp>BDH|5851774458667969886</stp>
        <tr r="Z41" s="12"/>
      </tp>
      <tp t="e">
        <v>#N/A</v>
        <stp/>
        <stp>BDH|2963498481744678219</stp>
        <tr r="E14" s="22"/>
      </tp>
      <tp t="e">
        <v>#N/A</v>
        <stp/>
        <stp>BDH|6812992712572550405</stp>
        <tr r="N61" s="24"/>
      </tp>
      <tp t="e">
        <v>#N/A</v>
        <stp/>
        <stp>BDH|6415966377450670052</stp>
        <tr r="H25" s="24"/>
      </tp>
      <tp t="e">
        <v>#N/A</v>
        <stp/>
        <stp>BDH|6480062782904058260</stp>
        <tr r="O148" s="18"/>
      </tp>
      <tp t="e">
        <v>#N/A</v>
        <stp/>
        <stp>BDH|9081576621795377338</stp>
        <tr r="M21" s="4"/>
      </tp>
      <tp t="e">
        <v>#N/A</v>
        <stp/>
        <stp>BDH|3503222082166381702</stp>
        <tr r="D20" s="28"/>
        <tr r="D17" s="17"/>
      </tp>
      <tp t="e">
        <v>#N/A</v>
        <stp/>
        <stp>BDH|9256058500230510147</stp>
        <tr r="W89" s="12"/>
      </tp>
      <tp t="e">
        <v>#N/A</v>
        <stp/>
        <stp>BDH|3836400317779099794</stp>
        <tr r="G6" s="27"/>
      </tp>
      <tp t="e">
        <v>#N/A</v>
        <stp/>
        <stp>BDH|8052518421804442329</stp>
        <tr r="L62" s="13"/>
      </tp>
      <tp t="e">
        <v>#N/A</v>
        <stp/>
        <stp>BDH|5496213660590677950</stp>
        <tr r="V94" s="18"/>
      </tp>
      <tp t="e">
        <v>#N/A</v>
        <stp/>
        <stp>BDH|3799934362144024005</stp>
        <tr r="AA16" s="23"/>
      </tp>
      <tp t="e">
        <v>#N/A</v>
        <stp/>
        <stp>BDH|6365576370599674549</stp>
        <tr r="N20" s="24"/>
      </tp>
      <tp t="e">
        <v>#N/A</v>
        <stp/>
        <stp>BDH|2128028699704529795</stp>
        <tr r="N57" s="24"/>
      </tp>
      <tp t="e">
        <v>#N/A</v>
        <stp/>
        <stp>BDH|4244987054801984119</stp>
        <tr r="N42" s="24"/>
      </tp>
      <tp t="e">
        <v>#N/A</v>
        <stp/>
        <stp>BDH|6202628386203336334</stp>
        <tr r="F94" s="12"/>
      </tp>
      <tp t="e">
        <v>#N/A</v>
        <stp/>
        <stp>BDH|3909161559219997697</stp>
        <tr r="J30" s="9"/>
      </tp>
      <tp t="e">
        <v>#N/A</v>
        <stp/>
        <stp>BDH|9080533254460060115</stp>
        <tr r="J38" s="22"/>
      </tp>
      <tp t="e">
        <v>#N/A</v>
        <stp/>
        <stp>BDH|1656341002868276247</stp>
        <tr r="Z12" s="27"/>
        <tr r="Z30" s="25"/>
      </tp>
      <tp t="e">
        <v>#N/A</v>
        <stp/>
        <stp>BDH|5448599392799855813</stp>
        <tr r="O7" s="11"/>
      </tp>
      <tp t="e">
        <v>#N/A</v>
        <stp/>
        <stp>BDH|5617050725176795975</stp>
        <tr r="Q31" s="26"/>
      </tp>
      <tp t="e">
        <v>#N/A</v>
        <stp/>
        <stp>BDH|8103690245253366188</stp>
        <tr r="X46" s="18"/>
      </tp>
      <tp t="e">
        <v>#N/A</v>
        <stp/>
        <stp>BDH|9975412573904592689</stp>
        <tr r="U70" s="24"/>
      </tp>
      <tp t="e">
        <v>#N/A</v>
        <stp/>
        <stp>BDH|9860237747756904139</stp>
        <tr r="F11" s="14"/>
      </tp>
      <tp t="e">
        <v>#N/A</v>
        <stp/>
        <stp>BDH|5197758680110281207</stp>
        <tr r="E23" s="6"/>
      </tp>
      <tp t="e">
        <v>#N/A</v>
        <stp/>
        <stp>BDH|8230804012681699807</stp>
        <tr r="S33" s="6"/>
      </tp>
      <tp t="e">
        <v>#N/A</v>
        <stp/>
        <stp>BDH|5478669666315264804</stp>
        <tr r="AA76" s="17"/>
      </tp>
      <tp t="e">
        <v>#N/A</v>
        <stp/>
        <stp>BDH|2161229132533427836</stp>
        <tr r="N7" s="14"/>
      </tp>
      <tp t="e">
        <v>#N/A</v>
        <stp/>
        <stp>BDH|9683133145855330141</stp>
        <tr r="U30" s="9"/>
      </tp>
      <tp t="e">
        <v>#N/A</v>
        <stp/>
        <stp>BDH|2615953768701553491</stp>
        <tr r="N71" s="12"/>
      </tp>
      <tp t="e">
        <v>#N/A</v>
        <stp/>
        <stp>BDH|8130672609093945514</stp>
        <tr r="D20" s="25"/>
      </tp>
      <tp t="e">
        <v>#N/A</v>
        <stp/>
        <stp>BDH|6835990435156236211</stp>
        <tr r="Z57" s="17"/>
      </tp>
      <tp t="e">
        <v>#N/A</v>
        <stp/>
        <stp>BDH|9702965391465068474</stp>
        <tr r="I39" s="12"/>
      </tp>
      <tp t="e">
        <v>#N/A</v>
        <stp/>
        <stp>BDH|3740209523789416278</stp>
        <tr r="G58" s="10"/>
        <tr r="G47" s="11"/>
        <tr r="G7" s="7"/>
        <tr r="I12" s="3"/>
      </tp>
      <tp t="e">
        <v>#N/A</v>
        <stp/>
        <stp>BDH|5634314394514681328</stp>
        <tr r="Q31" s="13"/>
        <tr r="O23" s="11"/>
        <tr r="O34" s="10"/>
        <tr r="O45" s="4"/>
      </tp>
      <tp t="e">
        <v>#N/A</v>
        <stp/>
        <stp>BDH|7552140246288825287</stp>
        <tr r="I64" s="18"/>
      </tp>
      <tp t="e">
        <v>#N/A</v>
        <stp/>
        <stp>BDH|4083534875906204837</stp>
        <tr r="X55" s="12"/>
      </tp>
      <tp t="e">
        <v>#N/A</v>
        <stp/>
        <stp>BDH|2456715513855551948</stp>
        <tr r="M24" s="13"/>
      </tp>
      <tp t="e">
        <v>#N/A</v>
        <stp/>
        <stp>BDH|4453211556263060845</stp>
        <tr r="F66" s="17"/>
      </tp>
      <tp t="e">
        <v>#N/A</v>
        <stp/>
        <stp>BDH|1691974328255694783</stp>
        <tr r="P123" s="18"/>
      </tp>
      <tp t="e">
        <v>#N/A</v>
        <stp/>
        <stp>BDH|5090617676229697560</stp>
        <tr r="H29" s="21"/>
      </tp>
      <tp t="e">
        <v>#N/A</v>
        <stp/>
        <stp>BDH|5347760994875784611</stp>
        <tr r="E87" s="12"/>
      </tp>
      <tp t="e">
        <v>#N/A</v>
        <stp/>
        <stp>BDH|7553406062795785879</stp>
        <tr r="V9" s="13"/>
      </tp>
      <tp t="e">
        <v>#N/A</v>
        <stp/>
        <stp>BDH|9414943451399619404</stp>
        <tr r="J76" s="12"/>
      </tp>
      <tp t="e">
        <v>#N/A</v>
        <stp/>
        <stp>BDH|6742814250636665577</stp>
        <tr r="O46" s="13"/>
        <tr r="M30" s="11"/>
        <tr r="M41" s="10"/>
      </tp>
      <tp t="e">
        <v>#N/A</v>
        <stp/>
        <stp>BDH|1970309182532543098</stp>
        <tr r="Z11" s="29"/>
      </tp>
      <tp t="e">
        <v>#N/A</v>
        <stp/>
        <stp>BDH|6712363999582725683</stp>
        <tr r="Q11" s="29"/>
      </tp>
      <tp t="e">
        <v>#N/A</v>
        <stp/>
        <stp>BDH|9649784056851786286</stp>
        <tr r="P73" s="12"/>
      </tp>
      <tp t="e">
        <v>#N/A</v>
        <stp/>
        <stp>BDH|5694917706565039161</stp>
        <tr r="S18" s="18"/>
      </tp>
      <tp t="e">
        <v>#N/A</v>
        <stp/>
        <stp>BDH|5261840939284042288</stp>
        <tr r="Z66" s="21"/>
      </tp>
      <tp t="e">
        <v>#N/A</v>
        <stp/>
        <stp>BDH|2058976484768488307</stp>
        <tr r="H24" s="11"/>
        <tr r="H35" s="10"/>
      </tp>
      <tp t="e">
        <v>#N/A</v>
        <stp/>
        <stp>BDH|3160795497636818309</stp>
        <tr r="C33" s="22"/>
      </tp>
      <tp t="e">
        <v>#N/A</v>
        <stp/>
        <stp>BDH|1126147691931059034</stp>
        <tr r="I23" s="21"/>
      </tp>
      <tp t="e">
        <v>#N/A</v>
        <stp/>
        <stp>BDH|1883992551160270550</stp>
        <tr r="K42" s="25"/>
      </tp>
      <tp t="e">
        <v>#N/A</v>
        <stp/>
        <stp>BDH|8164632163643470329</stp>
        <tr r="N127" s="18"/>
      </tp>
      <tp t="e">
        <v>#N/A</v>
        <stp/>
        <stp>BDH|4390407235492062910</stp>
        <tr r="V18" s="6"/>
      </tp>
      <tp t="e">
        <v>#N/A</v>
        <stp/>
        <stp>BDH|4917145873572870819</stp>
        <tr r="L16" s="25"/>
      </tp>
      <tp t="e">
        <v>#N/A</v>
        <stp/>
        <stp>BDH|3913857709872445164</stp>
        <tr r="R47" s="24"/>
      </tp>
      <tp t="e">
        <v>#N/A</v>
        <stp/>
        <stp>BDH|8752160772436098046</stp>
        <tr r="O21" s="27"/>
      </tp>
      <tp t="e">
        <v>#N/A</v>
        <stp/>
        <stp>BDH|8107662283577822984</stp>
        <tr r="Z20" s="18"/>
      </tp>
      <tp t="e">
        <v>#N/A</v>
        <stp/>
        <stp>BDH|5411517882294329407</stp>
        <tr r="F23" s="13"/>
      </tp>
      <tp t="e">
        <v>#N/A</v>
        <stp/>
        <stp>BDH|5184170678799378298</stp>
        <tr r="I16" s="6"/>
      </tp>
      <tp t="e">
        <v>#N/A</v>
        <stp/>
        <stp>BDH|6817925698059748710</stp>
        <tr r="O52" s="13"/>
      </tp>
      <tp t="e">
        <v>#N/A</v>
        <stp/>
        <stp>BDH|9434493906314965165</stp>
        <tr r="T13" s="25"/>
      </tp>
      <tp t="e">
        <v>#N/A</v>
        <stp/>
        <stp>BDH|3554002597400425222</stp>
        <tr r="D69" s="10"/>
        <tr r="D39" s="4"/>
      </tp>
      <tp t="e">
        <v>#N/A</v>
        <stp/>
        <stp>BDH|9728464658785837551</stp>
        <tr r="K76" s="17"/>
      </tp>
      <tp t="e">
        <v>#N/A</v>
        <stp/>
        <stp>BDH|9547545633252646504</stp>
        <tr r="G31" s="14"/>
      </tp>
      <tp t="e">
        <v>#N/A</v>
        <stp/>
        <stp>BDH|9396638661306624732</stp>
        <tr r="F20" s="17"/>
      </tp>
      <tp t="e">
        <v>#N/A</v>
        <stp/>
        <stp>BDH|1036959139827944414</stp>
        <tr r="V34" s="13"/>
        <tr r="T27" s="10"/>
      </tp>
      <tp t="e">
        <v>#N/A</v>
        <stp/>
        <stp>BDH|1196931337643492055</stp>
        <tr r="H35" s="17"/>
      </tp>
      <tp t="e">
        <v>#N/A</v>
        <stp/>
        <stp>BDH|2098701194782488645</stp>
        <tr r="M89" s="18"/>
      </tp>
      <tp t="e">
        <v>#N/A</v>
        <stp/>
        <stp>BDH|1506867917361481149</stp>
        <tr r="X15" s="9"/>
      </tp>
      <tp t="e">
        <v>#N/A</v>
        <stp/>
        <stp>BDH|3135401896010128624</stp>
        <tr r="U19" s="17"/>
      </tp>
      <tp t="e">
        <v>#N/A</v>
        <stp/>
        <stp>BDH|1969763500089983729</stp>
        <tr r="N86" s="12"/>
      </tp>
      <tp t="e">
        <v>#N/A</v>
        <stp/>
        <stp>BDH|1238111262176563801</stp>
        <tr r="R13" s="18"/>
      </tp>
      <tp t="e">
        <v>#N/A</v>
        <stp/>
        <stp>BDH|3321012091673383149</stp>
        <tr r="G55" s="12"/>
      </tp>
      <tp t="e">
        <v>#N/A</v>
        <stp/>
        <stp>BDH|9920300059623352477</stp>
        <tr r="G41" s="22"/>
      </tp>
      <tp t="e">
        <v>#N/A</v>
        <stp/>
        <stp>BDH|9301824197734101435</stp>
        <tr r="T26" s="17"/>
      </tp>
      <tp t="e">
        <v>#N/A</v>
        <stp/>
        <stp>BDH|2550833821759603957</stp>
        <tr r="Y15" s="4"/>
      </tp>
      <tp t="e">
        <v>#N/A</v>
        <stp/>
        <stp>BDH|2898906138439329970</stp>
        <tr r="J33" s="12"/>
      </tp>
      <tp t="e">
        <v>#N/A</v>
        <stp/>
        <stp>BDH|5345934152723488226</stp>
        <tr r="G8" s="8"/>
      </tp>
      <tp t="e">
        <v>#N/A</v>
        <stp/>
        <stp>BDH|7251967940050029208</stp>
        <tr r="W71" s="24"/>
      </tp>
      <tp t="e">
        <v>#N/A</v>
        <stp/>
        <stp>BDH|9726290012582160099</stp>
        <tr r="V17" s="6"/>
      </tp>
      <tp t="e">
        <v>#N/A</v>
        <stp/>
        <stp>BDH|4362339458293560993</stp>
        <tr r="O97" s="12"/>
      </tp>
      <tp t="e">
        <v>#N/A</v>
        <stp/>
        <stp>BDH|6393037423004658813</stp>
        <tr r="J23" s="26"/>
      </tp>
      <tp t="e">
        <v>#N/A</v>
        <stp/>
        <stp>BDH|8486545315792059614</stp>
        <tr r="P165" s="18"/>
      </tp>
      <tp t="e">
        <v>#N/A</v>
        <stp/>
        <stp>BDH|8140378040521443666</stp>
        <tr r="I144" s="18"/>
      </tp>
      <tp t="e">
        <v>#N/A</v>
        <stp/>
        <stp>BDH|4266843080308784455</stp>
        <tr r="V19" s="12"/>
      </tp>
      <tp t="e">
        <v>#N/A</v>
        <stp/>
        <stp>BDH|2337268777577403824</stp>
        <tr r="Q22" s="14"/>
      </tp>
      <tp t="e">
        <v>#N/A</v>
        <stp/>
        <stp>BDH|8890885535269745260</stp>
        <tr r="E69" s="18"/>
      </tp>
      <tp t="e">
        <v>#N/A</v>
        <stp/>
        <stp>BDH|1113142600419055118</stp>
        <tr r="Y76" s="17"/>
      </tp>
      <tp t="e">
        <v>#N/A</v>
        <stp/>
        <stp>BDH|1130004092633382343</stp>
        <tr r="Z172" s="18"/>
      </tp>
      <tp t="e">
        <v>#N/A</v>
        <stp/>
        <stp>BDH|5501245551938539215</stp>
        <tr r="Y35" s="12"/>
      </tp>
      <tp t="e">
        <v>#N/A</v>
        <stp/>
        <stp>BDH|5748451540419492422</stp>
        <tr r="R65" s="12"/>
      </tp>
      <tp t="e">
        <v>#N/A</v>
        <stp/>
        <stp>BDH|3496691293244251082</stp>
        <tr r="R29" s="24"/>
      </tp>
      <tp t="e">
        <v>#N/A</v>
        <stp/>
        <stp>BDH|1484245733661116967</stp>
        <tr r="S74" s="12"/>
      </tp>
      <tp t="e">
        <v>#N/A</v>
        <stp/>
        <stp>BDH|7301841927995754031</stp>
        <tr r="N41" s="13"/>
        <tr r="L23" s="10"/>
        <tr r="L46" s="4"/>
      </tp>
      <tp t="e">
        <v>#N/A</v>
        <stp/>
        <stp>BDH|2264422736975332812</stp>
        <tr r="F59" s="18"/>
      </tp>
      <tp t="e">
        <v>#N/A</v>
        <stp/>
        <stp>BDH|8646606500184383217</stp>
        <tr r="C22" s="26"/>
      </tp>
      <tp t="e">
        <v>#N/A</v>
        <stp/>
        <stp>BDH|5249026088796919358</stp>
        <tr r="W32" s="6"/>
      </tp>
      <tp t="e">
        <v>#N/A</v>
        <stp/>
        <stp>BDH|2024139304458566366</stp>
        <tr r="W55" s="12"/>
      </tp>
      <tp t="e">
        <v>#N/A</v>
        <stp/>
        <stp>BDH|5812636398025385740</stp>
        <tr r="I16" s="10"/>
      </tp>
      <tp t="e">
        <v>#N/A</v>
        <stp/>
        <stp>BDH|1027208446449647645</stp>
        <tr r="E55" s="18"/>
      </tp>
      <tp t="e">
        <v>#N/A</v>
        <stp/>
        <stp>BDH|9146527952846073753</stp>
        <tr r="T45" s="34"/>
      </tp>
      <tp t="e">
        <v>#N/A</v>
        <stp/>
        <stp>BDH|5620075523999729612</stp>
        <tr r="L53" s="18"/>
      </tp>
      <tp t="e">
        <v>#N/A</v>
        <stp/>
        <stp>BDH|4645931255889308973</stp>
        <tr r="O48" s="12"/>
      </tp>
      <tp t="e">
        <v>#N/A</v>
        <stp/>
        <stp>BDH|3045341059654191984</stp>
        <tr r="Q10" s="13"/>
      </tp>
      <tp t="e">
        <v>#N/A</v>
        <stp/>
        <stp>BDH|9604518115122548733</stp>
        <tr r="X72" s="12"/>
      </tp>
      <tp t="e">
        <v>#N/A</v>
        <stp/>
        <stp>BDH|4735211636788060552</stp>
        <tr r="C13" s="11"/>
      </tp>
      <tp t="e">
        <v>#N/A</v>
        <stp/>
        <stp>BDH|8211944890847742749</stp>
        <tr r="M41" s="26"/>
      </tp>
      <tp t="e">
        <v>#N/A</v>
        <stp/>
        <stp>BDH|1796932565921518713</stp>
        <tr r="W21" s="18"/>
      </tp>
      <tp t="e">
        <v>#N/A</v>
        <stp/>
        <stp>BDH|6437939501344084332</stp>
        <tr r="P18" s="9"/>
      </tp>
      <tp t="e">
        <v>#N/A</v>
        <stp/>
        <stp>BDH|1143656724229215472</stp>
        <tr r="M76" s="18"/>
      </tp>
      <tp t="e">
        <v>#N/A</v>
        <stp/>
        <stp>BDH|1222152091282010330</stp>
        <tr r="M35" s="18"/>
      </tp>
      <tp t="e">
        <v>#N/A</v>
        <stp/>
        <stp>BDH|6190202575113384820</stp>
        <tr r="Z41" s="22"/>
      </tp>
      <tp t="e">
        <v>#N/A</v>
        <stp/>
        <stp>BDH|5793364884790983690</stp>
        <tr r="I79" s="12"/>
      </tp>
      <tp t="e">
        <v>#N/A</v>
        <stp/>
        <stp>BDH|8414947243065322856</stp>
        <tr r="R35" s="24"/>
      </tp>
      <tp t="e">
        <v>#N/A</v>
        <stp/>
        <stp>BDH|7234654453178848490</stp>
        <tr r="X33" s="17"/>
      </tp>
      <tp t="e">
        <v>#N/A</v>
        <stp/>
        <stp>BDH|9950586036330201705</stp>
        <tr r="G10" s="14"/>
      </tp>
      <tp t="e">
        <v>#N/A</v>
        <stp/>
        <stp>BDH|2258984786309021295</stp>
        <tr r="R65" s="24"/>
      </tp>
      <tp t="e">
        <v>#N/A</v>
        <stp/>
        <stp>BDH|6844009649942172857</stp>
        <tr r="Q98" s="18"/>
      </tp>
      <tp t="e">
        <v>#N/A</v>
        <stp/>
        <stp>BDH|1307942034371315257</stp>
        <tr r="J75" s="17"/>
      </tp>
      <tp t="e">
        <v>#N/A</v>
        <stp/>
        <stp>BDH|9728629225991735426</stp>
        <tr r="T74" s="18"/>
      </tp>
      <tp t="e">
        <v>#N/A</v>
        <stp/>
        <stp>BDH|6528670483126261662</stp>
        <tr r="W15" s="23"/>
        <tr r="U59" s="11"/>
      </tp>
      <tp t="e">
        <v>#N/A</v>
        <stp/>
        <stp>BDH|6040812907230742647</stp>
        <tr r="G61" s="12"/>
      </tp>
      <tp t="e">
        <v>#N/A</v>
        <stp/>
        <stp>BDH|2933356688721824096</stp>
        <tr r="N66" s="17"/>
      </tp>
      <tp t="e">
        <v>#N/A</v>
        <stp/>
        <stp>BDH|7810721237482050987</stp>
        <tr r="H8" s="22"/>
      </tp>
      <tp t="e">
        <v>#N/A</v>
        <stp/>
        <stp>BDH|2652179066545600840</stp>
        <tr r="F20" s="14"/>
      </tp>
      <tp t="e">
        <v>#N/A</v>
        <stp/>
        <stp>BDH|1214059142285561855</stp>
        <tr r="T143" s="18"/>
      </tp>
      <tp t="e">
        <v>#N/A</v>
        <stp/>
        <stp>BDH|6730320554870643827</stp>
        <tr r="U34" s="21"/>
      </tp>
      <tp t="e">
        <v>#N/A</v>
        <stp/>
        <stp>BDH|1229943292919426052</stp>
        <tr r="H39" s="11"/>
        <tr r="H50" s="10"/>
      </tp>
      <tp t="e">
        <v>#N/A</v>
        <stp/>
        <stp>BDH|3482006254826682834</stp>
        <tr r="C24" s="11"/>
        <tr r="C35" s="10"/>
      </tp>
      <tp t="e">
        <v>#N/A</v>
        <stp/>
        <stp>BDH|2955019474319929400</stp>
        <tr r="J17" s="12"/>
      </tp>
      <tp t="e">
        <v>#N/A</v>
        <stp/>
        <stp>BDH|3125976175270317558</stp>
        <tr r="R29" s="4"/>
      </tp>
      <tp t="e">
        <v>#N/A</v>
        <stp/>
        <stp>BDH|6869045278701335828</stp>
        <tr r="K42" s="17"/>
      </tp>
      <tp t="e">
        <v>#N/A</v>
        <stp/>
        <stp>BDH|6380833129412578697</stp>
        <tr r="J13" s="7"/>
      </tp>
      <tp t="e">
        <v>#N/A</v>
        <stp/>
        <stp>BDH|3461865603037744439</stp>
        <tr r="P18" s="24"/>
      </tp>
      <tp t="e">
        <v>#N/A</v>
        <stp/>
        <stp>BDH|1115818204641022013</stp>
        <tr r="I17" s="6"/>
      </tp>
      <tp t="e">
        <v>#N/A</v>
        <stp/>
        <stp>BDH|89744662364022033</stp>
        <tr r="F17" s="13"/>
      </tp>
      <tp t="e">
        <v>#N/A</v>
        <stp/>
        <stp>BDH|13620243042898573</stp>
        <tr r="Y20" s="14"/>
      </tp>
      <tp t="e">
        <v>#N/A</v>
        <stp/>
        <stp>BDH|67749057742880550</stp>
        <tr r="R29" s="34"/>
      </tp>
      <tp t="e">
        <v>#N/A</v>
        <stp/>
        <stp>BDH|19294182099055627</stp>
        <tr r="C92" s="12"/>
      </tp>
      <tp t="e">
        <v>#N/A</v>
        <stp/>
        <stp>BDH|3558842829554258406</stp>
        <tr r="G70" s="24"/>
      </tp>
      <tp t="e">
        <v>#N/A</v>
        <stp/>
        <stp>BDH|9790749933054381099</stp>
        <tr r="T12" s="22"/>
      </tp>
      <tp t="e">
        <v>#N/A</v>
        <stp/>
        <stp>BDH|1886627925884759823</stp>
        <tr r="E45" s="13"/>
        <tr r="C29" s="11"/>
        <tr r="C40" s="10"/>
      </tp>
      <tp t="e">
        <v>#N/A</v>
        <stp/>
        <stp>BDH|4024147969048241250</stp>
        <tr r="U25" s="24"/>
      </tp>
      <tp t="e">
        <v>#N/A</v>
        <stp/>
        <stp>BDH|4165994565716045471</stp>
        <tr r="Q36" s="29"/>
        <tr r="Q13" s="29"/>
        <tr r="Q22" s="29"/>
      </tp>
      <tp t="e">
        <v>#N/A</v>
        <stp/>
        <stp>BDH|1472306428380609900</stp>
        <tr r="G104" s="18"/>
      </tp>
      <tp t="e">
        <v>#N/A</v>
        <stp/>
        <stp>BDH|3667410781032867445</stp>
        <tr r="T20" s="24"/>
      </tp>
      <tp t="e">
        <v>#N/A</v>
        <stp/>
        <stp>BDH|3116893177712740724</stp>
        <tr r="V175" s="18"/>
      </tp>
      <tp t="e">
        <v>#N/A</v>
        <stp/>
        <stp>BDH|1699095139662895947</stp>
        <tr r="J23" s="17"/>
      </tp>
      <tp t="e">
        <v>#N/A</v>
        <stp/>
        <stp>BDH|4147894122053127414</stp>
        <tr r="G12" s="27"/>
        <tr r="G30" s="25"/>
      </tp>
      <tp t="e">
        <v>#N/A</v>
        <stp/>
        <stp>BDH|9233442268021011346</stp>
        <tr r="E22" s="7"/>
      </tp>
      <tp t="e">
        <v>#N/A</v>
        <stp/>
        <stp>BDH|2379624745019623087</stp>
        <tr r="U33" s="11"/>
        <tr r="U44" s="10"/>
      </tp>
      <tp t="e">
        <v>#N/A</v>
        <stp/>
        <stp>BDH|8869256017627904590</stp>
        <tr r="H102" s="18"/>
      </tp>
      <tp t="e">
        <v>#N/A</v>
        <stp/>
        <stp>BDH|8804690178961615150</stp>
        <tr r="P17" s="29"/>
        <tr r="P40" s="29"/>
      </tp>
      <tp t="e">
        <v>#N/A</v>
        <stp/>
        <stp>BDH|1237496886594296051</stp>
        <tr r="J39" s="25"/>
      </tp>
      <tp t="e">
        <v>#N/A</v>
        <stp/>
        <stp>BDH|6860835798108837619</stp>
        <tr r="E21" s="20"/>
      </tp>
      <tp t="e">
        <v>#N/A</v>
        <stp/>
        <stp>BDH|5685564900998298184</stp>
        <tr r="V62" s="21"/>
      </tp>
      <tp t="e">
        <v>#N/A</v>
        <stp/>
        <stp>BDH|5169890616867116257</stp>
        <tr r="K13" s="13"/>
      </tp>
      <tp t="e">
        <v>#N/A</v>
        <stp/>
        <stp>BDH|5891546299654932461</stp>
        <tr r="V19" s="34"/>
      </tp>
      <tp t="e">
        <v>#N/A</v>
        <stp/>
        <stp>BDH|2151978359013705426</stp>
        <tr r="R13" s="20"/>
        <tr r="R118" s="18"/>
      </tp>
      <tp t="e">
        <v>#N/A</v>
        <stp/>
        <stp>BDH|3429738722029665696</stp>
        <tr r="M26" s="26"/>
      </tp>
      <tp t="e">
        <v>#N/A</v>
        <stp/>
        <stp>BDH|7571812321581930569</stp>
        <tr r="J16" s="10"/>
      </tp>
      <tp t="e">
        <v>#N/A</v>
        <stp/>
        <stp>BDH|5494385932918000448</stp>
        <tr r="S56" s="18"/>
      </tp>
      <tp t="e">
        <v>#N/A</v>
        <stp/>
        <stp>BDH|4763984965847717576</stp>
        <tr r="L75" s="17"/>
      </tp>
      <tp t="e">
        <v>#N/A</v>
        <stp/>
        <stp>BDH|5978942601873532633</stp>
        <tr r="T29" s="12"/>
      </tp>
      <tp t="e">
        <v>#N/A</v>
        <stp/>
        <stp>BDH|8085903926642994858</stp>
        <tr r="Y25" s="29"/>
        <tr r="Y19" s="29"/>
        <tr r="Y10" s="29"/>
        <tr r="W6" s="5"/>
        <tr r="W6" s="9"/>
        <tr r="Y12" s="8"/>
        <tr r="X6" s="2"/>
      </tp>
      <tp t="e">
        <v>#N/A</v>
        <stp/>
        <stp>BDH|4561929429352665425</stp>
        <tr r="W123" s="18"/>
      </tp>
      <tp t="e">
        <v>#N/A</v>
        <stp/>
        <stp>BDH|8008783131093747649</stp>
        <tr r="N29" s="26"/>
      </tp>
      <tp t="e">
        <v>#N/A</v>
        <stp/>
        <stp>BDH|1481508185292889734</stp>
        <tr r="M18" s="28"/>
        <tr r="M15" s="17"/>
      </tp>
      <tp t="e">
        <v>#N/A</v>
        <stp/>
        <stp>BDH|4320004324976404991</stp>
        <tr r="S14" s="10"/>
      </tp>
      <tp t="e">
        <v>#N/A</v>
        <stp/>
        <stp>BDH|9061392871380600449</stp>
        <tr r="Y163" s="18"/>
      </tp>
      <tp t="e">
        <v>#N/A</v>
        <stp/>
        <stp>BDH|6659409936480363890</stp>
        <tr r="M54" s="17"/>
        <tr r="M17" s="3"/>
      </tp>
      <tp t="e">
        <v>#N/A</v>
        <stp/>
        <stp>BDH|2939366781684011453</stp>
        <tr r="Q86" s="18"/>
      </tp>
      <tp t="e">
        <v>#N/A</v>
        <stp/>
        <stp>BDH|6344852000312562583</stp>
        <tr r="G139" s="18"/>
      </tp>
      <tp t="e">
        <v>#N/A</v>
        <stp/>
        <stp>BDH|3274550919638040655</stp>
        <tr r="H27" s="18"/>
      </tp>
      <tp t="e">
        <v>#N/A</v>
        <stp/>
        <stp>BDH|5958212338064838937</stp>
        <tr r="H85" s="18"/>
      </tp>
      <tp t="e">
        <v>#N/A</v>
        <stp/>
        <stp>BDH|4485931480075821949</stp>
        <tr r="P72" s="17"/>
      </tp>
      <tp t="e">
        <v>#N/A</v>
        <stp/>
        <stp>BDH|8071385500311065335</stp>
        <tr r="M21" s="14"/>
      </tp>
      <tp t="e">
        <v>#N/A</v>
        <stp/>
        <stp>BDH|9534455457276974751</stp>
        <tr r="J35" s="21"/>
      </tp>
      <tp t="e">
        <v>#N/A</v>
        <stp/>
        <stp>BDH|9067889214829477035</stp>
        <tr r="S40" s="12"/>
      </tp>
      <tp t="e">
        <v>#N/A</v>
        <stp/>
        <stp>BDH|5427100604529806433</stp>
        <tr r="X78" s="17"/>
        <tr r="U9" s="9"/>
        <tr r="U9" s="5"/>
      </tp>
      <tp t="e">
        <v>#N/A</v>
        <stp/>
        <stp>BDH|3843610195571542421</stp>
        <tr r="E15" s="9"/>
      </tp>
      <tp t="e">
        <v>#N/A</v>
        <stp/>
        <stp>BDH|3278056262039903575</stp>
        <tr r="R16" s="23"/>
      </tp>
      <tp t="e">
        <v>#N/A</v>
        <stp/>
        <stp>BDH|1921330781494849785</stp>
        <tr r="V13" s="5"/>
      </tp>
      <tp t="e">
        <v>#N/A</v>
        <stp/>
        <stp>BDH|6625345728249648776</stp>
        <tr r="Z33" s="21"/>
      </tp>
      <tp t="e">
        <v>#N/A</v>
        <stp/>
        <stp>BDH|8637692234384678063</stp>
        <tr r="C51" s="21"/>
      </tp>
      <tp t="e">
        <v>#N/A</v>
        <stp/>
        <stp>BDH|8930617400803625458</stp>
        <tr r="U106" s="18"/>
      </tp>
      <tp t="e">
        <v>#N/A</v>
        <stp/>
        <stp>BDH|2390753635637143891</stp>
        <tr r="S29" s="17"/>
      </tp>
      <tp t="e">
        <v>#N/A</v>
        <stp/>
        <stp>BDH|4384704509082970882</stp>
        <tr r="K21" s="11"/>
      </tp>
      <tp t="e">
        <v>#N/A</v>
        <stp/>
        <stp>BDH|5079929256150625094</stp>
        <tr r="Q138" s="18"/>
      </tp>
      <tp t="e">
        <v>#N/A</v>
        <stp/>
        <stp>BDH|8718087568407535099</stp>
        <tr r="N161" s="18"/>
      </tp>
      <tp t="e">
        <v>#N/A</v>
        <stp/>
        <stp>BDH|4019562308611178949</stp>
        <tr r="E23" s="13"/>
      </tp>
      <tp t="e">
        <v>#N/A</v>
        <stp/>
        <stp>BDH|3692995310666063446</stp>
        <tr r="X20" s="22"/>
      </tp>
      <tp t="e">
        <v>#N/A</v>
        <stp/>
        <stp>BDH|7164790797335274568</stp>
        <tr r="C9" s="29"/>
      </tp>
      <tp t="e">
        <v>#N/A</v>
        <stp/>
        <stp>BDH|8802412241121542068</stp>
        <tr r="R26" s="18"/>
      </tp>
      <tp t="e">
        <v>#N/A</v>
        <stp/>
        <stp>BDH|6277508398312263134</stp>
        <tr r="W95" s="18"/>
      </tp>
      <tp t="e">
        <v>#N/A</v>
        <stp/>
        <stp>BDH|8269607520554265183</stp>
        <tr r="Z62" s="17"/>
      </tp>
      <tp t="e">
        <v>#N/A</v>
        <stp/>
        <stp>BDH|5443102891742510681</stp>
        <tr r="Q8" s="22"/>
      </tp>
      <tp t="e">
        <v>#N/A</v>
        <stp/>
        <stp>BDH|7805251973352222941</stp>
        <tr r="W13" s="10"/>
      </tp>
      <tp t="e">
        <v>#N/A</v>
        <stp/>
        <stp>BDH|1063978950994675090</stp>
        <tr r="J30" s="21"/>
      </tp>
      <tp t="e">
        <v>#N/A</v>
        <stp/>
        <stp>BDH|6445850460114117584</stp>
        <tr r="D34" s="11"/>
        <tr r="D45" s="10"/>
      </tp>
      <tp t="e">
        <v>#N/A</v>
        <stp/>
        <stp>BDH|2423586812118660703</stp>
        <tr r="O38" s="34"/>
      </tp>
      <tp t="e">
        <v>#N/A</v>
        <stp/>
        <stp>BDH|6837440651326027851</stp>
        <tr r="G21" s="21"/>
      </tp>
      <tp t="e">
        <v>#N/A</v>
        <stp/>
        <stp>BDH|2040870912390427296</stp>
        <tr r="Z15" s="12"/>
      </tp>
      <tp t="e">
        <v>#N/A</v>
        <stp/>
        <stp>BDH|2272885171092439672</stp>
        <tr r="S42" s="24"/>
      </tp>
      <tp t="e">
        <v>#N/A</v>
        <stp/>
        <stp>BDH|6686337287974843020</stp>
        <tr r="Z22" s="22"/>
      </tp>
      <tp t="e">
        <v>#N/A</v>
        <stp/>
        <stp>BDH|3868199104723859858</stp>
        <tr r="W88" s="12"/>
      </tp>
      <tp t="e">
        <v>#N/A</v>
        <stp/>
        <stp>BDH|2797151989971557361</stp>
        <tr r="U19" s="30"/>
      </tp>
      <tp t="e">
        <v>#N/A</v>
        <stp/>
        <stp>BDH|6900184498732371520</stp>
        <tr r="L39" s="11"/>
        <tr r="L50" s="10"/>
      </tp>
      <tp t="e">
        <v>#N/A</v>
        <stp/>
        <stp>BDH|8953121554794233154</stp>
        <tr r="Y62" s="11"/>
        <tr r="Y73" s="10"/>
        <tr r="Y20" s="7"/>
      </tp>
      <tp t="e">
        <v>#N/A</v>
        <stp/>
        <stp>BDH|9254710067821825046</stp>
        <tr r="V16" s="14"/>
      </tp>
      <tp t="e">
        <v>#N/A</v>
        <stp/>
        <stp>BDH|6996166087363307534</stp>
        <tr r="W16" s="24"/>
      </tp>
      <tp t="e">
        <v>#N/A</v>
        <stp/>
        <stp>BDH|8913327200360694254</stp>
        <tr r="C32" s="24"/>
      </tp>
      <tp t="e">
        <v>#N/A</v>
        <stp/>
        <stp>BDH|8973259830980384075</stp>
        <tr r="R24" s="24"/>
      </tp>
      <tp t="e">
        <v>#N/A</v>
        <stp/>
        <stp>BDH|4186236421174842936</stp>
        <tr r="F36" s="18"/>
      </tp>
      <tp t="e">
        <v>#N/A</v>
        <stp/>
        <stp>BDH|3949147517203495965</stp>
        <tr r="O25" s="11"/>
        <tr r="O36" s="10"/>
      </tp>
      <tp t="e">
        <v>#N/A</v>
        <stp/>
        <stp>BDH|2853920485979215351</stp>
        <tr r="D133" s="18"/>
      </tp>
      <tp t="e">
        <v>#N/A</v>
        <stp/>
        <stp>BDH|3525883733773480222</stp>
        <tr r="T51" s="6"/>
        <tr r="V6" s="8"/>
      </tp>
      <tp t="e">
        <v>#N/A</v>
        <stp/>
        <stp>BDH|6541292035009437759</stp>
        <tr r="Z67" s="17"/>
      </tp>
      <tp t="e">
        <v>#N/A</v>
        <stp/>
        <stp>BDH|3442878148353237510</stp>
        <tr r="T8" s="6"/>
      </tp>
      <tp t="e">
        <v>#N/A</v>
        <stp/>
        <stp>BDH|8569017435085086795</stp>
        <tr r="I170" s="18"/>
      </tp>
      <tp t="e">
        <v>#N/A</v>
        <stp/>
        <stp>BDH|4191894071795004715</stp>
        <tr r="AA47" s="17"/>
      </tp>
      <tp t="e">
        <v>#N/A</v>
        <stp/>
        <stp>BDH|8919092446742707785</stp>
        <tr r="AA55" s="12"/>
      </tp>
      <tp t="e">
        <v>#N/A</v>
        <stp/>
        <stp>BDH|8608171578103578454</stp>
        <tr r="V41" s="12"/>
      </tp>
      <tp t="e">
        <v>#N/A</v>
        <stp/>
        <stp>BDH|5982779474589491578</stp>
        <tr r="R80" s="12"/>
      </tp>
      <tp t="e">
        <v>#N/A</v>
        <stp/>
        <stp>BDH|1236973412987883764</stp>
        <tr r="Q34" s="17"/>
      </tp>
      <tp t="e">
        <v>#N/A</v>
        <stp/>
        <stp>BDH|2248870975494043091</stp>
        <tr r="V45" s="21"/>
      </tp>
      <tp t="e">
        <v>#N/A</v>
        <stp/>
        <stp>BDH|8843311093429065233</stp>
        <tr r="G24" s="5"/>
      </tp>
      <tp t="e">
        <v>#N/A</v>
        <stp/>
        <stp>BDH|6640254897075403194</stp>
        <tr r="D68" s="13"/>
      </tp>
      <tp t="e">
        <v>#N/A</v>
        <stp/>
        <stp>BDH|5616937687049817431</stp>
        <tr r="C40" s="24"/>
      </tp>
      <tp t="e">
        <v>#N/A</v>
        <stp/>
        <stp>BDH|2003934318527698441</stp>
        <tr r="X171" s="18"/>
      </tp>
      <tp t="e">
        <v>#N/A</v>
        <stp/>
        <stp>BDH|1590090080843593300</stp>
        <tr r="W15" s="13"/>
      </tp>
      <tp t="e">
        <v>#N/A</v>
        <stp/>
        <stp>BDH|6588772833223062886</stp>
        <tr r="F33" s="22"/>
      </tp>
      <tp t="e">
        <v>#N/A</v>
        <stp/>
        <stp>BDH|2558755742448246098</stp>
        <tr r="E14" s="28"/>
      </tp>
      <tp t="e">
        <v>#N/A</v>
        <stp/>
        <stp>BDH|9741236356720970729</stp>
        <tr r="Y139" s="18"/>
      </tp>
      <tp t="e">
        <v>#N/A</v>
        <stp/>
        <stp>BDH|8346549176502101192</stp>
        <tr r="M55" s="21"/>
      </tp>
      <tp t="e">
        <v>#N/A</v>
        <stp/>
        <stp>BDH|9510200037240397187</stp>
        <tr r="U28" s="18"/>
      </tp>
      <tp t="e">
        <v>#N/A</v>
        <stp/>
        <stp>BDH|9179481417833500623</stp>
        <tr r="J37" s="13"/>
        <tr r="H30" s="10"/>
      </tp>
      <tp t="e">
        <v>#N/A</v>
        <stp/>
        <stp>BDH|5194609181264165688</stp>
        <tr r="G41" s="26"/>
      </tp>
      <tp t="e">
        <v>#N/A</v>
        <stp/>
        <stp>BDH|7869064943443533919</stp>
        <tr r="Y20" s="18"/>
      </tp>
      <tp t="e">
        <v>#N/A</v>
        <stp/>
        <stp>BDH|8340168667840301688</stp>
        <tr r="AA70" s="24"/>
      </tp>
      <tp t="e">
        <v>#N/A</v>
        <stp/>
        <stp>BDH|7679604919901604805</stp>
        <tr r="M47" s="21"/>
      </tp>
      <tp t="e">
        <v>#N/A</v>
        <stp/>
        <stp>BDH|1382647380700803666</stp>
        <tr r="Z11" s="24"/>
      </tp>
      <tp t="e">
        <v>#N/A</v>
        <stp/>
        <stp>BDH|7738857266223859322</stp>
        <tr r="N16" s="22"/>
      </tp>
      <tp t="e">
        <v>#N/A</v>
        <stp/>
        <stp>BDH|4111629178989790528</stp>
        <tr r="E58" s="17"/>
      </tp>
      <tp t="e">
        <v>#N/A</v>
        <stp/>
        <stp>BDH|2948515171070676915</stp>
        <tr r="J10" s="28"/>
      </tp>
      <tp t="e">
        <v>#N/A</v>
        <stp/>
        <stp>BDH|8332874893728063895</stp>
        <tr r="Y72" s="24"/>
      </tp>
      <tp t="e">
        <v>#N/A</v>
        <stp/>
        <stp>BDH|9235746171738891819</stp>
        <tr r="M26" s="6"/>
      </tp>
      <tp t="e">
        <v>#N/A</v>
        <stp/>
        <stp>BDH|1516490375168254357</stp>
        <tr r="W27" s="21"/>
      </tp>
      <tp t="e">
        <v>#N/A</v>
        <stp/>
        <stp>BDH|9959058153485693072</stp>
        <tr r="Q156" s="18"/>
      </tp>
      <tp t="e">
        <v>#N/A</v>
        <stp/>
        <stp>BDH|3272948821456999707</stp>
        <tr r="X21" s="20"/>
      </tp>
      <tp t="e">
        <v>#N/A</v>
        <stp/>
        <stp>BDH|6816871473643151336</stp>
        <tr r="I60" s="21"/>
        <tr r="G55" s="11"/>
      </tp>
      <tp t="e">
        <v>#N/A</v>
        <stp/>
        <stp>BDH|1010843139607580469</stp>
        <tr r="F15" s="18"/>
      </tp>
      <tp t="e">
        <v>#N/A</v>
        <stp/>
        <stp>BDH|2810920551442690539</stp>
        <tr r="I99" s="12"/>
      </tp>
      <tp t="e">
        <v>#N/A</v>
        <stp/>
        <stp>BDH|5807265946333571934</stp>
        <tr r="D45" s="34"/>
      </tp>
      <tp t="e">
        <v>#N/A</v>
        <stp/>
        <stp>BDH|8167868766986961964</stp>
        <tr r="I43" s="4"/>
      </tp>
      <tp t="e">
        <v>#N/A</v>
        <stp/>
        <stp>BDH|9362182019018439882</stp>
        <tr r="Q20" s="21"/>
      </tp>
      <tp t="e">
        <v>#N/A</v>
        <stp/>
        <stp>BDH|4787822462116175588</stp>
        <tr r="G17" s="30"/>
      </tp>
      <tp t="e">
        <v>#N/A</v>
        <stp/>
        <stp>BDH|5022602529528484039</stp>
        <tr r="L72" s="24"/>
      </tp>
      <tp t="e">
        <v>#N/A</v>
        <stp/>
        <stp>BDH|6200031184487804032</stp>
        <tr r="N25" s="5"/>
      </tp>
      <tp t="e">
        <v>#N/A</v>
        <stp/>
        <stp>BDH|8019508628662099460</stp>
        <tr r="C26" s="25"/>
        <tr r="C56" s="21"/>
      </tp>
      <tp t="e">
        <v>#N/A</v>
        <stp/>
        <stp>BDH|7423489141999419775</stp>
        <tr r="V36" s="29"/>
        <tr r="V13" s="29"/>
        <tr r="V22" s="29"/>
      </tp>
      <tp t="e">
        <v>#N/A</v>
        <stp/>
        <stp>BDH|3010940340193936435</stp>
        <tr r="G61" s="17"/>
      </tp>
      <tp t="e">
        <v>#N/A</v>
        <stp/>
        <stp>BDH|4931207595123739550</stp>
        <tr r="C94" s="12"/>
      </tp>
      <tp t="e">
        <v>#N/A</v>
        <stp/>
        <stp>BDH|3494050459568247741</stp>
        <tr r="X34" s="13"/>
        <tr r="V27" s="10"/>
      </tp>
      <tp t="e">
        <v>#N/A</v>
        <stp/>
        <stp>BDH|2795895524415209460</stp>
        <tr r="M157" s="18"/>
      </tp>
      <tp t="e">
        <v>#N/A</v>
        <stp/>
        <stp>BDH|9764458318542766736</stp>
        <tr r="L46" s="24"/>
      </tp>
      <tp t="e">
        <v>#N/A</v>
        <stp/>
        <stp>BDH|6692571993190412383</stp>
        <tr r="T24" s="5"/>
      </tp>
      <tp t="e">
        <v>#N/A</v>
        <stp/>
        <stp>BDH|6144492098994914675</stp>
        <tr r="C42" s="4"/>
      </tp>
      <tp t="e">
        <v>#N/A</v>
        <stp/>
        <stp>BDH|7915608800378331042</stp>
        <tr r="F42" s="18"/>
      </tp>
      <tp t="e">
        <v>#N/A</v>
        <stp/>
        <stp>BDH|2137966031276055788</stp>
        <tr r="T51" s="21"/>
      </tp>
      <tp t="e">
        <v>#N/A</v>
        <stp/>
        <stp>BDH|7314944073973914337</stp>
        <tr r="T76" s="12"/>
      </tp>
      <tp t="e">
        <v>#N/A</v>
        <stp/>
        <stp>BDH|7087083850768314357</stp>
        <tr r="Q13" s="28"/>
        <tr r="Q95" s="17"/>
      </tp>
      <tp t="e">
        <v>#N/A</v>
        <stp/>
        <stp>BDH|8624202900175895602</stp>
        <tr r="M9" s="29"/>
      </tp>
      <tp t="e">
        <v>#N/A</v>
        <stp/>
        <stp>BDH|2991910091789572224</stp>
        <tr r="J51" s="17"/>
      </tp>
      <tp t="e">
        <v>#N/A</v>
        <stp/>
        <stp>BDH|7676528554178604682</stp>
        <tr r="AA28" s="14"/>
      </tp>
      <tp t="e">
        <v>#N/A</v>
        <stp/>
        <stp>BDH|7064261275322532988</stp>
        <tr r="K23" s="5"/>
        <tr r="K21" s="9"/>
      </tp>
      <tp t="e">
        <v>#N/A</v>
        <stp/>
        <stp>BDH|6315276015989625593</stp>
        <tr r="Z93" s="18"/>
      </tp>
      <tp t="e">
        <v>#N/A</v>
        <stp/>
        <stp>BDH|5288537319581043960</stp>
        <tr r="V72" s="12"/>
      </tp>
      <tp t="e">
        <v>#N/A</v>
        <stp/>
        <stp>BDH|3847907237010899094</stp>
        <tr r="E38" s="6"/>
      </tp>
      <tp t="e">
        <v>#N/A</v>
        <stp/>
        <stp>BDH|6446812278350288013</stp>
        <tr r="T60" s="12"/>
      </tp>
      <tp t="e">
        <v>#N/A</v>
        <stp/>
        <stp>BDH|2796079678978515429</stp>
        <tr r="W94" s="12"/>
      </tp>
      <tp t="e">
        <v>#N/A</v>
        <stp/>
        <stp>BDH|6894839716741604746</stp>
        <tr r="C27" s="21"/>
      </tp>
      <tp t="e">
        <v>#N/A</v>
        <stp/>
        <stp>BDH|8905658465434080564</stp>
        <tr r="L31" s="26"/>
      </tp>
      <tp t="e">
        <v>#N/A</v>
        <stp/>
        <stp>BDH|6570666969118514701</stp>
        <tr r="K49" s="24"/>
      </tp>
      <tp t="e">
        <v>#N/A</v>
        <stp/>
        <stp>BDH|6436121793561861622</stp>
        <tr r="V10" s="28"/>
      </tp>
      <tp t="e">
        <v>#N/A</v>
        <stp/>
        <stp>BDH|7911245183965987186</stp>
        <tr r="U78" s="24"/>
      </tp>
      <tp t="e">
        <v>#N/A</v>
        <stp/>
        <stp>BDH|6931743912189546057</stp>
        <tr r="H27" s="11"/>
        <tr r="H38" s="10"/>
      </tp>
      <tp t="e">
        <v>#N/A</v>
        <stp/>
        <stp>BDH|4057193981685615113</stp>
        <tr r="M56" s="13"/>
      </tp>
      <tp t="e">
        <v>#N/A</v>
        <stp/>
        <stp>BDH|3234528058493540929</stp>
        <tr r="E43" s="34"/>
      </tp>
      <tp t="e">
        <v>#N/A</v>
        <stp/>
        <stp>BDH|1998648257253014850</stp>
        <tr r="J27" s="24"/>
      </tp>
      <tp t="e">
        <v>#N/A</v>
        <stp/>
        <stp>BDH|6935950901064101231</stp>
        <tr r="H86" s="12"/>
      </tp>
      <tp t="e">
        <v>#N/A</v>
        <stp/>
        <stp>BDH|3693889331763131211</stp>
        <tr r="U53" s="13"/>
      </tp>
      <tp t="e">
        <v>#N/A</v>
        <stp/>
        <stp>BDH|1644027119468663144</stp>
        <tr r="M17" s="30"/>
      </tp>
      <tp t="e">
        <v>#N/A</v>
        <stp/>
        <stp>BDH|9668283264134666037</stp>
        <tr r="I72" s="10"/>
      </tp>
      <tp t="e">
        <v>#N/A</v>
        <stp/>
        <stp>BDH|1673799396525193376</stp>
        <tr r="U62" s="13"/>
      </tp>
      <tp t="e">
        <v>#N/A</v>
        <stp/>
        <stp>BDH|8549881150645342913</stp>
        <tr r="I30" s="12"/>
      </tp>
      <tp t="e">
        <v>#N/A</v>
        <stp/>
        <stp>BDH|2987361421609197301</stp>
        <tr r="N54" s="24"/>
      </tp>
      <tp t="e">
        <v>#N/A</v>
        <stp/>
        <stp>BDH|7468317558790272806</stp>
        <tr r="L52" s="13"/>
      </tp>
      <tp t="e">
        <v>#N/A</v>
        <stp/>
        <stp>BDH|3463027188212100004</stp>
        <tr r="H23" s="18"/>
      </tp>
      <tp t="e">
        <v>#N/A</v>
        <stp/>
        <stp>BDH|4645633288290700352</stp>
        <tr r="R11" s="24"/>
      </tp>
      <tp t="e">
        <v>#N/A</v>
        <stp/>
        <stp>BDH|6949480748297039862</stp>
        <tr r="I43" s="18"/>
      </tp>
      <tp t="e">
        <v>#N/A</v>
        <stp/>
        <stp>BDH|5482694545907450936</stp>
        <tr r="Q14" s="4"/>
      </tp>
      <tp t="e">
        <v>#N/A</v>
        <stp/>
        <stp>BDH|7964553292323463159</stp>
        <tr r="S69" s="24"/>
      </tp>
      <tp t="e">
        <v>#N/A</v>
        <stp/>
        <stp>BDH|3452735129188399721</stp>
        <tr r="G7" s="8"/>
      </tp>
      <tp t="e">
        <v>#N/A</v>
        <stp/>
        <stp>BDH|2020323699034388570</stp>
        <tr r="Q20" s="12"/>
      </tp>
      <tp t="e">
        <v>#N/A</v>
        <stp/>
        <stp>BDH|3909076980980212237</stp>
        <tr r="Q30" s="18"/>
      </tp>
      <tp t="e">
        <v>#N/A</v>
        <stp/>
        <stp>BDH|8773598007304558030</stp>
        <tr r="C67" s="17"/>
      </tp>
      <tp t="e">
        <v>#N/A</v>
        <stp/>
        <stp>BDH|1277262490065390684</stp>
        <tr r="K18" s="22"/>
      </tp>
      <tp t="e">
        <v>#N/A</v>
        <stp/>
        <stp>BDH|8900547312400607568</stp>
        <tr r="N10" s="23"/>
      </tp>
      <tp t="e">
        <v>#N/A</v>
        <stp/>
        <stp>BDH|9888105286799417050</stp>
        <tr r="N31" s="13"/>
        <tr r="L34" s="10"/>
        <tr r="L23" s="11"/>
        <tr r="L45" s="4"/>
      </tp>
      <tp t="e">
        <v>#N/A</v>
        <stp/>
        <stp>BDH|7656865969861429121</stp>
        <tr r="AA70" s="17"/>
        <tr r="X8" s="9"/>
        <tr r="X8" s="5"/>
      </tp>
      <tp t="e">
        <v>#N/A</v>
        <stp/>
        <stp>BDH|6253095161949114043</stp>
        <tr r="AA20" s="23"/>
      </tp>
      <tp t="e">
        <v>#N/A</v>
        <stp/>
        <stp>BDH|8409382251925131235</stp>
        <tr r="D19" s="30"/>
      </tp>
      <tp t="e">
        <v>#N/A</v>
        <stp/>
        <stp>BDH|8689639777720525089</stp>
        <tr r="P64" s="21"/>
        <tr r="N23" s="7"/>
      </tp>
      <tp t="e">
        <v>#N/A</v>
        <stp/>
        <stp>BDH|8346799769958904858</stp>
        <tr r="O20" s="23"/>
      </tp>
      <tp t="e">
        <v>#N/A</v>
        <stp/>
        <stp>BDH|8943706080216663809</stp>
        <tr r="O15" s="14"/>
      </tp>
      <tp t="e">
        <v>#N/A</v>
        <stp/>
        <stp>BDH|1875375174719733507</stp>
        <tr r="U33" s="21"/>
      </tp>
      <tp t="e">
        <v>#N/A</v>
        <stp/>
        <stp>BDH|2943097021510471991</stp>
        <tr r="U62" s="11"/>
        <tr r="U73" s="10"/>
        <tr r="U20" s="7"/>
      </tp>
      <tp t="e">
        <v>#N/A</v>
        <stp/>
        <stp>BDH|3064149613979370382</stp>
        <tr r="N66" s="12"/>
      </tp>
      <tp t="e">
        <v>#N/A</v>
        <stp/>
        <stp>BDH|6242995437347744275</stp>
        <tr r="Q52" s="18"/>
      </tp>
      <tp t="e">
        <v>#N/A</v>
        <stp/>
        <stp>BDH|9401818169568296627</stp>
        <tr r="Q17" s="5"/>
        <tr r="Q36" s="6"/>
      </tp>
      <tp t="e">
        <v>#N/A</v>
        <stp/>
        <stp>BDH|5688894963964146613</stp>
        <tr r="Q66" s="24"/>
      </tp>
      <tp t="e">
        <v>#N/A</v>
        <stp/>
        <stp>BDH|6886690928173623839</stp>
        <tr r="J43" s="22"/>
      </tp>
      <tp t="e">
        <v>#N/A</v>
        <stp/>
        <stp>BDH|9891378146142410514</stp>
        <tr r="Y60" s="18"/>
      </tp>
      <tp t="e">
        <v>#N/A</v>
        <stp/>
        <stp>BDH|8206695177256634661</stp>
        <tr r="D12" s="6"/>
      </tp>
      <tp t="e">
        <v>#N/A</v>
        <stp/>
        <stp>BDH|4839325095420716747</stp>
        <tr r="Q19" s="23"/>
        <tr r="O60" s="11"/>
      </tp>
      <tp t="e">
        <v>#N/A</v>
        <stp/>
        <stp>BDH|9035766452223083188</stp>
        <tr r="T39" s="12"/>
      </tp>
      <tp t="e">
        <v>#N/A</v>
        <stp/>
        <stp>BDH|9607371749783154454</stp>
        <tr r="C8" s="28"/>
      </tp>
      <tp t="e">
        <v>#N/A</v>
        <stp/>
        <stp>BDH|8551820018680567862</stp>
        <tr r="W29" s="24"/>
      </tp>
      <tp t="e">
        <v>#N/A</v>
        <stp/>
        <stp>BDH|1915960203165814487</stp>
        <tr r="N22" s="22"/>
      </tp>
      <tp t="e">
        <v>#N/A</v>
        <stp/>
        <stp>BDH|9800637146210371224</stp>
        <tr r="R49" s="12"/>
      </tp>
      <tp t="e">
        <v>#N/A</v>
        <stp/>
        <stp>BDH|9364987200868488137</stp>
        <tr r="H9" s="21"/>
      </tp>
      <tp t="e">
        <v>#N/A</v>
        <stp/>
        <stp>BDH|5197723964189968424</stp>
        <tr r="K24" s="21"/>
      </tp>
      <tp t="e">
        <v>#N/A</v>
        <stp/>
        <stp>BDH|3619359069066037962</stp>
        <tr r="D73" s="17"/>
      </tp>
      <tp t="e">
        <v>#N/A</v>
        <stp/>
        <stp>BDH|5999127286873497656</stp>
        <tr r="Q83" s="12"/>
      </tp>
      <tp t="e">
        <v>#N/A</v>
        <stp/>
        <stp>BDH|8489611487118609780</stp>
        <tr r="N19" s="17"/>
      </tp>
      <tp t="e">
        <v>#N/A</v>
        <stp/>
        <stp>BDH|3063627331776850978</stp>
        <tr r="Q24" s="21"/>
      </tp>
      <tp t="e">
        <v>#N/A</v>
        <stp/>
        <stp>BDH|3843227708219825168</stp>
        <tr r="R57" s="24"/>
      </tp>
      <tp t="e">
        <v>#N/A</v>
        <stp/>
        <stp>BDH|2442807932805812521</stp>
        <tr r="Y27" s="21"/>
      </tp>
      <tp t="e">
        <v>#N/A</v>
        <stp/>
        <stp>BDH|6429110279780876988</stp>
        <tr r="U8" s="23"/>
      </tp>
      <tp t="e">
        <v>#N/A</v>
        <stp/>
        <stp>BDH|5588024111284850921</stp>
        <tr r="R21" s="21"/>
      </tp>
      <tp t="e">
        <v>#N/A</v>
        <stp/>
        <stp>BDH|1945904169277892046</stp>
        <tr r="I33" s="22"/>
      </tp>
      <tp t="e">
        <v>#N/A</v>
        <stp/>
        <stp>BDH|3486596688523031495</stp>
        <tr r="W47" s="24"/>
      </tp>
      <tp t="e">
        <v>#N/A</v>
        <stp/>
        <stp>BDH|5891577953729941590</stp>
        <tr r="H40" s="12"/>
      </tp>
      <tp t="e">
        <v>#N/A</v>
        <stp/>
        <stp>BDH|4082680488497408480</stp>
        <tr r="E21" s="14"/>
      </tp>
      <tp t="e">
        <v>#N/A</v>
        <stp/>
        <stp>BDH|9710239731178877911</stp>
        <tr r="V26" s="29"/>
      </tp>
      <tp t="e">
        <v>#N/A</v>
        <stp/>
        <stp>BDH|1791265785132148096</stp>
        <tr r="Q16" s="21"/>
      </tp>
      <tp t="e">
        <v>#N/A</v>
        <stp/>
        <stp>BDH|3558513879599553149</stp>
        <tr r="O41" s="12"/>
      </tp>
      <tp t="e">
        <v>#N/A</v>
        <stp/>
        <stp>BDH|1819778262900970988</stp>
        <tr r="H126" s="18"/>
      </tp>
      <tp t="e">
        <v>#N/A</v>
        <stp/>
        <stp>BDH|8189517069490560203</stp>
        <tr r="R14" s="22"/>
      </tp>
      <tp t="e">
        <v>#N/A</v>
        <stp/>
        <stp>BDH|8973541254787197646</stp>
        <tr r="V15" s="23"/>
        <tr r="T59" s="11"/>
      </tp>
      <tp t="e">
        <v>#N/A</v>
        <stp/>
        <stp>BDH|6761691325749254244</stp>
        <tr r="W106" s="18"/>
      </tp>
      <tp t="e">
        <v>#N/A</v>
        <stp/>
        <stp>BDH|7983851372987085639</stp>
        <tr r="R10" s="13"/>
      </tp>
      <tp t="e">
        <v>#N/A</v>
        <stp/>
        <stp>BDH|2917047586871065268</stp>
        <tr r="M24" s="22"/>
      </tp>
      <tp t="e">
        <v>#N/A</v>
        <stp/>
        <stp>BDH|3496062948519264758</stp>
        <tr r="P54" s="13"/>
      </tp>
      <tp t="e">
        <v>#N/A</v>
        <stp/>
        <stp>BDH|3545245537872220999</stp>
        <tr r="J72" s="12"/>
      </tp>
      <tp t="e">
        <v>#N/A</v>
        <stp/>
        <stp>BDH|3903083319073686839</stp>
        <tr r="H78" s="24"/>
      </tp>
      <tp t="e">
        <v>#N/A</v>
        <stp/>
        <stp>BDH|1545865539234140765</stp>
        <tr r="U62" s="18"/>
      </tp>
      <tp t="e">
        <v>#N/A</v>
        <stp/>
        <stp>BDH|2221952417635442697</stp>
        <tr r="O22" s="27"/>
      </tp>
      <tp t="e">
        <v>#N/A</v>
        <stp/>
        <stp>BDH|8852365314717751407</stp>
        <tr r="R46" s="18"/>
      </tp>
      <tp t="e">
        <v>#N/A</v>
        <stp/>
        <stp>BDH|1637165394312116281</stp>
        <tr r="K42" s="29"/>
        <tr r="K33" s="29"/>
        <tr r="I11" s="5"/>
        <tr r="J10" s="2"/>
        <tr r="I55" s="6"/>
      </tp>
      <tp t="e">
        <v>#N/A</v>
        <stp/>
        <stp>BDH|4143562888152357217</stp>
        <tr r="V58" s="18"/>
      </tp>
      <tp t="e">
        <v>#N/A</v>
        <stp/>
        <stp>BDH|3939612263619430321</stp>
        <tr r="D41" s="25"/>
        <tr r="D59" s="21"/>
      </tp>
      <tp t="e">
        <v>#N/A</v>
        <stp/>
        <stp>BDH|9016263849593711552</stp>
        <tr r="J81" s="18"/>
      </tp>
      <tp t="e">
        <v>#N/A</v>
        <stp/>
        <stp>BDH|9837583243501660084</stp>
        <tr r="T87" s="12"/>
      </tp>
      <tp t="e">
        <v>#N/A</v>
        <stp/>
        <stp>BDH|1085760656038472298</stp>
        <tr r="N38" s="13"/>
        <tr r="L31" s="10"/>
      </tp>
      <tp t="e">
        <v>#N/A</v>
        <stp/>
        <stp>BDH|3613312999273710347</stp>
        <tr r="K15" s="18"/>
      </tp>
      <tp t="e">
        <v>#N/A</v>
        <stp/>
        <stp>BDH|4908230060600511920</stp>
        <tr r="F33" s="21"/>
      </tp>
      <tp t="e">
        <v>#N/A</v>
        <stp/>
        <stp>BDH|1222852031441841236</stp>
        <tr r="M51" s="21"/>
      </tp>
      <tp t="e">
        <v>#N/A</v>
        <stp/>
        <stp>BDH|6052117311778454796</stp>
        <tr r="Q15" s="26"/>
      </tp>
      <tp t="e">
        <v>#N/A</v>
        <stp/>
        <stp>BDH|5859310634075335930</stp>
        <tr r="X43" s="25"/>
        <tr r="X7" s="13"/>
        <tr r="X22" s="13"/>
        <tr r="V17" s="11"/>
        <tr r="X7" s="3"/>
      </tp>
      <tp t="e">
        <v>#N/A</v>
        <stp/>
        <stp>BDH|2534017577694842860</stp>
        <tr r="G37" s="22"/>
      </tp>
      <tp t="e">
        <v>#N/A</v>
        <stp/>
        <stp>BDH|5622805623765079381</stp>
        <tr r="V48" s="12"/>
      </tp>
      <tp t="e">
        <v>#N/A</v>
        <stp/>
        <stp>BDH|2885657634007640922</stp>
        <tr r="G63" s="24"/>
      </tp>
      <tp t="e">
        <v>#N/A</v>
        <stp/>
        <stp>BDH|4219169965343978955</stp>
        <tr r="R75" s="12"/>
      </tp>
      <tp t="e">
        <v>#N/A</v>
        <stp/>
        <stp>BDH|4801939220195200341</stp>
        <tr r="J21" s="24"/>
      </tp>
      <tp t="e">
        <v>#N/A</v>
        <stp/>
        <stp>BDH|5568660838148763119</stp>
        <tr r="C62" s="21"/>
      </tp>
      <tp t="e">
        <v>#N/A</v>
        <stp/>
        <stp>BDH|7266069084131834756</stp>
        <tr r="N26" s="17"/>
      </tp>
      <tp t="e">
        <v>#N/A</v>
        <stp/>
        <stp>BDH|4131901774022189197</stp>
        <tr r="X41" s="18"/>
      </tp>
      <tp t="e">
        <v>#N/A</v>
        <stp/>
        <stp>BDH|8096003203773783299</stp>
        <tr r="G22" s="4"/>
      </tp>
      <tp t="e">
        <v>#N/A</v>
        <stp/>
        <stp>BDH|6083598414979853280</stp>
        <tr r="Q120" s="18"/>
      </tp>
      <tp t="e">
        <v>#N/A</v>
        <stp/>
        <stp>BDH|3749684210558183531</stp>
        <tr r="U13" s="12"/>
      </tp>
      <tp t="e">
        <v>#N/A</v>
        <stp/>
        <stp>BDH|8270494602652009749</stp>
        <tr r="D80" s="17"/>
      </tp>
      <tp t="e">
        <v>#N/A</v>
        <stp/>
        <stp>BDH|7039096457299281211</stp>
        <tr r="U27" s="25"/>
        <tr r="S20" s="11"/>
      </tp>
      <tp t="e">
        <v>#N/A</v>
        <stp/>
        <stp>BDH|3348626163238785286</stp>
        <tr r="T50" s="12"/>
      </tp>
      <tp t="e">
        <v>#N/A</v>
        <stp/>
        <stp>BDH|6542774649149147584</stp>
        <tr r="T67" s="24"/>
      </tp>
      <tp t="e">
        <v>#N/A</v>
        <stp/>
        <stp>BDH|9506544567677504413</stp>
        <tr r="O23" s="26"/>
      </tp>
      <tp t="e">
        <v>#N/A</v>
        <stp/>
        <stp>BDH|7948035843092218891</stp>
        <tr r="L23" s="17"/>
      </tp>
      <tp t="e">
        <v>#N/A</v>
        <stp/>
        <stp>BDH|3048512783646687169</stp>
        <tr r="S38" s="25"/>
        <tr r="S92" s="17"/>
      </tp>
      <tp t="e">
        <v>#N/A</v>
        <stp/>
        <stp>BDH|6769622291487389759</stp>
        <tr r="Y172" s="18"/>
      </tp>
      <tp t="e">
        <v>#N/A</v>
        <stp/>
        <stp>BDH|8792950018750980916</stp>
        <tr r="E150" s="18"/>
      </tp>
      <tp t="e">
        <v>#N/A</v>
        <stp/>
        <stp>BDH|9817084638470976335</stp>
        <tr r="Z14" s="8"/>
      </tp>
      <tp t="e">
        <v>#N/A</v>
        <stp/>
        <stp>BDH|5938016597330575582</stp>
        <tr r="R72" s="13"/>
      </tp>
      <tp t="e">
        <v>#N/A</v>
        <stp/>
        <stp>BDH|9202752935742344632</stp>
        <tr r="J103" s="18"/>
      </tp>
      <tp t="e">
        <v>#N/A</v>
        <stp/>
        <stp>BDH|1912781265108668105</stp>
        <tr r="K35" s="17"/>
      </tp>
      <tp t="e">
        <v>#N/A</v>
        <stp/>
        <stp>BDH|6736901541012666021</stp>
        <tr r="W47" s="6"/>
      </tp>
      <tp t="e">
        <v>#N/A</v>
        <stp/>
        <stp>BDH|3125334347608346541</stp>
        <tr r="G15" s="9"/>
      </tp>
      <tp t="e">
        <v>#N/A</v>
        <stp/>
        <stp>BDH|2800652404869971428</stp>
        <tr r="R48" s="12"/>
      </tp>
      <tp t="e">
        <v>#N/A</v>
        <stp/>
        <stp>BDH|9619204294419734277</stp>
        <tr r="E19" s="18"/>
      </tp>
      <tp t="e">
        <v>#N/A</v>
        <stp/>
        <stp>BDH|2572923060133219770</stp>
        <tr r="D14" s="20"/>
        <tr r="D119" s="18"/>
      </tp>
      <tp t="e">
        <v>#N/A</v>
        <stp/>
        <stp>BDH|1626660764200326855</stp>
        <tr r="J28" s="9"/>
        <tr r="J30" s="5"/>
      </tp>
      <tp t="e">
        <v>#N/A</v>
        <stp/>
        <stp>BDH|3487716194951024532</stp>
        <tr r="V67" s="18"/>
      </tp>
      <tp t="e">
        <v>#N/A</v>
        <stp/>
        <stp>BDH|6278022931759634556</stp>
        <tr r="J15" s="25"/>
      </tp>
      <tp t="e">
        <v>#N/A</v>
        <stp/>
        <stp>BDH|4426822075111605376</stp>
        <tr r="S48" s="21"/>
      </tp>
      <tp t="e">
        <v>#N/A</v>
        <stp/>
        <stp>BDH|5087216153978932393</stp>
        <tr r="O90" s="18"/>
      </tp>
      <tp t="e">
        <v>#N/A</v>
        <stp/>
        <stp>BDH|2796848100473562045</stp>
        <tr r="Q23" s="23"/>
      </tp>
      <tp t="e">
        <v>#N/A</v>
        <stp/>
        <stp>BDH|8502425914511649572</stp>
        <tr r="J23" s="13"/>
      </tp>
      <tp t="e">
        <v>#N/A</v>
        <stp/>
        <stp>BDH|3399911612815155733</stp>
        <tr r="J75" s="10"/>
        <tr r="J64" s="11"/>
      </tp>
      <tp t="e">
        <v>#N/A</v>
        <stp/>
        <stp>BDH|1393585540489860017</stp>
        <tr r="F95" s="18"/>
      </tp>
      <tp t="e">
        <v>#N/A</v>
        <stp/>
        <stp>BDH|8742501050556489711</stp>
        <tr r="S15" s="34"/>
      </tp>
      <tp t="e">
        <v>#N/A</v>
        <stp/>
        <stp>BDH|4605162684617451329</stp>
        <tr r="E34" s="22"/>
      </tp>
      <tp t="e">
        <v>#N/A</v>
        <stp/>
        <stp>BDH|5130958034954298203</stp>
        <tr r="N27" s="21"/>
      </tp>
      <tp t="e">
        <v>#N/A</v>
        <stp/>
        <stp>BDH|7333838507770076650</stp>
        <tr r="W19" s="30"/>
      </tp>
      <tp t="e">
        <v>#N/A</v>
        <stp/>
        <stp>BDH|9586823751618564511</stp>
        <tr r="X140" s="18"/>
      </tp>
      <tp t="e">
        <v>#N/A</v>
        <stp/>
        <stp>BDH|1620584793307690396</stp>
        <tr r="R8" s="13"/>
      </tp>
      <tp t="e">
        <v>#N/A</v>
        <stp/>
        <stp>BDH|8854289547464776325</stp>
        <tr r="X25" s="24"/>
      </tp>
      <tp t="e">
        <v>#N/A</v>
        <stp/>
        <stp>BDH|5787862345162037264</stp>
        <tr r="X13" s="30"/>
      </tp>
      <tp t="e">
        <v>#N/A</v>
        <stp/>
        <stp>BDH|8505274230469483944</stp>
        <tr r="M75" s="18"/>
      </tp>
      <tp t="e">
        <v>#N/A</v>
        <stp/>
        <stp>BDH|9678298820448829855</stp>
        <tr r="F33" s="17"/>
      </tp>
      <tp t="e">
        <v>#N/A</v>
        <stp/>
        <stp>BDH|2839375989884274466</stp>
        <tr r="P10" s="8"/>
        <tr r="N53" s="6"/>
      </tp>
      <tp t="e">
        <v>#N/A</v>
        <stp/>
        <stp>BDH|4227023800418780552</stp>
        <tr r="C136" s="18"/>
      </tp>
      <tp t="e">
        <v>#N/A</v>
        <stp/>
        <stp>BDH|9517604222284384061</stp>
        <tr r="W68" s="24"/>
      </tp>
      <tp t="e">
        <v>#N/A</v>
        <stp/>
        <stp>BDH|5729556852558021432</stp>
        <tr r="Q13" s="23"/>
        <tr r="O58" s="11"/>
        <tr r="O38" s="4"/>
      </tp>
      <tp t="e">
        <v>#N/A</v>
        <stp/>
        <stp>BDH|4560345053643363822</stp>
        <tr r="F87" s="17"/>
      </tp>
      <tp t="e">
        <v>#N/A</v>
        <stp/>
        <stp>BDH|4705954143659641947</stp>
        <tr r="C11" s="30"/>
      </tp>
      <tp t="e">
        <v>#N/A</v>
        <stp/>
        <stp>BDH|8094812761417362808</stp>
        <tr r="J25" s="7"/>
      </tp>
      <tp t="e">
        <v>#N/A</v>
        <stp/>
        <stp>BDH|9548287738500521135</stp>
        <tr r="E132" s="18"/>
      </tp>
      <tp t="e">
        <v>#N/A</v>
        <stp/>
        <stp>BDH|2541996727455867500</stp>
        <tr r="R41" s="26"/>
      </tp>
      <tp t="e">
        <v>#N/A</v>
        <stp/>
        <stp>BDH|6801162602559676790</stp>
        <tr r="N43" s="21"/>
      </tp>
      <tp t="e">
        <v>#N/A</v>
        <stp/>
        <stp>BDH|5825326045072828946</stp>
        <tr r="H146" s="18"/>
      </tp>
      <tp t="e">
        <v>#N/A</v>
        <stp/>
        <stp>BDH|3215630511444168920</stp>
        <tr r="I12" s="22"/>
      </tp>
      <tp t="e">
        <v>#N/A</v>
        <stp/>
        <stp>BDH|9380271936968060915</stp>
        <tr r="U61" s="24"/>
      </tp>
      <tp t="e">
        <v>#N/A</v>
        <stp/>
        <stp>BDH|6043215412479954592</stp>
        <tr r="J86" s="17"/>
      </tp>
      <tp t="e">
        <v>#N/A</v>
        <stp/>
        <stp>BDH|4327099754860453893</stp>
        <tr r="K30" s="14"/>
      </tp>
      <tp t="e">
        <v>#N/A</v>
        <stp/>
        <stp>BDH|3703065347936701829</stp>
        <tr r="W49" s="24"/>
      </tp>
      <tp t="e">
        <v>#N/A</v>
        <stp/>
        <stp>BDH|7339107619357800912</stp>
        <tr r="I55" s="13"/>
      </tp>
      <tp t="e">
        <v>#N/A</v>
        <stp/>
        <stp>BDH|2405657105018265555</stp>
        <tr r="E29" s="18"/>
      </tp>
      <tp t="e">
        <v>#N/A</v>
        <stp/>
        <stp>BDH|2211866915582243002</stp>
        <tr r="Q68" s="13"/>
      </tp>
      <tp t="e">
        <v>#N/A</v>
        <stp/>
        <stp>BDH|9069787871921998135</stp>
        <tr r="P23" s="12"/>
      </tp>
      <tp t="e">
        <v>#N/A</v>
        <stp/>
        <stp>BDH|8582773342237163528</stp>
        <tr r="X18" s="20"/>
      </tp>
      <tp t="e">
        <v>#N/A</v>
        <stp/>
        <stp>BDH|3648169685243393051</stp>
        <tr r="X47" s="6"/>
      </tp>
      <tp t="e">
        <v>#N/A</v>
        <stp/>
        <stp>BDH|5237386368839346021</stp>
        <tr r="S56" s="11"/>
      </tp>
      <tp t="e">
        <v>#N/A</v>
        <stp/>
        <stp>BDH|2460539509016901845</stp>
        <tr r="N60" s="21"/>
        <tr r="L55" s="11"/>
      </tp>
      <tp t="e">
        <v>#N/A</v>
        <stp/>
        <stp>BDH|3020452722718620428</stp>
        <tr r="M32" s="29"/>
        <tr r="K34" s="5"/>
      </tp>
      <tp t="e">
        <v>#N/A</v>
        <stp/>
        <stp>BDH|4382771876459268436</stp>
        <tr r="X13" s="13"/>
      </tp>
      <tp t="e">
        <v>#N/A</v>
        <stp/>
        <stp>BDH|4228968414667612250</stp>
        <tr r="P24" s="20"/>
      </tp>
      <tp t="e">
        <v>#N/A</v>
        <stp/>
        <stp>BDH|4542580303209499192</stp>
        <tr r="Q27" s="6"/>
      </tp>
      <tp t="e">
        <v>#N/A</v>
        <stp/>
        <stp>BDH|8404435576726392417</stp>
        <tr r="P71" s="13"/>
      </tp>
      <tp t="e">
        <v>#N/A</v>
        <stp/>
        <stp>BDH|9344590901341089480</stp>
        <tr r="X40" s="13"/>
        <tr r="V33" s="10"/>
      </tp>
      <tp t="e">
        <v>#N/A</v>
        <stp/>
        <stp>BDH|1687204292674570722</stp>
        <tr r="D25" s="21"/>
      </tp>
      <tp t="e">
        <v>#N/A</v>
        <stp/>
        <stp>BDH|9368421270175392610</stp>
        <tr r="D60" s="12"/>
      </tp>
      <tp t="e">
        <v>#N/A</v>
        <stp/>
        <stp>BDH|8893783056295751622</stp>
        <tr r="P54" s="24"/>
      </tp>
      <tp t="e">
        <v>#N/A</v>
        <stp/>
        <stp>BDH|8813331049892056413</stp>
        <tr r="X33" s="12"/>
      </tp>
      <tp t="e">
        <v>#N/A</v>
        <stp/>
        <stp>BDH|6106921214144550324</stp>
        <tr r="S11" s="11"/>
      </tp>
      <tp t="e">
        <v>#N/A</v>
        <stp/>
        <stp>BDH|8317444770041455331</stp>
        <tr r="W50" s="13"/>
      </tp>
      <tp t="e">
        <v>#N/A</v>
        <stp/>
        <stp>BDH|6590936626091365538</stp>
        <tr r="P61" s="11"/>
      </tp>
      <tp t="e">
        <v>#N/A</v>
        <stp/>
        <stp>BDH|9588516938883829544</stp>
        <tr r="D57" s="24"/>
      </tp>
      <tp t="e">
        <v>#N/A</v>
        <stp/>
        <stp>BDH|9485520850807660706</stp>
        <tr r="M17" s="22"/>
      </tp>
      <tp t="e">
        <v>#N/A</v>
        <stp/>
        <stp>BDH|6481122380842176476</stp>
        <tr r="S19" s="20"/>
      </tp>
      <tp t="e">
        <v>#N/A</v>
        <stp/>
        <stp>BDH|1628631485346469045</stp>
        <tr r="N31" s="29"/>
      </tp>
      <tp t="e">
        <v>#N/A</v>
        <stp/>
        <stp>BDH|8978745077984281581</stp>
        <tr r="J18" s="22"/>
      </tp>
      <tp t="e">
        <v>#N/A</v>
        <stp/>
        <stp>BDH|2867169318829345251</stp>
        <tr r="U42" s="29"/>
        <tr r="U33" s="29"/>
        <tr r="S55" s="6"/>
        <tr r="T10" s="2"/>
        <tr r="S11" s="5"/>
      </tp>
      <tp t="e">
        <v>#N/A</v>
        <stp/>
        <stp>BDH|7190914191859627775</stp>
        <tr r="G80" s="17"/>
      </tp>
      <tp t="e">
        <v>#N/A</v>
        <stp/>
        <stp>BDH|7711383984017905220</stp>
        <tr r="D60" s="21"/>
      </tp>
      <tp t="e">
        <v>#N/A</v>
        <stp/>
        <stp>BDH|7698740235462187867</stp>
        <tr r="U12" s="14"/>
      </tp>
      <tp t="e">
        <v>#N/A</v>
        <stp/>
        <stp>BDH|3779964292549011332</stp>
        <tr r="X22" s="24"/>
      </tp>
      <tp t="e">
        <v>#N/A</v>
        <stp/>
        <stp>BDH|2570484099286122056</stp>
        <tr r="AA20" s="12"/>
      </tp>
      <tp t="e">
        <v>#N/A</v>
        <stp/>
        <stp>BDH|6236879416993670551</stp>
        <tr r="U17" s="20"/>
      </tp>
      <tp t="e">
        <v>#N/A</v>
        <stp/>
        <stp>BDH|4283006000225330818</stp>
        <tr r="N48" s="12"/>
      </tp>
      <tp t="e">
        <v>#N/A</v>
        <stp/>
        <stp>BDH|6910923361065976532</stp>
        <tr r="W46" s="24"/>
      </tp>
      <tp t="e">
        <v>#N/A</v>
        <stp/>
        <stp>BDH|8063875488335765480</stp>
        <tr r="M14" s="6"/>
      </tp>
      <tp t="e">
        <v>#N/A</v>
        <stp/>
        <stp>BDH|9441225525278451870</stp>
        <tr r="G79" s="17"/>
        <tr r="G19" s="3"/>
      </tp>
      <tp t="e">
        <v>#N/A</v>
        <stp/>
        <stp>BDH|5628656566515321965</stp>
        <tr r="K37" s="13"/>
        <tr r="I30" s="10"/>
      </tp>
      <tp t="e">
        <v>#N/A</v>
        <stp/>
        <stp>BDH|1822273292856920542</stp>
        <tr r="F18" s="6"/>
      </tp>
      <tp t="e">
        <v>#N/A</v>
        <stp/>
        <stp>BDH|1801061379507350848</stp>
        <tr r="L47" s="11"/>
        <tr r="L58" s="10"/>
        <tr r="L7" s="7"/>
        <tr r="N12" s="3"/>
      </tp>
      <tp t="e">
        <v>#N/A</v>
        <stp/>
        <stp>BDH|4800858501816586391</stp>
        <tr r="W20" s="5"/>
      </tp>
      <tp t="e">
        <v>#N/A</v>
        <stp/>
        <stp>BDH|4098841132105131373</stp>
        <tr r="T132" s="18"/>
      </tp>
      <tp t="e">
        <v>#N/A</v>
        <stp/>
        <stp>BDH|5984443696018369984</stp>
        <tr r="F7" s="30"/>
      </tp>
      <tp t="e">
        <v>#N/A</v>
        <stp/>
        <stp>BDH|8379637267823562227</stp>
        <tr r="T17" s="30"/>
      </tp>
      <tp t="e">
        <v>#N/A</v>
        <stp/>
        <stp>BDH|6430638391638024867</stp>
        <tr r="L23" s="18"/>
      </tp>
      <tp t="e">
        <v>#N/A</v>
        <stp/>
        <stp>BDH|5482490851124860947</stp>
        <tr r="E29" s="24"/>
      </tp>
      <tp t="e">
        <v>#N/A</v>
        <stp/>
        <stp>BDH|4649188985794295099</stp>
        <tr r="P37" s="13"/>
        <tr r="N30" s="10"/>
      </tp>
      <tp t="e">
        <v>#N/A</v>
        <stp/>
        <stp>BDH|8616865507299047079</stp>
        <tr r="W34" s="6"/>
      </tp>
      <tp t="e">
        <v>#N/A</v>
        <stp/>
        <stp>BDH|8986399973334183121</stp>
        <tr r="S18" s="12"/>
      </tp>
      <tp t="e">
        <v>#N/A</v>
        <stp/>
        <stp>BDH|9240053973456585110</stp>
        <tr r="Q34" s="29"/>
      </tp>
      <tp t="e">
        <v>#N/A</v>
        <stp/>
        <stp>BDH|1505889278642106545</stp>
        <tr r="V18" s="18"/>
      </tp>
      <tp t="e">
        <v>#N/A</v>
        <stp/>
        <stp>BDH|3117868468751774584</stp>
        <tr r="G63" s="12"/>
      </tp>
      <tp t="e">
        <v>#N/A</v>
        <stp/>
        <stp>BDH|1095952753476354256</stp>
        <tr r="K11" s="24"/>
      </tp>
      <tp t="e">
        <v>#N/A</v>
        <stp/>
        <stp>BDH|2352951437443083214</stp>
        <tr r="U50" s="12"/>
      </tp>
      <tp t="e">
        <v>#N/A</v>
        <stp/>
        <stp>BDH|8526497359800698038</stp>
        <tr r="D53" s="34"/>
      </tp>
      <tp t="e">
        <v>#N/A</v>
        <stp/>
        <stp>BDH|2010371990366050779</stp>
        <tr r="E47" s="6"/>
      </tp>
      <tp t="e">
        <v>#N/A</v>
        <stp/>
        <stp>BDH|9578957586139278848</stp>
        <tr r="L17" s="28"/>
        <tr r="L14" s="17"/>
      </tp>
      <tp t="e">
        <v>#N/A</v>
        <stp/>
        <stp>BDH|5985266693380977754</stp>
        <tr r="M42" s="6"/>
      </tp>
      <tp t="e">
        <v>#N/A</v>
        <stp/>
        <stp>BDH|8755944314741367851</stp>
        <tr r="I92" s="18"/>
      </tp>
      <tp t="e">
        <v>#N/A</v>
        <stp/>
        <stp>BDH|9779708847257845498</stp>
        <tr r="AA104" s="18"/>
      </tp>
      <tp t="e">
        <v>#N/A</v>
        <stp/>
        <stp>BDH|4303432243398344514</stp>
        <tr r="L34" s="17"/>
      </tp>
      <tp t="e">
        <v>#N/A</v>
        <stp/>
        <stp>BDH|3245768332599680710</stp>
        <tr r="S43" s="17"/>
      </tp>
      <tp t="e">
        <v>#N/A</v>
        <stp/>
        <stp>BDH|7017257932607345855</stp>
        <tr r="Z12" s="21"/>
      </tp>
      <tp t="e">
        <v>#N/A</v>
        <stp/>
        <stp>BDH|1375913203419780878</stp>
        <tr r="T28" s="9"/>
        <tr r="T30" s="5"/>
      </tp>
      <tp t="e">
        <v>#N/A</v>
        <stp/>
        <stp>BDH|2740658146809333067</stp>
        <tr r="T76" s="18"/>
      </tp>
      <tp t="e">
        <v>#N/A</v>
        <stp/>
        <stp>BDH|5705805936774560354</stp>
        <tr r="N17" s="5"/>
        <tr r="N36" s="6"/>
      </tp>
      <tp t="e">
        <v>#N/A</v>
        <stp/>
        <stp>BDH|3252461312947179868</stp>
        <tr r="V51" s="34"/>
      </tp>
      <tp t="e">
        <v>#N/A</v>
        <stp/>
        <stp>BDH|4621922950150724121</stp>
        <tr r="V70" s="12"/>
      </tp>
      <tp t="e">
        <v>#N/A</v>
        <stp/>
        <stp>BDH|4449241229625102891</stp>
        <tr r="J19" s="11"/>
      </tp>
      <tp t="e">
        <v>#N/A</v>
        <stp/>
        <stp>BDH|4350307711498628751</stp>
        <tr r="W30" s="25"/>
        <tr r="W12" s="27"/>
      </tp>
      <tp t="e">
        <v>#N/A</v>
        <stp/>
        <stp>BDH|7050945795129425746</stp>
        <tr r="Y27" s="17"/>
      </tp>
      <tp t="e">
        <v>#N/A</v>
        <stp/>
        <stp>BDH|2105010185754140756</stp>
        <tr r="E8" s="2"/>
      </tp>
      <tp t="e">
        <v>#N/A</v>
        <stp/>
        <stp>BDH|9632143498280273890</stp>
        <tr r="L51" s="22"/>
      </tp>
      <tp t="e">
        <v>#N/A</v>
        <stp/>
        <stp>BDH|3368873920195346565</stp>
        <tr r="P36" s="22"/>
      </tp>
      <tp t="e">
        <v>#N/A</v>
        <stp/>
        <stp>BDH|6116228493736837299</stp>
        <tr r="K11" s="20"/>
        <tr r="K116" s="18"/>
      </tp>
      <tp t="e">
        <v>#N/A</v>
        <stp/>
        <stp>BDH|3405349713769497163</stp>
        <tr r="F8" s="10"/>
      </tp>
      <tp t="e">
        <v>#N/A</v>
        <stp/>
        <stp>BDH|9671657985008627616</stp>
        <tr r="Y152" s="18"/>
      </tp>
      <tp t="e">
        <v>#N/A</v>
        <stp/>
        <stp>BDH|5215027752009666057</stp>
        <tr r="C50" s="4"/>
      </tp>
      <tp t="e">
        <v>#N/A</v>
        <stp/>
        <stp>BDH|9567026268404800263</stp>
        <tr r="U29" s="6"/>
      </tp>
      <tp t="e">
        <v>#N/A</v>
        <stp/>
        <stp>BDH|1989695965791757938</stp>
        <tr r="M61" s="17"/>
      </tp>
      <tp t="e">
        <v>#N/A</v>
        <stp/>
        <stp>BDH|8368556426506757067</stp>
        <tr r="L35" s="4"/>
      </tp>
      <tp t="e">
        <v>#N/A</v>
        <stp/>
        <stp>BDH|3291387479608428663</stp>
        <tr r="J10" s="13"/>
      </tp>
      <tp t="e">
        <v>#N/A</v>
        <stp/>
        <stp>BDH|3096122192382112001</stp>
        <tr r="C56" s="12"/>
      </tp>
      <tp t="e">
        <v>#N/A</v>
        <stp/>
        <stp>BDH|5643536755239109508</stp>
        <tr r="G67" s="13"/>
      </tp>
      <tp t="e">
        <v>#N/A</v>
        <stp/>
        <stp>BDH|3886049984582095096</stp>
        <tr r="T22" s="21"/>
      </tp>
      <tp t="e">
        <v>#N/A</v>
        <stp/>
        <stp>BDH|1238904241982654741</stp>
        <tr r="V101" s="18"/>
      </tp>
      <tp t="e">
        <v>#N/A</v>
        <stp/>
        <stp>BDH|4224900177341639228</stp>
        <tr r="T54" s="13"/>
      </tp>
      <tp t="e">
        <v>#N/A</v>
        <stp/>
        <stp>BDH|4856856658835533515</stp>
        <tr r="J13" s="27"/>
        <tr r="J31" s="25"/>
      </tp>
      <tp t="e">
        <v>#N/A</v>
        <stp/>
        <stp>BDH|7256265326829104725</stp>
        <tr r="E27" s="25"/>
        <tr r="C20" s="11"/>
      </tp>
      <tp t="e">
        <v>#N/A</v>
        <stp/>
        <stp>BDH|9200178040830794535</stp>
        <tr r="Z61" s="21"/>
        <tr r="X25" s="2"/>
      </tp>
      <tp t="e">
        <v>#N/A</v>
        <stp/>
        <stp>BDH|8290964878386937942</stp>
        <tr r="AA27" s="17"/>
      </tp>
      <tp t="e">
        <v>#N/A</v>
        <stp/>
        <stp>BDH|5163803773800575365</stp>
        <tr r="G16" s="11"/>
      </tp>
      <tp t="e">
        <v>#N/A</v>
        <stp/>
        <stp>BDH|9593422538592854564</stp>
        <tr r="E45" s="18"/>
      </tp>
      <tp t="e">
        <v>#N/A</v>
        <stp/>
        <stp>BDH|9638249867503300771</stp>
        <tr r="Y39" s="24"/>
      </tp>
      <tp t="e">
        <v>#N/A</v>
        <stp/>
        <stp>BDH|6312157539208167583</stp>
        <tr r="W52" s="17"/>
      </tp>
      <tp t="e">
        <v>#N/A</v>
        <stp/>
        <stp>BDH|1129235492483348056</stp>
        <tr r="T37" s="17"/>
      </tp>
      <tp t="e">
        <v>#N/A</v>
        <stp/>
        <stp>BDH|9033000604156325610</stp>
        <tr r="J43" s="26"/>
      </tp>
      <tp t="e">
        <v>#N/A</v>
        <stp/>
        <stp>BDH|9596527116040079479</stp>
        <tr r="J75" s="18"/>
      </tp>
      <tp t="e">
        <v>#N/A</v>
        <stp/>
        <stp>BDH|3086459092670133707</stp>
        <tr r="S53" s="24"/>
      </tp>
      <tp t="e">
        <v>#N/A</v>
        <stp/>
        <stp>BDH|7104041195400147772</stp>
        <tr r="F53" s="13"/>
      </tp>
      <tp t="e">
        <v>#N/A</v>
        <stp/>
        <stp>BDH|3578347241345157875</stp>
        <tr r="AA9" s="30"/>
      </tp>
      <tp t="e">
        <v>#N/A</v>
        <stp/>
        <stp>BDH|2297051565614736938</stp>
        <tr r="J40" s="24"/>
      </tp>
      <tp t="e">
        <v>#N/A</v>
        <stp/>
        <stp>BDH|9234720663833790227</stp>
        <tr r="R44" s="10"/>
        <tr r="R33" s="11"/>
      </tp>
      <tp t="e">
        <v>#N/A</v>
        <stp/>
        <stp>BDH|8732193528531567356</stp>
        <tr r="T38" s="26"/>
      </tp>
      <tp t="e">
        <v>#N/A</v>
        <stp/>
        <stp>BDH|9981321375391885507</stp>
        <tr r="H16" s="21"/>
      </tp>
      <tp t="e">
        <v>#N/A</v>
        <stp/>
        <stp>BDH|3938516368170137972</stp>
        <tr r="E13" s="27"/>
        <tr r="E31" s="25"/>
      </tp>
      <tp t="e">
        <v>#N/A</v>
        <stp/>
        <stp>BDH|8362156351045131007</stp>
        <tr r="F28" s="18"/>
      </tp>
      <tp t="e">
        <v>#N/A</v>
        <stp/>
        <stp>BDH|3604077032231654834</stp>
        <tr r="H11" s="30"/>
      </tp>
      <tp t="e">
        <v>#N/A</v>
        <stp/>
        <stp>BDH|1053651242649158303</stp>
        <tr r="J65" s="12"/>
      </tp>
      <tp t="e">
        <v>#N/A</v>
        <stp/>
        <stp>BDH|2184415917898269637</stp>
        <tr r="T37" s="29"/>
        <tr r="T14" s="29"/>
        <tr r="T23" s="29"/>
      </tp>
      <tp t="e">
        <v>#N/A</v>
        <stp/>
        <stp>BDH|9438042377506709163</stp>
        <tr r="P29" s="17"/>
      </tp>
      <tp t="e">
        <v>#N/A</v>
        <stp/>
        <stp>BDH|7576956095039439775</stp>
        <tr r="T155" s="18"/>
      </tp>
      <tp t="e">
        <v>#N/A</v>
        <stp/>
        <stp>BDH|4540307184171308745</stp>
        <tr r="AA44" s="22"/>
      </tp>
      <tp t="e">
        <v>#N/A</v>
        <stp/>
        <stp>BDH|3559973652726515037</stp>
        <tr r="S106" s="18"/>
      </tp>
      <tp t="e">
        <v>#N/A</v>
        <stp/>
        <stp>BDH|6854986557045439656</stp>
        <tr r="Y52" s="12"/>
      </tp>
      <tp t="e">
        <v>#N/A</v>
        <stp/>
        <stp>BDH|6449956147876696465</stp>
        <tr r="F53" s="17"/>
      </tp>
      <tp t="e">
        <v>#N/A</v>
        <stp/>
        <stp>BDH|1527742539119768591</stp>
        <tr r="Y99" s="12"/>
      </tp>
      <tp t="e">
        <v>#N/A</v>
        <stp/>
        <stp>BDH|4366906707806686249</stp>
        <tr r="O9" s="24"/>
      </tp>
      <tp t="e">
        <v>#N/A</v>
        <stp/>
        <stp>BDH|4474972873751422229</stp>
        <tr r="T18" s="11"/>
      </tp>
      <tp t="e">
        <v>#N/A</v>
        <stp/>
        <stp>BDH|5334484590882925345</stp>
        <tr r="V46" s="13"/>
        <tr r="T41" s="10"/>
        <tr r="T30" s="11"/>
      </tp>
      <tp t="e">
        <v>#N/A</v>
        <stp/>
        <stp>BDH|2278768889180310487</stp>
        <tr r="X24" s="5"/>
      </tp>
      <tp t="e">
        <v>#N/A</v>
        <stp/>
        <stp>BDH|5272619991643037043</stp>
        <tr r="U37" s="12"/>
      </tp>
      <tp t="e">
        <v>#N/A</v>
        <stp/>
        <stp>BDH|4116228918337598988</stp>
        <tr r="E124" s="18"/>
      </tp>
      <tp t="e">
        <v>#N/A</v>
        <stp/>
        <stp>BDH|4306026496903737761</stp>
        <tr r="P8" s="14"/>
      </tp>
      <tp t="e">
        <v>#N/A</v>
        <stp/>
        <stp>BDH|9496424019490929506</stp>
        <tr r="J10" s="17"/>
      </tp>
      <tp t="e">
        <v>#N/A</v>
        <stp/>
        <stp>BDH|8801212259211582734</stp>
        <tr r="J60" s="13"/>
        <tr r="H48" s="11"/>
        <tr r="H59" s="10"/>
        <tr r="H17" s="7"/>
        <tr r="H17" s="4"/>
        <tr r="J10" s="3"/>
      </tp>
      <tp t="e">
        <v>#N/A</v>
        <stp/>
        <stp>BDH|5578126951108380034</stp>
        <tr r="T19" s="30"/>
      </tp>
      <tp t="e">
        <v>#N/A</v>
        <stp/>
        <stp>BDH|2477255181937327655</stp>
        <tr r="E93" s="18"/>
      </tp>
      <tp t="e">
        <v>#N/A</v>
        <stp/>
        <stp>BDH|8224609397528740645</stp>
        <tr r="U21" s="27"/>
      </tp>
      <tp t="e">
        <v>#N/A</v>
        <stp/>
        <stp>BDH|8506773728225575199</stp>
        <tr r="G22" s="17"/>
        <tr r="G15" s="3"/>
      </tp>
      <tp t="e">
        <v>#N/A</v>
        <stp/>
        <stp>BDH|8541194783891107987</stp>
        <tr r="N73" s="12"/>
      </tp>
      <tp t="e">
        <v>#N/A</v>
        <stp/>
        <stp>BDH|5549699125389870177</stp>
        <tr r="J47" s="13"/>
      </tp>
      <tp t="e">
        <v>#N/A</v>
        <stp/>
        <stp>BDH|1166931275467483155</stp>
        <tr r="H20" s="5"/>
      </tp>
      <tp t="e">
        <v>#N/A</v>
        <stp/>
        <stp>BDH|1425873116567730649</stp>
        <tr r="S45" s="34"/>
      </tp>
      <tp t="e">
        <v>#N/A</v>
        <stp/>
        <stp>BDH|1370429593752243763</stp>
        <tr r="C74" s="12"/>
      </tp>
      <tp t="e">
        <v>#N/A</v>
        <stp/>
        <stp>BDH|1811404649320308848</stp>
        <tr r="R31" s="14"/>
      </tp>
      <tp t="e">
        <v>#N/A</v>
        <stp/>
        <stp>BDH|5195906632141086747</stp>
        <tr r="N24" s="25"/>
      </tp>
      <tp t="e">
        <v>#N/A</v>
        <stp/>
        <stp>BDH|1300258165124583812</stp>
        <tr r="W65" s="17"/>
      </tp>
      <tp t="e">
        <v>#N/A</v>
        <stp/>
        <stp>BDH|1708359564599198406</stp>
        <tr r="AA127" s="18"/>
      </tp>
      <tp t="e">
        <v>#N/A</v>
        <stp/>
        <stp>BDH|2739877916196773461</stp>
        <tr r="R72" s="17"/>
      </tp>
      <tp t="e">
        <v>#N/A</v>
        <stp/>
        <stp>BDH|7720336337636335873</stp>
        <tr r="M6" s="28"/>
      </tp>
      <tp t="e">
        <v>#N/A</v>
        <stp/>
        <stp>BDH|8442766245617074501</stp>
        <tr r="X56" s="24"/>
      </tp>
      <tp t="e">
        <v>#N/A</v>
        <stp/>
        <stp>BDH|8122091579627623105</stp>
        <tr r="Z168" s="18"/>
      </tp>
      <tp t="e">
        <v>#N/A</v>
        <stp/>
        <stp>BDH|4616040395964294023</stp>
        <tr r="L29" s="26"/>
      </tp>
      <tp t="e">
        <v>#N/A</v>
        <stp/>
        <stp>BDH|4765142722286405824</stp>
        <tr r="O16" s="18"/>
      </tp>
      <tp t="e">
        <v>#N/A</v>
        <stp/>
        <stp>BDH|9986834936678391381</stp>
        <tr r="L61" s="21"/>
        <tr r="J25" s="2"/>
      </tp>
      <tp t="e">
        <v>#N/A</v>
        <stp/>
        <stp>BDH|1088500696544560049</stp>
        <tr r="H38" s="24"/>
      </tp>
      <tp t="e">
        <v>#N/A</v>
        <stp/>
        <stp>BDH|1008844663237326136</stp>
        <tr r="P48" s="22"/>
      </tp>
      <tp t="e">
        <v>#N/A</v>
        <stp/>
        <stp>BDH|3165736095607261325</stp>
        <tr r="N42" s="25"/>
      </tp>
      <tp t="e">
        <v>#N/A</v>
        <stp/>
        <stp>BDH|4176582496858082980</stp>
        <tr r="R12" s="6"/>
      </tp>
      <tp t="e">
        <v>#N/A</v>
        <stp/>
        <stp>BDH|1594375839381422988</stp>
        <tr r="F167" s="18"/>
      </tp>
      <tp t="e">
        <v>#N/A</v>
        <stp/>
        <stp>BDH|7266245498311832416</stp>
        <tr r="L31" s="21"/>
      </tp>
      <tp t="e">
        <v>#N/A</v>
        <stp/>
        <stp>BDH|8190536546802266214</stp>
        <tr r="L19" s="13"/>
        <tr r="J65" s="10"/>
        <tr r="J32" s="4"/>
        <tr r="J16" s="2"/>
      </tp>
      <tp t="e">
        <v>#N/A</v>
        <stp/>
        <stp>BDH|2827581552248062353</stp>
        <tr r="T22" s="22"/>
      </tp>
      <tp t="e">
        <v>#N/A</v>
        <stp/>
        <stp>BDH|3522793349700531972</stp>
        <tr r="M9" s="11"/>
      </tp>
      <tp t="e">
        <v>#N/A</v>
        <stp/>
        <stp>BDH|5858075155980580986</stp>
        <tr r="M30" s="29"/>
        <tr r="M8" s="29"/>
      </tp>
      <tp t="e">
        <v>#N/A</v>
        <stp/>
        <stp>BDH|7940962011621879710</stp>
        <tr r="O50" s="22"/>
      </tp>
      <tp t="e">
        <v>#N/A</v>
        <stp/>
        <stp>BDH|7413846912490643731</stp>
        <tr r="M86" s="12"/>
      </tp>
      <tp t="e">
        <v>#N/A</v>
        <stp/>
        <stp>BDH|4599254586765954289</stp>
        <tr r="Z30" s="26"/>
      </tp>
      <tp t="e">
        <v>#N/A</v>
        <stp/>
        <stp>BDH|1026167382177508662</stp>
        <tr r="N70" s="10"/>
      </tp>
      <tp t="e">
        <v>#N/A</v>
        <stp/>
        <stp>BDH|4187008224777338812</stp>
        <tr r="N25" s="13"/>
      </tp>
      <tp t="e">
        <v>#N/A</v>
        <stp/>
        <stp>BDH|5637379381526643112</stp>
        <tr r="K8" s="24"/>
      </tp>
      <tp t="e">
        <v>#N/A</v>
        <stp/>
        <stp>BDH|4647549117639447067</stp>
        <tr r="R74" s="12"/>
      </tp>
      <tp t="e">
        <v>#N/A</v>
        <stp/>
        <stp>BDH|5210448914709514007</stp>
        <tr r="P75" s="18"/>
      </tp>
      <tp t="e">
        <v>#N/A</v>
        <stp/>
        <stp>BDH|7159765797004297451</stp>
        <tr r="X13" s="21"/>
      </tp>
      <tp t="e">
        <v>#N/A</v>
        <stp/>
        <stp>BDH|7553774784938766965</stp>
        <tr r="I35" s="34"/>
      </tp>
      <tp t="e">
        <v>#N/A</v>
        <stp/>
        <stp>BDH|2588928531289999880</stp>
        <tr r="E38" s="22"/>
      </tp>
      <tp t="e">
        <v>#N/A</v>
        <stp/>
        <stp>BDH|6337211171912408800</stp>
        <tr r="F25" s="18"/>
      </tp>
      <tp t="e">
        <v>#N/A</v>
        <stp/>
        <stp>BDH|4065741968495885931</stp>
        <tr r="W40" s="24"/>
      </tp>
      <tp t="e">
        <v>#N/A</v>
        <stp/>
        <stp>BDH|6174687256978171493</stp>
        <tr r="R46" s="10"/>
        <tr r="R35" s="11"/>
      </tp>
      <tp t="e">
        <v>#N/A</v>
        <stp/>
        <stp>BDH|8025154464126782012</stp>
        <tr r="K46" s="17"/>
      </tp>
      <tp t="e">
        <v>#N/A</v>
        <stp/>
        <stp>BDH|3484543754399760343</stp>
        <tr r="D55" s="24"/>
      </tp>
      <tp t="e">
        <v>#N/A</v>
        <stp/>
        <stp>BDH|2020946643656594057</stp>
        <tr r="W28" s="34"/>
      </tp>
      <tp t="e">
        <v>#N/A</v>
        <stp/>
        <stp>BDH|8437668578340927045</stp>
        <tr r="V11" s="14"/>
      </tp>
      <tp t="e">
        <v>#N/A</v>
        <stp/>
        <stp>BDH|6717156645872923893</stp>
        <tr r="S66" s="21"/>
      </tp>
      <tp t="e">
        <v>#N/A</v>
        <stp/>
        <stp>BDH|9628247025816848687</stp>
        <tr r="L78" s="24"/>
      </tp>
      <tp t="e">
        <v>#N/A</v>
        <stp/>
        <stp>BDH|4621650797461708348</stp>
        <tr r="T11" s="11"/>
      </tp>
      <tp t="e">
        <v>#N/A</v>
        <stp/>
        <stp>BDH|1585822164385066341</stp>
        <tr r="AA13" s="20"/>
        <tr r="AA118" s="18"/>
      </tp>
      <tp t="e">
        <v>#N/A</v>
        <stp/>
        <stp>BDH|1727364516772160826</stp>
        <tr r="W38" s="29"/>
        <tr r="W15" s="29"/>
      </tp>
      <tp t="e">
        <v>#N/A</v>
        <stp/>
        <stp>BDH|6175957020211353536</stp>
        <tr r="Q7" s="20"/>
        <tr r="Q113" s="18"/>
      </tp>
      <tp t="e">
        <v>#N/A</v>
        <stp/>
        <stp>BDH|1667241443088418616</stp>
        <tr r="D71" s="18"/>
      </tp>
      <tp t="e">
        <v>#N/A</v>
        <stp/>
        <stp>BDH|5353725342297147866</stp>
        <tr r="F19" s="23"/>
        <tr r="D60" s="11"/>
      </tp>
      <tp t="e">
        <v>#N/A</v>
        <stp/>
        <stp>BDH|6781645353815434905</stp>
        <tr r="AA76" s="24"/>
      </tp>
      <tp t="e">
        <v>#N/A</v>
        <stp/>
        <stp>BDH|4971170383810880414</stp>
        <tr r="X58" s="18"/>
      </tp>
      <tp t="e">
        <v>#N/A</v>
        <stp/>
        <stp>BDH|5630911403657302237</stp>
        <tr r="R32" s="21"/>
      </tp>
      <tp t="e">
        <v>#N/A</v>
        <stp/>
        <stp>BDH|5601805678674864727</stp>
        <tr r="Z86" s="12"/>
      </tp>
      <tp t="e">
        <v>#N/A</v>
        <stp/>
        <stp>BDH|3051997620271842056</stp>
        <tr r="Q56" s="13"/>
      </tp>
      <tp t="e">
        <v>#N/A</v>
        <stp/>
        <stp>BDH|9011302193649417336</stp>
        <tr r="X24" s="12"/>
      </tp>
      <tp t="e">
        <v>#N/A</v>
        <stp/>
        <stp>BDH|8298178112161544061</stp>
        <tr r="X14" s="10"/>
      </tp>
      <tp t="e">
        <v>#N/A</v>
        <stp/>
        <stp>BDH|5868649009193094913</stp>
        <tr r="Y93" s="17"/>
      </tp>
      <tp t="e">
        <v>#N/A</v>
        <stp/>
        <stp>BDH|5464923804713733615</stp>
        <tr r="H13" s="8"/>
      </tp>
      <tp t="e">
        <v>#N/A</v>
        <stp/>
        <stp>BDH|8387631032495516138</stp>
        <tr r="X18" s="25"/>
      </tp>
      <tp t="e">
        <v>#N/A</v>
        <stp/>
        <stp>BDH|1816467942511114996</stp>
        <tr r="T82" s="18"/>
      </tp>
      <tp t="e">
        <v>#N/A</v>
        <stp/>
        <stp>BDH|9007350354521760724</stp>
        <tr r="AA61" s="21"/>
        <tr r="Y25" s="2"/>
      </tp>
      <tp t="e">
        <v>#N/A</v>
        <stp/>
        <stp>BDH|3316414816439465640</stp>
        <tr r="D43" s="26"/>
      </tp>
      <tp t="e">
        <v>#N/A</v>
        <stp/>
        <stp>BDH|5354345408399901624</stp>
        <tr r="Q144" s="18"/>
      </tp>
      <tp t="e">
        <v>#N/A</v>
        <stp/>
        <stp>BDH|1037822130725561636</stp>
        <tr r="L99" s="18"/>
      </tp>
      <tp t="e">
        <v>#N/A</v>
        <stp/>
        <stp>BDH|9975100827122878127</stp>
        <tr r="H104" s="18"/>
      </tp>
      <tp t="e">
        <v>#N/A</v>
        <stp/>
        <stp>BDH|8754667042043761002</stp>
        <tr r="W43" s="10"/>
        <tr r="W32" s="11"/>
      </tp>
      <tp t="e">
        <v>#N/A</v>
        <stp/>
        <stp>BDH|2719252386059803885</stp>
        <tr r="J21" s="10"/>
      </tp>
      <tp t="e">
        <v>#N/A</v>
        <stp/>
        <stp>BDH|6991938318351119675</stp>
        <tr r="F56" s="17"/>
      </tp>
      <tp t="e">
        <v>#N/A</v>
        <stp/>
        <stp>BDH|8931013840424864144</stp>
        <tr r="S14" s="4"/>
      </tp>
      <tp t="e">
        <v>#N/A</v>
        <stp/>
        <stp>BDH|5962869268822573069</stp>
        <tr r="U41" s="22"/>
      </tp>
      <tp t="e">
        <v>#N/A</v>
        <stp/>
        <stp>BDH|7381056205228535627</stp>
        <tr r="U30" s="34"/>
      </tp>
      <tp t="e">
        <v>#N/A</v>
        <stp/>
        <stp>BDH|3310437337955466871</stp>
        <tr r="R77" s="18"/>
      </tp>
      <tp t="e">
        <v>#N/A</v>
        <stp/>
        <stp>BDH|1450633565921704917</stp>
        <tr r="H51" s="17"/>
      </tp>
      <tp t="e">
        <v>#N/A</v>
        <stp/>
        <stp>BDH|2553760510724510928</stp>
        <tr r="F78" s="12"/>
      </tp>
      <tp t="e">
        <v>#N/A</v>
        <stp/>
        <stp>BDH|3456877324209629959</stp>
        <tr r="U22" s="24"/>
      </tp>
      <tp t="e">
        <v>#N/A</v>
        <stp/>
        <stp>BDH|8076510855105147419</stp>
        <tr r="D95" s="12"/>
      </tp>
      <tp t="e">
        <v>#N/A</v>
        <stp/>
        <stp>BDH|9846465391194926929</stp>
        <tr r="D24" s="24"/>
      </tp>
      <tp t="e">
        <v>#N/A</v>
        <stp/>
        <stp>BDH|8874752043043884127</stp>
        <tr r="F47" s="6"/>
      </tp>
      <tp t="e">
        <v>#N/A</v>
        <stp/>
        <stp>BDH|8953765626904852056</stp>
        <tr r="N18" s="22"/>
      </tp>
      <tp t="e">
        <v>#N/A</v>
        <stp/>
        <stp>BDH|2883626181652929760</stp>
        <tr r="Z50" s="22"/>
      </tp>
      <tp t="e">
        <v>#N/A</v>
        <stp/>
        <stp>BDH|4016422557998175407</stp>
        <tr r="T27" s="24"/>
      </tp>
      <tp t="e">
        <v>#N/A</v>
        <stp/>
        <stp>BDH|3188217502098503032</stp>
        <tr r="J48" s="18"/>
      </tp>
      <tp t="e">
        <v>#N/A</v>
        <stp/>
        <stp>BDH|7282612157605312830</stp>
        <tr r="K90" s="17"/>
      </tp>
      <tp t="e">
        <v>#N/A</v>
        <stp/>
        <stp>BDH|1968420293987931251</stp>
        <tr r="M25" s="17"/>
      </tp>
      <tp t="e">
        <v>#N/A</v>
        <stp/>
        <stp>BDH|4135858961957577448</stp>
        <tr r="K53" s="13"/>
      </tp>
      <tp t="e">
        <v>#N/A</v>
        <stp/>
        <stp>BDH|4580805330710439654</stp>
        <tr r="U68" s="17"/>
      </tp>
      <tp t="e">
        <v>#N/A</v>
        <stp/>
        <stp>BDH|7668524276455792913</stp>
        <tr r="W71" s="17"/>
      </tp>
      <tp t="e">
        <v>#N/A</v>
        <stp/>
        <stp>BDH|9539579139731953764</stp>
        <tr r="AA17" s="22"/>
      </tp>
      <tp t="e">
        <v>#N/A</v>
        <stp/>
        <stp>BDH|8893081616150734055</stp>
        <tr r="V36" s="21"/>
        <tr r="V24" s="3"/>
      </tp>
      <tp t="e">
        <v>#N/A</v>
        <stp/>
        <stp>BDH|4826266402656958918</stp>
        <tr r="N32" s="6"/>
      </tp>
      <tp t="e">
        <v>#N/A</v>
        <stp/>
        <stp>BDH|4124569214949380044</stp>
        <tr r="P36" s="18"/>
      </tp>
      <tp t="e">
        <v>#N/A</v>
        <stp/>
        <stp>BDH|7981870267490433091</stp>
        <tr r="J49" s="34"/>
      </tp>
      <tp t="e">
        <v>#N/A</v>
        <stp/>
        <stp>BDH|7995594876244582879</stp>
        <tr r="T166" s="18"/>
      </tp>
      <tp t="e">
        <v>#N/A</v>
        <stp/>
        <stp>BDH|1765827371316662175</stp>
        <tr r="R32" s="13"/>
        <tr r="P25" s="10"/>
      </tp>
      <tp t="e">
        <v>#N/A</v>
        <stp/>
        <stp>BDH|3355879204560213279</stp>
        <tr r="X8" s="27"/>
      </tp>
      <tp t="e">
        <v>#N/A</v>
        <stp/>
        <stp>BDH|3577922163776873394</stp>
        <tr r="V16" s="18"/>
      </tp>
      <tp t="e">
        <v>#N/A</v>
        <stp/>
        <stp>BDH|7845936158600227247</stp>
        <tr r="V78" s="12"/>
      </tp>
      <tp t="e">
        <v>#N/A</v>
        <stp/>
        <stp>BDH|3690434502229779759</stp>
        <tr r="V72" s="18"/>
      </tp>
      <tp t="e">
        <v>#N/A</v>
        <stp/>
        <stp>BDH|9456409662190647258</stp>
        <tr r="T25" s="12"/>
      </tp>
      <tp t="e">
        <v>#N/A</v>
        <stp/>
        <stp>BDH|2142183811489508282</stp>
        <tr r="D68" s="24"/>
      </tp>
      <tp t="e">
        <v>#N/A</v>
        <stp/>
        <stp>BDH|9462215125316319661</stp>
        <tr r="H45" s="11"/>
        <tr r="H56" s="10"/>
        <tr r="H16" s="7"/>
      </tp>
      <tp t="e">
        <v>#N/A</v>
        <stp/>
        <stp>BDH|7678676987224777446</stp>
        <tr r="M69" s="18"/>
      </tp>
      <tp t="e">
        <v>#N/A</v>
        <stp/>
        <stp>BDH|2054850419854092696</stp>
        <tr r="P13" s="28"/>
        <tr r="P95" s="17"/>
      </tp>
      <tp t="e">
        <v>#N/A</v>
        <stp/>
        <stp>BDH|9902181964611109615</stp>
        <tr r="C135" s="18"/>
      </tp>
      <tp t="e">
        <v>#N/A</v>
        <stp/>
        <stp>BDH|3481633282931779577</stp>
        <tr r="P42" s="21"/>
      </tp>
      <tp t="e">
        <v>#N/A</v>
        <stp/>
        <stp>BDH|4413539344398192470</stp>
        <tr r="N11" s="13"/>
      </tp>
      <tp t="e">
        <v>#N/A</v>
        <stp/>
        <stp>BDH|2775858618946713482</stp>
        <tr r="K6" s="16"/>
        <tr r="L6" s="11"/>
        <tr r="L10" s="4"/>
        <tr r="N6" s="3"/>
      </tp>
      <tp t="e">
        <v>#N/A</v>
        <stp/>
        <stp>BDH|4008708422921632917</stp>
        <tr r="G54" s="12"/>
      </tp>
      <tp t="e">
        <v>#N/A</v>
        <stp/>
        <stp>BDH|3019227146244742865</stp>
        <tr r="D96" s="12"/>
      </tp>
      <tp t="e">
        <v>#N/A</v>
        <stp/>
        <stp>BDH|1722874355361249425</stp>
        <tr r="O67" s="10"/>
      </tp>
      <tp t="e">
        <v>#N/A</v>
        <stp/>
        <stp>BDH|8520917175619452601</stp>
        <tr r="M103" s="18"/>
      </tp>
      <tp t="e">
        <v>#N/A</v>
        <stp/>
        <stp>BDH|2398470049258155399</stp>
        <tr r="X21" s="30"/>
      </tp>
      <tp t="e">
        <v>#N/A</v>
        <stp/>
        <stp>BDH|4515893129671659666</stp>
        <tr r="V36" s="4"/>
      </tp>
      <tp t="e">
        <v>#N/A</v>
        <stp/>
        <stp>BDH|9736427926780152670</stp>
        <tr r="J67" s="17"/>
      </tp>
      <tp t="e">
        <v>#N/A</v>
        <stp/>
        <stp>BDH|7159763313068306020</stp>
        <tr r="R10" s="22"/>
      </tp>
      <tp t="e">
        <v>#N/A</v>
        <stp/>
        <stp>BDH|6456637196128130859</stp>
        <tr r="U20" s="12"/>
      </tp>
      <tp t="e">
        <v>#N/A</v>
        <stp/>
        <stp>BDH|8947078657554545094</stp>
        <tr r="H25" s="13"/>
      </tp>
      <tp t="e">
        <v>#N/A</v>
        <stp/>
        <stp>BDH|6188693799696425606</stp>
        <tr r="L49" s="22"/>
      </tp>
      <tp t="e">
        <v>#N/A</v>
        <stp/>
        <stp>BDH|7730551393942464005</stp>
        <tr r="U68" s="10"/>
        <tr r="U25" s="4"/>
      </tp>
      <tp t="e">
        <v>#N/A</v>
        <stp/>
        <stp>BDH|2149580048878073243</stp>
        <tr r="U161" s="18"/>
      </tp>
      <tp t="e">
        <v>#N/A</v>
        <stp/>
        <stp>BDH|1649174066147189832</stp>
        <tr r="L30" s="14"/>
      </tp>
      <tp t="e">
        <v>#N/A</v>
        <stp/>
        <stp>BDH|1852685154502388926</stp>
        <tr r="D9" s="6"/>
      </tp>
      <tp t="e">
        <v>#N/A</v>
        <stp/>
        <stp>BDH|2249842054543581521</stp>
        <tr r="U12" s="6"/>
      </tp>
      <tp t="e">
        <v>#N/A</v>
        <stp/>
        <stp>BDH|8215885111988912076</stp>
        <tr r="AA67" s="24"/>
      </tp>
      <tp t="e">
        <v>#N/A</v>
        <stp/>
        <stp>BDH|2180980824056114695</stp>
        <tr r="S41" s="21"/>
      </tp>
      <tp t="e">
        <v>#N/A</v>
        <stp/>
        <stp>BDH|6740513006228108249</stp>
        <tr r="G34" s="26"/>
      </tp>
      <tp t="e">
        <v>#N/A</v>
        <stp/>
        <stp>BDH|2478945478420599580</stp>
        <tr r="Y122" s="18"/>
      </tp>
      <tp t="e">
        <v>#N/A</v>
        <stp/>
        <stp>BDH|2183899646940244792</stp>
        <tr r="H18" s="11"/>
      </tp>
      <tp t="e">
        <v>#N/A</v>
        <stp/>
        <stp>BDH|9146856707089247148</stp>
        <tr r="Q69" s="18"/>
      </tp>
      <tp t="e">
        <v>#N/A</v>
        <stp/>
        <stp>BDH|94496493439475092</stp>
        <tr r="X45" s="22"/>
      </tp>
      <tp t="e">
        <v>#N/A</v>
        <stp/>
        <stp>BDH|24288145823998153</stp>
        <tr r="S27" s="25"/>
        <tr r="Q20" s="11"/>
      </tp>
      <tp t="e">
        <v>#N/A</v>
        <stp/>
        <stp>BDH|25753649781736652</stp>
        <tr r="V65" s="12"/>
      </tp>
      <tp t="e">
        <v>#N/A</v>
        <stp/>
        <stp>BDH|82790469045866044</stp>
        <tr r="N15" s="10"/>
      </tp>
      <tp t="e">
        <v>#N/A</v>
        <stp/>
        <stp>BDH|94947868949586223</stp>
        <tr r="Y66" s="12"/>
      </tp>
      <tp t="e">
        <v>#N/A</v>
        <stp/>
        <stp>BDH|95351758792704012</stp>
        <tr r="U21" s="20"/>
      </tp>
      <tp t="e">
        <v>#N/A</v>
        <stp/>
        <stp>BDH|60924179928651258</stp>
        <tr r="M28" s="12"/>
      </tp>
      <tp t="e">
        <v>#N/A</v>
        <stp/>
        <stp>BDH|73019348659511951</stp>
        <tr r="T16" s="12"/>
      </tp>
      <tp t="e">
        <v>#N/A</v>
        <stp/>
        <stp>BDH|1513791383942101648</stp>
        <tr r="X21" s="14"/>
      </tp>
      <tp t="e">
        <v>#N/A</v>
        <stp/>
        <stp>BDH|7299868978545131776</stp>
        <tr r="C61" s="11"/>
      </tp>
      <tp t="e">
        <v>#N/A</v>
        <stp/>
        <stp>BDH|7208102729366045814</stp>
        <tr r="F60" s="18"/>
      </tp>
      <tp t="e">
        <v>#N/A</v>
        <stp/>
        <stp>BDH|8413132117685326796</stp>
        <tr r="W152" s="18"/>
      </tp>
      <tp t="e">
        <v>#N/A</v>
        <stp/>
        <stp>BDH|1116060838891282971</stp>
        <tr r="M98" s="12"/>
      </tp>
      <tp t="e">
        <v>#N/A</v>
        <stp/>
        <stp>BDH|6194565912880930867</stp>
        <tr r="L13" s="11"/>
      </tp>
      <tp t="e">
        <v>#N/A</v>
        <stp/>
        <stp>BDH|7183480847945283869</stp>
        <tr r="K10" s="24"/>
      </tp>
      <tp t="e">
        <v>#N/A</v>
        <stp/>
        <stp>BDH|8148995581043723043</stp>
        <tr r="U65" s="13"/>
      </tp>
      <tp t="e">
        <v>#N/A</v>
        <stp/>
        <stp>BDH|4590879779785769462</stp>
        <tr r="T7" s="30"/>
      </tp>
      <tp t="e">
        <v>#N/A</v>
        <stp/>
        <stp>BDH|6701007598062159741</stp>
        <tr r="L21" s="6"/>
      </tp>
      <tp t="e">
        <v>#N/A</v>
        <stp/>
        <stp>BDH|8907775155340975083</stp>
        <tr r="G40" s="13"/>
        <tr r="E33" s="10"/>
      </tp>
      <tp t="e">
        <v>#N/A</v>
        <stp/>
        <stp>BDH|5652860432984171099</stp>
        <tr r="G73" s="18"/>
      </tp>
      <tp t="e">
        <v>#N/A</v>
        <stp/>
        <stp>BDH|9578525433157810260</stp>
        <tr r="O82" s="12"/>
      </tp>
      <tp t="e">
        <v>#N/A</v>
        <stp/>
        <stp>BDH|8438121524698928913</stp>
        <tr r="N20" s="25"/>
      </tp>
      <tp t="e">
        <v>#N/A</v>
        <stp/>
        <stp>BDH|4057271381337969355</stp>
        <tr r="P148" s="18"/>
      </tp>
      <tp t="e">
        <v>#N/A</v>
        <stp/>
        <stp>BDH|6678960506375535093</stp>
        <tr r="Q12" s="18"/>
      </tp>
      <tp t="e">
        <v>#N/A</v>
        <stp/>
        <stp>BDH|6192861709767492301</stp>
        <tr r="Y22" s="30"/>
        <tr r="Y24" s="23"/>
      </tp>
      <tp t="e">
        <v>#N/A</v>
        <stp/>
        <stp>BDH|1941866274534112001</stp>
        <tr r="J55" s="18"/>
      </tp>
      <tp t="e">
        <v>#N/A</v>
        <stp/>
        <stp>BDH|9193540550834848772</stp>
        <tr r="Y43" s="10"/>
        <tr r="Y32" s="11"/>
      </tp>
      <tp t="e">
        <v>#N/A</v>
        <stp/>
        <stp>BDH|5354484850556020811</stp>
        <tr r="S55" s="13"/>
      </tp>
      <tp t="e">
        <v>#N/A</v>
        <stp/>
        <stp>BDH|9749396042661656506</stp>
        <tr r="N46" s="17"/>
      </tp>
      <tp t="e">
        <v>#N/A</v>
        <stp/>
        <stp>BDH|8589692033347467016</stp>
        <tr r="S41" s="6"/>
        <tr r="S18" s="5"/>
      </tp>
      <tp t="e">
        <v>#N/A</v>
        <stp/>
        <stp>BDH|4060594603533386837</stp>
        <tr r="S35" s="18"/>
      </tp>
      <tp t="e">
        <v>#N/A</v>
        <stp/>
        <stp>BDH|7039908463126979406</stp>
        <tr r="D43" s="24"/>
      </tp>
      <tp t="e">
        <v>#N/A</v>
        <stp/>
        <stp>BDH|9009129859615331226</stp>
        <tr r="W147" s="18"/>
      </tp>
      <tp t="e">
        <v>#N/A</v>
        <stp/>
        <stp>BDH|1612698691466487208</stp>
        <tr r="AA52" s="17"/>
      </tp>
      <tp t="e">
        <v>#N/A</v>
        <stp/>
        <stp>BDH|5418117011928643786</stp>
        <tr r="D7" s="10"/>
      </tp>
      <tp t="e">
        <v>#N/A</v>
        <stp/>
        <stp>BDH|8872741522502691526</stp>
        <tr r="J30" s="14"/>
      </tp>
      <tp t="e">
        <v>#N/A</v>
        <stp/>
        <stp>BDH|9485620032810998675</stp>
        <tr r="R37" s="12"/>
      </tp>
      <tp t="e">
        <v>#N/A</v>
        <stp/>
        <stp>BDH|3872327481955156703</stp>
        <tr r="X15" s="11"/>
      </tp>
      <tp t="e">
        <v>#N/A</v>
        <stp/>
        <stp>BDH|7344693914379687323</stp>
        <tr r="K17" s="24"/>
      </tp>
      <tp t="e">
        <v>#N/A</v>
        <stp/>
        <stp>BDH|3240908528292176016</stp>
        <tr r="Q130" s="18"/>
      </tp>
      <tp t="e">
        <v>#N/A</v>
        <stp/>
        <stp>BDH|8543653261623891136</stp>
        <tr r="Z6" s="8"/>
        <tr r="X51" s="6"/>
      </tp>
      <tp t="e">
        <v>#N/A</v>
        <stp/>
        <stp>BDH|6124586861076380912</stp>
        <tr r="T36" s="22"/>
      </tp>
      <tp t="e">
        <v>#N/A</v>
        <stp/>
        <stp>BDH|5931803419170372687</stp>
        <tr r="L44" s="18"/>
      </tp>
      <tp t="e">
        <v>#N/A</v>
        <stp/>
        <stp>BDH|7564939363802873060</stp>
        <tr r="Z62" s="13"/>
      </tp>
      <tp t="e">
        <v>#N/A</v>
        <stp/>
        <stp>BDH|4602981440315121640</stp>
        <tr r="Z56" s="12"/>
      </tp>
      <tp t="e">
        <v>#N/A</v>
        <stp/>
        <stp>BDH|7672384217008556776</stp>
        <tr r="V43" s="29"/>
      </tp>
      <tp t="e">
        <v>#N/A</v>
        <stp/>
        <stp>BDH|7486286411546381853</stp>
        <tr r="H14" s="4"/>
      </tp>
      <tp t="e">
        <v>#N/A</v>
        <stp/>
        <stp>BDH|1267823692069817314</stp>
        <tr r="W23" s="25"/>
      </tp>
      <tp t="e">
        <v>#N/A</v>
        <stp/>
        <stp>BDH|8008352046412107796</stp>
        <tr r="L23" s="21"/>
      </tp>
      <tp t="e">
        <v>#N/A</v>
        <stp/>
        <stp>BDH|9937446582586402900</stp>
        <tr r="F21" s="11"/>
      </tp>
      <tp t="e">
        <v>#N/A</v>
        <stp/>
        <stp>BDH|1670360382571862117</stp>
        <tr r="T9" s="17"/>
      </tp>
      <tp t="e">
        <v>#N/A</v>
        <stp/>
        <stp>BDH|8510333349522041740</stp>
        <tr r="D85" s="18"/>
      </tp>
      <tp t="e">
        <v>#N/A</v>
        <stp/>
        <stp>BDH|6348729188220549378</stp>
        <tr r="N58" s="24"/>
      </tp>
      <tp t="e">
        <v>#N/A</v>
        <stp/>
        <stp>BDH|1337686047679249054</stp>
        <tr r="K92" s="18"/>
      </tp>
      <tp t="e">
        <v>#N/A</v>
        <stp/>
        <stp>BDH|4209817355390437395</stp>
        <tr r="H11" s="28"/>
      </tp>
      <tp t="e">
        <v>#N/A</v>
        <stp/>
        <stp>BDH|5938304105284316846</stp>
        <tr r="AA25" s="21"/>
      </tp>
      <tp t="e">
        <v>#N/A</v>
        <stp/>
        <stp>BDH|7296215392366342099</stp>
        <tr r="G27" s="17"/>
      </tp>
      <tp t="e">
        <v>#N/A</v>
        <stp/>
        <stp>BDH|1878896519283487179</stp>
        <tr r="H10" s="12"/>
      </tp>
      <tp t="e">
        <v>#N/A</v>
        <stp/>
        <stp>BDH|1996832346031181664</stp>
        <tr r="D64" s="13"/>
      </tp>
      <tp t="e">
        <v>#N/A</v>
        <stp/>
        <stp>BDH|3808142174456421973</stp>
        <tr r="L7" s="20"/>
        <tr r="L113" s="18"/>
      </tp>
      <tp t="e">
        <v>#N/A</v>
        <stp/>
        <stp>BDH|4131315672709120385</stp>
        <tr r="D96" s="18"/>
      </tp>
      <tp t="e">
        <v>#N/A</v>
        <stp/>
        <stp>BDH|1176381209090360889</stp>
        <tr r="L67" s="10"/>
      </tp>
      <tp t="e">
        <v>#N/A</v>
        <stp/>
        <stp>BDH|7622431987893818213</stp>
        <tr r="E89" s="18"/>
      </tp>
      <tp t="e">
        <v>#N/A</v>
        <stp/>
        <stp>BDH|6322387839199890515</stp>
        <tr r="P28" s="13"/>
        <tr r="P16" s="13"/>
        <tr r="N17" s="10"/>
      </tp>
      <tp t="e">
        <v>#N/A</v>
        <stp/>
        <stp>BDH|8555116329862486328</stp>
        <tr r="P26" s="29"/>
      </tp>
      <tp t="e">
        <v>#N/A</v>
        <stp/>
        <stp>BDH|6860308623098208525</stp>
        <tr r="D111" s="18"/>
      </tp>
      <tp t="e">
        <v>#N/A</v>
        <stp/>
        <stp>BDH|1160403855828708286</stp>
        <tr r="H33" s="22"/>
      </tp>
      <tp t="e">
        <v>#N/A</v>
        <stp/>
        <stp>BDH|9259691281958465550</stp>
        <tr r="V78" s="18"/>
      </tp>
      <tp t="e">
        <v>#N/A</v>
        <stp/>
        <stp>BDH|4216691589263917309</stp>
        <tr r="H43" s="18"/>
      </tp>
      <tp t="e">
        <v>#N/A</v>
        <stp/>
        <stp>BDH|8815198649083305403</stp>
        <tr r="D31" s="22"/>
      </tp>
      <tp t="e">
        <v>#N/A</v>
        <stp/>
        <stp>BDH|3233485680331605478</stp>
        <tr r="J15" s="4"/>
      </tp>
      <tp t="e">
        <v>#N/A</v>
        <stp/>
        <stp>BDH|8953767852138166878</stp>
        <tr r="P32" s="12"/>
      </tp>
      <tp t="e">
        <v>#N/A</v>
        <stp/>
        <stp>BDH|8994254790091379846</stp>
        <tr r="M57" s="12"/>
      </tp>
      <tp t="e">
        <v>#N/A</v>
        <stp/>
        <stp>BDH|8539461166939757992</stp>
        <tr r="C12" s="14"/>
      </tp>
      <tp t="e">
        <v>#N/A</v>
        <stp/>
        <stp>BDH|1793984746316332013</stp>
        <tr r="Y30" s="12"/>
      </tp>
      <tp t="e">
        <v>#N/A</v>
        <stp/>
        <stp>BDH|3341151249108234469</stp>
        <tr r="P36" s="12"/>
      </tp>
      <tp t="e">
        <v>#N/A</v>
        <stp/>
        <stp>BDH|4448917248884751710</stp>
        <tr r="U31" s="26"/>
      </tp>
      <tp t="e">
        <v>#N/A</v>
        <stp/>
        <stp>BDH|8138449030416662386</stp>
        <tr r="Y57" s="17"/>
      </tp>
      <tp t="e">
        <v>#N/A</v>
        <stp/>
        <stp>BDH|2916567632256041851</stp>
        <tr r="P12" s="7"/>
      </tp>
      <tp t="e">
        <v>#N/A</v>
        <stp/>
        <stp>BDH|5555431794745226780</stp>
        <tr r="N19" s="13"/>
        <tr r="L65" s="10"/>
        <tr r="L32" s="4"/>
        <tr r="L16" s="2"/>
      </tp>
      <tp t="e">
        <v>#N/A</v>
        <stp/>
        <stp>BDH|7582360199767378019</stp>
        <tr r="K18" s="29"/>
        <tr r="K41" s="29"/>
      </tp>
      <tp t="e">
        <v>#N/A</v>
        <stp/>
        <stp>BDH|2545040948569781568</stp>
        <tr r="S20" s="28"/>
        <tr r="S17" s="17"/>
      </tp>
      <tp t="e">
        <v>#N/A</v>
        <stp/>
        <stp>BDH|1183440463849756095</stp>
        <tr r="X29" s="4"/>
      </tp>
      <tp t="e">
        <v>#N/A</v>
        <stp/>
        <stp>BDH|5819675593272668220</stp>
        <tr r="G18" s="25"/>
      </tp>
      <tp t="e">
        <v>#N/A</v>
        <stp/>
        <stp>BDH|8455628362367588596</stp>
        <tr r="W10" s="24"/>
      </tp>
      <tp t="e">
        <v>#N/A</v>
        <stp/>
        <stp>BDH|3123236700822383997</stp>
        <tr r="L48" s="17"/>
      </tp>
      <tp t="e">
        <v>#N/A</v>
        <stp/>
        <stp>BDH|7190954744541920119</stp>
        <tr r="M8" s="12"/>
      </tp>
      <tp t="e">
        <v>#N/A</v>
        <stp/>
        <stp>BDH|8258696631626323114</stp>
        <tr r="P25" s="22"/>
      </tp>
      <tp t="e">
        <v>#N/A</v>
        <stp/>
        <stp>BDH|5522465612108921206</stp>
        <tr r="R86" s="18"/>
      </tp>
      <tp t="e">
        <v>#N/A</v>
        <stp/>
        <stp>BDH|1214565482706943075</stp>
        <tr r="G8" s="17"/>
      </tp>
      <tp t="e">
        <v>#N/A</v>
        <stp/>
        <stp>BDH|9512554399048059712</stp>
        <tr r="G14" s="22"/>
      </tp>
      <tp t="e">
        <v>#N/A</v>
        <stp/>
        <stp>BDH|6343326908867583840</stp>
        <tr r="L36" s="22"/>
      </tp>
      <tp t="e">
        <v>#N/A</v>
        <stp/>
        <stp>BDH|7557903880008525480</stp>
        <tr r="Z41" s="24"/>
      </tp>
      <tp t="e">
        <v>#N/A</v>
        <stp/>
        <stp>BDH|8240120269614608176</stp>
        <tr r="F18" s="10"/>
      </tp>
      <tp t="e">
        <v>#N/A</v>
        <stp/>
        <stp>BDH|1851073047679458642</stp>
        <tr r="E32" s="22"/>
      </tp>
      <tp t="e">
        <v>#N/A</v>
        <stp/>
        <stp>BDH|6042636282995140788</stp>
        <tr r="K8" s="17"/>
      </tp>
      <tp t="e">
        <v>#N/A</v>
        <stp/>
        <stp>BDH|7493863358333235303</stp>
        <tr r="E35" s="11"/>
        <tr r="E46" s="10"/>
      </tp>
      <tp t="e">
        <v>#N/A</v>
        <stp/>
        <stp>BDH|1745381277696384933</stp>
        <tr r="I34" s="21"/>
      </tp>
      <tp t="e">
        <v>#N/A</v>
        <stp/>
        <stp>BDH|8093541849735148640</stp>
        <tr r="Z85" s="18"/>
      </tp>
      <tp t="e">
        <v>#N/A</v>
        <stp/>
        <stp>BDH|1136632778809073325</stp>
        <tr r="R39" s="21"/>
      </tp>
      <tp t="e">
        <v>#N/A</v>
        <stp/>
        <stp>BDH|5682339576873852837</stp>
        <tr r="F53" s="34"/>
      </tp>
      <tp t="e">
        <v>#N/A</v>
        <stp/>
        <stp>BDH|6492940656064861464</stp>
        <tr r="V15" s="5"/>
      </tp>
      <tp t="e">
        <v>#N/A</v>
        <stp/>
        <stp>BDH|7954838368201268282</stp>
        <tr r="G34" s="11"/>
        <tr r="G45" s="10"/>
      </tp>
      <tp t="e">
        <v>#N/A</v>
        <stp/>
        <stp>BDH|2422512612808633491</stp>
        <tr r="V54" s="34"/>
      </tp>
      <tp t="e">
        <v>#N/A</v>
        <stp/>
        <stp>BDH|8486061135235975466</stp>
        <tr r="K11" s="21"/>
      </tp>
      <tp t="e">
        <v>#N/A</v>
        <stp/>
        <stp>BDH|2739814757555088090</stp>
        <tr r="H49" s="22"/>
      </tp>
      <tp t="e">
        <v>#N/A</v>
        <stp/>
        <stp>BDH|2761088192571284079</stp>
        <tr r="T98" s="18"/>
      </tp>
      <tp t="e">
        <v>#N/A</v>
        <stp/>
        <stp>BDH|3066922924907721595</stp>
        <tr r="D32" s="29"/>
      </tp>
      <tp t="e">
        <v>#N/A</v>
        <stp/>
        <stp>BDH|1605650515725627988</stp>
        <tr r="L39" s="12"/>
      </tp>
      <tp t="e">
        <v>#N/A</v>
        <stp/>
        <stp>BDH|4435327998313398753</stp>
        <tr r="X25" s="18"/>
      </tp>
      <tp t="e">
        <v>#N/A</v>
        <stp/>
        <stp>BDH|7012804284949971456</stp>
        <tr r="H68" s="17"/>
      </tp>
      <tp t="e">
        <v>#N/A</v>
        <stp/>
        <stp>BDH|4277062070901869847</stp>
        <tr r="Q39" s="12"/>
      </tp>
      <tp t="e">
        <v>#N/A</v>
        <stp/>
        <stp>BDH|5165308389652941690</stp>
        <tr r="P104" s="18"/>
      </tp>
      <tp t="e">
        <v>#N/A</v>
        <stp/>
        <stp>BDH|3478994592930234955</stp>
        <tr r="N22" s="18"/>
      </tp>
      <tp t="e">
        <v>#N/A</v>
        <stp/>
        <stp>BDH|4524318678432617820</stp>
        <tr r="E10" s="13"/>
      </tp>
      <tp t="e">
        <v>#N/A</v>
        <stp/>
        <stp>BDH|7203521188365256528</stp>
        <tr r="H19" s="12"/>
      </tp>
      <tp t="e">
        <v>#N/A</v>
        <stp/>
        <stp>BDH|8995334304796352750</stp>
        <tr r="S35" s="25"/>
        <tr r="S17" s="27"/>
        <tr r="P14" s="5"/>
      </tp>
      <tp t="e">
        <v>#N/A</v>
        <stp/>
        <stp>BDH|8974925275435474930</stp>
        <tr r="T37" s="6"/>
      </tp>
      <tp t="e">
        <v>#N/A</v>
        <stp/>
        <stp>BDH|9394699412122583648</stp>
        <tr r="W19" s="20"/>
      </tp>
      <tp t="e">
        <v>#N/A</v>
        <stp/>
        <stp>BDH|4581820076310926119</stp>
        <tr r="I9" s="28"/>
      </tp>
      <tp t="e">
        <v>#N/A</v>
        <stp/>
        <stp>BDH|6675615649268455635</stp>
        <tr r="M75" s="24"/>
      </tp>
      <tp t="e">
        <v>#N/A</v>
        <stp/>
        <stp>BDH|7996861240830457125</stp>
        <tr r="L17" s="6"/>
      </tp>
      <tp t="e">
        <v>#N/A</v>
        <stp/>
        <stp>BDH|5330337528636729860</stp>
        <tr r="Y80" s="18"/>
      </tp>
      <tp t="e">
        <v>#N/A</v>
        <stp/>
        <stp>BDH|9964360101351215157</stp>
        <tr r="C55" s="24"/>
      </tp>
      <tp t="e">
        <v>#N/A</v>
        <stp/>
        <stp>BDH|8802172705003648055</stp>
        <tr r="X35" s="22"/>
      </tp>
      <tp t="e">
        <v>#N/A</v>
        <stp/>
        <stp>BDH|4594943418601987796</stp>
        <tr r="Q22" s="17"/>
        <tr r="Q15" s="3"/>
      </tp>
      <tp t="e">
        <v>#N/A</v>
        <stp/>
        <stp>BDH|4864603997189172871</stp>
        <tr r="J36" s="18"/>
      </tp>
      <tp t="e">
        <v>#N/A</v>
        <stp/>
        <stp>BDH|4728787873419159746</stp>
        <tr r="P48" s="24"/>
      </tp>
      <tp t="e">
        <v>#N/A</v>
        <stp/>
        <stp>BDH|6220681086045171743</stp>
        <tr r="V41" s="22"/>
      </tp>
      <tp t="e">
        <v>#N/A</v>
        <stp/>
        <stp>BDH|9578997170359576403</stp>
        <tr r="Z59" s="24"/>
      </tp>
      <tp t="e">
        <v>#N/A</v>
        <stp/>
        <stp>BDH|8381539474259417994</stp>
        <tr r="K7" s="10"/>
      </tp>
      <tp t="e">
        <v>#N/A</v>
        <stp/>
        <stp>BDH|2954663592504010344</stp>
        <tr r="F46" s="13"/>
        <tr r="D30" s="11"/>
        <tr r="D41" s="10"/>
      </tp>
      <tp t="e">
        <v>#N/A</v>
        <stp/>
        <stp>BDH|7651780622271022953</stp>
        <tr r="H7" s="20"/>
        <tr r="H113" s="18"/>
      </tp>
      <tp t="e">
        <v>#N/A</v>
        <stp/>
        <stp>BDH|2586912801964426587</stp>
        <tr r="L21" s="21"/>
      </tp>
      <tp t="e">
        <v>#N/A</v>
        <stp/>
        <stp>BDH|7350491886163016252</stp>
        <tr r="H7" s="17"/>
      </tp>
      <tp t="e">
        <v>#N/A</v>
        <stp/>
        <stp>BDH|8728085176604852182</stp>
        <tr r="J41" s="34"/>
      </tp>
      <tp t="e">
        <v>#N/A</v>
        <stp/>
        <stp>BDH|1081272903198911143</stp>
        <tr r="O57" s="12"/>
      </tp>
      <tp t="e">
        <v>#N/A</v>
        <stp/>
        <stp>BDH|9462565788056520868</stp>
        <tr r="O6" s="8"/>
        <tr r="M51" s="6"/>
      </tp>
      <tp t="e">
        <v>#N/A</v>
        <stp/>
        <stp>BDH|1898321134608718306</stp>
        <tr r="AA53" s="13"/>
      </tp>
      <tp t="e">
        <v>#N/A</v>
        <stp/>
        <stp>BDH|3552602089037389066</stp>
        <tr r="M100" s="18"/>
      </tp>
      <tp t="e">
        <v>#N/A</v>
        <stp/>
        <stp>BDH|8151505392979336792</stp>
        <tr r="Z71" s="12"/>
      </tp>
      <tp t="e">
        <v>#N/A</v>
        <stp/>
        <stp>BDH|9852848542339218657</stp>
        <tr r="D30" s="26"/>
      </tp>
      <tp t="e">
        <v>#N/A</v>
        <stp/>
        <stp>BDH|7280970216006327391</stp>
        <tr r="U13" s="8"/>
      </tp>
      <tp t="e">
        <v>#N/A</v>
        <stp/>
        <stp>BDH|6134208790662935515</stp>
        <tr r="Y54" s="13"/>
      </tp>
      <tp t="e">
        <v>#N/A</v>
        <stp/>
        <stp>BDH|8100306948794080102</stp>
        <tr r="N8" s="25"/>
        <tr r="K10" s="5"/>
        <tr r="L9" s="2"/>
      </tp>
      <tp t="e">
        <v>#N/A</v>
        <stp/>
        <stp>BDH|6841312613939369702</stp>
        <tr r="W17" s="14"/>
      </tp>
      <tp t="e">
        <v>#N/A</v>
        <stp/>
        <stp>BDH|9132551157436944538</stp>
        <tr r="R61" s="21"/>
        <tr r="P25" s="2"/>
      </tp>
      <tp t="e">
        <v>#N/A</v>
        <stp/>
        <stp>BDH|3324647490833635584</stp>
        <tr r="AA78" s="18"/>
      </tp>
      <tp t="e">
        <v>#N/A</v>
        <stp/>
        <stp>BDH|1885862438772916266</stp>
        <tr r="H15" s="18"/>
      </tp>
      <tp t="e">
        <v>#N/A</v>
        <stp/>
        <stp>BDH|1923926802697181510</stp>
        <tr r="K91" s="17"/>
      </tp>
      <tp t="e">
        <v>#N/A</v>
        <stp/>
        <stp>BDH|1665391713688727129</stp>
        <tr r="P6" s="8"/>
        <tr r="N51" s="6"/>
      </tp>
      <tp t="e">
        <v>#N/A</v>
        <stp/>
        <stp>BDH|8979210884918405013</stp>
        <tr r="U42" s="4"/>
      </tp>
      <tp t="e">
        <v>#N/A</v>
        <stp/>
        <stp>BDH|4865771240398513538</stp>
        <tr r="P36" s="17"/>
      </tp>
      <tp t="e">
        <v>#N/A</v>
        <stp/>
        <stp>BDH|5264525998611795261</stp>
        <tr r="Z12" s="22"/>
      </tp>
      <tp t="e">
        <v>#N/A</v>
        <stp/>
        <stp>BDH|4563583243958520722</stp>
        <tr r="M14" s="28"/>
      </tp>
      <tp t="e">
        <v>#N/A</v>
        <stp/>
        <stp>BDH|3101490744291279879</stp>
        <tr r="K42" s="4"/>
      </tp>
      <tp t="e">
        <v>#N/A</v>
        <stp/>
        <stp>BDH|5442410161824578987</stp>
        <tr r="K23" s="12"/>
      </tp>
      <tp t="e">
        <v>#N/A</v>
        <stp/>
        <stp>BDH|7489787860749750522</stp>
        <tr r="M11" s="6"/>
      </tp>
      <tp t="e">
        <v>#N/A</v>
        <stp/>
        <stp>BDH|6970812923944162235</stp>
        <tr r="U96" s="18"/>
      </tp>
      <tp t="e">
        <v>#N/A</v>
        <stp/>
        <stp>BDH|5242316780732834628</stp>
        <tr r="U46" s="13"/>
        <tr r="S30" s="11"/>
        <tr r="S41" s="10"/>
      </tp>
      <tp t="e">
        <v>#N/A</v>
        <stp/>
        <stp>BDH|8046943454388848661</stp>
        <tr r="I24" s="10"/>
      </tp>
      <tp t="e">
        <v>#N/A</v>
        <stp/>
        <stp>BDH|5070192691196626107</stp>
        <tr r="H8" s="34"/>
      </tp>
      <tp t="e">
        <v>#N/A</v>
        <stp/>
        <stp>BDH|6537482309799926135</stp>
        <tr r="D69" s="17"/>
        <tr r="D18" s="3"/>
      </tp>
      <tp t="e">
        <v>#N/A</v>
        <stp/>
        <stp>BDH|1493094970185554969</stp>
        <tr r="F43" s="6"/>
      </tp>
      <tp t="e">
        <v>#N/A</v>
        <stp/>
        <stp>BDH|7443348092137899044</stp>
        <tr r="W48" s="24"/>
      </tp>
      <tp t="e">
        <v>#N/A</v>
        <stp/>
        <stp>BDH|1268728494920338597</stp>
        <tr r="R72" s="10"/>
      </tp>
      <tp t="e">
        <v>#N/A</v>
        <stp/>
        <stp>BDH|3710231449099747647</stp>
        <tr r="N8" s="12"/>
      </tp>
      <tp t="e">
        <v>#N/A</v>
        <stp/>
        <stp>BDH|3029827199508749021</stp>
        <tr r="J10" s="11"/>
      </tp>
      <tp t="e">
        <v>#N/A</v>
        <stp/>
        <stp>BDH|5567661783035601482</stp>
        <tr r="E73" s="17"/>
      </tp>
      <tp t="e">
        <v>#N/A</v>
        <stp/>
        <stp>BDH|4736390481884682177</stp>
        <tr r="D17" s="14"/>
      </tp>
      <tp t="e">
        <v>#N/A</v>
        <stp/>
        <stp>BDH|5453394982572975687</stp>
        <tr r="U36" s="22"/>
      </tp>
      <tp t="e">
        <v>#N/A</v>
        <stp/>
        <stp>BDH|4839601496337167613</stp>
        <tr r="F90" s="18"/>
      </tp>
      <tp t="e">
        <v>#N/A</v>
        <stp/>
        <stp>BDH|2894210995834779751</stp>
        <tr r="D55" s="13"/>
      </tp>
      <tp t="e">
        <v>#N/A</v>
        <stp/>
        <stp>BDH|3616096797596219644</stp>
        <tr r="U11" s="20"/>
        <tr r="U116" s="18"/>
      </tp>
      <tp t="e">
        <v>#N/A</v>
        <stp/>
        <stp>BDH|8078667478752883188</stp>
        <tr r="Z61" s="18"/>
      </tp>
      <tp t="e">
        <v>#N/A</v>
        <stp/>
        <stp>BDH|2423975553395868164</stp>
        <tr r="G26" s="22"/>
      </tp>
      <tp t="e">
        <v>#N/A</v>
        <stp/>
        <stp>BDH|6756977130530865667</stp>
        <tr r="O6" s="27"/>
      </tp>
      <tp t="e">
        <v>#N/A</v>
        <stp/>
        <stp>BDH|1808497245458913334</stp>
        <tr r="AA101" s="18"/>
      </tp>
      <tp t="e">
        <v>#N/A</v>
        <stp/>
        <stp>BDH|4347400530460995940</stp>
        <tr r="R45" s="22"/>
      </tp>
      <tp t="e">
        <v>#N/A</v>
        <stp/>
        <stp>BDH|4163737896960220083</stp>
        <tr r="S37" s="13"/>
        <tr r="Q30" s="10"/>
      </tp>
      <tp t="e">
        <v>#N/A</v>
        <stp/>
        <stp>BDH|7631923758546357718</stp>
        <tr r="D9" s="28"/>
      </tp>
      <tp t="e">
        <v>#N/A</v>
        <stp/>
        <stp>BDH|8077214200064722489</stp>
        <tr r="H65" s="21"/>
        <tr r="E31" s="6"/>
      </tp>
      <tp t="e">
        <v>#N/A</v>
        <stp/>
        <stp>BDH|2027471846478767089</stp>
        <tr r="K11" s="28"/>
      </tp>
      <tp t="e">
        <v>#N/A</v>
        <stp/>
        <stp>BDH|5106340947831806940</stp>
        <tr r="E36" s="12"/>
      </tp>
      <tp t="e">
        <v>#N/A</v>
        <stp/>
        <stp>BDH|1426989622430034007</stp>
        <tr r="F17" s="27"/>
        <tr r="F35" s="25"/>
        <tr r="C14" s="5"/>
      </tp>
      <tp t="e">
        <v>#N/A</v>
        <stp/>
        <stp>BDH|8414199024012146367</stp>
        <tr r="G25" s="3"/>
      </tp>
      <tp t="e">
        <v>#N/A</v>
        <stp/>
        <stp>BDH|3926547141801619947</stp>
        <tr r="M15" s="10"/>
      </tp>
      <tp t="e">
        <v>#N/A</v>
        <stp/>
        <stp>BDH|2957969816415624511</stp>
        <tr r="G13" s="11"/>
      </tp>
      <tp t="e">
        <v>#N/A</v>
        <stp/>
        <stp>BDH|2209354837811757994</stp>
        <tr r="J68" s="10"/>
        <tr r="J25" s="4"/>
      </tp>
      <tp t="e">
        <v>#N/A</v>
        <stp/>
        <stp>BDH|6843740862325485842</stp>
        <tr r="C77" s="17"/>
      </tp>
      <tp t="e">
        <v>#N/A</v>
        <stp/>
        <stp>BDH|6575608363119836503</stp>
        <tr r="E25" s="7"/>
      </tp>
      <tp t="e">
        <v>#N/A</v>
        <stp/>
        <stp>BDH|2858512910814378846</stp>
        <tr r="R69" s="17"/>
        <tr r="R18" s="3"/>
      </tp>
      <tp t="e">
        <v>#N/A</v>
        <stp/>
        <stp>BDH|4736103770189873118</stp>
        <tr r="Q8" s="11"/>
      </tp>
      <tp t="e">
        <v>#N/A</v>
        <stp/>
        <stp>BDH|1210766891157872220</stp>
        <tr r="P38" s="13"/>
        <tr r="N31" s="10"/>
      </tp>
      <tp t="e">
        <v>#N/A</v>
        <stp/>
        <stp>BDH|3830991031373683099</stp>
        <tr r="S70" s="24"/>
      </tp>
      <tp t="e">
        <v>#N/A</v>
        <stp/>
        <stp>BDH|2142052008468543066</stp>
        <tr r="C39" s="29"/>
        <tr r="C16" s="29"/>
      </tp>
      <tp t="e">
        <v>#N/A</v>
        <stp/>
        <stp>BDH|5182969019207700063</stp>
        <tr r="N49" s="17"/>
      </tp>
      <tp t="e">
        <v>#N/A</v>
        <stp/>
        <stp>BDH|2625696112376010926</stp>
        <tr r="I32" s="6"/>
      </tp>
      <tp t="e">
        <v>#N/A</v>
        <stp/>
        <stp>BDH|8523112725958909979</stp>
        <tr r="Y169" s="18"/>
      </tp>
      <tp t="e">
        <v>#N/A</v>
        <stp/>
        <stp>BDH|8668309126767887470</stp>
        <tr r="Q53" s="13"/>
      </tp>
      <tp t="e">
        <v>#N/A</v>
        <stp/>
        <stp>BDH|9440024151645801305</stp>
        <tr r="F30" s="12"/>
      </tp>
      <tp t="e">
        <v>#N/A</v>
        <stp/>
        <stp>BDH|3145180956789852485</stp>
        <tr r="X9" s="20"/>
        <tr r="X115" s="18"/>
      </tp>
      <tp t="e">
        <v>#N/A</v>
        <stp/>
        <stp>BDH|3868538991930553501</stp>
        <tr r="Y70" s="13"/>
      </tp>
      <tp t="e">
        <v>#N/A</v>
        <stp/>
        <stp>BDH|6159990810520046476</stp>
        <tr r="D163" s="18"/>
      </tp>
      <tp t="e">
        <v>#N/A</v>
        <stp/>
        <stp>BDH|2056687032175461817</stp>
        <tr r="H11" s="20"/>
        <tr r="H116" s="18"/>
      </tp>
      <tp t="e">
        <v>#N/A</v>
        <stp/>
        <stp>BDH|9955373572047347000</stp>
        <tr r="I71" s="10"/>
      </tp>
      <tp t="e">
        <v>#N/A</v>
        <stp/>
        <stp>BDH|5111544228050018826</stp>
        <tr r="K62" s="11"/>
        <tr r="K73" s="10"/>
        <tr r="K20" s="7"/>
      </tp>
      <tp t="e">
        <v>#N/A</v>
        <stp/>
        <stp>BDH|1637295751725269935</stp>
        <tr r="V43" s="26"/>
      </tp>
      <tp t="e">
        <v>#N/A</v>
        <stp/>
        <stp>BDH|4444621386323631390</stp>
        <tr r="E39" s="13"/>
        <tr r="C32" s="10"/>
      </tp>
      <tp t="e">
        <v>#N/A</v>
        <stp/>
        <stp>BDH|3659382364224062857</stp>
        <tr r="H13" s="12"/>
      </tp>
      <tp t="e">
        <v>#N/A</v>
        <stp/>
        <stp>BDH|4699994118574955219</stp>
        <tr r="S9" s="11"/>
      </tp>
      <tp t="e">
        <v>#N/A</v>
        <stp/>
        <stp>BDH|4701212854859897057</stp>
        <tr r="L44" s="34"/>
      </tp>
      <tp t="e">
        <v>#N/A</v>
        <stp/>
        <stp>BDH|4039143069019535074</stp>
        <tr r="O28" s="17"/>
      </tp>
      <tp t="e">
        <v>#N/A</v>
        <stp/>
        <stp>BDH|7592928882355950930</stp>
        <tr r="C163" s="18"/>
      </tp>
      <tp t="e">
        <v>#N/A</v>
        <stp/>
        <stp>BDH|5864742184595306546</stp>
        <tr r="Y12" s="27"/>
        <tr r="Y30" s="25"/>
      </tp>
      <tp t="e">
        <v>#N/A</v>
        <stp/>
        <stp>BDH|4993635613490297946</stp>
        <tr r="H10" s="11"/>
      </tp>
      <tp t="e">
        <v>#N/A</v>
        <stp/>
        <stp>BDH|6718763762275813846</stp>
        <tr r="D41" s="29"/>
        <tr r="D18" s="29"/>
      </tp>
      <tp t="e">
        <v>#N/A</v>
        <stp/>
        <stp>BDH|6660511739358316223</stp>
        <tr r="K48" s="34"/>
      </tp>
      <tp t="e">
        <v>#N/A</v>
        <stp/>
        <stp>BDH|3345787674438861187</stp>
        <tr r="I18" s="10"/>
      </tp>
      <tp t="e">
        <v>#N/A</v>
        <stp/>
        <stp>BDH|3389743969890431856</stp>
        <tr r="K27" s="24"/>
      </tp>
      <tp t="e">
        <v>#N/A</v>
        <stp/>
        <stp>BDH|9619986706803771901</stp>
        <tr r="X18" s="13"/>
      </tp>
      <tp t="e">
        <v>#N/A</v>
        <stp/>
        <stp>BDH|2385227799521732201</stp>
        <tr r="G8" s="34"/>
      </tp>
      <tp t="e">
        <v>#N/A</v>
        <stp/>
        <stp>BDH|8559248911737967667</stp>
        <tr r="G136" s="18"/>
      </tp>
      <tp t="e">
        <v>#N/A</v>
        <stp/>
        <stp>BDH|2744099767266174873</stp>
        <tr r="Q50" s="4"/>
      </tp>
      <tp t="e">
        <v>#N/A</v>
        <stp/>
        <stp>BDH|8643627352078816919</stp>
        <tr r="N40" s="18"/>
      </tp>
      <tp t="e">
        <v>#N/A</v>
        <stp/>
        <stp>BDH|5612106556843641890</stp>
        <tr r="L54" s="18"/>
      </tp>
      <tp t="e">
        <v>#N/A</v>
        <stp/>
        <stp>BDH|8605261208389592920</stp>
        <tr r="L14" s="28"/>
      </tp>
      <tp t="e">
        <v>#N/A</v>
        <stp/>
        <stp>BDH|9843928295694662766</stp>
        <tr r="O10" s="10"/>
      </tp>
      <tp t="e">
        <v>#N/A</v>
        <stp/>
        <stp>BDH|8310484103160701609</stp>
        <tr r="D71" s="17"/>
      </tp>
      <tp t="e">
        <v>#N/A</v>
        <stp/>
        <stp>BDH|4889774636099001361</stp>
        <tr r="T16" s="34"/>
      </tp>
      <tp t="e">
        <v>#N/A</v>
        <stp/>
        <stp>BDH|9960983788630366258</stp>
        <tr r="P15" s="25"/>
      </tp>
      <tp t="e">
        <v>#N/A</v>
        <stp/>
        <stp>BDH|8488405216366482199</stp>
        <tr r="S42" s="25"/>
      </tp>
      <tp t="e">
        <v>#N/A</v>
        <stp/>
        <stp>BDH|2344915791368861077</stp>
        <tr r="L33" s="6"/>
      </tp>
      <tp t="e">
        <v>#N/A</v>
        <stp/>
        <stp>BDH|2803944016261024167</stp>
        <tr r="H81" s="18"/>
      </tp>
      <tp t="e">
        <v>#N/A</v>
        <stp/>
        <stp>BDH|3122214988235177650</stp>
        <tr r="J25" s="13"/>
      </tp>
      <tp t="e">
        <v>#N/A</v>
        <stp/>
        <stp>BDH|6439734618409188329</stp>
        <tr r="V32" s="12"/>
      </tp>
      <tp t="e">
        <v>#N/A</v>
        <stp/>
        <stp>BDH|9429755517607821221</stp>
        <tr r="T42" s="29"/>
        <tr r="T33" s="29"/>
        <tr r="R55" s="6"/>
        <tr r="R11" s="5"/>
        <tr r="S10" s="2"/>
      </tp>
      <tp t="e">
        <v>#N/A</v>
        <stp/>
        <stp>BDH|1760527682422332483</stp>
        <tr r="C12" s="10"/>
      </tp>
      <tp t="e">
        <v>#N/A</v>
        <stp/>
        <stp>BDH|1632692645211559833</stp>
        <tr r="P43" s="11"/>
        <tr r="P54" s="10"/>
        <tr r="P14" s="7"/>
        <tr r="R9" s="3"/>
      </tp>
      <tp t="e">
        <v>#N/A</v>
        <stp/>
        <stp>BDH|8059398434777166509</stp>
        <tr r="V42" s="6"/>
      </tp>
      <tp t="e">
        <v>#N/A</v>
        <stp/>
        <stp>BDH|9117893979449965545</stp>
        <tr r="AA33" s="22"/>
      </tp>
      <tp t="e">
        <v>#N/A</v>
        <stp/>
        <stp>BDH|4698202120236293885</stp>
        <tr r="U29" s="29"/>
        <tr r="U7" s="29"/>
      </tp>
      <tp t="e">
        <v>#N/A</v>
        <stp/>
        <stp>BDH|2465184092089417966</stp>
        <tr r="E35" s="13"/>
        <tr r="C28" s="10"/>
      </tp>
      <tp t="e">
        <v>#N/A</v>
        <stp/>
        <stp>BDH|4563134239658232411</stp>
        <tr r="G9" s="29"/>
      </tp>
      <tp t="e">
        <v>#N/A</v>
        <stp/>
        <stp>BDH|3309252783675930601</stp>
        <tr r="M46" s="21"/>
      </tp>
      <tp t="e">
        <v>#N/A</v>
        <stp/>
        <stp>BDH|4679639380028811819</stp>
        <tr r="E40" s="13"/>
        <tr r="C33" s="10"/>
      </tp>
      <tp t="e">
        <v>#N/A</v>
        <stp/>
        <stp>BDH|7868364090135439269</stp>
        <tr r="M59" s="24"/>
      </tp>
      <tp t="e">
        <v>#N/A</v>
        <stp/>
        <stp>BDH|8621074707895310796</stp>
        <tr r="J77" s="24"/>
      </tp>
      <tp t="e">
        <v>#N/A</v>
        <stp/>
        <stp>BDH|4985142306757474832</stp>
        <tr r="X71" s="17"/>
      </tp>
      <tp t="e">
        <v>#N/A</v>
        <stp/>
        <stp>BDH|1590435589117505065</stp>
        <tr r="R38" s="12"/>
      </tp>
      <tp t="e">
        <v>#N/A</v>
        <stp/>
        <stp>BDH|1984097184182860100</stp>
        <tr r="O10" s="24"/>
      </tp>
      <tp t="e">
        <v>#N/A</v>
        <stp/>
        <stp>BDH|7141293201506319968</stp>
        <tr r="Y40" s="24"/>
      </tp>
      <tp t="e">
        <v>#N/A</v>
        <stp/>
        <stp>BDH|8648274915986064782</stp>
        <tr r="M29" s="24"/>
      </tp>
      <tp t="e">
        <v>#N/A</v>
        <stp/>
        <stp>BDH|7172291415498290636</stp>
        <tr r="V69" s="24"/>
      </tp>
      <tp t="e">
        <v>#N/A</v>
        <stp/>
        <stp>BDH|2212808636154820706</stp>
        <tr r="E28" s="17"/>
      </tp>
      <tp t="e">
        <v>#N/A</v>
        <stp/>
        <stp>BDH|8691476652222829173</stp>
        <tr r="N16" s="21"/>
      </tp>
      <tp t="e">
        <v>#N/A</v>
        <stp/>
        <stp>BDH|6908721571919371553</stp>
        <tr r="P29" s="18"/>
      </tp>
      <tp t="e">
        <v>#N/A</v>
        <stp/>
        <stp>BDH|4854081988774381277</stp>
        <tr r="O27" s="6"/>
      </tp>
      <tp t="e">
        <v>#N/A</v>
        <stp/>
        <stp>BDH|4980536316579460343</stp>
        <tr r="M44" s="6"/>
      </tp>
      <tp t="e">
        <v>#N/A</v>
        <stp/>
        <stp>BDH|8651568778830675033</stp>
        <tr r="F17" s="24"/>
      </tp>
      <tp t="e">
        <v>#N/A</v>
        <stp/>
        <stp>BDH|4142399141651685822</stp>
        <tr r="R31" s="11"/>
        <tr r="R42" s="10"/>
      </tp>
      <tp t="e">
        <v>#N/A</v>
        <stp/>
        <stp>BDH|6529142688651131454</stp>
        <tr r="AA27" s="24"/>
      </tp>
      <tp t="e">
        <v>#N/A</v>
        <stp/>
        <stp>BDH|5493907518396348129</stp>
        <tr r="G101" s="18"/>
      </tp>
      <tp t="e">
        <v>#N/A</v>
        <stp/>
        <stp>BDH|5659704492652154382</stp>
        <tr r="P49" s="24"/>
      </tp>
      <tp t="e">
        <v>#N/A</v>
        <stp/>
        <stp>BDH|9509274420253854073</stp>
        <tr r="J28" s="12"/>
      </tp>
      <tp t="e">
        <v>#N/A</v>
        <stp/>
        <stp>BDH|7666498270717681942</stp>
        <tr r="H51" s="34"/>
      </tp>
      <tp t="e">
        <v>#N/A</v>
        <stp/>
        <stp>BDH|8257233809326126644</stp>
        <tr r="T19" s="25"/>
      </tp>
      <tp t="e">
        <v>#N/A</v>
        <stp/>
        <stp>BDH|4981853448631063399</stp>
        <tr r="Y89" s="17"/>
      </tp>
      <tp t="e">
        <v>#N/A</v>
        <stp/>
        <stp>BDH|5855007311476776833</stp>
        <tr r="R8" s="2"/>
      </tp>
      <tp t="e">
        <v>#N/A</v>
        <stp/>
        <stp>BDH|8316837590214865750</stp>
        <tr r="F40" s="12"/>
      </tp>
      <tp t="e">
        <v>#N/A</v>
        <stp/>
        <stp>BDH|8669633201677010390</stp>
        <tr r="X6" s="8"/>
        <tr r="V51" s="6"/>
      </tp>
      <tp t="e">
        <v>#N/A</v>
        <stp/>
        <stp>BDH|7629892653516274630</stp>
        <tr r="R31" s="26"/>
      </tp>
      <tp t="e">
        <v>#N/A</v>
        <stp/>
        <stp>BDH|5701984311062725543</stp>
        <tr r="P21" s="21"/>
      </tp>
      <tp t="e">
        <v>#N/A</v>
        <stp/>
        <stp>BDH|2068002358315632831</stp>
        <tr r="M43" s="34"/>
      </tp>
      <tp t="e">
        <v>#N/A</v>
        <stp/>
        <stp>BDH|1809147540729311725</stp>
        <tr r="K20" s="29"/>
      </tp>
      <tp t="e">
        <v>#N/A</v>
        <stp/>
        <stp>BDH|8613984859627901937</stp>
        <tr r="X91" s="12"/>
      </tp>
      <tp t="e">
        <v>#N/A</v>
        <stp/>
        <stp>BDH|1633391095653250257</stp>
        <tr r="Z21" s="21"/>
      </tp>
      <tp t="e">
        <v>#N/A</v>
        <stp/>
        <stp>BDH|9606485666040107143</stp>
        <tr r="C64" s="11"/>
        <tr r="C75" s="10"/>
      </tp>
      <tp t="e">
        <v>#N/A</v>
        <stp/>
        <stp>BDH|3013658934354484884</stp>
        <tr r="Z43" s="12"/>
      </tp>
      <tp t="e">
        <v>#N/A</v>
        <stp/>
        <stp>BDH|6684392282821926699</stp>
        <tr r="P20" s="18"/>
      </tp>
      <tp t="e">
        <v>#N/A</v>
        <stp/>
        <stp>BDH|2965258261175309936</stp>
        <tr r="G11" s="11"/>
      </tp>
      <tp t="e">
        <v>#N/A</v>
        <stp/>
        <stp>BDH|8120109738567368773</stp>
        <tr r="K22" s="9"/>
      </tp>
      <tp t="e">
        <v>#N/A</v>
        <stp/>
        <stp>BDH|8550879756736883919</stp>
        <tr r="R22" s="27"/>
      </tp>
      <tp t="e">
        <v>#N/A</v>
        <stp/>
        <stp>BDH|4493910946007808463</stp>
        <tr r="AA8" s="14"/>
      </tp>
      <tp t="e">
        <v>#N/A</v>
        <stp/>
        <stp>BDH|2438760693594837248</stp>
        <tr r="P89" s="18"/>
      </tp>
      <tp t="e">
        <v>#N/A</v>
        <stp/>
        <stp>BDH|2733018689187563770</stp>
        <tr r="J79" s="12"/>
      </tp>
      <tp t="e">
        <v>#N/A</v>
        <stp/>
        <stp>BDH|8265337007014382586</stp>
        <tr r="AA142" s="18"/>
      </tp>
      <tp t="e">
        <v>#N/A</v>
        <stp/>
        <stp>BDH|8536352355801103597</stp>
        <tr r="G22" s="9"/>
      </tp>
      <tp t="e">
        <v>#N/A</v>
        <stp/>
        <stp>BDH|2781352211742870864</stp>
        <tr r="Y37" s="24"/>
      </tp>
      <tp t="e">
        <v>#N/A</v>
        <stp/>
        <stp>BDH|7949047291086952288</stp>
        <tr r="Y44" s="12"/>
      </tp>
      <tp t="e">
        <v>#N/A</v>
        <stp/>
        <stp>BDH|7381203990540795699</stp>
        <tr r="K13" s="12"/>
      </tp>
      <tp t="e">
        <v>#N/A</v>
        <stp/>
        <stp>BDH|8022505425770571526</stp>
        <tr r="V38" s="13"/>
        <tr r="T31" s="10"/>
      </tp>
      <tp t="e">
        <v>#N/A</v>
        <stp/>
        <stp>BDH|2906314569208040533</stp>
        <tr r="R12" s="17"/>
      </tp>
      <tp t="e">
        <v>#N/A</v>
        <stp/>
        <stp>BDH|3465379694290698334</stp>
        <tr r="H79" s="17"/>
        <tr r="H19" s="3"/>
      </tp>
      <tp t="e">
        <v>#N/A</v>
        <stp/>
        <stp>BDH|3053420143108321106</stp>
        <tr r="W58" s="17"/>
      </tp>
      <tp t="e">
        <v>#N/A</v>
        <stp/>
        <stp>BDH|2479888970855849263</stp>
        <tr r="U27" s="12"/>
      </tp>
      <tp t="e">
        <v>#N/A</v>
        <stp/>
        <stp>BDH|9322618149837927603</stp>
        <tr r="I22" s="24"/>
      </tp>
      <tp t="e">
        <v>#N/A</v>
        <stp/>
        <stp>BDH|1471330994491142004</stp>
        <tr r="X21" s="21"/>
      </tp>
      <tp t="e">
        <v>#N/A</v>
        <stp/>
        <stp>BDH|2107760022904294953</stp>
        <tr r="D69" s="12"/>
      </tp>
      <tp t="e">
        <v>#N/A</v>
        <stp/>
        <stp>BDH|5021129901128093610</stp>
        <tr r="L24" s="29"/>
      </tp>
      <tp t="e">
        <v>#N/A</v>
        <stp/>
        <stp>BDH|4777860844831456339</stp>
        <tr r="P142" s="18"/>
      </tp>
      <tp t="e">
        <v>#N/A</v>
        <stp/>
        <stp>BDH|3259347295847599441</stp>
        <tr r="X8" s="12"/>
      </tp>
      <tp t="e">
        <v>#N/A</v>
        <stp/>
        <stp>BDH|3583195080010975078</stp>
        <tr r="AA35" s="18"/>
      </tp>
      <tp t="e">
        <v>#N/A</v>
        <stp/>
        <stp>BDH|2502941584200406936</stp>
        <tr r="S10" s="14"/>
      </tp>
      <tp t="e">
        <v>#N/A</v>
        <stp/>
        <stp>BDH|7787912841154067458</stp>
        <tr r="M51" s="17"/>
      </tp>
      <tp t="e">
        <v>#N/A</v>
        <stp/>
        <stp>BDH|4017086739875398803</stp>
        <tr r="N109" s="18"/>
      </tp>
      <tp t="e">
        <v>#N/A</v>
        <stp/>
        <stp>BDH|9268798740450082097</stp>
        <tr r="V38" s="26"/>
      </tp>
      <tp t="e">
        <v>#N/A</v>
        <stp/>
        <stp>BDH|6718890196279267480</stp>
        <tr r="V13" s="21"/>
      </tp>
      <tp t="e">
        <v>#N/A</v>
        <stp/>
        <stp>BDH|8004142017690366227</stp>
        <tr r="D88" s="17"/>
      </tp>
      <tp t="e">
        <v>#N/A</v>
        <stp/>
        <stp>BDH|7392980548727830799</stp>
        <tr r="V49" s="24"/>
      </tp>
      <tp t="e">
        <v>#N/A</v>
        <stp/>
        <stp>BDH|9339223440147568263</stp>
        <tr r="L21" s="14"/>
      </tp>
      <tp t="e">
        <v>#N/A</v>
        <stp/>
        <stp>BDH|5487460656456332858</stp>
        <tr r="X20" s="14"/>
      </tp>
      <tp t="e">
        <v>#N/A</v>
        <stp/>
        <stp>BDH|8733064874246037371</stp>
        <tr r="N26" s="18"/>
      </tp>
      <tp t="e">
        <v>#N/A</v>
        <stp/>
        <stp>BDH|2449154250638301401</stp>
        <tr r="G6" s="28"/>
      </tp>
      <tp t="e">
        <v>#N/A</v>
        <stp/>
        <stp>BDH|6136775628858915159</stp>
        <tr r="AA52" s="12"/>
      </tp>
      <tp t="e">
        <v>#N/A</v>
        <stp/>
        <stp>BDH|9909732931866155189</stp>
        <tr r="E45" s="24"/>
      </tp>
      <tp t="e">
        <v>#N/A</v>
        <stp/>
        <stp>BDH|8485822874439673460</stp>
        <tr r="L11" s="21"/>
      </tp>
      <tp t="e">
        <v>#N/A</v>
        <stp/>
        <stp>BDH|8476025945654950288</stp>
        <tr r="F27" s="18"/>
      </tp>
      <tp t="e">
        <v>#N/A</v>
        <stp/>
        <stp>BDH|2699025641625703902</stp>
        <tr r="P27" s="12"/>
      </tp>
      <tp t="e">
        <v>#N/A</v>
        <stp/>
        <stp>BDH|2425898661130748697</stp>
        <tr r="V22" s="25"/>
      </tp>
      <tp t="e">
        <v>#N/A</v>
        <stp/>
        <stp>BDH|3690845945380731527</stp>
        <tr r="J65" s="17"/>
      </tp>
      <tp t="e">
        <v>#N/A</v>
        <stp/>
        <stp>BDH|7584086413218918457</stp>
        <tr r="V38" s="22"/>
      </tp>
      <tp t="e">
        <v>#N/A</v>
        <stp/>
        <stp>BDH|7049178380485632136</stp>
        <tr r="H42" s="22"/>
      </tp>
      <tp t="e">
        <v>#N/A</v>
        <stp/>
        <stp>BDH|3632541307698094470</stp>
        <tr r="I82" s="18"/>
      </tp>
      <tp t="e">
        <v>#N/A</v>
        <stp/>
        <stp>BDH|3884744017326040997</stp>
        <tr r="Z90" s="12"/>
      </tp>
      <tp t="e">
        <v>#N/A</v>
        <stp/>
        <stp>BDH|1465804494799084321</stp>
        <tr r="P33" s="5"/>
      </tp>
      <tp t="e">
        <v>#N/A</v>
        <stp/>
        <stp>BDH|9858328774563828445</stp>
        <tr r="Q40" s="21"/>
      </tp>
      <tp t="e">
        <v>#N/A</v>
        <stp/>
        <stp>BDH|6646723232958009041</stp>
        <tr r="J22" s="12"/>
      </tp>
      <tp t="e">
        <v>#N/A</v>
        <stp/>
        <stp>BDH|2078773595401468748</stp>
        <tr r="T29" s="18"/>
      </tp>
      <tp t="e">
        <v>#N/A</v>
        <stp/>
        <stp>BDH|2094548982184334162</stp>
        <tr r="T9" s="26"/>
      </tp>
      <tp t="e">
        <v>#N/A</v>
        <stp/>
        <stp>BDH|9233934415159233254</stp>
        <tr r="T13" s="11"/>
      </tp>
      <tp t="e">
        <v>#N/A</v>
        <stp/>
        <stp>BDH|1205845396262457872</stp>
        <tr r="J71" s="10"/>
      </tp>
      <tp t="e">
        <v>#N/A</v>
        <stp/>
        <stp>BDH|4025660109069810143</stp>
        <tr r="N46" s="22"/>
      </tp>
      <tp t="e">
        <v>#N/A</v>
        <stp/>
        <stp>BDH|6200451690545540410</stp>
        <tr r="J32" s="22"/>
      </tp>
      <tp t="e">
        <v>#N/A</v>
        <stp/>
        <stp>BDH|3467623459753429980</stp>
        <tr r="N91" s="18"/>
      </tp>
      <tp t="e">
        <v>#N/A</v>
        <stp/>
        <stp>BDH|6697456007879655111</stp>
        <tr r="E14" s="13"/>
      </tp>
      <tp t="e">
        <v>#N/A</v>
        <stp/>
        <stp>BDH|8761009762264666008</stp>
        <tr r="Y18" s="18"/>
      </tp>
      <tp t="e">
        <v>#N/A</v>
        <stp/>
        <stp>BDH|5094060594922077415</stp>
        <tr r="D53" s="22"/>
      </tp>
      <tp t="e">
        <v>#N/A</v>
        <stp/>
        <stp>BDH|4361066512337085849</stp>
        <tr r="I175" s="18"/>
      </tp>
      <tp t="e">
        <v>#N/A</v>
        <stp/>
        <stp>BDH|2450468482795785140</stp>
        <tr r="P34" s="11"/>
        <tr r="P45" s="10"/>
      </tp>
      <tp t="e">
        <v>#N/A</v>
        <stp/>
        <stp>BDH|3482225376515154928</stp>
        <tr r="T8" s="4"/>
      </tp>
      <tp t="e">
        <v>#N/A</v>
        <stp/>
        <stp>BDH|8853684987468458405</stp>
        <tr r="Q27" s="11"/>
        <tr r="Q38" s="10"/>
      </tp>
      <tp t="e">
        <v>#N/A</v>
        <stp/>
        <stp>BDH|6015746932349059154</stp>
        <tr r="T37" s="34"/>
      </tp>
      <tp t="e">
        <v>#N/A</v>
        <stp/>
        <stp>BDH|4804814842417145591</stp>
        <tr r="AA37" s="13"/>
        <tr r="Y30" s="10"/>
      </tp>
      <tp t="e">
        <v>#N/A</v>
        <stp/>
        <stp>BDH|7223542882216141663</stp>
        <tr r="V20" s="21"/>
      </tp>
      <tp t="e">
        <v>#N/A</v>
        <stp/>
        <stp>BDH|6244181261503836807</stp>
        <tr r="X65" s="11"/>
        <tr r="X76" s="10"/>
      </tp>
      <tp t="e">
        <v>#N/A</v>
        <stp/>
        <stp>BDH|6431379217839011777</stp>
        <tr r="C50" s="17"/>
      </tp>
      <tp t="e">
        <v>#N/A</v>
        <stp/>
        <stp>BDH|8725531533753286768</stp>
        <tr r="S35" s="26"/>
        <tr r="P14" s="9"/>
      </tp>
      <tp t="e">
        <v>#N/A</v>
        <stp/>
        <stp>BDH|5995520801822972801</stp>
        <tr r="M8" s="18"/>
      </tp>
      <tp t="e">
        <v>#N/A</v>
        <stp/>
        <stp>BDH|4871221082914389080</stp>
        <tr r="R27" s="11"/>
        <tr r="R38" s="10"/>
      </tp>
      <tp t="e">
        <v>#N/A</v>
        <stp/>
        <stp>BDH|6695133410565259941</stp>
        <tr r="I25" s="11"/>
        <tr r="I36" s="10"/>
      </tp>
      <tp t="e">
        <v>#N/A</v>
        <stp/>
        <stp>BDH|1331040249266891952</stp>
        <tr r="K21" s="6"/>
      </tp>
      <tp t="e">
        <v>#N/A</v>
        <stp/>
        <stp>BDH|5757929426624296029</stp>
        <tr r="Z21" s="27"/>
      </tp>
      <tp t="e">
        <v>#N/A</v>
        <stp/>
        <stp>BDH|8333138306212233170</stp>
        <tr r="F57" s="13"/>
        <tr r="D38" s="11"/>
        <tr r="D49" s="10"/>
        <tr r="D53" s="4"/>
        <tr r="D18" s="2"/>
      </tp>
      <tp t="e">
        <v>#N/A</v>
        <stp/>
        <stp>BDH|7402137341850154847</stp>
        <tr r="E71" s="24"/>
      </tp>
      <tp t="e">
        <v>#N/A</v>
        <stp/>
        <stp>BDH|6951922528735192215</stp>
        <tr r="U52" s="13"/>
      </tp>
      <tp t="e">
        <v>#N/A</v>
        <stp/>
        <stp>BDH|5442276782322251708</stp>
        <tr r="AA25" s="17"/>
      </tp>
      <tp t="e">
        <v>#N/A</v>
        <stp/>
        <stp>BDH|2498664820618033414</stp>
        <tr r="I15" s="34"/>
      </tp>
      <tp t="e">
        <v>#N/A</v>
        <stp/>
        <stp>BDH|5357143158268923358</stp>
        <tr r="N35" s="13"/>
        <tr r="L28" s="10"/>
      </tp>
      <tp t="e">
        <v>#N/A</v>
        <stp/>
        <stp>BDH|2347021507781711912</stp>
        <tr r="U9" s="12"/>
      </tp>
      <tp t="e">
        <v>#N/A</v>
        <stp/>
        <stp>BDH|5026441495714319625</stp>
        <tr r="P11" s="18"/>
      </tp>
      <tp t="e">
        <v>#N/A</v>
        <stp/>
        <stp>BDH|4436631576109894699</stp>
        <tr r="Y12" s="22"/>
      </tp>
      <tp t="e">
        <v>#N/A</v>
        <stp/>
        <stp>BDH|4932832339103400673</stp>
        <tr r="Y10" s="26"/>
      </tp>
      <tp t="e">
        <v>#N/A</v>
        <stp/>
        <stp>BDH|7115136143608152006</stp>
        <tr r="C85" s="18"/>
      </tp>
      <tp t="e">
        <v>#N/A</v>
        <stp/>
        <stp>BDH|9231674807495089029</stp>
        <tr r="L26" s="21"/>
      </tp>
      <tp t="e">
        <v>#N/A</v>
        <stp/>
        <stp>BDH|9540537440417055567</stp>
        <tr r="C83" s="12"/>
      </tp>
      <tp t="e">
        <v>#N/A</v>
        <stp/>
        <stp>BDH|9436148407086688416</stp>
        <tr r="X23" s="25"/>
      </tp>
      <tp t="e">
        <v>#N/A</v>
        <stp/>
        <stp>BDH|5962938642996071485</stp>
        <tr r="X16" s="22"/>
      </tp>
      <tp t="e">
        <v>#N/A</v>
        <stp/>
        <stp>BDH|8109028205947171573</stp>
        <tr r="E10" s="18"/>
      </tp>
      <tp t="e">
        <v>#N/A</v>
        <stp/>
        <stp>BDH|6778858355961433031</stp>
        <tr r="P52" s="13"/>
      </tp>
      <tp t="e">
        <v>#N/A</v>
        <stp/>
        <stp>BDH|1840922398023410860</stp>
        <tr r="J33" s="13"/>
        <tr r="H26" s="10"/>
      </tp>
      <tp t="e">
        <v>#N/A</v>
        <stp/>
        <stp>BDH|9984017325365532488</stp>
        <tr r="W57" s="24"/>
      </tp>
      <tp t="e">
        <v>#N/A</v>
        <stp/>
        <stp>BDH|1104304306190073875</stp>
        <tr r="U24" s="13"/>
      </tp>
      <tp t="e">
        <v>#N/A</v>
        <stp/>
        <stp>BDH|4524342592075008137</stp>
        <tr r="Q17" s="9"/>
      </tp>
      <tp t="e">
        <v>#N/A</v>
        <stp/>
        <stp>BDH|6458453759725812807</stp>
        <tr r="X80" s="18"/>
      </tp>
      <tp t="e">
        <v>#N/A</v>
        <stp/>
        <stp>BDH|9690644077662245079</stp>
        <tr r="L22" s="9"/>
      </tp>
      <tp t="e">
        <v>#N/A</v>
        <stp/>
        <stp>BDH|1689863959447914107</stp>
        <tr r="AA100" s="12"/>
      </tp>
      <tp t="e">
        <v>#N/A</v>
        <stp/>
        <stp>BDH|2693874156316051372</stp>
        <tr r="D71" s="12"/>
      </tp>
      <tp t="e">
        <v>#N/A</v>
        <stp/>
        <stp>BDH|1582716089683472796</stp>
        <tr r="Z23" s="22"/>
      </tp>
      <tp t="e">
        <v>#N/A</v>
        <stp/>
        <stp>BDH|5592675255485716901</stp>
        <tr r="Y48" s="13"/>
      </tp>
      <tp t="e">
        <v>#N/A</v>
        <stp/>
        <stp>BDH|2251562927919526664</stp>
        <tr r="I70" s="12"/>
      </tp>
      <tp t="e">
        <v>#N/A</v>
        <stp/>
        <stp>BDH|7600389948992709818</stp>
        <tr r="I26" s="26"/>
      </tp>
      <tp t="e">
        <v>#N/A</v>
        <stp/>
        <stp>BDH|9402216586718682152</stp>
        <tr r="P13" s="9"/>
      </tp>
      <tp t="e">
        <v>#N/A</v>
        <stp/>
        <stp>BDH|1170238811750450876</stp>
        <tr r="H19" s="24"/>
      </tp>
      <tp t="e">
        <v>#N/A</v>
        <stp/>
        <stp>BDH|1203817481948725356</stp>
        <tr r="D19" s="10"/>
      </tp>
      <tp t="e">
        <v>#N/A</v>
        <stp/>
        <stp>BDH|1350018740639378616</stp>
        <tr r="F159" s="18"/>
      </tp>
      <tp t="e">
        <v>#N/A</v>
        <stp/>
        <stp>BDH|1457659250788041015</stp>
        <tr r="X19" s="6"/>
      </tp>
      <tp t="e">
        <v>#N/A</v>
        <stp/>
        <stp>BDH|4672953818805302381</stp>
        <tr r="D10" s="10"/>
      </tp>
      <tp t="e">
        <v>#N/A</v>
        <stp/>
        <stp>BDH|2084830144011260552</stp>
        <tr r="E42" s="21"/>
      </tp>
      <tp t="e">
        <v>#N/A</v>
        <stp/>
        <stp>BDH|9989414234007507390</stp>
        <tr r="I20" s="17"/>
      </tp>
      <tp t="e">
        <v>#N/A</v>
        <stp/>
        <stp>BDH|5167103991894623360</stp>
        <tr r="H53" s="34"/>
      </tp>
      <tp t="e">
        <v>#N/A</v>
        <stp/>
        <stp>BDH|1526919135084519545</stp>
        <tr r="K55" s="18"/>
      </tp>
      <tp t="e">
        <v>#N/A</v>
        <stp/>
        <stp>BDH|8115030680652017829</stp>
        <tr r="U69" s="24"/>
      </tp>
      <tp t="e">
        <v>#N/A</v>
        <stp/>
        <stp>BDH|1813546908057513918</stp>
        <tr r="T9" s="6"/>
      </tp>
      <tp t="e">
        <v>#N/A</v>
        <stp/>
        <stp>BDH|1235854553250413615</stp>
        <tr r="Q41" s="17"/>
      </tp>
      <tp t="e">
        <v>#N/A</v>
        <stp/>
        <stp>BDH|4333944047482129100</stp>
        <tr r="T85" s="18"/>
      </tp>
      <tp t="e">
        <v>#N/A</v>
        <stp/>
        <stp>BDH|8214736646498404922</stp>
        <tr r="R15" s="24"/>
      </tp>
      <tp t="e">
        <v>#N/A</v>
        <stp/>
        <stp>BDH|9685585684426393880</stp>
        <tr r="K13" s="34"/>
      </tp>
      <tp t="e">
        <v>#N/A</v>
        <stp/>
        <stp>BDH|1906303164969428788</stp>
        <tr r="K15" s="11"/>
      </tp>
      <tp t="e">
        <v>#N/A</v>
        <stp/>
        <stp>BDH|8440080249307330177</stp>
        <tr r="D7" s="14"/>
      </tp>
      <tp t="e">
        <v>#N/A</v>
        <stp/>
        <stp>BDH|9362476836286691258</stp>
        <tr r="E25" s="13"/>
      </tp>
      <tp t="e">
        <v>#N/A</v>
        <stp/>
        <stp>BDH|6439771012202809882</stp>
        <tr r="Y13" s="26"/>
      </tp>
      <tp t="e">
        <v>#N/A</v>
        <stp/>
        <stp>BDH|7204325285517627120</stp>
        <tr r="R10" s="18"/>
      </tp>
      <tp t="e">
        <v>#N/A</v>
        <stp/>
        <stp>BDH|6438275774471507830</stp>
        <tr r="D13" s="24"/>
      </tp>
      <tp t="e">
        <v>#N/A</v>
        <stp/>
        <stp>BDH|1247000866549402414</stp>
        <tr r="Y19" s="22"/>
      </tp>
      <tp t="e">
        <v>#N/A</v>
        <stp/>
        <stp>BDH|9306825246267139871</stp>
        <tr r="AA30" s="22"/>
      </tp>
      <tp t="e">
        <v>#N/A</v>
        <stp/>
        <stp>BDH|2149996828664301723</stp>
        <tr r="V8" s="8"/>
      </tp>
      <tp t="e">
        <v>#N/A</v>
        <stp/>
        <stp>BDH|4202737926219038261</stp>
        <tr r="E57" s="11"/>
        <tr r="E24" s="4"/>
      </tp>
      <tp t="e">
        <v>#N/A</v>
        <stp/>
        <stp>BDH|6775808907521242539</stp>
        <tr r="W23" s="6"/>
      </tp>
      <tp t="e">
        <v>#N/A</v>
        <stp/>
        <stp>BDH|1140667297410839493</stp>
        <tr r="U18" s="18"/>
      </tp>
      <tp t="e">
        <v>#N/A</v>
        <stp/>
        <stp>BDH|3456947923860543279</stp>
        <tr r="H69" s="10"/>
        <tr r="H39" s="4"/>
      </tp>
      <tp t="e">
        <v>#N/A</v>
        <stp/>
        <stp>BDH|8234359774451415769</stp>
        <tr r="J49" s="18"/>
      </tp>
      <tp t="e">
        <v>#N/A</v>
        <stp/>
        <stp>BDH|4808133079650005833</stp>
        <tr r="H30" s="21"/>
      </tp>
      <tp t="e">
        <v>#N/A</v>
        <stp/>
        <stp>BDH|6328043658601871869</stp>
        <tr r="Q22" s="20"/>
      </tp>
      <tp t="e">
        <v>#N/A</v>
        <stp/>
        <stp>BDH|2902998408162146385</stp>
        <tr r="W24" s="22"/>
      </tp>
      <tp t="e">
        <v>#N/A</v>
        <stp/>
        <stp>BDH|3984797748679812310</stp>
        <tr r="G43" s="22"/>
      </tp>
      <tp t="e">
        <v>#N/A</v>
        <stp/>
        <stp>BDH|3580209352949463725</stp>
        <tr r="T153" s="18"/>
      </tp>
      <tp t="e">
        <v>#N/A</v>
        <stp/>
        <stp>BDH|9549274732691995384</stp>
        <tr r="N11" s="30"/>
      </tp>
      <tp t="e">
        <v>#N/A</v>
        <stp/>
        <stp>BDH|2297856837402503140</stp>
        <tr r="E75" s="24"/>
      </tp>
      <tp t="e">
        <v>#N/A</v>
        <stp/>
        <stp>BDH|2498680586024269295</stp>
        <tr r="U16" s="25"/>
      </tp>
      <tp t="e">
        <v>#N/A</v>
        <stp/>
        <stp>BDH|9055525658396986521</stp>
        <tr r="L18" s="22"/>
      </tp>
      <tp t="e">
        <v>#N/A</v>
        <stp/>
        <stp>BDH|6712858044596036675</stp>
        <tr r="S103" s="18"/>
      </tp>
      <tp t="e">
        <v>#N/A</v>
        <stp/>
        <stp>BDH|5262670843908550520</stp>
        <tr r="T10" s="34"/>
      </tp>
      <tp t="e">
        <v>#N/A</v>
        <stp/>
        <stp>BDH|3183511874062158941</stp>
        <tr r="L28" s="4"/>
      </tp>
      <tp t="e">
        <v>#N/A</v>
        <stp/>
        <stp>BDH|3894778345873871933</stp>
        <tr r="M30" s="26"/>
      </tp>
      <tp t="e">
        <v>#N/A</v>
        <stp/>
        <stp>BDH|6553627217538623378</stp>
        <tr r="E29" s="29"/>
        <tr r="E7" s="29"/>
      </tp>
      <tp t="e">
        <v>#N/A</v>
        <stp/>
        <stp>BDH|9221550006925131315</stp>
        <tr r="H34" s="12"/>
      </tp>
      <tp t="e">
        <v>#N/A</v>
        <stp/>
        <stp>BDH|9521728851055203457</stp>
        <tr r="Z86" s="18"/>
      </tp>
      <tp t="e">
        <v>#N/A</v>
        <stp/>
        <stp>BDH|7207671193845001775</stp>
        <tr r="R99" s="12"/>
      </tp>
      <tp t="e">
        <v>#N/A</v>
        <stp/>
        <stp>BDH|3309839265337606026</stp>
        <tr r="K69" s="12"/>
      </tp>
      <tp t="e">
        <v>#N/A</v>
        <stp/>
        <stp>BDH|9142210126914332740</stp>
        <tr r="E71" s="18"/>
      </tp>
      <tp t="e">
        <v>#N/A</v>
        <stp/>
        <stp>BDH|7580939255001171038</stp>
        <tr r="D40" s="29"/>
        <tr r="D17" s="29"/>
      </tp>
      <tp t="e">
        <v>#N/A</v>
        <stp/>
        <stp>BDH|2063228296476391513</stp>
        <tr r="AA34" s="13"/>
        <tr r="Y27" s="10"/>
      </tp>
      <tp t="e">
        <v>#N/A</v>
        <stp/>
        <stp>BDH|6692674402472713828</stp>
        <tr r="O65" s="17"/>
      </tp>
      <tp t="e">
        <v>#N/A</v>
        <stp/>
        <stp>BDH|8643630470382521165</stp>
        <tr r="O11" s="20"/>
        <tr r="O116" s="18"/>
      </tp>
      <tp t="e">
        <v>#N/A</v>
        <stp/>
        <stp>BDH|8880096131294050569</stp>
        <tr r="H54" s="10"/>
        <tr r="H43" s="11"/>
        <tr r="H14" s="7"/>
        <tr r="J9" s="3"/>
      </tp>
      <tp t="e">
        <v>#N/A</v>
        <stp/>
        <stp>BDH|7141868567160463328</stp>
        <tr r="P15" s="23"/>
        <tr r="N59" s="11"/>
      </tp>
      <tp t="e">
        <v>#N/A</v>
        <stp/>
        <stp>BDH|2676980512498362897</stp>
        <tr r="K40" s="24"/>
      </tp>
      <tp t="e">
        <v>#N/A</v>
        <stp/>
        <stp>BDH|1389505628868853452</stp>
        <tr r="C7" s="8"/>
      </tp>
      <tp t="e">
        <v>#N/A</v>
        <stp/>
        <stp>BDH|6295201644273260929</stp>
        <tr r="Q48" s="13"/>
      </tp>
      <tp t="e">
        <v>#N/A</v>
        <stp/>
        <stp>BDH|1782839559773825531</stp>
        <tr r="E51" s="17"/>
      </tp>
      <tp t="e">
        <v>#N/A</v>
        <stp/>
        <stp>BDH|6587308783725615263</stp>
        <tr r="R19" s="28"/>
        <tr r="R16" s="17"/>
      </tp>
      <tp t="e">
        <v>#N/A</v>
        <stp/>
        <stp>BDH|3378207921129343070</stp>
        <tr r="I18" s="26"/>
      </tp>
      <tp t="e">
        <v>#N/A</v>
        <stp/>
        <stp>BDH|5201725595533517264</stp>
        <tr r="H77" s="12"/>
      </tp>
      <tp t="e">
        <v>#N/A</v>
        <stp/>
        <stp>BDH|2137597299131138563</stp>
        <tr r="F10" s="18"/>
      </tp>
      <tp t="e">
        <v>#N/A</v>
        <stp/>
        <stp>BDH|3182866911037631768</stp>
        <tr r="AA19" s="17"/>
      </tp>
      <tp t="e">
        <v>#N/A</v>
        <stp/>
        <stp>BDH|9549372874471264620</stp>
        <tr r="X15" s="12"/>
      </tp>
      <tp t="e">
        <v>#N/A</v>
        <stp/>
        <stp>BDH|2788709187613040464</stp>
        <tr r="G10" s="13"/>
      </tp>
      <tp t="e">
        <v>#N/A</v>
        <stp/>
        <stp>BDH|6122894061655673791</stp>
        <tr r="F32" s="18"/>
      </tp>
      <tp t="e">
        <v>#N/A</v>
        <stp/>
        <stp>BDH|6079879440014003418</stp>
        <tr r="J8" s="8"/>
      </tp>
      <tp t="e">
        <v>#N/A</v>
        <stp/>
        <stp>BDH|4473355191470761419</stp>
        <tr r="D43" s="22"/>
      </tp>
      <tp t="e">
        <v>#N/A</v>
        <stp/>
        <stp>BDH|7465017854861697919</stp>
        <tr r="W21" s="17"/>
      </tp>
      <tp t="e">
        <v>#N/A</v>
        <stp/>
        <stp>BDH|2651846045352298631</stp>
        <tr r="R19" s="13"/>
        <tr r="P65" s="10"/>
        <tr r="P16" s="2"/>
        <tr r="P32" s="4"/>
      </tp>
      <tp t="e">
        <v>#N/A</v>
        <stp/>
        <stp>BDH|1252930356952225535</stp>
        <tr r="D39" s="18"/>
      </tp>
      <tp t="e">
        <v>#N/A</v>
        <stp/>
        <stp>BDH|7285591276469822634</stp>
        <tr r="K49" s="12"/>
      </tp>
      <tp t="e">
        <v>#N/A</v>
        <stp/>
        <stp>BDH|6287173006494502904</stp>
        <tr r="E6" s="6"/>
      </tp>
      <tp t="e">
        <v>#N/A</v>
        <stp/>
        <stp>BDH|7053934217396314318</stp>
        <tr r="X55" s="21"/>
      </tp>
      <tp t="e">
        <v>#N/A</v>
        <stp/>
        <stp>BDH|4136014206148140618</stp>
        <tr r="J41" s="13"/>
        <tr r="H23" s="10"/>
        <tr r="H46" s="4"/>
      </tp>
      <tp t="e">
        <v>#N/A</v>
        <stp/>
        <stp>BDH|8699549037823338701</stp>
        <tr r="V19" s="10"/>
      </tp>
      <tp t="e">
        <v>#N/A</v>
        <stp/>
        <stp>BDH|8824898610519447236</stp>
        <tr r="H7" s="28"/>
      </tp>
      <tp t="e">
        <v>#N/A</v>
        <stp/>
        <stp>BDH|3352168393672150313</stp>
        <tr r="R13" s="22"/>
      </tp>
      <tp t="e">
        <v>#N/A</v>
        <stp/>
        <stp>BDH|1252505191541405619</stp>
        <tr r="L93" s="12"/>
      </tp>
      <tp t="e">
        <v>#N/A</v>
        <stp/>
        <stp>BDH|5304302894812253733</stp>
        <tr r="P53" s="18"/>
      </tp>
      <tp t="e">
        <v>#N/A</v>
        <stp/>
        <stp>BDH|9085554186328518602</stp>
        <tr r="N27" s="11"/>
        <tr r="N38" s="10"/>
      </tp>
      <tp t="e">
        <v>#N/A</v>
        <stp/>
        <stp>BDH|7305982849972235264</stp>
        <tr r="V172" s="18"/>
      </tp>
      <tp t="e">
        <v>#N/A</v>
        <stp/>
        <stp>BDH|6017975667694661708</stp>
        <tr r="G8" s="22"/>
      </tp>
      <tp t="e">
        <v>#N/A</v>
        <stp/>
        <stp>BDH|9171768341040383038</stp>
        <tr r="Z36" s="18"/>
      </tp>
      <tp t="e">
        <v>#N/A</v>
        <stp/>
        <stp>BDH|3532833471735792361</stp>
        <tr r="N16" s="24"/>
      </tp>
      <tp t="e">
        <v>#N/A</v>
        <stp/>
        <stp>BDH|4410659605658611040</stp>
        <tr r="S69" s="10"/>
        <tr r="S39" s="4"/>
      </tp>
      <tp t="e">
        <v>#N/A</v>
        <stp/>
        <stp>BDH|4412002341992535866</stp>
        <tr r="W19" s="6"/>
      </tp>
      <tp t="e">
        <v>#N/A</v>
        <stp/>
        <stp>BDH|9116484354080839238</stp>
        <tr r="N57" s="18"/>
      </tp>
      <tp t="e">
        <v>#N/A</v>
        <stp/>
        <stp>BDH|9997789251872556333</stp>
        <tr r="Q8" s="13"/>
      </tp>
      <tp t="e">
        <v>#N/A</v>
        <stp/>
        <stp>BDH|2181572637837382944</stp>
        <tr r="G18" s="10"/>
      </tp>
      <tp t="e">
        <v>#N/A</v>
        <stp/>
        <stp>BDH|2006085682392887240</stp>
        <tr r="G147" s="18"/>
      </tp>
      <tp t="e">
        <v>#N/A</v>
        <stp/>
        <stp>BDH|4046133288881516680</stp>
        <tr r="D76" s="18"/>
      </tp>
      <tp t="e">
        <v>#N/A</v>
        <stp/>
        <stp>BDH|1392973043400391636</stp>
        <tr r="H85" s="17"/>
      </tp>
      <tp t="e">
        <v>#N/A</v>
        <stp/>
        <stp>BDH|4418957585038021735</stp>
        <tr r="G30" s="29"/>
        <tr r="G8" s="29"/>
      </tp>
      <tp t="e">
        <v>#N/A</v>
        <stp/>
        <stp>BDH|1338274484496711702</stp>
        <tr r="O86" s="17"/>
      </tp>
      <tp t="e">
        <v>#N/A</v>
        <stp/>
        <stp>BDH|1617805383072677943</stp>
        <tr r="X152" s="18"/>
      </tp>
      <tp t="e">
        <v>#N/A</v>
        <stp/>
        <stp>BDH|1232824966906160308</stp>
        <tr r="T72" s="24"/>
      </tp>
      <tp t="e">
        <v>#N/A</v>
        <stp/>
        <stp>BDH|8983667716925854060</stp>
        <tr r="J20" s="29"/>
      </tp>
      <tp t="e">
        <v>#N/A</v>
        <stp/>
        <stp>BDH|9613126353177269023</stp>
        <tr r="T10" s="29"/>
        <tr r="T25" s="29"/>
        <tr r="T19" s="29"/>
        <tr r="R6" s="9"/>
        <tr r="T12" s="8"/>
        <tr r="R6" s="5"/>
        <tr r="S6" s="2"/>
      </tp>
      <tp t="e">
        <v>#N/A</v>
        <stp/>
        <stp>BDH|1319443390184359235</stp>
        <tr r="X60" s="13"/>
        <tr r="V48" s="11"/>
        <tr r="V59" s="10"/>
        <tr r="V17" s="7"/>
        <tr r="V17" s="4"/>
        <tr r="X10" s="3"/>
      </tp>
      <tp t="e">
        <v>#N/A</v>
        <stp/>
        <stp>BDH|6534736278428122481</stp>
        <tr r="F21" s="9"/>
        <tr r="F23" s="5"/>
      </tp>
      <tp t="e">
        <v>#N/A</v>
        <stp/>
        <stp>BDH|7877375469999688171</stp>
        <tr r="M27" s="21"/>
      </tp>
      <tp t="e">
        <v>#N/A</v>
        <stp/>
        <stp>BDH|4199129718677834947</stp>
        <tr r="Y37" s="29"/>
        <tr r="Y23" s="29"/>
        <tr r="Y14" s="29"/>
      </tp>
      <tp t="e">
        <v>#N/A</v>
        <stp/>
        <stp>BDH|4618983603712347593</stp>
        <tr r="Z50" s="17"/>
      </tp>
      <tp t="e">
        <v>#N/A</v>
        <stp/>
        <stp>BDH|9002890051019613794</stp>
        <tr r="N21" s="18"/>
      </tp>
      <tp t="e">
        <v>#N/A</v>
        <stp/>
        <stp>BDH|8444431775036432713</stp>
        <tr r="H56" s="18"/>
      </tp>
      <tp t="e">
        <v>#N/A</v>
        <stp/>
        <stp>BDH|4999258745529729192</stp>
        <tr r="T11" s="29"/>
      </tp>
      <tp t="e">
        <v>#N/A</v>
        <stp/>
        <stp>BDH|6347728196247127518</stp>
        <tr r="X35" s="24"/>
      </tp>
      <tp t="e">
        <v>#N/A</v>
        <stp/>
        <stp>BDH|7048846074281405334</stp>
        <tr r="Z48" s="21"/>
      </tp>
      <tp t="e">
        <v>#N/A</v>
        <stp/>
        <stp>BDH|6270104148341435897</stp>
        <tr r="V30" s="12"/>
      </tp>
      <tp t="e">
        <v>#N/A</v>
        <stp/>
        <stp>BDH|8255349401992156317</stp>
        <tr r="M60" s="12"/>
      </tp>
      <tp t="e">
        <v>#N/A</v>
        <stp/>
        <stp>BDH|7172532182941428139</stp>
        <tr r="P74" s="10"/>
        <tr r="P63" s="11"/>
      </tp>
      <tp t="e">
        <v>#N/A</v>
        <stp/>
        <stp>BDH|3707750759899463289</stp>
        <tr r="G25" s="17"/>
      </tp>
      <tp t="e">
        <v>#N/A</v>
        <stp/>
        <stp>BDH|8549165522666231743</stp>
        <tr r="J26" s="7"/>
      </tp>
      <tp t="e">
        <v>#N/A</v>
        <stp/>
        <stp>BDH|4302216314059969486</stp>
        <tr r="Z40" s="12"/>
      </tp>
      <tp t="e">
        <v>#N/A</v>
        <stp/>
        <stp>BDH|4848662478226221930</stp>
        <tr r="Y27" s="22"/>
      </tp>
      <tp t="e">
        <v>#N/A</v>
        <stp/>
        <stp>BDH|2798651798776802159</stp>
        <tr r="C78" s="24"/>
      </tp>
      <tp t="e">
        <v>#N/A</v>
        <stp/>
        <stp>BDH|9687547618614514381</stp>
        <tr r="Q25" s="18"/>
      </tp>
      <tp t="e">
        <v>#N/A</v>
        <stp/>
        <stp>BDH|6391248232934030922</stp>
        <tr r="Q65" s="12"/>
      </tp>
      <tp t="e">
        <v>#N/A</v>
        <stp/>
        <stp>BDH|7985214537369838505</stp>
        <tr r="H92" s="18"/>
      </tp>
      <tp t="e">
        <v>#N/A</v>
        <stp/>
        <stp>BDH|8161088304626265486</stp>
        <tr r="R18" s="13"/>
      </tp>
      <tp t="e">
        <v>#N/A</v>
        <stp/>
        <stp>BDH|4357848289056871812</stp>
        <tr r="AA83" s="12"/>
      </tp>
      <tp t="e">
        <v>#N/A</v>
        <stp/>
        <stp>BDH|7717128523357164904</stp>
        <tr r="J68" s="17"/>
      </tp>
      <tp t="e">
        <v>#N/A</v>
        <stp/>
        <stp>BDH|9801777824901520794</stp>
        <tr r="V30" s="18"/>
      </tp>
      <tp t="e">
        <v>#N/A</v>
        <stp/>
        <stp>BDH|6378804890488593515</stp>
        <tr r="M24" s="20"/>
      </tp>
      <tp t="e">
        <v>#N/A</v>
        <stp/>
        <stp>BDH|9448275037917072534</stp>
        <tr r="C14" s="28"/>
      </tp>
      <tp t="e">
        <v>#N/A</v>
        <stp/>
        <stp>BDH|5298433673909518508</stp>
        <tr r="L144" s="18"/>
      </tp>
      <tp t="e">
        <v>#N/A</v>
        <stp/>
        <stp>BDH|4581545778218708495</stp>
        <tr r="C60" s="21"/>
      </tp>
      <tp t="e">
        <v>#N/A</v>
        <stp/>
        <stp>BDH|9567389723432152083</stp>
        <tr r="N7" s="6"/>
      </tp>
      <tp t="e">
        <v>#N/A</v>
        <stp/>
        <stp>BDH|8022655989708840438</stp>
        <tr r="Y30" s="29"/>
        <tr r="Y8" s="29"/>
      </tp>
      <tp t="e">
        <v>#N/A</v>
        <stp/>
        <stp>BDH|1030567143272382811</stp>
        <tr r="S67" s="13"/>
      </tp>
      <tp t="e">
        <v>#N/A</v>
        <stp/>
        <stp>BDH|5663216717709710509</stp>
        <tr r="AA38" s="25"/>
        <tr r="AA92" s="17"/>
      </tp>
      <tp t="e">
        <v>#N/A</v>
        <stp/>
        <stp>BDH|8885391512145012546</stp>
        <tr r="P100" s="18"/>
      </tp>
      <tp t="e">
        <v>#N/A</v>
        <stp/>
        <stp>BDH|3117918126220436257</stp>
        <tr r="X46" s="22"/>
      </tp>
      <tp t="e">
        <v>#N/A</v>
        <stp/>
        <stp>BDH|7353459020928188302</stp>
        <tr r="C20" s="26"/>
      </tp>
      <tp t="e">
        <v>#N/A</v>
        <stp/>
        <stp>BDH|7144668300602310935</stp>
        <tr r="K87" s="17"/>
      </tp>
      <tp t="e">
        <v>#N/A</v>
        <stp/>
        <stp>BDH|4735217252711384805</stp>
        <tr r="N34" s="26"/>
      </tp>
      <tp t="e">
        <v>#N/A</v>
        <stp/>
        <stp>BDH|8189612212512746725</stp>
        <tr r="R8" s="20"/>
        <tr r="R114" s="18"/>
      </tp>
      <tp t="e">
        <v>#N/A</v>
        <stp/>
        <stp>BDH|2090117090641605139</stp>
        <tr r="I64" s="17"/>
      </tp>
      <tp t="e">
        <v>#N/A</v>
        <stp/>
        <stp>BDH|9327708025704498265</stp>
        <tr r="O11" s="10"/>
        <tr r="O14" s="2"/>
      </tp>
      <tp t="e">
        <v>#N/A</v>
        <stp/>
        <stp>BDH|1650034737860290843</stp>
        <tr r="W87" s="17"/>
      </tp>
      <tp t="e">
        <v>#N/A</v>
        <stp/>
        <stp>BDH|8465308905856265773</stp>
        <tr r="N48" s="21"/>
      </tp>
      <tp t="e">
        <v>#N/A</v>
        <stp/>
        <stp>BDH|3766617832184928891</stp>
        <tr r="F64" s="24"/>
      </tp>
      <tp t="e">
        <v>#N/A</v>
        <stp/>
        <stp>BDH|6912999155983336320</stp>
        <tr r="T38" s="12"/>
      </tp>
      <tp t="e">
        <v>#N/A</v>
        <stp/>
        <stp>BDH|7609398628344113828</stp>
        <tr r="E104" s="18"/>
      </tp>
      <tp t="e">
        <v>#N/A</v>
        <stp/>
        <stp>BDH|6209947061836681555</stp>
        <tr r="Z26" s="29"/>
      </tp>
      <tp t="e">
        <v>#N/A</v>
        <stp/>
        <stp>BDH|3514813541444023111</stp>
        <tr r="V27" s="18"/>
      </tp>
      <tp t="e">
        <v>#N/A</v>
        <stp/>
        <stp>BDH|6626334178708065092</stp>
        <tr r="J14" s="8"/>
      </tp>
      <tp t="e">
        <v>#N/A</v>
        <stp/>
        <stp>BDH|9454786414826891347</stp>
        <tr r="L14" s="21"/>
      </tp>
      <tp t="e">
        <v>#N/A</v>
        <stp/>
        <stp>BDH|9086165242427150118</stp>
        <tr r="Z29" s="12"/>
      </tp>
      <tp t="e">
        <v>#N/A</v>
        <stp/>
        <stp>BDH|9015445406563477422</stp>
        <tr r="U24" s="21"/>
      </tp>
      <tp t="e">
        <v>#N/A</v>
        <stp/>
        <stp>BDH|1686399048404137822</stp>
        <tr r="M10" s="27"/>
        <tr r="M29" s="25"/>
      </tp>
      <tp t="e">
        <v>#N/A</v>
        <stp/>
        <stp>BDH|4168821631202741715</stp>
        <tr r="U72" s="12"/>
      </tp>
      <tp t="e">
        <v>#N/A</v>
        <stp/>
        <stp>BDH|2869838408263391341</stp>
        <tr r="F36" s="4"/>
      </tp>
      <tp t="e">
        <v>#N/A</v>
        <stp/>
        <stp>BDH|6947516789146421716</stp>
        <tr r="V16" s="27"/>
        <tr r="V34" s="25"/>
      </tp>
      <tp t="e">
        <v>#N/A</v>
        <stp/>
        <stp>BDH|8974085361057164353</stp>
        <tr r="X31" s="14"/>
      </tp>
      <tp t="e">
        <v>#N/A</v>
        <stp/>
        <stp>BDH|9509752900480077446</stp>
        <tr r="T66" s="18"/>
      </tp>
      <tp t="e">
        <v>#N/A</v>
        <stp/>
        <stp>BDH|9143102266204079034</stp>
        <tr r="L19" s="9"/>
      </tp>
      <tp t="e">
        <v>#N/A</v>
        <stp/>
        <stp>BDH|4725225402929691551</stp>
        <tr r="T56" s="11"/>
      </tp>
      <tp t="e">
        <v>#N/A</v>
        <stp/>
        <stp>BDH|4718518785351384244</stp>
        <tr r="X39" s="11"/>
        <tr r="X50" s="10"/>
      </tp>
      <tp t="e">
        <v>#N/A</v>
        <stp/>
        <stp>BDH|1791882967990458581</stp>
        <tr r="I22" s="14"/>
      </tp>
      <tp t="e">
        <v>#N/A</v>
        <stp/>
        <stp>BDH|5531395149349689174</stp>
        <tr r="W45" s="21"/>
      </tp>
      <tp t="e">
        <v>#N/A</v>
        <stp/>
        <stp>BDH|3520759054692001904</stp>
        <tr r="Q24" s="10"/>
      </tp>
      <tp t="e">
        <v>#N/A</v>
        <stp/>
        <stp>BDH|7822908309537736324</stp>
        <tr r="D59" s="18"/>
      </tp>
      <tp t="e">
        <v>#N/A</v>
        <stp/>
        <stp>BDH|4552049116558781749</stp>
        <tr r="I7" s="4"/>
      </tp>
      <tp t="e">
        <v>#N/A</v>
        <stp/>
        <stp>BDH|4896835534027343283</stp>
        <tr r="S174" s="18"/>
      </tp>
      <tp t="e">
        <v>#N/A</v>
        <stp/>
        <stp>BDH|3186917357140468573</stp>
        <tr r="L28" s="34"/>
      </tp>
      <tp t="e">
        <v>#N/A</v>
        <stp/>
        <stp>BDH|5449548298191518297</stp>
        <tr r="N13" s="21"/>
      </tp>
      <tp t="e">
        <v>#N/A</v>
        <stp/>
        <stp>BDH|2512821868844256297</stp>
        <tr r="H38" s="34"/>
      </tp>
      <tp t="e">
        <v>#N/A</v>
        <stp/>
        <stp>BDH|2083707235875192903</stp>
        <tr r="P174" s="18"/>
      </tp>
      <tp t="e">
        <v>#N/A</v>
        <stp/>
        <stp>BDH|8216621477975106624</stp>
        <tr r="D20" s="17"/>
      </tp>
      <tp t="e">
        <v>#N/A</v>
        <stp/>
        <stp>BDH|1009578411429601641</stp>
        <tr r="U69" s="13"/>
      </tp>
      <tp t="e">
        <v>#N/A</v>
        <stp/>
        <stp>BDH|9270729515151221431</stp>
        <tr r="E58" s="6"/>
      </tp>
      <tp t="e">
        <v>#N/A</v>
        <stp/>
        <stp>BDH|4962575651417989923</stp>
        <tr r="V96" s="12"/>
      </tp>
      <tp t="e">
        <v>#N/A</v>
        <stp/>
        <stp>BDH|1616777281184633028</stp>
        <tr r="R20" s="22"/>
      </tp>
      <tp t="e">
        <v>#N/A</v>
        <stp/>
        <stp>BDH|8238543266553416208</stp>
        <tr r="K28" s="4"/>
      </tp>
      <tp t="e">
        <v>#N/A</v>
        <stp/>
        <stp>BDH|8374543413356011009</stp>
        <tr r="Q122" s="18"/>
      </tp>
      <tp t="e">
        <v>#N/A</v>
        <stp/>
        <stp>BDH|1576208901078679167</stp>
        <tr r="D45" s="21"/>
      </tp>
      <tp t="e">
        <v>#N/A</v>
        <stp/>
        <stp>BDH|5784845522385008051</stp>
        <tr r="D97" s="12"/>
      </tp>
      <tp t="e">
        <v>#N/A</v>
        <stp/>
        <stp>BDH|3486567003684134845</stp>
        <tr r="C60" s="13"/>
        <tr r="C10" s="3"/>
      </tp>
      <tp t="e">
        <v>#N/A</v>
        <stp/>
        <stp>BDH|4771488485103863166</stp>
        <tr r="R17" s="23"/>
      </tp>
      <tp t="e">
        <v>#N/A</v>
        <stp/>
        <stp>BDH|6307950522891944692</stp>
        <tr r="L10" s="25"/>
        <tr r="L55" s="17"/>
      </tp>
      <tp t="e">
        <v>#N/A</v>
        <stp/>
        <stp>BDH|8324424548320556291</stp>
        <tr r="W21" s="27"/>
      </tp>
      <tp t="e">
        <v>#N/A</v>
        <stp/>
        <stp>BDH|3038724507627643964</stp>
        <tr r="S10" s="18"/>
      </tp>
      <tp t="e">
        <v>#N/A</v>
        <stp/>
        <stp>BDH|3885335893714531788</stp>
        <tr r="C13" s="12"/>
      </tp>
      <tp t="e">
        <v>#N/A</v>
        <stp/>
        <stp>BDH|5898959759805916688</stp>
        <tr r="D28" s="9"/>
        <tr r="D30" s="5"/>
      </tp>
      <tp t="e">
        <v>#N/A</v>
        <stp/>
        <stp>BDH|7761936074963782021</stp>
        <tr r="I19" s="11"/>
      </tp>
      <tp t="e">
        <v>#N/A</v>
        <stp/>
        <stp>BDH|4393270153838686149</stp>
        <tr r="I20" s="25"/>
      </tp>
      <tp t="e">
        <v>#N/A</v>
        <stp/>
        <stp>BDH|4129764097194104444</stp>
        <tr r="R42" s="29"/>
        <tr r="R33" s="29"/>
        <tr r="P55" s="6"/>
        <tr r="P11" s="5"/>
        <tr r="Q10" s="2"/>
      </tp>
      <tp t="e">
        <v>#N/A</v>
        <stp/>
        <stp>BDH|8632273601621120147</stp>
        <tr r="O28" s="12"/>
      </tp>
      <tp t="e">
        <v>#N/A</v>
        <stp/>
        <stp>BDH|8341550445210435326</stp>
        <tr r="D12" s="14"/>
      </tp>
      <tp t="e">
        <v>#N/A</v>
        <stp/>
        <stp>BDH|5996709071068568785</stp>
        <tr r="O49" s="13"/>
      </tp>
      <tp t="e">
        <v>#N/A</v>
        <stp/>
        <stp>BDH|6691548545809687443</stp>
        <tr r="E26" s="24"/>
      </tp>
      <tp t="e">
        <v>#N/A</v>
        <stp/>
        <stp>BDH|8979756226206697198</stp>
        <tr r="F60" s="12"/>
      </tp>
      <tp t="e">
        <v>#N/A</v>
        <stp/>
        <stp>BDH|1827575929534110821</stp>
        <tr r="U8" s="25"/>
        <tr r="R10" s="5"/>
        <tr r="S9" s="2"/>
      </tp>
      <tp t="e">
        <v>#N/A</v>
        <stp/>
        <stp>BDH|2343286948758012666</stp>
        <tr r="G19" s="26"/>
      </tp>
      <tp t="e">
        <v>#N/A</v>
        <stp/>
        <stp>BDH|2115317207683444866</stp>
        <tr r="N47" s="17"/>
      </tp>
      <tp t="e">
        <v>#N/A</v>
        <stp/>
        <stp>BDH|4226589550606885870</stp>
        <tr r="Z16" s="23"/>
      </tp>
      <tp t="e">
        <v>#N/A</v>
        <stp/>
        <stp>BDH|2015507797374224002</stp>
        <tr r="P98" s="12"/>
      </tp>
      <tp t="e">
        <v>#N/A</v>
        <stp/>
        <stp>BDH|1411096950319867707</stp>
        <tr r="F12" s="12"/>
      </tp>
      <tp t="e">
        <v>#N/A</v>
        <stp/>
        <stp>BDH|2499867478706948169</stp>
        <tr r="J16" s="14"/>
      </tp>
      <tp t="e">
        <v>#N/A</v>
        <stp/>
        <stp>BDH|5743635069137168892</stp>
        <tr r="R123" s="18"/>
      </tp>
      <tp t="e">
        <v>#N/A</v>
        <stp/>
        <stp>BDH|5914930062459829953</stp>
        <tr r="I55" s="21"/>
      </tp>
      <tp t="e">
        <v>#N/A</v>
        <stp/>
        <stp>BDH|1771816774582670614</stp>
        <tr r="T43" s="24"/>
      </tp>
      <tp t="e">
        <v>#N/A</v>
        <stp/>
        <stp>BDH|5276214724829489664</stp>
        <tr r="R71" s="13"/>
      </tp>
      <tp t="e">
        <v>#N/A</v>
        <stp/>
        <stp>BDH|7462638069774970928</stp>
        <tr r="L20" s="23"/>
      </tp>
      <tp t="e">
        <v>#N/A</v>
        <stp/>
        <stp>BDH|5979121369338724001</stp>
        <tr r="F55" s="18"/>
      </tp>
      <tp t="e">
        <v>#N/A</v>
        <stp/>
        <stp>BDH|5902297177643678940</stp>
        <tr r="X18" s="29"/>
        <tr r="X41" s="29"/>
      </tp>
      <tp t="e">
        <v>#N/A</v>
        <stp/>
        <stp>BDH|1386092709368432323</stp>
        <tr r="J17" s="6"/>
      </tp>
      <tp t="e">
        <v>#N/A</v>
        <stp/>
        <stp>BDH|1050168052746502942</stp>
        <tr r="I9" s="8"/>
        <tr r="G52" s="6"/>
      </tp>
      <tp t="e">
        <v>#N/A</v>
        <stp/>
        <stp>BDH|9701416515236484024</stp>
        <tr r="AA23" s="21"/>
      </tp>
      <tp t="e">
        <v>#N/A</v>
        <stp/>
        <stp>BDH|7388764893473561065</stp>
        <tr r="V13" s="11"/>
      </tp>
      <tp t="e">
        <v>#N/A</v>
        <stp/>
        <stp>BDH|4700074885441280723</stp>
        <tr r="K52" s="34"/>
      </tp>
      <tp t="e">
        <v>#N/A</v>
        <stp/>
        <stp>BDH|3444106917331427828</stp>
        <tr r="V8" s="20"/>
        <tr r="V114" s="18"/>
      </tp>
      <tp t="e">
        <v>#N/A</v>
        <stp/>
        <stp>BDH|5749583419919045231</stp>
        <tr r="H45" s="24"/>
      </tp>
      <tp t="e">
        <v>#N/A</v>
        <stp/>
        <stp>BDH|6547897293858388599</stp>
        <tr r="W78" s="17"/>
        <tr r="T9" s="5"/>
        <tr r="T9" s="9"/>
      </tp>
      <tp t="e">
        <v>#N/A</v>
        <stp/>
        <stp>BDH|4907396212324692811</stp>
        <tr r="T8" s="10"/>
      </tp>
      <tp t="e">
        <v>#N/A</v>
        <stp/>
        <stp>BDH|3901640745398469398</stp>
        <tr r="E44" s="22"/>
      </tp>
      <tp t="e">
        <v>#N/A</v>
        <stp/>
        <stp>BDH|4334100145662300908</stp>
        <tr r="X159" s="18"/>
      </tp>
      <tp t="e">
        <v>#N/A</v>
        <stp/>
        <stp>BDH|8796759916512192601</stp>
        <tr r="Z51" s="12"/>
      </tp>
      <tp t="e">
        <v>#N/A</v>
        <stp/>
        <stp>BDH|8453973609998672395</stp>
        <tr r="V24" s="6"/>
      </tp>
      <tp t="e">
        <v>#N/A</v>
        <stp/>
        <stp>BDH|9624759525390158621</stp>
        <tr r="Q91" s="17"/>
      </tp>
      <tp t="e">
        <v>#N/A</v>
        <stp/>
        <stp>BDH|3750453471498552239</stp>
        <tr r="X50" s="34"/>
      </tp>
      <tp t="e">
        <v>#N/A</v>
        <stp/>
        <stp>BDH|98781177376208135</stp>
        <tr r="D94" s="18"/>
      </tp>
      <tp t="e">
        <v>#N/A</v>
        <stp/>
        <stp>BDH|73369829713229504</stp>
        <tr r="AA18" s="24"/>
      </tp>
      <tp t="e">
        <v>#N/A</v>
        <stp/>
        <stp>BDH|15260718147516338</stp>
        <tr r="I35" s="4"/>
      </tp>
      <tp t="e">
        <v>#N/A</v>
        <stp/>
        <stp>BDH|54645323010723395</stp>
        <tr r="Y29" s="26"/>
      </tp>
      <tp t="e">
        <v>#N/A</v>
        <stp/>
        <stp>BDH|4206281274069667326</stp>
        <tr r="O51" s="21"/>
      </tp>
      <tp t="e">
        <v>#N/A</v>
        <stp/>
        <stp>BDH|6248062126218807705</stp>
        <tr r="G142" s="18"/>
      </tp>
      <tp t="e">
        <v>#N/A</v>
        <stp/>
        <stp>BDH|4869801931202125627</stp>
        <tr r="P35" s="13"/>
        <tr r="N28" s="10"/>
      </tp>
      <tp t="e">
        <v>#N/A</v>
        <stp/>
        <stp>BDH|4515223630387966947</stp>
        <tr r="P42" s="6"/>
      </tp>
      <tp t="e">
        <v>#N/A</v>
        <stp/>
        <stp>BDH|8921279936847341517</stp>
        <tr r="D148" s="18"/>
      </tp>
      <tp t="e">
        <v>#N/A</v>
        <stp/>
        <stp>BDH|2427922558555469000</stp>
        <tr r="E17" s="28"/>
        <tr r="E14" s="17"/>
      </tp>
      <tp t="e">
        <v>#N/A</v>
        <stp/>
        <stp>BDH|3430082841968625419</stp>
        <tr r="X77" s="24"/>
      </tp>
      <tp t="e">
        <v>#N/A</v>
        <stp/>
        <stp>BDH|7641503473826686895</stp>
        <tr r="N64" s="12"/>
      </tp>
      <tp t="e">
        <v>#N/A</v>
        <stp/>
        <stp>BDH|7242617364125509980</stp>
        <tr r="P30" s="21"/>
      </tp>
      <tp t="e">
        <v>#N/A</v>
        <stp/>
        <stp>BDH|8686560524307899360</stp>
        <tr r="X12" s="6"/>
      </tp>
      <tp t="e">
        <v>#N/A</v>
        <stp/>
        <stp>BDH|6611713785527974515</stp>
        <tr r="Z66" s="17"/>
      </tp>
      <tp t="e">
        <v>#N/A</v>
        <stp/>
        <stp>BDH|1596341296407895750</stp>
        <tr r="M63" s="24"/>
      </tp>
      <tp t="e">
        <v>#N/A</v>
        <stp/>
        <stp>BDH|8222016110367930500</stp>
        <tr r="Q151" s="18"/>
      </tp>
      <tp t="e">
        <v>#N/A</v>
        <stp/>
        <stp>BDH|4469716554964994924</stp>
        <tr r="O53" s="22"/>
      </tp>
      <tp t="e">
        <v>#N/A</v>
        <stp/>
        <stp>BDH|1897016898982927123</stp>
        <tr r="D35" s="22"/>
      </tp>
      <tp t="e">
        <v>#N/A</v>
        <stp/>
        <stp>BDH|1904680389413477764</stp>
        <tr r="O31" s="26"/>
      </tp>
      <tp t="e">
        <v>#N/A</v>
        <stp/>
        <stp>BDH|6090655748057227858</stp>
        <tr r="P10" s="25"/>
        <tr r="P55" s="17"/>
      </tp>
      <tp t="e">
        <v>#N/A</v>
        <stp/>
        <stp>BDH|9977237414771255064</stp>
        <tr r="J16" s="11"/>
      </tp>
      <tp t="e">
        <v>#N/A</v>
        <stp/>
        <stp>BDH|4094990751537060423</stp>
        <tr r="O22" s="29"/>
        <tr r="O13" s="29"/>
        <tr r="O36" s="29"/>
      </tp>
      <tp t="e">
        <v>#N/A</v>
        <stp/>
        <stp>BDH|3469409331156950962</stp>
        <tr r="V22" s="22"/>
      </tp>
      <tp t="e">
        <v>#N/A</v>
        <stp/>
        <stp>BDH|1301491280137293121</stp>
        <tr r="K88" s="17"/>
      </tp>
      <tp t="e">
        <v>#N/A</v>
        <stp/>
        <stp>BDH|9951785321640969738</stp>
        <tr r="W50" s="12"/>
      </tp>
      <tp t="e">
        <v>#N/A</v>
        <stp/>
        <stp>BDH|4088293256081666936</stp>
        <tr r="R23" s="23"/>
      </tp>
      <tp t="e">
        <v>#N/A</v>
        <stp/>
        <stp>BDH|4254475741246803969</stp>
        <tr r="Z12" s="13"/>
      </tp>
      <tp t="e">
        <v>#N/A</v>
        <stp/>
        <stp>BDH|5887827234177725237</stp>
        <tr r="V36" s="34"/>
      </tp>
      <tp t="e">
        <v>#N/A</v>
        <stp/>
        <stp>BDH|8595367018479511840</stp>
        <tr r="H32" s="22"/>
      </tp>
      <tp t="e">
        <v>#N/A</v>
        <stp/>
        <stp>BDH|6013001378352698841</stp>
        <tr r="O70" s="18"/>
      </tp>
      <tp t="e">
        <v>#N/A</v>
        <stp/>
        <stp>BDH|8993622137543062562</stp>
        <tr r="P37" s="34"/>
      </tp>
      <tp t="e">
        <v>#N/A</v>
        <stp/>
        <stp>BDH|8298496751947244528</stp>
        <tr r="F28" s="21"/>
      </tp>
      <tp t="e">
        <v>#N/A</v>
        <stp/>
        <stp>BDH|2987315155019166667</stp>
        <tr r="N55" s="24"/>
      </tp>
      <tp t="e">
        <v>#N/A</v>
        <stp/>
        <stp>BDH|1599549780551307689</stp>
        <tr r="Q21" s="17"/>
      </tp>
      <tp t="e">
        <v>#N/A</v>
        <stp/>
        <stp>BDH|3118483796054266178</stp>
        <tr r="C8" s="12"/>
      </tp>
      <tp t="e">
        <v>#N/A</v>
        <stp/>
        <stp>BDH|6882048822409614629</stp>
        <tr r="U8" s="6"/>
      </tp>
      <tp t="e">
        <v>#N/A</v>
        <stp/>
        <stp>BDH|7899935856096580628</stp>
        <tr r="T43" s="11"/>
        <tr r="T54" s="10"/>
        <tr r="T14" s="7"/>
        <tr r="V9" s="3"/>
      </tp>
      <tp t="e">
        <v>#N/A</v>
        <stp/>
        <stp>BDH|2407073055899910555</stp>
        <tr r="R60" s="17"/>
      </tp>
      <tp t="e">
        <v>#N/A</v>
        <stp/>
        <stp>BDH|9197461636092220795</stp>
        <tr r="K26" s="11"/>
        <tr r="K37" s="10"/>
      </tp>
      <tp t="e">
        <v>#N/A</v>
        <stp/>
        <stp>BDH|8860166100806320474</stp>
        <tr r="S22" s="24"/>
      </tp>
      <tp t="e">
        <v>#N/A</v>
        <stp/>
        <stp>BDH|5831968052637300553</stp>
        <tr r="P110" s="18"/>
      </tp>
      <tp t="e">
        <v>#N/A</v>
        <stp/>
        <stp>BDH|2111168992545905462</stp>
        <tr r="M52" s="34"/>
      </tp>
      <tp t="e">
        <v>#N/A</v>
        <stp/>
        <stp>BDH|4311893671379985998</stp>
        <tr r="D10" s="11"/>
      </tp>
      <tp t="e">
        <v>#N/A</v>
        <stp/>
        <stp>BDH|2915874014109466953</stp>
        <tr r="K70" s="12"/>
      </tp>
      <tp t="e">
        <v>#N/A</v>
        <stp/>
        <stp>BDH|5657933259852683017</stp>
        <tr r="G7" s="4"/>
      </tp>
      <tp t="e">
        <v>#N/A</v>
        <stp/>
        <stp>BDH|5265875040076952476</stp>
        <tr r="H123" s="18"/>
      </tp>
      <tp t="e">
        <v>#N/A</v>
        <stp/>
        <stp>BDH|9876658005931734545</stp>
        <tr r="S86" s="18"/>
      </tp>
      <tp t="e">
        <v>#N/A</v>
        <stp/>
        <stp>BDH|5305807288748921692</stp>
        <tr r="K8" s="6"/>
      </tp>
      <tp t="e">
        <v>#N/A</v>
        <stp/>
        <stp>BDH|9475699630335753218</stp>
        <tr r="G69" s="24"/>
      </tp>
      <tp t="e">
        <v>#N/A</v>
        <stp/>
        <stp>BDH|7671942955702535291</stp>
        <tr r="P30" s="29"/>
        <tr r="P8" s="29"/>
      </tp>
      <tp t="e">
        <v>#N/A</v>
        <stp/>
        <stp>BDH|8154573908116234074</stp>
        <tr r="F30" s="21"/>
      </tp>
      <tp t="e">
        <v>#N/A</v>
        <stp/>
        <stp>BDH|2547731594564075394</stp>
        <tr r="T26" s="18"/>
      </tp>
      <tp t="e">
        <v>#N/A</v>
        <stp/>
        <stp>BDH|2570503306475935910</stp>
        <tr r="E24" s="5"/>
      </tp>
      <tp t="e">
        <v>#N/A</v>
        <stp/>
        <stp>BDH|2244948269086197056</stp>
        <tr r="W127" s="18"/>
      </tp>
      <tp t="e">
        <v>#N/A</v>
        <stp/>
        <stp>BDH|5075759151924721887</stp>
        <tr r="Z68" s="12"/>
      </tp>
      <tp t="e">
        <v>#N/A</v>
        <stp/>
        <stp>BDH|8059478668291657028</stp>
        <tr r="L12" s="7"/>
      </tp>
      <tp t="e">
        <v>#N/A</v>
        <stp/>
        <stp>BDH|5389060505296807838</stp>
        <tr r="M96" s="18"/>
      </tp>
      <tp t="e">
        <v>#N/A</v>
        <stp/>
        <stp>BDH|5059222939949283623</stp>
        <tr r="AA54" s="18"/>
      </tp>
      <tp t="e">
        <v>#N/A</v>
        <stp/>
        <stp>BDH|9107315864156633192</stp>
        <tr r="T17" s="34"/>
      </tp>
      <tp t="e">
        <v>#N/A</v>
        <stp/>
        <stp>BDH|5502050572738123181</stp>
        <tr r="G165" s="18"/>
      </tp>
      <tp t="e">
        <v>#N/A</v>
        <stp/>
        <stp>BDH|4175643410058704090</stp>
        <tr r="G39" s="21"/>
      </tp>
      <tp t="e">
        <v>#N/A</v>
        <stp/>
        <stp>BDH|7222800350688167986</stp>
        <tr r="S24" s="6"/>
      </tp>
      <tp t="e">
        <v>#N/A</v>
        <stp/>
        <stp>BDH|1375221029288137223</stp>
        <tr r="Z23" s="25"/>
      </tp>
      <tp t="e">
        <v>#N/A</v>
        <stp/>
        <stp>BDH|6498707881435878769</stp>
        <tr r="G17" s="14"/>
      </tp>
      <tp t="e">
        <v>#N/A</v>
        <stp/>
        <stp>BDH|2901853237654240626</stp>
        <tr r="S17" s="24"/>
      </tp>
      <tp t="e">
        <v>#N/A</v>
        <stp/>
        <stp>BDH|8911272120774766725</stp>
        <tr r="N80" s="18"/>
      </tp>
      <tp t="e">
        <v>#N/A</v>
        <stp/>
        <stp>BDH|1554317148255013876</stp>
        <tr r="Z53" s="13"/>
      </tp>
      <tp t="e">
        <v>#N/A</v>
        <stp/>
        <stp>BDH|8592458211655228382</stp>
        <tr r="V11" s="29"/>
      </tp>
      <tp t="e">
        <v>#N/A</v>
        <stp/>
        <stp>BDH|7352650235091872805</stp>
        <tr r="R15" s="5"/>
      </tp>
      <tp t="e">
        <v>#N/A</v>
        <stp/>
        <stp>BDH|8062574939995786025</stp>
        <tr r="D7" s="4"/>
      </tp>
      <tp t="e">
        <v>#N/A</v>
        <stp/>
        <stp>BDH|8717322466016824008</stp>
        <tr r="O43" s="18"/>
      </tp>
      <tp t="e">
        <v>#N/A</v>
        <stp/>
        <stp>BDH|9991266016945563478</stp>
        <tr r="Y19" s="28"/>
        <tr r="Y16" s="17"/>
      </tp>
      <tp t="e">
        <v>#N/A</v>
        <stp/>
        <stp>BDH|8031986445739585732</stp>
        <tr r="V52" s="12"/>
      </tp>
      <tp t="e">
        <v>#N/A</v>
        <stp/>
        <stp>BDH|5015752159158289452</stp>
        <tr r="T46" s="22"/>
      </tp>
      <tp t="e">
        <v>#N/A</v>
        <stp/>
        <stp>BDH|9872811385051550328</stp>
        <tr r="AA63" s="13"/>
        <tr r="Y60" s="10"/>
        <tr r="Y49" s="11"/>
        <tr r="Y18" s="7"/>
      </tp>
      <tp t="e">
        <v>#N/A</v>
        <stp/>
        <stp>BDH|5774178469641178835</stp>
        <tr r="F141" s="18"/>
      </tp>
      <tp t="e">
        <v>#N/A</v>
        <stp/>
        <stp>BDH|6987528562326201809</stp>
        <tr r="S16" s="14"/>
      </tp>
      <tp t="e">
        <v>#N/A</v>
        <stp/>
        <stp>BDH|3180936208043248230</stp>
        <tr r="AA53" s="18"/>
      </tp>
      <tp t="e">
        <v>#N/A</v>
        <stp/>
        <stp>BDH|9412790039975871373</stp>
        <tr r="F38" s="24"/>
      </tp>
      <tp t="e">
        <v>#N/A</v>
        <stp/>
        <stp>BDH|2757093396906527661</stp>
        <tr r="Z60" s="13"/>
        <tr r="X48" s="11"/>
        <tr r="X59" s="10"/>
        <tr r="X17" s="7"/>
        <tr r="X17" s="4"/>
        <tr r="Z10" s="3"/>
      </tp>
      <tp t="e">
        <v>#N/A</v>
        <stp/>
        <stp>BDH|6614362648813270910</stp>
        <tr r="D26" s="13"/>
      </tp>
      <tp t="e">
        <v>#N/A</v>
        <stp/>
        <stp>BDH|1269278127859094390</stp>
        <tr r="X88" s="18"/>
      </tp>
      <tp t="e">
        <v>#N/A</v>
        <stp/>
        <stp>BDH|4684055042259191287</stp>
        <tr r="D14" s="3"/>
      </tp>
      <tp t="e">
        <v>#N/A</v>
        <stp/>
        <stp>BDH|8077186847300669614</stp>
        <tr r="U46" s="6"/>
        <tr r="U19" s="5"/>
      </tp>
      <tp t="e">
        <v>#N/A</v>
        <stp/>
        <stp>BDH|1814708137257287953</stp>
        <tr r="E24" s="10"/>
      </tp>
      <tp t="e">
        <v>#N/A</v>
        <stp/>
        <stp>BDH|7613824473480668394</stp>
        <tr r="I15" s="29"/>
        <tr r="I38" s="29"/>
      </tp>
      <tp t="e">
        <v>#N/A</v>
        <stp/>
        <stp>BDH|6277806169500606357</stp>
        <tr r="V40" s="24"/>
      </tp>
      <tp t="e">
        <v>#N/A</v>
        <stp/>
        <stp>BDH|5951867325357336311</stp>
        <tr r="N37" s="18"/>
      </tp>
      <tp t="e">
        <v>#N/A</v>
        <stp/>
        <stp>BDH|6652491575597743957</stp>
        <tr r="D9" s="30"/>
      </tp>
      <tp t="e">
        <v>#N/A</v>
        <stp/>
        <stp>BDH|6002458703578978178</stp>
        <tr r="L48" s="13"/>
      </tp>
      <tp t="e">
        <v>#N/A</v>
        <stp/>
        <stp>BDH|5381306225117686882</stp>
        <tr r="U13" s="25"/>
      </tp>
      <tp t="e">
        <v>#N/A</v>
        <stp/>
        <stp>BDH|7595322377719106199</stp>
        <tr r="H10" s="13"/>
      </tp>
      <tp t="e">
        <v>#N/A</v>
        <stp/>
        <stp>BDH|8721708868131188366</stp>
        <tr r="Q13" s="9"/>
      </tp>
      <tp t="e">
        <v>#N/A</v>
        <stp/>
        <stp>BDH|5949995532793316792</stp>
        <tr r="L24" s="24"/>
      </tp>
      <tp t="e">
        <v>#N/A</v>
        <stp/>
        <stp>BDH|2977450311469558503</stp>
        <tr r="P9" s="22"/>
      </tp>
      <tp t="e">
        <v>#N/A</v>
        <stp/>
        <stp>BDH|3813300905658466315</stp>
        <tr r="X29" s="11"/>
        <tr r="Z45" s="13"/>
        <tr r="X40" s="10"/>
      </tp>
      <tp t="e">
        <v>#N/A</v>
        <stp/>
        <stp>BDH|5806506505722101946</stp>
        <tr r="L150" s="18"/>
      </tp>
      <tp t="e">
        <v>#N/A</v>
        <stp/>
        <stp>BDH|4362357197565104082</stp>
        <tr r="H27" s="26"/>
      </tp>
      <tp t="e">
        <v>#N/A</v>
        <stp/>
        <stp>BDH|2549209797553899127</stp>
        <tr r="O131" s="18"/>
      </tp>
      <tp t="e">
        <v>#N/A</v>
        <stp/>
        <stp>BDH|5113135342733950810</stp>
        <tr r="P22" s="24"/>
      </tp>
      <tp t="e">
        <v>#N/A</v>
        <stp/>
        <stp>BDH|7738932100612531792</stp>
        <tr r="W9" s="23"/>
      </tp>
      <tp t="e">
        <v>#N/A</v>
        <stp/>
        <stp>BDH|5913169099852712498</stp>
        <tr r="R77" s="24"/>
      </tp>
      <tp t="e">
        <v>#N/A</v>
        <stp/>
        <stp>BDH|4324134106879674780</stp>
        <tr r="V39" s="24"/>
      </tp>
      <tp t="e">
        <v>#N/A</v>
        <stp/>
        <stp>BDH|7876754247508663749</stp>
        <tr r="J16" s="28"/>
        <tr r="J13" s="17"/>
      </tp>
      <tp t="e">
        <v>#N/A</v>
        <stp/>
        <stp>BDH|2839134352118481557</stp>
        <tr r="AA38" s="26"/>
      </tp>
      <tp t="e">
        <v>#N/A</v>
        <stp/>
        <stp>BDH|6932347611686536918</stp>
        <tr r="N72" s="17"/>
      </tp>
      <tp t="e">
        <v>#N/A</v>
        <stp/>
        <stp>BDH|1332022559847408840</stp>
        <tr r="Q64" s="21"/>
        <tr r="O23" s="7"/>
      </tp>
      <tp t="e">
        <v>#N/A</v>
        <stp/>
        <stp>BDH|7634096591563224649</stp>
        <tr r="O68" s="12"/>
      </tp>
      <tp t="e">
        <v>#N/A</v>
        <stp/>
        <stp>BDH|1544185567839267405</stp>
        <tr r="Z61" s="24"/>
      </tp>
      <tp t="e">
        <v>#N/A</v>
        <stp/>
        <stp>BDH|5991172689210726781</stp>
        <tr r="L105" s="18"/>
      </tp>
      <tp t="e">
        <v>#N/A</v>
        <stp/>
        <stp>BDH|9170448402121850776</stp>
        <tr r="N18" s="14"/>
      </tp>
      <tp t="e">
        <v>#N/A</v>
        <stp/>
        <stp>BDH|5741194665861162823</stp>
        <tr r="D74" s="24"/>
      </tp>
      <tp t="e">
        <v>#N/A</v>
        <stp/>
        <stp>BDH|8148196341423996582</stp>
        <tr r="C14" s="27"/>
        <tr r="C32" s="25"/>
      </tp>
      <tp t="e">
        <v>#N/A</v>
        <stp/>
        <stp>BDH|7097618289533206128</stp>
        <tr r="C37" s="24"/>
      </tp>
      <tp t="e">
        <v>#N/A</v>
        <stp/>
        <stp>BDH|4989243238278938645</stp>
        <tr r="P26" s="25"/>
        <tr r="P56" s="21"/>
      </tp>
      <tp t="e">
        <v>#N/A</v>
        <stp/>
        <stp>BDH|9033595511657995197</stp>
        <tr r="S29" s="4"/>
      </tp>
      <tp t="e">
        <v>#N/A</v>
        <stp/>
        <stp>BDH|8595175840176819022</stp>
        <tr r="AA29" s="18"/>
      </tp>
      <tp t="e">
        <v>#N/A</v>
        <stp/>
        <stp>BDH|1086067222899900146</stp>
        <tr r="S23" s="17"/>
      </tp>
      <tp t="e">
        <v>#N/A</v>
        <stp/>
        <stp>BDH|4634847100591294699</stp>
        <tr r="M53" s="17"/>
      </tp>
      <tp t="e">
        <v>#N/A</v>
        <stp/>
        <stp>BDH|5546302214279036587</stp>
        <tr r="Y54" s="12"/>
      </tp>
      <tp t="e">
        <v>#N/A</v>
        <stp/>
        <stp>BDH|8761134463703606785</stp>
        <tr r="C44" s="22"/>
      </tp>
      <tp t="e">
        <v>#N/A</v>
        <stp/>
        <stp>BDH|6776322384450198698</stp>
        <tr r="P21" s="10"/>
      </tp>
      <tp t="e">
        <v>#N/A</v>
        <stp/>
        <stp>BDH|9815113164043494609</stp>
        <tr r="O14" s="6"/>
      </tp>
      <tp t="e">
        <v>#N/A</v>
        <stp/>
        <stp>BDH|5084523726910847954</stp>
        <tr r="I121" s="18"/>
      </tp>
      <tp t="e">
        <v>#N/A</v>
        <stp/>
        <stp>BDH|6207972464032936013</stp>
        <tr r="E36" s="18"/>
      </tp>
      <tp t="e">
        <v>#N/A</v>
        <stp/>
        <stp>BDH|8138386822700335214</stp>
        <tr r="R174" s="18"/>
      </tp>
      <tp t="e">
        <v>#N/A</v>
        <stp/>
        <stp>BDH|8770526487447300980</stp>
        <tr r="I11" s="17"/>
      </tp>
      <tp t="e">
        <v>#N/A</v>
        <stp/>
        <stp>BDH|1562402126998209488</stp>
        <tr r="O79" s="17"/>
        <tr r="O19" s="3"/>
      </tp>
      <tp t="e">
        <v>#N/A</v>
        <stp/>
        <stp>BDH|8580766613176885313</stp>
        <tr r="O13" s="7"/>
      </tp>
      <tp t="e">
        <v>#N/A</v>
        <stp/>
        <stp>BDH|6172403919799037114</stp>
        <tr r="I41" s="34"/>
      </tp>
      <tp t="e">
        <v>#N/A</v>
        <stp/>
        <stp>BDH|5184963009871703607</stp>
        <tr r="D82" s="18"/>
      </tp>
      <tp t="e">
        <v>#N/A</v>
        <stp/>
        <stp>BDH|6101141304694917812</stp>
        <tr r="I32" s="29"/>
        <tr r="G34" s="5"/>
      </tp>
      <tp t="e">
        <v>#N/A</v>
        <stp/>
        <stp>BDH|9768597123626137350</stp>
        <tr r="V13" s="12"/>
      </tp>
      <tp t="e">
        <v>#N/A</v>
        <stp/>
        <stp>BDH|1881533606998516717</stp>
        <tr r="Q18" s="6"/>
      </tp>
      <tp t="e">
        <v>#N/A</v>
        <stp/>
        <stp>BDH|3836975167544166302</stp>
        <tr r="S60" s="17"/>
      </tp>
      <tp t="e">
        <v>#N/A</v>
        <stp/>
        <stp>BDH|2510312683624763694</stp>
        <tr r="W38" s="26"/>
      </tp>
      <tp t="e">
        <v>#N/A</v>
        <stp/>
        <stp>BDH|2947822431233012132</stp>
        <tr r="X55" s="13"/>
      </tp>
      <tp t="e">
        <v>#N/A</v>
        <stp/>
        <stp>BDH|9572816108093057953</stp>
        <tr r="J74" s="17"/>
      </tp>
      <tp t="e">
        <v>#N/A</v>
        <stp/>
        <stp>BDH|6513546612490227986</stp>
        <tr r="T18" s="17"/>
      </tp>
      <tp t="e">
        <v>#N/A</v>
        <stp/>
        <stp>BDH|8131323333213960002</stp>
        <tr r="M25" s="13"/>
      </tp>
      <tp t="e">
        <v>#N/A</v>
        <stp/>
        <stp>BDH|3158467316278056583</stp>
        <tr r="S17" s="12"/>
      </tp>
      <tp t="e">
        <v>#N/A</v>
        <stp/>
        <stp>BDH|1367966769937301260</stp>
        <tr r="I9" s="24"/>
      </tp>
      <tp t="e">
        <v>#N/A</v>
        <stp/>
        <stp>BDH|2617119295179209890</stp>
        <tr r="M23" s="13"/>
      </tp>
      <tp t="e">
        <v>#N/A</v>
        <stp/>
        <stp>BDH|1358999531227374711</stp>
        <tr r="J73" s="12"/>
      </tp>
      <tp t="e">
        <v>#N/A</v>
        <stp/>
        <stp>BDH|7353589191963690357</stp>
        <tr r="T9" s="21"/>
      </tp>
      <tp t="e">
        <v>#N/A</v>
        <stp/>
        <stp>BDH|2598053621243127891</stp>
        <tr r="H14" s="8"/>
      </tp>
      <tp t="e">
        <v>#N/A</v>
        <stp/>
        <stp>BDH|1679859351160345780</stp>
        <tr r="C10" s="8"/>
      </tp>
      <tp t="e">
        <v>#N/A</v>
        <stp/>
        <stp>BDH|1285340469438727714</stp>
        <tr r="P167" s="18"/>
      </tp>
      <tp t="e">
        <v>#N/A</v>
        <stp/>
        <stp>BDH|6181349560901819943</stp>
        <tr r="Q63" s="21"/>
      </tp>
      <tp t="e">
        <v>#N/A</v>
        <stp/>
        <stp>BDH|9294627956835798480</stp>
        <tr r="L22" s="20"/>
      </tp>
      <tp t="e">
        <v>#N/A</v>
        <stp/>
        <stp>BDH|6028883500194183107</stp>
        <tr r="D13" s="13"/>
      </tp>
      <tp t="e">
        <v>#N/A</v>
        <stp/>
        <stp>BDH|8464416942466929578</stp>
        <tr r="X54" s="24"/>
      </tp>
      <tp t="e">
        <v>#N/A</v>
        <stp/>
        <stp>BDH|3372334695556919459</stp>
        <tr r="I40" s="11"/>
        <tr r="I39" s="10"/>
        <tr r="I51" s="10"/>
        <tr r="I28" s="11"/>
      </tp>
      <tp t="e">
        <v>#N/A</v>
        <stp/>
        <stp>BDH|3026014878847441844</stp>
        <tr r="O7" s="21"/>
      </tp>
      <tp t="e">
        <v>#N/A</v>
        <stp/>
        <stp>BDH|1801688582991579596</stp>
        <tr r="J37" s="24"/>
      </tp>
      <tp t="e">
        <v>#N/A</v>
        <stp/>
        <stp>BDH|1277835330194954566</stp>
        <tr r="X28" s="12"/>
      </tp>
      <tp t="e">
        <v>#N/A</v>
        <stp/>
        <stp>BDH|2613697280827292034</stp>
        <tr r="S26" s="7"/>
      </tp>
      <tp t="e">
        <v>#N/A</v>
        <stp/>
        <stp>BDH|4229398264278335228</stp>
        <tr r="H46" s="18"/>
      </tp>
      <tp t="e">
        <v>#N/A</v>
        <stp/>
        <stp>BDH|4650536749367265903</stp>
        <tr r="I76" s="10"/>
        <tr r="I65" s="11"/>
      </tp>
      <tp t="e">
        <v>#N/A</v>
        <stp/>
        <stp>BDH|9336359407835805477</stp>
        <tr r="D59" s="24"/>
      </tp>
      <tp t="e">
        <v>#N/A</v>
        <stp/>
        <stp>BDH|1909073972359404465</stp>
        <tr r="R164" s="18"/>
      </tp>
      <tp t="e">
        <v>#N/A</v>
        <stp/>
        <stp>BDH|9893917682804267775</stp>
        <tr r="S21" s="27"/>
      </tp>
      <tp t="e">
        <v>#N/A</v>
        <stp/>
        <stp>BDH|7238504292151840167</stp>
        <tr r="T45" s="22"/>
      </tp>
      <tp t="e">
        <v>#N/A</v>
        <stp/>
        <stp>BDH|6263404915239041191</stp>
        <tr r="C78" s="12"/>
      </tp>
      <tp t="e">
        <v>#N/A</v>
        <stp/>
        <stp>BDH|8951626124683042414</stp>
        <tr r="J89" s="12"/>
      </tp>
      <tp t="e">
        <v>#N/A</v>
        <stp/>
        <stp>BDH|2581385325668193076</stp>
        <tr r="H24" s="17"/>
      </tp>
      <tp t="e">
        <v>#N/A</v>
        <stp/>
        <stp>BDH|1203321368726153977</stp>
        <tr r="Z91" s="18"/>
      </tp>
      <tp t="e">
        <v>#N/A</v>
        <stp/>
        <stp>BDH|9110315709186596728</stp>
        <tr r="I12" s="11"/>
      </tp>
      <tp t="e">
        <v>#N/A</v>
        <stp/>
        <stp>BDH|4196748518641042834</stp>
        <tr r="N11" s="7"/>
      </tp>
      <tp t="e">
        <v>#N/A</v>
        <stp/>
        <stp>BDH|1367750516029665586</stp>
        <tr r="I133" s="18"/>
      </tp>
      <tp t="e">
        <v>#N/A</v>
        <stp/>
        <stp>BDH|3876882862576934055</stp>
        <tr r="Z54" s="18"/>
      </tp>
      <tp t="e">
        <v>#N/A</v>
        <stp/>
        <stp>BDH|6229100370078856341</stp>
        <tr r="M72" s="12"/>
      </tp>
      <tp t="e">
        <v>#N/A</v>
        <stp/>
        <stp>BDH|8874266658166015288</stp>
        <tr r="M22" s="12"/>
      </tp>
      <tp t="e">
        <v>#N/A</v>
        <stp/>
        <stp>BDH|1534529299022008403</stp>
        <tr r="R90" s="17"/>
      </tp>
      <tp t="e">
        <v>#N/A</v>
        <stp/>
        <stp>BDH|7029567498490009008</stp>
        <tr r="L60" s="13"/>
        <tr r="J48" s="11"/>
        <tr r="J59" s="10"/>
        <tr r="J17" s="7"/>
        <tr r="L10" s="3"/>
        <tr r="J17" s="4"/>
      </tp>
      <tp t="e">
        <v>#N/A</v>
        <stp/>
        <stp>BDH|5087653717491575890</stp>
        <tr r="L47" s="17"/>
      </tp>
      <tp t="e">
        <v>#N/A</v>
        <stp/>
        <stp>BDH|9257303753647709388</stp>
        <tr r="F14" s="12"/>
      </tp>
      <tp t="e">
        <v>#N/A</v>
        <stp/>
        <stp>BDH|9773203807931901176</stp>
        <tr r="D47" s="21"/>
      </tp>
      <tp t="e">
        <v>#N/A</v>
        <stp/>
        <stp>BDH|1523528258488268232</stp>
        <tr r="N21" s="21"/>
      </tp>
      <tp t="e">
        <v>#N/A</v>
        <stp/>
        <stp>BDH|4147599378378850561</stp>
        <tr r="F16" s="11"/>
      </tp>
      <tp t="e">
        <v>#N/A</v>
        <stp/>
        <stp>BDH|8119594006932275426</stp>
        <tr r="X136" s="18"/>
      </tp>
      <tp t="e">
        <v>#N/A</v>
        <stp/>
        <stp>BDH|9941872419159835218</stp>
        <tr r="Z60" s="21"/>
        <tr r="X55" s="11"/>
      </tp>
      <tp t="e">
        <v>#N/A</v>
        <stp/>
        <stp>BDH|4685416591201853305</stp>
        <tr r="Q21" s="4"/>
      </tp>
      <tp t="e">
        <v>#N/A</v>
        <stp/>
        <stp>BDH|4162422409872600923</stp>
        <tr r="N169" s="18"/>
      </tp>
      <tp t="e">
        <v>#N/A</v>
        <stp/>
        <stp>BDH|8055787507935522146</stp>
        <tr r="E30" s="18"/>
      </tp>
      <tp t="e">
        <v>#N/A</v>
        <stp/>
        <stp>BDH|6495622044597898849</stp>
        <tr r="V33" s="13"/>
        <tr r="T26" s="10"/>
      </tp>
      <tp t="e">
        <v>#N/A</v>
        <stp/>
        <stp>BDH|7167987954019065939</stp>
        <tr r="G170" s="18"/>
      </tp>
      <tp t="e">
        <v>#N/A</v>
        <stp/>
        <stp>BDH|2894271785316591503</stp>
        <tr r="U9" s="26"/>
      </tp>
      <tp t="e">
        <v>#N/A</v>
        <stp/>
        <stp>BDH|5858315360638027365</stp>
        <tr r="I40" s="24"/>
      </tp>
      <tp t="e">
        <v>#N/A</v>
        <stp/>
        <stp>BDH|8021196245345323305</stp>
        <tr r="V32" s="6"/>
      </tp>
      <tp t="e">
        <v>#N/A</v>
        <stp/>
        <stp>BDH|7964074396271405430</stp>
        <tr r="W12" s="12"/>
      </tp>
      <tp t="e">
        <v>#N/A</v>
        <stp/>
        <stp>BDH|4955873259511833303</stp>
        <tr r="O30" s="9"/>
      </tp>
      <tp t="e">
        <v>#N/A</v>
        <stp/>
        <stp>BDH|8312198043037127178</stp>
        <tr r="Y120" s="18"/>
      </tp>
      <tp t="e">
        <v>#N/A</v>
        <stp/>
        <stp>BDH|5581250617475980817</stp>
        <tr r="F32" s="5"/>
      </tp>
      <tp t="e">
        <v>#N/A</v>
        <stp/>
        <stp>BDH|6338522978927780813</stp>
        <tr r="W12" s="26"/>
      </tp>
      <tp t="e">
        <v>#N/A</v>
        <stp/>
        <stp>BDH|2146280836429100112</stp>
        <tr r="I14" s="4"/>
      </tp>
      <tp t="e">
        <v>#N/A</v>
        <stp/>
        <stp>BDH|7063951807523545684</stp>
        <tr r="Q29" s="24"/>
      </tp>
      <tp t="e">
        <v>#N/A</v>
        <stp/>
        <stp>BDH|4283539881116773482</stp>
        <tr r="J94" s="18"/>
      </tp>
      <tp t="e">
        <v>#N/A</v>
        <stp/>
        <stp>BDH|2001211264264201984</stp>
        <tr r="H25" s="7"/>
      </tp>
      <tp t="e">
        <v>#N/A</v>
        <stp/>
        <stp>BDH|8483445578952470234</stp>
        <tr r="L8" s="13"/>
      </tp>
      <tp t="e">
        <v>#N/A</v>
        <stp/>
        <stp>BDH|9569532219463223525</stp>
        <tr r="I75" s="17"/>
      </tp>
      <tp t="e">
        <v>#N/A</v>
        <stp/>
        <stp>BDH|4670248471372449881</stp>
        <tr r="W18" s="34"/>
      </tp>
      <tp t="e">
        <v>#N/A</v>
        <stp/>
        <stp>BDH|5282883913471679603</stp>
        <tr r="T46" s="21"/>
      </tp>
      <tp t="e">
        <v>#N/A</v>
        <stp/>
        <stp>BDH|6873033380301098444</stp>
        <tr r="AA19" s="22"/>
      </tp>
      <tp t="e">
        <v>#N/A</v>
        <stp/>
        <stp>BDH|2081613928689029463</stp>
        <tr r="D24" s="26"/>
      </tp>
      <tp t="e">
        <v>#N/A</v>
        <stp/>
        <stp>BDH|3654894014086089746</stp>
        <tr r="L55" s="24"/>
      </tp>
      <tp t="e">
        <v>#N/A</v>
        <stp/>
        <stp>BDH|5281114721215536882</stp>
        <tr r="K164" s="18"/>
      </tp>
      <tp t="e">
        <v>#N/A</v>
        <stp/>
        <stp>BDH|5272287403504328858</stp>
        <tr r="V50" s="13"/>
      </tp>
      <tp t="e">
        <v>#N/A</v>
        <stp/>
        <stp>BDH|4182424316372819820</stp>
        <tr r="D25" s="3"/>
      </tp>
      <tp t="e">
        <v>#N/A</v>
        <stp/>
        <stp>BDH|9312949305978763396</stp>
        <tr r="AA71" s="12"/>
      </tp>
      <tp t="e">
        <v>#N/A</v>
        <stp/>
        <stp>BDH|8480828789145735643</stp>
        <tr r="N29" s="6"/>
      </tp>
      <tp t="e">
        <v>#N/A</v>
        <stp/>
        <stp>BDH|8850330055761441467</stp>
        <tr r="Y82" s="12"/>
      </tp>
      <tp t="e">
        <v>#N/A</v>
        <stp/>
        <stp>BDH|6312278965228538188</stp>
        <tr r="R68" s="12"/>
      </tp>
      <tp t="e">
        <v>#N/A</v>
        <stp/>
        <stp>BDH|5943645558584961902</stp>
        <tr r="C44" s="6"/>
      </tp>
      <tp t="e">
        <v>#N/A</v>
        <stp/>
        <stp>BDH|2851835301705739414</stp>
        <tr r="X18" s="11"/>
      </tp>
      <tp t="e">
        <v>#N/A</v>
        <stp/>
        <stp>BDH|7400762675368238491</stp>
        <tr r="C36" s="21"/>
        <tr r="C24" s="3"/>
      </tp>
      <tp t="e">
        <v>#N/A</v>
        <stp/>
        <stp>BDH|8935470974503545331</stp>
        <tr r="N71" s="18"/>
      </tp>
      <tp t="e">
        <v>#N/A</v>
        <stp/>
        <stp>BDH|5735980808012819530</stp>
        <tr r="C51" s="17"/>
      </tp>
      <tp t="e">
        <v>#N/A</v>
        <stp/>
        <stp>BDH|1583248555655021886</stp>
        <tr r="Y175" s="18"/>
      </tp>
      <tp t="e">
        <v>#N/A</v>
        <stp/>
        <stp>BDH|4986776664397570938</stp>
        <tr r="H80" s="17"/>
      </tp>
      <tp t="e">
        <v>#N/A</v>
        <stp/>
        <stp>BDH|1277851688323518966</stp>
        <tr r="I47" s="11"/>
        <tr r="I58" s="10"/>
        <tr r="I7" s="7"/>
        <tr r="K12" s="3"/>
      </tp>
      <tp t="e">
        <v>#N/A</v>
        <stp/>
        <stp>BDH|2357440407569403485</stp>
        <tr r="E49" s="17"/>
      </tp>
      <tp t="e">
        <v>#N/A</v>
        <stp/>
        <stp>BDH|9562337725032621196</stp>
        <tr r="Z34" s="12"/>
      </tp>
      <tp t="e">
        <v>#N/A</v>
        <stp/>
        <stp>BDH|4933676066347627821</stp>
        <tr r="C45" s="34"/>
      </tp>
      <tp t="e">
        <v>#N/A</v>
        <stp/>
        <stp>BDH|8651929325038929049</stp>
        <tr r="J24" s="6"/>
      </tp>
      <tp t="e">
        <v>#N/A</v>
        <stp/>
        <stp>BDH|9235456324195612193</stp>
        <tr r="V35" s="34"/>
      </tp>
      <tp t="e">
        <v>#N/A</v>
        <stp/>
        <stp>BDH|9430488156640151370</stp>
        <tr r="O17" s="20"/>
      </tp>
      <tp t="e">
        <v>#N/A</v>
        <stp/>
        <stp>BDH|6650572109861067941</stp>
        <tr r="J15" s="34"/>
      </tp>
      <tp t="e">
        <v>#N/A</v>
        <stp/>
        <stp>BDH|8000721049754278459</stp>
        <tr r="N93" s="12"/>
      </tp>
      <tp t="e">
        <v>#N/A</v>
        <stp/>
        <stp>BDH|8178999942918179678</stp>
        <tr r="V100" s="18"/>
      </tp>
      <tp t="e">
        <v>#N/A</v>
        <stp/>
        <stp>BDH|8955012468797812249</stp>
        <tr r="I71" s="17"/>
      </tp>
      <tp t="e">
        <v>#N/A</v>
        <stp/>
        <stp>BDH|1335784691316196276</stp>
        <tr r="N10" s="17"/>
      </tp>
      <tp t="e">
        <v>#N/A</v>
        <stp/>
        <stp>BDH|5825295417938903535</stp>
        <tr r="U6" s="16"/>
        <tr r="V6" s="11"/>
        <tr r="X6" s="3"/>
        <tr r="V10" s="4"/>
      </tp>
      <tp t="e">
        <v>#N/A</v>
        <stp/>
        <stp>BDH|3225377128301280834</stp>
        <tr r="J29" s="21"/>
      </tp>
      <tp t="e">
        <v>#N/A</v>
        <stp/>
        <stp>BDH|4546367143829972156</stp>
        <tr r="H158" s="18"/>
      </tp>
      <tp t="e">
        <v>#N/A</v>
        <stp/>
        <stp>BDH|8177210471832942441</stp>
        <tr r="E9" s="25"/>
        <tr r="E44" s="17"/>
      </tp>
      <tp t="e">
        <v>#N/A</v>
        <stp/>
        <stp>BDH|2640917600857314787</stp>
        <tr r="L66" s="13"/>
      </tp>
      <tp t="e">
        <v>#N/A</v>
        <stp/>
        <stp>BDH|6997872042797119610</stp>
        <tr r="X10" s="14"/>
      </tp>
      <tp t="e">
        <v>#N/A</v>
        <stp/>
        <stp>BDH|4548284305008189555</stp>
        <tr r="P41" s="17"/>
      </tp>
      <tp t="e">
        <v>#N/A</v>
        <stp/>
        <stp>BDH|1771786960643692853</stp>
        <tr r="U128" s="18"/>
      </tp>
      <tp t="e">
        <v>#N/A</v>
        <stp/>
        <stp>BDH|2058053184249904848</stp>
        <tr r="H72" s="17"/>
      </tp>
      <tp t="e">
        <v>#N/A</v>
        <stp/>
        <stp>BDH|1524898136430465127</stp>
        <tr r="V73" s="18"/>
      </tp>
      <tp t="e">
        <v>#N/A</v>
        <stp/>
        <stp>BDH|1679237341534024888</stp>
        <tr r="X27" s="6"/>
      </tp>
      <tp t="e">
        <v>#N/A</v>
        <stp/>
        <stp>BDH|7903523794696130629</stp>
        <tr r="W91" s="12"/>
      </tp>
      <tp t="e">
        <v>#N/A</v>
        <stp/>
        <stp>BDH|3870267884054072668</stp>
        <tr r="R15" s="25"/>
      </tp>
      <tp t="e">
        <v>#N/A</v>
        <stp/>
        <stp>BDH|4141067349398662349</stp>
        <tr r="Q20" s="29"/>
      </tp>
      <tp t="e">
        <v>#N/A</v>
        <stp/>
        <stp>BDH|1497451278269269073</stp>
        <tr r="N22" s="26"/>
      </tp>
      <tp t="e">
        <v>#N/A</v>
        <stp/>
        <stp>BDH|5993671442554291835</stp>
        <tr r="D55" s="12"/>
      </tp>
      <tp t="e">
        <v>#N/A</v>
        <stp/>
        <stp>BDH|9225486185098708654</stp>
        <tr r="Q32" s="5"/>
      </tp>
      <tp t="e">
        <v>#N/A</v>
        <stp/>
        <stp>BDH|2240195029063756984</stp>
        <tr r="P54" s="17"/>
        <tr r="P17" s="3"/>
      </tp>
      <tp t="e">
        <v>#N/A</v>
        <stp/>
        <stp>BDH|1953566023684924987</stp>
        <tr r="T17" s="22"/>
      </tp>
      <tp t="e">
        <v>#N/A</v>
        <stp/>
        <stp>BDH|8248356248993116739</stp>
        <tr r="P18" s="11"/>
      </tp>
      <tp t="e">
        <v>#N/A</v>
        <stp/>
        <stp>BDH|1224778498801530552</stp>
        <tr r="H8" s="17"/>
      </tp>
      <tp t="e">
        <v>#N/A</v>
        <stp/>
        <stp>BDH|2947588157140282996</stp>
        <tr r="AA68" s="17"/>
      </tp>
      <tp t="e">
        <v>#N/A</v>
        <stp/>
        <stp>BDH|4571959076841972023</stp>
        <tr r="L15" s="5"/>
      </tp>
      <tp t="e">
        <v>#N/A</v>
        <stp/>
        <stp>BDH|6137894397504415861</stp>
        <tr r="P58" s="12"/>
      </tp>
      <tp t="e">
        <v>#N/A</v>
        <stp/>
        <stp>BDH|1479195910733631964</stp>
        <tr r="U136" s="18"/>
      </tp>
      <tp t="e">
        <v>#N/A</v>
        <stp/>
        <stp>BDH|5955909461742172349</stp>
        <tr r="U10" s="17"/>
      </tp>
      <tp t="e">
        <v>#N/A</v>
        <stp/>
        <stp>BDH|6133453681691903013</stp>
        <tr r="U9" s="24"/>
      </tp>
      <tp t="e">
        <v>#N/A</v>
        <stp/>
        <stp>BDH|7331153694350908466</stp>
        <tr r="W15" s="5"/>
      </tp>
      <tp t="e">
        <v>#N/A</v>
        <stp/>
        <stp>BDH|9624275909189122940</stp>
        <tr r="P28" s="9"/>
        <tr r="P30" s="5"/>
      </tp>
      <tp t="e">
        <v>#N/A</v>
        <stp/>
        <stp>BDH|2885102295390045109</stp>
        <tr r="T44" s="34"/>
      </tp>
      <tp t="e">
        <v>#N/A</v>
        <stp/>
        <stp>BDH|1806899064411136599</stp>
        <tr r="K54" s="18"/>
      </tp>
      <tp t="e">
        <v>#N/A</v>
        <stp/>
        <stp>BDH|1070716575478971205</stp>
        <tr r="J24" s="17"/>
      </tp>
      <tp t="e">
        <v>#N/A</v>
        <stp/>
        <stp>BDH|2478416390142971611</stp>
        <tr r="Z21" s="30"/>
      </tp>
      <tp t="e">
        <v>#N/A</v>
        <stp/>
        <stp>BDH|7409442585275893500</stp>
        <tr r="V15" s="30"/>
      </tp>
      <tp t="e">
        <v>#N/A</v>
        <stp/>
        <stp>BDH|5469682944115196944</stp>
        <tr r="AA14" s="20"/>
        <tr r="AA119" s="18"/>
      </tp>
      <tp t="e">
        <v>#N/A</v>
        <stp/>
        <stp>BDH|5669315711099391581</stp>
        <tr r="L15" s="23"/>
        <tr r="J59" s="11"/>
      </tp>
      <tp t="e">
        <v>#N/A</v>
        <stp/>
        <stp>BDH|4123492466685193824</stp>
        <tr r="P17" s="6"/>
      </tp>
      <tp t="e">
        <v>#N/A</v>
        <stp/>
        <stp>BDH|2248680511579493723</stp>
        <tr r="K41" s="24"/>
      </tp>
      <tp t="e">
        <v>#N/A</v>
        <stp/>
        <stp>BDH|8832673860455475668</stp>
        <tr r="Z58" s="18"/>
      </tp>
      <tp t="e">
        <v>#N/A</v>
        <stp/>
        <stp>BDH|3070389321400241964</stp>
        <tr r="M9" s="26"/>
      </tp>
      <tp t="e">
        <v>#N/A</v>
        <stp/>
        <stp>BDH|2214686386822209535</stp>
        <tr r="N10" s="26"/>
      </tp>
      <tp t="e">
        <v>#N/A</v>
        <stp/>
        <stp>BDH|5748288912494635961</stp>
        <tr r="N24" s="20"/>
      </tp>
      <tp t="e">
        <v>#N/A</v>
        <stp/>
        <stp>BDH|7878553811660582847</stp>
        <tr r="I24" s="12"/>
      </tp>
      <tp t="e">
        <v>#N/A</v>
        <stp/>
        <stp>BDH|9727314246780855559</stp>
        <tr r="X11" s="17"/>
      </tp>
      <tp t="e">
        <v>#N/A</v>
        <stp/>
        <stp>BDH|1377540857003421999</stp>
        <tr r="S9" s="21"/>
      </tp>
      <tp t="e">
        <v>#N/A</v>
        <stp/>
        <stp>BDH|3093495203019438533</stp>
        <tr r="O70" s="12"/>
      </tp>
      <tp t="e">
        <v>#N/A</v>
        <stp/>
        <stp>BDH|8254576060792195291</stp>
        <tr r="S78" s="24"/>
      </tp>
      <tp t="e">
        <v>#N/A</v>
        <stp/>
        <stp>BDH|1595220104949749198</stp>
        <tr r="K40" s="11"/>
        <tr r="K51" s="10"/>
        <tr r="K28" s="11"/>
        <tr r="K39" s="10"/>
      </tp>
      <tp t="e">
        <v>#N/A</v>
        <stp/>
        <stp>BDH|8762619616646856253</stp>
        <tr r="H68" s="12"/>
      </tp>
      <tp t="e">
        <v>#N/A</v>
        <stp/>
        <stp>BDH|7685544695721833127</stp>
        <tr r="O96" s="12"/>
      </tp>
      <tp t="e">
        <v>#N/A</v>
        <stp/>
        <stp>BDH|4433693700018899186</stp>
        <tr r="P27" s="6"/>
      </tp>
      <tp t="e">
        <v>#N/A</v>
        <stp/>
        <stp>BDH|4333857904761696695</stp>
        <tr r="R21" s="18"/>
      </tp>
      <tp t="e">
        <v>#N/A</v>
        <stp/>
        <stp>BDH|3136925392801560996</stp>
        <tr r="N22" s="17"/>
        <tr r="N15" s="3"/>
      </tp>
      <tp t="e">
        <v>#N/A</v>
        <stp/>
        <stp>BDH|8066026020805625494</stp>
        <tr r="V67" s="12"/>
      </tp>
      <tp t="e">
        <v>#N/A</v>
        <stp/>
        <stp>BDH|5546803629791663578</stp>
        <tr r="I10" s="34"/>
      </tp>
      <tp t="e">
        <v>#N/A</v>
        <stp/>
        <stp>BDH|3353622870758488179</stp>
        <tr r="T43" s="4"/>
      </tp>
      <tp t="e">
        <v>#N/A</v>
        <stp/>
        <stp>BDH|4758233551430158867</stp>
        <tr r="Z143" s="18"/>
      </tp>
      <tp t="e">
        <v>#N/A</v>
        <stp/>
        <stp>BDH|5848865458322739131</stp>
        <tr r="O153" s="18"/>
      </tp>
      <tp t="e">
        <v>#N/A</v>
        <stp/>
        <stp>BDH|8834337168731855796</stp>
        <tr r="U52" s="18"/>
      </tp>
      <tp t="e">
        <v>#N/A</v>
        <stp/>
        <stp>BDH|4256107894664157351</stp>
        <tr r="R66" s="17"/>
      </tp>
      <tp t="e">
        <v>#N/A</v>
        <stp/>
        <stp>BDH|9667682870114934756</stp>
        <tr r="K63" s="21"/>
      </tp>
      <tp t="e">
        <v>#N/A</v>
        <stp/>
        <stp>BDH|1205031970698701544</stp>
        <tr r="K167" s="18"/>
      </tp>
      <tp t="e">
        <v>#N/A</v>
        <stp/>
        <stp>BDH|9013537703213375410</stp>
        <tr r="AA9" s="12"/>
      </tp>
      <tp t="e">
        <v>#N/A</v>
        <stp/>
        <stp>BDH|6752462116658345066</stp>
        <tr r="N73" s="18"/>
      </tp>
      <tp t="e">
        <v>#N/A</v>
        <stp/>
        <stp>BDH|3364345585596955590</stp>
        <tr r="K29" s="21"/>
      </tp>
      <tp t="e">
        <v>#N/A</v>
        <stp/>
        <stp>BDH|6331157550690127953</stp>
        <tr r="C70" s="17"/>
      </tp>
      <tp t="e">
        <v>#N/A</v>
        <stp/>
        <stp>BDH|2040044742448726534</stp>
        <tr r="P42" s="22"/>
      </tp>
      <tp t="e">
        <v>#N/A</v>
        <stp/>
        <stp>BDH|9457217730704522725</stp>
        <tr r="K58" s="6"/>
      </tp>
      <tp t="e">
        <v>#N/A</v>
        <stp/>
        <stp>BDH|9311578042301298261</stp>
        <tr r="R60" s="21"/>
        <tr r="P55" s="11"/>
      </tp>
      <tp t="e">
        <v>#N/A</v>
        <stp/>
        <stp>BDH|6175145012515302862</stp>
        <tr r="W139" s="18"/>
      </tp>
      <tp t="e">
        <v>#N/A</v>
        <stp/>
        <stp>BDH|7768686205783014983</stp>
        <tr r="H59" s="12"/>
      </tp>
      <tp t="e">
        <v>#N/A</v>
        <stp/>
        <stp>BDH|1318967229905728498</stp>
        <tr r="G168" s="18"/>
      </tp>
      <tp t="e">
        <v>#N/A</v>
        <stp/>
        <stp>BDH|5636957677188743815</stp>
        <tr r="R46" s="17"/>
      </tp>
      <tp t="e">
        <v>#N/A</v>
        <stp/>
        <stp>BDH|8542580542733423196</stp>
        <tr r="F12" s="13"/>
      </tp>
      <tp t="e">
        <v>#N/A</v>
        <stp/>
        <stp>BDH|7228253125198211426</stp>
        <tr r="V93" s="12"/>
      </tp>
      <tp t="e">
        <v>#N/A</v>
        <stp/>
        <stp>BDH|1616201561607501901</stp>
        <tr r="S75" s="12"/>
      </tp>
      <tp t="e">
        <v>#N/A</v>
        <stp/>
        <stp>BDH|4307260403678588519</stp>
        <tr r="Q35" s="11"/>
        <tr r="Q46" s="10"/>
      </tp>
      <tp t="e">
        <v>#N/A</v>
        <stp/>
        <stp>BDH|2538800413329161951</stp>
        <tr r="Q23" s="21"/>
      </tp>
      <tp t="e">
        <v>#N/A</v>
        <stp/>
        <stp>BDH|2919547969722708816</stp>
        <tr r="G93" s="18"/>
      </tp>
      <tp t="e">
        <v>#N/A</v>
        <stp/>
        <stp>BDH|3730745826288710503</stp>
        <tr r="R13" s="34"/>
      </tp>
      <tp t="e">
        <v>#N/A</v>
        <stp/>
        <stp>BDH|3032765798723844543</stp>
        <tr r="Y20" s="10"/>
      </tp>
      <tp t="e">
        <v>#N/A</v>
        <stp/>
        <stp>BDH|4454590949829784713</stp>
        <tr r="V7" s="14"/>
      </tp>
      <tp t="e">
        <v>#N/A</v>
        <stp/>
        <stp>BDH|8823795496819711427</stp>
        <tr r="L92" s="18"/>
      </tp>
      <tp t="e">
        <v>#N/A</v>
        <stp/>
        <stp>BDH|8194442566069418853</stp>
        <tr r="J16" s="18"/>
      </tp>
      <tp t="e">
        <v>#N/A</v>
        <stp/>
        <stp>BDH|7778433859239864478</stp>
        <tr r="G8" s="4"/>
      </tp>
      <tp t="e">
        <v>#N/A</v>
        <stp/>
        <stp>BDH|6293511467169182779</stp>
        <tr r="C12" s="21"/>
      </tp>
      <tp t="e">
        <v>#N/A</v>
        <stp/>
        <stp>BDH|9144538793339638754</stp>
        <tr r="W157" s="18"/>
      </tp>
      <tp t="e">
        <v>#N/A</v>
        <stp/>
        <stp>BDH|3457577799920935413</stp>
        <tr r="C28" s="14"/>
      </tp>
      <tp t="e">
        <v>#N/A</v>
        <stp/>
        <stp>BDH|6083805958679366996</stp>
        <tr r="L127" s="18"/>
      </tp>
      <tp t="e">
        <v>#N/A</v>
        <stp/>
        <stp>BDH|6635461881189512868</stp>
        <tr r="AA10" s="13"/>
      </tp>
      <tp t="e">
        <v>#N/A</v>
        <stp/>
        <stp>BDH|8133289343220903515</stp>
        <tr r="Q60" s="18"/>
      </tp>
      <tp t="e">
        <v>#N/A</v>
        <stp/>
        <stp>BDH|5490527406288200301</stp>
        <tr r="E85" s="17"/>
      </tp>
      <tp t="e">
        <v>#N/A</v>
        <stp/>
        <stp>BDH|4875082978428946038</stp>
        <tr r="O15" s="12"/>
      </tp>
      <tp t="e">
        <v>#N/A</v>
        <stp/>
        <stp>BDH|7080148646100591954</stp>
        <tr r="F20" s="25"/>
      </tp>
      <tp t="e">
        <v>#N/A</v>
        <stp/>
        <stp>BDH|7640882179171086253</stp>
        <tr r="N79" s="17"/>
        <tr r="N19" s="3"/>
      </tp>
      <tp t="e">
        <v>#N/A</v>
        <stp/>
        <stp>BDH|7854174825146888907</stp>
        <tr r="F22" s="21"/>
      </tp>
      <tp t="e">
        <v>#N/A</v>
        <stp/>
        <stp>BDH|2619559937917593836</stp>
        <tr r="O7" s="17"/>
      </tp>
      <tp t="e">
        <v>#N/A</v>
        <stp/>
        <stp>BDH|5514905535572085627</stp>
        <tr r="N23" s="25"/>
      </tp>
      <tp t="e">
        <v>#N/A</v>
        <stp/>
        <stp>BDH|8814324354535413090</stp>
        <tr r="J26" s="18"/>
      </tp>
      <tp t="e">
        <v>#N/A</v>
        <stp/>
        <stp>BDH|7349565391977618719</stp>
        <tr r="C35" s="18"/>
      </tp>
      <tp t="e">
        <v>#N/A</v>
        <stp/>
        <stp>BDH|8699878363439219434</stp>
        <tr r="W23" s="23"/>
      </tp>
      <tp t="e">
        <v>#N/A</v>
        <stp/>
        <stp>BDH|9313028542662588457</stp>
        <tr r="D8" s="4"/>
      </tp>
      <tp t="e">
        <v>#N/A</v>
        <stp/>
        <stp>BDH|8961875464578004595</stp>
        <tr r="O75" s="18"/>
      </tp>
      <tp t="e">
        <v>#N/A</v>
        <stp/>
        <stp>BDH|6567240965510278957</stp>
        <tr r="P34" s="22"/>
      </tp>
      <tp t="e">
        <v>#N/A</v>
        <stp/>
        <stp>BDH|9104658233330685720</stp>
        <tr r="V63" s="17"/>
      </tp>
      <tp t="e">
        <v>#N/A</v>
        <stp/>
        <stp>BDH|9127573076218673856</stp>
        <tr r="Q21" s="6"/>
      </tp>
      <tp t="e">
        <v>#N/A</v>
        <stp/>
        <stp>BDH|3483620282450362648</stp>
        <tr r="V75" s="17"/>
      </tp>
      <tp t="e">
        <v>#N/A</v>
        <stp/>
        <stp>BDH|3649892026346922435</stp>
        <tr r="D157" s="18"/>
      </tp>
      <tp t="e">
        <v>#N/A</v>
        <stp/>
        <stp>BDH|1774806231598725924</stp>
        <tr r="M131" s="18"/>
      </tp>
      <tp t="e">
        <v>#N/A</v>
        <stp/>
        <stp>BDH|6416915076347669463</stp>
        <tr r="Y14" s="21"/>
      </tp>
      <tp t="e">
        <v>#N/A</v>
        <stp/>
        <stp>BDH|9052502520050266514</stp>
        <tr r="K12" s="18"/>
      </tp>
      <tp t="e">
        <v>#N/A</v>
        <stp/>
        <stp>BDH|4334217513168052425</stp>
        <tr r="E13" s="23"/>
        <tr r="C58" s="11"/>
        <tr r="C38" s="4"/>
      </tp>
      <tp t="e">
        <v>#N/A</v>
        <stp/>
        <stp>BDH|9614522131245603104</stp>
        <tr r="J8" s="34"/>
      </tp>
      <tp t="e">
        <v>#N/A</v>
        <stp/>
        <stp>BDH|4030321897581150476</stp>
        <tr r="Y51" s="17"/>
      </tp>
      <tp t="e">
        <v>#N/A</v>
        <stp/>
        <stp>BDH|5254425657188739736</stp>
        <tr r="T43" s="12"/>
      </tp>
      <tp t="e">
        <v>#N/A</v>
        <stp/>
        <stp>BDH|7603436637119162206</stp>
        <tr r="K24" s="25"/>
      </tp>
      <tp t="e">
        <v>#N/A</v>
        <stp/>
        <stp>BDH|4308162352063400805</stp>
        <tr r="I18" s="14"/>
      </tp>
      <tp t="e">
        <v>#N/A</v>
        <stp/>
        <stp>BDH|1701195973195825960</stp>
        <tr r="AA16" s="22"/>
      </tp>
      <tp t="e">
        <v>#N/A</v>
        <stp/>
        <stp>BDH|6007627473618404467</stp>
        <tr r="I23" s="18"/>
      </tp>
      <tp t="e">
        <v>#N/A</v>
        <stp/>
        <stp>BDH|1291231741919757542</stp>
        <tr r="F98" s="12"/>
      </tp>
      <tp t="e">
        <v>#N/A</v>
        <stp/>
        <stp>BDH|2180176932829106260</stp>
        <tr r="Z8" s="26"/>
        <tr r="W10" s="9"/>
      </tp>
      <tp t="e">
        <v>#N/A</v>
        <stp/>
        <stp>BDH|2977948584429922130</stp>
        <tr r="W9" s="6"/>
      </tp>
      <tp t="e">
        <v>#N/A</v>
        <stp/>
        <stp>BDH|9897580375140112070</stp>
        <tr r="P19" s="25"/>
      </tp>
      <tp t="e">
        <v>#N/A</v>
        <stp/>
        <stp>BDH|9312760179985743785</stp>
        <tr r="D46" s="24"/>
      </tp>
      <tp t="e">
        <v>#N/A</v>
        <stp/>
        <stp>BDH|1923652360062917869</stp>
        <tr r="V46" s="34"/>
      </tp>
      <tp t="e">
        <v>#N/A</v>
        <stp/>
        <stp>BDH|2631385707228985234</stp>
        <tr r="M35" s="34"/>
      </tp>
      <tp t="e">
        <v>#N/A</v>
        <stp/>
        <stp>BDH|2663648089433835402</stp>
        <tr r="O22" s="24"/>
      </tp>
      <tp t="e">
        <v>#N/A</v>
        <stp/>
        <stp>BDH|3043109164518023771</stp>
        <tr r="U63" s="13"/>
        <tr r="S49" s="11"/>
        <tr r="S60" s="10"/>
        <tr r="S18" s="7"/>
      </tp>
      <tp t="e">
        <v>#N/A</v>
        <stp/>
        <stp>BDH|7185235503729030722</stp>
        <tr r="Q74" s="12"/>
      </tp>
      <tp t="e">
        <v>#N/A</v>
        <stp/>
        <stp>BDH|2229108282244460475</stp>
        <tr r="E67" s="10"/>
      </tp>
      <tp t="e">
        <v>#N/A</v>
        <stp/>
        <stp>BDH|8348678067547724470</stp>
        <tr r="D74" s="17"/>
      </tp>
      <tp t="e">
        <v>#N/A</v>
        <stp/>
        <stp>BDH|5233854903920302645</stp>
        <tr r="T19" s="10"/>
      </tp>
      <tp t="e">
        <v>#N/A</v>
        <stp/>
        <stp>BDH|8566824523821490839</stp>
        <tr r="K78" s="24"/>
      </tp>
      <tp t="e">
        <v>#N/A</v>
        <stp/>
        <stp>BDH|1347816720713663379</stp>
        <tr r="H48" s="13"/>
      </tp>
      <tp t="e">
        <v>#N/A</v>
        <stp/>
        <stp>BDH|1513990588919578225</stp>
        <tr r="I107" s="18"/>
      </tp>
      <tp t="e">
        <v>#N/A</v>
        <stp/>
        <stp>BDH|8714449383357407876</stp>
        <tr r="Z22" s="24"/>
      </tp>
      <tp t="e">
        <v>#N/A</v>
        <stp/>
        <stp>BDH|7308228871198308104</stp>
        <tr r="H43" s="6"/>
      </tp>
      <tp t="e">
        <v>#N/A</v>
        <stp/>
        <stp>BDH|1249922026892528301</stp>
        <tr r="E37" s="6"/>
      </tp>
      <tp t="e">
        <v>#N/A</v>
        <stp/>
        <stp>BDH|1913888849014963223</stp>
        <tr r="R102" s="18"/>
      </tp>
      <tp t="e">
        <v>#N/A</v>
        <stp/>
        <stp>BDH|5886623619098050102</stp>
        <tr r="F16" s="23"/>
      </tp>
      <tp t="e">
        <v>#N/A</v>
        <stp/>
        <stp>BDH|8406392376910862702</stp>
        <tr r="W7" s="8"/>
      </tp>
      <tp t="e">
        <v>#N/A</v>
        <stp/>
        <stp>BDH|9239449795706774975</stp>
        <tr r="N21" s="10"/>
      </tp>
      <tp t="e">
        <v>#N/A</v>
        <stp/>
        <stp>BDH|8461630167074189720</stp>
        <tr r="O53" s="17"/>
      </tp>
      <tp t="e">
        <v>#N/A</v>
        <stp/>
        <stp>BDH|6800778000222468882</stp>
        <tr r="O53" s="18"/>
      </tp>
      <tp t="e">
        <v>#N/A</v>
        <stp/>
        <stp>BDH|2211917861400048627</stp>
        <tr r="X77" s="12"/>
      </tp>
      <tp t="e">
        <v>#N/A</v>
        <stp/>
        <stp>BDH|6267948716813722675</stp>
        <tr r="H7" s="11"/>
      </tp>
      <tp t="e">
        <v>#N/A</v>
        <stp/>
        <stp>BDH|4155154358369836241</stp>
        <tr r="C17" s="34"/>
      </tp>
      <tp t="e">
        <v>#N/A</v>
        <stp/>
        <stp>BDH|5848670808418443034</stp>
        <tr r="W13" s="21"/>
      </tp>
      <tp t="e">
        <v>#N/A</v>
        <stp/>
        <stp>BDH|1747210206990952898</stp>
        <tr r="X40" s="29"/>
        <tr r="X17" s="29"/>
      </tp>
      <tp t="e">
        <v>#N/A</v>
        <stp/>
        <stp>BDH|4464333748018636095</stp>
        <tr r="U10" s="28"/>
      </tp>
      <tp t="e">
        <v>#N/A</v>
        <stp/>
        <stp>BDH|8870897408008970304</stp>
        <tr r="S8" s="24"/>
      </tp>
      <tp t="e">
        <v>#N/A</v>
        <stp/>
        <stp>BDH|4269917372475378421</stp>
        <tr r="D38" s="24"/>
      </tp>
      <tp t="e">
        <v>#N/A</v>
        <stp/>
        <stp>BDH|7775812201704044075</stp>
        <tr r="U14" s="6"/>
      </tp>
      <tp t="e">
        <v>#N/A</v>
        <stp/>
        <stp>BDH|2367345993531702235</stp>
        <tr r="U7" s="10"/>
      </tp>
      <tp t="e">
        <v>#N/A</v>
        <stp/>
        <stp>BDH|7836080645628213076</stp>
        <tr r="H14" s="20"/>
        <tr r="H119" s="18"/>
      </tp>
      <tp t="e">
        <v>#N/A</v>
        <stp/>
        <stp>BDH|1835479513117482881</stp>
        <tr r="X45" s="12"/>
      </tp>
      <tp t="e">
        <v>#N/A</v>
        <stp/>
        <stp>BDH|7319471600131110952</stp>
        <tr r="U46" s="17"/>
      </tp>
      <tp t="e">
        <v>#N/A</v>
        <stp/>
        <stp>BDH|2026748344122998890</stp>
        <tr r="O47" s="17"/>
      </tp>
      <tp t="e">
        <v>#N/A</v>
        <stp/>
        <stp>BDH|7022161592702028644</stp>
        <tr r="C84" s="17"/>
        <tr r="C20" s="3"/>
      </tp>
      <tp t="e">
        <v>#N/A</v>
        <stp/>
        <stp>BDH|5934818670871911017</stp>
        <tr r="V37" s="18"/>
      </tp>
      <tp t="e">
        <v>#N/A</v>
        <stp/>
        <stp>BDH|9557106213821173379</stp>
        <tr r="J24" s="29"/>
      </tp>
      <tp t="e">
        <v>#N/A</v>
        <stp/>
        <stp>BDH|9505748580754280932</stp>
        <tr r="I49" s="18"/>
      </tp>
      <tp t="e">
        <v>#N/A</v>
        <stp/>
        <stp>BDH|6320951456700177114</stp>
        <tr r="S105" s="18"/>
      </tp>
      <tp t="e">
        <v>#N/A</v>
        <stp/>
        <stp>BDH|2208660824499521451</stp>
        <tr r="W10" s="21"/>
      </tp>
      <tp t="e">
        <v>#N/A</v>
        <stp/>
        <stp>BDH|7506471467858670638</stp>
        <tr r="AA86" s="18"/>
      </tp>
      <tp t="e">
        <v>#N/A</v>
        <stp/>
        <stp>BDH|7542286259092645920</stp>
        <tr r="X71" s="24"/>
      </tp>
      <tp t="e">
        <v>#N/A</v>
        <stp/>
        <stp>BDH|7373019590672537773</stp>
        <tr r="Z32" s="18"/>
      </tp>
      <tp t="e">
        <v>#N/A</v>
        <stp/>
        <stp>BDH|5797445280073073133</stp>
        <tr r="J162" s="18"/>
      </tp>
      <tp t="e">
        <v>#N/A</v>
        <stp/>
        <stp>BDH|8333746609993603784</stp>
        <tr r="P9" s="30"/>
      </tp>
      <tp t="e">
        <v>#N/A</v>
        <stp/>
        <stp>BDH|5489343545119307062</stp>
        <tr r="F51" s="21"/>
      </tp>
      <tp t="e">
        <v>#N/A</v>
        <stp/>
        <stp>BDH|1409574957279156358</stp>
        <tr r="M15" s="22"/>
      </tp>
      <tp t="e">
        <v>#N/A</v>
        <stp/>
        <stp>BDH|6089916076663025071</stp>
        <tr r="S33" s="13"/>
        <tr r="Q26" s="10"/>
      </tp>
      <tp t="e">
        <v>#N/A</v>
        <stp/>
        <stp>BDH|3104479034457219806</stp>
        <tr r="Q15" s="9"/>
      </tp>
      <tp t="e">
        <v>#N/A</v>
        <stp/>
        <stp>BDH|3282592099194627044</stp>
        <tr r="Q35" s="21"/>
      </tp>
      <tp t="e">
        <v>#N/A</v>
        <stp/>
        <stp>BDH|3228153940595490830</stp>
        <tr r="U27" s="22"/>
      </tp>
      <tp t="e">
        <v>#N/A</v>
        <stp/>
        <stp>BDH|8167589251103107092</stp>
        <tr r="I8" s="34"/>
      </tp>
      <tp t="e">
        <v>#N/A</v>
        <stp/>
        <stp>BDH|1595884863165793199</stp>
        <tr r="I21" s="20"/>
      </tp>
      <tp t="e">
        <v>#N/A</v>
        <stp/>
        <stp>BDH|3173524988574318188</stp>
        <tr r="C24" s="21"/>
      </tp>
      <tp t="e">
        <v>#N/A</v>
        <stp/>
        <stp>BDH|9820594072573684354</stp>
        <tr r="L43" s="12"/>
      </tp>
      <tp t="e">
        <v>#N/A</v>
        <stp/>
        <stp>BDH|6690013112714238871</stp>
        <tr r="W14" s="10"/>
      </tp>
      <tp t="e">
        <v>#N/A</v>
        <stp/>
        <stp>BDH|1065077196042683177</stp>
        <tr r="M17" s="23"/>
      </tp>
      <tp t="e">
        <v>#N/A</v>
        <stp/>
        <stp>BDH|5136916305566674126</stp>
        <tr r="H22" s="22"/>
      </tp>
      <tp t="e">
        <v>#N/A</v>
        <stp/>
        <stp>BDH|6623020687461259402</stp>
        <tr r="E13" s="18"/>
      </tp>
      <tp t="e">
        <v>#N/A</v>
        <stp/>
        <stp>BDH|1369840590462078965</stp>
        <tr r="Q66" s="10"/>
      </tp>
      <tp t="e">
        <v>#N/A</v>
        <stp/>
        <stp>BDH|9064987668539815496</stp>
        <tr r="Y19" s="12"/>
      </tp>
      <tp t="e">
        <v>#N/A</v>
        <stp/>
        <stp>BDH|8922193050010256737</stp>
        <tr r="M41" s="25"/>
        <tr r="M59" s="21"/>
        <tr r="K54" s="11"/>
        <tr r="K31" s="4"/>
      </tp>
      <tp t="e">
        <v>#N/A</v>
        <stp/>
        <stp>BDH|4747765493184622551</stp>
        <tr r="V51" s="21"/>
      </tp>
      <tp t="e">
        <v>#N/A</v>
        <stp/>
        <stp>BDH|9130400765166638632</stp>
        <tr r="N44" s="34"/>
      </tp>
      <tp t="e">
        <v>#N/A</v>
        <stp/>
        <stp>BDH|1493331187879023817</stp>
        <tr r="G23" s="21"/>
      </tp>
      <tp t="e">
        <v>#N/A</v>
        <stp/>
        <stp>BDH|4716807743866597503</stp>
        <tr r="E39" s="24"/>
      </tp>
      <tp t="e">
        <v>#N/A</v>
        <stp/>
        <stp>BDH|4154262345711338807</stp>
        <tr r="V18" s="17"/>
      </tp>
      <tp t="e">
        <v>#N/A</v>
        <stp/>
        <stp>BDH|8998614485915973857</stp>
        <tr r="P56" s="18"/>
      </tp>
      <tp t="e">
        <v>#N/A</v>
        <stp/>
        <stp>BDH|2723743092090315734</stp>
        <tr r="R24" s="21"/>
      </tp>
      <tp t="e">
        <v>#N/A</v>
        <stp/>
        <stp>BDH|2173765799212603597</stp>
        <tr r="O62" s="18"/>
      </tp>
      <tp t="e">
        <v>#N/A</v>
        <stp/>
        <stp>BDH|7686519086896792777</stp>
        <tr r="L11" s="9"/>
      </tp>
      <tp t="e">
        <v>#N/A</v>
        <stp/>
        <stp>BDH|9767397355784881029</stp>
        <tr r="S9" s="18"/>
      </tp>
      <tp t="e">
        <v>#N/A</v>
        <stp/>
        <stp>BDH|9649384615065943533</stp>
        <tr r="L17" s="27"/>
        <tr r="L35" s="25"/>
        <tr r="I14" s="5"/>
      </tp>
      <tp t="e">
        <v>#N/A</v>
        <stp/>
        <stp>BDH|8165113421458671860</stp>
        <tr r="E28" s="12"/>
      </tp>
      <tp t="e">
        <v>#N/A</v>
        <stp/>
        <stp>BDH|9388638960935261736</stp>
        <tr r="E30" s="21"/>
      </tp>
      <tp t="e">
        <v>#N/A</v>
        <stp/>
        <stp>BDH|3747871777582694500</stp>
        <tr r="T39" s="25"/>
      </tp>
      <tp t="e">
        <v>#N/A</v>
        <stp/>
        <stp>BDH|2642361530870421957</stp>
        <tr r="W40" s="18"/>
      </tp>
      <tp t="e">
        <v>#N/A</v>
        <stp/>
        <stp>BDH|3841702753988857221</stp>
        <tr r="W43" s="25"/>
        <tr r="W7" s="13"/>
        <tr r="U17" s="11"/>
        <tr r="W22" s="13"/>
        <tr r="W7" s="3"/>
      </tp>
      <tp t="e">
        <v>#N/A</v>
        <stp/>
        <stp>BDH|9640880754169967629</stp>
        <tr r="V17" s="24"/>
      </tp>
      <tp t="e">
        <v>#N/A</v>
        <stp/>
        <stp>BDH|3687315597302002014</stp>
        <tr r="AA67" s="17"/>
      </tp>
      <tp t="e">
        <v>#N/A</v>
        <stp/>
        <stp>BDH|6807466698985572522</stp>
        <tr r="O50" s="34"/>
      </tp>
      <tp t="e">
        <v>#N/A</v>
        <stp/>
        <stp>BDH|7685736663035404833</stp>
        <tr r="F43" s="29"/>
      </tp>
      <tp t="e">
        <v>#N/A</v>
        <stp/>
        <stp>BDH|3431679749872894836</stp>
        <tr r="T20" s="26"/>
      </tp>
      <tp t="e">
        <v>#N/A</v>
        <stp/>
        <stp>BDH|5498804507861192731</stp>
        <tr r="O69" s="13"/>
      </tp>
      <tp t="e">
        <v>#N/A</v>
        <stp/>
        <stp>BDH|9535969702539855286</stp>
        <tr r="N35" s="18"/>
      </tp>
      <tp t="e">
        <v>#N/A</v>
        <stp/>
        <stp>BDH|2744471121758477749</stp>
        <tr r="M143" s="18"/>
      </tp>
      <tp t="e">
        <v>#N/A</v>
        <stp/>
        <stp>BDH|6505339693355631225</stp>
        <tr r="L76" s="18"/>
      </tp>
      <tp t="e">
        <v>#N/A</v>
        <stp/>
        <stp>BDH|1255202035118488322</stp>
        <tr r="N18" s="17"/>
      </tp>
      <tp t="e">
        <v>#N/A</v>
        <stp/>
        <stp>BDH|5011773451068542429</stp>
        <tr r="N60" s="18"/>
      </tp>
      <tp t="e">
        <v>#N/A</v>
        <stp/>
        <stp>BDH|6401707094087516449</stp>
        <tr r="Q54" s="17"/>
        <tr r="Q17" s="3"/>
      </tp>
      <tp t="e">
        <v>#N/A</v>
        <stp/>
        <stp>BDH|6079598787247735780</stp>
        <tr r="D46" s="22"/>
      </tp>
      <tp t="e">
        <v>#N/A</v>
        <stp/>
        <stp>BDH|8285731830971370639</stp>
        <tr r="K22" s="20"/>
      </tp>
      <tp t="e">
        <v>#N/A</v>
        <stp/>
        <stp>BDH|8516157335269558860</stp>
        <tr r="T81" s="12"/>
      </tp>
      <tp t="e">
        <v>#N/A</v>
        <stp/>
        <stp>BDH|3769701749382926916</stp>
        <tr r="J85" s="12"/>
      </tp>
      <tp t="e">
        <v>#N/A</v>
        <stp/>
        <stp>BDH|3125691539605351843</stp>
        <tr r="F15" s="25"/>
      </tp>
      <tp t="e">
        <v>#N/A</v>
        <stp/>
        <stp>BDH|9249423546183175113</stp>
        <tr r="U7" s="17"/>
      </tp>
      <tp t="e">
        <v>#N/A</v>
        <stp/>
        <stp>BDH|6543074855748114003</stp>
        <tr r="O27" s="13"/>
      </tp>
      <tp t="e">
        <v>#N/A</v>
        <stp/>
        <stp>BDH|2324201760054203977</stp>
        <tr r="O75" s="24"/>
      </tp>
      <tp t="e">
        <v>#N/A</v>
        <stp/>
        <stp>BDH|5003050877689757034</stp>
        <tr r="V22" s="6"/>
      </tp>
      <tp t="e">
        <v>#N/A</v>
        <stp/>
        <stp>BDH|2858063198282744277</stp>
        <tr r="X14" s="4"/>
      </tp>
      <tp t="e">
        <v>#N/A</v>
        <stp/>
        <stp>BDH|9055542097176313860</stp>
        <tr r="G14" s="23"/>
      </tp>
      <tp t="e">
        <v>#N/A</v>
        <stp/>
        <stp>BDH|8753515925402459616</stp>
        <tr r="Y6" s="19"/>
        <tr r="Y38" s="17"/>
        <tr r="Y16" s="3"/>
      </tp>
      <tp t="e">
        <v>#N/A</v>
        <stp/>
        <stp>BDH|2122205295973314119</stp>
        <tr r="H54" s="34"/>
      </tp>
      <tp t="e">
        <v>#N/A</v>
        <stp/>
        <stp>BDH|4629451591060269263</stp>
        <tr r="F79" s="18"/>
      </tp>
      <tp t="e">
        <v>#N/A</v>
        <stp/>
        <stp>BDH|2977270992633304197</stp>
        <tr r="N23" s="26"/>
      </tp>
      <tp t="e">
        <v>#N/A</v>
        <stp/>
        <stp>BDH|5276539898994994667</stp>
        <tr r="P30" s="9"/>
      </tp>
      <tp t="e">
        <v>#N/A</v>
        <stp/>
        <stp>BDH|2067271205858209366</stp>
        <tr r="J18" s="17"/>
      </tp>
      <tp t="e">
        <v>#N/A</v>
        <stp/>
        <stp>BDH|1729553052303283943</stp>
        <tr r="X116" s="18"/>
        <tr r="X11" s="20"/>
      </tp>
      <tp t="e">
        <v>#N/A</v>
        <stp/>
        <stp>BDH|3953830112089841868</stp>
        <tr r="S33" s="12"/>
      </tp>
      <tp t="e">
        <v>#N/A</v>
        <stp/>
        <stp>BDH|8374134227612347229</stp>
        <tr r="S15" s="24"/>
      </tp>
      <tp t="e">
        <v>#N/A</v>
        <stp/>
        <stp>BDH|7696037603509002503</stp>
        <tr r="M65" s="24"/>
      </tp>
      <tp t="e">
        <v>#N/A</v>
        <stp/>
        <stp>BDH|3964752479048370008</stp>
        <tr r="L136" s="18"/>
      </tp>
      <tp t="e">
        <v>#N/A</v>
        <stp/>
        <stp>BDH|7850793371018456428</stp>
        <tr r="T48" s="21"/>
      </tp>
      <tp t="e">
        <v>#N/A</v>
        <stp/>
        <stp>BDH|2942930142753680780</stp>
        <tr r="F34" s="11"/>
        <tr r="F45" s="10"/>
      </tp>
      <tp t="e">
        <v>#N/A</v>
        <stp/>
        <stp>BDH|9535723213141434569</stp>
        <tr r="D16" s="6"/>
      </tp>
      <tp t="e">
        <v>#N/A</v>
        <stp/>
        <stp>BDH|7693272822594451810</stp>
        <tr r="S27" s="13"/>
      </tp>
      <tp t="e">
        <v>#N/A</v>
        <stp/>
        <stp>BDH|4715539892426227525</stp>
        <tr r="D20" s="24"/>
      </tp>
      <tp t="e">
        <v>#N/A</v>
        <stp/>
        <stp>BDH|4222818148957411498</stp>
        <tr r="T62" s="24"/>
      </tp>
      <tp t="e">
        <v>#N/A</v>
        <stp/>
        <stp>BDH|3161131533758644219</stp>
        <tr r="Z10" s="24"/>
      </tp>
      <tp t="e">
        <v>#N/A</v>
        <stp/>
        <stp>BDH|4107845276848701820</stp>
        <tr r="AA123" s="18"/>
      </tp>
      <tp t="e">
        <v>#N/A</v>
        <stp/>
        <stp>BDH|8767996894662934158</stp>
        <tr r="W17" s="30"/>
      </tp>
      <tp t="e">
        <v>#N/A</v>
        <stp/>
        <stp>BDH|6622039671398437266</stp>
        <tr r="W75" s="18"/>
      </tp>
      <tp t="e">
        <v>#N/A</v>
        <stp/>
        <stp>BDH|3819880010222480327</stp>
        <tr r="E8" s="8"/>
      </tp>
      <tp t="e">
        <v>#N/A</v>
        <stp/>
        <stp>BDH|8494746491584638916</stp>
        <tr r="Y94" s="18"/>
      </tp>
      <tp t="e">
        <v>#N/A</v>
        <stp/>
        <stp>BDH|9784734516083201763</stp>
        <tr r="D24" s="21"/>
      </tp>
      <tp t="e">
        <v>#N/A</v>
        <stp/>
        <stp>BDH|2054836805584984590</stp>
        <tr r="S25" s="21"/>
      </tp>
      <tp t="e">
        <v>#N/A</v>
        <stp/>
        <stp>BDH|2360312113172736908</stp>
        <tr r="F28" s="6"/>
      </tp>
      <tp t="e">
        <v>#N/A</v>
        <stp/>
        <stp>BDH|2404412142609595043</stp>
        <tr r="AA59" s="12"/>
      </tp>
      <tp t="e">
        <v>#N/A</v>
        <stp/>
        <stp>BDH|8788265011015128571</stp>
        <tr r="AA20" s="27"/>
      </tp>
      <tp t="e">
        <v>#N/A</v>
        <stp/>
        <stp>BDH|8411463664785533458</stp>
        <tr r="D10" s="28"/>
      </tp>
      <tp t="e">
        <v>#N/A</v>
        <stp/>
        <stp>BDH|1907612880787659391</stp>
        <tr r="L13" s="22"/>
      </tp>
      <tp t="e">
        <v>#N/A</v>
        <stp/>
        <stp>BDH|9028526453081573333</stp>
        <tr r="C71" s="10"/>
      </tp>
      <tp t="e">
        <v>#N/A</v>
        <stp/>
        <stp>BDH|3384757681910630765</stp>
        <tr r="S10" s="10"/>
      </tp>
      <tp t="e">
        <v>#N/A</v>
        <stp/>
        <stp>BDH|8527155577300577551</stp>
        <tr r="G17" s="21"/>
        <tr r="E23" s="2"/>
        <tr r="G23" s="3"/>
      </tp>
      <tp t="e">
        <v>#N/A</v>
        <stp/>
        <stp>BDH|1677464146463853990</stp>
        <tr r="N20" s="12"/>
      </tp>
      <tp t="e">
        <v>#N/A</v>
        <stp/>
        <stp>BDH|2472544390951308448</stp>
        <tr r="W90" s="12"/>
      </tp>
      <tp t="e">
        <v>#N/A</v>
        <stp/>
        <stp>BDH|3808029677969260683</stp>
        <tr r="T44" s="12"/>
      </tp>
      <tp t="e">
        <v>#N/A</v>
        <stp/>
        <stp>BDH|5154060099152177587</stp>
        <tr r="I54" s="17"/>
        <tr r="I17" s="3"/>
      </tp>
      <tp t="e">
        <v>#N/A</v>
        <stp/>
        <stp>BDH|3714841504521638162</stp>
        <tr r="L23" s="6"/>
      </tp>
      <tp t="e">
        <v>#N/A</v>
        <stp/>
        <stp>BDH|6882566563796879829</stp>
        <tr r="W84" s="12"/>
      </tp>
      <tp t="e">
        <v>#N/A</v>
        <stp/>
        <stp>BDH|7193715545857072824</stp>
        <tr r="V51" s="13"/>
      </tp>
      <tp t="e">
        <v>#N/A</v>
        <stp/>
        <stp>BDH|6303416299701842142</stp>
        <tr r="N148" s="18"/>
      </tp>
      <tp t="e">
        <v>#N/A</v>
        <stp/>
        <stp>BDH|1771471417969008608</stp>
        <tr r="Q16" s="20"/>
      </tp>
      <tp t="e">
        <v>#N/A</v>
        <stp/>
        <stp>BDH|4300721868229847761</stp>
        <tr r="O56" s="12"/>
      </tp>
      <tp t="e">
        <v>#N/A</v>
        <stp/>
        <stp>BDH|9592434607094124279</stp>
        <tr r="C57" s="24"/>
      </tp>
      <tp t="e">
        <v>#N/A</v>
        <stp/>
        <stp>BDH|7081146519328873423</stp>
        <tr r="F45" s="13"/>
        <tr r="D40" s="10"/>
        <tr r="D29" s="11"/>
      </tp>
      <tp t="e">
        <v>#N/A</v>
        <stp/>
        <stp>BDH|9874462531096053389</stp>
        <tr r="Y12" s="26"/>
      </tp>
      <tp t="e">
        <v>#N/A</v>
        <stp/>
        <stp>BDH|2122949318509226884</stp>
        <tr r="Y66" s="18"/>
      </tp>
      <tp t="e">
        <v>#N/A</v>
        <stp/>
        <stp>BDH|6518442512548167058</stp>
        <tr r="W30" s="9"/>
      </tp>
      <tp t="e">
        <v>#N/A</v>
        <stp/>
        <stp>BDH|9041003421270288045</stp>
        <tr r="S12" s="13"/>
      </tp>
      <tp t="e">
        <v>#N/A</v>
        <stp/>
        <stp>BDH|6874048421707341897</stp>
        <tr r="H8" s="8"/>
      </tp>
      <tp t="e">
        <v>#N/A</v>
        <stp/>
        <stp>BDH|8733207997829317146</stp>
        <tr r="H21" s="30"/>
      </tp>
      <tp t="e">
        <v>#N/A</v>
        <stp/>
        <stp>BDH|1042449932404512942</stp>
        <tr r="Z62" s="12"/>
      </tp>
      <tp t="e">
        <v>#N/A</v>
        <stp/>
        <stp>BDH|6211844454469329969</stp>
        <tr r="D165" s="18"/>
      </tp>
      <tp t="e">
        <v>#N/A</v>
        <stp/>
        <stp>BDH|2371166466597584911</stp>
        <tr r="N17" s="23"/>
      </tp>
      <tp t="e">
        <v>#N/A</v>
        <stp/>
        <stp>BDH|9234206811945331472</stp>
        <tr r="S55" s="12"/>
      </tp>
      <tp t="e">
        <v>#N/A</v>
        <stp/>
        <stp>BDH|3199641405567690919</stp>
        <tr r="D26" s="26"/>
      </tp>
      <tp t="e">
        <v>#N/A</v>
        <stp/>
        <stp>BDH|7646388599561910794</stp>
        <tr r="I33" s="21"/>
      </tp>
      <tp t="e">
        <v>#N/A</v>
        <stp/>
        <stp>BDH|1977687636028475748</stp>
        <tr r="W9" s="20"/>
        <tr r="W115" s="18"/>
      </tp>
      <tp t="e">
        <v>#N/A</v>
        <stp/>
        <stp>BDH|7345861418976316392</stp>
        <tr r="Q70" s="24"/>
      </tp>
      <tp t="e">
        <v>#N/A</v>
        <stp/>
        <stp>BDH|6147934414756814399</stp>
        <tr r="M70" s="12"/>
      </tp>
      <tp t="e">
        <v>#N/A</v>
        <stp/>
        <stp>BDH|8605299433363264193</stp>
        <tr r="U9" s="22"/>
      </tp>
      <tp t="e">
        <v>#N/A</v>
        <stp/>
        <stp>BDH|4714606585987313660</stp>
        <tr r="S39" s="24"/>
      </tp>
      <tp t="e">
        <v>#N/A</v>
        <stp/>
        <stp>BDH|7622779560768061564</stp>
        <tr r="P41" s="18"/>
      </tp>
      <tp t="e">
        <v>#N/A</v>
        <stp/>
        <stp>BDH|4646642793293139379</stp>
        <tr r="U92" s="18"/>
      </tp>
      <tp t="e">
        <v>#N/A</v>
        <stp/>
        <stp>BDH|9663379770027365157</stp>
        <tr r="D50" s="4"/>
      </tp>
      <tp t="e">
        <v>#N/A</v>
        <stp/>
        <stp>BDH|9396289307488149890</stp>
        <tr r="K19" s="25"/>
      </tp>
      <tp t="e">
        <v>#N/A</v>
        <stp/>
        <stp>BDH|9713034326075458520</stp>
        <tr r="M78" s="17"/>
        <tr r="J9" s="9"/>
        <tr r="J9" s="5"/>
      </tp>
      <tp t="e">
        <v>#N/A</v>
        <stp/>
        <stp>BDH|1039255663259432767</stp>
        <tr r="Q72" s="10"/>
      </tp>
      <tp t="e">
        <v>#N/A</v>
        <stp/>
        <stp>BDH|5501918410645869388</stp>
        <tr r="N134" s="18"/>
      </tp>
      <tp t="e">
        <v>#N/A</v>
        <stp/>
        <stp>BDH|3768426314288769524</stp>
        <tr r="L12" s="25"/>
      </tp>
      <tp t="e">
        <v>#N/A</v>
        <stp/>
        <stp>BDH|3721188689109416869</stp>
        <tr r="Y21" s="24"/>
      </tp>
      <tp t="e">
        <v>#N/A</v>
        <stp/>
        <stp>BDH|9804171953270849604</stp>
        <tr r="S16" s="11"/>
      </tp>
      <tp t="e">
        <v>#N/A</v>
        <stp/>
        <stp>BDH|7439966042247139656</stp>
        <tr r="E16" s="11"/>
      </tp>
      <tp t="e">
        <v>#N/A</v>
        <stp/>
        <stp>BDH|1136928211475395754</stp>
        <tr r="K75" s="24"/>
      </tp>
      <tp t="e">
        <v>#N/A</v>
        <stp/>
        <stp>BDH|8450801466639566436</stp>
        <tr r="V7" s="20"/>
        <tr r="V113" s="18"/>
      </tp>
      <tp t="e">
        <v>#N/A</v>
        <stp/>
        <stp>BDH|9594285168956461051</stp>
        <tr r="W28" s="6"/>
      </tp>
      <tp t="e">
        <v>#N/A</v>
        <stp/>
        <stp>BDH|7267321409059875652</stp>
        <tr r="W32" s="24"/>
      </tp>
      <tp t="e">
        <v>#N/A</v>
        <stp/>
        <stp>BDH|8725313437944396763</stp>
        <tr r="K20" s="24"/>
      </tp>
      <tp t="e">
        <v>#N/A</v>
        <stp/>
        <stp>BDH|7948645287607637586</stp>
        <tr r="J145" s="18"/>
      </tp>
      <tp t="e">
        <v>#N/A</v>
        <stp/>
        <stp>BDH|9175181878037727326</stp>
        <tr r="W143" s="18"/>
      </tp>
      <tp t="e">
        <v>#N/A</v>
        <stp/>
        <stp>BDH|6820264214336975877</stp>
        <tr r="U14" s="11"/>
      </tp>
      <tp t="e">
        <v>#N/A</v>
        <stp/>
        <stp>BDH|1065974082328357321</stp>
        <tr r="J61" s="24"/>
      </tp>
      <tp t="e">
        <v>#N/A</v>
        <stp/>
        <stp>BDH|3104513667593637850</stp>
        <tr r="K55" s="13"/>
      </tp>
      <tp t="e">
        <v>#N/A</v>
        <stp/>
        <stp>BDH|4407963854983588077</stp>
        <tr r="D10" s="34"/>
      </tp>
      <tp t="e">
        <v>#N/A</v>
        <stp/>
        <stp>BDH|3535073396483197218</stp>
        <tr r="S75" s="24"/>
      </tp>
      <tp t="e">
        <v>#N/A</v>
        <stp/>
        <stp>BDH|4706876987319414670</stp>
        <tr r="R33" s="13"/>
        <tr r="P26" s="10"/>
      </tp>
      <tp t="e">
        <v>#N/A</v>
        <stp/>
        <stp>BDH|7120820211337277241</stp>
        <tr r="L49" s="34"/>
      </tp>
      <tp t="e">
        <v>#N/A</v>
        <stp/>
        <stp>BDH|5726553741326201955</stp>
        <tr r="D59" s="12"/>
      </tp>
      <tp t="e">
        <v>#N/A</v>
        <stp/>
        <stp>BDH|8060634736181572743</stp>
        <tr r="D10" s="8"/>
      </tp>
      <tp t="e">
        <v>#N/A</v>
        <stp/>
        <stp>BDH|2937936902392807240</stp>
        <tr r="I27" s="17"/>
      </tp>
      <tp t="e">
        <v>#N/A</v>
        <stp/>
        <stp>BDH|1712524876780539827</stp>
        <tr r="Q8" s="26"/>
        <tr r="N10" s="9"/>
      </tp>
      <tp t="e">
        <v>#N/A</v>
        <stp/>
        <stp>BDH|4112788299009651825</stp>
        <tr r="N122" s="18"/>
      </tp>
      <tp t="e">
        <v>#N/A</v>
        <stp/>
        <stp>BDH|5417693824699984345</stp>
        <tr r="M20" s="29"/>
      </tp>
      <tp t="e">
        <v>#N/A</v>
        <stp/>
        <stp>BDH|9552326602808869994</stp>
        <tr r="I50" s="12"/>
      </tp>
      <tp t="e">
        <v>#N/A</v>
        <stp/>
        <stp>BDH|2629025833082481877</stp>
        <tr r="H154" s="18"/>
      </tp>
      <tp t="e">
        <v>#N/A</v>
        <stp/>
        <stp>BDH|4535038250013273907</stp>
        <tr r="H62" s="21"/>
      </tp>
      <tp t="e">
        <v>#N/A</v>
        <stp/>
        <stp>BDH|6412311392931672655</stp>
        <tr r="R15" s="9"/>
      </tp>
      <tp t="e">
        <v>#N/A</v>
        <stp/>
        <stp>BDH|6753688768629118421</stp>
        <tr r="F17" s="14"/>
      </tp>
      <tp t="e">
        <v>#N/A</v>
        <stp/>
        <stp>BDH|8376285522291899253</stp>
        <tr r="O22" s="30"/>
        <tr r="O24" s="23"/>
      </tp>
      <tp t="e">
        <v>#N/A</v>
        <stp/>
        <stp>BDH|7340228479199822042</stp>
        <tr r="AA54" s="17"/>
        <tr r="AA17" s="3"/>
      </tp>
      <tp t="e">
        <v>#N/A</v>
        <stp/>
        <stp>BDH|8625816055376406828</stp>
        <tr r="M74" s="24"/>
      </tp>
      <tp t="e">
        <v>#N/A</v>
        <stp/>
        <stp>BDH|2251468147720054970</stp>
        <tr r="E23" s="23"/>
      </tp>
      <tp t="e">
        <v>#N/A</v>
        <stp/>
        <stp>BDH|1206949198543329991</stp>
        <tr r="L9" s="11"/>
      </tp>
      <tp t="e">
        <v>#N/A</v>
        <stp/>
        <stp>BDH|1149468792256770166</stp>
        <tr r="N45" s="34"/>
      </tp>
      <tp t="e">
        <v>#N/A</v>
        <stp/>
        <stp>BDH|3340256372859535457</stp>
        <tr r="X101" s="18"/>
      </tp>
      <tp t="e">
        <v>#N/A</v>
        <stp/>
        <stp>BDH|9988135734271861127</stp>
        <tr r="O25" s="13"/>
      </tp>
      <tp t="e">
        <v>#N/A</v>
        <stp/>
        <stp>BDH|4720730093699220807</stp>
        <tr r="M9" s="13"/>
      </tp>
      <tp t="e">
        <v>#N/A</v>
        <stp/>
        <stp>BDH|6837173490363915632</stp>
        <tr r="H44" s="18"/>
      </tp>
      <tp t="e">
        <v>#N/A</v>
        <stp/>
        <stp>BDH|1913984928129826846</stp>
        <tr r="Z48" s="13"/>
      </tp>
      <tp t="e">
        <v>#N/A</v>
        <stp/>
        <stp>BDH|3565977054243048737</stp>
        <tr r="K15" s="23"/>
        <tr r="I59" s="11"/>
      </tp>
      <tp t="e">
        <v>#N/A</v>
        <stp/>
        <stp>BDH|4900700099122736321</stp>
        <tr r="H41" s="12"/>
      </tp>
      <tp t="e">
        <v>#N/A</v>
        <stp/>
        <stp>BDH|3410023584220422031</stp>
        <tr r="H136" s="18"/>
      </tp>
      <tp t="e">
        <v>#N/A</v>
        <stp/>
        <stp>BDH|8200025247252642540</stp>
        <tr r="M47" s="13"/>
      </tp>
      <tp t="e">
        <v>#N/A</v>
        <stp/>
        <stp>BDH|5892068733214053985</stp>
        <tr r="F152" s="18"/>
      </tp>
      <tp t="e">
        <v>#N/A</v>
        <stp/>
        <stp>BDH|9481709612335684159</stp>
        <tr r="P73" s="18"/>
      </tp>
      <tp t="e">
        <v>#N/A</v>
        <stp/>
        <stp>BDH|9721421327537320347</stp>
        <tr r="G26" s="21"/>
      </tp>
      <tp t="e">
        <v>#N/A</v>
        <stp/>
        <stp>BDH|3035673472091556856</stp>
        <tr r="M24" s="21"/>
      </tp>
      <tp t="e">
        <v>#N/A</v>
        <stp/>
        <stp>BDH|8678516255744565723</stp>
        <tr r="N89" s="17"/>
      </tp>
      <tp t="e">
        <v>#N/A</v>
        <stp/>
        <stp>BDH|8541479537777997391</stp>
        <tr r="T65" s="24"/>
      </tp>
      <tp t="e">
        <v>#N/A</v>
        <stp/>
        <stp>BDH|9174110035947484744</stp>
        <tr r="N26" s="6"/>
      </tp>
      <tp t="e">
        <v>#N/A</v>
        <stp/>
        <stp>BDH|4573620497141637130</stp>
        <tr r="I10" s="25"/>
        <tr r="I55" s="17"/>
      </tp>
      <tp t="e">
        <v>#N/A</v>
        <stp/>
        <stp>BDH|2135951099950865908</stp>
        <tr r="I138" s="18"/>
      </tp>
      <tp t="e">
        <v>#N/A</v>
        <stp/>
        <stp>BDH|2722150485932183236</stp>
        <tr r="J32" s="6"/>
      </tp>
      <tp t="e">
        <v>#N/A</v>
        <stp/>
        <stp>BDH|4906956337071874464</stp>
        <tr r="X26" s="22"/>
      </tp>
      <tp t="e">
        <v>#N/A</v>
        <stp/>
        <stp>BDH|9417524963451274023</stp>
        <tr r="O18" s="14"/>
      </tp>
      <tp t="e">
        <v>#N/A</v>
        <stp/>
        <stp>BDH|1372911911795700715</stp>
        <tr r="U64" s="13"/>
      </tp>
      <tp t="e">
        <v>#N/A</v>
        <stp/>
        <stp>BDH|8004505542156676417</stp>
        <tr r="O10" s="21"/>
      </tp>
      <tp t="e">
        <v>#N/A</v>
        <stp/>
        <stp>BDH|3846243288077079514</stp>
        <tr r="O9" s="6"/>
      </tp>
      <tp t="e">
        <v>#N/A</v>
        <stp/>
        <stp>BDH|8939939792943420095</stp>
        <tr r="N20" s="21"/>
      </tp>
      <tp t="e">
        <v>#N/A</v>
        <stp/>
        <stp>BDH|3585086617998609190</stp>
        <tr r="J144" s="18"/>
      </tp>
      <tp t="e">
        <v>#N/A</v>
        <stp/>
        <stp>BDH|5206951406591512612</stp>
        <tr r="U79" s="18"/>
      </tp>
      <tp t="e">
        <v>#N/A</v>
        <stp/>
        <stp>BDH|2232178757914547920</stp>
        <tr r="K57" s="24"/>
      </tp>
      <tp t="e">
        <v>#N/A</v>
        <stp/>
        <stp>BDH|1543927103781844296</stp>
        <tr r="AA19" s="30"/>
      </tp>
      <tp t="e">
        <v>#N/A</v>
        <stp/>
        <stp>BDH|2228810951480031473</stp>
        <tr r="W27" s="7"/>
      </tp>
      <tp t="e">
        <v>#N/A</v>
        <stp/>
        <stp>BDH|8611204592850498852</stp>
        <tr r="X12" s="20"/>
        <tr r="X117" s="18"/>
      </tp>
      <tp t="e">
        <v>#N/A</v>
        <stp/>
        <stp>BDH|4354452324218783104</stp>
        <tr r="X12" s="13"/>
      </tp>
      <tp t="e">
        <v>#N/A</v>
        <stp/>
        <stp>BDH|5204159480641753653</stp>
        <tr r="M37" s="12"/>
      </tp>
      <tp t="e">
        <v>#N/A</v>
        <stp/>
        <stp>BDH|2950114599936644725</stp>
        <tr r="H63" s="11"/>
        <tr r="H74" s="10"/>
      </tp>
      <tp t="e">
        <v>#N/A</v>
        <stp/>
        <stp>BDH|9007456106981236745</stp>
        <tr r="X8" s="8"/>
      </tp>
      <tp t="e">
        <v>#N/A</v>
        <stp/>
        <stp>BDH|2543672683174394376</stp>
        <tr r="X73" s="13"/>
        <tr r="V50" s="11"/>
        <tr r="V19" s="7"/>
        <tr r="V61" s="10"/>
        <tr r="V18" s="4"/>
        <tr r="V20" s="2"/>
      </tp>
      <tp t="e">
        <v>#N/A</v>
        <stp/>
        <stp>BDH|2359992695159379099</stp>
        <tr r="Z7" s="24"/>
      </tp>
      <tp t="e">
        <v>#N/A</v>
        <stp/>
        <stp>BDH|7507791938028804099</stp>
        <tr r="D44" s="34"/>
      </tp>
      <tp t="e">
        <v>#N/A</v>
        <stp/>
        <stp>BDH|9482866442567345964</stp>
        <tr r="G52" s="34"/>
      </tp>
      <tp t="e">
        <v>#N/A</v>
        <stp/>
        <stp>BDH|5451535828889857026</stp>
        <tr r="J34" s="29"/>
      </tp>
      <tp t="e">
        <v>#N/A</v>
        <stp/>
        <stp>BDH|3926752249773288825</stp>
        <tr r="S121" s="18"/>
      </tp>
      <tp t="e">
        <v>#N/A</v>
        <stp/>
        <stp>BDH|9366369422693430060</stp>
        <tr r="V159" s="18"/>
      </tp>
      <tp t="e">
        <v>#N/A</v>
        <stp/>
        <stp>BDH|9473035054697171079</stp>
        <tr r="J33" s="11"/>
        <tr r="J44" s="10"/>
      </tp>
      <tp t="e">
        <v>#N/A</v>
        <stp/>
        <stp>BDH|6950805459953474313</stp>
        <tr r="H32" s="13"/>
        <tr r="F25" s="10"/>
      </tp>
      <tp t="e">
        <v>#N/A</v>
        <stp/>
        <stp>BDH|2581509295000145549</stp>
        <tr r="R10" s="12"/>
      </tp>
      <tp t="e">
        <v>#N/A</v>
        <stp/>
        <stp>BDH|1267739860929518218</stp>
        <tr r="G18" s="6"/>
      </tp>
      <tp t="e">
        <v>#N/A</v>
        <stp/>
        <stp>BDH|5181352892054569063</stp>
        <tr r="S22" s="26"/>
      </tp>
      <tp t="e">
        <v>#N/A</v>
        <stp/>
        <stp>BDH|6783002491416681258</stp>
        <tr r="D114" s="18"/>
        <tr r="D8" s="20"/>
      </tp>
      <tp t="e">
        <v>#N/A</v>
        <stp/>
        <stp>BDH|9284757643289226831</stp>
        <tr r="K165" s="18"/>
      </tp>
      <tp t="e">
        <v>#N/A</v>
        <stp/>
        <stp>BDH|39559451223413576</stp>
        <tr r="H24" s="10"/>
      </tp>
      <tp t="e">
        <v>#N/A</v>
        <stp/>
        <stp>BDH|51851610496581944</stp>
        <tr r="N13" s="28"/>
        <tr r="N95" s="17"/>
      </tp>
      <tp t="e">
        <v>#N/A</v>
        <stp/>
        <stp>BDH|76244397615784800</stp>
        <tr r="C22" s="21"/>
      </tp>
      <tp t="e">
        <v>#N/A</v>
        <stp/>
        <stp>BDH|78140979070832013</stp>
        <tr r="I31" s="11"/>
        <tr r="I42" s="10"/>
      </tp>
      <tp t="e">
        <v>#N/A</v>
        <stp/>
        <stp>BDH|62011771703383217</stp>
        <tr r="F112" s="18"/>
        <tr r="F6" s="20"/>
      </tp>
      <tp t="e">
        <v>#N/A</v>
        <stp/>
        <stp>BDH|91752753715489106</stp>
        <tr r="J43" s="4"/>
      </tp>
      <tp t="e">
        <v>#N/A</v>
        <stp/>
        <stp>BDH|81460811382077193</stp>
        <tr r="T22" s="25"/>
      </tp>
      <tp t="e">
        <v>#N/A</v>
        <stp/>
        <stp>BDH|36802843233453981</stp>
        <tr r="P31" s="13"/>
        <tr r="N23" s="11"/>
        <tr r="N34" s="10"/>
        <tr r="N45" s="4"/>
      </tp>
      <tp t="e">
        <v>#N/A</v>
        <stp/>
        <stp>BDH|48742263640277795</stp>
        <tr r="C7" s="27"/>
        <tr r="C94" s="17"/>
      </tp>
      <tp t="e">
        <v>#N/A</v>
        <stp/>
        <stp>BDH|34044819985466238</stp>
        <tr r="AA37" s="22"/>
      </tp>
      <tp t="e">
        <v>#N/A</v>
        <stp/>
        <stp>BDH|98792752635029121</stp>
        <tr r="S81" s="18"/>
      </tp>
      <tp t="e">
        <v>#N/A</v>
        <stp/>
        <stp>BDH|7397428378352426271</stp>
        <tr r="H96" s="17"/>
      </tp>
      <tp t="e">
        <v>#N/A</v>
        <stp/>
        <stp>BDH|5341223709563569074</stp>
        <tr r="M65" s="18"/>
      </tp>
      <tp t="e">
        <v>#N/A</v>
        <stp/>
        <stp>BDH|5824024917133620316</stp>
        <tr r="M19" s="25"/>
      </tp>
      <tp t="e">
        <v>#N/A</v>
        <stp/>
        <stp>BDH|4765264864795743183</stp>
        <tr r="D26" s="22"/>
      </tp>
      <tp t="e">
        <v>#N/A</v>
        <stp/>
        <stp>BDH|4741322610722767085</stp>
        <tr r="R21" s="27"/>
      </tp>
      <tp t="e">
        <v>#N/A</v>
        <stp/>
        <stp>BDH|2052393820624372305</stp>
        <tr r="Q95" s="12"/>
      </tp>
      <tp t="e">
        <v>#N/A</v>
        <stp/>
        <stp>BDH|5897878635149245321</stp>
        <tr r="Y86" s="18"/>
      </tp>
      <tp t="e">
        <v>#N/A</v>
        <stp/>
        <stp>BDH|5599348979205108036</stp>
        <tr r="R85" s="18"/>
      </tp>
      <tp t="e">
        <v>#N/A</v>
        <stp/>
        <stp>BDH|5149386362627742365</stp>
        <tr r="L38" s="12"/>
      </tp>
      <tp t="e">
        <v>#N/A</v>
        <stp/>
        <stp>BDH|3986582608866155423</stp>
        <tr r="J24" s="5"/>
      </tp>
      <tp t="e">
        <v>#N/A</v>
        <stp/>
        <stp>BDH|4677869052795886805</stp>
        <tr r="T9" s="14"/>
      </tp>
      <tp t="e">
        <v>#N/A</v>
        <stp/>
        <stp>BDH|2552482220279604912</stp>
        <tr r="W48" s="12"/>
      </tp>
      <tp t="e">
        <v>#N/A</v>
        <stp/>
        <stp>BDH|7714786700355653137</stp>
        <tr r="G24" s="2"/>
      </tp>
      <tp t="e">
        <v>#N/A</v>
        <stp/>
        <stp>BDH|9597480332918260270</stp>
        <tr r="F25" s="3"/>
      </tp>
      <tp t="e">
        <v>#N/A</v>
        <stp/>
        <stp>BDH|9238132600878279498</stp>
        <tr r="O21" s="9"/>
        <tr r="O23" s="5"/>
      </tp>
      <tp t="e">
        <v>#N/A</v>
        <stp/>
        <stp>BDH|7177703374457662490</stp>
        <tr r="I35" s="12"/>
      </tp>
      <tp t="e">
        <v>#N/A</v>
        <stp/>
        <stp>BDH|8251834669113011128</stp>
        <tr r="V34" s="6"/>
      </tp>
      <tp t="e">
        <v>#N/A</v>
        <stp/>
        <stp>BDH|5292562969025244756</stp>
        <tr r="Z20" s="26"/>
      </tp>
      <tp t="e">
        <v>#N/A</v>
        <stp/>
        <stp>BDH|4515481484354697852</stp>
        <tr r="S15" s="4"/>
      </tp>
      <tp t="e">
        <v>#N/A</v>
        <stp/>
        <stp>BDH|9693930669301135372</stp>
        <tr r="F69" s="17"/>
        <tr r="F18" s="3"/>
      </tp>
      <tp t="e">
        <v>#N/A</v>
        <stp/>
        <stp>BDH|1434560339067912489</stp>
        <tr r="Z35" s="13"/>
        <tr r="X28" s="10"/>
      </tp>
      <tp t="e">
        <v>#N/A</v>
        <stp/>
        <stp>BDH|7944792000142241689</stp>
        <tr r="I7" s="21"/>
      </tp>
      <tp t="e">
        <v>#N/A</v>
        <stp/>
        <stp>BDH|6499422359444236776</stp>
        <tr r="Q10" s="12"/>
      </tp>
      <tp t="e">
        <v>#N/A</v>
        <stp/>
        <stp>BDH|6006146803913554080</stp>
        <tr r="Q67" s="24"/>
      </tp>
      <tp t="e">
        <v>#N/A</v>
        <stp/>
        <stp>BDH|7279289952873593772</stp>
        <tr r="L111" s="18"/>
      </tp>
      <tp t="e">
        <v>#N/A</v>
        <stp/>
        <stp>BDH|6706293368800454683</stp>
        <tr r="K36" s="26"/>
      </tp>
      <tp t="e">
        <v>#N/A</v>
        <stp/>
        <stp>BDH|7118685292499790564</stp>
        <tr r="X66" s="12"/>
      </tp>
      <tp t="e">
        <v>#N/A</v>
        <stp/>
        <stp>BDH|7780270512287977710</stp>
        <tr r="AA126" s="18"/>
      </tp>
      <tp t="e">
        <v>#N/A</v>
        <stp/>
        <stp>BDH|3721144578157523649</stp>
        <tr r="E64" s="24"/>
      </tp>
      <tp t="e">
        <v>#N/A</v>
        <stp/>
        <stp>BDH|6850616706250180445</stp>
        <tr r="C43" s="11"/>
        <tr r="C54" s="10"/>
        <tr r="C14" s="7"/>
        <tr r="E9" s="3"/>
      </tp>
      <tp t="e">
        <v>#N/A</v>
        <stp/>
        <stp>BDH|4964761151442198056</stp>
        <tr r="M173" s="18"/>
      </tp>
      <tp t="e">
        <v>#N/A</v>
        <stp/>
        <stp>BDH|5588387296593058813</stp>
        <tr r="I8" s="12"/>
      </tp>
      <tp t="e">
        <v>#N/A</v>
        <stp/>
        <stp>BDH|6681592521634160155</stp>
        <tr r="E83" s="12"/>
      </tp>
      <tp t="e">
        <v>#N/A</v>
        <stp/>
        <stp>BDH|6818812815839470223</stp>
        <tr r="Y26" s="24"/>
      </tp>
      <tp t="e">
        <v>#N/A</v>
        <stp/>
        <stp>BDH|6763962414908743287</stp>
        <tr r="G93" s="17"/>
      </tp>
      <tp t="e">
        <v>#N/A</v>
        <stp/>
        <stp>BDH|9997720155389478603</stp>
        <tr r="N42" s="18"/>
      </tp>
      <tp t="e">
        <v>#N/A</v>
        <stp/>
        <stp>BDH|1839115243527896784</stp>
        <tr r="Q43" s="24"/>
      </tp>
      <tp t="e">
        <v>#N/A</v>
        <stp/>
        <stp>BDH|9408360719116499949</stp>
        <tr r="Y8" s="21"/>
      </tp>
      <tp t="e">
        <v>#N/A</v>
        <stp/>
        <stp>BDH|1296361598937523823</stp>
        <tr r="U63" s="18"/>
      </tp>
      <tp t="e">
        <v>#N/A</v>
        <stp/>
        <stp>BDH|1406715028449127970</stp>
        <tr r="P71" s="24"/>
      </tp>
      <tp t="e">
        <v>#N/A</v>
        <stp/>
        <stp>BDH|7912428764989017842</stp>
        <tr r="M37" s="29"/>
        <tr r="M14" s="29"/>
        <tr r="M23" s="29"/>
      </tp>
      <tp t="e">
        <v>#N/A</v>
        <stp/>
        <stp>BDH|7852091215173952162</stp>
        <tr r="N45" s="17"/>
      </tp>
      <tp t="e">
        <v>#N/A</v>
        <stp/>
        <stp>BDH|4808878992874326550</stp>
        <tr r="F12" s="21"/>
      </tp>
      <tp t="e">
        <v>#N/A</v>
        <stp/>
        <stp>BDH|4993457050335180467</stp>
        <tr r="AA11" s="18"/>
      </tp>
      <tp t="e">
        <v>#N/A</v>
        <stp/>
        <stp>BDH|3765764748565003122</stp>
        <tr r="K73" s="13"/>
        <tr r="I50" s="11"/>
        <tr r="I61" s="10"/>
        <tr r="I19" s="7"/>
        <tr r="I18" s="4"/>
        <tr r="I20" s="2"/>
      </tp>
      <tp t="e">
        <v>#N/A</v>
        <stp/>
        <stp>BDH|9930055173938595213</stp>
        <tr r="X67" s="12"/>
      </tp>
      <tp t="e">
        <v>#N/A</v>
        <stp/>
        <stp>BDH|7061086980538278317</stp>
        <tr r="C65" s="17"/>
      </tp>
      <tp t="e">
        <v>#N/A</v>
        <stp/>
        <stp>BDH|4649408919395233069</stp>
        <tr r="N9" s="21"/>
      </tp>
      <tp t="e">
        <v>#N/A</v>
        <stp/>
        <stp>BDH|8449475369629902782</stp>
        <tr r="T79" s="12"/>
      </tp>
      <tp t="e">
        <v>#N/A</v>
        <stp/>
        <stp>BDH|8600554685527414694</stp>
        <tr r="F36" s="22"/>
      </tp>
      <tp t="e">
        <v>#N/A</v>
        <stp/>
        <stp>BDH|2818563292418648216</stp>
        <tr r="K44" s="24"/>
      </tp>
      <tp t="e">
        <v>#N/A</v>
        <stp/>
        <stp>BDH|5972087009690210113</stp>
        <tr r="M163" s="18"/>
      </tp>
      <tp t="e">
        <v>#N/A</v>
        <stp/>
        <stp>BDH|3812667577461379712</stp>
        <tr r="H75" s="10"/>
        <tr r="H64" s="11"/>
      </tp>
      <tp t="e">
        <v>#N/A</v>
        <stp/>
        <stp>BDH|7373668272190983251</stp>
        <tr r="G69" s="10"/>
        <tr r="G39" s="4"/>
      </tp>
      <tp t="e">
        <v>#N/A</v>
        <stp/>
        <stp>BDH|1246675072002511696</stp>
        <tr r="F53" s="24"/>
      </tp>
      <tp t="e">
        <v>#N/A</v>
        <stp/>
        <stp>BDH|7982556904414258219</stp>
        <tr r="N60" s="12"/>
      </tp>
      <tp t="e">
        <v>#N/A</v>
        <stp/>
        <stp>BDH|7627218640644439186</stp>
        <tr r="R54" s="18"/>
      </tp>
      <tp t="e">
        <v>#N/A</v>
        <stp/>
        <stp>BDH|2811002630166729349</stp>
        <tr r="W7" s="6"/>
      </tp>
      <tp t="e">
        <v>#N/A</v>
        <stp/>
        <stp>BDH|7543496322615088055</stp>
        <tr r="K135" s="18"/>
      </tp>
      <tp t="e">
        <v>#N/A</v>
        <stp/>
        <stp>BDH|5133705733862003796</stp>
        <tr r="O24" s="24"/>
      </tp>
      <tp t="e">
        <v>#N/A</v>
        <stp/>
        <stp>BDH|8898974559277461791</stp>
        <tr r="Y16" s="12"/>
      </tp>
      <tp t="e">
        <v>#N/A</v>
        <stp/>
        <stp>BDH|9833901139933807420</stp>
        <tr r="G34" s="22"/>
      </tp>
      <tp t="e">
        <v>#N/A</v>
        <stp/>
        <stp>BDH|2979435570857089219</stp>
        <tr r="F52" s="17"/>
      </tp>
      <tp t="e">
        <v>#N/A</v>
        <stp/>
        <stp>BDH|6504996764828157521</stp>
        <tr r="N44" s="6"/>
      </tp>
      <tp t="e">
        <v>#N/A</v>
        <stp/>
        <stp>BDH|6202441319674786335</stp>
        <tr r="F84" s="17"/>
        <tr r="F20" s="3"/>
        <tr r="D6" s="7"/>
      </tp>
      <tp t="e">
        <v>#N/A</v>
        <stp/>
        <stp>BDH|6057880674328080574</stp>
        <tr r="D13" s="28"/>
        <tr r="D95" s="17"/>
      </tp>
      <tp t="e">
        <v>#N/A</v>
        <stp/>
        <stp>BDH|6272700874535501788</stp>
        <tr r="L57" s="12"/>
      </tp>
      <tp t="e">
        <v>#N/A</v>
        <stp/>
        <stp>BDH|7223608609483338630</stp>
        <tr r="F70" s="13"/>
      </tp>
      <tp t="e">
        <v>#N/A</v>
        <stp/>
        <stp>BDH|7306211346205870079</stp>
        <tr r="N17" s="14"/>
      </tp>
      <tp t="e">
        <v>#N/A</v>
        <stp/>
        <stp>BDH|5912200641516013138</stp>
        <tr r="K19" s="28"/>
        <tr r="K16" s="17"/>
      </tp>
      <tp t="e">
        <v>#N/A</v>
        <stp/>
        <stp>BDH|9331305709947945986</stp>
        <tr r="N61" s="18"/>
      </tp>
      <tp t="e">
        <v>#N/A</v>
        <stp/>
        <stp>BDH|2365859141562522895</stp>
        <tr r="O53" s="24"/>
      </tp>
      <tp t="e">
        <v>#N/A</v>
        <stp/>
        <stp>BDH|5791603987759941624</stp>
        <tr r="J126" s="18"/>
      </tp>
      <tp t="e">
        <v>#N/A</v>
        <stp/>
        <stp>BDH|8472787180925324647</stp>
        <tr r="N72" s="24"/>
      </tp>
      <tp t="e">
        <v>#N/A</v>
        <stp/>
        <stp>BDH|6314185181559153208</stp>
        <tr r="X59" s="18"/>
      </tp>
      <tp t="e">
        <v>#N/A</v>
        <stp/>
        <stp>BDH|2604688639883557099</stp>
        <tr r="L15" s="14"/>
      </tp>
      <tp t="e">
        <v>#N/A</v>
        <stp/>
        <stp>BDH|4334640237811808437</stp>
        <tr r="G18" s="11"/>
      </tp>
      <tp t="e">
        <v>#N/A</v>
        <stp/>
        <stp>BDH|1998924241220279837</stp>
        <tr r="N36" s="34"/>
      </tp>
      <tp t="e">
        <v>#N/A</v>
        <stp/>
        <stp>BDH|3589921534684917911</stp>
        <tr r="S21" s="10"/>
      </tp>
      <tp t="e">
        <v>#N/A</v>
        <stp/>
        <stp>BDH|9523889518191905575</stp>
        <tr r="R35" s="34"/>
      </tp>
      <tp t="e">
        <v>#N/A</v>
        <stp/>
        <stp>BDH|6016788452764410451</stp>
        <tr r="V23" s="29"/>
        <tr r="V37" s="29"/>
        <tr r="V14" s="29"/>
      </tp>
      <tp t="e">
        <v>#N/A</v>
        <stp/>
        <stp>BDH|8889215612309577657</stp>
        <tr r="O56" s="6"/>
      </tp>
      <tp t="e">
        <v>#N/A</v>
        <stp/>
        <stp>BDH|9581070613528045498</stp>
        <tr r="Q18" s="27"/>
        <tr r="Q36" s="25"/>
      </tp>
      <tp t="e">
        <v>#N/A</v>
        <stp/>
        <stp>BDH|9686569598196057704</stp>
        <tr r="D82" s="12"/>
      </tp>
      <tp t="e">
        <v>#N/A</v>
        <stp/>
        <stp>BDH|3800622994948539038</stp>
        <tr r="V26" s="13"/>
      </tp>
      <tp t="e">
        <v>#N/A</v>
        <stp/>
        <stp>BDH|6754976789494919786</stp>
        <tr r="X7" s="28"/>
      </tp>
      <tp t="e">
        <v>#N/A</v>
        <stp/>
        <stp>BDH|8518367544352902965</stp>
        <tr r="V89" s="17"/>
      </tp>
      <tp t="e">
        <v>#N/A</v>
        <stp/>
        <stp>BDH|2979948624928538546</stp>
        <tr r="Z76" s="17"/>
      </tp>
      <tp t="e">
        <v>#N/A</v>
        <stp/>
        <stp>BDH|7724651606576900355</stp>
        <tr r="S10" s="26"/>
      </tp>
      <tp t="e">
        <v>#N/A</v>
        <stp/>
        <stp>BDH|9834031778258954226</stp>
        <tr r="D49" s="13"/>
      </tp>
      <tp t="e">
        <v>#N/A</v>
        <stp/>
        <stp>BDH|5959219317744519628</stp>
        <tr r="E71" s="17"/>
      </tp>
      <tp t="e">
        <v>#N/A</v>
        <stp/>
        <stp>BDH|9656450930143367980</stp>
        <tr r="J18" s="11"/>
      </tp>
      <tp t="e">
        <v>#N/A</v>
        <stp/>
        <stp>BDH|3920050868338974954</stp>
        <tr r="D28" s="11"/>
        <tr r="D39" s="10"/>
        <tr r="D40" s="11"/>
        <tr r="D51" s="10"/>
      </tp>
      <tp t="e">
        <v>#N/A</v>
        <stp/>
        <stp>BDH|2471676200522919227</stp>
        <tr r="G7" s="30"/>
      </tp>
      <tp t="e">
        <v>#N/A</v>
        <stp/>
        <stp>BDH|7129093394503711937</stp>
        <tr r="D28" s="18"/>
      </tp>
      <tp t="e">
        <v>#N/A</v>
        <stp/>
        <stp>BDH|4363567479457017541</stp>
        <tr r="L28" s="22"/>
      </tp>
      <tp t="e">
        <v>#N/A</v>
        <stp/>
        <stp>BDH|5587970113260986907</stp>
        <tr r="M88" s="18"/>
      </tp>
      <tp t="e">
        <v>#N/A</v>
        <stp/>
        <stp>BDH|7716333958683576617</stp>
        <tr r="K48" s="22"/>
      </tp>
      <tp t="e">
        <v>#N/A</v>
        <stp/>
        <stp>BDH|4654141849192186729</stp>
        <tr r="H63" s="21"/>
      </tp>
      <tp t="e">
        <v>#N/A</v>
        <stp/>
        <stp>BDH|4510823426772898818</stp>
        <tr r="H26" s="22"/>
      </tp>
      <tp t="e">
        <v>#N/A</v>
        <stp/>
        <stp>BDH|9921900742459007931</stp>
        <tr r="E18" s="13"/>
      </tp>
      <tp t="e">
        <v>#N/A</v>
        <stp/>
        <stp>BDH|4874941899993810359</stp>
        <tr r="Y11" s="24"/>
      </tp>
      <tp t="e">
        <v>#N/A</v>
        <stp/>
        <stp>BDH|8018904734301929753</stp>
        <tr r="I17" s="23"/>
      </tp>
      <tp t="e">
        <v>#N/A</v>
        <stp/>
        <stp>BDH|3221447629075732401</stp>
        <tr r="D56" s="13"/>
      </tp>
      <tp t="e">
        <v>#N/A</v>
        <stp/>
        <stp>BDH|4474474596958580584</stp>
        <tr r="T31" s="22"/>
      </tp>
      <tp t="e">
        <v>#N/A</v>
        <stp/>
        <stp>BDH|5925482088334634976</stp>
        <tr r="AA51" s="22"/>
      </tp>
      <tp t="e">
        <v>#N/A</v>
        <stp/>
        <stp>BDH|5761065412411248195</stp>
        <tr r="H14" s="28"/>
      </tp>
      <tp t="e">
        <v>#N/A</v>
        <stp/>
        <stp>BDH|4294030179531275622</stp>
        <tr r="I31" s="24"/>
      </tp>
      <tp t="e">
        <v>#N/A</v>
        <stp/>
        <stp>BDH|1787789940102000479</stp>
        <tr r="W51" s="21"/>
      </tp>
      <tp t="e">
        <v>#N/A</v>
        <stp/>
        <stp>BDH|5734040349845273004</stp>
        <tr r="M23" s="24"/>
      </tp>
      <tp t="e">
        <v>#N/A</v>
        <stp/>
        <stp>BDH|7694325644957047389</stp>
        <tr r="T43" s="34"/>
      </tp>
      <tp t="e">
        <v>#N/A</v>
        <stp/>
        <stp>BDH|5907109846742529624</stp>
        <tr r="O47" s="18"/>
      </tp>
      <tp t="e">
        <v>#N/A</v>
        <stp/>
        <stp>BDH|4972063964103591564</stp>
        <tr r="U22" s="22"/>
      </tp>
      <tp t="e">
        <v>#N/A</v>
        <stp/>
        <stp>BDH|1942368419035824265</stp>
        <tr r="M129" s="18"/>
      </tp>
      <tp t="e">
        <v>#N/A</v>
        <stp/>
        <stp>BDH|1671093532430134648</stp>
        <tr r="F90" s="17"/>
      </tp>
      <tp t="e">
        <v>#N/A</v>
        <stp/>
        <stp>BDH|6698324669697084058</stp>
        <tr r="L64" s="24"/>
      </tp>
      <tp t="e">
        <v>#N/A</v>
        <stp/>
        <stp>BDH|4039471840026990661</stp>
        <tr r="V51" s="12"/>
      </tp>
      <tp t="e">
        <v>#N/A</v>
        <stp/>
        <stp>BDH|7308348327745875702</stp>
        <tr r="Y63" s="21"/>
      </tp>
      <tp t="e">
        <v>#N/A</v>
        <stp/>
        <stp>BDH|1853408444094219161</stp>
        <tr r="H38" s="6"/>
      </tp>
      <tp t="e">
        <v>#N/A</v>
        <stp/>
        <stp>BDH|7898374334034798749</stp>
        <tr r="J9" s="17"/>
      </tp>
      <tp t="e">
        <v>#N/A</v>
        <stp/>
        <stp>BDH|5716406998979171564</stp>
        <tr r="C11" s="21"/>
      </tp>
      <tp t="e">
        <v>#N/A</v>
        <stp/>
        <stp>BDH|8000671421469997170</stp>
        <tr r="V22" s="11"/>
      </tp>
      <tp t="e">
        <v>#N/A</v>
        <stp/>
        <stp>BDH|5911811282852066322</stp>
        <tr r="V23" s="12"/>
      </tp>
      <tp t="e">
        <v>#N/A</v>
        <stp/>
        <stp>BDH|5931492400594883100</stp>
        <tr r="E28" s="34"/>
      </tp>
      <tp t="e">
        <v>#N/A</v>
        <stp/>
        <stp>BDH|7142349728054367664</stp>
        <tr r="R49" s="13"/>
      </tp>
      <tp t="e">
        <v>#N/A</v>
        <stp/>
        <stp>BDH|1925069004534585169</stp>
        <tr r="Z19" s="12"/>
      </tp>
      <tp t="e">
        <v>#N/A</v>
        <stp/>
        <stp>BDH|3844323746573143358</stp>
        <tr r="O8" s="22"/>
      </tp>
      <tp t="e">
        <v>#N/A</v>
        <stp/>
        <stp>BDH|7005651779387257569</stp>
        <tr r="H32" s="24"/>
      </tp>
      <tp t="e">
        <v>#N/A</v>
        <stp/>
        <stp>BDH|4889570220176727105</stp>
        <tr r="W11" s="11"/>
      </tp>
      <tp t="e">
        <v>#N/A</v>
        <stp/>
        <stp>BDH|3210033040427874400</stp>
        <tr r="D161" s="18"/>
      </tp>
      <tp t="e">
        <v>#N/A</v>
        <stp/>
        <stp>BDH|6996991254866435892</stp>
        <tr r="R30" s="24"/>
      </tp>
      <tp t="e">
        <v>#N/A</v>
        <stp/>
        <stp>BDH|1830820397023429701</stp>
        <tr r="G11" s="9"/>
      </tp>
      <tp t="e">
        <v>#N/A</v>
        <stp/>
        <stp>BDH|6719447447075533786</stp>
        <tr r="I54" s="18"/>
      </tp>
      <tp t="e">
        <v>#N/A</v>
        <stp/>
        <stp>BDH|9630636078638716430</stp>
        <tr r="D26" s="11"/>
        <tr r="D37" s="10"/>
      </tp>
      <tp t="e">
        <v>#N/A</v>
        <stp/>
        <stp>BDH|9140372321464757895</stp>
        <tr r="U72" s="13"/>
      </tp>
      <tp t="e">
        <v>#N/A</v>
        <stp/>
        <stp>BDH|1068908417219980476</stp>
        <tr r="T39" s="21"/>
      </tp>
      <tp t="e">
        <v>#N/A</v>
        <stp/>
        <stp>BDH|3310645102695472487</stp>
        <tr r="V28" s="17"/>
      </tp>
      <tp t="e">
        <v>#N/A</v>
        <stp/>
        <stp>BDH|4911633573431503053</stp>
        <tr r="F158" s="18"/>
      </tp>
      <tp t="e">
        <v>#N/A</v>
        <stp/>
        <stp>BDH|4059001642103818731</stp>
        <tr r="W11" s="18"/>
      </tp>
      <tp t="e">
        <v>#N/A</v>
        <stp/>
        <stp>BDH|7029022609554288708</stp>
        <tr r="V86" s="17"/>
      </tp>
      <tp t="e">
        <v>#N/A</v>
        <stp/>
        <stp>BDH|4548872489121304112</stp>
        <tr r="P52" s="12"/>
      </tp>
      <tp t="e">
        <v>#N/A</v>
        <stp/>
        <stp>BDH|6764091885489774350</stp>
        <tr r="Y60" s="13"/>
        <tr r="W48" s="11"/>
        <tr r="W59" s="10"/>
        <tr r="Y10" s="3"/>
        <tr r="W17" s="7"/>
        <tr r="W17" s="4"/>
      </tp>
      <tp t="e">
        <v>#N/A</v>
        <stp/>
        <stp>BDH|2588939676139123186</stp>
        <tr r="M59" s="17"/>
      </tp>
      <tp t="e">
        <v>#N/A</v>
        <stp/>
        <stp>BDH|9731726458428459700</stp>
        <tr r="N40" s="21"/>
      </tp>
      <tp t="e">
        <v>#N/A</v>
        <stp/>
        <stp>BDH|9198518420379124384</stp>
        <tr r="Q20" s="25"/>
      </tp>
      <tp t="e">
        <v>#N/A</v>
        <stp/>
        <stp>BDH|7052203352462922627</stp>
        <tr r="T69" s="24"/>
      </tp>
      <tp t="e">
        <v>#N/A</v>
        <stp/>
        <stp>BDH|1930726444703552530</stp>
        <tr r="L169" s="18"/>
      </tp>
      <tp t="e">
        <v>#N/A</v>
        <stp/>
        <stp>BDH|4261190537305016753</stp>
        <tr r="G22" s="14"/>
      </tp>
      <tp t="e">
        <v>#N/A</v>
        <stp/>
        <stp>BDH|4141204667047946362</stp>
        <tr r="C88" s="17"/>
      </tp>
      <tp t="e">
        <v>#N/A</v>
        <stp/>
        <stp>BDH|1090990891284256138</stp>
        <tr r="R20" s="25"/>
      </tp>
      <tp t="e">
        <v>#N/A</v>
        <stp/>
        <stp>BDH|7404727058614302547</stp>
        <tr r="C94" s="18"/>
      </tp>
      <tp t="e">
        <v>#N/A</v>
        <stp/>
        <stp>BDH|7842478207994841397</stp>
        <tr r="S32" s="9"/>
      </tp>
      <tp t="e">
        <v>#N/A</v>
        <stp/>
        <stp>BDH|5290348001733679187</stp>
        <tr r="T12" s="11"/>
      </tp>
      <tp t="e">
        <v>#N/A</v>
        <stp/>
        <stp>BDH|2635218840299959975</stp>
        <tr r="C167" s="18"/>
      </tp>
      <tp t="e">
        <v>#N/A</v>
        <stp/>
        <stp>BDH|9078302387737726198</stp>
        <tr r="Z34" s="13"/>
        <tr r="X27" s="10"/>
      </tp>
      <tp t="e">
        <v>#N/A</v>
        <stp/>
        <stp>BDH|2180188323710592564</stp>
        <tr r="M21" s="3"/>
      </tp>
      <tp t="e">
        <v>#N/A</v>
        <stp/>
        <stp>BDH|6340894383535373738</stp>
        <tr r="M175" s="18"/>
      </tp>
      <tp t="e">
        <v>#N/A</v>
        <stp/>
        <stp>BDH|3681711067094018295</stp>
        <tr r="AA70" s="12"/>
      </tp>
      <tp t="e">
        <v>#N/A</v>
        <stp/>
        <stp>BDH|9272138269399665377</stp>
        <tr r="I154" s="18"/>
      </tp>
      <tp t="e">
        <v>#N/A</v>
        <stp/>
        <stp>BDH|2550468500235268784</stp>
        <tr r="Q29" s="17"/>
      </tp>
      <tp t="e">
        <v>#N/A</v>
        <stp/>
        <stp>BDH|9194904033450348780</stp>
        <tr r="M74" s="18"/>
      </tp>
      <tp t="e">
        <v>#N/A</v>
        <stp/>
        <stp>BDH|8066108642338397188</stp>
        <tr r="M8" s="26"/>
        <tr r="J10" s="9"/>
      </tp>
      <tp t="e">
        <v>#N/A</v>
        <stp/>
        <stp>BDH|9695264388774447352</stp>
        <tr r="G66" s="10"/>
      </tp>
      <tp t="e">
        <v>#N/A</v>
        <stp/>
        <stp>BDH|4792413141003611387</stp>
        <tr r="T10" s="8"/>
        <tr r="R53" s="6"/>
      </tp>
      <tp t="e">
        <v>#N/A</v>
        <stp/>
        <stp>BDH|9831738167789246574</stp>
        <tr r="J16" s="29"/>
        <tr r="J39" s="29"/>
      </tp>
      <tp t="e">
        <v>#N/A</v>
        <stp/>
        <stp>BDH|2485475046085432382</stp>
        <tr r="T21" s="20"/>
      </tp>
      <tp t="e">
        <v>#N/A</v>
        <stp/>
        <stp>BDH|4241453876521848209</stp>
        <tr r="G7" s="9"/>
        <tr r="G7" s="5"/>
        <tr r="H7" s="2"/>
        <tr r="J14" s="3"/>
      </tp>
      <tp t="e">
        <v>#N/A</v>
        <stp/>
        <stp>BDH|4097153279517780129</stp>
        <tr r="M21" s="21"/>
      </tp>
      <tp t="e">
        <v>#N/A</v>
        <stp/>
        <stp>BDH|3092554668086767235</stp>
        <tr r="C64" s="21"/>
      </tp>
      <tp t="e">
        <v>#N/A</v>
        <stp/>
        <stp>BDH|3736581497182165974</stp>
        <tr r="D14" s="6"/>
      </tp>
      <tp t="e">
        <v>#N/A</v>
        <stp/>
        <stp>BDH|6449694006572405614</stp>
        <tr r="N56" s="17"/>
      </tp>
      <tp t="e">
        <v>#N/A</v>
        <stp/>
        <stp>BDH|2106913176060035880</stp>
        <tr r="AA44" s="21"/>
      </tp>
      <tp t="e">
        <v>#N/A</v>
        <stp/>
        <stp>BDH|4511234128777215723</stp>
        <tr r="O86" s="18"/>
      </tp>
      <tp t="e">
        <v>#N/A</v>
        <stp/>
        <stp>BDH|4378057054790842543</stp>
        <tr r="Q44" s="24"/>
      </tp>
      <tp t="e">
        <v>#N/A</v>
        <stp/>
        <stp>BDH|4567336220525964413</stp>
        <tr r="K24" s="20"/>
      </tp>
      <tp t="e">
        <v>#N/A</v>
        <stp/>
        <stp>BDH|2212985835434846894</stp>
        <tr r="I73" s="18"/>
      </tp>
      <tp t="e">
        <v>#N/A</v>
        <stp/>
        <stp>BDH|8236521908011711813</stp>
        <tr r="O61" s="11"/>
      </tp>
      <tp t="e">
        <v>#N/A</v>
        <stp/>
        <stp>BDH|9807102749190999869</stp>
        <tr r="J65" s="18"/>
      </tp>
      <tp t="e">
        <v>#N/A</v>
        <stp/>
        <stp>BDH|3691850058999465315</stp>
        <tr r="E7" s="21"/>
      </tp>
      <tp t="e">
        <v>#N/A</v>
        <stp/>
        <stp>BDH|8870054674029719201</stp>
        <tr r="Q38" s="12"/>
      </tp>
      <tp t="e">
        <v>#N/A</v>
        <stp/>
        <stp>BDH|4725464446732109282</stp>
        <tr r="P21" s="5"/>
      </tp>
      <tp t="e">
        <v>#N/A</v>
        <stp/>
        <stp>BDH|1084866649308284137</stp>
        <tr r="L7" s="28"/>
      </tp>
      <tp t="e">
        <v>#N/A</v>
        <stp/>
        <stp>BDH|1508334944655571790</stp>
        <tr r="C34" s="17"/>
      </tp>
      <tp t="e">
        <v>#N/A</v>
        <stp/>
        <stp>BDH|1807617453655304374</stp>
        <tr r="W21" s="9"/>
        <tr r="W23" s="5"/>
      </tp>
      <tp t="e">
        <v>#N/A</v>
        <stp/>
        <stp>BDH|2912376323823739448</stp>
        <tr r="I49" s="22"/>
      </tp>
      <tp t="e">
        <v>#N/A</v>
        <stp/>
        <stp>BDH|2245195654242810095</stp>
        <tr r="O64" s="11"/>
        <tr r="O75" s="10"/>
      </tp>
      <tp t="e">
        <v>#N/A</v>
        <stp/>
        <stp>BDH|4033503710404644087</stp>
        <tr r="W50" s="4"/>
      </tp>
      <tp t="e">
        <v>#N/A</v>
        <stp/>
        <stp>BDH|6024049252725889203</stp>
        <tr r="T93" s="12"/>
      </tp>
      <tp t="e">
        <v>#N/A</v>
        <stp/>
        <stp>BDH|2924225846318607853</stp>
        <tr r="K65" s="13"/>
      </tp>
      <tp t="e">
        <v>#N/A</v>
        <stp/>
        <stp>BDH|6841111534744431477</stp>
        <tr r="V24" s="12"/>
      </tp>
      <tp t="e">
        <v>#N/A</v>
        <stp/>
        <stp>BDH|3240020993409552783</stp>
        <tr r="K16" s="25"/>
      </tp>
      <tp t="e">
        <v>#N/A</v>
        <stp/>
        <stp>BDH|6876585956526066487</stp>
        <tr r="U6" s="6"/>
      </tp>
      <tp t="e">
        <v>#N/A</v>
        <stp/>
        <stp>BDH|5931224122606698711</stp>
        <tr r="W47" s="13"/>
      </tp>
      <tp t="e">
        <v>#N/A</v>
        <stp/>
        <stp>BDH|1655654474813035792</stp>
        <tr r="W159" s="18"/>
      </tp>
      <tp t="e">
        <v>#N/A</v>
        <stp/>
        <stp>BDH|2930406766853434756</stp>
        <tr r="C70" s="13"/>
      </tp>
      <tp t="e">
        <v>#N/A</v>
        <stp/>
        <stp>BDH|7422088860381778456</stp>
        <tr r="R34" s="29"/>
      </tp>
      <tp t="e">
        <v>#N/A</v>
        <stp/>
        <stp>BDH|7132735818495428008</stp>
        <tr r="W53" s="12"/>
      </tp>
      <tp t="e">
        <v>#N/A</v>
        <stp/>
        <stp>BDH|3839763639731048299</stp>
        <tr r="AA46" s="17"/>
      </tp>
      <tp t="e">
        <v>#N/A</v>
        <stp/>
        <stp>BDH|4773860547455081986</stp>
        <tr r="O167" s="18"/>
      </tp>
      <tp t="e">
        <v>#N/A</v>
        <stp/>
        <stp>BDH|6492646153538922944</stp>
        <tr r="U126" s="18"/>
      </tp>
      <tp t="e">
        <v>#N/A</v>
        <stp/>
        <stp>BDH|2391711165527878016</stp>
        <tr r="Z76" s="12"/>
      </tp>
      <tp t="e">
        <v>#N/A</v>
        <stp/>
        <stp>BDH|5302658554141805346</stp>
        <tr r="R48" s="22"/>
      </tp>
      <tp t="e">
        <v>#N/A</v>
        <stp/>
        <stp>BDH|8894294390122664595</stp>
        <tr r="Q80" s="12"/>
      </tp>
      <tp t="e">
        <v>#N/A</v>
        <stp/>
        <stp>BDH|6902006956733586446</stp>
        <tr r="E35" s="21"/>
      </tp>
      <tp t="e">
        <v>#N/A</v>
        <stp/>
        <stp>BDH|2845201337953548447</stp>
        <tr r="P7" s="28"/>
      </tp>
      <tp t="e">
        <v>#N/A</v>
        <stp/>
        <stp>BDH|7420978891194525797</stp>
        <tr r="G11" s="13"/>
      </tp>
      <tp t="e">
        <v>#N/A</v>
        <stp/>
        <stp>BDH|4432187912557290726</stp>
        <tr r="U17" s="27"/>
        <tr r="U35" s="25"/>
        <tr r="R14" s="5"/>
      </tp>
      <tp t="e">
        <v>#N/A</v>
        <stp/>
        <stp>BDH|3637123240357832531</stp>
        <tr r="K9" s="25"/>
        <tr r="K44" s="17"/>
      </tp>
      <tp t="e">
        <v>#N/A</v>
        <stp/>
        <stp>BDH|3863268564231798224</stp>
        <tr r="L9" s="22"/>
      </tp>
      <tp t="e">
        <v>#N/A</v>
        <stp/>
        <stp>BDH|1835681149386168177</stp>
        <tr r="Y44" s="21"/>
      </tp>
      <tp t="e">
        <v>#N/A</v>
        <stp/>
        <stp>BDH|5023489401161485422</stp>
        <tr r="N8" s="22"/>
      </tp>
      <tp t="e">
        <v>#N/A</v>
        <stp/>
        <stp>BDH|5204494504140374532</stp>
        <tr r="E21" s="10"/>
      </tp>
      <tp t="e">
        <v>#N/A</v>
        <stp/>
        <stp>BDH|3384528195509369283</stp>
        <tr r="F29" s="21"/>
      </tp>
      <tp t="e">
        <v>#N/A</v>
        <stp/>
        <stp>BDH|7792791566182405039</stp>
        <tr r="U49" s="17"/>
      </tp>
      <tp t="e">
        <v>#N/A</v>
        <stp/>
        <stp>BDH|4281217203803815175</stp>
        <tr r="J17" s="27"/>
        <tr r="J35" s="25"/>
        <tr r="G14" s="5"/>
      </tp>
      <tp t="e">
        <v>#N/A</v>
        <stp/>
        <stp>BDH|1570153765785296789</stp>
        <tr r="N33" s="17"/>
      </tp>
      <tp t="e">
        <v>#N/A</v>
        <stp/>
        <stp>BDH|7915169523912579264</stp>
        <tr r="N22" s="30"/>
        <tr r="N24" s="23"/>
      </tp>
      <tp t="e">
        <v>#N/A</v>
        <stp/>
        <stp>BDH|8797814409335359139</stp>
        <tr r="S7" s="11"/>
      </tp>
      <tp t="e">
        <v>#N/A</v>
        <stp/>
        <stp>BDH|1019326178150662135</stp>
        <tr r="U22" s="10"/>
      </tp>
      <tp t="e">
        <v>#N/A</v>
        <stp/>
        <stp>BDH|3710271435460366696</stp>
        <tr r="E34" s="29"/>
      </tp>
      <tp t="e">
        <v>#N/A</v>
        <stp/>
        <stp>BDH|3795741552942842761</stp>
        <tr r="K66" s="10"/>
      </tp>
      <tp t="e">
        <v>#N/A</v>
        <stp/>
        <stp>BDH|8258694058286546993</stp>
        <tr r="F104" s="18"/>
      </tp>
      <tp t="e">
        <v>#N/A</v>
        <stp/>
        <stp>BDH|5246833003461442893</stp>
        <tr r="H45" s="21"/>
      </tp>
      <tp t="e">
        <v>#N/A</v>
        <stp/>
        <stp>BDH|7258403248394169747</stp>
        <tr r="D17" s="24"/>
      </tp>
      <tp t="e">
        <v>#N/A</v>
        <stp/>
        <stp>BDH|3142100122322416681</stp>
        <tr r="F7" s="28"/>
      </tp>
      <tp t="e">
        <v>#N/A</v>
        <stp/>
        <stp>BDH|6930626372163625000</stp>
        <tr r="Q13" s="2"/>
      </tp>
      <tp t="e">
        <v>#N/A</v>
        <stp/>
        <stp>BDH|6709187859050006691</stp>
        <tr r="P43" s="34"/>
      </tp>
      <tp t="e">
        <v>#N/A</v>
        <stp/>
        <stp>BDH|9188795607959203322</stp>
        <tr r="H90" s="17"/>
      </tp>
      <tp t="e">
        <v>#N/A</v>
        <stp/>
        <stp>BDH|9334208088485732235</stp>
        <tr r="K10" s="10"/>
      </tp>
      <tp t="e">
        <v>#N/A</v>
        <stp/>
        <stp>BDH|4164475602794894034</stp>
        <tr r="D39" s="6"/>
      </tp>
      <tp t="e">
        <v>#N/A</v>
        <stp/>
        <stp>BDH|1184412485140864926</stp>
        <tr r="Q12" s="22"/>
      </tp>
      <tp t="e">
        <v>#N/A</v>
        <stp/>
        <stp>BDH|7076536218646192155</stp>
        <tr r="Z31" s="13"/>
        <tr r="X34" s="10"/>
        <tr r="X23" s="11"/>
        <tr r="X45" s="4"/>
      </tp>
      <tp t="e">
        <v>#N/A</v>
        <stp/>
        <stp>BDH|1098075925662862551</stp>
        <tr r="E18" s="11"/>
      </tp>
      <tp t="e">
        <v>#N/A</v>
        <stp/>
        <stp>BDH|5186529333913632496</stp>
        <tr r="D120" s="18"/>
      </tp>
      <tp t="e">
        <v>#N/A</v>
        <stp/>
        <stp>BDH|5884734938391428480</stp>
        <tr r="E51" s="22"/>
      </tp>
      <tp t="e">
        <v>#N/A</v>
        <stp/>
        <stp>BDH|6848311290631367958</stp>
        <tr r="J66" s="10"/>
      </tp>
      <tp t="e">
        <v>#N/A</v>
        <stp/>
        <stp>BDH|3098310218487225243</stp>
        <tr r="U19" s="25"/>
      </tp>
      <tp t="e">
        <v>#N/A</v>
        <stp/>
        <stp>BDH|4783368135480887030</stp>
        <tr r="R16" s="29"/>
        <tr r="R39" s="29"/>
      </tp>
      <tp t="e">
        <v>#N/A</v>
        <stp/>
        <stp>BDH|1803318975776342707</stp>
        <tr r="O52" s="18"/>
      </tp>
      <tp t="e">
        <v>#N/A</v>
        <stp/>
        <stp>BDH|4438005050134393182</stp>
        <tr r="S130" s="18"/>
      </tp>
      <tp t="e">
        <v>#N/A</v>
        <stp/>
        <stp>BDH|2296695411693311267</stp>
        <tr r="T33" s="22"/>
      </tp>
      <tp t="e">
        <v>#N/A</v>
        <stp/>
        <stp>BDH|4487652575972981324</stp>
        <tr r="M11" s="17"/>
      </tp>
      <tp t="e">
        <v>#N/A</v>
        <stp/>
        <stp>BDH|5338558449521070106</stp>
        <tr r="F38" s="22"/>
      </tp>
      <tp t="e">
        <v>#N/A</v>
        <stp/>
        <stp>BDH|4273719373084822473</stp>
        <tr r="Z9" s="21"/>
      </tp>
      <tp t="e">
        <v>#N/A</v>
        <stp/>
        <stp>BDH|5312395812186137568</stp>
        <tr r="K104" s="18"/>
      </tp>
      <tp t="e">
        <v>#N/A</v>
        <stp/>
        <stp>BDH|6431588781827095824</stp>
        <tr r="R91" s="12"/>
      </tp>
      <tp t="e">
        <v>#N/A</v>
        <stp/>
        <stp>BDH|5744832175978679686</stp>
        <tr r="K63" s="11"/>
        <tr r="K74" s="10"/>
      </tp>
      <tp t="e">
        <v>#N/A</v>
        <stp/>
        <stp>BDH|5641182385561333941</stp>
        <tr r="N21" s="11"/>
      </tp>
      <tp t="e">
        <v>#N/A</v>
        <stp/>
        <stp>BDH|9023025220146807967</stp>
        <tr r="R31" s="9"/>
      </tp>
      <tp t="e">
        <v>#N/A</v>
        <stp/>
        <stp>BDH|1567444202514677591</stp>
        <tr r="P92" s="18"/>
      </tp>
      <tp t="e">
        <v>#N/A</v>
        <stp/>
        <stp>BDH|5445568072006849549</stp>
        <tr r="M49" s="6"/>
      </tp>
      <tp t="e">
        <v>#N/A</v>
        <stp/>
        <stp>BDH|3030020807733864413</stp>
        <tr r="N12" s="21"/>
      </tp>
      <tp t="e">
        <v>#N/A</v>
        <stp/>
        <stp>BDH|2010400009442562003</stp>
        <tr r="H51" s="12"/>
      </tp>
      <tp t="e">
        <v>#N/A</v>
        <stp/>
        <stp>BDH|2437304408144210127</stp>
        <tr r="G84" s="17"/>
        <tr r="E6" s="7"/>
        <tr r="G20" s="3"/>
      </tp>
      <tp t="e">
        <v>#N/A</v>
        <stp/>
        <stp>BDH|1168881657679671146</stp>
        <tr r="M17" s="12"/>
      </tp>
      <tp t="e">
        <v>#N/A</v>
        <stp/>
        <stp>BDH|5007135089128033064</stp>
        <tr r="W38" s="34"/>
      </tp>
      <tp t="e">
        <v>#N/A</v>
        <stp/>
        <stp>BDH|7315519135916332381</stp>
        <tr r="L60" s="12"/>
      </tp>
      <tp t="e">
        <v>#N/A</v>
        <stp/>
        <stp>BDH|7109231918655001562</stp>
        <tr r="N173" s="18"/>
      </tp>
      <tp t="e">
        <v>#N/A</v>
        <stp/>
        <stp>BDH|9680664475468885415</stp>
        <tr r="Q88" s="17"/>
      </tp>
      <tp t="e">
        <v>#N/A</v>
        <stp/>
        <stp>BDH|9699684481864629752</stp>
        <tr r="L36" s="21"/>
        <tr r="L24" s="3"/>
      </tp>
      <tp t="e">
        <v>#N/A</v>
        <stp/>
        <stp>BDH|3657155644413373186</stp>
        <tr r="O33" s="18"/>
      </tp>
      <tp t="e">
        <v>#N/A</v>
        <stp/>
        <stp>BDH|8135150295895976149</stp>
        <tr r="P72" s="18"/>
      </tp>
      <tp t="e">
        <v>#N/A</v>
        <stp/>
        <stp>BDH|3368066528074261133</stp>
        <tr r="C30" s="29"/>
        <tr r="C8" s="29"/>
      </tp>
      <tp t="e">
        <v>#N/A</v>
        <stp/>
        <stp>BDH|6066072163505971112</stp>
        <tr r="D45" s="11"/>
        <tr r="D56" s="10"/>
        <tr r="D16" s="7"/>
      </tp>
      <tp t="e">
        <v>#N/A</v>
        <stp/>
        <stp>BDH|5487728990447222882</stp>
        <tr r="C19" s="13"/>
      </tp>
      <tp t="e">
        <v>#N/A</v>
        <stp/>
        <stp>BDH|9177696130699744137</stp>
        <tr r="N10" s="22"/>
      </tp>
      <tp t="e">
        <v>#N/A</v>
        <stp/>
        <stp>BDH|7037187624976691663</stp>
        <tr r="F65" s="11"/>
        <tr r="F76" s="10"/>
      </tp>
      <tp t="e">
        <v>#N/A</v>
        <stp/>
        <stp>BDH|8154201404557135985</stp>
        <tr r="Z45" s="24"/>
      </tp>
      <tp t="e">
        <v>#N/A</v>
        <stp/>
        <stp>BDH|9189896074344390633</stp>
        <tr r="S22" s="11"/>
      </tp>
      <tp t="e">
        <v>#N/A</v>
        <stp/>
        <stp>BDH|9823841430281910797</stp>
        <tr r="U43" s="34"/>
      </tp>
      <tp t="e">
        <v>#N/A</v>
        <stp/>
        <stp>BDH|6678453391029679685</stp>
        <tr r="Q54" s="24"/>
      </tp>
      <tp t="e">
        <v>#N/A</v>
        <stp/>
        <stp>BDH|3003060638721126533</stp>
        <tr r="I13" s="21"/>
      </tp>
      <tp t="e">
        <v>#N/A</v>
        <stp/>
        <stp>BDH|5104320347516138090</stp>
        <tr r="J40" s="13"/>
        <tr r="H33" s="10"/>
      </tp>
      <tp t="e">
        <v>#N/A</v>
        <stp/>
        <stp>BDH|9908532588591876169</stp>
        <tr r="K58" s="12"/>
      </tp>
      <tp t="e">
        <v>#N/A</v>
        <stp/>
        <stp>BDH|7955624277911159314</stp>
        <tr r="N57" s="12"/>
      </tp>
      <tp t="e">
        <v>#N/A</v>
        <stp/>
        <stp>BDH|2687181266561149051</stp>
        <tr r="C7" s="21"/>
      </tp>
      <tp t="e">
        <v>#N/A</v>
        <stp/>
        <stp>BDH|5733190621867044537</stp>
        <tr r="AA21" s="14"/>
      </tp>
      <tp t="e">
        <v>#N/A</v>
        <stp/>
        <stp>BDH|2202274568951672372</stp>
        <tr r="T41" s="18"/>
      </tp>
      <tp t="e">
        <v>#N/A</v>
        <stp/>
        <stp>BDH|6376043737371590095</stp>
        <tr r="S22" s="9"/>
      </tp>
      <tp t="e">
        <v>#N/A</v>
        <stp/>
        <stp>BDH|5238073809345280421</stp>
        <tr r="K25" s="22"/>
      </tp>
      <tp t="e">
        <v>#N/A</v>
        <stp/>
        <stp>BDH|8743943058830575025</stp>
        <tr r="O13" s="27"/>
        <tr r="O31" s="25"/>
      </tp>
      <tp t="e">
        <v>#N/A</v>
        <stp/>
        <stp>BDH|9923263983215485247</stp>
        <tr r="AA31" s="21"/>
      </tp>
      <tp t="e">
        <v>#N/A</v>
        <stp/>
        <stp>BDH|9991363391536542174</stp>
        <tr r="C13" s="7"/>
      </tp>
      <tp t="e">
        <v>#N/A</v>
        <stp/>
        <stp>BDH|4484980627353573822</stp>
        <tr r="K53" s="24"/>
      </tp>
      <tp t="e">
        <v>#N/A</v>
        <stp/>
        <stp>BDH|4891692129114007044</stp>
        <tr r="J62" s="17"/>
      </tp>
      <tp t="e">
        <v>#N/A</v>
        <stp/>
        <stp>BDH|2815133222343697629</stp>
        <tr r="V25" s="7"/>
      </tp>
      <tp t="e">
        <v>#N/A</v>
        <stp/>
        <stp>BDH|1812315926584181038</stp>
        <tr r="G16" s="29"/>
        <tr r="G39" s="29"/>
      </tp>
      <tp t="e">
        <v>#N/A</v>
        <stp/>
        <stp>BDH|3761659795331856928</stp>
        <tr r="D38" s="29"/>
        <tr r="D15" s="29"/>
      </tp>
      <tp t="e">
        <v>#N/A</v>
        <stp/>
        <stp>BDH|1884938743298724021</stp>
        <tr r="I19" s="23"/>
        <tr r="G60" s="11"/>
      </tp>
      <tp t="e">
        <v>#N/A</v>
        <stp/>
        <stp>BDH|6158273803914971418</stp>
        <tr r="K10" s="17"/>
      </tp>
      <tp t="e">
        <v>#N/A</v>
        <stp/>
        <stp>BDH|8156982661606249575</stp>
        <tr r="E63" s="12"/>
      </tp>
      <tp t="e">
        <v>#N/A</v>
        <stp/>
        <stp>BDH|2332030444942896010</stp>
        <tr r="S43" s="12"/>
      </tp>
      <tp t="e">
        <v>#N/A</v>
        <stp/>
        <stp>BDH|3809862342218675374</stp>
        <tr r="H98" s="18"/>
      </tp>
      <tp t="e">
        <v>#N/A</v>
        <stp/>
        <stp>BDH|8715361209657568803</stp>
        <tr r="F10" s="28"/>
      </tp>
      <tp t="e">
        <v>#N/A</v>
        <stp/>
        <stp>BDH|4860987699137052747</stp>
        <tr r="P99" s="18"/>
      </tp>
      <tp t="e">
        <v>#N/A</v>
        <stp/>
        <stp>BDH|9841943105360261460</stp>
        <tr r="K9" s="11"/>
      </tp>
      <tp t="e">
        <v>#N/A</v>
        <stp/>
        <stp>BDH|6879341915144305475</stp>
        <tr r="D28" s="34"/>
      </tp>
      <tp t="e">
        <v>#N/A</v>
        <stp/>
        <stp>BDH|2947457549287039180</stp>
        <tr r="AA66" s="18"/>
      </tp>
      <tp t="e">
        <v>#N/A</v>
        <stp/>
        <stp>BDH|9556696994690035254</stp>
        <tr r="M26" s="21"/>
      </tp>
      <tp t="e">
        <v>#N/A</v>
        <stp/>
        <stp>BDH|9605631787405749683</stp>
        <tr r="M19" s="28"/>
        <tr r="M16" s="17"/>
      </tp>
      <tp t="e">
        <v>#N/A</v>
        <stp/>
        <stp>BDH|6057286000545305563</stp>
        <tr r="D21" s="5"/>
      </tp>
      <tp t="e">
        <v>#N/A</v>
        <stp/>
        <stp>BDH|1803250353145104724</stp>
        <tr r="R29" s="17"/>
      </tp>
      <tp t="e">
        <v>#N/A</v>
        <stp/>
        <stp>BDH|8242363679351048905</stp>
        <tr r="S171" s="18"/>
      </tp>
      <tp t="e">
        <v>#N/A</v>
        <stp/>
        <stp>BDH|1583136834183638499</stp>
        <tr r="Z11" s="18"/>
      </tp>
      <tp t="e">
        <v>#N/A</v>
        <stp/>
        <stp>BDH|9820861123230619764</stp>
        <tr r="I63" s="11"/>
        <tr r="I74" s="10"/>
      </tp>
      <tp t="e">
        <v>#N/A</v>
        <stp/>
        <stp>BDH|3130868695017880174</stp>
        <tr r="M15" s="12"/>
      </tp>
      <tp t="e">
        <v>#N/A</v>
        <stp/>
        <stp>BDH|1902665172366538252</stp>
        <tr r="H55" s="18"/>
      </tp>
      <tp t="e">
        <v>#N/A</v>
        <stp/>
        <stp>BDH|9385681039530639898</stp>
        <tr r="U26" s="24"/>
      </tp>
      <tp t="e">
        <v>#N/A</v>
        <stp/>
        <stp>BDH|7609443778058611815</stp>
        <tr r="G45" s="24"/>
      </tp>
      <tp t="e">
        <v>#N/A</v>
        <stp/>
        <stp>BDH|4423165464863311488</stp>
        <tr r="AA27" s="13"/>
      </tp>
      <tp t="e">
        <v>#N/A</v>
        <stp/>
        <stp>BDH|7767915499234600747</stp>
        <tr r="O43" s="22"/>
      </tp>
      <tp t="e">
        <v>#N/A</v>
        <stp/>
        <stp>BDH|5445281030866714665</stp>
        <tr r="S51" s="34"/>
      </tp>
      <tp t="e">
        <v>#N/A</v>
        <stp/>
        <stp>BDH|6474426979372392312</stp>
        <tr r="R21" s="14"/>
      </tp>
      <tp t="e">
        <v>#N/A</v>
        <stp/>
        <stp>BDH|2087094662760051066</stp>
        <tr r="Y57" s="11"/>
        <tr r="Y24" s="4"/>
      </tp>
      <tp t="e">
        <v>#N/A</v>
        <stp/>
        <stp>BDH|8092225391403987478</stp>
        <tr r="V64" s="11"/>
        <tr r="V75" s="10"/>
      </tp>
      <tp t="e">
        <v>#N/A</v>
        <stp/>
        <stp>BDH|5503731802970964606</stp>
        <tr r="P25" s="11"/>
        <tr r="P36" s="10"/>
      </tp>
      <tp t="e">
        <v>#N/A</v>
        <stp/>
        <stp>BDH|1860435100243027268</stp>
        <tr r="V7" s="24"/>
      </tp>
      <tp t="e">
        <v>#N/A</v>
        <stp/>
        <stp>BDH|5059448941700952114</stp>
        <tr r="AA58" s="18"/>
      </tp>
      <tp t="e">
        <v>#N/A</v>
        <stp/>
        <stp>BDH|1564730907254576698</stp>
        <tr r="C7" s="34"/>
      </tp>
      <tp t="e">
        <v>#N/A</v>
        <stp/>
        <stp>BDH|3018242541666085786</stp>
        <tr r="R6" s="20"/>
        <tr r="R112" s="18"/>
      </tp>
      <tp t="e">
        <v>#N/A</v>
        <stp/>
        <stp>BDH|7297647364653639090</stp>
        <tr r="C12" s="13"/>
      </tp>
      <tp t="e">
        <v>#N/A</v>
        <stp/>
        <stp>BDH|9358331888594738228</stp>
        <tr r="S21" s="11"/>
      </tp>
      <tp t="e">
        <v>#N/A</v>
        <stp/>
        <stp>BDH|4455639858575338610</stp>
        <tr r="T42" s="26"/>
      </tp>
      <tp t="e">
        <v>#N/A</v>
        <stp/>
        <stp>BDH|9507248202476611987</stp>
        <tr r="AA73" s="12"/>
      </tp>
      <tp t="e">
        <v>#N/A</v>
        <stp/>
        <stp>BDH|6551616379202546158</stp>
        <tr r="N43" s="6"/>
      </tp>
      <tp t="e">
        <v>#N/A</v>
        <stp/>
        <stp>BDH|8579445583058685896</stp>
        <tr r="V127" s="18"/>
      </tp>
      <tp t="e">
        <v>#N/A</v>
        <stp/>
        <stp>BDH|5576292626852447336</stp>
        <tr r="K143" s="18"/>
      </tp>
      <tp t="e">
        <v>#N/A</v>
        <stp/>
        <stp>BDH|1433936848191134939</stp>
        <tr r="O45" s="17"/>
      </tp>
      <tp t="e">
        <v>#N/A</v>
        <stp/>
        <stp>BDH|1724518518506127723</stp>
        <tr r="V56" s="18"/>
      </tp>
      <tp t="e">
        <v>#N/A</v>
        <stp/>
        <stp>BDH|1091425508076611713</stp>
        <tr r="M20" s="27"/>
      </tp>
      <tp t="e">
        <v>#N/A</v>
        <stp/>
        <stp>BDH|6083689587065514981</stp>
        <tr r="L77" s="17"/>
      </tp>
      <tp t="e">
        <v>#N/A</v>
        <stp/>
        <stp>BDH|4050855321818789211</stp>
        <tr r="K19" s="22"/>
      </tp>
      <tp t="e">
        <v>#N/A</v>
        <stp/>
        <stp>BDH|2113526667343735617</stp>
        <tr r="N15" s="4"/>
      </tp>
      <tp t="e">
        <v>#N/A</v>
        <stp/>
        <stp>BDH|5618925983359350962</stp>
        <tr r="S11" s="7"/>
      </tp>
      <tp t="e">
        <v>#N/A</v>
        <stp/>
        <stp>BDH|2234635103845270529</stp>
        <tr r="Y37" s="22"/>
      </tp>
      <tp t="e">
        <v>#N/A</v>
        <stp/>
        <stp>BDH|4846366926752859320</stp>
        <tr r="S67" s="24"/>
      </tp>
      <tp t="e">
        <v>#N/A</v>
        <stp/>
        <stp>BDH|7146735953238706940</stp>
        <tr r="Q69" s="10"/>
        <tr r="Q39" s="4"/>
      </tp>
      <tp t="e">
        <v>#N/A</v>
        <stp/>
        <stp>BDH|1599206127093096604</stp>
        <tr r="Y19" s="25"/>
      </tp>
      <tp t="e">
        <v>#N/A</v>
        <stp/>
        <stp>BDH|9569544235353406823</stp>
        <tr r="U49" s="21"/>
      </tp>
      <tp t="e">
        <v>#N/A</v>
        <stp/>
        <stp>BDH|6885140896273991916</stp>
        <tr r="V37" s="6"/>
      </tp>
      <tp t="e">
        <v>#N/A</v>
        <stp/>
        <stp>BDH|2107949307019057608</stp>
        <tr r="T8" s="27"/>
      </tp>
      <tp t="e">
        <v>#N/A</v>
        <stp/>
        <stp>BDH|8164353763851114848</stp>
        <tr r="Q158" s="18"/>
      </tp>
      <tp t="e">
        <v>#N/A</v>
        <stp/>
        <stp>BDH|4337838688726319699</stp>
        <tr r="W91" s="18"/>
      </tp>
      <tp t="e">
        <v>#N/A</v>
        <stp/>
        <stp>BDH|2230303495219217574</stp>
        <tr r="V35" s="26"/>
        <tr r="S14" s="9"/>
      </tp>
      <tp t="e">
        <v>#N/A</v>
        <stp/>
        <stp>BDH|2280840839829838454</stp>
        <tr r="C9" s="11"/>
      </tp>
      <tp t="e">
        <v>#N/A</v>
        <stp/>
        <stp>BDH|7642727281585256954</stp>
        <tr r="L88" s="12"/>
      </tp>
      <tp t="e">
        <v>#N/A</v>
        <stp/>
        <stp>BDH|2406840537714654934</stp>
        <tr r="O19" s="12"/>
      </tp>
      <tp t="e">
        <v>#N/A</v>
        <stp/>
        <stp>BDH|2585720101011123053</stp>
        <tr r="I52" s="34"/>
      </tp>
      <tp t="e">
        <v>#N/A</v>
        <stp/>
        <stp>BDH|5461701226576229229</stp>
        <tr r="Q11" s="7"/>
      </tp>
      <tp t="e">
        <v>#N/A</v>
        <stp/>
        <stp>BDH|5171366820856052655</stp>
        <tr r="N15" s="22"/>
      </tp>
      <tp t="e">
        <v>#N/A</v>
        <stp/>
        <stp>BDH|5280840010010207860</stp>
        <tr r="R38" s="6"/>
      </tp>
      <tp t="e">
        <v>#N/A</v>
        <stp/>
        <stp>BDH|9321977156836371732</stp>
        <tr r="G6" s="6"/>
      </tp>
      <tp t="e">
        <v>#N/A</v>
        <stp/>
        <stp>BDH|5103099359594665052</stp>
        <tr r="P157" s="18"/>
      </tp>
      <tp t="e">
        <v>#N/A</v>
        <stp/>
        <stp>BDH|6831788862141290228</stp>
        <tr r="F42" s="24"/>
      </tp>
      <tp t="e">
        <v>#N/A</v>
        <stp/>
        <stp>BDH|5439369762205231100</stp>
        <tr r="F150" s="18"/>
      </tp>
      <tp t="e">
        <v>#N/A</v>
        <stp/>
        <stp>BDH|1376350145655339729</stp>
        <tr r="T11" s="9"/>
      </tp>
      <tp t="e">
        <v>#N/A</v>
        <stp/>
        <stp>BDH|9463657730768295015</stp>
        <tr r="E10" s="11"/>
      </tp>
      <tp t="e">
        <v>#N/A</v>
        <stp/>
        <stp>BDH|4294431749745837526</stp>
        <tr r="S102" s="18"/>
      </tp>
      <tp t="e">
        <v>#N/A</v>
        <stp/>
        <stp>BDH|6891325138741704371</stp>
        <tr r="C21" s="6"/>
      </tp>
      <tp t="e">
        <v>#N/A</v>
        <stp/>
        <stp>BDH|8904690683112432058</stp>
        <tr r="M137" s="18"/>
      </tp>
      <tp t="e">
        <v>#N/A</v>
        <stp/>
        <stp>BDH|5058904684822766215</stp>
        <tr r="L15" s="26"/>
      </tp>
      <tp t="e">
        <v>#N/A</v>
        <stp/>
        <stp>BDH|7468752759013209288</stp>
        <tr r="Q42" s="21"/>
      </tp>
      <tp t="e">
        <v>#N/A</v>
        <stp/>
        <stp>BDH|3687752603661784158</stp>
        <tr r="G65" s="18"/>
      </tp>
      <tp t="e">
        <v>#N/A</v>
        <stp/>
        <stp>BDH|3596434205476745562</stp>
        <tr r="V61" s="24"/>
      </tp>
      <tp t="e">
        <v>#N/A</v>
        <stp/>
        <stp>BDH|9892100020258375693</stp>
        <tr r="D110" s="18"/>
      </tp>
      <tp t="e">
        <v>#N/A</v>
        <stp/>
        <stp>BDH|6851998646708508705</stp>
        <tr r="U138" s="18"/>
      </tp>
      <tp t="e">
        <v>#N/A</v>
        <stp/>
        <stp>BDH|3345560667900127411</stp>
        <tr r="E17" s="12"/>
      </tp>
      <tp t="e">
        <v>#N/A</v>
        <stp/>
        <stp>BDH|8984983725602501533</stp>
        <tr r="Q7" s="34"/>
      </tp>
      <tp t="e">
        <v>#N/A</v>
        <stp/>
        <stp>BDH|4233952004729712069</stp>
        <tr r="AA41" s="12"/>
      </tp>
      <tp t="e">
        <v>#N/A</v>
        <stp/>
        <stp>BDH|9481975452680715144</stp>
        <tr r="C11" s="9"/>
      </tp>
      <tp t="e">
        <v>#N/A</v>
        <stp/>
        <stp>BDH|2351872130724644915</stp>
        <tr r="W40" s="12"/>
      </tp>
      <tp t="e">
        <v>#N/A</v>
        <stp/>
        <stp>BDH|3623515100525001743</stp>
        <tr r="K61" s="17"/>
      </tp>
      <tp t="e">
        <v>#N/A</v>
        <stp/>
        <stp>BDH|1629396518102313575</stp>
        <tr r="C72" s="18"/>
      </tp>
      <tp t="e">
        <v>#N/A</v>
        <stp/>
        <stp>BDH|6868434178749442841</stp>
        <tr r="W26" s="29"/>
      </tp>
      <tp t="e">
        <v>#N/A</v>
        <stp/>
        <stp>BDH|3805713814319918872</stp>
        <tr r="J105" s="18"/>
      </tp>
      <tp t="e">
        <v>#N/A</v>
        <stp/>
        <stp>BDH|4230763065543712257</stp>
        <tr r="S44" s="24"/>
      </tp>
      <tp t="e">
        <v>#N/A</v>
        <stp/>
        <stp>BDH|5146696404440727787</stp>
        <tr r="P41" s="6"/>
        <tr r="P18" s="5"/>
      </tp>
      <tp t="e">
        <v>#N/A</v>
        <stp/>
        <stp>BDH|7126494816387457193</stp>
        <tr r="J10" s="10"/>
      </tp>
      <tp t="e">
        <v>#N/A</v>
        <stp/>
        <stp>BDH|9173967736241521673</stp>
        <tr r="W75" s="17"/>
      </tp>
      <tp t="e">
        <v>#N/A</v>
        <stp/>
        <stp>BDH|3546749609069395987</stp>
        <tr r="S16" s="20"/>
      </tp>
      <tp t="e">
        <v>#N/A</v>
        <stp/>
        <stp>BDH|1428478764800682729</stp>
        <tr r="G7" s="14"/>
      </tp>
      <tp t="e">
        <v>#N/A</v>
        <stp/>
        <stp>BDH|5355616403524078322</stp>
        <tr r="Z31" s="24"/>
      </tp>
      <tp t="e">
        <v>#N/A</v>
        <stp/>
        <stp>BDH|4644785729326757335</stp>
        <tr r="T38" s="6"/>
      </tp>
      <tp t="e">
        <v>#N/A</v>
        <stp/>
        <stp>BDH|7250205352442335605</stp>
        <tr r="H16" s="23"/>
      </tp>
      <tp t="e">
        <v>#N/A</v>
        <stp/>
        <stp>BDH|9275849216315474178</stp>
        <tr r="T74" s="12"/>
      </tp>
      <tp t="e">
        <v>#N/A</v>
        <stp/>
        <stp>BDH|8819619448598569679</stp>
        <tr r="H24" s="29"/>
      </tp>
      <tp t="e">
        <v>#N/A</v>
        <stp/>
        <stp>BDH|5058171191309243071</stp>
        <tr r="R53" s="18"/>
      </tp>
      <tp t="e">
        <v>#N/A</v>
        <stp/>
        <stp>BDH|7450133697039658256</stp>
        <tr r="D53" s="18"/>
      </tp>
      <tp t="e">
        <v>#N/A</v>
        <stp/>
        <stp>BDH|1620612613603118162</stp>
        <tr r="L83" s="18"/>
      </tp>
      <tp t="e">
        <v>#N/A</v>
        <stp/>
        <stp>BDH|9691143653591229809</stp>
        <tr r="M133" s="18"/>
      </tp>
      <tp t="e">
        <v>#N/A</v>
        <stp/>
        <stp>BDH|6188339843131233407</stp>
        <tr r="J26" s="24"/>
      </tp>
      <tp t="e">
        <v>#N/A</v>
        <stp/>
        <stp>BDH|6716445818471923616</stp>
        <tr r="P108" s="18"/>
      </tp>
      <tp t="e">
        <v>#N/A</v>
        <stp/>
        <stp>BDH|6037751116793219723</stp>
        <tr r="X27" s="25"/>
        <tr r="V20" s="11"/>
      </tp>
      <tp t="e">
        <v>#N/A</v>
        <stp/>
        <stp>BDH|7600383464456007090</stp>
        <tr r="Q73" s="18"/>
      </tp>
      <tp t="e">
        <v>#N/A</v>
        <stp/>
        <stp>BDH|1036157301264104061</stp>
        <tr r="V43" s="12"/>
      </tp>
      <tp t="e">
        <v>#N/A</v>
        <stp/>
        <stp>BDH|6008036263115751145</stp>
        <tr r="S44" s="34"/>
      </tp>
      <tp t="e">
        <v>#N/A</v>
        <stp/>
        <stp>BDH|5637745833183740655</stp>
        <tr r="Y59" s="24"/>
      </tp>
      <tp t="e">
        <v>#N/A</v>
        <stp/>
        <stp>BDH|8430249859988842321</stp>
        <tr r="R64" s="21"/>
        <tr r="P23" s="7"/>
      </tp>
      <tp t="e">
        <v>#N/A</v>
        <stp/>
        <stp>BDH|8558100451470236854</stp>
        <tr r="N62" s="12"/>
      </tp>
      <tp t="e">
        <v>#N/A</v>
        <stp/>
        <stp>BDH|2190032186577218959</stp>
        <tr r="H17" s="18"/>
      </tp>
      <tp t="e">
        <v>#N/A</v>
        <stp/>
        <stp>BDH|7511656874391478335</stp>
        <tr r="K22" s="24"/>
      </tp>
      <tp t="e">
        <v>#N/A</v>
        <stp/>
        <stp>BDH|7654936444118419665</stp>
        <tr r="S45" s="21"/>
      </tp>
      <tp t="e">
        <v>#N/A</v>
        <stp/>
        <stp>BDH|3691263142429325825</stp>
        <tr r="W26" s="13"/>
      </tp>
      <tp t="e">
        <v>#N/A</v>
        <stp/>
        <stp>BDH|8019389979751102936</stp>
        <tr r="U45" s="17"/>
      </tp>
      <tp t="e">
        <v>#N/A</v>
        <stp/>
        <stp>BDH|6569025843917630110</stp>
        <tr r="K14" s="10"/>
      </tp>
      <tp t="e">
        <v>#N/A</v>
        <stp/>
        <stp>BDH|2092496106021502396</stp>
        <tr r="M10" s="11"/>
      </tp>
      <tp t="e">
        <v>#N/A</v>
        <stp/>
        <stp>BDH|1221099281779849411</stp>
        <tr r="T12" s="14"/>
      </tp>
      <tp t="e">
        <v>#N/A</v>
        <stp/>
        <stp>BDH|3732509246794516275</stp>
        <tr r="U29" s="4"/>
      </tp>
      <tp t="e">
        <v>#N/A</v>
        <stp/>
        <stp>BDH|5488725332847684214</stp>
        <tr r="P38" s="24"/>
      </tp>
      <tp t="e">
        <v>#N/A</v>
        <stp/>
        <stp>BDH|6856961281821433287</stp>
        <tr r="R149" s="18"/>
      </tp>
      <tp t="e">
        <v>#N/A</v>
        <stp/>
        <stp>BDH|7071528040274833696</stp>
        <tr r="N48" s="13"/>
      </tp>
      <tp t="e">
        <v>#N/A</v>
        <stp/>
        <stp>BDH|7304652626015588262</stp>
        <tr r="W31" s="25"/>
        <tr r="W13" s="27"/>
      </tp>
      <tp t="e">
        <v>#N/A</v>
        <stp/>
        <stp>BDH|2342735848265905028</stp>
        <tr r="T38" s="24"/>
      </tp>
      <tp t="e">
        <v>#N/A</v>
        <stp/>
        <stp>BDH|1974315510444345388</stp>
        <tr r="U21" s="24"/>
      </tp>
      <tp t="e">
        <v>#N/A</v>
        <stp/>
        <stp>BDH|5947533322812204495</stp>
        <tr r="D46" s="6"/>
        <tr r="D19" s="5"/>
      </tp>
      <tp t="e">
        <v>#N/A</v>
        <stp/>
        <stp>BDH|7602043340051895690</stp>
        <tr r="X9" s="6"/>
      </tp>
      <tp t="e">
        <v>#N/A</v>
        <stp/>
        <stp>BDH|1582129991548170549</stp>
        <tr r="O27" s="25"/>
        <tr r="M20" s="11"/>
      </tp>
      <tp t="e">
        <v>#N/A</v>
        <stp/>
        <stp>BDH|1244478264362730551</stp>
        <tr r="R85" s="12"/>
      </tp>
      <tp t="e">
        <v>#N/A</v>
        <stp/>
        <stp>BDH|8794811606504793049</stp>
        <tr r="T16" s="10"/>
      </tp>
      <tp t="e">
        <v>#N/A</v>
        <stp/>
        <stp>BDH|3531670546074598127</stp>
        <tr r="S70" s="10"/>
      </tp>
      <tp t="e">
        <v>#N/A</v>
        <stp/>
        <stp>BDH|6066101707867530410</stp>
        <tr r="W24" s="13"/>
      </tp>
      <tp t="e">
        <v>#N/A</v>
        <stp/>
        <stp>BDH|6180485499039210610</stp>
        <tr r="P57" s="17"/>
      </tp>
      <tp t="e">
        <v>#N/A</v>
        <stp/>
        <stp>BDH|3676729813652677323</stp>
        <tr r="L54" s="13"/>
      </tp>
      <tp t="e">
        <v>#N/A</v>
        <stp/>
        <stp>BDH|2614428134617521662</stp>
        <tr r="F43" s="4"/>
      </tp>
      <tp t="e">
        <v>#N/A</v>
        <stp/>
        <stp>BDH|5687381411370566393</stp>
        <tr r="C15" s="22"/>
      </tp>
      <tp t="e">
        <v>#N/A</v>
        <stp/>
        <stp>BDH|1082048410144289056</stp>
        <tr r="Q49" s="4"/>
      </tp>
      <tp t="e">
        <v>#N/A</v>
        <stp/>
        <stp>BDH|6814073331862855351</stp>
        <tr r="Y43" s="25"/>
        <tr r="Y7" s="13"/>
        <tr r="Y22" s="13"/>
        <tr r="W17" s="11"/>
        <tr r="Y7" s="3"/>
      </tp>
      <tp t="e">
        <v>#N/A</v>
        <stp/>
        <stp>BDH|5630608036160336407</stp>
        <tr r="H32" s="21"/>
      </tp>
      <tp t="e">
        <v>#N/A</v>
        <stp/>
        <stp>BDH|6912188427165520404</stp>
        <tr r="T52" s="34"/>
      </tp>
      <tp t="e">
        <v>#N/A</v>
        <stp/>
        <stp>BDH|1439301150695103655</stp>
        <tr r="M8" s="28"/>
      </tp>
      <tp t="e">
        <v>#N/A</v>
        <stp/>
        <stp>BDH|6475377530940118229</stp>
        <tr r="U18" s="11"/>
      </tp>
      <tp t="e">
        <v>#N/A</v>
        <stp/>
        <stp>BDH|4539856235319271270</stp>
        <tr r="E38" s="24"/>
      </tp>
      <tp t="e">
        <v>#N/A</v>
        <stp/>
        <stp>BDH|8224872515522455740</stp>
        <tr r="T49" s="34"/>
      </tp>
      <tp t="e">
        <v>#N/A</v>
        <stp/>
        <stp>BDH|4645153452655618170</stp>
        <tr r="X37" s="13"/>
        <tr r="V30" s="10"/>
      </tp>
      <tp t="e">
        <v>#N/A</v>
        <stp/>
        <stp>BDH|1331379222237409328</stp>
        <tr r="M26" s="17"/>
      </tp>
      <tp t="e">
        <v>#N/A</v>
        <stp/>
        <stp>BDH|3693737347704596073</stp>
        <tr r="O37" s="13"/>
        <tr r="M30" s="10"/>
      </tp>
      <tp t="e">
        <v>#N/A</v>
        <stp/>
        <stp>BDH|7479762905071217557</stp>
        <tr r="L143" s="18"/>
      </tp>
      <tp t="e">
        <v>#N/A</v>
        <stp/>
        <stp>BDH|5559671041901392207</stp>
        <tr r="U24" s="25"/>
      </tp>
      <tp t="e">
        <v>#N/A</v>
        <stp/>
        <stp>BDH|8645962137782323441</stp>
        <tr r="R12" s="12"/>
      </tp>
      <tp t="e">
        <v>#N/A</v>
        <stp/>
        <stp>BDH|2765285462131475390</stp>
        <tr r="V84" s="12"/>
      </tp>
      <tp t="e">
        <v>#N/A</v>
        <stp/>
        <stp>BDH|4191136111504575469</stp>
        <tr r="J133" s="18"/>
      </tp>
      <tp t="e">
        <v>#N/A</v>
        <stp/>
        <stp>BDH|9216937966366131462</stp>
        <tr r="H10" s="22"/>
      </tp>
      <tp t="e">
        <v>#N/A</v>
        <stp/>
        <stp>BDH|7609025266312771755</stp>
        <tr r="D8" s="8"/>
      </tp>
      <tp t="e">
        <v>#N/A</v>
        <stp/>
        <stp>BDH|5465863535543070970</stp>
        <tr r="Z20" s="27"/>
      </tp>
      <tp t="e">
        <v>#N/A</v>
        <stp/>
        <stp>BDH|4406103047041072433</stp>
        <tr r="X47" s="18"/>
      </tp>
      <tp t="e">
        <v>#N/A</v>
        <stp/>
        <stp>BDH|4116005596980788902</stp>
        <tr r="S20" s="18"/>
      </tp>
      <tp t="e">
        <v>#N/A</v>
        <stp/>
        <stp>BDH|8629962640005920495</stp>
        <tr r="D8" s="21"/>
      </tp>
      <tp t="e">
        <v>#N/A</v>
        <stp/>
        <stp>BDH|6903862989914452629</stp>
        <tr r="R43" s="22"/>
      </tp>
      <tp t="e">
        <v>#N/A</v>
        <stp/>
        <stp>BDH|8767591233198447295</stp>
        <tr r="Q58" s="17"/>
      </tp>
      <tp t="e">
        <v>#N/A</v>
        <stp/>
        <stp>BDH|9641137525539653765</stp>
        <tr r="I13" s="26"/>
      </tp>
      <tp t="e">
        <v>#N/A</v>
        <stp/>
        <stp>BDH|4570466823552068404</stp>
        <tr r="Q13" s="34"/>
      </tp>
      <tp t="e">
        <v>#N/A</v>
        <stp/>
        <stp>BDH|3314394789005754946</stp>
        <tr r="N28" s="22"/>
      </tp>
      <tp t="e">
        <v>#N/A</v>
        <stp/>
        <stp>BDH|1978006450142138285</stp>
        <tr r="Z32" s="13"/>
        <tr r="X25" s="10"/>
      </tp>
      <tp t="e">
        <v>#N/A</v>
        <stp/>
        <stp>BDH|3623602553470371465</stp>
        <tr r="P32" s="13"/>
        <tr r="N25" s="10"/>
      </tp>
      <tp t="e">
        <v>#N/A</v>
        <stp/>
        <stp>BDH|8578550187067592628</stp>
        <tr r="Z20" s="29"/>
      </tp>
      <tp t="e">
        <v>#N/A</v>
        <stp/>
        <stp>BDH|2559211136144083324</stp>
        <tr r="S63" s="24"/>
      </tp>
      <tp t="e">
        <v>#N/A</v>
        <stp/>
        <stp>BDH|2973911459018499256</stp>
        <tr r="I41" s="29"/>
        <tr r="I18" s="29"/>
      </tp>
      <tp t="e">
        <v>#N/A</v>
        <stp/>
        <stp>BDH|4814616099077497846</stp>
        <tr r="X53" s="17"/>
      </tp>
      <tp t="e">
        <v>#N/A</v>
        <stp/>
        <stp>BDH|2102504355810027646</stp>
        <tr r="Y26" s="7"/>
      </tp>
      <tp t="e">
        <v>#N/A</v>
        <stp/>
        <stp>BDH|5557681208326652139</stp>
        <tr r="J35" s="34"/>
      </tp>
      <tp t="e">
        <v>#N/A</v>
        <stp/>
        <stp>BDH|4460128106531870087</stp>
        <tr r="G20" s="17"/>
      </tp>
      <tp t="e">
        <v>#N/A</v>
        <stp/>
        <stp>BDH|4253479513612740714</stp>
        <tr r="N26" s="22"/>
      </tp>
      <tp t="e">
        <v>#N/A</v>
        <stp/>
        <stp>BDH|6213250544477696356</stp>
        <tr r="C22" s="9"/>
      </tp>
      <tp t="e">
        <v>#N/A</v>
        <stp/>
        <stp>BDH|5540216610487150559</stp>
        <tr r="W42" s="29"/>
        <tr r="W33" s="29"/>
        <tr r="U55" s="6"/>
        <tr r="U11" s="5"/>
        <tr r="V10" s="2"/>
      </tp>
      <tp t="e">
        <v>#N/A</v>
        <stp/>
        <stp>BDH|4836454773854956777</stp>
        <tr r="T15" s="11"/>
      </tp>
      <tp t="e">
        <v>#N/A</v>
        <stp/>
        <stp>BDH|5158248578553856750</stp>
        <tr r="N123" s="18"/>
      </tp>
      <tp t="e">
        <v>#N/A</v>
        <stp/>
        <stp>BDH|5267857980346495736</stp>
        <tr r="U54" s="18"/>
      </tp>
      <tp t="e">
        <v>#N/A</v>
        <stp/>
        <stp>BDH|6436000154956152113</stp>
        <tr r="S42" s="6"/>
      </tp>
      <tp t="e">
        <v>#N/A</v>
        <stp/>
        <stp>BDH|3487006060361242065</stp>
        <tr r="Z19" s="23"/>
        <tr r="X60" s="11"/>
      </tp>
      <tp t="e">
        <v>#N/A</v>
        <stp/>
        <stp>BDH|3722596670951689489</stp>
        <tr r="S22" s="12"/>
      </tp>
      <tp t="e">
        <v>#N/A</v>
        <stp/>
        <stp>BDH|1146133901901506562</stp>
        <tr r="U25" s="17"/>
      </tp>
      <tp t="e">
        <v>#N/A</v>
        <stp/>
        <stp>BDH|1888874214658246492</stp>
        <tr r="W6" s="16"/>
        <tr r="X6" s="11"/>
        <tr r="X10" s="4"/>
        <tr r="Z6" s="3"/>
      </tp>
      <tp t="e">
        <v>#N/A</v>
        <stp/>
        <stp>BDH|2141247131646128158</stp>
        <tr r="N18" s="26"/>
      </tp>
      <tp t="e">
        <v>#N/A</v>
        <stp/>
        <stp>BDH|9808509397610758184</stp>
        <tr r="M12" s="11"/>
      </tp>
      <tp t="e">
        <v>#N/A</v>
        <stp/>
        <stp>BDH|1976380280236517855</stp>
        <tr r="U8" s="18"/>
      </tp>
      <tp t="e">
        <v>#N/A</v>
        <stp/>
        <stp>BDH|1369333580768815692</stp>
        <tr r="W45" s="12"/>
      </tp>
      <tp t="e">
        <v>#N/A</v>
        <stp/>
        <stp>BDH|6535625307016028215</stp>
        <tr r="S13" s="13"/>
      </tp>
      <tp t="e">
        <v>#N/A</v>
        <stp/>
        <stp>BDH|8009484971819888605</stp>
        <tr r="O32" s="21"/>
      </tp>
      <tp t="e">
        <v>#N/A</v>
        <stp/>
        <stp>BDH|6559260661774728240</stp>
        <tr r="D22" s="18"/>
      </tp>
      <tp t="e">
        <v>#N/A</v>
        <stp/>
        <stp>BDH|9533000915739069512</stp>
        <tr r="I56" s="18"/>
      </tp>
      <tp t="e">
        <v>#N/A</v>
        <stp/>
        <stp>BDH|5916425747646557787</stp>
        <tr r="O9" s="13"/>
      </tp>
      <tp t="e">
        <v>#N/A</v>
        <stp/>
        <stp>BDH|4255040077101126616</stp>
        <tr r="K67" s="17"/>
      </tp>
      <tp t="e">
        <v>#N/A</v>
        <stp/>
        <stp>BDH|5488613731275732129</stp>
        <tr r="M34" s="22"/>
      </tp>
      <tp t="e">
        <v>#N/A</v>
        <stp/>
        <stp>BDH|5115315629912886207</stp>
        <tr r="Z93" s="12"/>
      </tp>
      <tp t="e">
        <v>#N/A</v>
        <stp/>
        <stp>BDH|1021309353924615741</stp>
        <tr r="Z38" s="29"/>
        <tr r="Z15" s="29"/>
      </tp>
      <tp t="e">
        <v>#N/A</v>
        <stp/>
        <stp>BDH|7457545517806297143</stp>
        <tr r="AA55" s="13"/>
      </tp>
      <tp t="e">
        <v>#N/A</v>
        <stp/>
        <stp>BDH|2716176547117132477</stp>
        <tr r="Q21" s="5"/>
      </tp>
      <tp t="e">
        <v>#N/A</v>
        <stp/>
        <stp>BDH|2812933783212056590</stp>
        <tr r="L71" s="24"/>
      </tp>
      <tp t="e">
        <v>#N/A</v>
        <stp/>
        <stp>BDH|3526967044948391250</stp>
        <tr r="X13" s="22"/>
      </tp>
      <tp t="e">
        <v>#N/A</v>
        <stp/>
        <stp>BDH|1874073887734077991</stp>
        <tr r="T42" s="34"/>
      </tp>
      <tp t="e">
        <v>#N/A</v>
        <stp/>
        <stp>BDH|4402173040191363411</stp>
        <tr r="Y22" s="11"/>
      </tp>
      <tp t="e">
        <v>#N/A</v>
        <stp/>
        <stp>BDH|3492717906319411969</stp>
        <tr r="O32" s="29"/>
        <tr r="M34" s="5"/>
      </tp>
      <tp t="e">
        <v>#N/A</v>
        <stp/>
        <stp>BDH|8190497308841040916</stp>
        <tr r="K36" s="17"/>
      </tp>
      <tp t="e">
        <v>#N/A</v>
        <stp/>
        <stp>BDH|6766627534477296028</stp>
        <tr r="L162" s="18"/>
      </tp>
      <tp t="e">
        <v>#N/A</v>
        <stp/>
        <stp>BDH|1487401169716534199</stp>
        <tr r="X51" s="34"/>
      </tp>
      <tp t="e">
        <v>#N/A</v>
        <stp/>
        <stp>BDH|3968794952512745744</stp>
        <tr r="K22" s="10"/>
      </tp>
      <tp t="e">
        <v>#N/A</v>
        <stp/>
        <stp>BDH|3624907422545152942</stp>
        <tr r="G171" s="18"/>
      </tp>
      <tp t="e">
        <v>#N/A</v>
        <stp/>
        <stp>BDH|6452434846720069207</stp>
        <tr r="C40" s="13"/>
      </tp>
      <tp t="e">
        <v>#N/A</v>
        <stp/>
        <stp>BDH|6934785975641220375</stp>
        <tr r="F22" s="22"/>
      </tp>
      <tp t="e">
        <v>#N/A</v>
        <stp/>
        <stp>BDH|6311319931710747252</stp>
        <tr r="Q51" s="13"/>
      </tp>
      <tp t="e">
        <v>#N/A</v>
        <stp/>
        <stp>BDH|3818718923715278790</stp>
        <tr r="H31" s="21"/>
      </tp>
      <tp t="e">
        <v>#N/A</v>
        <stp/>
        <stp>BDH|5682170307488563823</stp>
        <tr r="S19" s="28"/>
        <tr r="S16" s="17"/>
      </tp>
      <tp t="e">
        <v>#N/A</v>
        <stp/>
        <stp>BDH|9807920218087097230</stp>
        <tr r="Q8" s="4"/>
      </tp>
      <tp t="e">
        <v>#N/A</v>
        <stp/>
        <stp>BDH|4623358382949899282</stp>
        <tr r="F39" s="11"/>
        <tr r="F50" s="10"/>
      </tp>
      <tp t="e">
        <v>#N/A</v>
        <stp/>
        <stp>BDH|4476521944601490071</stp>
        <tr r="AA33" s="13"/>
        <tr r="Y26" s="10"/>
      </tp>
      <tp t="e">
        <v>#N/A</v>
        <stp/>
        <stp>BDH|5082585829057550150</stp>
        <tr r="R11" s="18"/>
      </tp>
      <tp t="e">
        <v>#N/A</v>
        <stp/>
        <stp>BDH|4974580348463918219</stp>
        <tr r="AA22" s="20"/>
      </tp>
      <tp t="e">
        <v>#N/A</v>
        <stp/>
        <stp>BDH|9372160001914621836</stp>
        <tr r="N67" s="10"/>
      </tp>
      <tp t="e">
        <v>#N/A</v>
        <stp/>
        <stp>BDH|7471099679376464216</stp>
        <tr r="K68" s="10"/>
        <tr r="K25" s="4"/>
      </tp>
      <tp t="e">
        <v>#N/A</v>
        <stp/>
        <stp>BDH|7562378435966632509</stp>
        <tr r="H91" s="12"/>
      </tp>
      <tp t="e">
        <v>#N/A</v>
        <stp/>
        <stp>BDH|7988433070949876938</stp>
        <tr r="T74" s="17"/>
      </tp>
      <tp t="e">
        <v>#N/A</v>
        <stp/>
        <stp>BDH|4717633279043974259</stp>
        <tr r="D130" s="18"/>
      </tp>
      <tp t="e">
        <v>#N/A</v>
        <stp/>
        <stp>BDH|1783085342105950455</stp>
        <tr r="K43" s="17"/>
      </tp>
      <tp t="e">
        <v>#N/A</v>
        <stp/>
        <stp>BDH|6176395068203487454</stp>
        <tr r="P74" s="12"/>
      </tp>
      <tp t="e">
        <v>#N/A</v>
        <stp/>
        <stp>BDH|6342804947477403918</stp>
        <tr r="AA23" s="30"/>
        <tr r="AA25" s="23"/>
      </tp>
      <tp t="e">
        <v>#N/A</v>
        <stp/>
        <stp>BDH|6183349857343597767</stp>
        <tr r="Z100" s="18"/>
      </tp>
      <tp t="e">
        <v>#N/A</v>
        <stp/>
        <stp>BDH|7154045857090371608</stp>
        <tr r="O50" s="13"/>
      </tp>
      <tp t="e">
        <v>#N/A</v>
        <stp/>
        <stp>BDH|9265581392920923103</stp>
        <tr r="AA47" s="13"/>
      </tp>
      <tp t="e">
        <v>#N/A</v>
        <stp/>
        <stp>BDH|3399213123185040201</stp>
        <tr r="D48" s="34"/>
      </tp>
      <tp t="e">
        <v>#N/A</v>
        <stp/>
        <stp>BDH|7519558983786338813</stp>
        <tr r="M35" s="17"/>
      </tp>
      <tp t="e">
        <v>#N/A</v>
        <stp/>
        <stp>BDH|3726274003874629142</stp>
        <tr r="Q60" s="21"/>
        <tr r="O55" s="11"/>
      </tp>
      <tp t="e">
        <v>#N/A</v>
        <stp/>
        <stp>BDH|2686330475397532546</stp>
        <tr r="D70" s="10"/>
      </tp>
      <tp t="e">
        <v>#N/A</v>
        <stp/>
        <stp>BDH|2804536137528305892</stp>
        <tr r="K66" s="17"/>
      </tp>
      <tp t="e">
        <v>#N/A</v>
        <stp/>
        <stp>BDH|9868996736784775361</stp>
        <tr r="R45" s="12"/>
      </tp>
      <tp t="e">
        <v>#N/A</v>
        <stp/>
        <stp>BDH|2151160850257205536</stp>
        <tr r="L73" s="12"/>
      </tp>
      <tp t="e">
        <v>#N/A</v>
        <stp/>
        <stp>BDH|4339537412774110053</stp>
        <tr r="F68" s="17"/>
      </tp>
      <tp t="e">
        <v>#N/A</v>
        <stp/>
        <stp>BDH|6960721347140972131</stp>
        <tr r="R8" s="6"/>
      </tp>
      <tp t="e">
        <v>#N/A</v>
        <stp/>
        <stp>BDH|8688861230091326658</stp>
        <tr r="D31" s="14"/>
      </tp>
      <tp t="e">
        <v>#N/A</v>
        <stp/>
        <stp>BDH|7108520643372444024</stp>
        <tr r="V55" s="24"/>
      </tp>
      <tp t="e">
        <v>#N/A</v>
        <stp/>
        <stp>BDH|5891714316004879319</stp>
        <tr r="E7" s="24"/>
      </tp>
      <tp t="e">
        <v>#N/A</v>
        <stp/>
        <stp>BDH|7463503465870473038</stp>
        <tr r="O38" s="24"/>
      </tp>
      <tp t="e">
        <v>#N/A</v>
        <stp/>
        <stp>BDH|7542473445987283434</stp>
        <tr r="N18" s="9"/>
      </tp>
      <tp t="e">
        <v>#N/A</v>
        <stp/>
        <stp>BDH|3155208608383995665</stp>
        <tr r="L57" s="6"/>
      </tp>
      <tp t="e">
        <v>#N/A</v>
        <stp/>
        <stp>BDH|5670104249604949003</stp>
        <tr r="G23" s="26"/>
      </tp>
      <tp t="e">
        <v>#N/A</v>
        <stp/>
        <stp>BDH|6721326340532225716</stp>
        <tr r="Y51" s="21"/>
      </tp>
      <tp t="e">
        <v>#N/A</v>
        <stp/>
        <stp>BDH|9536762986890152229</stp>
        <tr r="K12" s="25"/>
      </tp>
      <tp t="e">
        <v>#N/A</v>
        <stp/>
        <stp>BDH|7182151391763580863</stp>
        <tr r="U55" s="13"/>
      </tp>
      <tp t="e">
        <v>#N/A</v>
        <stp/>
        <stp>BDH|2368703812615236554</stp>
        <tr r="Y14" s="13"/>
      </tp>
      <tp t="e">
        <v>#N/A</v>
        <stp/>
        <stp>BDH|5758077158472859667</stp>
        <tr r="P78" s="24"/>
      </tp>
      <tp t="e">
        <v>#N/A</v>
        <stp/>
        <stp>BDH|3075510730158257957</stp>
        <tr r="C16" s="12"/>
      </tp>
      <tp t="e">
        <v>#N/A</v>
        <stp/>
        <stp>BDH|3105844522018662576</stp>
        <tr r="K23" s="29"/>
        <tr r="K37" s="29"/>
        <tr r="K14" s="29"/>
      </tp>
      <tp t="e">
        <v>#N/A</v>
        <stp/>
        <stp>BDH|7743137357565337262</stp>
        <tr r="U28" s="17"/>
      </tp>
      <tp t="e">
        <v>#N/A</v>
        <stp/>
        <stp>BDH|5071998919130313958</stp>
        <tr r="N8" s="28"/>
      </tp>
      <tp t="e">
        <v>#N/A</v>
        <stp/>
        <stp>BDH|8692698999331360233</stp>
        <tr r="I16" s="27"/>
        <tr r="I34" s="25"/>
      </tp>
      <tp t="e">
        <v>#N/A</v>
        <stp/>
        <stp>BDH|2230739397829058100</stp>
        <tr r="F67" s="13"/>
      </tp>
      <tp t="e">
        <v>#N/A</v>
        <stp/>
        <stp>BDH|3289313264904501645</stp>
        <tr r="M32" s="5"/>
      </tp>
      <tp t="e">
        <v>#N/A</v>
        <stp/>
        <stp>BDH|4240744025254421116</stp>
        <tr r="R14" s="10"/>
      </tp>
      <tp t="e">
        <v>#N/A</v>
        <stp/>
        <stp>BDH|1404299901825869221</stp>
        <tr r="C21" s="21"/>
      </tp>
      <tp t="e">
        <v>#N/A</v>
        <stp/>
        <stp>BDH|7790149165662207620</stp>
        <tr r="K100" s="12"/>
      </tp>
      <tp t="e">
        <v>#N/A</v>
        <stp/>
        <stp>BDH|4994736570338420887</stp>
        <tr r="W29" s="29"/>
        <tr r="W7" s="29"/>
      </tp>
      <tp t="e">
        <v>#N/A</v>
        <stp/>
        <stp>BDH|8201348030944317838</stp>
        <tr r="O73" s="12"/>
      </tp>
      <tp t="e">
        <v>#N/A</v>
        <stp/>
        <stp>BDH|7378559677562320341</stp>
        <tr r="M32" s="21"/>
      </tp>
      <tp t="e">
        <v>#N/A</v>
        <stp/>
        <stp>BDH|3555332697019199466</stp>
        <tr r="X104" s="18"/>
      </tp>
      <tp t="e">
        <v>#N/A</v>
        <stp/>
        <stp>BDH|3786582577707958270</stp>
        <tr r="I81" s="12"/>
      </tp>
      <tp t="e">
        <v>#N/A</v>
        <stp/>
        <stp>BDH|1564060405567692261</stp>
        <tr r="F10" s="27"/>
        <tr r="F29" s="25"/>
      </tp>
      <tp t="e">
        <v>#N/A</v>
        <stp/>
        <stp>BDH|4322446249690995010</stp>
        <tr r="C45" s="17"/>
      </tp>
      <tp t="e">
        <v>#N/A</v>
        <stp/>
        <stp>BDH|1468068560716734531</stp>
        <tr r="J38" s="6"/>
      </tp>
      <tp t="e">
        <v>#N/A</v>
        <stp/>
        <stp>BDH|1847802329458197761</stp>
        <tr r="Y43" s="11"/>
        <tr r="Y54" s="10"/>
        <tr r="Y14" s="7"/>
        <tr r="AA9" s="3"/>
      </tp>
      <tp t="e">
        <v>#N/A</v>
        <stp/>
        <stp>BDH|3932162122010830438</stp>
        <tr r="G13" s="7"/>
      </tp>
      <tp t="e">
        <v>#N/A</v>
        <stp/>
        <stp>BDH|2210442274662013749</stp>
        <tr r="E16" s="12"/>
      </tp>
      <tp t="e">
        <v>#N/A</v>
        <stp/>
        <stp>BDH|2484254611845085061</stp>
        <tr r="J34" s="12"/>
      </tp>
      <tp t="e">
        <v>#N/A</v>
        <stp/>
        <stp>BDH|3408071262881138067</stp>
        <tr r="C34" s="26"/>
      </tp>
      <tp t="e">
        <v>#N/A</v>
        <stp/>
        <stp>BDH|6835823488481003349</stp>
        <tr r="F59" s="17"/>
      </tp>
      <tp t="e">
        <v>#N/A</v>
        <stp/>
        <stp>BDH|3470330773856422561</stp>
        <tr r="P19" s="26"/>
      </tp>
      <tp t="e">
        <v>#N/A</v>
        <stp/>
        <stp>BDH|6427144378093630789</stp>
        <tr r="M31" s="14"/>
      </tp>
      <tp t="e">
        <v>#N/A</v>
        <stp/>
        <stp>BDH|6985135142513931474</stp>
        <tr r="N21" s="14"/>
      </tp>
      <tp t="e">
        <v>#N/A</v>
        <stp/>
        <stp>BDH|3172568064041016550</stp>
        <tr r="C47" s="22"/>
      </tp>
      <tp t="e">
        <v>#N/A</v>
        <stp/>
        <stp>BDH|2155119479299819971</stp>
        <tr r="K13" s="7"/>
      </tp>
      <tp t="e">
        <v>#N/A</v>
        <stp/>
        <stp>BDH|1090457907654320574</stp>
        <tr r="H129" s="18"/>
      </tp>
      <tp t="e">
        <v>#N/A</v>
        <stp/>
        <stp>BDH|7183439514564404255</stp>
        <tr r="H59" s="24"/>
      </tp>
      <tp t="e">
        <v>#N/A</v>
        <stp/>
        <stp>BDH|1771307017000457734</stp>
        <tr r="S27" s="6"/>
      </tp>
      <tp t="e">
        <v>#N/A</v>
        <stp/>
        <stp>BDH|4976147724157604480</stp>
        <tr r="S147" s="18"/>
      </tp>
      <tp t="e">
        <v>#N/A</v>
        <stp/>
        <stp>BDH|5613633024263729613</stp>
        <tr r="I97" s="18"/>
      </tp>
      <tp t="e">
        <v>#N/A</v>
        <stp/>
        <stp>BDH|5769055114443803396</stp>
        <tr r="W22" s="6"/>
      </tp>
      <tp t="e">
        <v>#N/A</v>
        <stp/>
        <stp>BDH|6458776053359029972</stp>
        <tr r="R45" s="34"/>
      </tp>
      <tp t="e">
        <v>#N/A</v>
        <stp/>
        <stp>BDH|2911304341600852176</stp>
        <tr r="L27" s="21"/>
      </tp>
      <tp t="e">
        <v>#N/A</v>
        <stp/>
        <stp>BDH|5410064671522279467</stp>
        <tr r="O13" s="30"/>
      </tp>
      <tp t="e">
        <v>#N/A</v>
        <stp/>
        <stp>BDH|4083797429271691417</stp>
        <tr r="X88" s="17"/>
      </tp>
      <tp t="e">
        <v>#N/A</v>
        <stp/>
        <stp>BDH|6964252079454102333</stp>
        <tr r="Y59" s="12"/>
      </tp>
      <tp t="e">
        <v>#N/A</v>
        <stp/>
        <stp>BDH|4091957757699420519</stp>
        <tr r="F33" s="5"/>
      </tp>
      <tp t="e">
        <v>#N/A</v>
        <stp/>
        <stp>BDH|2304109736964178032</stp>
        <tr r="T27" s="21"/>
      </tp>
      <tp t="e">
        <v>#N/A</v>
        <stp/>
        <stp>BDH|2812366519084557057</stp>
        <tr r="F26" s="18"/>
      </tp>
      <tp t="e">
        <v>#N/A</v>
        <stp/>
        <stp>BDH|7533617531187047124</stp>
        <tr r="D28" s="12"/>
      </tp>
      <tp t="e">
        <v>#N/A</v>
        <stp/>
        <stp>BDH|6233053915024322767</stp>
        <tr r="P44" s="24"/>
      </tp>
      <tp t="e">
        <v>#N/A</v>
        <stp/>
        <stp>BDH|2308754494399162145</stp>
        <tr r="E39" s="25"/>
      </tp>
      <tp t="e">
        <v>#N/A</v>
        <stp/>
        <stp>BDH|3586585096949585298</stp>
        <tr r="Y70" s="24"/>
      </tp>
      <tp t="e">
        <v>#N/A</v>
        <stp/>
        <stp>BDH|9558269794071900798</stp>
        <tr r="M8" s="25"/>
        <tr r="J10" s="5"/>
        <tr r="K9" s="2"/>
      </tp>
      <tp t="e">
        <v>#N/A</v>
        <stp/>
        <stp>BDH|4620464752780605135</stp>
        <tr r="P34" s="21"/>
      </tp>
      <tp t="e">
        <v>#N/A</v>
        <stp/>
        <stp>BDH|5337082027124830734</stp>
        <tr r="X17" s="24"/>
      </tp>
      <tp t="e">
        <v>#N/A</v>
        <stp/>
        <stp>BDH|5472305977356468300</stp>
        <tr r="P35" s="17"/>
      </tp>
      <tp t="e">
        <v>#N/A</v>
        <stp/>
        <stp>BDH|7030431301404215370</stp>
        <tr r="N138" s="18"/>
      </tp>
      <tp t="e">
        <v>#N/A</v>
        <stp/>
        <stp>BDH|6939794017005126112</stp>
        <tr r="C12" s="22"/>
      </tp>
      <tp t="e">
        <v>#N/A</v>
        <stp/>
        <stp>BDH|9470992140307907730</stp>
        <tr r="X10" s="24"/>
      </tp>
      <tp t="e">
        <v>#N/A</v>
        <stp/>
        <stp>BDH|7433002690769023332</stp>
        <tr r="E92" s="18"/>
      </tp>
      <tp t="e">
        <v>#N/A</v>
        <stp/>
        <stp>BDH|4136725714885916399</stp>
        <tr r="N103" s="18"/>
      </tp>
      <tp t="e">
        <v>#N/A</v>
        <stp/>
        <stp>BDH|7459696793279866511</stp>
        <tr r="W55" s="21"/>
      </tp>
      <tp t="e">
        <v>#N/A</v>
        <stp/>
        <stp>BDH|6353286974783968414</stp>
        <tr r="M170" s="18"/>
      </tp>
      <tp t="e">
        <v>#N/A</v>
        <stp/>
        <stp>BDH|8518268580760649623</stp>
        <tr r="S41" s="22"/>
      </tp>
      <tp t="e">
        <v>#N/A</v>
        <stp/>
        <stp>BDH|9149952341427780752</stp>
        <tr r="R10" s="14"/>
      </tp>
      <tp t="e">
        <v>#N/A</v>
        <stp/>
        <stp>BDH|2035808896196760167</stp>
        <tr r="S54" s="18"/>
      </tp>
      <tp t="e">
        <v>#N/A</v>
        <stp/>
        <stp>BDH|8160708513963797925</stp>
        <tr r="S44" s="6"/>
      </tp>
      <tp t="e">
        <v>#N/A</v>
        <stp/>
        <stp>BDH|6277274660834577277</stp>
        <tr r="E20" s="10"/>
      </tp>
      <tp t="e">
        <v>#N/A</v>
        <stp/>
        <stp>BDH|5718268473791204575</stp>
        <tr r="Z16" s="26"/>
      </tp>
      <tp t="e">
        <v>#N/A</v>
        <stp/>
        <stp>BDH|6818470910246816109</stp>
        <tr r="C49" s="21"/>
      </tp>
      <tp t="e">
        <v>#N/A</v>
        <stp/>
        <stp>BDH|1192121537342316500</stp>
        <tr r="W21" s="3"/>
      </tp>
      <tp t="e">
        <v>#N/A</v>
        <stp/>
        <stp>BDH|7240361147552527618</stp>
        <tr r="Z111" s="18"/>
      </tp>
      <tp t="e">
        <v>#N/A</v>
        <stp/>
        <stp>BDH|9497703191317642440</stp>
        <tr r="K170" s="18"/>
      </tp>
      <tp t="e">
        <v>#N/A</v>
        <stp/>
        <stp>BDH|7840499056512043001</stp>
        <tr r="Q24" s="25"/>
      </tp>
      <tp t="e">
        <v>#N/A</v>
        <stp/>
        <stp>BDH|4231109801573153257</stp>
        <tr r="Q10" s="23"/>
      </tp>
      <tp t="e">
        <v>#N/A</v>
        <stp/>
        <stp>BDH|9717357162990221850</stp>
        <tr r="W119" s="18"/>
        <tr r="W14" s="20"/>
      </tp>
      <tp t="e">
        <v>#N/A</v>
        <stp/>
        <stp>BDH|4838380065884649142</stp>
        <tr r="I53" s="34"/>
      </tp>
      <tp t="e">
        <v>#N/A</v>
        <stp/>
        <stp>BDH|3315245463967282419</stp>
        <tr r="F11" s="21"/>
      </tp>
      <tp t="e">
        <v>#N/A</v>
        <stp/>
        <stp>BDH|6388652562704351604</stp>
        <tr r="W20" s="29"/>
      </tp>
      <tp t="e">
        <v>#N/A</v>
        <stp/>
        <stp>BDH|2692643405565108513</stp>
        <tr r="V74" s="12"/>
      </tp>
      <tp t="e">
        <v>#N/A</v>
        <stp/>
        <stp>BDH|2387671403534859485</stp>
        <tr r="G10" s="12"/>
      </tp>
      <tp t="e">
        <v>#N/A</v>
        <stp/>
        <stp>BDH|7983963889990890294</stp>
        <tr r="U68" s="13"/>
      </tp>
      <tp t="e">
        <v>#N/A</v>
        <stp/>
        <stp>BDH|5724531436550609739</stp>
        <tr r="N56" s="12"/>
      </tp>
      <tp t="e">
        <v>#N/A</v>
        <stp/>
        <stp>BDH|4100202971326080376</stp>
        <tr r="P39" s="12"/>
      </tp>
      <tp t="e">
        <v>#N/A</v>
        <stp/>
        <stp>BDH|5733121003656424658</stp>
        <tr r="C75" s="18"/>
      </tp>
      <tp t="e">
        <v>#N/A</v>
        <stp/>
        <stp>BDH|7698499351444082692</stp>
        <tr r="J169" s="18"/>
      </tp>
      <tp t="e">
        <v>#N/A</v>
        <stp/>
        <stp>BDH|3854383649198995870</stp>
        <tr r="T47" s="24"/>
      </tp>
      <tp t="e">
        <v>#N/A</v>
        <stp/>
        <stp>BDH|2647584146761450683</stp>
        <tr r="Z50" s="18"/>
      </tp>
      <tp t="e">
        <v>#N/A</v>
        <stp/>
        <stp>BDH|5161554751201654074</stp>
        <tr r="J88" s="12"/>
      </tp>
      <tp t="e">
        <v>#N/A</v>
        <stp/>
        <stp>BDH|6617286775451876675</stp>
        <tr r="S77" s="18"/>
      </tp>
      <tp t="e">
        <v>#N/A</v>
        <stp/>
        <stp>BDH|4829651104414944242</stp>
        <tr r="D30" s="17"/>
      </tp>
      <tp t="e">
        <v>#N/A</v>
        <stp/>
        <stp>BDH|4501070071061686618</stp>
        <tr r="AA22" s="25"/>
      </tp>
      <tp t="e">
        <v>#N/A</v>
        <stp/>
        <stp>BDH|5425661537154078015</stp>
        <tr r="U7" s="24"/>
      </tp>
      <tp t="e">
        <v>#N/A</v>
        <stp/>
        <stp>BDH|8451402282264448461</stp>
        <tr r="S49" s="13"/>
      </tp>
      <tp t="e">
        <v>#N/A</v>
        <stp/>
        <stp>BDH|8735815189584888838</stp>
        <tr r="Y23" s="17"/>
      </tp>
      <tp t="e">
        <v>#N/A</v>
        <stp/>
        <stp>BDH|9225001735598233617</stp>
        <tr r="H61" s="18"/>
      </tp>
      <tp t="e">
        <v>#N/A</v>
        <stp/>
        <stp>BDH|2117393830367400183</stp>
        <tr r="R33" s="22"/>
      </tp>
      <tp t="e">
        <v>#N/A</v>
        <stp/>
        <stp>BDH|6375062690693663877</stp>
        <tr r="C64" s="18"/>
      </tp>
      <tp t="e">
        <v>#N/A</v>
        <stp/>
        <stp>BDH|2032443570500053505</stp>
        <tr r="X15" s="22"/>
      </tp>
      <tp t="e">
        <v>#N/A</v>
        <stp/>
        <stp>BDH|9660603144408031767</stp>
        <tr r="U54" s="12"/>
      </tp>
      <tp t="e">
        <v>#N/A</v>
        <stp/>
        <stp>BDH|3137856115377340967</stp>
        <tr r="L32" s="24"/>
      </tp>
      <tp t="e">
        <v>#N/A</v>
        <stp/>
        <stp>BDH|2917481268277841353</stp>
        <tr r="M50" s="4"/>
      </tp>
      <tp t="e">
        <v>#N/A</v>
        <stp/>
        <stp>BDH|7951334393128569183</stp>
        <tr r="S53" s="12"/>
      </tp>
      <tp t="e">
        <v>#N/A</v>
        <stp/>
        <stp>BDH|7910542104716815051</stp>
        <tr r="H26" s="21"/>
      </tp>
      <tp t="e">
        <v>#N/A</v>
        <stp/>
        <stp>BDH|1185101671826673522</stp>
        <tr r="S74" s="17"/>
      </tp>
      <tp t="e">
        <v>#N/A</v>
        <stp/>
        <stp>BDH|2714103510723155527</stp>
        <tr r="O94" s="18"/>
      </tp>
      <tp t="e">
        <v>#N/A</v>
        <stp/>
        <stp>BDH|2802581047607105020</stp>
        <tr r="F16" s="25"/>
      </tp>
      <tp t="e">
        <v>#N/A</v>
        <stp/>
        <stp>BDH|5016321413033241073</stp>
        <tr r="AA17" s="14"/>
      </tp>
      <tp t="e">
        <v>#N/A</v>
        <stp/>
        <stp>BDH|3569381475807401488</stp>
        <tr r="K10" s="12"/>
      </tp>
      <tp t="e">
        <v>#N/A</v>
        <stp/>
        <stp>BDH|4030371900623461075</stp>
        <tr r="J15" s="26"/>
      </tp>
      <tp t="e">
        <v>#N/A</v>
        <stp/>
        <stp>BDH|5263161339156061596</stp>
        <tr r="M127" s="18"/>
      </tp>
      <tp t="e">
        <v>#N/A</v>
        <stp/>
        <stp>BDH|7378074774324708036</stp>
        <tr r="Q15" s="5"/>
      </tp>
      <tp t="e">
        <v>#N/A</v>
        <stp/>
        <stp>BDH|9623657032669665133</stp>
        <tr r="W82" s="18"/>
      </tp>
      <tp t="e">
        <v>#N/A</v>
        <stp/>
        <stp>BDH|7023711932423069477</stp>
        <tr r="Q51" s="17"/>
      </tp>
      <tp t="e">
        <v>#N/A</v>
        <stp/>
        <stp>BDH|2296162672256086629</stp>
        <tr r="H64" s="24"/>
      </tp>
      <tp t="e">
        <v>#N/A</v>
        <stp/>
        <stp>BDH|8546267092796346168</stp>
        <tr r="Z52" s="13"/>
      </tp>
      <tp t="e">
        <v>#N/A</v>
        <stp/>
        <stp>BDH|4233436557044288505</stp>
        <tr r="E14" s="4"/>
      </tp>
      <tp t="e">
        <v>#N/A</v>
        <stp/>
        <stp>BDH|9643712064054490834</stp>
        <tr r="AA43" s="18"/>
      </tp>
      <tp t="e">
        <v>#N/A</v>
        <stp/>
        <stp>BDH|4926488344132236233</stp>
        <tr r="S12" s="20"/>
        <tr r="S117" s="18"/>
      </tp>
      <tp t="e">
        <v>#N/A</v>
        <stp/>
        <stp>BDH|1730569705831715178</stp>
        <tr r="H9" s="25"/>
        <tr r="H44" s="17"/>
      </tp>
      <tp t="e">
        <v>#N/A</v>
        <stp/>
        <stp>BDH|5185838582183385272</stp>
        <tr r="D62" s="18"/>
      </tp>
      <tp t="e">
        <v>#N/A</v>
        <stp/>
        <stp>BDH|7620637385809736434</stp>
        <tr r="D10" s="25"/>
        <tr r="D55" s="17"/>
      </tp>
      <tp t="e">
        <v>#N/A</v>
        <stp/>
        <stp>BDH|1694059607647131218</stp>
        <tr r="Q36" s="18"/>
      </tp>
      <tp t="e">
        <v>#N/A</v>
        <stp/>
        <stp>BDH|1021778057632646524</stp>
        <tr r="K80" s="12"/>
      </tp>
      <tp t="e">
        <v>#N/A</v>
        <stp/>
        <stp>BDH|6084075123653170310</stp>
        <tr r="I16" s="12"/>
      </tp>
      <tp t="e">
        <v>#N/A</v>
        <stp/>
        <stp>BDH|6859878480733901126</stp>
        <tr r="K17" s="21"/>
        <tr r="I23" s="2"/>
        <tr r="K23" s="3"/>
      </tp>
      <tp t="e">
        <v>#N/A</v>
        <stp/>
        <stp>BDH|7539770361540094273</stp>
        <tr r="K75" s="12"/>
      </tp>
      <tp t="e">
        <v>#N/A</v>
        <stp/>
        <stp>BDH|8193610674238022506</stp>
        <tr r="O32" s="18"/>
      </tp>
      <tp t="e">
        <v>#N/A</v>
        <stp/>
        <stp>BDH|3187460232340873093</stp>
        <tr r="U22" s="11"/>
      </tp>
      <tp t="e">
        <v>#N/A</v>
        <stp/>
        <stp>BDH|7029601744843350231</stp>
        <tr r="P81" s="12"/>
      </tp>
      <tp t="e">
        <v>#N/A</v>
        <stp/>
        <stp>BDH|5372173602818215803</stp>
        <tr r="C38" s="26"/>
      </tp>
      <tp t="e">
        <v>#N/A</v>
        <stp/>
        <stp>BDH|2474022459871291285</stp>
        <tr r="T34" s="26"/>
      </tp>
      <tp t="e">
        <v>#N/A</v>
        <stp/>
        <stp>BDH|6612516260181611046</stp>
        <tr r="N56" s="13"/>
      </tp>
      <tp t="e">
        <v>#N/A</v>
        <stp/>
        <stp>BDH|7536318524297283570</stp>
        <tr r="L32" s="29"/>
        <tr r="J34" s="5"/>
      </tp>
      <tp t="e">
        <v>#N/A</v>
        <stp/>
        <stp>BDH|4707482857615839457</stp>
        <tr r="O24" s="25"/>
      </tp>
      <tp t="e">
        <v>#N/A</v>
        <stp/>
        <stp>BDH|1020970371152546967</stp>
        <tr r="L31" s="5"/>
      </tp>
      <tp t="e">
        <v>#N/A</v>
        <stp/>
        <stp>BDH|9363169775569096250</stp>
        <tr r="J17" s="28"/>
        <tr r="J14" s="17"/>
      </tp>
      <tp t="e">
        <v>#N/A</v>
        <stp/>
        <stp>BDH|1515739120855536560</stp>
        <tr r="O8" s="12"/>
      </tp>
      <tp t="e">
        <v>#N/A</v>
        <stp/>
        <stp>BDH|9499077436057048909</stp>
        <tr r="Z11" s="13"/>
      </tp>
      <tp t="e">
        <v>#N/A</v>
        <stp/>
        <stp>BDH|7534922851366078936</stp>
        <tr r="Y18" s="13"/>
      </tp>
      <tp t="e">
        <v>#N/A</v>
        <stp/>
        <stp>BDH|8293406667029441749</stp>
        <tr r="J73" s="18"/>
      </tp>
      <tp t="e">
        <v>#N/A</v>
        <stp/>
        <stp>BDH|2957697830246317563</stp>
        <tr r="D91" s="12"/>
      </tp>
      <tp t="e">
        <v>#N/A</v>
        <stp/>
        <stp>BDH|9574918883965137937</stp>
        <tr r="E54" s="13"/>
      </tp>
      <tp t="e">
        <v>#N/A</v>
        <stp/>
        <stp>BDH|7036721870275126660</stp>
        <tr r="AA36" s="12"/>
      </tp>
      <tp t="e">
        <v>#N/A</v>
        <stp/>
        <stp>BDH|3441117278022900316</stp>
        <tr r="S157" s="18"/>
      </tp>
      <tp t="e">
        <v>#N/A</v>
        <stp/>
        <stp>BDH|4168784157914864638</stp>
        <tr r="L8" s="21"/>
      </tp>
      <tp t="e">
        <v>#N/A</v>
        <stp/>
        <stp>BDH|4748568487815267817</stp>
        <tr r="S134" s="18"/>
      </tp>
      <tp t="e">
        <v>#N/A</v>
        <stp/>
        <stp>BDH|7387903266869057502</stp>
        <tr r="J54" s="18"/>
      </tp>
      <tp t="e">
        <v>#N/A</v>
        <stp/>
        <stp>BDH|5484788777263864260</stp>
        <tr r="L24" s="21"/>
      </tp>
      <tp t="e">
        <v>#N/A</v>
        <stp/>
        <stp>BDH|1688031931727381122</stp>
        <tr r="I56" s="24"/>
      </tp>
      <tp t="e">
        <v>#N/A</v>
        <stp/>
        <stp>BDH|4338305805314112720</stp>
        <tr r="F23" s="21"/>
      </tp>
      <tp t="e">
        <v>#N/A</v>
        <stp/>
        <stp>BDH|5386677754895263775</stp>
        <tr r="C29" s="12"/>
      </tp>
      <tp t="e">
        <v>#N/A</v>
        <stp/>
        <stp>BDH|8213004490480172561</stp>
        <tr r="W46" s="21"/>
      </tp>
      <tp t="e">
        <v>#N/A</v>
        <stp/>
        <stp>BDH|9876107789574100053</stp>
        <tr r="R161" s="18"/>
      </tp>
      <tp t="e">
        <v>#N/A</v>
        <stp/>
        <stp>BDH|1903409169225697234</stp>
        <tr r="O12" s="22"/>
      </tp>
      <tp t="e">
        <v>#N/A</v>
        <stp/>
        <stp>BDH|5718753035702469765</stp>
        <tr r="R12" s="14"/>
      </tp>
      <tp t="e">
        <v>#N/A</v>
        <stp/>
        <stp>BDH|8418940834696044015</stp>
        <tr r="H8" s="26"/>
        <tr r="E10" s="9"/>
      </tp>
      <tp t="e">
        <v>#N/A</v>
        <stp/>
        <stp>BDH|1440618546417046065</stp>
        <tr r="W11" s="17"/>
      </tp>
      <tp t="e">
        <v>#N/A</v>
        <stp/>
        <stp>BDH|8343807067742993085</stp>
        <tr r="O13" s="10"/>
      </tp>
      <tp t="e">
        <v>#N/A</v>
        <stp/>
        <stp>BDH|7655702457385754439</stp>
        <tr r="P43" s="24"/>
      </tp>
      <tp t="e">
        <v>#N/A</v>
        <stp/>
        <stp>BDH|7437835885897166463</stp>
        <tr r="W10" s="8"/>
        <tr r="U53" s="6"/>
      </tp>
      <tp t="e">
        <v>#N/A</v>
        <stp/>
        <stp>BDH|6876448119333761470</stp>
        <tr r="AA29" s="24"/>
      </tp>
      <tp t="e">
        <v>#N/A</v>
        <stp/>
        <stp>BDH|4049860845615282940</stp>
        <tr r="I20" s="23"/>
      </tp>
      <tp t="e">
        <v>#N/A</v>
        <stp/>
        <stp>BDH|6987050622801993123</stp>
        <tr r="E30" s="14"/>
      </tp>
      <tp t="e">
        <v>#N/A</v>
        <stp/>
        <stp>BDH|7491111824428045842</stp>
        <tr r="P26" s="17"/>
      </tp>
      <tp t="e">
        <v>#N/A</v>
        <stp/>
        <stp>BDH|5330152094271360848</stp>
        <tr r="R61" s="13"/>
      </tp>
      <tp t="e">
        <v>#N/A</v>
        <stp/>
        <stp>BDH|3522321813942734764</stp>
        <tr r="V29" s="14"/>
      </tp>
      <tp t="e">
        <v>#N/A</v>
        <stp/>
        <stp>BDH|2553067344072563078</stp>
        <tr r="H23" s="26"/>
      </tp>
      <tp t="e">
        <v>#N/A</v>
        <stp/>
        <stp>BDH|6681528674666282672</stp>
        <tr r="H15" s="21"/>
      </tp>
      <tp t="e">
        <v>#N/A</v>
        <stp/>
        <stp>BDH|3432599848837674169</stp>
        <tr r="X30" s="29"/>
        <tr r="X8" s="29"/>
      </tp>
      <tp t="e">
        <v>#N/A</v>
        <stp/>
        <stp>BDH|3755762269957875156</stp>
        <tr r="J47" s="6"/>
      </tp>
      <tp t="e">
        <v>#N/A</v>
        <stp/>
        <stp>BDH|9701624257277593920</stp>
        <tr r="I43" s="29"/>
      </tp>
      <tp t="e">
        <v>#N/A</v>
        <stp/>
        <stp>BDH|4017099044673840705</stp>
        <tr r="V27" s="25"/>
        <tr r="T20" s="11"/>
      </tp>
      <tp t="e">
        <v>#N/A</v>
        <stp/>
        <stp>BDH|2019755873496189026</stp>
        <tr r="Y36" s="4"/>
      </tp>
      <tp t="e">
        <v>#N/A</v>
        <stp/>
        <stp>BDH|6325105437216189603</stp>
        <tr r="E60" s="12"/>
      </tp>
      <tp t="e">
        <v>#N/A</v>
        <stp/>
        <stp>BDH|46961920763399131</stp>
        <tr r="S8" s="2"/>
      </tp>
      <tp t="e">
        <v>#N/A</v>
        <stp/>
        <stp>BDH|67804874532549434</stp>
        <tr r="G46" s="18"/>
      </tp>
      <tp t="e">
        <v>#N/A</v>
        <stp/>
        <stp>BDH|86378428210699897</stp>
        <tr r="O24" s="10"/>
      </tp>
      <tp t="e">
        <v>#N/A</v>
        <stp/>
        <stp>BDH|10917237794771703</stp>
        <tr r="P26" s="13"/>
      </tp>
      <tp t="e">
        <v>#N/A</v>
        <stp/>
        <stp>BDH|79079146859753476</stp>
        <tr r="V33" s="12"/>
      </tp>
      <tp t="e">
        <v>#N/A</v>
        <stp/>
        <stp>BDH|6834555977086921794</stp>
        <tr r="M35" s="4"/>
      </tp>
      <tp t="e">
        <v>#N/A</v>
        <stp/>
        <stp>BDH|4999828833269676344</stp>
        <tr r="L32" s="18"/>
      </tp>
      <tp t="e">
        <v>#N/A</v>
        <stp/>
        <stp>BDH|2410613869767127077</stp>
        <tr r="W25" s="3"/>
      </tp>
      <tp t="e">
        <v>#N/A</v>
        <stp/>
        <stp>BDH|8033463625772003994</stp>
        <tr r="V148" s="18"/>
      </tp>
      <tp t="e">
        <v>#N/A</v>
        <stp/>
        <stp>BDH|3864537226759736807</stp>
        <tr r="J21" s="30"/>
      </tp>
      <tp t="e">
        <v>#N/A</v>
        <stp/>
        <stp>BDH|7353286526360525220</stp>
        <tr r="K24" s="11"/>
        <tr r="K35" s="10"/>
      </tp>
      <tp t="e">
        <v>#N/A</v>
        <stp/>
        <stp>BDH|4326178473522890554</stp>
        <tr r="J44" s="11"/>
        <tr r="J55" s="10"/>
        <tr r="J15" s="7"/>
      </tp>
      <tp t="e">
        <v>#N/A</v>
        <stp/>
        <stp>BDH|1886730435841137151</stp>
        <tr r="L71" s="10"/>
      </tp>
      <tp t="e">
        <v>#N/A</v>
        <stp/>
        <stp>BDH|2822655725667611442</stp>
        <tr r="X15" s="24"/>
      </tp>
      <tp t="e">
        <v>#N/A</v>
        <stp/>
        <stp>BDH|2177755703463539387</stp>
        <tr r="D37" s="34"/>
      </tp>
      <tp t="e">
        <v>#N/A</v>
        <stp/>
        <stp>BDH|1963877642670356857</stp>
        <tr r="D31" s="17"/>
      </tp>
      <tp t="e">
        <v>#N/A</v>
        <stp/>
        <stp>BDH|6515253418319474963</stp>
        <tr r="O19" s="34"/>
      </tp>
      <tp t="e">
        <v>#N/A</v>
        <stp/>
        <stp>BDH|7665751854047539781</stp>
        <tr r="M46" s="34"/>
      </tp>
      <tp t="e">
        <v>#N/A</v>
        <stp/>
        <stp>BDH|7975727671162467042</stp>
        <tr r="Q63" s="12"/>
      </tp>
      <tp t="e">
        <v>#N/A</v>
        <stp/>
        <stp>BDH|2886237260391302228</stp>
        <tr r="N6" s="19"/>
        <tr r="N38" s="17"/>
        <tr r="N16" s="3"/>
      </tp>
      <tp t="e">
        <v>#N/A</v>
        <stp/>
        <stp>BDH|6321224563003977416</stp>
        <tr r="D91" s="17"/>
      </tp>
      <tp t="e">
        <v>#N/A</v>
        <stp/>
        <stp>BDH|6437670118701409553</stp>
        <tr r="K24" s="2"/>
      </tp>
      <tp t="e">
        <v>#N/A</v>
        <stp/>
        <stp>BDH|8156163851379528091</stp>
        <tr r="Y27" s="18"/>
      </tp>
      <tp t="e">
        <v>#N/A</v>
        <stp/>
        <stp>BDH|2669160548322166035</stp>
        <tr r="C31" s="21"/>
      </tp>
      <tp t="e">
        <v>#N/A</v>
        <stp/>
        <stp>BDH|2245965768069390151</stp>
        <tr r="V22" s="7"/>
      </tp>
      <tp t="e">
        <v>#N/A</v>
        <stp/>
        <stp>BDH|3486450659751155633</stp>
        <tr r="J8" s="26"/>
        <tr r="G10" s="9"/>
      </tp>
      <tp t="e">
        <v>#N/A</v>
        <stp/>
        <stp>BDH|6525237500686821748</stp>
        <tr r="P14" s="22"/>
      </tp>
      <tp t="e">
        <v>#N/A</v>
        <stp/>
        <stp>BDH|7538398857070218432</stp>
        <tr r="R68" s="24"/>
      </tp>
      <tp t="e">
        <v>#N/A</v>
        <stp/>
        <stp>BDH|5748132369327743009</stp>
        <tr r="U27" s="11"/>
        <tr r="U38" s="10"/>
      </tp>
      <tp t="e">
        <v>#N/A</v>
        <stp/>
        <stp>BDH|7689051604620512285</stp>
        <tr r="P57" s="24"/>
      </tp>
      <tp t="e">
        <v>#N/A</v>
        <stp/>
        <stp>BDH|3360650353960738586</stp>
        <tr r="J52" s="34"/>
      </tp>
      <tp t="e">
        <v>#N/A</v>
        <stp/>
        <stp>BDH|2746592655384496356</stp>
        <tr r="E67" s="18"/>
      </tp>
      <tp t="e">
        <v>#N/A</v>
        <stp/>
        <stp>BDH|7362868589055653706</stp>
        <tr r="AA76" s="12"/>
      </tp>
      <tp t="e">
        <v>#N/A</v>
        <stp/>
        <stp>BDH|8633281956943678940</stp>
        <tr r="K7" s="9"/>
        <tr r="N14" s="3"/>
        <tr r="K7" s="5"/>
        <tr r="L7" s="2"/>
      </tp>
      <tp t="e">
        <v>#N/A</v>
        <stp/>
        <stp>BDH|1370528717270810040</stp>
        <tr r="J137" s="18"/>
      </tp>
      <tp t="e">
        <v>#N/A</v>
        <stp/>
        <stp>BDH|2839792309685021529</stp>
        <tr r="Y31" s="14"/>
      </tp>
      <tp t="e">
        <v>#N/A</v>
        <stp/>
        <stp>BDH|2370952528689171558</stp>
        <tr r="T61" s="17"/>
      </tp>
      <tp t="e">
        <v>#N/A</v>
        <stp/>
        <stp>BDH|7873229112536324716</stp>
        <tr r="AA156" s="18"/>
      </tp>
      <tp t="e">
        <v>#N/A</v>
        <stp/>
        <stp>BDH|2393800509657791879</stp>
        <tr r="I33" s="18"/>
      </tp>
      <tp t="e">
        <v>#N/A</v>
        <stp/>
        <stp>BDH|8471974717165882065</stp>
        <tr r="Q56" s="12"/>
      </tp>
      <tp t="e">
        <v>#N/A</v>
        <stp/>
        <stp>BDH|2855564945095799367</stp>
        <tr r="F29" s="14"/>
      </tp>
      <tp t="e">
        <v>#N/A</v>
        <stp/>
        <stp>BDH|2867073450915664734</stp>
        <tr r="R20" s="27"/>
      </tp>
      <tp t="e">
        <v>#N/A</v>
        <stp/>
        <stp>BDH|7789655323696334099</stp>
        <tr r="N68" s="10"/>
        <tr r="N25" s="4"/>
      </tp>
      <tp t="e">
        <v>#N/A</v>
        <stp/>
        <stp>BDH|2046572758180347772</stp>
        <tr r="F19" s="26"/>
      </tp>
      <tp t="e">
        <v>#N/A</v>
        <stp/>
        <stp>BDH|5893625940266686477</stp>
        <tr r="P48" s="6"/>
      </tp>
      <tp t="e">
        <v>#N/A</v>
        <stp/>
        <stp>BDH|3772733825046968532</stp>
        <tr r="Q49" s="6"/>
      </tp>
      <tp t="e">
        <v>#N/A</v>
        <stp/>
        <stp>BDH|4701871496230467095</stp>
        <tr r="AA59" s="24"/>
      </tp>
      <tp t="e">
        <v>#N/A</v>
        <stp/>
        <stp>BDH|1398407639747299430</stp>
        <tr r="X22" s="6"/>
      </tp>
      <tp t="e">
        <v>#N/A</v>
        <stp/>
        <stp>BDH|3908120221043475657</stp>
        <tr r="W18" s="17"/>
      </tp>
      <tp t="e">
        <v>#N/A</v>
        <stp/>
        <stp>BDH|7056421531633896608</stp>
        <tr r="R16" s="11"/>
      </tp>
      <tp t="e">
        <v>#N/A</v>
        <stp/>
        <stp>BDH|3356788337661003378</stp>
        <tr r="H44" s="21"/>
      </tp>
      <tp t="e">
        <v>#N/A</v>
        <stp/>
        <stp>BDH|8735016461363548891</stp>
        <tr r="L102" s="18"/>
      </tp>
      <tp t="e">
        <v>#N/A</v>
        <stp/>
        <stp>BDH|9515555353558046487</stp>
        <tr r="W57" s="11"/>
        <tr r="W24" s="4"/>
      </tp>
      <tp t="e">
        <v>#N/A</v>
        <stp/>
        <stp>BDH|2852445420866491733</stp>
        <tr r="R9" s="27"/>
      </tp>
      <tp t="e">
        <v>#N/A</v>
        <stp/>
        <stp>BDH|4084767454265168689</stp>
        <tr r="Q17" s="28"/>
        <tr r="Q14" s="17"/>
      </tp>
      <tp t="e">
        <v>#N/A</v>
        <stp/>
        <stp>BDH|2352467079080543424</stp>
        <tr r="V15" s="25"/>
      </tp>
      <tp t="e">
        <v>#N/A</v>
        <stp/>
        <stp>BDH|3259460268465406133</stp>
        <tr r="G95" s="12"/>
      </tp>
      <tp t="e">
        <v>#N/A</v>
        <stp/>
        <stp>BDH|1600343896307923967</stp>
        <tr r="E35" s="22"/>
      </tp>
      <tp t="e">
        <v>#N/A</v>
        <stp/>
        <stp>BDH|6973216015606478625</stp>
        <tr r="H24" s="12"/>
      </tp>
      <tp t="e">
        <v>#N/A</v>
        <stp/>
        <stp>BDH|8749727207392009895</stp>
        <tr r="P37" s="12"/>
      </tp>
      <tp t="e">
        <v>#N/A</v>
        <stp/>
        <stp>BDH|6282184366976752204</stp>
        <tr r="H25" s="12"/>
      </tp>
      <tp t="e">
        <v>#N/A</v>
        <stp/>
        <stp>BDH|4064866770828880654</stp>
        <tr r="W13" s="13"/>
      </tp>
      <tp t="e">
        <v>#N/A</v>
        <stp/>
        <stp>BDH|1908019336425682231</stp>
        <tr r="D12" s="7"/>
      </tp>
      <tp t="e">
        <v>#N/A</v>
        <stp/>
        <stp>BDH|5413324759233362576</stp>
        <tr r="Y34" s="22"/>
      </tp>
      <tp t="e">
        <v>#N/A</v>
        <stp/>
        <stp>BDH|1639682312497762404</stp>
        <tr r="T29" s="21"/>
      </tp>
      <tp t="e">
        <v>#N/A</v>
        <stp/>
        <stp>BDH|4516470474143917146</stp>
        <tr r="W46" s="18"/>
      </tp>
      <tp t="e">
        <v>#N/A</v>
        <stp/>
        <stp>BDH|5860120413826587671</stp>
        <tr r="P7" s="30"/>
      </tp>
      <tp t="e">
        <v>#N/A</v>
        <stp/>
        <stp>BDH|7561565024617534290</stp>
        <tr r="I56" s="17"/>
      </tp>
      <tp t="e">
        <v>#N/A</v>
        <stp/>
        <stp>BDH|9116990246713688238</stp>
        <tr r="X51" s="22"/>
      </tp>
      <tp t="e">
        <v>#N/A</v>
        <stp/>
        <stp>BDH|8466997035413569465</stp>
        <tr r="O61" s="18"/>
      </tp>
      <tp t="e">
        <v>#N/A</v>
        <stp/>
        <stp>BDH|1876163676564691650</stp>
        <tr r="M61" s="11"/>
      </tp>
      <tp t="e">
        <v>#N/A</v>
        <stp/>
        <stp>BDH|6543419068620461135</stp>
        <tr r="X62" s="17"/>
      </tp>
      <tp t="e">
        <v>#N/A</v>
        <stp/>
        <stp>BDH|5680398932394522439</stp>
        <tr r="U14" s="8"/>
      </tp>
      <tp t="e">
        <v>#N/A</v>
        <stp/>
        <stp>BDH|9152456854774288997</stp>
        <tr r="J32" s="26"/>
      </tp>
      <tp t="e">
        <v>#N/A</v>
        <stp/>
        <stp>BDH|1545408257410960505</stp>
        <tr r="M13" s="26"/>
      </tp>
      <tp t="e">
        <v>#N/A</v>
        <stp/>
        <stp>BDH|1864393852531029389</stp>
        <tr r="M30" s="12"/>
      </tp>
      <tp t="e">
        <v>#N/A</v>
        <stp/>
        <stp>BDH|4830834131823225936</stp>
        <tr r="R88" s="18"/>
      </tp>
      <tp t="e">
        <v>#N/A</v>
        <stp/>
        <stp>BDH|3884334021666735164</stp>
        <tr r="M22" s="25"/>
      </tp>
      <tp t="e">
        <v>#N/A</v>
        <stp/>
        <stp>BDH|5553567285404523989</stp>
        <tr r="W22" s="24"/>
      </tp>
      <tp t="e">
        <v>#N/A</v>
        <stp/>
        <stp>BDH|1780468114147886664</stp>
        <tr r="AA128" s="18"/>
      </tp>
      <tp t="e">
        <v>#N/A</v>
        <stp/>
        <stp>BDH|7500094316902450155</stp>
        <tr r="R41" s="34"/>
      </tp>
      <tp t="e">
        <v>#N/A</v>
        <stp/>
        <stp>BDH|1220143366630287393</stp>
        <tr r="W63" s="21"/>
      </tp>
      <tp t="e">
        <v>#N/A</v>
        <stp/>
        <stp>BDH|3594377557648822866</stp>
        <tr r="X60" s="21"/>
        <tr r="V55" s="11"/>
      </tp>
      <tp t="e">
        <v>#N/A</v>
        <stp/>
        <stp>BDH|2741897094775984380</stp>
        <tr r="P64" s="17"/>
      </tp>
      <tp t="e">
        <v>#N/A</v>
        <stp/>
        <stp>BDH|6920586069782070238</stp>
        <tr r="S11" s="10"/>
        <tr r="S14" s="2"/>
      </tp>
      <tp t="e">
        <v>#N/A</v>
        <stp/>
        <stp>BDH|6613254510294103499</stp>
        <tr r="F51" s="34"/>
      </tp>
      <tp t="e">
        <v>#N/A</v>
        <stp/>
        <stp>BDH|9762697996783107017</stp>
        <tr r="P73" s="10"/>
        <tr r="P62" s="11"/>
        <tr r="P20" s="7"/>
      </tp>
      <tp t="e">
        <v>#N/A</v>
        <stp/>
        <stp>BDH|4583659819890310629</stp>
        <tr r="I48" s="6"/>
      </tp>
      <tp t="e">
        <v>#N/A</v>
        <stp/>
        <stp>BDH|5831340081763555800</stp>
        <tr r="Z40" s="21"/>
      </tp>
      <tp t="e">
        <v>#N/A</v>
        <stp/>
        <stp>BDH|7163504190246805811</stp>
        <tr r="U51" s="22"/>
      </tp>
      <tp t="e">
        <v>#N/A</v>
        <stp/>
        <stp>BDH|9016175468983190865</stp>
        <tr r="H11" s="24"/>
      </tp>
      <tp t="e">
        <v>#N/A</v>
        <stp/>
        <stp>BDH|6969636800744772150</stp>
        <tr r="E73" s="18"/>
      </tp>
      <tp t="e">
        <v>#N/A</v>
        <stp/>
        <stp>BDH|1935333205054582328</stp>
        <tr r="K23" s="20"/>
      </tp>
      <tp t="e">
        <v>#N/A</v>
        <stp/>
        <stp>BDH|7486770950640372089</stp>
        <tr r="C25" s="5"/>
      </tp>
      <tp t="e">
        <v>#N/A</v>
        <stp/>
        <stp>BDH|5021660309643243553</stp>
        <tr r="P71" s="18"/>
      </tp>
      <tp t="e">
        <v>#N/A</v>
        <stp/>
        <stp>BDH|6024165129445544524</stp>
        <tr r="V62" s="12"/>
      </tp>
      <tp t="e">
        <v>#N/A</v>
        <stp/>
        <stp>BDH|4376682701741187639</stp>
        <tr r="H48" s="12"/>
      </tp>
      <tp t="e">
        <v>#N/A</v>
        <stp/>
        <stp>BDH|5966413866094558633</stp>
        <tr r="U9" s="21"/>
      </tp>
      <tp t="e">
        <v>#N/A</v>
        <stp/>
        <stp>BDH|1925294202204825224</stp>
        <tr r="L14" s="10"/>
      </tp>
      <tp t="e">
        <v>#N/A</v>
        <stp/>
        <stp>BDH|5138025501373316396</stp>
        <tr r="O52" s="34"/>
      </tp>
      <tp t="e">
        <v>#N/A</v>
        <stp/>
        <stp>BDH|1452242579437105607</stp>
        <tr r="J16" s="23"/>
      </tp>
      <tp t="e">
        <v>#N/A</v>
        <stp/>
        <stp>BDH|5635707031136727283</stp>
        <tr r="Y32" s="21"/>
      </tp>
      <tp t="e">
        <v>#N/A</v>
        <stp/>
        <stp>BDH|3375534950813065589</stp>
        <tr r="O22" s="9"/>
      </tp>
      <tp t="e">
        <v>#N/A</v>
        <stp/>
        <stp>BDH|6256794445628695809</stp>
        <tr r="G61" s="18"/>
      </tp>
      <tp t="e">
        <v>#N/A</v>
        <stp/>
        <stp>BDH|7108666567327160594</stp>
        <tr r="C14" s="34"/>
      </tp>
      <tp t="e">
        <v>#N/A</v>
        <stp/>
        <stp>BDH|3680896182807631133</stp>
        <tr r="C63" s="11"/>
        <tr r="C74" s="10"/>
      </tp>
      <tp t="e">
        <v>#N/A</v>
        <stp/>
        <stp>BDH|2839081812824925231</stp>
        <tr r="M28" s="34"/>
      </tp>
      <tp t="e">
        <v>#N/A</v>
        <stp/>
        <stp>BDH|5076119019172447242</stp>
        <tr r="M44" s="12"/>
      </tp>
      <tp t="e">
        <v>#N/A</v>
        <stp/>
        <stp>BDH|4480977197627414681</stp>
        <tr r="G76" s="17"/>
      </tp>
      <tp t="e">
        <v>#N/A</v>
        <stp/>
        <stp>BDH|1555432187459905108</stp>
        <tr r="J20" s="26"/>
      </tp>
      <tp t="e">
        <v>#N/A</v>
        <stp/>
        <stp>BDH|4983234131527733740</stp>
        <tr r="O19" s="28"/>
        <tr r="O16" s="17"/>
      </tp>
      <tp t="e">
        <v>#N/A</v>
        <stp/>
        <stp>BDH|9592939479114794602</stp>
        <tr r="Z145" s="18"/>
      </tp>
      <tp t="e">
        <v>#N/A</v>
        <stp/>
        <stp>BDH|9169399066739710013</stp>
        <tr r="Z77" s="12"/>
      </tp>
      <tp t="e">
        <v>#N/A</v>
        <stp/>
        <stp>BDH|6739473608300094700</stp>
        <tr r="E143" s="18"/>
      </tp>
      <tp t="e">
        <v>#N/A</v>
        <stp/>
        <stp>BDH|1158408508608101806</stp>
        <tr r="S49" s="24"/>
      </tp>
      <tp t="e">
        <v>#N/A</v>
        <stp/>
        <stp>BDH|5982654079185536483</stp>
        <tr r="O16" s="34"/>
      </tp>
      <tp t="e">
        <v>#N/A</v>
        <stp/>
        <stp>BDH|2207007906444871349</stp>
        <tr r="AA87" s="12"/>
      </tp>
      <tp t="e">
        <v>#N/A</v>
        <stp/>
        <stp>BDH|2744744119340688147</stp>
        <tr r="AA57" s="24"/>
      </tp>
      <tp t="e">
        <v>#N/A</v>
        <stp/>
        <stp>BDH|9240229989930527649</stp>
        <tr r="H53" s="22"/>
      </tp>
      <tp t="e">
        <v>#N/A</v>
        <stp/>
        <stp>BDH|2818001640237296424</stp>
        <tr r="K21" s="20"/>
      </tp>
      <tp t="e">
        <v>#N/A</v>
        <stp/>
        <stp>BDH|6650029367700822537</stp>
        <tr r="L19" s="11"/>
      </tp>
      <tp t="e">
        <v>#N/A</v>
        <stp/>
        <stp>BDH|1315703540613899433</stp>
        <tr r="G54" s="24"/>
      </tp>
      <tp t="e">
        <v>#N/A</v>
        <stp/>
        <stp>BDH|3261597711442655050</stp>
        <tr r="M11" s="22"/>
      </tp>
      <tp t="e">
        <v>#N/A</v>
        <stp/>
        <stp>BDH|1966453774596129102</stp>
        <tr r="G30" s="34"/>
      </tp>
      <tp t="e">
        <v>#N/A</v>
        <stp/>
        <stp>BDH|5474570422587969014</stp>
        <tr r="U19" s="20"/>
      </tp>
      <tp t="e">
        <v>#N/A</v>
        <stp/>
        <stp>BDH|5878233155292471531</stp>
        <tr r="E35" s="24"/>
      </tp>
      <tp t="e">
        <v>#N/A</v>
        <stp/>
        <stp>BDH|3289421604577855559</stp>
        <tr r="V13" s="26"/>
      </tp>
      <tp t="e">
        <v>#N/A</v>
        <stp/>
        <stp>BDH|5295547468477193460</stp>
        <tr r="L167" s="18"/>
      </tp>
      <tp t="e">
        <v>#N/A</v>
        <stp/>
        <stp>BDH|9431579858394225808</stp>
        <tr r="Q30" s="26"/>
      </tp>
      <tp t="e">
        <v>#N/A</v>
        <stp/>
        <stp>BDH|9364078484460803418</stp>
        <tr r="E41" s="6"/>
        <tr r="E18" s="5"/>
      </tp>
      <tp t="e">
        <v>#N/A</v>
        <stp/>
        <stp>BDH|9789975052818955822</stp>
        <tr r="Y8" s="20"/>
        <tr r="Y114" s="18"/>
      </tp>
      <tp t="e">
        <v>#N/A</v>
        <stp/>
        <stp>BDH|2921389196985617881</stp>
        <tr r="V45" s="34"/>
      </tp>
      <tp t="e">
        <v>#N/A</v>
        <stp/>
        <stp>BDH|4967025027484510704</stp>
        <tr r="K14" s="21"/>
      </tp>
      <tp t="e">
        <v>#N/A</v>
        <stp/>
        <stp>BDH|2366878708999562603</stp>
        <tr r="AA27" s="22"/>
      </tp>
      <tp t="e">
        <v>#N/A</v>
        <stp/>
        <stp>BDH|5032953808590338974</stp>
        <tr r="K83" s="18"/>
      </tp>
      <tp t="e">
        <v>#N/A</v>
        <stp/>
        <stp>BDH|6661782659704974571</stp>
        <tr r="M19" s="30"/>
      </tp>
      <tp t="e">
        <v>#N/A</v>
        <stp/>
        <stp>BDH|5683603568347396745</stp>
        <tr r="T14" s="8"/>
      </tp>
      <tp t="e">
        <v>#N/A</v>
        <stp/>
        <stp>BDH|6104381213417119620</stp>
        <tr r="D30" s="12"/>
      </tp>
      <tp t="e">
        <v>#N/A</v>
        <stp/>
        <stp>BDH|7160301532481328396</stp>
        <tr r="P20" s="22"/>
      </tp>
      <tp t="e">
        <v>#N/A</v>
        <stp/>
        <stp>BDH|4373319796923401890</stp>
        <tr r="Y30" s="18"/>
      </tp>
      <tp t="e">
        <v>#N/A</v>
        <stp/>
        <stp>BDH|2882255481935364864</stp>
        <tr r="U21" s="21"/>
      </tp>
      <tp t="e">
        <v>#N/A</v>
        <stp/>
        <stp>BDH|5822073897401125801</stp>
        <tr r="S65" s="24"/>
      </tp>
      <tp t="e">
        <v>#N/A</v>
        <stp/>
        <stp>BDH|4564728944252821028</stp>
        <tr r="W74" s="12"/>
      </tp>
      <tp t="e">
        <v>#N/A</v>
        <stp/>
        <stp>BDH|9243171991905593183</stp>
        <tr r="Q32" s="21"/>
      </tp>
      <tp t="e">
        <v>#N/A</v>
        <stp/>
        <stp>BDH|3784174243032231186</stp>
        <tr r="E29" s="6"/>
      </tp>
      <tp t="e">
        <v>#N/A</v>
        <stp/>
        <stp>BDH|4003016955426996242</stp>
        <tr r="AA59" s="18"/>
      </tp>
      <tp t="e">
        <v>#N/A</v>
        <stp/>
        <stp>BDH|5313516525281888665</stp>
        <tr r="J114" s="18"/>
        <tr r="J8" s="20"/>
      </tp>
      <tp t="e">
        <v>#N/A</v>
        <stp/>
        <stp>BDH|7855623587429510518</stp>
        <tr r="C54" s="12"/>
      </tp>
      <tp t="e">
        <v>#N/A</v>
        <stp/>
        <stp>BDH|9615953957587595784</stp>
        <tr r="K18" s="25"/>
      </tp>
      <tp t="e">
        <v>#N/A</v>
        <stp/>
        <stp>BDH|3367365812902953675</stp>
        <tr r="P61" s="18"/>
      </tp>
      <tp t="e">
        <v>#N/A</v>
        <stp/>
        <stp>BDH|8644113795767943229</stp>
        <tr r="L71" s="17"/>
      </tp>
      <tp t="e">
        <v>#N/A</v>
        <stp/>
        <stp>BDH|7999064743013108540</stp>
        <tr r="AA54" s="12"/>
      </tp>
      <tp t="e">
        <v>#N/A</v>
        <stp/>
        <stp>BDH|4766012604677297696</stp>
        <tr r="J7" s="27"/>
        <tr r="J94" s="17"/>
      </tp>
      <tp t="e">
        <v>#N/A</v>
        <stp/>
        <stp>BDH|5844761960867632613</stp>
        <tr r="J10" s="21"/>
      </tp>
      <tp t="e">
        <v>#N/A</v>
        <stp/>
        <stp>BDH|1405273241583331189</stp>
        <tr r="M6" s="6"/>
      </tp>
      <tp t="e">
        <v>#N/A</v>
        <stp/>
        <stp>BDH|4249837119698218038</stp>
        <tr r="I17" s="27"/>
        <tr r="I35" s="25"/>
        <tr r="F14" s="5"/>
      </tp>
      <tp t="e">
        <v>#N/A</v>
        <stp/>
        <stp>BDH|5086095217273436233</stp>
        <tr r="M22" s="18"/>
      </tp>
      <tp t="e">
        <v>#N/A</v>
        <stp/>
        <stp>BDH|5651622649476555419</stp>
        <tr r="S16" s="21"/>
      </tp>
      <tp t="e">
        <v>#N/A</v>
        <stp/>
        <stp>BDH|6560814775084098884</stp>
        <tr r="AA93" s="18"/>
      </tp>
      <tp t="e">
        <v>#N/A</v>
        <stp/>
        <stp>BDH|7582322059782568624</stp>
        <tr r="H17" s="6"/>
      </tp>
      <tp t="e">
        <v>#N/A</v>
        <stp/>
        <stp>BDH|4723174016420680194</stp>
        <tr r="R56" s="24"/>
      </tp>
      <tp t="e">
        <v>#N/A</v>
        <stp/>
        <stp>BDH|3473437423778812858</stp>
        <tr r="U28" s="13"/>
        <tr r="U16" s="13"/>
        <tr r="S17" s="10"/>
      </tp>
      <tp t="e">
        <v>#N/A</v>
        <stp/>
        <stp>BDH|4858212475206051221</stp>
        <tr r="Y34" s="26"/>
      </tp>
      <tp t="e">
        <v>#N/A</v>
        <stp/>
        <stp>BDH|9108622068738605434</stp>
        <tr r="T59" s="12"/>
      </tp>
      <tp t="e">
        <v>#N/A</v>
        <stp/>
        <stp>BDH|1627712018061678376</stp>
        <tr r="I41" s="13"/>
        <tr r="G23" s="10"/>
        <tr r="G46" s="4"/>
      </tp>
      <tp t="e">
        <v>#N/A</v>
        <stp/>
        <stp>BDH|4858605601274452336</stp>
        <tr r="K9" s="21"/>
      </tp>
      <tp t="e">
        <v>#N/A</v>
        <stp/>
        <stp>BDH|6215061731329954926</stp>
        <tr r="F14" s="10"/>
      </tp>
      <tp t="e">
        <v>#N/A</v>
        <stp/>
        <stp>BDH|6776191487578533220</stp>
        <tr r="T18" s="22"/>
      </tp>
      <tp t="e">
        <v>#N/A</v>
        <stp/>
        <stp>BDH|2326484855707972196</stp>
        <tr r="G52" s="18"/>
      </tp>
      <tp t="e">
        <v>#N/A</v>
        <stp/>
        <stp>BDH|3143497387203667974</stp>
        <tr r="U54" s="24"/>
      </tp>
      <tp t="e">
        <v>#N/A</v>
        <stp/>
        <stp>BDH|4873699122824957140</stp>
        <tr r="G90" s="17"/>
      </tp>
      <tp t="e">
        <v>#N/A</v>
        <stp/>
        <stp>BDH|6221287722457224441</stp>
        <tr r="V54" s="13"/>
      </tp>
      <tp t="e">
        <v>#N/A</v>
        <stp/>
        <stp>BDH|1038421410123510290</stp>
        <tr r="Z97" s="12"/>
      </tp>
      <tp t="e">
        <v>#N/A</v>
        <stp/>
        <stp>BDH|7206388455942919682</stp>
        <tr r="O76" s="17"/>
      </tp>
      <tp t="e">
        <v>#N/A</v>
        <stp/>
        <stp>BDH|9405201908317665946</stp>
        <tr r="J90" s="17"/>
      </tp>
      <tp t="e">
        <v>#N/A</v>
        <stp/>
        <stp>BDH|7593534369016185700</stp>
        <tr r="Y15" s="11"/>
      </tp>
      <tp t="e">
        <v>#N/A</v>
        <stp/>
        <stp>BDH|6348224276641978704</stp>
        <tr r="F39" s="26"/>
      </tp>
      <tp t="e">
        <v>#N/A</v>
        <stp/>
        <stp>BDH|6435498582288098715</stp>
        <tr r="P13" s="7"/>
      </tp>
      <tp t="e">
        <v>#N/A</v>
        <stp/>
        <stp>BDH|8914305134568313505</stp>
        <tr r="W101" s="18"/>
      </tp>
      <tp t="e">
        <v>#N/A</v>
        <stp/>
        <stp>BDH|2071702617938805919</stp>
        <tr r="D33" s="22"/>
      </tp>
      <tp t="e">
        <v>#N/A</v>
        <stp/>
        <stp>BDH|1409086420562259403</stp>
        <tr r="E23" s="18"/>
      </tp>
      <tp t="e">
        <v>#N/A</v>
        <stp/>
        <stp>BDH|8586088036408019650</stp>
        <tr r="N70" s="12"/>
      </tp>
      <tp t="e">
        <v>#N/A</v>
        <stp/>
        <stp>BDH|2800604580979205049</stp>
        <tr r="Z26" s="13"/>
      </tp>
      <tp t="e">
        <v>#N/A</v>
        <stp/>
        <stp>BDH|6723893081504252735</stp>
        <tr r="T12" s="6"/>
      </tp>
      <tp t="e">
        <v>#N/A</v>
        <stp/>
        <stp>BDH|1943276171430133101</stp>
        <tr r="I16" s="20"/>
      </tp>
      <tp t="e">
        <v>#N/A</v>
        <stp/>
        <stp>BDH|5963244243581519750</stp>
        <tr r="H8" s="12"/>
      </tp>
      <tp t="e">
        <v>#N/A</v>
        <stp/>
        <stp>BDH|4568385927170754031</stp>
        <tr r="AA8" s="22"/>
      </tp>
      <tp t="e">
        <v>#N/A</v>
        <stp/>
        <stp>BDH|4528492422724311330</stp>
        <tr r="G48" s="13"/>
      </tp>
      <tp t="e">
        <v>#N/A</v>
        <stp/>
        <stp>BDH|6502208268884271311</stp>
        <tr r="V53" s="34"/>
      </tp>
      <tp t="e">
        <v>#N/A</v>
        <stp/>
        <stp>BDH|9299637032431583884</stp>
        <tr r="R64" s="18"/>
      </tp>
      <tp t="e">
        <v>#N/A</v>
        <stp/>
        <stp>BDH|5560858721252799883</stp>
        <tr r="Z23" s="23"/>
      </tp>
      <tp t="e">
        <v>#N/A</v>
        <stp/>
        <stp>BDH|8880869548398989913</stp>
        <tr r="R15" s="34"/>
      </tp>
      <tp t="e">
        <v>#N/A</v>
        <stp/>
        <stp>BDH|1884426573571424630</stp>
        <tr r="S143" s="18"/>
      </tp>
      <tp t="e">
        <v>#N/A</v>
        <stp/>
        <stp>BDH|6133445840757203498</stp>
        <tr r="V71" s="18"/>
      </tp>
      <tp t="e">
        <v>#N/A</v>
        <stp/>
        <stp>BDH|6939621380078593502</stp>
        <tr r="J19" s="23"/>
        <tr r="H60" s="11"/>
      </tp>
      <tp t="e">
        <v>#N/A</v>
        <stp/>
        <stp>BDH|2190596463726139242</stp>
        <tr r="O60" s="17"/>
      </tp>
      <tp t="e">
        <v>#N/A</v>
        <stp/>
        <stp>BDH|4311084947823331615</stp>
        <tr r="Y37" s="18"/>
      </tp>
      <tp t="e">
        <v>#N/A</v>
        <stp/>
        <stp>BDH|1668592544845744022</stp>
        <tr r="Q37" s="18"/>
      </tp>
      <tp t="e">
        <v>#N/A</v>
        <stp/>
        <stp>BDH|7834269215993693237</stp>
        <tr r="M15" s="34"/>
      </tp>
      <tp t="e">
        <v>#N/A</v>
        <stp/>
        <stp>BDH|3441405869086388204</stp>
        <tr r="AA90" s="12"/>
      </tp>
      <tp t="e">
        <v>#N/A</v>
        <stp/>
        <stp>BDH|6099581937583662677</stp>
        <tr r="K93" s="12"/>
      </tp>
      <tp t="e">
        <v>#N/A</v>
        <stp/>
        <stp>BDH|9597003065593718991</stp>
        <tr r="W132" s="18"/>
      </tp>
      <tp t="e">
        <v>#N/A</v>
        <stp/>
        <stp>BDH|2329705868837782128</stp>
        <tr r="R41" s="6"/>
        <tr r="R18" s="5"/>
      </tp>
      <tp t="e">
        <v>#N/A</v>
        <stp/>
        <stp>BDH|9002824478445770638</stp>
        <tr r="O23" s="9"/>
      </tp>
      <tp t="e">
        <v>#N/A</v>
        <stp/>
        <stp>BDH|3353423209990746214</stp>
        <tr r="Q70" s="17"/>
        <tr r="N8" s="9"/>
        <tr r="N8" s="5"/>
      </tp>
      <tp t="e">
        <v>#N/A</v>
        <stp/>
        <stp>BDH|2907489148584247357</stp>
        <tr r="E40" s="24"/>
      </tp>
      <tp t="e">
        <v>#N/A</v>
        <stp/>
        <stp>BDH|6586102268957754348</stp>
        <tr r="O36" s="12"/>
      </tp>
      <tp t="e">
        <v>#N/A</v>
        <stp/>
        <stp>BDH|6495701512303106695</stp>
        <tr r="M23" s="20"/>
      </tp>
      <tp t="e">
        <v>#N/A</v>
        <stp/>
        <stp>BDH|1561647831980923174</stp>
        <tr r="L24" s="2"/>
      </tp>
      <tp t="e">
        <v>#N/A</v>
        <stp/>
        <stp>BDH|1422273007990257683</stp>
        <tr r="Q155" s="18"/>
      </tp>
      <tp t="e">
        <v>#N/A</v>
        <stp/>
        <stp>BDH|3920937854969552357</stp>
        <tr r="C33" s="11"/>
        <tr r="C44" s="10"/>
      </tp>
      <tp t="e">
        <v>#N/A</v>
        <stp/>
        <stp>BDH|2469026709190042704</stp>
        <tr r="K28" s="17"/>
      </tp>
      <tp t="e">
        <v>#N/A</v>
        <stp/>
        <stp>BDH|7455562668232705324</stp>
        <tr r="S42" s="29"/>
        <tr r="S33" s="29"/>
        <tr r="Q55" s="6"/>
        <tr r="Q11" s="5"/>
        <tr r="R10" s="2"/>
      </tp>
      <tp t="e">
        <v>#N/A</v>
        <stp/>
        <stp>BDH|3978595728311178067</stp>
        <tr r="E44" s="6"/>
      </tp>
      <tp t="e">
        <v>#N/A</v>
        <stp/>
        <stp>BDH|5220557935957540189</stp>
        <tr r="K61" s="18"/>
      </tp>
      <tp t="e">
        <v>#N/A</v>
        <stp/>
        <stp>BDH|8317573399528269901</stp>
        <tr r="K23" s="25"/>
      </tp>
      <tp t="e">
        <v>#N/A</v>
        <stp/>
        <stp>BDH|4101418769872748114</stp>
        <tr r="T23" s="20"/>
      </tp>
      <tp t="e">
        <v>#N/A</v>
        <stp/>
        <stp>BDH|7433322259555000107</stp>
        <tr r="L62" s="21"/>
      </tp>
      <tp t="e">
        <v>#N/A</v>
        <stp/>
        <stp>BDH|2414607708818580965</stp>
        <tr r="F19" s="30"/>
      </tp>
      <tp t="e">
        <v>#N/A</v>
        <stp/>
        <stp>BDH|9577593287461700033</stp>
        <tr r="U39" s="13"/>
        <tr r="S32" s="10"/>
      </tp>
      <tp t="e">
        <v>#N/A</v>
        <stp/>
        <stp>BDH|6834325390498744125</stp>
        <tr r="N72" s="12"/>
      </tp>
      <tp t="e">
        <v>#N/A</v>
        <stp/>
        <stp>BDH|5469501035325675381</stp>
        <tr r="O47" s="13"/>
      </tp>
      <tp t="e">
        <v>#N/A</v>
        <stp/>
        <stp>BDH|3207140655390512290</stp>
        <tr r="T21" s="5"/>
      </tp>
      <tp t="e">
        <v>#N/A</v>
        <stp/>
        <stp>BDH|7030792232106256060</stp>
        <tr r="L18" s="13"/>
      </tp>
      <tp t="e">
        <v>#N/A</v>
        <stp/>
        <stp>BDH|2459057736454806003</stp>
        <tr r="U26" s="12"/>
      </tp>
      <tp t="e">
        <v>#N/A</v>
        <stp/>
        <stp>BDH|8658865181669711492</stp>
        <tr r="M38" s="12"/>
      </tp>
      <tp t="e">
        <v>#N/A</v>
        <stp/>
        <stp>BDH|2249183462475360540</stp>
        <tr r="G11" s="14"/>
      </tp>
      <tp t="e">
        <v>#N/A</v>
        <stp/>
        <stp>BDH|2418730078275955292</stp>
        <tr r="D6" s="20"/>
        <tr r="D112" s="18"/>
      </tp>
      <tp t="e">
        <v>#N/A</v>
        <stp/>
        <stp>BDH|4927512844431346104</stp>
        <tr r="H41" s="13"/>
        <tr r="F23" s="10"/>
        <tr r="F46" s="4"/>
      </tp>
      <tp t="e">
        <v>#N/A</v>
        <stp/>
        <stp>BDH|4523924788249200923</stp>
        <tr r="N36" s="17"/>
      </tp>
      <tp t="e">
        <v>#N/A</v>
        <stp/>
        <stp>BDH|6773272511205788598</stp>
        <tr r="J81" s="12"/>
      </tp>
      <tp t="e">
        <v>#N/A</v>
        <stp/>
        <stp>BDH|6877135427407744744</stp>
        <tr r="O35" s="12"/>
      </tp>
      <tp t="e">
        <v>#N/A</v>
        <stp/>
        <stp>BDH|1083056341898834833</stp>
        <tr r="H50" s="22"/>
      </tp>
      <tp t="e">
        <v>#N/A</v>
        <stp/>
        <stp>BDH|4669726502234142280</stp>
        <tr r="Z58" s="12"/>
      </tp>
      <tp t="e">
        <v>#N/A</v>
        <stp/>
        <stp>BDH|6954347701441618151</stp>
        <tr r="Y14" s="22"/>
      </tp>
      <tp t="e">
        <v>#N/A</v>
        <stp/>
        <stp>BDH|5786494337622033560</stp>
        <tr r="Z32" s="29"/>
        <tr r="X34" s="5"/>
      </tp>
      <tp t="e">
        <v>#N/A</v>
        <stp/>
        <stp>BDH|9670460389878001866</stp>
        <tr r="T106" s="18"/>
      </tp>
      <tp t="e">
        <v>#N/A</v>
        <stp/>
        <stp>BDH|3802848197351641626</stp>
        <tr r="T13" s="27"/>
        <tr r="T31" s="25"/>
      </tp>
      <tp t="e">
        <v>#N/A</v>
        <stp/>
        <stp>BDH|3319579206387962444</stp>
        <tr r="Q65" s="24"/>
      </tp>
      <tp t="e">
        <v>#N/A</v>
        <stp/>
        <stp>BDH|8205603497125292782</stp>
        <tr r="F29" s="4"/>
      </tp>
      <tp t="e">
        <v>#N/A</v>
        <stp/>
        <stp>BDH|1878339707580269714</stp>
        <tr r="U168" s="18"/>
      </tp>
      <tp t="e">
        <v>#N/A</v>
        <stp/>
        <stp>BDH|3509382174822730010</stp>
        <tr r="V13" s="23"/>
        <tr r="T58" s="11"/>
        <tr r="T38" s="4"/>
      </tp>
      <tp t="e">
        <v>#N/A</v>
        <stp/>
        <stp>BDH|6248556611654881315</stp>
        <tr r="K46" s="21"/>
      </tp>
      <tp t="e">
        <v>#N/A</v>
        <stp/>
        <stp>BDH|4506154538406799501</stp>
        <tr r="I38" s="34"/>
      </tp>
      <tp t="e">
        <v>#N/A</v>
        <stp/>
        <stp>BDH|7495062178026232373</stp>
        <tr r="Y59" s="17"/>
      </tp>
      <tp t="e">
        <v>#N/A</v>
        <stp/>
        <stp>BDH|7881968531850373835</stp>
        <tr r="M17" s="6"/>
      </tp>
      <tp t="e">
        <v>#N/A</v>
        <stp/>
        <stp>BDH|9523115615254769899</stp>
        <tr r="G28" s="34"/>
      </tp>
      <tp t="e">
        <v>#N/A</v>
        <stp/>
        <stp>BDH|5151164771621090793</stp>
        <tr r="E47" s="17"/>
      </tp>
      <tp t="e">
        <v>#N/A</v>
        <stp/>
        <stp>BDH|9736547019931441914</stp>
        <tr r="V29" s="24"/>
      </tp>
      <tp t="e">
        <v>#N/A</v>
        <stp/>
        <stp>BDH|2339077124502943768</stp>
        <tr r="D7" s="8"/>
      </tp>
      <tp t="e">
        <v>#N/A</v>
        <stp/>
        <stp>BDH|6037286224235080633</stp>
        <tr r="G26" s="12"/>
      </tp>
      <tp t="e">
        <v>#N/A</v>
        <stp/>
        <stp>BDH|7339608024387907114</stp>
        <tr r="D49" s="22"/>
      </tp>
      <tp t="e">
        <v>#N/A</v>
        <stp/>
        <stp>BDH|8289845065565539697</stp>
        <tr r="C96" s="12"/>
      </tp>
      <tp t="e">
        <v>#N/A</v>
        <stp/>
        <stp>BDH|4857783898856109962</stp>
        <tr r="K30" s="12"/>
      </tp>
      <tp t="e">
        <v>#N/A</v>
        <stp/>
        <stp>BDH|8985457892786621675</stp>
        <tr r="H82" s="12"/>
      </tp>
      <tp t="e">
        <v>#N/A</v>
        <stp/>
        <stp>BDH|5495502530023272593</stp>
        <tr r="AA30" s="18"/>
      </tp>
      <tp t="e">
        <v>#N/A</v>
        <stp/>
        <stp>BDH|9597121648698064107</stp>
        <tr r="E47" s="24"/>
      </tp>
      <tp t="e">
        <v>#N/A</v>
        <stp/>
        <stp>BDH|7063399511074238453</stp>
        <tr r="P21" s="17"/>
      </tp>
      <tp t="e">
        <v>#N/A</v>
        <stp/>
        <stp>BDH|7041358629463714047</stp>
        <tr r="F28" s="14"/>
      </tp>
      <tp t="e">
        <v>#N/A</v>
        <stp/>
        <stp>BDH|4937544534813124473</stp>
        <tr r="M6" s="20"/>
        <tr r="M112" s="18"/>
      </tp>
      <tp t="e">
        <v>#N/A</v>
        <stp/>
        <stp>BDH|4637930918510606948</stp>
        <tr r="Q56" s="18"/>
      </tp>
      <tp t="e">
        <v>#N/A</v>
        <stp/>
        <stp>BDH|5248981764219679641</stp>
        <tr r="G34" s="21"/>
      </tp>
      <tp t="e">
        <v>#N/A</v>
        <stp/>
        <stp>BDH|9289083047058694073</stp>
        <tr r="O9" s="27"/>
      </tp>
      <tp t="e">
        <v>#N/A</v>
        <stp/>
        <stp>BDH|3277078634331851459</stp>
        <tr r="W25" s="13"/>
      </tp>
      <tp t="e">
        <v>#N/A</v>
        <stp/>
        <stp>BDH|7904813777069348407</stp>
        <tr r="D13" s="8"/>
      </tp>
      <tp t="e">
        <v>#N/A</v>
        <stp/>
        <stp>BDH|1184780828559582885</stp>
        <tr r="L53" s="17"/>
      </tp>
      <tp t="e">
        <v>#N/A</v>
        <stp/>
        <stp>BDH|2804740569941830719</stp>
        <tr r="Q76" s="24"/>
      </tp>
      <tp t="e">
        <v>#N/A</v>
        <stp/>
        <stp>BDH|2171700339494307770</stp>
        <tr r="Y9" s="23"/>
      </tp>
      <tp t="e">
        <v>#N/A</v>
        <stp/>
        <stp>BDH|5553746169385001443</stp>
        <tr r="S60" s="18"/>
      </tp>
      <tp t="e">
        <v>#N/A</v>
        <stp/>
        <stp>BDH|4101556787884859879</stp>
        <tr r="J30" s="18"/>
      </tp>
      <tp t="e">
        <v>#N/A</v>
        <stp/>
        <stp>BDH|3672127829625227036</stp>
        <tr r="E39" s="18"/>
      </tp>
      <tp t="e">
        <v>#N/A</v>
        <stp/>
        <stp>BDH|1966968080981135426</stp>
        <tr r="G35" s="18"/>
      </tp>
      <tp t="e">
        <v>#N/A</v>
        <stp/>
        <stp>BDH|2674334029861099700</stp>
        <tr r="H124" s="18"/>
      </tp>
      <tp t="e">
        <v>#N/A</v>
        <stp/>
        <stp>BDH|1718064844147997708</stp>
        <tr r="M10" s="18"/>
      </tp>
      <tp t="e">
        <v>#N/A</v>
        <stp/>
        <stp>BDH|2086378104186970263</stp>
        <tr r="T9" s="10"/>
      </tp>
      <tp t="e">
        <v>#N/A</v>
        <stp/>
        <stp>BDH|3150941869850607969</stp>
        <tr r="N28" s="4"/>
      </tp>
      <tp t="e">
        <v>#N/A</v>
        <stp/>
        <stp>BDH|2951286301067419286</stp>
        <tr r="M53" s="24"/>
      </tp>
      <tp t="e">
        <v>#N/A</v>
        <stp/>
        <stp>BDH|5059243627125995569</stp>
        <tr r="T26" s="13"/>
      </tp>
      <tp t="e">
        <v>#N/A</v>
        <stp/>
        <stp>BDH|2523140904622022490</stp>
        <tr r="J61" s="18"/>
      </tp>
      <tp t="e">
        <v>#N/A</v>
        <stp/>
        <stp>BDH|4794007908490660155</stp>
        <tr r="O24" s="6"/>
      </tp>
      <tp t="e">
        <v>#N/A</v>
        <stp/>
        <stp>BDH|8722156088317365358</stp>
        <tr r="I9" s="13"/>
      </tp>
      <tp t="e">
        <v>#N/A</v>
        <stp/>
        <stp>BDH|1858535903740489106</stp>
        <tr r="V32" s="26"/>
      </tp>
      <tp t="e">
        <v>#N/A</v>
        <stp/>
        <stp>BDH|1658968825339002696</stp>
        <tr r="W34" s="13"/>
        <tr r="U27" s="10"/>
      </tp>
      <tp t="e">
        <v>#N/A</v>
        <stp/>
        <stp>BDH|1074134538000605618</stp>
        <tr r="G8" s="14"/>
      </tp>
      <tp t="e">
        <v>#N/A</v>
        <stp/>
        <stp>BDH|8371262368568390122</stp>
        <tr r="W29" s="12"/>
      </tp>
      <tp t="e">
        <v>#N/A</v>
        <stp/>
        <stp>BDH|9328889612362478715</stp>
        <tr r="J97" s="12"/>
      </tp>
      <tp t="e">
        <v>#N/A</v>
        <stp/>
        <stp>BDH|6160107142753647598</stp>
        <tr r="W68" s="18"/>
      </tp>
      <tp t="e">
        <v>#N/A</v>
        <stp/>
        <stp>BDH|2899520745404362201</stp>
        <tr r="Q46" s="6"/>
        <tr r="Q19" s="5"/>
      </tp>
      <tp t="e">
        <v>#N/A</v>
        <stp/>
        <stp>BDH|1978051101985527140</stp>
        <tr r="D57" s="17"/>
      </tp>
      <tp t="e">
        <v>#N/A</v>
        <stp/>
        <stp>BDH|5880222032721701030</stp>
        <tr r="U17" s="13"/>
      </tp>
      <tp t="e">
        <v>#N/A</v>
        <stp/>
        <stp>BDH|2362511364945319192</stp>
        <tr r="G27" s="18"/>
      </tp>
      <tp t="e">
        <v>#N/A</v>
        <stp/>
        <stp>BDH|2542481587632278949</stp>
        <tr r="H43" s="26"/>
      </tp>
      <tp t="e">
        <v>#N/A</v>
        <stp/>
        <stp>BDH|8599033386942481786</stp>
        <tr r="D17" s="6"/>
      </tp>
      <tp t="e">
        <v>#N/A</v>
        <stp/>
        <stp>BDH|2117626226716194585</stp>
        <tr r="Q25" s="22"/>
      </tp>
      <tp t="e">
        <v>#N/A</v>
        <stp/>
        <stp>BDH|1006428775151956620</stp>
        <tr r="Q55" s="21"/>
      </tp>
      <tp t="e">
        <v>#N/A</v>
        <stp/>
        <stp>BDH|2798363875560174394</stp>
        <tr r="H35" s="26"/>
        <tr r="E14" s="9"/>
      </tp>
      <tp t="e">
        <v>#N/A</v>
        <stp/>
        <stp>BDH|7513718648316547752</stp>
        <tr r="C17" s="9"/>
      </tp>
      <tp t="e">
        <v>#N/A</v>
        <stp/>
        <stp>BDH|8591864340786640792</stp>
        <tr r="F63" s="18"/>
      </tp>
      <tp t="e">
        <v>#N/A</v>
        <stp/>
        <stp>BDH|5673259732375466494</stp>
        <tr r="M28" s="13"/>
        <tr r="M16" s="13"/>
        <tr r="K17" s="10"/>
      </tp>
      <tp t="e">
        <v>#N/A</v>
        <stp/>
        <stp>BDH|5700088544512136661</stp>
        <tr r="AA27" s="18"/>
      </tp>
      <tp t="e">
        <v>#N/A</v>
        <stp/>
        <stp>BDH|9787623982173971122</stp>
        <tr r="S89" s="18"/>
      </tp>
      <tp t="e">
        <v>#N/A</v>
        <stp/>
        <stp>BDH|9377498693080105141</stp>
        <tr r="I22" s="7"/>
      </tp>
      <tp t="e">
        <v>#N/A</v>
        <stp/>
        <stp>BDH|5618906845224965972</stp>
        <tr r="E97" s="12"/>
      </tp>
      <tp t="e">
        <v>#N/A</v>
        <stp/>
        <stp>BDH|7211292946694470043</stp>
        <tr r="G14" s="12"/>
      </tp>
      <tp t="e">
        <v>#N/A</v>
        <stp/>
        <stp>BDH|9221536777466959824</stp>
        <tr r="O28" s="34"/>
      </tp>
      <tp t="e">
        <v>#N/A</v>
        <stp/>
        <stp>BDH|4823064151684637040</stp>
        <tr r="J37" s="12"/>
      </tp>
      <tp t="e">
        <v>#N/A</v>
        <stp/>
        <stp>BDH|1533504510783915312</stp>
        <tr r="N71" s="13"/>
      </tp>
      <tp t="e">
        <v>#N/A</v>
        <stp/>
        <stp>BDH|1911017333214366350</stp>
        <tr r="Q60" s="17"/>
      </tp>
      <tp t="e">
        <v>#N/A</v>
        <stp/>
        <stp>BDH|6202606996608157487</stp>
        <tr r="J41" s="24"/>
      </tp>
      <tp t="e">
        <v>#N/A</v>
        <stp/>
        <stp>BDH|8717410618680364803</stp>
        <tr r="T26" s="11"/>
        <tr r="T37" s="10"/>
      </tp>
      <tp t="e">
        <v>#N/A</v>
        <stp/>
        <stp>BDH|2623770466030341693</stp>
        <tr r="K62" s="18"/>
      </tp>
      <tp t="e">
        <v>#N/A</v>
        <stp/>
        <stp>BDH|9904451190804359529</stp>
        <tr r="Q43" s="26"/>
      </tp>
      <tp t="e">
        <v>#N/A</v>
        <stp/>
        <stp>BDH|8462291664221523813</stp>
        <tr r="G54" s="34"/>
      </tp>
      <tp t="e">
        <v>#N/A</v>
        <stp/>
        <stp>BDH|7689431871128184984</stp>
        <tr r="N95" s="12"/>
      </tp>
      <tp t="e">
        <v>#N/A</v>
        <stp/>
        <stp>BDH|6363016954352350482</stp>
        <tr r="S64" s="24"/>
      </tp>
      <tp t="e">
        <v>#N/A</v>
        <stp/>
        <stp>BDH|2437340718333115647</stp>
        <tr r="Z70" s="13"/>
      </tp>
      <tp t="e">
        <v>#N/A</v>
        <stp/>
        <stp>BDH|4515305349294939283</stp>
        <tr r="P95" s="18"/>
      </tp>
      <tp t="e">
        <v>#N/A</v>
        <stp/>
        <stp>BDH|1891363499338977638</stp>
        <tr r="S8" s="28"/>
      </tp>
      <tp t="e">
        <v>#N/A</v>
        <stp/>
        <stp>BDH|7847367801344072521</stp>
        <tr r="F13" s="10"/>
      </tp>
      <tp t="e">
        <v>#N/A</v>
        <stp/>
        <stp>BDH|2489983694736768123</stp>
        <tr r="W108" s="18"/>
      </tp>
      <tp t="e">
        <v>#N/A</v>
        <stp/>
        <stp>BDH|8944862596758494401</stp>
        <tr r="I8" s="10"/>
      </tp>
      <tp t="e">
        <v>#N/A</v>
        <stp/>
        <stp>BDH|9601987497835276961</stp>
        <tr r="U76" s="17"/>
      </tp>
      <tp t="e">
        <v>#N/A</v>
        <stp/>
        <stp>BDH|2422910759958471354</stp>
        <tr r="D37" s="18"/>
      </tp>
      <tp t="e">
        <v>#N/A</v>
        <stp/>
        <stp>BDH|9055742599951344332</stp>
        <tr r="Y66" s="24"/>
      </tp>
      <tp t="e">
        <v>#N/A</v>
        <stp/>
        <stp>BDH|8459912905612503689</stp>
        <tr r="H61" s="17"/>
      </tp>
      <tp t="e">
        <v>#N/A</v>
        <stp/>
        <stp>BDH|2816609003561275041</stp>
        <tr r="Q23" s="25"/>
      </tp>
      <tp t="e">
        <v>#N/A</v>
        <stp/>
        <stp>BDH|2944053151507986590</stp>
        <tr r="C42" s="17"/>
      </tp>
      <tp t="e">
        <v>#N/A</v>
        <stp/>
        <stp>BDH|6237599750787700417</stp>
        <tr r="L54" s="12"/>
      </tp>
      <tp t="e">
        <v>#N/A</v>
        <stp/>
        <stp>BDH|2557917187872709497</stp>
        <tr r="T8" s="17"/>
      </tp>
      <tp t="e">
        <v>#N/A</v>
        <stp/>
        <stp>BDH|5210249266173512784</stp>
        <tr r="N32" s="18"/>
      </tp>
      <tp t="e">
        <v>#N/A</v>
        <stp/>
        <stp>BDH|5699196574746216045</stp>
        <tr r="O58" s="18"/>
      </tp>
      <tp t="e">
        <v>#N/A</v>
        <stp/>
        <stp>BDH|7016392176216066028</stp>
        <tr r="P33" s="12"/>
      </tp>
      <tp t="e">
        <v>#N/A</v>
        <stp/>
        <stp>BDH|4942956995935535417</stp>
        <tr r="U20" s="28"/>
        <tr r="U17" s="17"/>
      </tp>
      <tp t="e">
        <v>#N/A</v>
        <stp/>
        <stp>BDH|1194621975270265593</stp>
        <tr r="R33" s="21"/>
      </tp>
      <tp t="e">
        <v>#N/A</v>
        <stp/>
        <stp>BDH|1491792338104138496</stp>
        <tr r="N147" s="18"/>
      </tp>
      <tp t="e">
        <v>#N/A</v>
        <stp/>
        <stp>BDH|6088552381696933801</stp>
        <tr r="AA49" s="22"/>
      </tp>
      <tp t="e">
        <v>#N/A</v>
        <stp/>
        <stp>BDH|2346095671657011797</stp>
        <tr r="C28" s="22"/>
      </tp>
      <tp t="e">
        <v>#N/A</v>
        <stp/>
        <stp>BDH|9609123788741679482</stp>
        <tr r="U86" s="12"/>
      </tp>
      <tp t="e">
        <v>#N/A</v>
        <stp/>
        <stp>BDH|1316864952279246072</stp>
        <tr r="G45" s="12"/>
      </tp>
      <tp t="e">
        <v>#N/A</v>
        <stp/>
        <stp>BDH|3166335373166043436</stp>
        <tr r="X21" s="18"/>
      </tp>
      <tp t="e">
        <v>#N/A</v>
        <stp/>
        <stp>BDH|6275043874661157514</stp>
        <tr r="S11" s="20"/>
        <tr r="S116" s="18"/>
      </tp>
      <tp t="e">
        <v>#N/A</v>
        <stp/>
        <stp>BDH|7905244371545608282</stp>
        <tr r="Z18" s="28"/>
        <tr r="Z15" s="17"/>
      </tp>
      <tp t="e">
        <v>#N/A</v>
        <stp/>
        <stp>BDH|3773326845600420167</stp>
        <tr r="P48" s="17"/>
      </tp>
      <tp t="e">
        <v>#N/A</v>
        <stp/>
        <stp>BDH|9781993069287482413</stp>
        <tr r="O49" s="18"/>
      </tp>
      <tp t="e">
        <v>#N/A</v>
        <stp/>
        <stp>BDH|3910888810558099730</stp>
        <tr r="Y45" s="17"/>
      </tp>
      <tp t="e">
        <v>#N/A</v>
        <stp/>
        <stp>BDH|9240293998243111401</stp>
        <tr r="E18" s="12"/>
      </tp>
      <tp t="e">
        <v>#N/A</v>
        <stp/>
        <stp>BDH|4478576371633843086</stp>
        <tr r="K12" s="11"/>
      </tp>
      <tp t="e">
        <v>#N/A</v>
        <stp/>
        <stp>BDH|6569171917230277356</stp>
        <tr r="W22" s="25"/>
      </tp>
      <tp t="e">
        <v>#N/A</v>
        <stp/>
        <stp>BDH|3857451581183868967</stp>
        <tr r="I27" s="11"/>
        <tr r="I38" s="10"/>
      </tp>
      <tp t="e">
        <v>#N/A</v>
        <stp/>
        <stp>BDH|4833741086687008980</stp>
        <tr r="Z12" s="24"/>
      </tp>
      <tp t="e">
        <v>#N/A</v>
        <stp/>
        <stp>BDH|7766593908731441602</stp>
        <tr r="I31" s="14"/>
      </tp>
      <tp t="e">
        <v>#N/A</v>
        <stp/>
        <stp>BDH|9297100590951149510</stp>
        <tr r="AA43" s="26"/>
      </tp>
      <tp t="e">
        <v>#N/A</v>
        <stp/>
        <stp>BDH|3138326844712208376</stp>
        <tr r="L123" s="18"/>
      </tp>
      <tp t="e">
        <v>#N/A</v>
        <stp/>
        <stp>BDH|9010760485686746567</stp>
        <tr r="D93" s="12"/>
      </tp>
      <tp t="e">
        <v>#N/A</v>
        <stp/>
        <stp>BDH|2045252702760052553</stp>
        <tr r="Y69" s="24"/>
      </tp>
      <tp t="e">
        <v>#N/A</v>
        <stp/>
        <stp>BDH|8242265052053407906</stp>
        <tr r="R67" s="24"/>
      </tp>
      <tp t="e">
        <v>#N/A</v>
        <stp/>
        <stp>BDH|1183349536623339723</stp>
        <tr r="S40" s="18"/>
      </tp>
      <tp t="e">
        <v>#N/A</v>
        <stp/>
        <stp>BDH|7426290301099905975</stp>
        <tr r="R21" s="2"/>
      </tp>
      <tp t="e">
        <v>#N/A</v>
        <stp/>
        <stp>BDH|2542622121391351277</stp>
        <tr r="AA52" s="18"/>
      </tp>
      <tp t="e">
        <v>#N/A</v>
        <stp/>
        <stp>BDH|3551704813289431906</stp>
        <tr r="AA84" s="12"/>
      </tp>
      <tp t="e">
        <v>#N/A</v>
        <stp/>
        <stp>BDH|1446237432343004676</stp>
        <tr r="M60" s="21"/>
        <tr r="K55" s="11"/>
      </tp>
      <tp t="e">
        <v>#N/A</v>
        <stp/>
        <stp>BDH|7133100644443292458</stp>
        <tr r="V15" s="9"/>
      </tp>
      <tp t="e">
        <v>#N/A</v>
        <stp/>
        <stp>BDH|3649609455674546149</stp>
        <tr r="M10" s="13"/>
      </tp>
      <tp t="e">
        <v>#N/A</v>
        <stp/>
        <stp>BDH|7730112445680030712</stp>
        <tr r="D9" s="21"/>
      </tp>
      <tp t="e">
        <v>#N/A</v>
        <stp/>
        <stp>BDH|2882510069564545070</stp>
        <tr r="W25" s="24"/>
      </tp>
      <tp t="e">
        <v>#N/A</v>
        <stp/>
        <stp>BDH|3112782661804345396</stp>
        <tr r="J48" s="13"/>
      </tp>
      <tp t="e">
        <v>#N/A</v>
        <stp/>
        <stp>BDH|1021651007890353237</stp>
        <tr r="H33" s="17"/>
      </tp>
      <tp t="e">
        <v>#N/A</v>
        <stp/>
        <stp>BDH|1753612440082178458</stp>
        <tr r="G45" s="21"/>
      </tp>
      <tp t="e">
        <v>#N/A</v>
        <stp/>
        <stp>BDH|4506141211509696845</stp>
        <tr r="W56" s="24"/>
      </tp>
      <tp t="e">
        <v>#N/A</v>
        <stp/>
        <stp>BDH|6370600475875771733</stp>
        <tr r="G21" s="5"/>
      </tp>
      <tp t="e">
        <v>#N/A</v>
        <stp/>
        <stp>BDH|7562862080862837094</stp>
        <tr r="L122" s="18"/>
      </tp>
      <tp t="e">
        <v>#N/A</v>
        <stp/>
        <stp>BDH|3776570889849367282</stp>
        <tr r="V17" s="9"/>
      </tp>
      <tp t="e">
        <v>#N/A</v>
        <stp/>
        <stp>BDH|4076880827222491997</stp>
        <tr r="O21" s="17"/>
      </tp>
      <tp t="e">
        <v>#N/A</v>
        <stp/>
        <stp>BDH|2311429513205045704</stp>
        <tr r="V22" s="24"/>
      </tp>
      <tp t="e">
        <v>#N/A</v>
        <stp/>
        <stp>BDH|9446570567839362650</stp>
        <tr r="L95" s="18"/>
      </tp>
      <tp t="e">
        <v>#N/A</v>
        <stp/>
        <stp>BDH|6669541493626592962</stp>
        <tr r="F108" s="18"/>
      </tp>
      <tp t="e">
        <v>#N/A</v>
        <stp/>
        <stp>BDH|8060478951618015444</stp>
        <tr r="P18" s="27"/>
        <tr r="P36" s="25"/>
      </tp>
      <tp t="e">
        <v>#N/A</v>
        <stp/>
        <stp>BDH|5400273935673100258</stp>
        <tr r="F38" s="25"/>
        <tr r="F92" s="17"/>
      </tp>
      <tp t="e">
        <v>#N/A</v>
        <stp/>
        <stp>BDH|5983645816357964005</stp>
        <tr r="J56" s="6"/>
      </tp>
      <tp t="e">
        <v>#N/A</v>
        <stp/>
        <stp>BDH|1308597369683292434</stp>
        <tr r="E19" s="12"/>
      </tp>
      <tp t="e">
        <v>#N/A</v>
        <stp/>
        <stp>BDH|2431899670150661891</stp>
        <tr r="S7" s="4"/>
      </tp>
      <tp t="e">
        <v>#N/A</v>
        <stp/>
        <stp>BDH|3720740232313680155</stp>
        <tr r="D74" s="18"/>
      </tp>
      <tp t="e">
        <v>#N/A</v>
        <stp/>
        <stp>BDH|5292799138874857091</stp>
        <tr r="Z89" s="12"/>
      </tp>
      <tp t="e">
        <v>#N/A</v>
        <stp/>
        <stp>BDH|8273354152713289850</stp>
        <tr r="E103" s="18"/>
      </tp>
      <tp t="e">
        <v>#N/A</v>
        <stp/>
        <stp>BDH|5076647512915032245</stp>
        <tr r="W171" s="18"/>
      </tp>
      <tp t="e">
        <v>#N/A</v>
        <stp/>
        <stp>BDH|3403760307172393346</stp>
        <tr r="H39" s="18"/>
      </tp>
      <tp t="e">
        <v>#N/A</v>
        <stp/>
        <stp>BDH|7706192428118487905</stp>
        <tr r="U8" s="14"/>
      </tp>
      <tp t="e">
        <v>#N/A</v>
        <stp/>
        <stp>BDH|8588229544993910887</stp>
        <tr r="M28" s="14"/>
      </tp>
      <tp t="e">
        <v>#N/A</v>
        <stp/>
        <stp>BDH|3272147412847722114</stp>
        <tr r="T40" s="21"/>
      </tp>
      <tp t="e">
        <v>#N/A</v>
        <stp/>
        <stp>BDH|3315317134160781631</stp>
        <tr r="X79" s="18"/>
      </tp>
      <tp t="e">
        <v>#N/A</v>
        <stp/>
        <stp>BDH|7388862887007718575</stp>
        <tr r="V79" s="12"/>
      </tp>
      <tp t="e">
        <v>#N/A</v>
        <stp/>
        <stp>BDH|2016017839434238090</stp>
        <tr r="I17" s="13"/>
      </tp>
      <tp t="e">
        <v>#N/A</v>
        <stp/>
        <stp>BDH|9014448522878006250</stp>
        <tr r="W31" s="5"/>
      </tp>
      <tp t="e">
        <v>#N/A</v>
        <stp/>
        <stp>BDH|4740020927326445552</stp>
        <tr r="S41" s="13"/>
        <tr r="Q23" s="10"/>
        <tr r="Q46" s="4"/>
      </tp>
      <tp t="e">
        <v>#N/A</v>
        <stp/>
        <stp>BDH|6050460154411558345</stp>
        <tr r="F71" s="18"/>
      </tp>
      <tp t="e">
        <v>#N/A</v>
        <stp/>
        <stp>BDH|5050345407652647162</stp>
        <tr r="P62" s="18"/>
      </tp>
      <tp t="e">
        <v>#N/A</v>
        <stp/>
        <stp>BDH|1886040758539345849</stp>
        <tr r="H159" s="18"/>
      </tp>
      <tp t="e">
        <v>#N/A</v>
        <stp/>
        <stp>BDH|4667375245334007270</stp>
        <tr r="Z30" s="17"/>
      </tp>
      <tp t="e">
        <v>#N/A</v>
        <stp/>
        <stp>BDH|2185764905993516344</stp>
        <tr r="I27" s="24"/>
      </tp>
      <tp t="e">
        <v>#N/A</v>
        <stp/>
        <stp>BDH|7326694769502964096</stp>
        <tr r="G32" s="5"/>
      </tp>
      <tp t="e">
        <v>#N/A</v>
        <stp/>
        <stp>BDH|7149883308443248904</stp>
        <tr r="K56" s="12"/>
      </tp>
      <tp t="e">
        <v>#N/A</v>
        <stp/>
        <stp>BDH|1329467110969489827</stp>
        <tr r="K16" s="23"/>
      </tp>
      <tp t="e">
        <v>#N/A</v>
        <stp/>
        <stp>BDH|3529731233671343352</stp>
        <tr r="W13" s="18"/>
      </tp>
      <tp t="e">
        <v>#N/A</v>
        <stp/>
        <stp>BDH|2535790725421257380</stp>
        <tr r="R19" s="26"/>
      </tp>
      <tp t="e">
        <v>#N/A</v>
        <stp/>
        <stp>BDH|5074112671543511563</stp>
        <tr r="D65" s="18"/>
      </tp>
      <tp t="e">
        <v>#N/A</v>
        <stp/>
        <stp>BDH|6063955483556610435</stp>
        <tr r="K42" s="34"/>
      </tp>
      <tp t="e">
        <v>#N/A</v>
        <stp/>
        <stp>BDH|4247158521027273579</stp>
        <tr r="U54" s="17"/>
        <tr r="U17" s="3"/>
      </tp>
      <tp t="e">
        <v>#N/A</v>
        <stp/>
        <stp>BDH|2932075123920837569</stp>
        <tr r="H79" s="12"/>
      </tp>
      <tp t="e">
        <v>#N/A</v>
        <stp/>
        <stp>BDH|7564544385699318640</stp>
        <tr r="R15" s="4"/>
      </tp>
      <tp t="e">
        <v>#N/A</v>
        <stp/>
        <stp>BDH|2271782442266273295</stp>
        <tr r="J150" s="18"/>
      </tp>
      <tp t="e">
        <v>#N/A</v>
        <stp/>
        <stp>BDH|3950186720491563474</stp>
        <tr r="H83" s="18"/>
      </tp>
      <tp t="e">
        <v>#N/A</v>
        <stp/>
        <stp>BDH|6151767841136625634</stp>
        <tr r="N9" s="26"/>
      </tp>
      <tp t="e">
        <v>#N/A</v>
        <stp/>
        <stp>BDH|1392387608711091604</stp>
        <tr r="Y63" s="12"/>
      </tp>
      <tp t="e">
        <v>#N/A</v>
        <stp/>
        <stp>BDH|4793572436007687037</stp>
        <tr r="R127" s="18"/>
      </tp>
      <tp t="e">
        <v>#N/A</v>
        <stp/>
        <stp>BDH|8120971371617501411</stp>
        <tr r="M11" s="11"/>
      </tp>
      <tp t="e">
        <v>#N/A</v>
        <stp/>
        <stp>BDH|3627773818014953433</stp>
        <tr r="S70" s="18"/>
      </tp>
      <tp t="e">
        <v>#N/A</v>
        <stp/>
        <stp>BDH|3395582296108788295</stp>
        <tr r="L39" s="6"/>
      </tp>
      <tp t="e">
        <v>#N/A</v>
        <stp/>
        <stp>BDH|7658420713040051747</stp>
        <tr r="Y19" s="11"/>
      </tp>
      <tp t="e">
        <v>#N/A</v>
        <stp/>
        <stp>BDH|6240124737082114356</stp>
        <tr r="I152" s="18"/>
      </tp>
      <tp t="e">
        <v>#N/A</v>
        <stp/>
        <stp>BDH|2025669414052043219</stp>
        <tr r="J27" s="13"/>
      </tp>
      <tp t="e">
        <v>#N/A</v>
        <stp/>
        <stp>BDH|4812566319027164257</stp>
        <tr r="D108" s="18"/>
      </tp>
      <tp t="e">
        <v>#N/A</v>
        <stp/>
        <stp>BDH|6817133866484924072</stp>
        <tr r="T8" s="34"/>
      </tp>
      <tp t="e">
        <v>#N/A</v>
        <stp/>
        <stp>BDH|7959681204657047360</stp>
        <tr r="W21" s="24"/>
      </tp>
      <tp t="e">
        <v>#N/A</v>
        <stp/>
        <stp>BDH|5749202023966404639</stp>
        <tr r="H17" s="5"/>
        <tr r="H36" s="6"/>
      </tp>
      <tp t="e">
        <v>#N/A</v>
        <stp/>
        <stp>BDH|5643552614962574611</stp>
        <tr r="C54" s="34"/>
      </tp>
      <tp t="e">
        <v>#N/A</v>
        <stp/>
        <stp>BDH|9733930242941506003</stp>
        <tr r="P50" s="17"/>
      </tp>
      <tp t="e">
        <v>#N/A</v>
        <stp/>
        <stp>BDH|6214368355886112339</stp>
        <tr r="P160" s="18"/>
      </tp>
      <tp t="e">
        <v>#N/A</v>
        <stp/>
        <stp>BDH|9884586227899570218</stp>
        <tr r="D20" s="10"/>
      </tp>
      <tp t="e">
        <v>#N/A</v>
        <stp/>
        <stp>BDH|9531754151856112836</stp>
        <tr r="V20" s="5"/>
      </tp>
      <tp t="e">
        <v>#N/A</v>
        <stp/>
        <stp>BDH|6909717999908501576</stp>
        <tr r="AA12" s="20"/>
        <tr r="AA117" s="18"/>
      </tp>
      <tp t="e">
        <v>#N/A</v>
        <stp/>
        <stp>BDH|6311655080059446418</stp>
        <tr r="P9" s="20"/>
        <tr r="P115" s="18"/>
      </tp>
      <tp t="e">
        <v>#N/A</v>
        <stp/>
        <stp>BDH|7857516605432990566</stp>
        <tr r="P18" s="26"/>
      </tp>
      <tp t="e">
        <v>#N/A</v>
        <stp/>
        <stp>BDH|4479819698435720590</stp>
        <tr r="L42" s="17"/>
      </tp>
      <tp t="e">
        <v>#N/A</v>
        <stp/>
        <stp>BDH|6626264405871237046</stp>
        <tr r="R58" s="24"/>
      </tp>
      <tp t="e">
        <v>#N/A</v>
        <stp/>
        <stp>BDH|7983290012065867495</stp>
        <tr r="M49" s="18"/>
      </tp>
      <tp t="e">
        <v>#N/A</v>
        <stp/>
        <stp>BDH|9396526287752749327</stp>
        <tr r="P156" s="18"/>
      </tp>
      <tp t="e">
        <v>#N/A</v>
        <stp/>
        <stp>BDH|3528954911086250808</stp>
        <tr r="G30" s="18"/>
      </tp>
      <tp t="e">
        <v>#N/A</v>
        <stp/>
        <stp>BDH|6000235221280843398</stp>
        <tr r="X7" s="17"/>
      </tp>
      <tp t="e">
        <v>#N/A</v>
        <stp/>
        <stp>BDH|2874432955975870350</stp>
        <tr r="I88" s="12"/>
      </tp>
      <tp t="e">
        <v>#N/A</v>
        <stp/>
        <stp>BDH|7450586104567850039</stp>
        <tr r="H20" s="24"/>
      </tp>
      <tp t="e">
        <v>#N/A</v>
        <stp/>
        <stp>BDH|2728751761971321732</stp>
        <tr r="V20" s="24"/>
      </tp>
      <tp t="e">
        <v>#N/A</v>
        <stp/>
        <stp>BDH|5619139815794019433</stp>
        <tr r="H7" s="24"/>
      </tp>
      <tp t="e">
        <v>#N/A</v>
        <stp/>
        <stp>BDH|9546209283366431010</stp>
        <tr r="D65" s="24"/>
      </tp>
      <tp t="e">
        <v>#N/A</v>
        <stp/>
        <stp>BDH|7567150850606442079</stp>
        <tr r="X58" s="12"/>
      </tp>
      <tp t="e">
        <v>#N/A</v>
        <stp/>
        <stp>BDH|5064718847271445215</stp>
        <tr r="S30" s="21"/>
      </tp>
      <tp t="e">
        <v>#N/A</v>
        <stp/>
        <stp>BDH|1320258871421175054</stp>
        <tr r="Q142" s="18"/>
      </tp>
      <tp t="e">
        <v>#N/A</v>
        <stp/>
        <stp>BDH|3614064369924823422</stp>
        <tr r="I43" s="6"/>
      </tp>
      <tp t="e">
        <v>#N/A</v>
        <stp/>
        <stp>BDH|2178609620380147335</stp>
        <tr r="F126" s="18"/>
      </tp>
      <tp t="e">
        <v>#N/A</v>
        <stp/>
        <stp>BDH|7837139539442867294</stp>
        <tr r="M23" s="22"/>
      </tp>
      <tp t="e">
        <v>#N/A</v>
        <stp/>
        <stp>BDH|6194313461807389116</stp>
        <tr r="Q48" s="22"/>
      </tp>
      <tp t="e">
        <v>#N/A</v>
        <stp/>
        <stp>BDH|2226463315416480462</stp>
        <tr r="Q46" s="22"/>
      </tp>
      <tp t="e">
        <v>#N/A</v>
        <stp/>
        <stp>BDH|3696505007890129339</stp>
        <tr r="F32" s="6"/>
      </tp>
      <tp t="e">
        <v>#N/A</v>
        <stp/>
        <stp>BDH|6305059437568425861</stp>
        <tr r="V19" s="5"/>
        <tr r="V46" s="6"/>
      </tp>
      <tp t="e">
        <v>#N/A</v>
        <stp/>
        <stp>BDH|7152028696023444826</stp>
        <tr r="F68" s="12"/>
      </tp>
      <tp t="e">
        <v>#N/A</v>
        <stp/>
        <stp>BDH|3166719276013548504</stp>
        <tr r="P52" s="22"/>
      </tp>
      <tp t="e">
        <v>#N/A</v>
        <stp/>
        <stp>BDH|7967843959099223659</stp>
        <tr r="N9" s="11"/>
      </tp>
      <tp t="e">
        <v>#N/A</v>
        <stp/>
        <stp>BDH|9658055507804106866</stp>
        <tr r="P9" s="10"/>
      </tp>
      <tp t="e">
        <v>#N/A</v>
        <stp/>
        <stp>BDH|2761343252722222331</stp>
        <tr r="H35" s="11"/>
        <tr r="H46" s="10"/>
      </tp>
      <tp t="e">
        <v>#N/A</v>
        <stp/>
        <stp>BDH|9128550534379363336</stp>
        <tr r="K111" s="18"/>
      </tp>
      <tp t="e">
        <v>#N/A</v>
        <stp/>
        <stp>BDH|7561092678211402406</stp>
        <tr r="D22" s="6"/>
      </tp>
      <tp t="e">
        <v>#N/A</v>
        <stp/>
        <stp>BDH|5363453242796154657</stp>
        <tr r="J32" s="24"/>
      </tp>
      <tp t="e">
        <v>#N/A</v>
        <stp/>
        <stp>BDH|4114653942843031069</stp>
        <tr r="U16" s="34"/>
      </tp>
      <tp t="e">
        <v>#N/A</v>
        <stp/>
        <stp>BDH|7951686756679649811</stp>
        <tr r="K8" s="25"/>
        <tr r="H10" s="5"/>
        <tr r="I9" s="2"/>
      </tp>
      <tp t="e">
        <v>#N/A</v>
        <stp/>
        <stp>BDH|4119685474879490995</stp>
        <tr r="V63" s="21"/>
      </tp>
      <tp t="e">
        <v>#N/A</v>
        <stp/>
        <stp>BDH|2655378064433033159</stp>
        <tr r="D33" s="11"/>
        <tr r="D44" s="10"/>
      </tp>
      <tp t="e">
        <v>#N/A</v>
        <stp/>
        <stp>BDH|7622945456689518713</stp>
        <tr r="R11" s="6"/>
      </tp>
      <tp t="e">
        <v>#N/A</v>
        <stp/>
        <stp>BDH|6348179047026463078</stp>
        <tr r="U24" s="5"/>
      </tp>
      <tp t="e">
        <v>#N/A</v>
        <stp/>
        <stp>BDH|1456206177177550665</stp>
        <tr r="J160" s="18"/>
      </tp>
      <tp t="e">
        <v>#N/A</v>
        <stp/>
        <stp>BDH|3513177303054567342</stp>
        <tr r="U20" s="14"/>
      </tp>
      <tp t="e">
        <v>#N/A</v>
        <stp/>
        <stp>BDH|7503880498073447011</stp>
        <tr r="R27" s="25"/>
        <tr r="P20" s="11"/>
      </tp>
      <tp t="e">
        <v>#N/A</v>
        <stp/>
        <stp>BDH|8420569183643315329</stp>
        <tr r="D18" s="22"/>
      </tp>
      <tp t="e">
        <v>#N/A</v>
        <stp/>
        <stp>BDH|6929783353621319013</stp>
        <tr r="R61" s="24"/>
      </tp>
      <tp t="e">
        <v>#N/A</v>
        <stp/>
        <stp>BDH|8813227498390701650</stp>
        <tr r="Z32" s="26"/>
      </tp>
      <tp t="e">
        <v>#N/A</v>
        <stp/>
        <stp>BDH|9538532470728617602</stp>
        <tr r="J32" s="12"/>
      </tp>
      <tp t="e">
        <v>#N/A</v>
        <stp/>
        <stp>BDH|6820503977713833270</stp>
        <tr r="E9" s="18"/>
      </tp>
      <tp t="e">
        <v>#N/A</v>
        <stp/>
        <stp>BDH|1329670233292546320</stp>
        <tr r="G15" s="25"/>
      </tp>
      <tp t="e">
        <v>#N/A</v>
        <stp/>
        <stp>BDH|2580379354541243044</stp>
        <tr r="N17" s="22"/>
      </tp>
      <tp t="e">
        <v>#N/A</v>
        <stp/>
        <stp>BDH|9762369462378605158</stp>
        <tr r="X11" s="7"/>
      </tp>
      <tp t="e">
        <v>#N/A</v>
        <stp/>
        <stp>BDH|4574548523130185632</stp>
        <tr r="M32" s="12"/>
      </tp>
      <tp t="e">
        <v>#N/A</v>
        <stp/>
        <stp>BDH|7965397540833093604</stp>
        <tr r="L26" s="29"/>
      </tp>
      <tp t="e">
        <v>#N/A</v>
        <stp/>
        <stp>BDH|4134564842154711423</stp>
        <tr r="C42" s="22"/>
      </tp>
      <tp t="e">
        <v>#N/A</v>
        <stp/>
        <stp>BDH|5617493748897773709</stp>
        <tr r="V54" s="24"/>
      </tp>
      <tp t="e">
        <v>#N/A</v>
        <stp/>
        <stp>BDH|7869726463580926300</stp>
        <tr r="C35" s="4"/>
      </tp>
      <tp t="e">
        <v>#N/A</v>
        <stp/>
        <stp>BDH|6880738858098425974</stp>
        <tr r="J34" s="18"/>
      </tp>
      <tp t="e">
        <v>#N/A</v>
        <stp/>
        <stp>BDH|4449923596115893489</stp>
        <tr r="P15" s="21"/>
      </tp>
      <tp t="e">
        <v>#N/A</v>
        <stp/>
        <stp>BDH|4679494462482591187</stp>
        <tr r="G60" s="21"/>
        <tr r="E55" s="11"/>
      </tp>
      <tp t="e">
        <v>#N/A</v>
        <stp/>
        <stp>BDH|3445502623631101069</stp>
        <tr r="U7" s="2"/>
        <tr r="T7" s="9"/>
        <tr r="T7" s="5"/>
        <tr r="W14" s="3"/>
      </tp>
      <tp t="e">
        <v>#N/A</v>
        <stp/>
        <stp>BDH|8776215620978645506</stp>
        <tr r="E9" s="28"/>
      </tp>
      <tp t="e">
        <v>#N/A</v>
        <stp/>
        <stp>BDH|3700180984887390889</stp>
        <tr r="Q26" s="29"/>
      </tp>
      <tp t="e">
        <v>#N/A</v>
        <stp/>
        <stp>BDH|6948017027822927361</stp>
        <tr r="I40" s="13"/>
        <tr r="G33" s="10"/>
      </tp>
      <tp t="e">
        <v>#N/A</v>
        <stp/>
        <stp>BDH|9288544974747578974</stp>
        <tr r="V32" s="5"/>
      </tp>
      <tp t="e">
        <v>#N/A</v>
        <stp/>
        <stp>BDH|5536343953092408468</stp>
        <tr r="O13" s="22"/>
      </tp>
      <tp t="e">
        <v>#N/A</v>
        <stp/>
        <stp>BDH|8233118110204309901</stp>
        <tr r="H51" s="13"/>
      </tp>
      <tp t="e">
        <v>#N/A</v>
        <stp/>
        <stp>BDH|7027529063547372622</stp>
        <tr r="N9" s="23"/>
      </tp>
      <tp t="e">
        <v>#N/A</v>
        <stp/>
        <stp>BDH|3057284728631150719</stp>
        <tr r="N49" s="13"/>
      </tp>
      <tp t="e">
        <v>#N/A</v>
        <stp/>
        <stp>BDH|1293243277559211834</stp>
        <tr r="R21" s="11"/>
      </tp>
      <tp t="e">
        <v>#N/A</v>
        <stp/>
        <stp>BDH|7641674611091628468</stp>
        <tr r="M92" s="18"/>
      </tp>
      <tp t="e">
        <v>#N/A</v>
        <stp/>
        <stp>BDH|8678339984957392124</stp>
        <tr r="W99" s="18"/>
      </tp>
      <tp t="e">
        <v>#N/A</v>
        <stp/>
        <stp>BDH|3898985079238855011</stp>
        <tr r="O21" s="20"/>
      </tp>
      <tp t="e">
        <v>#N/A</v>
        <stp/>
        <stp>BDH|7181575465350568162</stp>
        <tr r="J49" s="4"/>
      </tp>
      <tp t="e">
        <v>#N/A</v>
        <stp/>
        <stp>BDH|2385654460072532532</stp>
        <tr r="Q41" s="25"/>
        <tr r="Q59" s="21"/>
        <tr r="O54" s="11"/>
        <tr r="O31" s="4"/>
      </tp>
      <tp t="e">
        <v>#N/A</v>
        <stp/>
        <stp>BDH|6502177259471976628</stp>
        <tr r="W94" s="18"/>
      </tp>
      <tp t="e">
        <v>#N/A</v>
        <stp/>
        <stp>BDH|5310516920170222708</stp>
        <tr r="Z13" s="22"/>
      </tp>
      <tp t="e">
        <v>#N/A</v>
        <stp/>
        <stp>BDH|8380380785091964772</stp>
        <tr r="D27" s="13"/>
      </tp>
      <tp t="e">
        <v>#N/A</v>
        <stp/>
        <stp>BDH|3181334975253175166</stp>
        <tr r="K34" s="11"/>
        <tr r="K45" s="10"/>
      </tp>
      <tp t="e">
        <v>#N/A</v>
        <stp/>
        <stp>BDH|1798094185615973923</stp>
        <tr r="L11" s="13"/>
      </tp>
      <tp t="e">
        <v>#N/A</v>
        <stp/>
        <stp>BDH|4361853821018024379</stp>
        <tr r="W9" s="13"/>
      </tp>
      <tp t="e">
        <v>#N/A</v>
        <stp/>
        <stp>BDH|2957651167023841421</stp>
        <tr r="H60" s="18"/>
      </tp>
      <tp t="e">
        <v>#N/A</v>
        <stp/>
        <stp>BDH|7497448035564663123</stp>
        <tr r="C15" s="30"/>
      </tp>
      <tp t="e">
        <v>#N/A</v>
        <stp/>
        <stp>BDH|8210330885762773420</stp>
        <tr r="Q31" s="5"/>
      </tp>
      <tp t="e">
        <v>#N/A</v>
        <stp/>
        <stp>BDH|4722726959564854755</stp>
        <tr r="U22" s="26"/>
      </tp>
      <tp t="e">
        <v>#N/A</v>
        <stp/>
        <stp>BDH|1437333237144161007</stp>
        <tr r="T13" s="2"/>
      </tp>
      <tp t="e">
        <v>#N/A</v>
        <stp/>
        <stp>BDH|1692279968582863203</stp>
        <tr r="Y34" s="21"/>
      </tp>
      <tp t="e">
        <v>#N/A</v>
        <stp/>
        <stp>BDH|9038766556188044610</stp>
        <tr r="J23" s="29"/>
        <tr r="J37" s="29"/>
        <tr r="J14" s="29"/>
      </tp>
      <tp t="e">
        <v>#N/A</v>
        <stp/>
        <stp>BDH|2395280458464393416</stp>
        <tr r="W149" s="18"/>
      </tp>
      <tp t="e">
        <v>#N/A</v>
        <stp/>
        <stp>BDH|3554227264742074020</stp>
        <tr r="J135" s="18"/>
      </tp>
      <tp t="e">
        <v>#N/A</v>
        <stp/>
        <stp>BDH|7261042819893990077</stp>
        <tr r="E13" s="24"/>
      </tp>
      <tp t="e">
        <v>#N/A</v>
        <stp/>
        <stp>BDH|5635104050482221653</stp>
        <tr r="S14" s="34"/>
      </tp>
      <tp t="e">
        <v>#N/A</v>
        <stp/>
        <stp>BDH|3935629728605091720</stp>
        <tr r="U111" s="18"/>
      </tp>
      <tp t="e">
        <v>#N/A</v>
        <stp/>
        <stp>BDH|7833100823375942431</stp>
        <tr r="AA153" s="18"/>
      </tp>
      <tp t="e">
        <v>#N/A</v>
        <stp/>
        <stp>BDH|8140925638540236783</stp>
        <tr r="Q28" s="4"/>
      </tp>
      <tp t="e">
        <v>#N/A</v>
        <stp/>
        <stp>BDH|3307006874068027960</stp>
        <tr r="Q6" s="28"/>
      </tp>
      <tp t="e">
        <v>#N/A</v>
        <stp/>
        <stp>BDH|6391030400884646771</stp>
        <tr r="C90" s="18"/>
      </tp>
      <tp t="e">
        <v>#N/A</v>
        <stp/>
        <stp>BDH|5444857975536192948</stp>
        <tr r="X26" s="12"/>
      </tp>
      <tp t="e">
        <v>#N/A</v>
        <stp/>
        <stp>BDH|2664414616395754773</stp>
        <tr r="T23" s="21"/>
      </tp>
      <tp t="e">
        <v>#N/A</v>
        <stp/>
        <stp>BDH|8853852239376765024</stp>
        <tr r="P68" s="24"/>
      </tp>
      <tp t="e">
        <v>#N/A</v>
        <stp/>
        <stp>BDH|6443547350672682174</stp>
        <tr r="S20" s="27"/>
      </tp>
      <tp t="e">
        <v>#N/A</v>
        <stp/>
        <stp>BDH|2926219207307723293</stp>
        <tr r="H88" s="18"/>
      </tp>
      <tp t="e">
        <v>#N/A</v>
        <stp/>
        <stp>BDH|6041750458835466483</stp>
        <tr r="W8" s="11"/>
      </tp>
      <tp t="e">
        <v>#N/A</v>
        <stp/>
        <stp>BDH|7015036933676296731</stp>
        <tr r="W42" s="22"/>
      </tp>
      <tp t="e">
        <v>#N/A</v>
        <stp/>
        <stp>BDH|9469532827242768969</stp>
        <tr r="F49" s="34"/>
      </tp>
      <tp t="e">
        <v>#N/A</v>
        <stp/>
        <stp>BDH|3895076279867179669</stp>
        <tr r="L79" s="12"/>
      </tp>
      <tp t="e">
        <v>#N/A</v>
        <stp/>
        <stp>BDH|6188359262936551024</stp>
        <tr r="P24" s="29"/>
      </tp>
      <tp t="e">
        <v>#N/A</v>
        <stp/>
        <stp>BDH|5946098157516022360</stp>
        <tr r="L29" s="6"/>
      </tp>
      <tp t="e">
        <v>#N/A</v>
        <stp/>
        <stp>BDH|9331790317083594991</stp>
        <tr r="J23" s="25"/>
      </tp>
      <tp t="e">
        <v>#N/A</v>
        <stp/>
        <stp>BDH|3533719706158015930</stp>
        <tr r="H39" s="25"/>
      </tp>
      <tp t="e">
        <v>#N/A</v>
        <stp/>
        <stp>BDH|7716432029702590697</stp>
        <tr r="O103" s="18"/>
      </tp>
      <tp t="e">
        <v>#N/A</v>
        <stp/>
        <stp>BDH|8061445605950479947</stp>
        <tr r="R22" s="24"/>
      </tp>
      <tp t="e">
        <v>#N/A</v>
        <stp/>
        <stp>BDH|9623067822979500761</stp>
        <tr r="P29" s="14"/>
      </tp>
      <tp t="e">
        <v>#N/A</v>
        <stp/>
        <stp>BDH|7291066942717430136</stp>
        <tr r="AA12" s="24"/>
      </tp>
      <tp t="e">
        <v>#N/A</v>
        <stp/>
        <stp>BDH|2198532538764930522</stp>
        <tr r="T37" s="13"/>
        <tr r="R30" s="10"/>
      </tp>
      <tp t="e">
        <v>#N/A</v>
        <stp/>
        <stp>BDH|3385919605087147879</stp>
        <tr r="H70" s="24"/>
      </tp>
      <tp t="e">
        <v>#N/A</v>
        <stp/>
        <stp>BDH|1160088414697952251</stp>
        <tr r="V13" s="7"/>
      </tp>
      <tp t="e">
        <v>#N/A</v>
        <stp/>
        <stp>BDH|5430486328581294776</stp>
        <tr r="L37" s="22"/>
      </tp>
      <tp t="e">
        <v>#N/A</v>
        <stp/>
        <stp>BDH|4266389914621945262</stp>
        <tr r="I65" s="17"/>
      </tp>
      <tp t="e">
        <v>#N/A</v>
        <stp/>
        <stp>BDH|6785401360278601905</stp>
        <tr r="X17" s="27"/>
        <tr r="X35" s="25"/>
        <tr r="U14" s="5"/>
      </tp>
      <tp t="e">
        <v>#N/A</v>
        <stp/>
        <stp>BDH|3799681807751098198</stp>
        <tr r="K54" s="34"/>
      </tp>
      <tp t="e">
        <v>#N/A</v>
        <stp/>
        <stp>BDH|3990469038421904085</stp>
        <tr r="J75" s="24"/>
      </tp>
      <tp t="e">
        <v>#N/A</v>
        <stp/>
        <stp>BDH|4753339906506516419</stp>
        <tr r="L21" s="27"/>
      </tp>
      <tp t="e">
        <v>#N/A</v>
        <stp/>
        <stp>BDH|2185216181979535424</stp>
        <tr r="V11" s="9"/>
      </tp>
      <tp t="e">
        <v>#N/A</v>
        <stp/>
        <stp>BDH|5734245636428083939</stp>
        <tr r="S46" s="24"/>
      </tp>
      <tp t="e">
        <v>#N/A</v>
        <stp/>
        <stp>BDH|2273561077646203372</stp>
        <tr r="D29" s="9"/>
      </tp>
      <tp t="e">
        <v>#N/A</v>
        <stp/>
        <stp>BDH|4629863772208089649</stp>
        <tr r="C15" s="13"/>
      </tp>
      <tp t="e">
        <v>#N/A</v>
        <stp/>
        <stp>BDH|2471858172268287077</stp>
        <tr r="AA67" s="13"/>
      </tp>
      <tp t="e">
        <v>#N/A</v>
        <stp/>
        <stp>BDH|4478955295377620641</stp>
        <tr r="P83" s="12"/>
      </tp>
      <tp t="e">
        <v>#N/A</v>
        <stp/>
        <stp>BDH|1809735615537922510</stp>
        <tr r="D10" s="23"/>
      </tp>
      <tp t="e">
        <v>#N/A</v>
        <stp/>
        <stp>BDH|4685429025333778407</stp>
        <tr r="T15" s="34"/>
      </tp>
      <tp t="e">
        <v>#N/A</v>
        <stp/>
        <stp>BDH|2724314504043251766</stp>
        <tr r="O58" s="12"/>
      </tp>
      <tp t="e">
        <v>#N/A</v>
        <stp/>
        <stp>BDH|4954143657142864744</stp>
        <tr r="C86" s="18"/>
      </tp>
      <tp t="e">
        <v>#N/A</v>
        <stp/>
        <stp>BDH|4252512532606149160</stp>
        <tr r="O10" s="26"/>
      </tp>
      <tp t="e">
        <v>#N/A</v>
        <stp/>
        <stp>BDH|7481639842246245613</stp>
        <tr r="T97" s="18"/>
      </tp>
      <tp t="e">
        <v>#N/A</v>
        <stp/>
        <stp>BDH|1572813247480058852</stp>
        <tr r="D22" s="21"/>
      </tp>
      <tp t="e">
        <v>#N/A</v>
        <stp/>
        <stp>BDH|4509324050552217537</stp>
        <tr r="O27" s="24"/>
      </tp>
      <tp t="e">
        <v>#N/A</v>
        <stp/>
        <stp>BDH|4519380051290206785</stp>
        <tr r="L55" s="13"/>
      </tp>
      <tp t="e">
        <v>#N/A</v>
        <stp/>
        <stp>BDH|2502581106747427592</stp>
        <tr r="J18" s="18"/>
      </tp>
      <tp t="e">
        <v>#N/A</v>
        <stp/>
        <stp>BDH|2560002423677033207</stp>
        <tr r="P47" s="22"/>
      </tp>
      <tp t="e">
        <v>#N/A</v>
        <stp/>
        <stp>BDH|7545027033628026921</stp>
        <tr r="H143" s="18"/>
      </tp>
      <tp t="e">
        <v>#N/A</v>
        <stp/>
        <stp>BDH|8752756413468332342</stp>
        <tr r="C58" s="10"/>
        <tr r="C47" s="11"/>
        <tr r="C7" s="7"/>
        <tr r="E12" s="3"/>
      </tp>
      <tp t="e">
        <v>#N/A</v>
        <stp/>
        <stp>BDH|8352220377661668963</stp>
        <tr r="Q37" s="24"/>
      </tp>
      <tp t="e">
        <v>#N/A</v>
        <stp/>
        <stp>BDH|8143945281854022822</stp>
        <tr r="Y75" s="12"/>
      </tp>
      <tp t="e">
        <v>#N/A</v>
        <stp/>
        <stp>BDH|2177386618913737602</stp>
        <tr r="M16" s="10"/>
      </tp>
      <tp t="e">
        <v>#N/A</v>
        <stp/>
        <stp>BDH|2205860121495783845</stp>
        <tr r="V49" s="22"/>
      </tp>
      <tp t="e">
        <v>#N/A</v>
        <stp/>
        <stp>BDH|3289128424952450764</stp>
        <tr r="Y15" s="23"/>
        <tr r="W59" s="11"/>
      </tp>
      <tp t="e">
        <v>#N/A</v>
        <stp/>
        <stp>BDH|9220452587098217849</stp>
        <tr r="H46" s="21"/>
      </tp>
      <tp t="e">
        <v>#N/A</v>
        <stp/>
        <stp>BDH|9308763146947228873</stp>
        <tr r="G26" s="25"/>
        <tr r="G56" s="21"/>
      </tp>
      <tp t="e">
        <v>#N/A</v>
        <stp/>
        <stp>BDH|5131067719947824604</stp>
        <tr r="S45" s="22"/>
      </tp>
      <tp t="e">
        <v>#N/A</v>
        <stp/>
        <stp>BDH|9281230922294481819</stp>
        <tr r="V150" s="18"/>
      </tp>
      <tp t="e">
        <v>#N/A</v>
        <stp/>
        <stp>BDH|4195554731394220317</stp>
        <tr r="V21" s="3"/>
      </tp>
      <tp t="e">
        <v>#N/A</v>
        <stp/>
        <stp>BDH|2748003025910428506</stp>
        <tr r="Y26" s="13"/>
      </tp>
      <tp t="e">
        <v>#N/A</v>
        <stp/>
        <stp>BDH|7240321338437893562</stp>
        <tr r="E62" s="12"/>
      </tp>
      <tp t="e">
        <v>#N/A</v>
        <stp/>
        <stp>BDH|1406057206181145508</stp>
        <tr r="F52" s="18"/>
      </tp>
      <tp t="e">
        <v>#N/A</v>
        <stp/>
        <stp>BDH|8388564083279839980</stp>
        <tr r="K36" s="12"/>
      </tp>
      <tp t="e">
        <v>#N/A</v>
        <stp/>
        <stp>BDH|2194852746639420202</stp>
        <tr r="U21" s="30"/>
      </tp>
      <tp t="e">
        <v>#N/A</v>
        <stp/>
        <stp>BDH|4745421501081595471</stp>
        <tr r="H33" s="12"/>
      </tp>
      <tp t="e">
        <v>#N/A</v>
        <stp/>
        <stp>BDH|9646910003325129038</stp>
        <tr r="F61" s="12"/>
      </tp>
      <tp t="e">
        <v>#N/A</v>
        <stp/>
        <stp>BDH|6732429810273113524</stp>
        <tr r="I19" s="26"/>
      </tp>
      <tp t="e">
        <v>#N/A</v>
        <stp/>
        <stp>BDH|4675173687908376036</stp>
        <tr r="U26" s="22"/>
      </tp>
      <tp t="e">
        <v>#N/A</v>
        <stp/>
        <stp>BDH|6028664117955454136</stp>
        <tr r="D19" s="11"/>
      </tp>
      <tp t="e">
        <v>#N/A</v>
        <stp/>
        <stp>BDH|2899381311972378749</stp>
        <tr r="F16" s="24"/>
      </tp>
      <tp t="e">
        <v>#N/A</v>
        <stp/>
        <stp>BDH|2292654232420142222</stp>
        <tr r="K126" s="18"/>
      </tp>
      <tp t="e">
        <v>#N/A</v>
        <stp/>
        <stp>BDH|3879502218681451329</stp>
        <tr r="Z133" s="18"/>
      </tp>
      <tp t="e">
        <v>#N/A</v>
        <stp/>
        <stp>BDH|5018009658840784597</stp>
        <tr r="N13" s="24"/>
      </tp>
      <tp t="e">
        <v>#N/A</v>
        <stp/>
        <stp>BDH|1324799965554061197</stp>
        <tr r="D102" s="18"/>
      </tp>
      <tp t="e">
        <v>#N/A</v>
        <stp/>
        <stp>BDH|8904098577052801896</stp>
        <tr r="Q12" s="11"/>
      </tp>
      <tp t="e">
        <v>#N/A</v>
        <stp/>
        <stp>BDH|6581740170313170062</stp>
        <tr r="J28" s="13"/>
        <tr r="J16" s="13"/>
        <tr r="H17" s="10"/>
      </tp>
      <tp t="e">
        <v>#N/A</v>
        <stp/>
        <stp>BDH|7815041937474530589</stp>
        <tr r="W35" s="11"/>
        <tr r="W46" s="10"/>
      </tp>
      <tp t="e">
        <v>#N/A</v>
        <stp/>
        <stp>BDH|4625913786714206447</stp>
        <tr r="Q12" s="6"/>
      </tp>
      <tp t="e">
        <v>#N/A</v>
        <stp/>
        <stp>BDH|5529775553390065263</stp>
        <tr r="I20" s="14"/>
      </tp>
      <tp t="e">
        <v>#N/A</v>
        <stp/>
        <stp>BDH|7361680439741723622</stp>
        <tr r="H33" s="13"/>
        <tr r="F26" s="10"/>
      </tp>
      <tp t="e">
        <v>#N/A</v>
        <stp/>
        <stp>BDH|6246731746850648068</stp>
        <tr r="L52" s="6"/>
        <tr r="N9" s="8"/>
      </tp>
      <tp t="e">
        <v>#N/A</v>
        <stp/>
        <stp>BDH|8909069738429841788</stp>
        <tr r="D39" s="12"/>
      </tp>
      <tp t="e">
        <v>#N/A</v>
        <stp/>
        <stp>BDH|1854565649052455745</stp>
        <tr r="Y31" s="24"/>
      </tp>
      <tp t="e">
        <v>#N/A</v>
        <stp/>
        <stp>BDH|5760906493715137524</stp>
        <tr r="L10" s="10"/>
      </tp>
      <tp t="e">
        <v>#N/A</v>
        <stp/>
        <stp>BDH|1187079080805924988</stp>
        <tr r="N22" s="29"/>
        <tr r="N36" s="29"/>
        <tr r="N13" s="29"/>
      </tp>
      <tp t="e">
        <v>#N/A</v>
        <stp/>
        <stp>BDH|3095686938564717708</stp>
        <tr r="M26" s="29"/>
      </tp>
      <tp t="e">
        <v>#N/A</v>
        <stp/>
        <stp>BDH|9152889762881510396</stp>
        <tr r="T29" s="6"/>
      </tp>
      <tp t="e">
        <v>#N/A</v>
        <stp/>
        <stp>BDH|4699630055337384541</stp>
        <tr r="R7" s="8"/>
      </tp>
      <tp t="e">
        <v>#N/A</v>
        <stp/>
        <stp>BDH|4352096775452859401</stp>
        <tr r="W15" s="11"/>
      </tp>
      <tp t="e">
        <v>#N/A</v>
        <stp/>
        <stp>BDH|9428263263968295042</stp>
        <tr r="V52" s="17"/>
      </tp>
      <tp t="e">
        <v>#N/A</v>
        <stp/>
        <stp>BDH|4235929984874520463</stp>
        <tr r="Z40" s="22"/>
      </tp>
      <tp t="e">
        <v>#N/A</v>
        <stp/>
        <stp>BDH|2042203616433942785</stp>
        <tr r="Y26" s="17"/>
      </tp>
      <tp t="e">
        <v>#N/A</v>
        <stp/>
        <stp>BDH|4707205657445576324</stp>
        <tr r="X16" s="28"/>
        <tr r="X13" s="17"/>
      </tp>
      <tp t="e">
        <v>#N/A</v>
        <stp/>
        <stp>BDH|5157867285280156047</stp>
        <tr r="J142" s="18"/>
      </tp>
      <tp t="e">
        <v>#N/A</v>
        <stp/>
        <stp>BDH|9630972540560637102</stp>
        <tr r="AA17" s="24"/>
      </tp>
      <tp t="e">
        <v>#N/A</v>
        <stp/>
        <stp>BDH|9722238328065262999</stp>
        <tr r="K98" s="12"/>
      </tp>
      <tp t="e">
        <v>#N/A</v>
        <stp/>
        <stp>BDH|1832445707767820746</stp>
        <tr r="G45" s="17"/>
      </tp>
      <tp t="e">
        <v>#N/A</v>
        <stp/>
        <stp>BDH|7037547516063471517</stp>
        <tr r="E80" s="18"/>
      </tp>
      <tp t="e">
        <v>#N/A</v>
        <stp/>
        <stp>BDH|2460981084121813773</stp>
        <tr r="P106" s="18"/>
      </tp>
      <tp t="e">
        <v>#N/A</v>
        <stp/>
        <stp>BDH|1571236329736142295</stp>
        <tr r="H79" s="18"/>
      </tp>
      <tp t="e">
        <v>#N/A</v>
        <stp/>
        <stp>BDH|5626053731093414017</stp>
        <tr r="C63" s="17"/>
      </tp>
      <tp t="e">
        <v>#N/A</v>
        <stp/>
        <stp>BDH|2708794419643515254</stp>
        <tr r="E48" s="12"/>
      </tp>
      <tp t="e">
        <v>#N/A</v>
        <stp/>
        <stp>BDH|5925846759225344804</stp>
        <tr r="M19" s="9"/>
      </tp>
      <tp t="e">
        <v>#N/A</v>
        <stp/>
        <stp>BDH|9125893840837989767</stp>
        <tr r="Z104" s="18"/>
      </tp>
      <tp t="e">
        <v>#N/A</v>
        <stp/>
        <stp>BDH|2601207541227354636</stp>
        <tr r="M53" s="22"/>
      </tp>
      <tp t="e">
        <v>#N/A</v>
        <stp/>
        <stp>BDH|4138106267590360620</stp>
        <tr r="P11" s="10"/>
        <tr r="P14" s="2"/>
      </tp>
      <tp t="e">
        <v>#N/A</v>
        <stp/>
        <stp>BDH|1903697854006103121</stp>
        <tr r="D62" s="17"/>
      </tp>
      <tp t="e">
        <v>#N/A</v>
        <stp/>
        <stp>BDH|3113160562387305614</stp>
        <tr r="I29" s="4"/>
      </tp>
      <tp t="e">
        <v>#N/A</v>
        <stp/>
        <stp>BDH|6720579923452166650</stp>
        <tr r="N18" s="25"/>
      </tp>
      <tp t="e">
        <v>#N/A</v>
        <stp/>
        <stp>BDH|7136515150963037174</stp>
        <tr r="F44" s="21"/>
      </tp>
      <tp t="e">
        <v>#N/A</v>
        <stp/>
        <stp>BDH|8984820213473845773</stp>
        <tr r="Z20" s="14"/>
      </tp>
      <tp t="e">
        <v>#N/A</v>
        <stp/>
        <stp>BDH|2993238071211499381</stp>
        <tr r="U30" s="24"/>
      </tp>
      <tp t="e">
        <v>#N/A</v>
        <stp/>
        <stp>BDH|5391743957582516024</stp>
        <tr r="M10" s="28"/>
      </tp>
      <tp t="e">
        <v>#N/A</v>
        <stp/>
        <stp>BDH|2682512645775244373</stp>
        <tr r="U26" s="7"/>
      </tp>
      <tp t="e">
        <v>#N/A</v>
        <stp/>
        <stp>BDH|2327300857029106828</stp>
        <tr r="T26" s="24"/>
      </tp>
      <tp t="e">
        <v>#N/A</v>
        <stp/>
        <stp>BDH|2693586037179822860</stp>
        <tr r="K18" s="9"/>
      </tp>
      <tp t="e">
        <v>#N/A</v>
        <stp/>
        <stp>BDH|3467168778114537480</stp>
        <tr r="N42" s="6"/>
      </tp>
      <tp t="e">
        <v>#N/A</v>
        <stp/>
        <stp>BDH|7665765214681509569</stp>
        <tr r="M13" s="9"/>
      </tp>
      <tp t="e">
        <v>#N/A</v>
        <stp/>
        <stp>BDH|5536297425140998070</stp>
        <tr r="O54" s="13"/>
      </tp>
      <tp t="e">
        <v>#N/A</v>
        <stp/>
        <stp>BDH|3555443751963125462</stp>
        <tr r="Y27" s="25"/>
        <tr r="W20" s="11"/>
      </tp>
      <tp t="e">
        <v>#N/A</v>
        <stp/>
        <stp>BDH|1808390140712584130</stp>
        <tr r="D33" s="18"/>
      </tp>
      <tp t="e">
        <v>#N/A</v>
        <stp/>
        <stp>BDH|6537567441855525700</stp>
        <tr r="Z39" s="26"/>
      </tp>
      <tp t="e">
        <v>#N/A</v>
        <stp/>
        <stp>BDH|7792719133711591770</stp>
        <tr r="Z23" s="12"/>
      </tp>
      <tp t="e">
        <v>#N/A</v>
        <stp/>
        <stp>BDH|3988441335007972660</stp>
        <tr r="I49" s="6"/>
      </tp>
      <tp t="e">
        <v>#N/A</v>
        <stp/>
        <stp>BDH|3165672855900216562</stp>
        <tr r="Z52" s="17"/>
      </tp>
      <tp t="e">
        <v>#N/A</v>
        <stp/>
        <stp>BDH|6023627690488505430</stp>
        <tr r="E37" s="13"/>
        <tr r="C30" s="10"/>
      </tp>
      <tp t="e">
        <v>#N/A</v>
        <stp/>
        <stp>BDH|4420975323569234361</stp>
        <tr r="O39" s="24"/>
      </tp>
      <tp t="e">
        <v>#N/A</v>
        <stp/>
        <stp>BDH|7333364947750225542</stp>
        <tr r="R62" s="24"/>
      </tp>
      <tp t="e">
        <v>#N/A</v>
        <stp/>
        <stp>BDH|2888322957431990004</stp>
        <tr r="E64" s="12"/>
      </tp>
      <tp t="e">
        <v>#N/A</v>
        <stp/>
        <stp>BDH|1997649241575938315</stp>
        <tr r="C72" s="10"/>
      </tp>
      <tp t="e">
        <v>#N/A</v>
        <stp/>
        <stp>BDH|7375228991208579118</stp>
        <tr r="X65" s="17"/>
      </tp>
      <tp t="e">
        <v>#N/A</v>
        <stp/>
        <stp>BDH|7197777241905375402</stp>
        <tr r="O37" s="6"/>
      </tp>
      <tp t="e">
        <v>#N/A</v>
        <stp/>
        <stp>BDH|5805987432472765817</stp>
        <tr r="K17" s="30"/>
      </tp>
      <tp t="e">
        <v>#N/A</v>
        <stp/>
        <stp>BDH|1472392868554302522</stp>
        <tr r="S80" s="18"/>
      </tp>
      <tp t="e">
        <v>#N/A</v>
        <stp/>
        <stp>BDH|5260712476594577444</stp>
        <tr r="R20" s="23"/>
      </tp>
      <tp t="e">
        <v>#N/A</v>
        <stp/>
        <stp>BDH|8491217667858403123</stp>
        <tr r="C27" s="26"/>
      </tp>
      <tp t="e">
        <v>#N/A</v>
        <stp/>
        <stp>BDH|1501157756766023627</stp>
        <tr r="AA14" s="21"/>
      </tp>
      <tp t="e">
        <v>#N/A</v>
        <stp/>
        <stp>BDH|4885312178825335064</stp>
        <tr r="F10" s="24"/>
      </tp>
      <tp t="e">
        <v>#N/A</v>
        <stp/>
        <stp>BDH|3365770847855285053</stp>
        <tr r="F24" s="11"/>
        <tr r="F35" s="10"/>
      </tp>
      <tp t="e">
        <v>#N/A</v>
        <stp/>
        <stp>BDH|6665927441558655675</stp>
        <tr r="W10" s="12"/>
      </tp>
      <tp t="e">
        <v>#N/A</v>
        <stp/>
        <stp>BDH|9377897011754760185</stp>
        <tr r="P7" s="21"/>
      </tp>
      <tp t="e">
        <v>#N/A</v>
        <stp/>
        <stp>BDH|9907191364453158814</stp>
        <tr r="T97" s="12"/>
      </tp>
      <tp t="e">
        <v>#N/A</v>
        <stp/>
        <stp>BDH|4651089504963832261</stp>
        <tr r="S48" s="24"/>
      </tp>
      <tp t="e">
        <v>#N/A</v>
        <stp/>
        <stp>BDH|2304709744610193421</stp>
        <tr r="M8" s="23"/>
      </tp>
      <tp t="e">
        <v>#N/A</v>
        <stp/>
        <stp>BDH|2333795187561176983</stp>
        <tr r="N12" s="17"/>
      </tp>
      <tp t="e">
        <v>#N/A</v>
        <stp/>
        <stp>BDH|2737103829027349392</stp>
        <tr r="U42" s="34"/>
      </tp>
      <tp t="e">
        <v>#N/A</v>
        <stp/>
        <stp>BDH|1977351759512837096</stp>
        <tr r="I96" s="18"/>
      </tp>
      <tp t="e">
        <v>#N/A</v>
        <stp/>
        <stp>BDH|6262271303166780758</stp>
        <tr r="I122" s="18"/>
      </tp>
      <tp t="e">
        <v>#N/A</v>
        <stp/>
        <stp>BDH|1786269231403106653</stp>
        <tr r="N10" s="8"/>
        <tr r="L53" s="6"/>
      </tp>
      <tp t="e">
        <v>#N/A</v>
        <stp/>
        <stp>BDH|2586040160544081553</stp>
        <tr r="S7" s="28"/>
      </tp>
      <tp t="e">
        <v>#N/A</v>
        <stp/>
        <stp>BDH|9169336125685097836</stp>
        <tr r="R8" s="11"/>
      </tp>
      <tp t="e">
        <v>#N/A</v>
        <stp/>
        <stp>BDH|6572542322445487130</stp>
        <tr r="G81" s="12"/>
      </tp>
      <tp t="e">
        <v>#N/A</v>
        <stp/>
        <stp>BDH|9892159002779268498</stp>
        <tr r="K84" s="18"/>
      </tp>
      <tp t="e">
        <v>#N/A</v>
        <stp/>
        <stp>BDH|4054635428871988469</stp>
        <tr r="E16" s="18"/>
      </tp>
      <tp t="e">
        <v>#N/A</v>
        <stp/>
        <stp>BDH|5574943200179088054</stp>
        <tr r="G31" s="21"/>
      </tp>
      <tp t="e">
        <v>#N/A</v>
        <stp/>
        <stp>BDH|3610758360226036170</stp>
        <tr r="W42" s="6"/>
      </tp>
      <tp t="e">
        <v>#N/A</v>
        <stp/>
        <stp>BDH|1081255714961253679</stp>
        <tr r="Q27" s="17"/>
      </tp>
      <tp t="e">
        <v>#N/A</v>
        <stp/>
        <stp>BDH|2467637621015018628</stp>
        <tr r="I11" s="22"/>
      </tp>
      <tp t="e">
        <v>#N/A</v>
        <stp/>
        <stp>BDH|5521160756924153005</stp>
        <tr r="E17" s="21"/>
        <tr r="C23" s="2"/>
        <tr r="E23" s="3"/>
      </tp>
      <tp t="e">
        <v>#N/A</v>
        <stp/>
        <stp>BDH|6391921144079935780</stp>
        <tr r="N26" s="21"/>
      </tp>
      <tp t="e">
        <v>#N/A</v>
        <stp/>
        <stp>BDH|6972492516755590370</stp>
        <tr r="J8" s="2"/>
      </tp>
      <tp t="e">
        <v>#N/A</v>
        <stp/>
        <stp>BDH|8196810632721460723</stp>
        <tr r="K76" s="10"/>
        <tr r="K65" s="11"/>
      </tp>
      <tp t="e">
        <v>#N/A</v>
        <stp/>
        <stp>BDH|3824345257555888571</stp>
        <tr r="D141" s="18"/>
      </tp>
      <tp t="e">
        <v>#N/A</v>
        <stp/>
        <stp>BDH|6893027524447935634</stp>
        <tr r="L72" s="18"/>
      </tp>
      <tp t="e">
        <v>#N/A</v>
        <stp/>
        <stp>BDH|7417845884973143114</stp>
        <tr r="U29" s="21"/>
      </tp>
      <tp t="e">
        <v>#N/A</v>
        <stp/>
        <stp>BDH|3181077355542362140</stp>
        <tr r="C20" s="5"/>
      </tp>
      <tp t="e">
        <v>#N/A</v>
        <stp/>
        <stp>BDH|2577649046205534063</stp>
        <tr r="V8" s="17"/>
      </tp>
      <tp t="e">
        <v>#N/A</v>
        <stp/>
        <stp>BDH|8633542342599715539</stp>
        <tr r="I23" s="22"/>
      </tp>
      <tp t="e">
        <v>#N/A</v>
        <stp/>
        <stp>BDH|1805653669155988196</stp>
        <tr r="Z72" s="13"/>
      </tp>
      <tp t="e">
        <v>#N/A</v>
        <stp/>
        <stp>BDH|7685911476689072554</stp>
        <tr r="G17" s="5"/>
        <tr r="G36" s="6"/>
      </tp>
      <tp t="e">
        <v>#N/A</v>
        <stp/>
        <stp>BDH|9632659810432242956</stp>
        <tr r="Z6" s="28"/>
      </tp>
      <tp t="e">
        <v>#N/A</v>
        <stp/>
        <stp>BDH|6358551977477397666</stp>
        <tr r="L57" s="18"/>
      </tp>
      <tp t="e">
        <v>#N/A</v>
        <stp/>
        <stp>BDH|4792886221558350391</stp>
        <tr r="H48" s="6"/>
      </tp>
      <tp t="e">
        <v>#N/A</v>
        <stp/>
        <stp>BDH|6118532016103289424</stp>
        <tr r="T43" s="6"/>
      </tp>
      <tp t="e">
        <v>#N/A</v>
        <stp/>
        <stp>BDH|3082767601532735347</stp>
        <tr r="J28" s="17"/>
      </tp>
      <tp t="e">
        <v>#N/A</v>
        <stp/>
        <stp>BDH|4981731856663161097</stp>
        <tr r="AA9" s="17"/>
      </tp>
      <tp t="e">
        <v>#N/A</v>
        <stp/>
        <stp>BDH|7359710171814503623</stp>
        <tr r="L6" s="20"/>
        <tr r="L112" s="18"/>
      </tp>
      <tp t="e">
        <v>#N/A</v>
        <stp/>
        <stp>BDH|6953203589631663837</stp>
        <tr r="W24" s="2"/>
      </tp>
      <tp t="e">
        <v>#N/A</v>
        <stp/>
        <stp>BDH|3857681390118234177</stp>
        <tr r="O71" s="12"/>
      </tp>
      <tp t="e">
        <v>#N/A</v>
        <stp/>
        <stp>BDH|7771412707403045545</stp>
        <tr r="F70" s="10"/>
      </tp>
      <tp t="e">
        <v>#N/A</v>
        <stp/>
        <stp>BDH|3782005794136398955</stp>
        <tr r="X47" s="13"/>
      </tp>
      <tp t="e">
        <v>#N/A</v>
        <stp/>
        <stp>BDH|5236177223526303502</stp>
        <tr r="M125" s="18"/>
      </tp>
      <tp t="e">
        <v>#N/A</v>
        <stp/>
        <stp>BDH|9361471111629007002</stp>
        <tr r="Q162" s="18"/>
      </tp>
      <tp t="e">
        <v>#N/A</v>
        <stp/>
        <stp>BDH|6678958925851144920</stp>
        <tr r="I67" s="12"/>
      </tp>
      <tp t="e">
        <v>#N/A</v>
        <stp/>
        <stp>BDH|6589957405748494242</stp>
        <tr r="U110" s="18"/>
      </tp>
      <tp t="e">
        <v>#N/A</v>
        <stp/>
        <stp>BDH|5617501452784175403</stp>
        <tr r="V70" s="13"/>
      </tp>
      <tp t="e">
        <v>#N/A</v>
        <stp/>
        <stp>BDH|4009057956610563435</stp>
        <tr r="H63" s="17"/>
      </tp>
      <tp t="e">
        <v>#N/A</v>
        <stp/>
        <stp>BDH|1009732431059095979</stp>
        <tr r="Z30" s="18"/>
      </tp>
      <tp t="e">
        <v>#N/A</v>
        <stp/>
        <stp>BDH|2709296125714723391</stp>
        <tr r="X31" s="24"/>
      </tp>
      <tp t="e">
        <v>#N/A</v>
        <stp/>
        <stp>BDH|5026915080440045142</stp>
        <tr r="U6" s="20"/>
        <tr r="U112" s="18"/>
      </tp>
      <tp t="e">
        <v>#N/A</v>
        <stp/>
        <stp>BDH|5547359543322530538</stp>
        <tr r="L38" s="13"/>
        <tr r="J31" s="10"/>
      </tp>
      <tp t="e">
        <v>#N/A</v>
        <stp/>
        <stp>BDH|2582224825646573128</stp>
        <tr r="I13" s="22"/>
      </tp>
      <tp t="e">
        <v>#N/A</v>
        <stp/>
        <stp>BDH|5223052662726629060</stp>
        <tr r="Q9" s="11"/>
      </tp>
      <tp t="e">
        <v>#N/A</v>
        <stp/>
        <stp>BDH|3743299664696695497</stp>
        <tr r="J9" s="8"/>
        <tr r="H52" s="6"/>
      </tp>
      <tp t="e">
        <v>#N/A</v>
        <stp/>
        <stp>BDH|9235830923096441033</stp>
        <tr r="L30" s="26"/>
      </tp>
      <tp t="e">
        <v>#N/A</v>
        <stp/>
        <stp>BDH|1514202673362607354</stp>
        <tr r="F56" s="24"/>
      </tp>
      <tp t="e">
        <v>#N/A</v>
        <stp/>
        <stp>BDH|6439167890922110968</stp>
        <tr r="X27" s="17"/>
      </tp>
      <tp t="e">
        <v>#N/A</v>
        <stp/>
        <stp>BDH|6327279559380047488</stp>
        <tr r="N52" s="6"/>
        <tr r="P9" s="8"/>
      </tp>
      <tp t="e">
        <v>#N/A</v>
        <stp/>
        <stp>BDH|6008555664466040641</stp>
        <tr r="N49" s="4"/>
      </tp>
      <tp t="e">
        <v>#N/A</v>
        <stp/>
        <stp>BDH|9581997325521989656</stp>
        <tr r="D29" s="4"/>
      </tp>
      <tp t="e">
        <v>#N/A</v>
        <stp/>
        <stp>BDH|1258347835290522436</stp>
        <tr r="I31" s="17"/>
      </tp>
      <tp t="e">
        <v>#N/A</v>
        <stp/>
        <stp>BDH|4836759389339561748</stp>
        <tr r="D37" s="6"/>
      </tp>
      <tp t="e">
        <v>#N/A</v>
        <stp/>
        <stp>BDH|5452711797226737802</stp>
        <tr r="Q66" s="13"/>
      </tp>
      <tp t="e">
        <v>#N/A</v>
        <stp/>
        <stp>BDH|1543451708411438194</stp>
        <tr r="V36" s="26"/>
      </tp>
      <tp t="e">
        <v>#N/A</v>
        <stp/>
        <stp>BDH|7620037310651122218</stp>
        <tr r="T22" s="24"/>
      </tp>
      <tp t="e">
        <v>#N/A</v>
        <stp/>
        <stp>BDH|2287345236631330661</stp>
        <tr r="K7" s="20"/>
        <tr r="K113" s="18"/>
      </tp>
      <tp t="e">
        <v>#N/A</v>
        <stp/>
        <stp>BDH|8555530049184984835</stp>
        <tr r="R62" s="13"/>
      </tp>
      <tp t="e">
        <v>#N/A</v>
        <stp/>
        <stp>BDH|5683634650262708177</stp>
        <tr r="O123" s="18"/>
      </tp>
      <tp t="e">
        <v>#N/A</v>
        <stp/>
        <stp>BDH|6735163430635189456</stp>
        <tr r="L24" s="22"/>
      </tp>
      <tp t="e">
        <v>#N/A</v>
        <stp/>
        <stp>BDH|6846672665552814179</stp>
        <tr r="O20" s="25"/>
      </tp>
      <tp t="e">
        <v>#N/A</v>
        <stp/>
        <stp>BDH|2186506337521539063</stp>
        <tr r="V120" s="18"/>
      </tp>
      <tp t="e">
        <v>#N/A</v>
        <stp/>
        <stp>BDH|1454458875321014614</stp>
        <tr r="P61" s="21"/>
        <tr r="N25" s="2"/>
      </tp>
      <tp t="e">
        <v>#N/A</v>
        <stp/>
        <stp>BDH|6131528513656614136</stp>
        <tr r="T29" s="17"/>
      </tp>
      <tp t="e">
        <v>#N/A</v>
        <stp/>
        <stp>BDH|6470250025140586344</stp>
        <tr r="N69" s="18"/>
      </tp>
      <tp t="e">
        <v>#N/A</v>
        <stp/>
        <stp>BDH|8673865427844079320</stp>
        <tr r="L69" s="24"/>
      </tp>
      <tp t="e">
        <v>#N/A</v>
        <stp/>
        <stp>BDH|4215323531920574113</stp>
        <tr r="O169" s="18"/>
      </tp>
      <tp t="e">
        <v>#N/A</v>
        <stp/>
        <stp>BDH|5285407755333726251</stp>
        <tr r="R12" s="20"/>
        <tr r="R117" s="18"/>
      </tp>
      <tp t="e">
        <v>#N/A</v>
        <stp/>
        <stp>BDH|5143159962025649256</stp>
        <tr r="Y40" s="11"/>
        <tr r="Y28" s="11"/>
        <tr r="Y39" s="10"/>
        <tr r="Y51" s="10"/>
      </tp>
      <tp t="e">
        <v>#N/A</v>
        <stp/>
        <stp>BDH|2569034955837138576</stp>
        <tr r="K22" s="18"/>
      </tp>
      <tp t="e">
        <v>#N/A</v>
        <stp/>
        <stp>BDH|7957683903320188463</stp>
        <tr r="I27" s="12"/>
      </tp>
      <tp t="e">
        <v>#N/A</v>
        <stp/>
        <stp>BDH|2953074894848708687</stp>
        <tr r="I29" s="17"/>
      </tp>
      <tp t="e">
        <v>#N/A</v>
        <stp/>
        <stp>BDH|2466788891339951016</stp>
        <tr r="N27" s="24"/>
      </tp>
      <tp t="e">
        <v>#N/A</v>
        <stp/>
        <stp>BDH|6688033200467054404</stp>
        <tr r="L64" s="21"/>
        <tr r="J23" s="7"/>
      </tp>
      <tp t="e">
        <v>#N/A</v>
        <stp/>
        <stp>BDH|61098692636068799</stp>
        <tr r="D46" s="21"/>
      </tp>
      <tp t="e">
        <v>#N/A</v>
        <stp/>
        <stp>BDH|35920856901238561</stp>
        <tr r="N67" s="18"/>
      </tp>
      <tp t="e">
        <v>#N/A</v>
        <stp/>
        <stp>BDH|73063729352943879</stp>
        <tr r="E17" s="6"/>
      </tp>
      <tp t="e">
        <v>#N/A</v>
        <stp/>
        <stp>BDH|83293527278619070</stp>
        <tr r="S21" s="20"/>
      </tp>
      <tp t="e">
        <v>#N/A</v>
        <stp/>
        <stp>BDH|71891315150867186</stp>
        <tr r="S163" s="18"/>
      </tp>
      <tp t="e">
        <v>#N/A</v>
        <stp/>
        <stp>BDH|7983179556791630444</stp>
        <tr r="T7" s="23"/>
      </tp>
      <tp t="e">
        <v>#N/A</v>
        <stp/>
        <stp>BDH|3027530136604745780</stp>
        <tr r="P173" s="18"/>
      </tp>
      <tp t="e">
        <v>#N/A</v>
        <stp/>
        <stp>BDH|4024937059317916997</stp>
        <tr r="P49" s="18"/>
      </tp>
      <tp t="e">
        <v>#N/A</v>
        <stp/>
        <stp>BDH|6219144412091839164</stp>
        <tr r="E77" s="18"/>
      </tp>
      <tp t="e">
        <v>#N/A</v>
        <stp/>
        <stp>BDH|6884572837800077627</stp>
        <tr r="T9" s="12"/>
      </tp>
      <tp t="e">
        <v>#N/A</v>
        <stp/>
        <stp>BDH|2285079143033411385</stp>
        <tr r="S76" s="17"/>
      </tp>
      <tp t="e">
        <v>#N/A</v>
        <stp/>
        <stp>BDH|3170585013361515055</stp>
        <tr r="X25" s="21"/>
      </tp>
      <tp t="e">
        <v>#N/A</v>
        <stp/>
        <stp>BDH|9074777999539007840</stp>
        <tr r="W31" s="29"/>
      </tp>
      <tp t="e">
        <v>#N/A</v>
        <stp/>
        <stp>BDH|9812455001108113373</stp>
        <tr r="S28" s="4"/>
      </tp>
      <tp t="e">
        <v>#N/A</v>
        <stp/>
        <stp>BDH|1876168081078704629</stp>
        <tr r="Y6" s="20"/>
        <tr r="Y112" s="18"/>
      </tp>
      <tp t="e">
        <v>#N/A</v>
        <stp/>
        <stp>BDH|3858449231663299155</stp>
        <tr r="AA20" s="25"/>
      </tp>
      <tp t="e">
        <v>#N/A</v>
        <stp/>
        <stp>BDH|2988625161216599250</stp>
        <tr r="AA155" s="18"/>
      </tp>
      <tp t="e">
        <v>#N/A</v>
        <stp/>
        <stp>BDH|3892863138068444688</stp>
        <tr r="G138" s="18"/>
      </tp>
      <tp t="e">
        <v>#N/A</v>
        <stp/>
        <stp>BDH|4593439415972996509</stp>
        <tr r="D11" s="22"/>
      </tp>
      <tp t="e">
        <v>#N/A</v>
        <stp/>
        <stp>BDH|1930674628756588591</stp>
        <tr r="Z17" s="23"/>
      </tp>
      <tp t="e">
        <v>#N/A</v>
        <stp/>
        <stp>BDH|3886063791124774825</stp>
        <tr r="T49" s="17"/>
      </tp>
      <tp t="e">
        <v>#N/A</v>
        <stp/>
        <stp>BDH|9735819260254912551</stp>
        <tr r="AA10" s="23"/>
      </tp>
      <tp t="e">
        <v>#N/A</v>
        <stp/>
        <stp>BDH|1219236618921723544</stp>
        <tr r="N82" s="12"/>
      </tp>
      <tp t="e">
        <v>#N/A</v>
        <stp/>
        <stp>BDH|3640926407888164484</stp>
        <tr r="L75" s="12"/>
      </tp>
      <tp t="e">
        <v>#N/A</v>
        <stp/>
        <stp>BDH|9074610457548400489</stp>
        <tr r="R56" s="13"/>
      </tp>
      <tp t="e">
        <v>#N/A</v>
        <stp/>
        <stp>BDH|6082588858871836121</stp>
        <tr r="K149" s="18"/>
      </tp>
      <tp t="e">
        <v>#N/A</v>
        <stp/>
        <stp>BDH|6171615480608893620</stp>
        <tr r="I9" s="25"/>
        <tr r="I44" s="17"/>
      </tp>
      <tp t="e">
        <v>#N/A</v>
        <stp/>
        <stp>BDH|3771176248068349818</stp>
        <tr r="K37" s="34"/>
      </tp>
      <tp t="e">
        <v>#N/A</v>
        <stp/>
        <stp>BDH|2607203949560185243</stp>
        <tr r="N74" s="18"/>
      </tp>
      <tp t="e">
        <v>#N/A</v>
        <stp/>
        <stp>BDH|3187211993179964703</stp>
        <tr r="L30" s="22"/>
      </tp>
      <tp t="e">
        <v>#N/A</v>
        <stp/>
        <stp>BDH|9136722399953155211</stp>
        <tr r="H46" s="13"/>
        <tr r="F41" s="10"/>
        <tr r="F30" s="11"/>
      </tp>
      <tp t="e">
        <v>#N/A</v>
        <stp/>
        <stp>BDH|8843950866906888799</stp>
        <tr r="D129" s="18"/>
      </tp>
      <tp t="e">
        <v>#N/A</v>
        <stp/>
        <stp>BDH|1649995730954233977</stp>
        <tr r="P63" s="13"/>
        <tr r="N49" s="11"/>
        <tr r="N60" s="10"/>
        <tr r="N18" s="7"/>
      </tp>
      <tp t="e">
        <v>#N/A</v>
        <stp/>
        <stp>BDH|4197967829411476801</stp>
        <tr r="M38" s="34"/>
      </tp>
      <tp t="e">
        <v>#N/A</v>
        <stp/>
        <stp>BDH|1804221004960479503</stp>
        <tr r="H17" s="21"/>
        <tr r="H23" s="3"/>
        <tr r="F23" s="2"/>
      </tp>
      <tp t="e">
        <v>#N/A</v>
        <stp/>
        <stp>BDH|5820146270713385654</stp>
        <tr r="W30" s="21"/>
      </tp>
      <tp t="e">
        <v>#N/A</v>
        <stp/>
        <stp>BDH|1917827418827942905</stp>
        <tr r="G28" s="6"/>
      </tp>
      <tp t="e">
        <v>#N/A</v>
        <stp/>
        <stp>BDH|5449775002250395485</stp>
        <tr r="R89" s="17"/>
      </tp>
      <tp t="e">
        <v>#N/A</v>
        <stp/>
        <stp>BDH|9644590881520384276</stp>
        <tr r="M60" s="18"/>
      </tp>
      <tp t="e">
        <v>#N/A</v>
        <stp/>
        <stp>BDH|9737219622576790998</stp>
        <tr r="S10" s="27"/>
        <tr r="S29" s="25"/>
      </tp>
      <tp t="e">
        <v>#N/A</v>
        <stp/>
        <stp>BDH|6945168131203588118</stp>
        <tr r="H57" s="13"/>
        <tr r="F38" s="11"/>
        <tr r="F49" s="10"/>
        <tr r="F53" s="4"/>
        <tr r="F18" s="2"/>
      </tp>
      <tp t="e">
        <v>#N/A</v>
        <stp/>
        <stp>BDH|8813410342547588942</stp>
        <tr r="T89" s="17"/>
      </tp>
      <tp t="e">
        <v>#N/A</v>
        <stp/>
        <stp>BDH|6428686959573762096</stp>
        <tr r="N44" s="12"/>
      </tp>
      <tp t="e">
        <v>#N/A</v>
        <stp/>
        <stp>BDH|3893769272127196269</stp>
        <tr r="AA18" s="23"/>
      </tp>
      <tp t="e">
        <v>#N/A</v>
        <stp/>
        <stp>BDH|5468351046082859643</stp>
        <tr r="U19" s="9"/>
      </tp>
      <tp t="e">
        <v>#N/A</v>
        <stp/>
        <stp>BDH|8266165860318694198</stp>
        <tr r="P31" s="22"/>
      </tp>
      <tp t="e">
        <v>#N/A</v>
        <stp/>
        <stp>BDH|5754988231609182043</stp>
        <tr r="F52" s="22"/>
      </tp>
      <tp t="e">
        <v>#N/A</v>
        <stp/>
        <stp>BDH|4088328130683826114</stp>
        <tr r="X28" s="14"/>
      </tp>
      <tp t="e">
        <v>#N/A</v>
        <stp/>
        <stp>BDH|4051280706711644136</stp>
        <tr r="U43" s="21"/>
      </tp>
      <tp t="e">
        <v>#N/A</v>
        <stp/>
        <stp>BDH|7851562102740542427</stp>
        <tr r="U18" s="9"/>
      </tp>
      <tp t="e">
        <v>#N/A</v>
        <stp/>
        <stp>BDH|3525077179772723073</stp>
        <tr r="X15" s="23"/>
        <tr r="V59" s="11"/>
      </tp>
      <tp t="e">
        <v>#N/A</v>
        <stp/>
        <stp>BDH|4003305100161809037</stp>
        <tr r="N100" s="18"/>
      </tp>
      <tp t="e">
        <v>#N/A</v>
        <stp/>
        <stp>BDH|4866687023795165393</stp>
        <tr r="K73" s="17"/>
      </tp>
      <tp t="e">
        <v>#N/A</v>
        <stp/>
        <stp>BDH|9834201559509966133</stp>
        <tr r="R57" s="11"/>
        <tr r="R24" s="4"/>
      </tp>
      <tp t="e">
        <v>#N/A</v>
        <stp/>
        <stp>BDH|8346665576746838907</stp>
        <tr r="C48" s="34"/>
      </tp>
      <tp t="e">
        <v>#N/A</v>
        <stp/>
        <stp>BDH|3393482867827635015</stp>
        <tr r="X11" s="18"/>
      </tp>
      <tp t="e">
        <v>#N/A</v>
        <stp/>
        <stp>BDH|7190546469103583122</stp>
        <tr r="U162" s="18"/>
      </tp>
      <tp t="e">
        <v>#N/A</v>
        <stp/>
        <stp>BDH|1642343138085128201</stp>
        <tr r="F42" s="29"/>
        <tr r="F33" s="29"/>
        <tr r="D55" s="6"/>
        <tr r="D11" s="5"/>
        <tr r="E10" s="2"/>
      </tp>
      <tp t="e">
        <v>#N/A</v>
        <stp/>
        <stp>BDH|8945497928739193129</stp>
        <tr r="R48" s="21"/>
      </tp>
      <tp t="e">
        <v>#N/A</v>
        <stp/>
        <stp>BDH|9213173870679727092</stp>
        <tr r="K15" s="5"/>
      </tp>
      <tp t="e">
        <v>#N/A</v>
        <stp/>
        <stp>BDH|2144325738270613465</stp>
        <tr r="Z22" s="18"/>
      </tp>
      <tp t="e">
        <v>#N/A</v>
        <stp/>
        <stp>BDH|9799136698535487235</stp>
        <tr r="W6" s="6"/>
      </tp>
      <tp t="e">
        <v>#N/A</v>
        <stp/>
        <stp>BDH|6319754058380466216</stp>
        <tr r="J19" s="12"/>
      </tp>
      <tp t="e">
        <v>#N/A</v>
        <stp/>
        <stp>BDH|1121959952703488892</stp>
        <tr r="H47" s="18"/>
      </tp>
      <tp t="e">
        <v>#N/A</v>
        <stp/>
        <stp>BDH|3558697312674653637</stp>
        <tr r="W24" s="24"/>
      </tp>
      <tp t="e">
        <v>#N/A</v>
        <stp/>
        <stp>BDH|1950739323411126333</stp>
        <tr r="T23" s="25"/>
      </tp>
      <tp t="e">
        <v>#N/A</v>
        <stp/>
        <stp>BDH|5155338598800692975</stp>
        <tr r="H10" s="25"/>
        <tr r="H55" s="17"/>
      </tp>
      <tp t="e">
        <v>#N/A</v>
        <stp/>
        <stp>BDH|2513336747836863521</stp>
        <tr r="N92" s="12"/>
      </tp>
      <tp t="e">
        <v>#N/A</v>
        <stp/>
        <stp>BDH|3284084541218917997</stp>
        <tr r="H55" s="12"/>
      </tp>
      <tp t="e">
        <v>#N/A</v>
        <stp/>
        <stp>BDH|5949030311830944290</stp>
        <tr r="R122" s="18"/>
      </tp>
      <tp t="e">
        <v>#N/A</v>
        <stp/>
        <stp>BDH|8317338018199243517</stp>
        <tr r="Q37" s="6"/>
      </tp>
      <tp t="e">
        <v>#N/A</v>
        <stp/>
        <stp>BDH|5605565747614406689</stp>
        <tr r="C20" s="24"/>
      </tp>
      <tp t="e">
        <v>#N/A</v>
        <stp/>
        <stp>BDH|5666169157412940555</stp>
        <tr r="M25" s="24"/>
      </tp>
      <tp t="e">
        <v>#N/A</v>
        <stp/>
        <stp>BDH|3329855108884563903</stp>
        <tr r="N40" s="13"/>
        <tr r="L33" s="10"/>
      </tp>
      <tp t="e">
        <v>#N/A</v>
        <stp/>
        <stp>BDH|6316781124686490305</stp>
        <tr r="R41" s="24"/>
      </tp>
      <tp t="e">
        <v>#N/A</v>
        <stp/>
        <stp>BDH|4851549435747102336</stp>
        <tr r="R63" s="24"/>
      </tp>
      <tp t="e">
        <v>#N/A</v>
        <stp/>
        <stp>BDH|7124698592538454656</stp>
        <tr r="H89" s="17"/>
      </tp>
      <tp t="e">
        <v>#N/A</v>
        <stp/>
        <stp>BDH|9480987372170643136</stp>
        <tr r="X48" s="24"/>
      </tp>
      <tp t="e">
        <v>#N/A</v>
        <stp/>
        <stp>BDH|6028359019332215055</stp>
        <tr r="F93" s="17"/>
      </tp>
      <tp t="e">
        <v>#N/A</v>
        <stp/>
        <stp>BDH|6567179869910580752</stp>
        <tr r="S46" s="13"/>
        <tr r="Q30" s="11"/>
        <tr r="Q41" s="10"/>
      </tp>
      <tp t="e">
        <v>#N/A</v>
        <stp/>
        <stp>BDH|7917588267741825353</stp>
        <tr r="S41" s="12"/>
      </tp>
      <tp t="e">
        <v>#N/A</v>
        <stp/>
        <stp>BDH|2771262176599879848</stp>
        <tr r="X90" s="18"/>
      </tp>
      <tp t="e">
        <v>#N/A</v>
        <stp/>
        <stp>BDH|4270907878419229539</stp>
        <tr r="L42" s="25"/>
      </tp>
      <tp t="e">
        <v>#N/A</v>
        <stp/>
        <stp>BDH|4090540170480978065</stp>
        <tr r="F67" s="17"/>
      </tp>
      <tp t="e">
        <v>#N/A</v>
        <stp/>
        <stp>BDH|4655329805795345490</stp>
        <tr r="F70" s="18"/>
      </tp>
      <tp t="e">
        <v>#N/A</v>
        <stp/>
        <stp>BDH|8450379764022574994</stp>
        <tr r="U174" s="18"/>
      </tp>
      <tp t="e">
        <v>#N/A</v>
        <stp/>
        <stp>BDH|6156592305132519738</stp>
        <tr r="T65" s="13"/>
      </tp>
      <tp t="e">
        <v>#N/A</v>
        <stp/>
        <stp>BDH|3128696038220801039</stp>
        <tr r="V64" s="13"/>
      </tp>
      <tp t="e">
        <v>#N/A</v>
        <stp/>
        <stp>BDH|1251311829947766165</stp>
        <tr r="C72" s="17"/>
      </tp>
      <tp t="e">
        <v>#N/A</v>
        <stp/>
        <stp>BDH|7544210560057875243</stp>
        <tr r="W31" s="24"/>
      </tp>
      <tp t="e">
        <v>#N/A</v>
        <stp/>
        <stp>BDH|8797749351064339893</stp>
        <tr r="C27" s="6"/>
      </tp>
      <tp t="e">
        <v>#N/A</v>
        <stp/>
        <stp>BDH|5131596177359121867</stp>
        <tr r="V41" s="26"/>
      </tp>
      <tp t="e">
        <v>#N/A</v>
        <stp/>
        <stp>BDH|1611936402097749980</stp>
        <tr r="S12" s="10"/>
      </tp>
      <tp t="e">
        <v>#N/A</v>
        <stp/>
        <stp>BDH|3213241069779548820</stp>
        <tr r="L53" s="24"/>
      </tp>
      <tp t="e">
        <v>#N/A</v>
        <stp/>
        <stp>BDH|8263442187790132283</stp>
        <tr r="T56" s="6"/>
      </tp>
      <tp t="e">
        <v>#N/A</v>
        <stp/>
        <stp>BDH|4066380283661257817</stp>
        <tr r="Z68" s="18"/>
      </tp>
      <tp t="e">
        <v>#N/A</v>
        <stp/>
        <stp>BDH|6043729641012391186</stp>
        <tr r="M21" s="27"/>
      </tp>
      <tp t="e">
        <v>#N/A</v>
        <stp/>
        <stp>BDH|4998538213147105102</stp>
        <tr r="H17" s="9"/>
      </tp>
      <tp t="e">
        <v>#N/A</v>
        <stp/>
        <stp>BDH|8724018910679991677</stp>
        <tr r="R42" s="17"/>
      </tp>
      <tp t="e">
        <v>#N/A</v>
        <stp/>
        <stp>BDH|9163419231491988907</stp>
        <tr r="Q19" s="9"/>
      </tp>
      <tp t="e">
        <v>#N/A</v>
        <stp/>
        <stp>BDH|4520052297222832975</stp>
        <tr r="L97" s="12"/>
      </tp>
      <tp t="e">
        <v>#N/A</v>
        <stp/>
        <stp>BDH|7943587456534856577</stp>
        <tr r="K42" s="6"/>
      </tp>
      <tp t="e">
        <v>#N/A</v>
        <stp/>
        <stp>BDH|6148139828450599374</stp>
        <tr r="X128" s="18"/>
      </tp>
      <tp t="e">
        <v>#N/A</v>
        <stp/>
        <stp>BDH|9133051095282810415</stp>
        <tr r="F17" s="21"/>
        <tr r="F23" s="3"/>
        <tr r="D23" s="2"/>
      </tp>
      <tp t="e">
        <v>#N/A</v>
        <stp/>
        <stp>BDH|3534359478962956391</stp>
        <tr r="L16" s="18"/>
      </tp>
      <tp t="e">
        <v>#N/A</v>
        <stp/>
        <stp>BDH|3808474607446530754</stp>
        <tr r="L15" s="25"/>
      </tp>
      <tp t="e">
        <v>#N/A</v>
        <stp/>
        <stp>BDH|9688984050765084664</stp>
        <tr r="T48" s="13"/>
      </tp>
      <tp t="e">
        <v>#N/A</v>
        <stp/>
        <stp>BDH|5848496375467978757</stp>
        <tr r="Q17" s="18"/>
      </tp>
      <tp t="e">
        <v>#N/A</v>
        <stp/>
        <stp>BDH|2480995685932074705</stp>
        <tr r="J28" s="6"/>
      </tp>
      <tp t="e">
        <v>#N/A</v>
        <stp/>
        <stp>BDH|5726061224761943046</stp>
        <tr r="L26" s="25"/>
        <tr r="L56" s="21"/>
      </tp>
      <tp t="e">
        <v>#N/A</v>
        <stp/>
        <stp>BDH|1493507521133407396</stp>
        <tr r="S90" s="18"/>
      </tp>
      <tp t="e">
        <v>#N/A</v>
        <stp/>
        <stp>BDH|5565983234679032018</stp>
        <tr r="T50" s="13"/>
      </tp>
      <tp t="e">
        <v>#N/A</v>
        <stp/>
        <stp>BDH|5092034828078402975</stp>
        <tr r="Q89" s="17"/>
      </tp>
      <tp t="e">
        <v>#N/A</v>
        <stp/>
        <stp>BDH|4335289853014874185</stp>
        <tr r="T22" s="4"/>
      </tp>
      <tp t="e">
        <v>#N/A</v>
        <stp/>
        <stp>BDH|5906368514030359105</stp>
        <tr r="E20" s="29"/>
      </tp>
      <tp t="e">
        <v>#N/A</v>
        <stp/>
        <stp>BDH|5394850289351585229</stp>
        <tr r="D80" s="12"/>
      </tp>
      <tp t="e">
        <v>#N/A</v>
        <stp/>
        <stp>BDH|2708107103896428386</stp>
        <tr r="F7" s="14"/>
      </tp>
      <tp t="e">
        <v>#N/A</v>
        <stp/>
        <stp>BDH|4711586460995239451</stp>
        <tr r="T161" s="18"/>
      </tp>
      <tp t="e">
        <v>#N/A</v>
        <stp/>
        <stp>BDH|9174974962169867948</stp>
        <tr r="X175" s="18"/>
      </tp>
      <tp t="e">
        <v>#N/A</v>
        <stp/>
        <stp>BDH|5481785787044159824</stp>
        <tr r="D81" s="18"/>
      </tp>
      <tp t="e">
        <v>#N/A</v>
        <stp/>
        <stp>BDH|7246647746682937119</stp>
        <tr r="J41" s="17"/>
      </tp>
      <tp t="e">
        <v>#N/A</v>
        <stp/>
        <stp>BDH|3344099812612138616</stp>
        <tr r="X33" s="6"/>
      </tp>
      <tp t="e">
        <v>#N/A</v>
        <stp/>
        <stp>BDH|6983685721103832701</stp>
        <tr r="M29" s="21"/>
      </tp>
      <tp t="e">
        <v>#N/A</v>
        <stp/>
        <stp>BDH|7640801598738590835</stp>
        <tr r="G122" s="18"/>
      </tp>
      <tp t="e">
        <v>#N/A</v>
        <stp/>
        <stp>BDH|4856193549394897382</stp>
        <tr r="Y141" s="18"/>
      </tp>
      <tp t="e">
        <v>#N/A</v>
        <stp/>
        <stp>BDH|1961019960042953394</stp>
        <tr r="X50" s="12"/>
      </tp>
      <tp t="e">
        <v>#N/A</v>
        <stp/>
        <stp>BDH|1973031747245607625</stp>
        <tr r="Y39" s="21"/>
      </tp>
      <tp t="e">
        <v>#N/A</v>
        <stp/>
        <stp>BDH|7043384712321356207</stp>
        <tr r="I35" s="18"/>
      </tp>
      <tp t="e">
        <v>#N/A</v>
        <stp/>
        <stp>BDH|1677521825468874804</stp>
        <tr r="G18" s="29"/>
        <tr r="G41" s="29"/>
      </tp>
      <tp t="e">
        <v>#N/A</v>
        <stp/>
        <stp>BDH|9932804820306123317</stp>
        <tr r="V8" s="28"/>
      </tp>
      <tp t="e">
        <v>#N/A</v>
        <stp/>
        <stp>BDH|3592999896465749040</stp>
        <tr r="T46" s="18"/>
      </tp>
      <tp t="e">
        <v>#N/A</v>
        <stp/>
        <stp>BDH|6431757245411543284</stp>
        <tr r="L52" s="12"/>
      </tp>
      <tp t="e">
        <v>#N/A</v>
        <stp/>
        <stp>BDH|6094431027112921448</stp>
        <tr r="N167" s="18"/>
      </tp>
      <tp t="e">
        <v>#N/A</v>
        <stp/>
        <stp>BDH|2845567309532639386</stp>
        <tr r="X14" s="22"/>
      </tp>
      <tp t="e">
        <v>#N/A</v>
        <stp/>
        <stp>BDH|2438055524411913750</stp>
        <tr r="I22" s="20"/>
      </tp>
      <tp t="e">
        <v>#N/A</v>
        <stp/>
        <stp>BDH|4742093715423408060</stp>
        <tr r="U100" s="12"/>
      </tp>
      <tp t="e">
        <v>#N/A</v>
        <stp/>
        <stp>BDH|4519226512629525890</stp>
        <tr r="C9" s="21"/>
      </tp>
      <tp t="e">
        <v>#N/A</v>
        <stp/>
        <stp>BDH|6877648536841132426</stp>
        <tr r="O12" s="7"/>
      </tp>
      <tp t="e">
        <v>#N/A</v>
        <stp/>
        <stp>BDH|6835532772723823186</stp>
        <tr r="O9" s="21"/>
      </tp>
      <tp t="e">
        <v>#N/A</v>
        <stp/>
        <stp>BDH|6852362903110647320</stp>
        <tr r="P88" s="12"/>
      </tp>
      <tp t="e">
        <v>#N/A</v>
        <stp/>
        <stp>BDH|5357193323707932796</stp>
        <tr r="Q21" s="21"/>
      </tp>
      <tp t="e">
        <v>#N/A</v>
        <stp/>
        <stp>BDH|9644681135238536270</stp>
        <tr r="L49" s="24"/>
      </tp>
      <tp t="e">
        <v>#N/A</v>
        <stp/>
        <stp>BDH|4393501230794896022</stp>
        <tr r="F48" s="24"/>
      </tp>
      <tp t="e">
        <v>#N/A</v>
        <stp/>
        <stp>BDH|1146939170980355985</stp>
        <tr r="V24" s="26"/>
      </tp>
      <tp t="e">
        <v>#N/A</v>
        <stp/>
        <stp>BDH|9753936146522232092</stp>
        <tr r="F47" s="24"/>
      </tp>
      <tp t="e">
        <v>#N/A</v>
        <stp/>
        <stp>BDH|7676499904960550575</stp>
        <tr r="F18" s="13"/>
      </tp>
      <tp t="e">
        <v>#N/A</v>
        <stp/>
        <stp>BDH|4603712948049665803</stp>
        <tr r="L70" s="17"/>
        <tr r="I8" s="9"/>
        <tr r="I8" s="5"/>
      </tp>
      <tp t="e">
        <v>#N/A</v>
        <stp/>
        <stp>BDH|7469104849431137553</stp>
        <tr r="E41" s="18"/>
      </tp>
      <tp t="e">
        <v>#N/A</v>
        <stp/>
        <stp>BDH|2484443623347984536</stp>
        <tr r="P31" s="24"/>
      </tp>
      <tp t="e">
        <v>#N/A</v>
        <stp/>
        <stp>BDH|3001695571600029417</stp>
        <tr r="K17" s="14"/>
      </tp>
      <tp t="e">
        <v>#N/A</v>
        <stp/>
        <stp>BDH|8838114780050420743</stp>
        <tr r="K29" s="18"/>
      </tp>
      <tp t="e">
        <v>#N/A</v>
        <stp/>
        <stp>BDH|2759223335922083791</stp>
        <tr r="C105" s="18"/>
      </tp>
      <tp t="e">
        <v>#N/A</v>
        <stp/>
        <stp>BDH|3627258318610420667</stp>
        <tr r="T17" s="13"/>
      </tp>
      <tp t="e">
        <v>#N/A</v>
        <stp/>
        <stp>BDH|6364146468425053268</stp>
        <tr r="O143" s="18"/>
      </tp>
      <tp t="e">
        <v>#N/A</v>
        <stp/>
        <stp>BDH|9617361372763983826</stp>
        <tr r="G49" s="18"/>
      </tp>
      <tp t="e">
        <v>#N/A</v>
        <stp/>
        <stp>BDH|5471602215830808404</stp>
        <tr r="R29" s="12"/>
      </tp>
      <tp t="e">
        <v>#N/A</v>
        <stp/>
        <stp>BDH|9395197982654013210</stp>
        <tr r="X6" s="6"/>
      </tp>
      <tp t="e">
        <v>#N/A</v>
        <stp/>
        <stp>BDH|9769993276450898190</stp>
        <tr r="C95" s="18"/>
      </tp>
      <tp t="e">
        <v>#N/A</v>
        <stp/>
        <stp>BDH|6216329099068163216</stp>
        <tr r="H57" s="24"/>
      </tp>
      <tp t="e">
        <v>#N/A</v>
        <stp/>
        <stp>BDH|5553894762585350849</stp>
        <tr r="E47" s="11"/>
        <tr r="E58" s="10"/>
        <tr r="G12" s="3"/>
        <tr r="E7" s="7"/>
      </tp>
      <tp t="e">
        <v>#N/A</v>
        <stp/>
        <stp>BDH|1937466300081042269</stp>
        <tr r="T12" s="24"/>
      </tp>
      <tp t="e">
        <v>#N/A</v>
        <stp/>
        <stp>BDH|3730107749885447530</stp>
        <tr r="G17" s="18"/>
      </tp>
      <tp t="e">
        <v>#N/A</v>
        <stp/>
        <stp>BDH|7582825181602753385</stp>
        <tr r="G18" s="20"/>
      </tp>
      <tp t="e">
        <v>#N/A</v>
        <stp/>
        <stp>BDH|4640054409794390605</stp>
        <tr r="X105" s="18"/>
      </tp>
      <tp t="e">
        <v>#N/A</v>
        <stp/>
        <stp>BDH|4621306530055774789</stp>
        <tr r="C55" s="21"/>
      </tp>
      <tp t="e">
        <v>#N/A</v>
        <stp/>
        <stp>BDH|5412681412062487635</stp>
        <tr r="W12" s="6"/>
      </tp>
      <tp t="e">
        <v>#N/A</v>
        <stp/>
        <stp>BDH|7236923784540519089</stp>
        <tr r="S10" s="11"/>
      </tp>
      <tp t="e">
        <v>#N/A</v>
        <stp/>
        <stp>BDH|4025031279952501766</stp>
        <tr r="Y128" s="18"/>
      </tp>
      <tp t="e">
        <v>#N/A</v>
        <stp/>
        <stp>BDH|7879562164320621258</stp>
        <tr r="S158" s="18"/>
      </tp>
      <tp t="e">
        <v>#N/A</v>
        <stp/>
        <stp>BDH|7588720639090011577</stp>
        <tr r="W63" s="13"/>
        <tr r="U49" s="11"/>
        <tr r="U60" s="10"/>
        <tr r="U18" s="7"/>
      </tp>
      <tp t="e">
        <v>#N/A</v>
        <stp/>
        <stp>BDH|2032698625700138041</stp>
        <tr r="D92" s="18"/>
      </tp>
      <tp t="e">
        <v>#N/A</v>
        <stp/>
        <stp>BDH|4676633909111033558</stp>
        <tr r="G148" s="18"/>
      </tp>
      <tp t="e">
        <v>#N/A</v>
        <stp/>
        <stp>BDH|7677155123984788692</stp>
        <tr r="P55" s="18"/>
      </tp>
      <tp t="e">
        <v>#N/A</v>
        <stp/>
        <stp>BDH|3615112878332279136</stp>
        <tr r="V63" s="24"/>
      </tp>
      <tp t="e">
        <v>#N/A</v>
        <stp/>
        <stp>BDH|4945197155061837730</stp>
        <tr r="K28" s="13"/>
        <tr r="K16" s="13"/>
        <tr r="I17" s="10"/>
      </tp>
      <tp t="e">
        <v>#N/A</v>
        <stp/>
        <stp>BDH|2919524814821450158</stp>
        <tr r="E24" s="29"/>
      </tp>
      <tp t="e">
        <v>#N/A</v>
        <stp/>
        <stp>BDH|8763758882146671788</stp>
        <tr r="M77" s="17"/>
      </tp>
      <tp t="e">
        <v>#N/A</v>
        <stp/>
        <stp>BDH|3668590225656087448</stp>
        <tr r="E71" s="13"/>
      </tp>
      <tp t="e">
        <v>#N/A</v>
        <stp/>
        <stp>BDH|9078391584957481377</stp>
        <tr r="G6" s="15"/>
        <tr r="G6" s="10"/>
        <tr r="G12" s="2"/>
        <tr r="G11" s="4"/>
      </tp>
      <tp t="e">
        <v>#N/A</v>
        <stp/>
        <stp>BDH|7326565399894687947</stp>
        <tr r="Y6" s="28"/>
      </tp>
      <tp t="e">
        <v>#N/A</v>
        <stp/>
        <stp>BDH|3970920805419388539</stp>
        <tr r="E120" s="18"/>
      </tp>
      <tp t="e">
        <v>#N/A</v>
        <stp/>
        <stp>BDH|5644040379410500405</stp>
        <tr r="C20" s="25"/>
      </tp>
      <tp t="e">
        <v>#N/A</v>
        <stp/>
        <stp>BDH|4835262499601838811</stp>
        <tr r="R26" s="6"/>
      </tp>
      <tp t="e">
        <v>#N/A</v>
        <stp/>
        <stp>BDH|7882556094399191461</stp>
        <tr r="L66" s="21"/>
      </tp>
      <tp t="e">
        <v>#N/A</v>
        <stp/>
        <stp>BDH|7912581210552933762</stp>
        <tr r="W7" s="17"/>
      </tp>
      <tp t="e">
        <v>#N/A</v>
        <stp/>
        <stp>BDH|5023116986152088899</stp>
        <tr r="P22" s="25"/>
      </tp>
      <tp t="e">
        <v>#N/A</v>
        <stp/>
        <stp>BDH|4295157270837816313</stp>
        <tr r="E21" s="4"/>
      </tp>
      <tp t="e">
        <v>#N/A</v>
        <stp/>
        <stp>BDH|1543529042842912423</stp>
        <tr r="AA70" s="18"/>
      </tp>
      <tp t="e">
        <v>#N/A</v>
        <stp/>
        <stp>BDH|3036326344625818705</stp>
        <tr r="W74" s="24"/>
      </tp>
      <tp t="e">
        <v>#N/A</v>
        <stp/>
        <stp>BDH|1081329530133524494</stp>
        <tr r="F58" s="12"/>
      </tp>
      <tp t="e">
        <v>#N/A</v>
        <stp/>
        <stp>BDH|1206870689051019627</stp>
        <tr r="V22" s="30"/>
        <tr r="V24" s="23"/>
      </tp>
      <tp t="e">
        <v>#N/A</v>
        <stp/>
        <stp>BDH|5683197573420798554</stp>
        <tr r="R8" s="34"/>
      </tp>
      <tp t="e">
        <v>#N/A</v>
        <stp/>
        <stp>BDH|8208640782094958433</stp>
        <tr r="D49" s="18"/>
      </tp>
      <tp t="e">
        <v>#N/A</v>
        <stp/>
        <stp>BDH|5618251108324222577</stp>
        <tr r="V10" s="26"/>
      </tp>
      <tp t="e">
        <v>#N/A</v>
        <stp/>
        <stp>BDH|9972798988232354250</stp>
        <tr r="U59" s="18"/>
      </tp>
      <tp t="e">
        <v>#N/A</v>
        <stp/>
        <stp>BDH|5541549738283203657</stp>
        <tr r="L41" s="25"/>
        <tr r="L59" s="21"/>
        <tr r="J54" s="11"/>
        <tr r="J31" s="4"/>
      </tp>
      <tp t="e">
        <v>#N/A</v>
        <stp/>
        <stp>BDH|7397895946549750454</stp>
        <tr r="I9" s="22"/>
      </tp>
      <tp t="e">
        <v>#N/A</v>
        <stp/>
        <stp>BDH|1505114179443139228</stp>
        <tr r="C13" s="30"/>
      </tp>
      <tp t="e">
        <v>#N/A</v>
        <stp/>
        <stp>BDH|6909058681258121022</stp>
        <tr r="K175" s="18"/>
      </tp>
      <tp t="e">
        <v>#N/A</v>
        <stp/>
        <stp>BDH|5926352313873944281</stp>
        <tr r="T32" s="22"/>
      </tp>
      <tp t="e">
        <v>#N/A</v>
        <stp/>
        <stp>BDH|3120187646811837193</stp>
        <tr r="F23" s="12"/>
      </tp>
      <tp t="e">
        <v>#N/A</v>
        <stp/>
        <stp>BDH|2916658072357920295</stp>
        <tr r="K16" s="11"/>
      </tp>
      <tp t="e">
        <v>#N/A</v>
        <stp/>
        <stp>BDH|4492397777466330074</stp>
        <tr r="V6" s="15"/>
        <tr r="V11" s="4"/>
        <tr r="V6" s="10"/>
        <tr r="V12" s="2"/>
      </tp>
      <tp t="e">
        <v>#N/A</v>
        <stp/>
        <stp>BDH|8103846107701892747</stp>
        <tr r="G29" s="12"/>
      </tp>
      <tp t="e">
        <v>#N/A</v>
        <stp/>
        <stp>BDH|2024572765684919358</stp>
        <tr r="R23" s="13"/>
      </tp>
      <tp t="e">
        <v>#N/A</v>
        <stp/>
        <stp>BDH|7222668850845942739</stp>
        <tr r="I73" s="13"/>
        <tr r="G50" s="11"/>
        <tr r="G61" s="10"/>
        <tr r="G19" s="7"/>
        <tr r="G20" s="2"/>
        <tr r="G18" s="4"/>
      </tp>
      <tp t="e">
        <v>#N/A</v>
        <stp/>
        <stp>BDH|6083006098010298948</stp>
        <tr r="H44" s="12"/>
      </tp>
      <tp t="e">
        <v>#N/A</v>
        <stp/>
        <stp>BDH|7129367607940713293</stp>
        <tr r="L56" s="18"/>
      </tp>
      <tp t="e">
        <v>#N/A</v>
        <stp/>
        <stp>BDH|3236361753494992701</stp>
        <tr r="D44" s="13"/>
        <tr r="D8" s="3"/>
      </tp>
      <tp t="e">
        <v>#N/A</v>
        <stp/>
        <stp>BDH|4076611623196403089</stp>
        <tr r="O85" s="18"/>
      </tp>
      <tp t="e">
        <v>#N/A</v>
        <stp/>
        <stp>BDH|4573787958112883228</stp>
        <tr r="Y63" s="24"/>
      </tp>
      <tp t="e">
        <v>#N/A</v>
        <stp/>
        <stp>BDH|1275288989424434989</stp>
        <tr r="I45" s="12"/>
      </tp>
      <tp t="e">
        <v>#N/A</v>
        <stp/>
        <stp>BDH|1877636655324778064</stp>
        <tr r="U55" s="18"/>
      </tp>
      <tp t="e">
        <v>#N/A</v>
        <stp/>
        <stp>BDH|8634607185244926454</stp>
        <tr r="Y42" s="17"/>
      </tp>
      <tp t="e">
        <v>#N/A</v>
        <stp/>
        <stp>BDH|3416165398709374464</stp>
        <tr r="C9" s="17"/>
      </tp>
      <tp t="e">
        <v>#N/A</v>
        <stp/>
        <stp>BDH|5970724833763406434</stp>
        <tr r="T70" s="12"/>
      </tp>
      <tp t="e">
        <v>#N/A</v>
        <stp/>
        <stp>BDH|1242702840364809056</stp>
        <tr r="X19" s="12"/>
      </tp>
      <tp t="e">
        <v>#N/A</v>
        <stp/>
        <stp>BDH|6677441216076245391</stp>
        <tr r="T9" s="11"/>
      </tp>
      <tp t="e">
        <v>#N/A</v>
        <stp/>
        <stp>BDH|4078942949239653641</stp>
        <tr r="D29" s="17"/>
      </tp>
      <tp t="e">
        <v>#N/A</v>
        <stp/>
        <stp>BDH|3757252660956548789</stp>
        <tr r="L89" s="12"/>
      </tp>
      <tp t="e">
        <v>#N/A</v>
        <stp/>
        <stp>BDH|9744091027488402522</stp>
        <tr r="O43" s="6"/>
      </tp>
      <tp t="e">
        <v>#N/A</v>
        <stp/>
        <stp>BDH|5129324968687423101</stp>
        <tr r="Z25" s="12"/>
      </tp>
      <tp t="e">
        <v>#N/A</v>
        <stp/>
        <stp>BDH|1665082655747411500</stp>
        <tr r="O40" s="21"/>
      </tp>
      <tp t="e">
        <v>#N/A</v>
        <stp/>
        <stp>BDH|4502995612549776365</stp>
        <tr r="W47" s="17"/>
      </tp>
      <tp t="e">
        <v>#N/A</v>
        <stp/>
        <stp>BDH|8808461696963781002</stp>
        <tr r="M9" s="18"/>
      </tp>
      <tp t="e">
        <v>#N/A</v>
        <stp/>
        <stp>BDH|7142710294478237796</stp>
        <tr r="J24" s="12"/>
      </tp>
      <tp t="e">
        <v>#N/A</v>
        <stp/>
        <stp>BDH|1485130173635337489</stp>
        <tr r="I46" s="21"/>
      </tp>
      <tp t="e">
        <v>#N/A</v>
        <stp/>
        <stp>BDH|8349097110436542907</stp>
        <tr r="Q9" s="13"/>
      </tp>
      <tp t="e">
        <v>#N/A</v>
        <stp/>
        <stp>BDH|5570604168730740357</stp>
        <tr r="U26" s="11"/>
        <tr r="U37" s="10"/>
      </tp>
      <tp t="e">
        <v>#N/A</v>
        <stp/>
        <stp>BDH|3034647434758948860</stp>
        <tr r="Q22" s="4"/>
      </tp>
      <tp t="e">
        <v>#N/A</v>
        <stp/>
        <stp>BDH|3376753878514111107</stp>
        <tr r="O47" s="11"/>
        <tr r="O58" s="10"/>
        <tr r="O7" s="7"/>
        <tr r="Q12" s="3"/>
      </tp>
      <tp t="e">
        <v>#N/A</v>
        <stp/>
        <stp>BDH|6810787989677100877</stp>
        <tr r="Y43" s="29"/>
      </tp>
      <tp t="e">
        <v>#N/A</v>
        <stp/>
        <stp>BDH|5301950119692196916</stp>
        <tr r="Y9" s="18"/>
      </tp>
      <tp t="e">
        <v>#N/A</v>
        <stp/>
        <stp>BDH|6910927350185664928</stp>
        <tr r="C8" s="21"/>
      </tp>
      <tp t="e">
        <v>#N/A</v>
        <stp/>
        <stp>BDH|6371249112680303391</stp>
        <tr r="F19" s="20"/>
      </tp>
      <tp t="e">
        <v>#N/A</v>
        <stp/>
        <stp>BDH|2599012378250346305</stp>
        <tr r="I40" s="12"/>
      </tp>
      <tp t="e">
        <v>#N/A</v>
        <stp/>
        <stp>BDH|5137760360865110791</stp>
        <tr r="X103" s="18"/>
      </tp>
      <tp t="e">
        <v>#N/A</v>
        <stp/>
        <stp>BDH|7845738546696035422</stp>
        <tr r="C159" s="18"/>
      </tp>
      <tp t="e">
        <v>#N/A</v>
        <stp/>
        <stp>BDH|9811645459484227889</stp>
        <tr r="G131" s="18"/>
      </tp>
      <tp t="e">
        <v>#N/A</v>
        <stp/>
        <stp>BDH|4618425404983952562</stp>
        <tr r="V34" s="22"/>
      </tp>
      <tp t="e">
        <v>#N/A</v>
        <stp/>
        <stp>BDH|8576633312629904028</stp>
        <tr r="I9" s="29"/>
      </tp>
      <tp t="e">
        <v>#N/A</v>
        <stp/>
        <stp>BDH|3616335794899970676</stp>
        <tr r="J106" s="18"/>
      </tp>
      <tp t="e">
        <v>#N/A</v>
        <stp/>
        <stp>BDH|9813836511163001559</stp>
        <tr r="R9" s="34"/>
      </tp>
      <tp t="e">
        <v>#N/A</v>
        <stp/>
        <stp>BDH|8979647411978547162</stp>
        <tr r="H12" s="20"/>
        <tr r="H117" s="18"/>
      </tp>
      <tp t="e">
        <v>#N/A</v>
        <stp/>
        <stp>BDH|6738261753860869752</stp>
        <tr r="N139" s="18"/>
      </tp>
      <tp t="e">
        <v>#N/A</v>
        <stp/>
        <stp>BDH|6905289079047362241</stp>
        <tr r="G35" s="21"/>
      </tp>
      <tp t="e">
        <v>#N/A</v>
        <stp/>
        <stp>BDH|7326294575883996799</stp>
        <tr r="D34" s="18"/>
      </tp>
      <tp t="e">
        <v>#N/A</v>
        <stp/>
        <stp>BDH|7378437940185667499</stp>
        <tr r="R6" s="6"/>
      </tp>
      <tp t="e">
        <v>#N/A</v>
        <stp/>
        <stp>BDH|1053802346168302397</stp>
        <tr r="M147" s="18"/>
      </tp>
      <tp t="e">
        <v>#N/A</v>
        <stp/>
        <stp>BDH|9004360639608311706</stp>
        <tr r="O15" s="34"/>
      </tp>
      <tp t="e">
        <v>#N/A</v>
        <stp/>
        <stp>BDH|1334243652794814417</stp>
        <tr r="AA38" s="24"/>
      </tp>
      <tp t="e">
        <v>#N/A</v>
        <stp/>
        <stp>BDH|1390061859362423049</stp>
        <tr r="W99" s="12"/>
      </tp>
      <tp t="e">
        <v>#N/A</v>
        <stp/>
        <stp>BDH|1080994825895061901</stp>
        <tr r="I24" s="17"/>
      </tp>
      <tp t="e">
        <v>#N/A</v>
        <stp/>
        <stp>BDH|7006722894017351894</stp>
        <tr r="X23" s="12"/>
      </tp>
      <tp t="e">
        <v>#N/A</v>
        <stp/>
        <stp>BDH|1451030613577918112</stp>
        <tr r="J39" s="21"/>
      </tp>
      <tp t="e">
        <v>#N/A</v>
        <stp/>
        <stp>BDH|1153716149546534207</stp>
        <tr r="K60" s="12"/>
      </tp>
      <tp t="e">
        <v>#N/A</v>
        <stp/>
        <stp>BDH|5207572566601809176</stp>
        <tr r="I13" s="12"/>
      </tp>
      <tp t="e">
        <v>#N/A</v>
        <stp/>
        <stp>BDH|8252254578633562864</stp>
        <tr r="Y38" s="22"/>
      </tp>
      <tp t="e">
        <v>#N/A</v>
        <stp/>
        <stp>BDH|3896338543570705231</stp>
        <tr r="F61" s="13"/>
      </tp>
      <tp t="e">
        <v>#N/A</v>
        <stp/>
        <stp>BDH|8872504865865981886</stp>
        <tr r="M44" s="24"/>
      </tp>
      <tp t="e">
        <v>#N/A</v>
        <stp/>
        <stp>BDH|5705794674401750211</stp>
        <tr r="L58" s="6"/>
      </tp>
      <tp t="e">
        <v>#N/A</v>
        <stp/>
        <stp>BDH|7905742950795125600</stp>
        <tr r="O95" s="12"/>
      </tp>
      <tp t="e">
        <v>#N/A</v>
        <stp/>
        <stp>BDH|5244125262433638781</stp>
        <tr r="Q72" s="24"/>
      </tp>
      <tp t="e">
        <v>#N/A</v>
        <stp/>
        <stp>BDH|8648844978734126573</stp>
        <tr r="M65" s="17"/>
      </tp>
      <tp t="e">
        <v>#N/A</v>
        <stp/>
        <stp>BDH|3135704451867503096</stp>
        <tr r="Y123" s="18"/>
      </tp>
      <tp t="e">
        <v>#N/A</v>
        <stp/>
        <stp>BDH|1482590600645729765</stp>
        <tr r="H56" s="13"/>
      </tp>
      <tp t="e">
        <v>#N/A</v>
        <stp/>
        <stp>BDH|3406038159069468967</stp>
        <tr r="W31" s="17"/>
      </tp>
      <tp t="e">
        <v>#N/A</v>
        <stp/>
        <stp>BDH|8407322365113932868</stp>
        <tr r="G99" s="12"/>
      </tp>
      <tp t="e">
        <v>#N/A</v>
        <stp/>
        <stp>BDH|6579798824791063445</stp>
        <tr r="X27" s="11"/>
        <tr r="X38" s="10"/>
      </tp>
      <tp t="e">
        <v>#N/A</v>
        <stp/>
        <stp>BDH|2875108305523741664</stp>
        <tr r="J87" s="17"/>
      </tp>
      <tp t="e">
        <v>#N/A</v>
        <stp/>
        <stp>BDH|5896010255114967294</stp>
        <tr r="C149" s="18"/>
      </tp>
      <tp t="e">
        <v>#N/A</v>
        <stp/>
        <stp>BDH|1899712727524151631</stp>
        <tr r="AA35" s="22"/>
      </tp>
      <tp t="e">
        <v>#N/A</v>
        <stp/>
        <stp>BDH|7096055055211541597</stp>
        <tr r="D7" s="11"/>
      </tp>
      <tp t="e">
        <v>#N/A</v>
        <stp/>
        <stp>BDH|4483255209437365772</stp>
        <tr r="G45" s="11"/>
        <tr r="G56" s="10"/>
        <tr r="G16" s="7"/>
      </tp>
      <tp t="e">
        <v>#N/A</v>
        <stp/>
        <stp>BDH|5007634054246922628</stp>
        <tr r="C20" s="27"/>
      </tp>
      <tp t="e">
        <v>#N/A</v>
        <stp/>
        <stp>BDH|5786720493914951938</stp>
        <tr r="W87" s="18"/>
      </tp>
      <tp t="e">
        <v>#N/A</v>
        <stp/>
        <stp>BDH|5024279908631368005</stp>
        <tr r="F6" s="6"/>
      </tp>
      <tp t="e">
        <v>#N/A</v>
        <stp/>
        <stp>BDH|6617496941833240305</stp>
        <tr r="K10" s="27"/>
        <tr r="K29" s="25"/>
      </tp>
      <tp t="e">
        <v>#N/A</v>
        <stp/>
        <stp>BDH|6872503183425288856</stp>
        <tr r="G9" s="13"/>
      </tp>
      <tp t="e">
        <v>#N/A</v>
        <stp/>
        <stp>BDH|5630041996663029997</stp>
        <tr r="R49" s="22"/>
      </tp>
      <tp t="e">
        <v>#N/A</v>
        <stp/>
        <stp>BDH|8522138594906860074</stp>
        <tr r="M20" s="5"/>
      </tp>
      <tp t="e">
        <v>#N/A</v>
        <stp/>
        <stp>BDH|1327700038184602702</stp>
        <tr r="R13" s="26"/>
      </tp>
      <tp t="e">
        <v>#N/A</v>
        <stp/>
        <stp>BDH|6720346360360632584</stp>
        <tr r="R67" s="17"/>
      </tp>
      <tp t="e">
        <v>#N/A</v>
        <stp/>
        <stp>BDH|2792029979335848697</stp>
        <tr r="J48" s="6"/>
      </tp>
      <tp t="e">
        <v>#N/A</v>
        <stp/>
        <stp>BDH|2216994750158176073</stp>
        <tr r="X10" s="13"/>
      </tp>
      <tp t="e">
        <v>#N/A</v>
        <stp/>
        <stp>BDH|5068647679922092001</stp>
        <tr r="X38" s="6"/>
      </tp>
      <tp t="e">
        <v>#N/A</v>
        <stp/>
        <stp>BDH|5895450520051133418</stp>
        <tr r="Y26" s="18"/>
      </tp>
      <tp t="e">
        <v>#N/A</v>
        <stp/>
        <stp>BDH|7033361453645944212</stp>
        <tr r="K8" s="29"/>
        <tr r="K30" s="29"/>
      </tp>
      <tp t="e">
        <v>#N/A</v>
        <stp/>
        <stp>BDH|5173188061894633036</stp>
        <tr r="E50" s="13"/>
      </tp>
      <tp t="e">
        <v>#N/A</v>
        <stp/>
        <stp>BDH|7677334898012257924</stp>
        <tr r="U66" s="24"/>
      </tp>
      <tp t="e">
        <v>#N/A</v>
        <stp/>
        <stp>BDH|2511574570562978465</stp>
        <tr r="K17" s="34"/>
      </tp>
      <tp t="e">
        <v>#N/A</v>
        <stp/>
        <stp>BDH|6164588164204498740</stp>
        <tr r="E35" s="4"/>
      </tp>
      <tp t="e">
        <v>#N/A</v>
        <stp/>
        <stp>BDH|1074788316092626359</stp>
        <tr r="T41" s="21"/>
      </tp>
      <tp t="e">
        <v>#N/A</v>
        <stp/>
        <stp>BDH|1486392355406481711</stp>
        <tr r="I75" s="24"/>
      </tp>
      <tp t="e">
        <v>#N/A</v>
        <stp/>
        <stp>BDH|9839914537192583769</stp>
        <tr r="V64" s="24"/>
      </tp>
      <tp t="e">
        <v>#N/A</v>
        <stp/>
        <stp>BDH|4104293008883580384</stp>
        <tr r="X9" s="26"/>
      </tp>
      <tp t="e">
        <v>#N/A</v>
        <stp/>
        <stp>BDH|9156239164592373989</stp>
        <tr r="L20" s="18"/>
      </tp>
      <tp t="e">
        <v>#N/A</v>
        <stp/>
        <stp>BDH|5566375538856242559</stp>
        <tr r="T30" s="14"/>
      </tp>
      <tp t="e">
        <v>#N/A</v>
        <stp/>
        <stp>BDH|1494634389728394105</stp>
        <tr r="P36" s="13"/>
        <tr r="N29" s="10"/>
      </tp>
      <tp t="e">
        <v>#N/A</v>
        <stp/>
        <stp>BDH|2006168459309143939</stp>
        <tr r="P9" s="6"/>
      </tp>
      <tp t="e">
        <v>#N/A</v>
        <stp/>
        <stp>BDH|8921234471163296847</stp>
        <tr r="I52" s="22"/>
      </tp>
      <tp t="e">
        <v>#N/A</v>
        <stp/>
        <stp>BDH|9351888324025321016</stp>
        <tr r="P57" s="18"/>
      </tp>
      <tp t="e">
        <v>#N/A</v>
        <stp/>
        <stp>BDH|1142451408671497252</stp>
        <tr r="X65" s="21"/>
        <tr r="U31" s="6"/>
      </tp>
      <tp t="e">
        <v>#N/A</v>
        <stp/>
        <stp>BDH|4173922838651628909</stp>
        <tr r="S17" s="29"/>
        <tr r="S40" s="29"/>
      </tp>
      <tp t="e">
        <v>#N/A</v>
        <stp/>
        <stp>BDH|6100799531702235665</stp>
        <tr r="L61" s="12"/>
      </tp>
      <tp t="e">
        <v>#N/A</v>
        <stp/>
        <stp>BDH|2410992892340116439</stp>
        <tr r="H20" s="14"/>
      </tp>
      <tp t="e">
        <v>#N/A</v>
        <stp/>
        <stp>BDH|6779986480201298001</stp>
        <tr r="S28" s="18"/>
      </tp>
      <tp t="e">
        <v>#N/A</v>
        <stp/>
        <stp>BDH|8872288501128570492</stp>
        <tr r="K69" s="10"/>
        <tr r="K39" s="4"/>
      </tp>
      <tp t="e">
        <v>#N/A</v>
        <stp/>
        <stp>BDH|5585387815393252272</stp>
        <tr r="F25" s="11"/>
        <tr r="F36" s="10"/>
      </tp>
      <tp t="e">
        <v>#N/A</v>
        <stp/>
        <stp>BDH|6181515012424875075</stp>
        <tr r="N35" s="11"/>
        <tr r="N46" s="10"/>
      </tp>
      <tp t="e">
        <v>#N/A</v>
        <stp/>
        <stp>BDH|3616539479336683178</stp>
        <tr r="X64" s="17"/>
      </tp>
      <tp t="e">
        <v>#N/A</v>
        <stp/>
        <stp>BDH|5794630089494427944</stp>
        <tr r="G85" s="12"/>
      </tp>
      <tp t="e">
        <v>#N/A</v>
        <stp/>
        <stp>BDH|2058104103900877565</stp>
        <tr r="Y16" s="22"/>
      </tp>
      <tp t="e">
        <v>#N/A</v>
        <stp/>
        <stp>BDH|5692757978221422224</stp>
        <tr r="D34" s="21"/>
      </tp>
      <tp t="e">
        <v>#N/A</v>
        <stp/>
        <stp>BDH|6625135429761052218</stp>
        <tr r="R17" s="12"/>
      </tp>
      <tp t="e">
        <v>#N/A</v>
        <stp/>
        <stp>BDH|3611740402005546788</stp>
        <tr r="C74" s="24"/>
      </tp>
      <tp t="e">
        <v>#N/A</v>
        <stp/>
        <stp>BDH|4151281769027597181</stp>
        <tr r="Z59" s="18"/>
      </tp>
      <tp t="e">
        <v>#N/A</v>
        <stp/>
        <stp>BDH|8050809522403618795</stp>
        <tr r="E47" s="13"/>
      </tp>
      <tp t="e">
        <v>#N/A</v>
        <stp/>
        <stp>BDH|8185364059390033830</stp>
        <tr r="AA33" s="18"/>
      </tp>
      <tp t="e">
        <v>#N/A</v>
        <stp/>
        <stp>BDH|5329508459162471130</stp>
        <tr r="W22" s="14"/>
      </tp>
      <tp t="e">
        <v>#N/A</v>
        <stp/>
        <stp>BDH|2262318982439955650</stp>
        <tr r="O45" s="12"/>
      </tp>
      <tp t="e">
        <v>#N/A</v>
        <stp/>
        <stp>BDH|7549408729812527549</stp>
        <tr r="E12" s="14"/>
      </tp>
      <tp t="e">
        <v>#N/A</v>
        <stp/>
        <stp>BDH|2882651005516557407</stp>
        <tr r="O12" s="13"/>
      </tp>
      <tp t="e">
        <v>#N/A</v>
        <stp/>
        <stp>BDH|4026288404268820894</stp>
        <tr r="R28" s="21"/>
      </tp>
      <tp t="e">
        <v>#N/A</v>
        <stp/>
        <stp>BDH|2861939714798353413</stp>
        <tr r="I43" s="21"/>
      </tp>
      <tp t="e">
        <v>#N/A</v>
        <stp/>
        <stp>BDH|7901818585095007406</stp>
        <tr r="G65" s="24"/>
      </tp>
      <tp t="e">
        <v>#N/A</v>
        <stp/>
        <stp>BDH|9466101817078105706</stp>
        <tr r="R15" s="26"/>
      </tp>
      <tp t="e">
        <v>#N/A</v>
        <stp/>
        <stp>BDH|7097556223294098244</stp>
        <tr r="O8" s="11"/>
      </tp>
      <tp t="e">
        <v>#N/A</v>
        <stp/>
        <stp>BDH|5028614924993391446</stp>
        <tr r="D72" s="18"/>
      </tp>
      <tp t="e">
        <v>#N/A</v>
        <stp/>
        <stp>BDH|7710148378795089295</stp>
        <tr r="X92" s="18"/>
      </tp>
      <tp t="e">
        <v>#N/A</v>
        <stp/>
        <stp>BDH|3705039774061189332</stp>
        <tr r="V30" s="21"/>
      </tp>
      <tp t="e">
        <v>#N/A</v>
        <stp/>
        <stp>BDH|8026710750294348806</stp>
        <tr r="H22" s="10"/>
      </tp>
      <tp t="e">
        <v>#N/A</v>
        <stp/>
        <stp>BDH|2542089324183881536</stp>
        <tr r="F144" s="18"/>
      </tp>
      <tp t="e">
        <v>#N/A</v>
        <stp/>
        <stp>BDH|9067562311758788329</stp>
        <tr r="Z128" s="18"/>
      </tp>
      <tp t="e">
        <v>#N/A</v>
        <stp/>
        <stp>BDH|2953237359844594747</stp>
        <tr r="K15" s="24"/>
      </tp>
      <tp t="e">
        <v>#N/A</v>
        <stp/>
        <stp>BDH|6233977717279637162</stp>
        <tr r="N48" s="22"/>
      </tp>
      <tp t="e">
        <v>#N/A</v>
        <stp/>
        <stp>BDH|4351691288705316935</stp>
        <tr r="P20" s="10"/>
      </tp>
      <tp t="e">
        <v>#N/A</v>
        <stp/>
        <stp>BDH|4971735634075803345</stp>
        <tr r="Z56" s="13"/>
      </tp>
      <tp t="e">
        <v>#N/A</v>
        <stp/>
        <stp>BDH|2606087565447039597</stp>
        <tr r="F32" s="9"/>
      </tp>
      <tp t="e">
        <v>#N/A</v>
        <stp/>
        <stp>BDH|9413458078518389483</stp>
        <tr r="U13" s="7"/>
      </tp>
      <tp t="e">
        <v>#N/A</v>
        <stp/>
        <stp>BDH|6215232358252847533</stp>
        <tr r="U69" s="18"/>
      </tp>
      <tp t="e">
        <v>#N/A</v>
        <stp/>
        <stp>BDH|6400809433823722825</stp>
        <tr r="P12" s="20"/>
        <tr r="P117" s="18"/>
      </tp>
      <tp t="e">
        <v>#N/A</v>
        <stp/>
        <stp>BDH|5983160892579961262</stp>
        <tr r="V23" s="21"/>
      </tp>
      <tp t="e">
        <v>#N/A</v>
        <stp/>
        <stp>BDH|9392943812277230052</stp>
        <tr r="T49" s="24"/>
      </tp>
      <tp t="e">
        <v>#N/A</v>
        <stp/>
        <stp>BDH|3991121559723278221</stp>
        <tr r="M11" s="7"/>
      </tp>
      <tp t="e">
        <v>#N/A</v>
        <stp/>
        <stp>BDH|1143078278070463082</stp>
        <tr r="W122" s="18"/>
      </tp>
      <tp t="e">
        <v>#N/A</v>
        <stp/>
        <stp>BDH|5823798426252277477</stp>
        <tr r="O19" s="30"/>
      </tp>
      <tp t="e">
        <v>#N/A</v>
        <stp/>
        <stp>BDH|5338179052636466102</stp>
        <tr r="S19" s="26"/>
      </tp>
      <tp t="e">
        <v>#N/A</v>
        <stp/>
        <stp>BDH|8855689974368006764</stp>
        <tr r="C103" s="18"/>
      </tp>
      <tp t="e">
        <v>#N/A</v>
        <stp/>
        <stp>BDH|8483708874359317719</stp>
        <tr r="I18" s="18"/>
      </tp>
      <tp t="e">
        <v>#N/A</v>
        <stp/>
        <stp>BDH|9304878468633604284</stp>
        <tr r="AA26" s="12"/>
      </tp>
      <tp t="e">
        <v>#N/A</v>
        <stp/>
        <stp>BDH|8568943212276680075</stp>
        <tr r="H21" s="3"/>
      </tp>
      <tp t="e">
        <v>#N/A</v>
        <stp/>
        <stp>BDH|6941622591138920718</stp>
        <tr r="P91" s="18"/>
      </tp>
      <tp t="e">
        <v>#N/A</v>
        <stp/>
        <stp>BDH|6326409991635684868</stp>
        <tr r="R13" s="2"/>
      </tp>
      <tp t="e">
        <v>#N/A</v>
        <stp/>
        <stp>BDH|1186017594387382959</stp>
        <tr r="C9" s="25"/>
        <tr r="C44" s="17"/>
      </tp>
      <tp t="e">
        <v>#N/A</v>
        <stp/>
        <stp>BDH|9639310075838363330</stp>
        <tr r="J42" s="24"/>
      </tp>
      <tp t="e">
        <v>#N/A</v>
        <stp/>
        <stp>BDH|7118712771312454378</stp>
        <tr r="R19" s="30"/>
      </tp>
      <tp t="e">
        <v>#N/A</v>
        <stp/>
        <stp>BDH|4289334646003209670</stp>
        <tr r="Q18" s="20"/>
      </tp>
      <tp t="e">
        <v>#N/A</v>
        <stp/>
        <stp>BDH|1528959581856571068</stp>
        <tr r="J18" s="13"/>
      </tp>
      <tp t="e">
        <v>#N/A</v>
        <stp/>
        <stp>BDH|1998306296024902943</stp>
        <tr r="I15" s="26"/>
      </tp>
      <tp t="e">
        <v>#N/A</v>
        <stp/>
        <stp>BDH|7945374598332498906</stp>
        <tr r="V18" s="23"/>
      </tp>
      <tp t="e">
        <v>#N/A</v>
        <stp/>
        <stp>BDH|1650246354803225366</stp>
        <tr r="X34" s="26"/>
      </tp>
      <tp t="e">
        <v>#N/A</v>
        <stp/>
        <stp>BDH|2962291109061899731</stp>
        <tr r="P90" s="18"/>
      </tp>
      <tp t="e">
        <v>#N/A</v>
        <stp/>
        <stp>BDH|5539237520166036549</stp>
        <tr r="J33" s="29"/>
        <tr r="J42" s="29"/>
        <tr r="H11" s="5"/>
        <tr r="H55" s="6"/>
        <tr r="I10" s="2"/>
      </tp>
      <tp t="e">
        <v>#N/A</v>
        <stp/>
        <stp>BDH|9639034331675683906</stp>
        <tr r="U59" s="12"/>
      </tp>
      <tp t="e">
        <v>#N/A</v>
        <stp/>
        <stp>BDH|3868993477908406303</stp>
        <tr r="O12" s="14"/>
      </tp>
      <tp t="e">
        <v>#N/A</v>
        <stp/>
        <stp>BDH|6420767526751495425</stp>
        <tr r="Q121" s="18"/>
      </tp>
      <tp t="e">
        <v>#N/A</v>
        <stp/>
        <stp>BDH|3381347766087087739</stp>
        <tr r="F20" s="29"/>
      </tp>
      <tp t="e">
        <v>#N/A</v>
        <stp/>
        <stp>BDH|3531286429624502122</stp>
        <tr r="T25" s="18"/>
      </tp>
      <tp t="e">
        <v>#N/A</v>
        <stp/>
        <stp>BDH|5417678979391025399</stp>
        <tr r="D24" s="10"/>
      </tp>
      <tp t="e">
        <v>#N/A</v>
        <stp/>
        <stp>BDH|1832037949717430451</stp>
        <tr r="F23" s="25"/>
      </tp>
      <tp t="e">
        <v>#N/A</v>
        <stp/>
        <stp>BDH|2083024367684632608</stp>
        <tr r="V17" s="23"/>
      </tp>
      <tp t="e">
        <v>#N/A</v>
        <stp/>
        <stp>BDH|4901782710155276104</stp>
        <tr r="D67" s="24"/>
      </tp>
      <tp t="e">
        <v>#N/A</v>
        <stp/>
        <stp>BDH|5857587363544653462</stp>
        <tr r="K28" s="21"/>
      </tp>
      <tp t="e">
        <v>#N/A</v>
        <stp/>
        <stp>BDH|2747158550332895295</stp>
        <tr r="C60" s="12"/>
      </tp>
      <tp t="e">
        <v>#N/A</v>
        <stp/>
        <stp>BDH|7898845596886150682</stp>
        <tr r="F44" s="12"/>
      </tp>
      <tp t="e">
        <v>#N/A</v>
        <stp/>
        <stp>BDH|6028249857451198615</stp>
        <tr r="D8" s="25"/>
      </tp>
      <tp t="e">
        <v>#N/A</v>
        <stp/>
        <stp>BDH|4321596437404972075</stp>
        <tr r="I20" s="26"/>
      </tp>
      <tp t="e">
        <v>#N/A</v>
        <stp/>
        <stp>BDH|9047916067434313465</stp>
        <tr r="P44" s="13"/>
        <tr r="N36" s="11"/>
        <tr r="N47" s="10"/>
        <tr r="N52" s="4"/>
        <tr r="P8" s="3"/>
      </tp>
      <tp t="e">
        <v>#N/A</v>
        <stp/>
        <stp>BDH|3619292375180098099</stp>
        <tr r="D24" s="22"/>
      </tp>
      <tp t="e">
        <v>#N/A</v>
        <stp/>
        <stp>BDH|6090129249861043489</stp>
        <tr r="K27" s="18"/>
      </tp>
      <tp t="e">
        <v>#N/A</v>
        <stp/>
        <stp>BDH|8744991793759761790</stp>
        <tr r="X41" s="17"/>
      </tp>
      <tp t="e">
        <v>#N/A</v>
        <stp/>
        <stp>BDH|5873181368146264295</stp>
        <tr r="E168" s="18"/>
      </tp>
      <tp t="e">
        <v>#N/A</v>
        <stp/>
        <stp>BDH|7257393612053346096</stp>
        <tr r="T20" s="10"/>
      </tp>
      <tp t="e">
        <v>#N/A</v>
        <stp/>
        <stp>BDH|3128373780349047752</stp>
        <tr r="R75" s="24"/>
      </tp>
      <tp t="e">
        <v>#N/A</v>
        <stp/>
        <stp>BDH|3792824897957984388</stp>
        <tr r="W77" s="12"/>
      </tp>
      <tp t="e">
        <v>#N/A</v>
        <stp/>
        <stp>BDH|5990232934996844451</stp>
        <tr r="Y69" s="18"/>
      </tp>
      <tp t="e">
        <v>#N/A</v>
        <stp/>
        <stp>BDH|9633249695910704434</stp>
        <tr r="R13" s="30"/>
      </tp>
      <tp t="e">
        <v>#N/A</v>
        <stp/>
        <stp>BDH|6509712276444336422</stp>
        <tr r="J39" s="18"/>
      </tp>
      <tp t="e">
        <v>#N/A</v>
        <stp/>
        <stp>BDH|1199082459841174322</stp>
        <tr r="E11" s="9"/>
      </tp>
      <tp t="e">
        <v>#N/A</v>
        <stp/>
        <stp>BDH|1379341924262483445</stp>
        <tr r="E60" s="13"/>
        <tr r="C59" s="10"/>
        <tr r="C48" s="11"/>
        <tr r="C17" s="7"/>
        <tr r="E10" s="3"/>
        <tr r="C17" s="4"/>
      </tp>
      <tp t="e">
        <v>#N/A</v>
        <stp/>
        <stp>BDH|7721553770973074016</stp>
        <tr r="L93" s="18"/>
      </tp>
      <tp t="e">
        <v>#N/A</v>
        <stp/>
        <stp>BDH|3351009683734015933</stp>
        <tr r="T43" s="10"/>
        <tr r="T32" s="11"/>
      </tp>
      <tp t="e">
        <v>#N/A</v>
        <stp/>
        <stp>BDH|8240402632818113127</stp>
        <tr r="F69" s="12"/>
      </tp>
      <tp t="e">
        <v>#N/A</v>
        <stp/>
        <stp>BDH|7850644531890905472</stp>
        <tr r="N23" s="6"/>
      </tp>
      <tp t="e">
        <v>#N/A</v>
        <stp/>
        <stp>BDH|7798250163972724759</stp>
        <tr r="AA50" s="22"/>
      </tp>
      <tp t="e">
        <v>#N/A</v>
        <stp/>
        <stp>BDH|4153772165774931799</stp>
        <tr r="Q12" s="27"/>
        <tr r="Q30" s="25"/>
      </tp>
      <tp t="e">
        <v>#N/A</v>
        <stp/>
        <stp>BDH|2597641092133732877</stp>
        <tr r="O27" s="11"/>
        <tr r="O38" s="10"/>
      </tp>
      <tp t="e">
        <v>#N/A</v>
        <stp/>
        <stp>BDH|4799214047367202303</stp>
        <tr r="L88" s="17"/>
      </tp>
      <tp t="e">
        <v>#N/A</v>
        <stp/>
        <stp>BDH|2246142086489280417</stp>
        <tr r="V58" s="24"/>
      </tp>
      <tp t="e">
        <v>#N/A</v>
        <stp/>
        <stp>BDH|8070412715682161968</stp>
        <tr r="K52" s="22"/>
      </tp>
      <tp t="e">
        <v>#N/A</v>
        <stp/>
        <stp>BDH|3300821696870208464</stp>
        <tr r="U43" s="29"/>
      </tp>
      <tp t="e">
        <v>#N/A</v>
        <stp/>
        <stp>BDH|9571084229469790402</stp>
        <tr r="X90" s="17"/>
      </tp>
      <tp t="e">
        <v>#N/A</v>
        <stp/>
        <stp>BDH|7897589545862621205</stp>
        <tr r="O36" s="18"/>
      </tp>
      <tp t="e">
        <v>#N/A</v>
        <stp/>
        <stp>BDH|7115673764824137506</stp>
        <tr r="X70" s="13"/>
      </tp>
      <tp t="e">
        <v>#N/A</v>
        <stp/>
        <stp>BDH|1490537116582740150</stp>
        <tr r="H9" s="26"/>
      </tp>
      <tp t="e">
        <v>#N/A</v>
        <stp/>
        <stp>BDH|6068924985833311275</stp>
        <tr r="W7" s="24"/>
      </tp>
      <tp t="e">
        <v>#N/A</v>
        <stp/>
        <stp>BDH|4617859298777048485</stp>
        <tr r="Q34" s="18"/>
      </tp>
      <tp t="e">
        <v>#N/A</v>
        <stp/>
        <stp>BDH|6118915514411022943</stp>
        <tr r="D21" s="2"/>
      </tp>
      <tp t="e">
        <v>#N/A</v>
        <stp/>
        <stp>BDH|7732535230395106254</stp>
        <tr r="H95" s="12"/>
      </tp>
      <tp t="e">
        <v>#N/A</v>
        <stp/>
        <stp>BDH|5501319310339229869</stp>
        <tr r="E27" s="22"/>
      </tp>
      <tp t="e">
        <v>#N/A</v>
        <stp/>
        <stp>BDH|1881553020884543486</stp>
        <tr r="C39" s="25"/>
      </tp>
      <tp t="e">
        <v>#N/A</v>
        <stp/>
        <stp>BDH|3406528222362026049</stp>
        <tr r="S67" s="10"/>
      </tp>
      <tp t="e">
        <v>#N/A</v>
        <stp/>
        <stp>BDH|7343339811266399525</stp>
        <tr r="M33" s="13"/>
        <tr r="K26" s="10"/>
      </tp>
      <tp t="e">
        <v>#N/A</v>
        <stp/>
        <stp>BDH|9153751116741151835</stp>
        <tr r="T58" s="12"/>
      </tp>
      <tp t="e">
        <v>#N/A</v>
        <stp/>
        <stp>BDH|7119770432546775330</stp>
        <tr r="K18" s="17"/>
      </tp>
      <tp t="e">
        <v>#N/A</v>
        <stp/>
        <stp>BDH|5609087738311031164</stp>
        <tr r="H39" s="29"/>
        <tr r="H16" s="29"/>
      </tp>
      <tp t="e">
        <v>#N/A</v>
        <stp/>
        <stp>BDH|5086094374773418799</stp>
        <tr r="M39" s="24"/>
      </tp>
      <tp t="e">
        <v>#N/A</v>
        <stp/>
        <stp>BDH|8131830259735832635</stp>
        <tr r="X11" s="11"/>
      </tp>
      <tp t="e">
        <v>#N/A</v>
        <stp/>
        <stp>BDH|1685847951498398200</stp>
        <tr r="F31" s="11"/>
        <tr r="F42" s="10"/>
      </tp>
      <tp t="e">
        <v>#N/A</v>
        <stp/>
        <stp>BDH|3384663879214830048</stp>
        <tr r="T21" s="18"/>
      </tp>
      <tp t="e">
        <v>#N/A</v>
        <stp/>
        <stp>BDH|8444670223692207820</stp>
        <tr r="D49" s="4"/>
      </tp>
      <tp t="e">
        <v>#N/A</v>
        <stp/>
        <stp>BDH|7625918461978371651</stp>
        <tr r="P53" s="10"/>
        <tr r="P42" s="11"/>
        <tr r="P8" s="7"/>
        <tr r="R11" s="3"/>
      </tp>
      <tp t="e">
        <v>#N/A</v>
        <stp/>
        <stp>BDH|4293463651614396760</stp>
        <tr r="Q88" s="18"/>
      </tp>
      <tp t="e">
        <v>#N/A</v>
        <stp/>
        <stp>BDH|1881561851840736787</stp>
        <tr r="W35" s="25"/>
        <tr r="W17" s="27"/>
        <tr r="T14" s="5"/>
      </tp>
      <tp t="e">
        <v>#N/A</v>
        <stp/>
        <stp>BDH|6449878981953690348</stp>
        <tr r="V49" s="18"/>
      </tp>
      <tp t="e">
        <v>#N/A</v>
        <stp/>
        <stp>BDH|1728047070463419374</stp>
        <tr r="J172" s="18"/>
      </tp>
      <tp t="e">
        <v>#N/A</v>
        <stp/>
        <stp>BDH|3350082754145722580</stp>
        <tr r="R19" s="22"/>
      </tp>
      <tp t="e">
        <v>#N/A</v>
        <stp/>
        <stp>BDH|1326682900302342383</stp>
        <tr r="J8" s="13"/>
      </tp>
      <tp t="e">
        <v>#N/A</v>
        <stp/>
        <stp>BDH|2738277363154505461</stp>
        <tr r="O47" s="24"/>
      </tp>
      <tp t="e">
        <v>#N/A</v>
        <stp/>
        <stp>BDH|1844917728515067917</stp>
        <tr r="X7" s="20"/>
        <tr r="X113" s="18"/>
      </tp>
      <tp t="e">
        <v>#N/A</v>
        <stp/>
        <stp>BDH|8119862341914489625</stp>
        <tr r="X110" s="18"/>
      </tp>
      <tp t="e">
        <v>#N/A</v>
        <stp/>
        <stp>BDH|5994497569067001698</stp>
        <tr r="I56" s="12"/>
      </tp>
      <tp t="e">
        <v>#N/A</v>
        <stp/>
        <stp>BDH|8172163724729219414</stp>
        <tr r="E20" s="28"/>
        <tr r="E17" s="17"/>
      </tp>
      <tp t="e">
        <v>#N/A</v>
        <stp/>
        <stp>BDH|6806514228903754461</stp>
        <tr r="N55" s="12"/>
      </tp>
      <tp t="e">
        <v>#N/A</v>
        <stp/>
        <stp>BDH|8762349380350774542</stp>
        <tr r="F35" s="11"/>
        <tr r="F46" s="10"/>
      </tp>
      <tp t="e">
        <v>#N/A</v>
        <stp/>
        <stp>BDH|7142829340099776443</stp>
        <tr r="O69" s="10"/>
        <tr r="O39" s="4"/>
      </tp>
      <tp t="e">
        <v>#N/A</v>
        <stp/>
        <stp>BDH|7229678068090563184</stp>
        <tr r="C124" s="18"/>
      </tp>
      <tp t="e">
        <v>#N/A</v>
        <stp/>
        <stp>BDH|2047517061827419042</stp>
        <tr r="H26" s="13"/>
      </tp>
      <tp t="e">
        <v>#N/A</v>
        <stp/>
        <stp>BDH|3189207001483284428</stp>
        <tr r="E23" s="26"/>
      </tp>
      <tp t="e">
        <v>#N/A</v>
        <stp/>
        <stp>BDH|7410497965295182697</stp>
        <tr r="V34" s="29"/>
      </tp>
      <tp t="e">
        <v>#N/A</v>
        <stp/>
        <stp>BDH|1923141258937244474</stp>
        <tr r="J88" s="17"/>
      </tp>
      <tp t="e">
        <v>#N/A</v>
        <stp/>
        <stp>BDH|4913883335888528112</stp>
        <tr r="W151" s="18"/>
      </tp>
      <tp t="e">
        <v>#N/A</v>
        <stp/>
        <stp>BDH|4469384022471691285</stp>
        <tr r="J13" s="12"/>
      </tp>
      <tp t="e">
        <v>#N/A</v>
        <stp/>
        <stp>BDH|8569421333568184150</stp>
        <tr r="AA21" s="17"/>
      </tp>
      <tp t="e">
        <v>#N/A</v>
        <stp/>
        <stp>BDH|8494110974128319024</stp>
        <tr r="F18" s="12"/>
      </tp>
      <tp t="e">
        <v>#N/A</v>
        <stp/>
        <stp>BDH|4890074229165185579</stp>
        <tr r="Z52" s="12"/>
      </tp>
      <tp t="e">
        <v>#N/A</v>
        <stp/>
        <stp>BDH|2458722841962159566</stp>
        <tr r="J8" s="4"/>
      </tp>
      <tp t="e">
        <v>#N/A</v>
        <stp/>
        <stp>BDH|5030749531417771025</stp>
        <tr r="C53" s="13"/>
      </tp>
      <tp t="e">
        <v>#N/A</v>
        <stp/>
        <stp>BDH|5943026935358999877</stp>
        <tr r="I95" s="18"/>
      </tp>
      <tp t="e">
        <v>#N/A</v>
        <stp/>
        <stp>BDH|6398607057045287669</stp>
        <tr r="C24" s="13"/>
      </tp>
      <tp t="e">
        <v>#N/A</v>
        <stp/>
        <stp>BDH|6340568776065735741</stp>
        <tr r="P29" s="21"/>
      </tp>
      <tp t="e">
        <v>#N/A</v>
        <stp/>
        <stp>BDH|5154055933799216958</stp>
        <tr r="E49" s="34"/>
      </tp>
      <tp t="e">
        <v>#N/A</v>
        <stp/>
        <stp>BDH|2193706240150971798</stp>
        <tr r="O9" s="34"/>
      </tp>
      <tp t="e">
        <v>#N/A</v>
        <stp/>
        <stp>BDH|6513670455603277041</stp>
        <tr r="I23" s="20"/>
      </tp>
      <tp t="e">
        <v>#N/A</v>
        <stp/>
        <stp>BDH|1738116126452877697</stp>
        <tr r="D43" s="34"/>
      </tp>
      <tp t="e">
        <v>#N/A</v>
        <stp/>
        <stp>BDH|7755761167473172367</stp>
        <tr r="O22" s="21"/>
      </tp>
      <tp t="e">
        <v>#N/A</v>
        <stp/>
        <stp>BDH|1357237926501070670</stp>
        <tr r="V40" s="18"/>
      </tp>
      <tp t="e">
        <v>#N/A</v>
        <stp/>
        <stp>BDH|4602446180386363800</stp>
        <tr r="I22" s="27"/>
      </tp>
      <tp t="e">
        <v>#N/A</v>
        <stp/>
        <stp>BDH|7434347330612143304</stp>
        <tr r="J74" s="18"/>
      </tp>
      <tp t="e">
        <v>#N/A</v>
        <stp/>
        <stp>BDH|5011285628274555746</stp>
        <tr r="Y111" s="18"/>
      </tp>
      <tp t="e">
        <v>#N/A</v>
        <stp/>
        <stp>BDH|9513947671937590643</stp>
        <tr r="R42" s="25"/>
      </tp>
      <tp t="e">
        <v>#N/A</v>
        <stp/>
        <stp>BDH|1027024571880332018</stp>
        <tr r="L80" s="18"/>
      </tp>
      <tp t="e">
        <v>#N/A</v>
        <stp/>
        <stp>BDH|2769358271761756159</stp>
        <tr r="U32" s="21"/>
      </tp>
      <tp t="e">
        <v>#N/A</v>
        <stp/>
        <stp>BDH|3608530908534444485</stp>
        <tr r="Z151" s="18"/>
      </tp>
      <tp t="e">
        <v>#N/A</v>
        <stp/>
        <stp>BDH|8136733694691349146</stp>
        <tr r="R73" s="12"/>
      </tp>
      <tp t="e">
        <v>#N/A</v>
        <stp/>
        <stp>BDH|7136489131813914507</stp>
        <tr r="N12" s="25"/>
      </tp>
      <tp t="e">
        <v>#N/A</v>
        <stp/>
        <stp>BDH|9573503335501073812</stp>
        <tr r="H15" s="9"/>
      </tp>
      <tp t="e">
        <v>#N/A</v>
        <stp/>
        <stp>BDH|9478868080806624951</stp>
        <tr r="S9" s="8"/>
        <tr r="Q52" s="6"/>
      </tp>
      <tp t="e">
        <v>#N/A</v>
        <stp/>
        <stp>BDH|4866284178152015595</stp>
        <tr r="K38" s="34"/>
      </tp>
      <tp t="e">
        <v>#N/A</v>
        <stp/>
        <stp>BDH|9719907172716729734</stp>
        <tr r="U11" s="7"/>
      </tp>
      <tp t="e">
        <v>#N/A</v>
        <stp/>
        <stp>BDH|3084846410034686830</stp>
        <tr r="G28" s="17"/>
      </tp>
      <tp t="e">
        <v>#N/A</v>
        <stp/>
        <stp>BDH|7747405754987468768</stp>
        <tr r="C66" s="10"/>
      </tp>
      <tp t="e">
        <v>#N/A</v>
        <stp/>
        <stp>BDH|2564337516317352121</stp>
        <tr r="S29" s="9"/>
      </tp>
      <tp t="e">
        <v>#N/A</v>
        <stp/>
        <stp>BDH|7612516414065575079</stp>
        <tr r="Z64" s="21"/>
        <tr r="X23" s="7"/>
      </tp>
      <tp t="e">
        <v>#N/A</v>
        <stp/>
        <stp>BDH|6157669317045826297</stp>
        <tr r="K159" s="18"/>
      </tp>
      <tp t="e">
        <v>#N/A</v>
        <stp/>
        <stp>BDH|9968813168973677272</stp>
        <tr r="D38" s="25"/>
        <tr r="D92" s="17"/>
      </tp>
      <tp t="e">
        <v>#N/A</v>
        <stp/>
        <stp>BDH|7887569099659279449</stp>
        <tr r="R16" s="21"/>
      </tp>
      <tp t="e">
        <v>#N/A</v>
        <stp/>
        <stp>BDH|8185359281984564117</stp>
        <tr r="S25" s="7"/>
      </tp>
      <tp t="e">
        <v>#N/A</v>
        <stp/>
        <stp>BDH|8142247002424377858</stp>
        <tr r="AA40" s="24"/>
      </tp>
      <tp t="e">
        <v>#N/A</v>
        <stp/>
        <stp>BDH|4778606747364537449</stp>
        <tr r="I14" s="6"/>
      </tp>
      <tp t="e">
        <v>#N/A</v>
        <stp/>
        <stp>BDH|3570391613483795493</stp>
        <tr r="I25" s="21"/>
      </tp>
      <tp t="e">
        <v>#N/A</v>
        <stp/>
        <stp>BDH|5103666013472288670</stp>
        <tr r="X13" s="9"/>
      </tp>
      <tp t="e">
        <v>#N/A</v>
        <stp/>
        <stp>BDH|6634015805352174228</stp>
        <tr r="N51" s="34"/>
      </tp>
      <tp t="e">
        <v>#N/A</v>
        <stp/>
        <stp>BDH|8051289011395165893</stp>
        <tr r="F12" s="20"/>
        <tr r="F117" s="18"/>
      </tp>
      <tp t="e">
        <v>#N/A</v>
        <stp/>
        <stp>BDH|1662973554202081942</stp>
        <tr r="AA74" s="18"/>
      </tp>
      <tp t="e">
        <v>#N/A</v>
        <stp/>
        <stp>BDH|9226301884784600019</stp>
        <tr r="Q145" s="18"/>
      </tp>
      <tp t="e">
        <v>#N/A</v>
        <stp/>
        <stp>BDH|8688322873572554837</stp>
        <tr r="O43" s="26"/>
      </tp>
      <tp t="e">
        <v>#N/A</v>
        <stp/>
        <stp>BDH|1935138833385049081</stp>
        <tr r="Z78" s="18"/>
      </tp>
      <tp t="e">
        <v>#N/A</v>
        <stp/>
        <stp>BDH|6945134717525511598</stp>
        <tr r="I10" s="21"/>
      </tp>
      <tp t="e">
        <v>#N/A</v>
        <stp/>
        <stp>BDH|2049247653965123674</stp>
        <tr r="O60" s="18"/>
      </tp>
      <tp t="e">
        <v>#N/A</v>
        <stp/>
        <stp>BDH|2769134222885456230</stp>
        <tr r="R11" s="13"/>
      </tp>
      <tp t="e">
        <v>#N/A</v>
        <stp/>
        <stp>BDH|7630158603774069415</stp>
        <tr r="G34" s="17"/>
      </tp>
      <tp t="e">
        <v>#N/A</v>
        <stp/>
        <stp>BDH|7154917885028494804</stp>
        <tr r="N26" s="7"/>
      </tp>
      <tp t="e">
        <v>#N/A</v>
        <stp/>
        <stp>BDH|8594235254121191855</stp>
        <tr r="S16" s="6"/>
      </tp>
      <tp t="e">
        <v>#N/A</v>
        <stp/>
        <stp>BDH|5685032077300413409</stp>
        <tr r="S64" s="11"/>
        <tr r="S75" s="10"/>
      </tp>
      <tp t="e">
        <v>#N/A</v>
        <stp/>
        <stp>BDH|5518457976787052705</stp>
        <tr r="R9" s="8"/>
        <tr r="P52" s="6"/>
      </tp>
      <tp t="e">
        <v>#N/A</v>
        <stp/>
        <stp>BDH|5754282850180948402</stp>
        <tr r="N20" s="29"/>
      </tp>
      <tp t="e">
        <v>#N/A</v>
        <stp/>
        <stp>BDH|5355223164095063230</stp>
        <tr r="W163" s="18"/>
      </tp>
      <tp t="e">
        <v>#N/A</v>
        <stp/>
        <stp>BDH|5256157623221054126</stp>
        <tr r="P36" s="4"/>
      </tp>
      <tp t="e">
        <v>#N/A</v>
        <stp/>
        <stp>BDH|2009419560826709002</stp>
        <tr r="K106" s="18"/>
      </tp>
      <tp t="e">
        <v>#N/A</v>
        <stp/>
        <stp>BDH|2536020824510463613</stp>
        <tr r="J20" s="24"/>
      </tp>
      <tp t="e">
        <v>#N/A</v>
        <stp/>
        <stp>BDH|7298709435892494753</stp>
        <tr r="P24" s="25"/>
      </tp>
      <tp t="e">
        <v>#N/A</v>
        <stp/>
        <stp>BDH|9811958468916018633</stp>
        <tr r="U71" s="10"/>
      </tp>
      <tp t="e">
        <v>#N/A</v>
        <stp/>
        <stp>BDH|8148164600717851890</stp>
        <tr r="P18" s="23"/>
      </tp>
      <tp t="e">
        <v>#N/A</v>
        <stp/>
        <stp>BDH|9402881906066444187</stp>
        <tr r="M8" s="4"/>
      </tp>
      <tp t="e">
        <v>#N/A</v>
        <stp/>
        <stp>BDH|4292747532670394614</stp>
        <tr r="Q27" s="7"/>
      </tp>
      <tp t="e">
        <v>#N/A</v>
        <stp/>
        <stp>BDH|6820376417727803566</stp>
        <tr r="V13" s="10"/>
      </tp>
      <tp t="e">
        <v>#N/A</v>
        <stp/>
        <stp>BDH|1222759415963016246</stp>
        <tr r="N42" s="17"/>
      </tp>
      <tp t="e">
        <v>#N/A</v>
        <stp/>
        <stp>BDH|6385306526905306402</stp>
        <tr r="G46" s="21"/>
      </tp>
      <tp t="e">
        <v>#N/A</v>
        <stp/>
        <stp>BDH|9742601803609649042</stp>
        <tr r="V25" s="17"/>
      </tp>
      <tp t="e">
        <v>#N/A</v>
        <stp/>
        <stp>BDH|1964547168397003337</stp>
        <tr r="F46" s="22"/>
      </tp>
      <tp t="e">
        <v>#N/A</v>
        <stp/>
        <stp>BDH|8729530833028761060</stp>
        <tr r="D20" s="26"/>
      </tp>
      <tp t="e">
        <v>#N/A</v>
        <stp/>
        <stp>BDH|4463401715786531127</stp>
        <tr r="Y12" s="17"/>
      </tp>
      <tp t="e">
        <v>#N/A</v>
        <stp/>
        <stp>BDH|4362251075081502600</stp>
        <tr r="P28" s="6"/>
      </tp>
      <tp t="e">
        <v>#N/A</v>
        <stp/>
        <stp>BDH|4597829987954683606</stp>
        <tr r="S63" s="13"/>
        <tr r="Q49" s="11"/>
        <tr r="Q60" s="10"/>
        <tr r="Q18" s="7"/>
      </tp>
      <tp t="e">
        <v>#N/A</v>
        <stp/>
        <stp>BDH|5070037352712364447</stp>
        <tr r="G66" s="21"/>
      </tp>
      <tp t="e">
        <v>#N/A</v>
        <stp/>
        <stp>BDH|8400723791192452251</stp>
        <tr r="X8" s="22"/>
      </tp>
      <tp t="e">
        <v>#N/A</v>
        <stp/>
        <stp>BDH|3071522905443564341</stp>
        <tr r="R67" s="12"/>
      </tp>
      <tp t="e">
        <v>#N/A</v>
        <stp/>
        <stp>BDH|7198133643635570122</stp>
        <tr r="K7" s="30"/>
      </tp>
      <tp t="e">
        <v>#N/A</v>
        <stp/>
        <stp>BDH|3508900048031810938</stp>
        <tr r="N62" s="21"/>
      </tp>
      <tp t="e">
        <v>#N/A</v>
        <stp/>
        <stp>BDH|2176973043849037037</stp>
        <tr r="E47" s="18"/>
      </tp>
      <tp t="e">
        <v>#N/A</v>
        <stp/>
        <stp>BDH|9493236350071041913</stp>
        <tr r="Z10" s="18"/>
      </tp>
      <tp t="e">
        <v>#N/A</v>
        <stp/>
        <stp>BDH|8509801574221499032</stp>
        <tr r="Q23" s="24"/>
      </tp>
      <tp t="e">
        <v>#N/A</v>
        <stp/>
        <stp>BDH|3642859285592539753</stp>
        <tr r="O36" s="17"/>
      </tp>
      <tp t="e">
        <v>#N/A</v>
        <stp/>
        <stp>BDH|4262878580096077431</stp>
        <tr r="E136" s="18"/>
      </tp>
      <tp t="e">
        <v>#N/A</v>
        <stp/>
        <stp>BDH|8585230422747137937</stp>
        <tr r="K59" s="18"/>
      </tp>
      <tp t="e">
        <v>#N/A</v>
        <stp/>
        <stp>BDH|8319848650626230537</stp>
        <tr r="N29" s="29"/>
        <tr r="N7" s="29"/>
      </tp>
      <tp t="e">
        <v>#N/A</v>
        <stp/>
        <stp>BDH|1766255549817433692</stp>
        <tr r="V25" s="5"/>
      </tp>
      <tp t="e">
        <v>#N/A</v>
        <stp/>
        <stp>BDH|6231742604696356178</stp>
        <tr r="J28" s="34"/>
      </tp>
      <tp t="e">
        <v>#N/A</v>
        <stp/>
        <stp>BDH|4955252971831866633</stp>
        <tr r="M10" s="24"/>
      </tp>
      <tp t="e">
        <v>#N/A</v>
        <stp/>
        <stp>BDH|2007257136565573008</stp>
        <tr r="H24" s="5"/>
      </tp>
      <tp t="e">
        <v>#N/A</v>
        <stp/>
        <stp>BDH|7612579587265350933</stp>
        <tr r="P10" s="28"/>
      </tp>
      <tp t="e">
        <v>#N/A</v>
        <stp/>
        <stp>BDH|2790170972230568212</stp>
        <tr r="R43" s="25"/>
        <tr r="R22" s="13"/>
        <tr r="R7" s="13"/>
        <tr r="P17" s="11"/>
        <tr r="R7" s="3"/>
      </tp>
      <tp t="e">
        <v>#N/A</v>
        <stp/>
        <stp>BDH|1100476592988694249</stp>
        <tr r="O109" s="18"/>
      </tp>
      <tp t="e">
        <v>#N/A</v>
        <stp/>
        <stp>BDH|4227001675814967183</stp>
        <tr r="H62" s="11"/>
        <tr r="H73" s="10"/>
        <tr r="H20" s="7"/>
      </tp>
      <tp t="e">
        <v>#N/A</v>
        <stp/>
        <stp>BDH|5127299550044851060</stp>
        <tr r="N50" s="13"/>
      </tp>
      <tp t="e">
        <v>#N/A</v>
        <stp/>
        <stp>BDH|6365054583350441864</stp>
        <tr r="X16" s="26"/>
      </tp>
      <tp t="e">
        <v>#N/A</v>
        <stp/>
        <stp>BDH|9423856242727723430</stp>
        <tr r="L38" s="24"/>
      </tp>
      <tp t="e">
        <v>#N/A</v>
        <stp/>
        <stp>BDH|6440673006303062523</stp>
        <tr r="AA40" s="21"/>
      </tp>
      <tp t="e">
        <v>#N/A</v>
        <stp/>
        <stp>BDH|2100023952233432223</stp>
        <tr r="Q79" s="12"/>
      </tp>
      <tp t="e">
        <v>#N/A</v>
        <stp/>
        <stp>BDH|9268745862939229719</stp>
        <tr r="K18" s="20"/>
      </tp>
      <tp t="e">
        <v>#N/A</v>
        <stp/>
        <stp>BDH|1737736830023048031</stp>
        <tr r="H76" s="17"/>
      </tp>
      <tp t="e">
        <v>#N/A</v>
        <stp/>
        <stp>BDH|3629766032337678630</stp>
        <tr r="I26" s="24"/>
      </tp>
      <tp t="e">
        <v>#N/A</v>
        <stp/>
        <stp>BDH|6543932012330463873</stp>
        <tr r="U13" s="11"/>
      </tp>
      <tp t="e">
        <v>#N/A</v>
        <stp/>
        <stp>BDH|4413148822289097851</stp>
        <tr r="F62" s="18"/>
      </tp>
      <tp t="e">
        <v>#N/A</v>
        <stp/>
        <stp>BDH|6684704912715301308</stp>
        <tr r="S13" s="20"/>
        <tr r="S118" s="18"/>
      </tp>
      <tp t="e">
        <v>#N/A</v>
        <stp/>
        <stp>BDH|3373504431401505205</stp>
        <tr r="W41" s="24"/>
      </tp>
      <tp t="e">
        <v>#N/A</v>
        <stp/>
        <stp>BDH|3156532832845589625</stp>
        <tr r="Z34" s="22"/>
      </tp>
      <tp t="e">
        <v>#N/A</v>
        <stp/>
        <stp>BDH|5013658103456369329</stp>
        <tr r="U42" s="26"/>
      </tp>
      <tp t="e">
        <v>#N/A</v>
        <stp/>
        <stp>BDH|3043173235974190342</stp>
        <tr r="H168" s="18"/>
      </tp>
      <tp t="e">
        <v>#N/A</v>
        <stp/>
        <stp>BDH|3447142486554833894</stp>
        <tr r="Q94" s="18"/>
      </tp>
      <tp t="e">
        <v>#N/A</v>
        <stp/>
        <stp>BDH|8847474521149867113</stp>
        <tr r="V97" s="18"/>
      </tp>
      <tp t="e">
        <v>#N/A</v>
        <stp/>
        <stp>BDH|7664728926630041458</stp>
        <tr r="X80" s="12"/>
      </tp>
      <tp t="e">
        <v>#N/A</v>
        <stp/>
        <stp>BDH|5364440844506625525</stp>
        <tr r="R60" s="18"/>
      </tp>
      <tp t="e">
        <v>#N/A</v>
        <stp/>
        <stp>BDH|5704866180235373654</stp>
        <tr r="AA44" s="12"/>
      </tp>
      <tp t="e">
        <v>#N/A</v>
        <stp/>
        <stp>BDH|5766544607893185525</stp>
        <tr r="T19" s="18"/>
      </tp>
      <tp t="e">
        <v>#N/A</v>
        <stp/>
        <stp>BDH|6509411349445351597</stp>
        <tr r="Z49" s="17"/>
      </tp>
      <tp t="e">
        <v>#N/A</v>
        <stp/>
        <stp>BDH|4714535472007566744</stp>
        <tr r="W19" s="34"/>
      </tp>
      <tp t="e">
        <v>#N/A</v>
        <stp/>
        <stp>BDH|8186698506370812814</stp>
        <tr r="I17" s="21"/>
        <tr r="I23" s="3"/>
        <tr r="G23" s="2"/>
      </tp>
      <tp t="e">
        <v>#N/A</v>
        <stp/>
        <stp>BDH|3170895629117240841</stp>
        <tr r="AA9" s="21"/>
      </tp>
      <tp t="e">
        <v>#N/A</v>
        <stp/>
        <stp>BDH|7133219747800746770</stp>
        <tr r="I64" s="21"/>
        <tr r="G23" s="7"/>
      </tp>
      <tp t="e">
        <v>#N/A</v>
        <stp/>
        <stp>BDH|8496428852609155624</stp>
        <tr r="I161" s="18"/>
      </tp>
      <tp t="e">
        <v>#N/A</v>
        <stp/>
        <stp>BDH|1690092776469605986</stp>
        <tr r="O47" s="34"/>
      </tp>
      <tp t="e">
        <v>#N/A</v>
        <stp/>
        <stp>BDH|4236468887719777732</stp>
        <tr r="W44" s="6"/>
      </tp>
      <tp t="e">
        <v>#N/A</v>
        <stp/>
        <stp>BDH|6105538037122622443</stp>
        <tr r="W22" s="9"/>
      </tp>
      <tp t="e">
        <v>#N/A</v>
        <stp/>
        <stp>BDH|1294324817336319334</stp>
        <tr r="P155" s="18"/>
      </tp>
      <tp t="e">
        <v>#N/A</v>
        <stp/>
        <stp>BDH|7737450827167609049</stp>
        <tr r="O36" s="22"/>
      </tp>
      <tp t="e">
        <v>#N/A</v>
        <stp/>
        <stp>BDH|1783071771999483923</stp>
        <tr r="U20" s="18"/>
      </tp>
      <tp t="e">
        <v>#N/A</v>
        <stp/>
        <stp>BDH|3994244862440900112</stp>
        <tr r="L21" s="2"/>
      </tp>
      <tp t="e">
        <v>#N/A</v>
        <stp/>
        <stp>BDH|6127599459290252047</stp>
        <tr r="R24" s="12"/>
      </tp>
      <tp t="e">
        <v>#N/A</v>
        <stp/>
        <stp>BDH|8977431859199283665</stp>
        <tr r="U31" s="29"/>
      </tp>
      <tp t="e">
        <v>#N/A</v>
        <stp/>
        <stp>BDH|6449406134977404031</stp>
        <tr r="S38" s="26"/>
      </tp>
      <tp t="e">
        <v>#N/A</v>
        <stp/>
        <stp>BDH|9758518107123420924</stp>
        <tr r="J17" s="22"/>
      </tp>
      <tp t="e">
        <v>#N/A</v>
        <stp/>
        <stp>BDH|7986829778139056748</stp>
        <tr r="N20" s="28"/>
        <tr r="N17" s="17"/>
      </tp>
      <tp t="e">
        <v>#N/A</v>
        <stp/>
        <stp>BDH|1014360440780599042</stp>
        <tr r="AA31" s="13"/>
        <tr r="Y23" s="11"/>
        <tr r="Y34" s="10"/>
        <tr r="Y45" s="4"/>
      </tp>
      <tp t="e">
        <v>#N/A</v>
        <stp/>
        <stp>BDH|2079325209967553093</stp>
        <tr r="U43" s="11"/>
        <tr r="U54" s="10"/>
        <tr r="U14" s="7"/>
        <tr r="W9" s="3"/>
      </tp>
      <tp t="e">
        <v>#N/A</v>
        <stp/>
        <stp>BDH|2363261345985395748</stp>
        <tr r="Q27" s="24"/>
      </tp>
      <tp t="e">
        <v>#N/A</v>
        <stp/>
        <stp>BDH|6123171637785733718</stp>
        <tr r="M34" s="6"/>
      </tp>
      <tp t="e">
        <v>#N/A</v>
        <stp/>
        <stp>BDH|3060733005386482451</stp>
        <tr r="T16" s="14"/>
      </tp>
      <tp t="e">
        <v>#N/A</v>
        <stp/>
        <stp>BDH|1222605043921795419</stp>
        <tr r="P71" s="10"/>
      </tp>
      <tp t="e">
        <v>#N/A</v>
        <stp/>
        <stp>BDH|5814413839923702705</stp>
        <tr r="C40" s="18"/>
      </tp>
      <tp t="e">
        <v>#N/A</v>
        <stp/>
        <stp>BDH|9088405814289556364</stp>
        <tr r="D77" s="24"/>
      </tp>
      <tp t="e">
        <v>#N/A</v>
        <stp/>
        <stp>BDH|4664227502281159137</stp>
        <tr r="I50" s="13"/>
      </tp>
      <tp t="e">
        <v>#N/A</v>
        <stp/>
        <stp>BDH|5746965182201167364</stp>
        <tr r="E17" s="24"/>
      </tp>
      <tp t="e">
        <v>#N/A</v>
        <stp/>
        <stp>BDH|2807859205544888845</stp>
        <tr r="D35" s="12"/>
      </tp>
      <tp t="e">
        <v>#N/A</v>
        <stp/>
        <stp>BDH|4632766215137420356</stp>
        <tr r="O13" s="34"/>
      </tp>
      <tp t="e">
        <v>#N/A</v>
        <stp/>
        <stp>BDH|6138630400163459527</stp>
        <tr r="V41" s="17"/>
      </tp>
      <tp t="e">
        <v>#N/A</v>
        <stp/>
        <stp>BDH|9188505583613481123</stp>
        <tr r="I21" s="30"/>
      </tp>
      <tp t="e">
        <v>#N/A</v>
        <stp/>
        <stp>BDH|7733319773192882793</stp>
        <tr r="G61" s="24"/>
      </tp>
      <tp t="e">
        <v>#N/A</v>
        <stp/>
        <stp>BDH|5925027949437005061</stp>
        <tr r="K48" s="18"/>
      </tp>
      <tp t="e">
        <v>#N/A</v>
        <stp/>
        <stp>BDH|1442173260111723107</stp>
        <tr r="D21" s="18"/>
      </tp>
      <tp t="e">
        <v>#N/A</v>
        <stp/>
        <stp>BDH|1231084854101345391</stp>
        <tr r="J14" s="12"/>
      </tp>
      <tp t="e">
        <v>#N/A</v>
        <stp/>
        <stp>BDH|7936593794798956591</stp>
        <tr r="O8" s="8"/>
      </tp>
      <tp t="e">
        <v>#N/A</v>
        <stp/>
        <stp>BDH|1787077540092644128</stp>
        <tr r="I17" s="18"/>
      </tp>
      <tp t="e">
        <v>#N/A</v>
        <stp/>
        <stp>BDH|2029154368117840410</stp>
        <tr r="R28" s="13"/>
        <tr r="R16" s="13"/>
        <tr r="P17" s="10"/>
      </tp>
      <tp t="e">
        <v>#N/A</v>
        <stp/>
        <stp>BDH|7652407422115121213</stp>
        <tr r="Y10" s="25"/>
        <tr r="Y55" s="17"/>
      </tp>
      <tp t="e">
        <v>#N/A</v>
        <stp/>
        <stp>BDH|2806625965710830433</stp>
        <tr r="K32" s="12"/>
      </tp>
      <tp t="e">
        <v>#N/A</v>
        <stp/>
        <stp>BDH|7505755801721720722</stp>
        <tr r="I108" s="18"/>
      </tp>
      <tp t="e">
        <v>#N/A</v>
        <stp/>
        <stp>BDH|4762783555746635685</stp>
        <tr r="N12" s="20"/>
        <tr r="N117" s="18"/>
      </tp>
      <tp t="e">
        <v>#N/A</v>
        <stp/>
        <stp>BDH|3344100932354064355</stp>
        <tr r="Z38" s="24"/>
      </tp>
      <tp t="e">
        <v>#N/A</v>
        <stp/>
        <stp>BDH|8045959537764356058</stp>
        <tr r="G74" s="18"/>
      </tp>
      <tp t="e">
        <v>#N/A</v>
        <stp/>
        <stp>BDH|2713334266845524438</stp>
        <tr r="L97" s="18"/>
      </tp>
      <tp t="e">
        <v>#N/A</v>
        <stp/>
        <stp>BDH|8107237214265672845</stp>
        <tr r="Q54" s="18"/>
      </tp>
      <tp t="e">
        <v>#N/A</v>
        <stp/>
        <stp>BDH|6951713846330868324</stp>
        <tr r="J132" s="18"/>
      </tp>
      <tp t="e">
        <v>#N/A</v>
        <stp/>
        <stp>BDH|8241003200008657604</stp>
        <tr r="Z16" s="14"/>
      </tp>
      <tp t="e">
        <v>#N/A</v>
        <stp/>
        <stp>BDH|9833937207596872000</stp>
        <tr r="V92" s="12"/>
      </tp>
      <tp t="e">
        <v>#N/A</v>
        <stp/>
        <stp>BDH|3359104621627646105</stp>
        <tr r="L41" s="12"/>
      </tp>
      <tp t="e">
        <v>#N/A</v>
        <stp/>
        <stp>BDH|8251742912058461048</stp>
        <tr r="U77" s="24"/>
      </tp>
      <tp t="e">
        <v>#N/A</v>
        <stp/>
        <stp>BDH|8216751482736768768</stp>
        <tr r="Z160" s="18"/>
      </tp>
      <tp t="e">
        <v>#N/A</v>
        <stp/>
        <stp>BDH|5180130619307933460</stp>
        <tr r="S23" s="26"/>
      </tp>
      <tp t="e">
        <v>#N/A</v>
        <stp/>
        <stp>BDH|9710324288395087196</stp>
        <tr r="L47" s="22"/>
      </tp>
      <tp t="e">
        <v>#N/A</v>
        <stp/>
        <stp>BDH|4352331484658214128</stp>
        <tr r="K102" s="18"/>
      </tp>
      <tp t="e">
        <v>#N/A</v>
        <stp/>
        <stp>BDH|1046396035842853504</stp>
        <tr r="W138" s="18"/>
      </tp>
      <tp t="e">
        <v>#N/A</v>
        <stp/>
        <stp>BDH|4461204735112318169</stp>
        <tr r="U27" s="17"/>
      </tp>
      <tp t="e">
        <v>#N/A</v>
        <stp/>
        <stp>BDH|7544428645412136371</stp>
        <tr r="S152" s="18"/>
      </tp>
      <tp t="e">
        <v>#N/A</v>
        <stp/>
        <stp>BDH|3102695817635998720</stp>
        <tr r="G27" s="12"/>
      </tp>
      <tp t="e">
        <v>#N/A</v>
        <stp/>
        <stp>BDH|3133718248411813744</stp>
        <tr r="P22" s="7"/>
      </tp>
      <tp t="e">
        <v>#N/A</v>
        <stp/>
        <stp>BDH|7900688944224618771</stp>
        <tr r="V70" s="24"/>
      </tp>
      <tp t="e">
        <v>#N/A</v>
        <stp/>
        <stp>BDH|5482112698622839913</stp>
        <tr r="R41" s="21"/>
      </tp>
      <tp t="e">
        <v>#N/A</v>
        <stp/>
        <stp>BDH|6030450411881727475</stp>
        <tr r="P26" s="11"/>
        <tr r="P37" s="10"/>
      </tp>
      <tp t="e">
        <v>#N/A</v>
        <stp/>
        <stp>BDH|5080765450677135637</stp>
        <tr r="X66" s="18"/>
      </tp>
      <tp t="e">
        <v>#N/A</v>
        <stp/>
        <stp>BDH|9941957920893033787</stp>
        <tr r="AA31" s="24"/>
      </tp>
      <tp t="e">
        <v>#N/A</v>
        <stp/>
        <stp>BDH|7218929197789452875</stp>
        <tr r="P20" s="27"/>
      </tp>
      <tp t="e">
        <v>#N/A</v>
        <stp/>
        <stp>BDH|7658844582177763639</stp>
        <tr r="M57" s="17"/>
      </tp>
      <tp t="e">
        <v>#N/A</v>
        <stp/>
        <stp>BDH|5645272459211541580</stp>
        <tr r="U122" s="18"/>
      </tp>
      <tp t="e">
        <v>#N/A</v>
        <stp/>
        <stp>BDH|1349386366253153195</stp>
        <tr r="Z43" s="17"/>
      </tp>
      <tp t="e">
        <v>#N/A</v>
        <stp/>
        <stp>BDH|7861025958375753105</stp>
        <tr r="T15" s="9"/>
      </tp>
      <tp t="e">
        <v>#N/A</v>
        <stp/>
        <stp>BDH|7509932181855583572</stp>
        <tr r="E19" s="30"/>
      </tp>
      <tp t="e">
        <v>#N/A</v>
        <stp/>
        <stp>BDH|7350627641593235074</stp>
        <tr r="C46" s="6"/>
        <tr r="C19" s="5"/>
      </tp>
      <tp t="e">
        <v>#N/A</v>
        <stp/>
        <stp>BDH|5261956172448578550</stp>
        <tr r="AA26" s="24"/>
      </tp>
      <tp t="e">
        <v>#N/A</v>
        <stp/>
        <stp>BDH|5132156595489460205</stp>
        <tr r="P45" s="18"/>
      </tp>
      <tp t="e">
        <v>#N/A</v>
        <stp/>
        <stp>BDH|7652082092630819812</stp>
        <tr r="Z21" s="20"/>
      </tp>
      <tp t="e">
        <v>#N/A</v>
        <stp/>
        <stp>BDH|6548247001541777323</stp>
        <tr r="T16" s="27"/>
        <tr r="T34" s="25"/>
      </tp>
      <tp t="e">
        <v>#N/A</v>
        <stp/>
        <stp>BDH|7055803404710926986</stp>
        <tr r="X38" s="13"/>
        <tr r="V31" s="10"/>
      </tp>
      <tp t="e">
        <v>#N/A</v>
        <stp/>
        <stp>BDH|1359063154304461606</stp>
        <tr r="G25" s="5"/>
      </tp>
      <tp t="e">
        <v>#N/A</v>
        <stp/>
        <stp>BDH|6378630682486677810</stp>
        <tr r="T71" s="17"/>
      </tp>
      <tp t="e">
        <v>#N/A</v>
        <stp/>
        <stp>BDH|3919445441073144684</stp>
        <tr r="F31" s="24"/>
      </tp>
      <tp t="e">
        <v>#N/A</v>
        <stp/>
        <stp>BDH|4367435177472579374</stp>
        <tr r="E27" s="21"/>
      </tp>
      <tp t="e">
        <v>#N/A</v>
        <stp/>
        <stp>BDH|2475579977876651077</stp>
        <tr r="Q41" s="34"/>
      </tp>
      <tp t="e">
        <v>#N/A</v>
        <stp/>
        <stp>BDH|8219460424159722126</stp>
        <tr r="Y78" s="24"/>
      </tp>
      <tp t="e">
        <v>#N/A</v>
        <stp/>
        <stp>BDH|4672516977172767222</stp>
        <tr r="T45" s="12"/>
      </tp>
      <tp t="e">
        <v>#N/A</v>
        <stp/>
        <stp>BDH|3350871534749770723</stp>
        <tr r="J100" s="12"/>
      </tp>
      <tp t="e">
        <v>#N/A</v>
        <stp/>
        <stp>BDH|4687362119709434989</stp>
        <tr r="R8" s="14"/>
      </tp>
      <tp t="e">
        <v>#N/A</v>
        <stp/>
        <stp>BDH|2794296443922098088</stp>
        <tr r="D18" s="12"/>
      </tp>
      <tp t="e">
        <v>#N/A</v>
        <stp/>
        <stp>BDH|6399529245901070019</stp>
        <tr r="V10" s="12"/>
      </tp>
      <tp t="e">
        <v>#N/A</v>
        <stp/>
        <stp>BDH|6239245335164294548</stp>
        <tr r="M51" s="34"/>
      </tp>
      <tp t="e">
        <v>#N/A</v>
        <stp/>
        <stp>BDH|6792666140600135253</stp>
        <tr r="L8" s="6"/>
      </tp>
      <tp t="e">
        <v>#N/A</v>
        <stp/>
        <stp>BDH|2887986094707175307</stp>
        <tr r="N88" s="12"/>
      </tp>
      <tp t="e">
        <v>#N/A</v>
        <stp/>
        <stp>BDH|4708558416357966184</stp>
        <tr r="V8" s="10"/>
      </tp>
      <tp t="e">
        <v>#N/A</v>
        <stp/>
        <stp>BDH|8268325200114184943</stp>
        <tr r="R23" s="9"/>
      </tp>
      <tp t="e">
        <v>#N/A</v>
        <stp/>
        <stp>BDH|2082934029569738682</stp>
        <tr r="P25" s="13"/>
      </tp>
      <tp t="e">
        <v>#N/A</v>
        <stp/>
        <stp>BDH|4833598747792349103</stp>
        <tr r="S31" s="21"/>
      </tp>
      <tp t="e">
        <v>#N/A</v>
        <stp/>
        <stp>BDH|4648269314116578740</stp>
        <tr r="U77" s="12"/>
      </tp>
      <tp t="e">
        <v>#N/A</v>
        <stp/>
        <stp>BDH|7152378039188924933</stp>
        <tr r="T151" s="18"/>
      </tp>
      <tp t="e">
        <v>#N/A</v>
        <stp/>
        <stp>BDH|6178829397110011113</stp>
        <tr r="J56" s="12"/>
      </tp>
      <tp t="e">
        <v>#N/A</v>
        <stp/>
        <stp>BDH|1130079422042749762</stp>
        <tr r="M87" s="17"/>
      </tp>
      <tp t="e">
        <v>#N/A</v>
        <stp/>
        <stp>BDH|1739476798418488296</stp>
        <tr r="O69" s="24"/>
      </tp>
      <tp t="e">
        <v>#N/A</v>
        <stp/>
        <stp>BDH|4287830399256807554</stp>
        <tr r="T17" s="28"/>
        <tr r="T14" s="17"/>
      </tp>
      <tp t="e">
        <v>#N/A</v>
        <stp/>
        <stp>BDH|5738198932455972406</stp>
        <tr r="W16" s="10"/>
      </tp>
      <tp t="e">
        <v>#N/A</v>
        <stp/>
        <stp>BDH|9864691643254186963</stp>
        <tr r="X54" s="13"/>
      </tp>
      <tp t="e">
        <v>#N/A</v>
        <stp/>
        <stp>BDH|22956020345652548</stp>
        <tr r="R9" s="11"/>
      </tp>
      <tp t="e">
        <v>#N/A</v>
        <stp/>
        <stp>BDH|96064597793257161</stp>
        <tr r="AA39" s="21"/>
      </tp>
      <tp t="e">
        <v>#N/A</v>
        <stp/>
        <stp>BDH|35267721709230203</stp>
        <tr r="U77" s="18"/>
      </tp>
      <tp t="e">
        <v>#N/A</v>
        <stp/>
        <stp>BDH|29977846867662155</stp>
        <tr r="G20" s="26"/>
      </tp>
      <tp t="e">
        <v>#N/A</v>
        <stp/>
        <stp>BDH|88852854577525169</stp>
        <tr r="N14" s="13"/>
      </tp>
      <tp t="e">
        <v>#N/A</v>
        <stp/>
        <stp>BDH|83813368202842717</stp>
        <tr r="C77" s="18"/>
      </tp>
      <tp t="e">
        <v>#N/A</v>
        <stp/>
        <stp>BDH|43792984634922057</stp>
        <tr r="S13" s="2"/>
      </tp>
      <tp t="e">
        <v>#N/A</v>
        <stp/>
        <stp>BDH|33012806498248394</stp>
        <tr r="N21" s="5"/>
      </tp>
      <tp t="e">
        <v>#N/A</v>
        <stp/>
        <stp>BDH|6949943474547212812</stp>
        <tr r="X93" s="18"/>
      </tp>
      <tp t="e">
        <v>#N/A</v>
        <stp/>
        <stp>BDH|6168229177883705797</stp>
        <tr r="V16" s="26"/>
      </tp>
      <tp t="e">
        <v>#N/A</v>
        <stp/>
        <stp>BDH|6483874388872833397</stp>
        <tr r="E15" s="10"/>
      </tp>
      <tp t="e">
        <v>#N/A</v>
        <stp/>
        <stp>BDH|9753285722076710801</stp>
        <tr r="H8" s="20"/>
        <tr r="H114" s="18"/>
      </tp>
      <tp t="e">
        <v>#N/A</v>
        <stp/>
        <stp>BDH|5929439817792156569</stp>
        <tr r="AA42" s="18"/>
      </tp>
      <tp t="e">
        <v>#N/A</v>
        <stp/>
        <stp>BDH|5804134415743505110</stp>
        <tr r="X16" s="12"/>
      </tp>
      <tp t="e">
        <v>#N/A</v>
        <stp/>
        <stp>BDH|6367325060833988720</stp>
        <tr r="L56" s="6"/>
      </tp>
      <tp t="e">
        <v>#N/A</v>
        <stp/>
        <stp>BDH|6978252843164238375</stp>
        <tr r="C36" s="13"/>
      </tp>
      <tp t="e">
        <v>#N/A</v>
        <stp/>
        <stp>BDH|7369106578156112002</stp>
        <tr r="G107" s="18"/>
      </tp>
      <tp t="e">
        <v>#N/A</v>
        <stp/>
        <stp>BDH|1865432336721511027</stp>
        <tr r="L50" s="18"/>
      </tp>
      <tp t="e">
        <v>#N/A</v>
        <stp/>
        <stp>BDH|4396489730243331725</stp>
        <tr r="R42" s="21"/>
      </tp>
      <tp t="e">
        <v>#N/A</v>
        <stp/>
        <stp>BDH|4294171478621330449</stp>
        <tr r="R21" s="6"/>
      </tp>
      <tp t="e">
        <v>#N/A</v>
        <stp/>
        <stp>BDH|2324039059909647951</stp>
        <tr r="J7" s="10"/>
      </tp>
      <tp t="e">
        <v>#N/A</v>
        <stp/>
        <stp>BDH|9871390849029264006</stp>
        <tr r="G66" s="18"/>
      </tp>
      <tp t="e">
        <v>#N/A</v>
        <stp/>
        <stp>BDH|4067657429694297348</stp>
        <tr r="Q23" s="22"/>
      </tp>
      <tp t="e">
        <v>#N/A</v>
        <stp/>
        <stp>BDH|4006886820221415863</stp>
        <tr r="V65" s="11"/>
        <tr r="V76" s="10"/>
      </tp>
      <tp t="e">
        <v>#N/A</v>
        <stp/>
        <stp>BDH|2515637829751204078</stp>
        <tr r="U21" s="5"/>
      </tp>
      <tp t="e">
        <v>#N/A</v>
        <stp/>
        <stp>BDH|7696985954528842484</stp>
        <tr r="K15" s="22"/>
      </tp>
      <tp t="e">
        <v>#N/A</v>
        <stp/>
        <stp>BDH|6949630004422302579</stp>
        <tr r="T32" s="29"/>
        <tr r="R34" s="5"/>
      </tp>
      <tp t="e">
        <v>#N/A</v>
        <stp/>
        <stp>BDH|3523348336166556285</stp>
        <tr r="I34" s="6"/>
      </tp>
      <tp t="e">
        <v>#N/A</v>
        <stp/>
        <stp>BDH|2860162855833715266</stp>
        <tr r="K115" s="18"/>
        <tr r="K9" s="20"/>
      </tp>
      <tp t="e">
        <v>#N/A</v>
        <stp/>
        <stp>BDH|8279436346527890856</stp>
        <tr r="R13" s="12"/>
      </tp>
      <tp t="e">
        <v>#N/A</v>
        <stp/>
        <stp>BDH|9797491280685664723</stp>
        <tr r="Q45" s="18"/>
      </tp>
      <tp t="e">
        <v>#N/A</v>
        <stp/>
        <stp>BDH|2594316132513520695</stp>
        <tr r="O36" s="13"/>
        <tr r="M29" s="10"/>
      </tp>
      <tp t="e">
        <v>#N/A</v>
        <stp/>
        <stp>BDH|2385347893257930873</stp>
        <tr r="X87" s="18"/>
      </tp>
      <tp t="e">
        <v>#N/A</v>
        <stp/>
        <stp>BDH|4596888922859721026</stp>
        <tr r="D14" s="21"/>
      </tp>
      <tp t="e">
        <v>#N/A</v>
        <stp/>
        <stp>BDH|9343160798875436333</stp>
        <tr r="Z55" s="18"/>
      </tp>
      <tp t="e">
        <v>#N/A</v>
        <stp/>
        <stp>BDH|2038093771236682445</stp>
        <tr r="N9" s="18"/>
      </tp>
      <tp t="e">
        <v>#N/A</v>
        <stp/>
        <stp>BDH|4972274264235264229</stp>
        <tr r="C79" s="12"/>
      </tp>
      <tp t="e">
        <v>#N/A</v>
        <stp/>
        <stp>BDH|2044483164862021563</stp>
        <tr r="V9" s="26"/>
      </tp>
      <tp t="e">
        <v>#N/A</v>
        <stp/>
        <stp>BDH|9199992091057757940</stp>
        <tr r="F70" s="24"/>
      </tp>
      <tp t="e">
        <v>#N/A</v>
        <stp/>
        <stp>BDH|2110871177249351396</stp>
        <tr r="F44" s="34"/>
      </tp>
      <tp t="e">
        <v>#N/A</v>
        <stp/>
        <stp>BDH|4411360009610007006</stp>
        <tr r="AA35" s="26"/>
        <tr r="X14" s="9"/>
      </tp>
      <tp t="e">
        <v>#N/A</v>
        <stp/>
        <stp>BDH|1466231185825196987</stp>
        <tr r="T24" s="13"/>
      </tp>
      <tp t="e">
        <v>#N/A</v>
        <stp/>
        <stp>BDH|7890106638287346588</stp>
        <tr r="L60" s="18"/>
      </tp>
      <tp t="e">
        <v>#N/A</v>
        <stp/>
        <stp>BDH|1360284134275331273</stp>
        <tr r="E27" s="24"/>
      </tp>
      <tp t="e">
        <v>#N/A</v>
        <stp/>
        <stp>BDH|9586049482121889708</stp>
        <tr r="Z15" s="18"/>
      </tp>
      <tp t="e">
        <v>#N/A</v>
        <stp/>
        <stp>BDH|6617540573307815420</stp>
        <tr r="U32" s="13"/>
        <tr r="S25" s="10"/>
      </tp>
      <tp t="e">
        <v>#N/A</v>
        <stp/>
        <stp>BDH|5347864227019144187</stp>
        <tr r="K70" s="10"/>
      </tp>
      <tp t="e">
        <v>#N/A</v>
        <stp/>
        <stp>BDH|5819724753348749851</stp>
        <tr r="Z107" s="18"/>
      </tp>
      <tp t="e">
        <v>#N/A</v>
        <stp/>
        <stp>BDH|9448292982185350170</stp>
        <tr r="I142" s="18"/>
      </tp>
      <tp t="e">
        <v>#N/A</v>
        <stp/>
        <stp>BDH|7441642833274809101</stp>
        <tr r="V25" s="24"/>
      </tp>
      <tp t="e">
        <v>#N/A</v>
        <stp/>
        <stp>BDH|4401668476503898171</stp>
        <tr r="P18" s="20"/>
      </tp>
      <tp t="e">
        <v>#N/A</v>
        <stp/>
        <stp>BDH|5061676744588157895</stp>
        <tr r="K21" s="10"/>
      </tp>
      <tp t="e">
        <v>#N/A</v>
        <stp/>
        <stp>BDH|9621750717331818974</stp>
        <tr r="G57" s="6"/>
      </tp>
      <tp t="e">
        <v>#N/A</v>
        <stp/>
        <stp>BDH|4900438240912736164</stp>
        <tr r="T27" s="18"/>
      </tp>
      <tp t="e">
        <v>#N/A</v>
        <stp/>
        <stp>BDH|6921445964452258100</stp>
        <tr r="L166" s="18"/>
      </tp>
      <tp t="e">
        <v>#N/A</v>
        <stp/>
        <stp>BDH|4978623612442547672</stp>
        <tr r="I84" s="17"/>
        <tr r="G6" s="7"/>
        <tr r="I20" s="3"/>
      </tp>
      <tp t="e">
        <v>#N/A</v>
        <stp/>
        <stp>BDH|6763114371492401580</stp>
        <tr r="R43" s="29"/>
      </tp>
      <tp t="e">
        <v>#N/A</v>
        <stp/>
        <stp>BDH|5916236206708185861</stp>
        <tr r="G73" s="13"/>
        <tr r="E61" s="10"/>
        <tr r="E50" s="11"/>
        <tr r="E19" s="7"/>
        <tr r="E18" s="4"/>
        <tr r="E20" s="2"/>
      </tp>
      <tp t="e">
        <v>#N/A</v>
        <stp/>
        <stp>BDH|5979706371860193228</stp>
        <tr r="G23" s="17"/>
      </tp>
      <tp t="e">
        <v>#N/A</v>
        <stp/>
        <stp>BDH|9005996462312294327</stp>
        <tr r="Y154" s="18"/>
      </tp>
      <tp t="e">
        <v>#N/A</v>
        <stp/>
        <stp>BDH|2629346572899942823</stp>
        <tr r="L26" s="13"/>
      </tp>
      <tp t="e">
        <v>#N/A</v>
        <stp/>
        <stp>BDH|8236287897264284045</stp>
        <tr r="R8" s="23"/>
      </tp>
      <tp t="e">
        <v>#N/A</v>
        <stp/>
        <stp>BDH|9835814620640793452</stp>
        <tr r="J62" s="13"/>
      </tp>
      <tp t="e">
        <v>#N/A</v>
        <stp/>
        <stp>BDH|5625084011787632428</stp>
        <tr r="I47" s="21"/>
      </tp>
      <tp t="e">
        <v>#N/A</v>
        <stp/>
        <stp>BDH|5881135960633533655</stp>
        <tr r="I78" s="17"/>
        <tr r="F9" s="9"/>
        <tr r="F9" s="5"/>
      </tp>
      <tp t="e">
        <v>#N/A</v>
        <stp/>
        <stp>BDH|4247771205877389388</stp>
        <tr r="S10" s="8"/>
        <tr r="Q53" s="6"/>
      </tp>
      <tp t="e">
        <v>#N/A</v>
        <stp/>
        <stp>BDH|2896777707143355106</stp>
        <tr r="V66" s="21"/>
      </tp>
      <tp t="e">
        <v>#N/A</v>
        <stp/>
        <stp>BDH|3228485532391094231</stp>
        <tr r="R32" s="12"/>
      </tp>
      <tp t="e">
        <v>#N/A</v>
        <stp/>
        <stp>BDH|8366951804247103189</stp>
        <tr r="W41" s="21"/>
      </tp>
      <tp t="e">
        <v>#N/A</v>
        <stp/>
        <stp>BDH|1523797072212113449</stp>
        <tr r="W22" s="21"/>
      </tp>
      <tp t="e">
        <v>#N/A</v>
        <stp/>
        <stp>BDH|8025972949572487012</stp>
        <tr r="L70" s="12"/>
      </tp>
      <tp t="e">
        <v>#N/A</v>
        <stp/>
        <stp>BDH|2870222978807151787</stp>
        <tr r="AA19" s="13"/>
        <tr r="Y65" s="10"/>
        <tr r="Y16" s="2"/>
        <tr r="Y32" s="4"/>
      </tp>
      <tp t="e">
        <v>#N/A</v>
        <stp/>
        <stp>BDH|3583655579070116532</stp>
        <tr r="Y47" s="21"/>
      </tp>
      <tp t="e">
        <v>#N/A</v>
        <stp/>
        <stp>BDH|4160397773904870381</stp>
        <tr r="H74" s="12"/>
      </tp>
      <tp t="e">
        <v>#N/A</v>
        <stp/>
        <stp>BDH|2822328176021123066</stp>
        <tr r="M94" s="18"/>
      </tp>
      <tp t="e">
        <v>#N/A</v>
        <stp/>
        <stp>BDH|8539638718098378062</stp>
        <tr r="U45" s="11"/>
        <tr r="U56" s="10"/>
        <tr r="U16" s="7"/>
      </tp>
      <tp t="e">
        <v>#N/A</v>
        <stp/>
        <stp>BDH|7098404224382886447</stp>
        <tr r="Z8" s="23"/>
      </tp>
      <tp t="e">
        <v>#N/A</v>
        <stp/>
        <stp>BDH|4609696932441631730</stp>
        <tr r="O39" s="26"/>
      </tp>
      <tp t="e">
        <v>#N/A</v>
        <stp/>
        <stp>BDH|9035550618642130847</stp>
        <tr r="D107" s="18"/>
      </tp>
      <tp t="e">
        <v>#N/A</v>
        <stp/>
        <stp>BDH|8365283765548545335</stp>
        <tr r="X71" s="12"/>
      </tp>
      <tp t="e">
        <v>#N/A</v>
        <stp/>
        <stp>BDH|7858807172529417667</stp>
        <tr r="G24" s="6"/>
      </tp>
      <tp t="e">
        <v>#N/A</v>
        <stp/>
        <stp>BDH|4449740965115831756</stp>
        <tr r="V12" s="14"/>
      </tp>
      <tp t="e">
        <v>#N/A</v>
        <stp/>
        <stp>BDH|5199023254560962769</stp>
        <tr r="J58" s="17"/>
      </tp>
      <tp t="e">
        <v>#N/A</v>
        <stp/>
        <stp>BDH|9948962667935285427</stp>
        <tr r="X34" s="12"/>
      </tp>
      <tp t="e">
        <v>#N/A</v>
        <stp/>
        <stp>BDH|3063025511326906323</stp>
        <tr r="P19" s="17"/>
      </tp>
      <tp t="e">
        <v>#N/A</v>
        <stp/>
        <stp>BDH|6748925021363956954</stp>
        <tr r="N46" s="34"/>
      </tp>
      <tp t="e">
        <v>#N/A</v>
        <stp/>
        <stp>BDH|4468510201172424486</stp>
        <tr r="E75" s="17"/>
      </tp>
      <tp t="e">
        <v>#N/A</v>
        <stp/>
        <stp>BDH|5032710266332611193</stp>
        <tr r="O61" s="13"/>
      </tp>
      <tp t="e">
        <v>#N/A</v>
        <stp/>
        <stp>BDH|6170815937568675292</stp>
        <tr r="J15" s="24"/>
      </tp>
      <tp t="e">
        <v>#N/A</v>
        <stp/>
        <stp>BDH|4162791751468915987</stp>
        <tr r="D39" s="26"/>
      </tp>
      <tp t="e">
        <v>#N/A</v>
        <stp/>
        <stp>BDH|5885149515466323423</stp>
        <tr r="R18" s="24"/>
      </tp>
      <tp t="e">
        <v>#N/A</v>
        <stp/>
        <stp>BDH|2448727153280941741</stp>
        <tr r="C51" s="13"/>
      </tp>
      <tp t="e">
        <v>#N/A</v>
        <stp/>
        <stp>BDH|7463530549372361357</stp>
        <tr r="Y140" s="18"/>
      </tp>
      <tp t="e">
        <v>#N/A</v>
        <stp/>
        <stp>BDH|9314295988002235683</stp>
        <tr r="AA31" s="17"/>
      </tp>
      <tp t="e">
        <v>#N/A</v>
        <stp/>
        <stp>BDH|2219688528571210089</stp>
        <tr r="X19" s="18"/>
      </tp>
      <tp t="e">
        <v>#N/A</v>
        <stp/>
        <stp>BDH|5267902169079316402</stp>
        <tr r="O31" s="5"/>
      </tp>
      <tp t="e">
        <v>#N/A</v>
        <stp/>
        <stp>BDH|1895534500693599065</stp>
        <tr r="M17" s="14"/>
      </tp>
      <tp t="e">
        <v>#N/A</v>
        <stp/>
        <stp>BDH|6978551714472539756</stp>
        <tr r="J11" s="24"/>
      </tp>
      <tp t="e">
        <v>#N/A</v>
        <stp/>
        <stp>BDH|8929249675853129916</stp>
        <tr r="J82" s="18"/>
      </tp>
      <tp t="e">
        <v>#N/A</v>
        <stp/>
        <stp>BDH|6309006496628462091</stp>
        <tr r="S24" s="13"/>
      </tp>
      <tp t="e">
        <v>#N/A</v>
        <stp/>
        <stp>BDH|8050171682032946446</stp>
        <tr r="H23" s="25"/>
      </tp>
      <tp t="e">
        <v>#N/A</v>
        <stp/>
        <stp>BDH|4804839772328972484</stp>
        <tr r="AA62" s="21"/>
      </tp>
      <tp t="e">
        <v>#N/A</v>
        <stp/>
        <stp>BDH|7070126860567387095</stp>
        <tr r="R62" s="12"/>
      </tp>
      <tp t="e">
        <v>#N/A</v>
        <stp/>
        <stp>BDH|6922057093918000074</stp>
        <tr r="V75" s="12"/>
      </tp>
      <tp t="e">
        <v>#N/A</v>
        <stp/>
        <stp>BDH|9874609590715752477</stp>
        <tr r="L18" s="9"/>
      </tp>
      <tp t="e">
        <v>#N/A</v>
        <stp/>
        <stp>BDH|4569879476235444982</stp>
        <tr r="J33" s="18"/>
      </tp>
      <tp t="e">
        <v>#N/A</v>
        <stp/>
        <stp>BDH|8342880565764415528</stp>
        <tr r="U52" s="6"/>
        <tr r="W9" s="8"/>
      </tp>
      <tp t="e">
        <v>#N/A</v>
        <stp/>
        <stp>BDH|6500408857676347697</stp>
        <tr r="J25" s="22"/>
      </tp>
      <tp t="e">
        <v>#N/A</v>
        <stp/>
        <stp>BDH|8684996163342579217</stp>
        <tr r="N13" s="10"/>
      </tp>
      <tp t="e">
        <v>#N/A</v>
        <stp/>
        <stp>BDH|4111586290439166609</stp>
        <tr r="O51" s="34"/>
      </tp>
      <tp t="e">
        <v>#N/A</v>
        <stp/>
        <stp>BDH|1332727599929616160</stp>
        <tr r="M45" s="17"/>
      </tp>
      <tp t="e">
        <v>#N/A</v>
        <stp/>
        <stp>BDH|4361117050150998735</stp>
        <tr r="T15" s="14"/>
      </tp>
      <tp t="e">
        <v>#N/A</v>
        <stp/>
        <stp>BDH|4695586333350044557</stp>
        <tr r="K47" s="6"/>
      </tp>
      <tp t="e">
        <v>#N/A</v>
        <stp/>
        <stp>BDH|4988768997165796877</stp>
        <tr r="H94" s="12"/>
      </tp>
      <tp t="e">
        <v>#N/A</v>
        <stp/>
        <stp>BDH|9166400812793986826</stp>
        <tr r="K9" s="24"/>
      </tp>
      <tp t="e">
        <v>#N/A</v>
        <stp/>
        <stp>BDH|5291668275664889710</stp>
        <tr r="J170" s="18"/>
      </tp>
      <tp t="e">
        <v>#N/A</v>
        <stp/>
        <stp>BDH|2472982381153489713</stp>
        <tr r="O8" s="34"/>
      </tp>
      <tp t="e">
        <v>#N/A</v>
        <stp/>
        <stp>BDH|4986693649474247535</stp>
        <tr r="I39" s="18"/>
      </tp>
      <tp t="e">
        <v>#N/A</v>
        <stp/>
        <stp>BDH|7309085232537349435</stp>
        <tr r="G17" s="34"/>
      </tp>
      <tp t="e">
        <v>#N/A</v>
        <stp/>
        <stp>BDH|3034371740772964173</stp>
        <tr r="O33" s="22"/>
      </tp>
      <tp t="e">
        <v>#N/A</v>
        <stp/>
        <stp>BDH|2225602639870685040</stp>
        <tr r="I20" s="21"/>
      </tp>
      <tp t="e">
        <v>#N/A</v>
        <stp/>
        <stp>BDH|1888489590342136981</stp>
        <tr r="M76" s="12"/>
      </tp>
      <tp t="e">
        <v>#N/A</v>
        <stp/>
        <stp>BDH|7873062857681936492</stp>
        <tr r="D75" s="17"/>
      </tp>
      <tp t="e">
        <v>#N/A</v>
        <stp/>
        <stp>BDH|1624215358093778212</stp>
        <tr r="X8" s="20"/>
        <tr r="X114" s="18"/>
      </tp>
      <tp t="e">
        <v>#N/A</v>
        <stp/>
        <stp>BDH|4387441706374981310</stp>
        <tr r="Z26" s="26"/>
      </tp>
      <tp t="e">
        <v>#N/A</v>
        <stp/>
        <stp>BDH|8012799212189329019</stp>
        <tr r="X32" s="21"/>
      </tp>
      <tp t="e">
        <v>#N/A</v>
        <stp/>
        <stp>BDH|3922151842450034176</stp>
        <tr r="L149" s="18"/>
      </tp>
      <tp t="e">
        <v>#N/A</v>
        <stp/>
        <stp>BDH|2441757133477932621</stp>
        <tr r="T11" s="17"/>
      </tp>
      <tp t="e">
        <v>#N/A</v>
        <stp/>
        <stp>BDH|8939194078171668874</stp>
        <tr r="U40" s="18"/>
      </tp>
      <tp t="e">
        <v>#N/A</v>
        <stp/>
        <stp>BDH|7746324634794859406</stp>
        <tr r="Y34" s="18"/>
      </tp>
      <tp t="e">
        <v>#N/A</v>
        <stp/>
        <stp>BDH|8647363741801122999</stp>
        <tr r="L15" s="22"/>
      </tp>
      <tp t="e">
        <v>#N/A</v>
        <stp/>
        <stp>BDH|2479852368033524853</stp>
        <tr r="H32" s="9"/>
      </tp>
      <tp t="e">
        <v>#N/A</v>
        <stp/>
        <stp>BDH|9269905598147661950</stp>
        <tr r="P17" s="34"/>
      </tp>
      <tp t="e">
        <v>#N/A</v>
        <stp/>
        <stp>BDH|9810604359775025887</stp>
        <tr r="W80" s="17"/>
      </tp>
      <tp t="e">
        <v>#N/A</v>
        <stp/>
        <stp>BDH|7295983400160694955</stp>
        <tr r="E42" s="26"/>
      </tp>
      <tp t="e">
        <v>#N/A</v>
        <stp/>
        <stp>BDH|3196054557865978435</stp>
        <tr r="Y8" s="12"/>
      </tp>
      <tp t="e">
        <v>#N/A</v>
        <stp/>
        <stp>BDH|2728513778707736002</stp>
        <tr r="U15" s="18"/>
      </tp>
      <tp t="e">
        <v>#N/A</v>
        <stp/>
        <stp>BDH|2219119226076868048</stp>
        <tr r="E16" s="26"/>
      </tp>
      <tp t="e">
        <v>#N/A</v>
        <stp/>
        <stp>BDH|5862616790428131511</stp>
        <tr r="X8" s="6"/>
      </tp>
      <tp t="e">
        <v>#N/A</v>
        <stp/>
        <stp>BDH|4719223879124253270</stp>
        <tr r="E43" s="26"/>
      </tp>
      <tp t="e">
        <v>#N/A</v>
        <stp/>
        <stp>BDH|5104413967965999575</stp>
        <tr r="R79" s="17"/>
        <tr r="R19" s="3"/>
      </tp>
      <tp t="e">
        <v>#N/A</v>
        <stp/>
        <stp>BDH|2443120893545522895</stp>
        <tr r="C52" s="18"/>
      </tp>
      <tp t="e">
        <v>#N/A</v>
        <stp/>
        <stp>BDH|6603485706900872592</stp>
        <tr r="AA145" s="18"/>
      </tp>
      <tp t="e">
        <v>#N/A</v>
        <stp/>
        <stp>BDH|5577234020271983360</stp>
        <tr r="Q123" s="18"/>
      </tp>
      <tp t="e">
        <v>#N/A</v>
        <stp/>
        <stp>BDH|1759386660834017763</stp>
        <tr r="C22" s="12"/>
      </tp>
      <tp t="e">
        <v>#N/A</v>
        <stp/>
        <stp>BDH|5104524465511885071</stp>
        <tr r="X32" s="13"/>
        <tr r="V25" s="10"/>
      </tp>
      <tp t="e">
        <v>#N/A</v>
        <stp/>
        <stp>BDH|3849062770334492734</stp>
        <tr r="T18" s="5"/>
        <tr r="T41" s="6"/>
      </tp>
      <tp t="e">
        <v>#N/A</v>
        <stp/>
        <stp>BDH|9425435283926954440</stp>
        <tr r="E72" s="13"/>
      </tp>
      <tp t="e">
        <v>#N/A</v>
        <stp/>
        <stp>BDH|3373809885624670094</stp>
        <tr r="F19" s="22"/>
      </tp>
      <tp t="e">
        <v>#N/A</v>
        <stp/>
        <stp>BDH|7042454210996908353</stp>
        <tr r="AA163" s="18"/>
      </tp>
      <tp t="e">
        <v>#N/A</v>
        <stp/>
        <stp>BDH|5492128448924248356</stp>
        <tr r="I53" s="12"/>
      </tp>
      <tp t="e">
        <v>#N/A</v>
        <stp/>
        <stp>BDH|4574033228924280558</stp>
        <tr r="T21" s="6"/>
      </tp>
      <tp t="e">
        <v>#N/A</v>
        <stp/>
        <stp>BDH|8582280397550240414</stp>
        <tr r="K64" s="24"/>
      </tp>
      <tp t="e">
        <v>#N/A</v>
        <stp/>
        <stp>BDH|8655533301059831359</stp>
        <tr r="O39" s="6"/>
      </tp>
      <tp t="e">
        <v>#N/A</v>
        <stp/>
        <stp>BDH|6327008277093565580</stp>
        <tr r="R7" s="6"/>
      </tp>
      <tp t="e">
        <v>#N/A</v>
        <stp/>
        <stp>BDH|2241703309383410169</stp>
        <tr r="H37" s="6"/>
      </tp>
      <tp t="e">
        <v>#N/A</v>
        <stp/>
        <stp>BDH|2631982416848940583</stp>
        <tr r="O50" s="12"/>
      </tp>
      <tp t="e">
        <v>#N/A</v>
        <stp/>
        <stp>BDH|3749436409979708935</stp>
        <tr r="T63" s="13"/>
        <tr r="R49" s="11"/>
        <tr r="R60" s="10"/>
        <tr r="R18" s="7"/>
      </tp>
      <tp t="e">
        <v>#N/A</v>
        <stp/>
        <stp>BDH|2354440878941211743</stp>
        <tr r="N13" s="26"/>
      </tp>
      <tp t="e">
        <v>#N/A</v>
        <stp/>
        <stp>BDH|4289290616555742548</stp>
        <tr r="X75" s="24"/>
      </tp>
      <tp t="e">
        <v>#N/A</v>
        <stp/>
        <stp>BDH|9400955215556276087</stp>
        <tr r="Q42" s="29"/>
        <tr r="Q33" s="29"/>
        <tr r="O55" s="6"/>
        <tr r="P10" s="2"/>
        <tr r="O11" s="5"/>
      </tp>
      <tp t="e">
        <v>#N/A</v>
        <stp/>
        <stp>BDH|8740653978338618625</stp>
        <tr r="S34" s="18"/>
      </tp>
      <tp t="e">
        <v>#N/A</v>
        <stp/>
        <stp>BDH|5606225549596087238</stp>
        <tr r="K14" s="12"/>
      </tp>
      <tp t="e">
        <v>#N/A</v>
        <stp/>
        <stp>BDH|4440310136021443293</stp>
        <tr r="O107" s="18"/>
      </tp>
      <tp t="e">
        <v>#N/A</v>
        <stp/>
        <stp>BDH|4656575022100944446</stp>
        <tr r="G24" s="17"/>
      </tp>
      <tp t="e">
        <v>#N/A</v>
        <stp/>
        <stp>BDH|7228786642492424121</stp>
        <tr r="N47" s="13"/>
      </tp>
      <tp t="e">
        <v>#N/A</v>
        <stp/>
        <stp>BDH|8829625371359551702</stp>
        <tr r="M46" s="13"/>
        <tr r="K41" s="10"/>
        <tr r="K30" s="11"/>
      </tp>
      <tp t="e">
        <v>#N/A</v>
        <stp/>
        <stp>BDH|2403281792557769971</stp>
        <tr r="S76" s="18"/>
      </tp>
      <tp t="e">
        <v>#N/A</v>
        <stp/>
        <stp>BDH|5087280051846168365</stp>
        <tr r="C18" s="20"/>
      </tp>
      <tp t="e">
        <v>#N/A</v>
        <stp/>
        <stp>BDH|8947564479218920512</stp>
        <tr r="AA69" s="18"/>
      </tp>
      <tp t="e">
        <v>#N/A</v>
        <stp/>
        <stp>BDH|8589365879322598915</stp>
        <tr r="Q52" s="17"/>
      </tp>
      <tp t="e">
        <v>#N/A</v>
        <stp/>
        <stp>BDH|5646613654903597282</stp>
        <tr r="W18" s="11"/>
      </tp>
      <tp t="e">
        <v>#N/A</v>
        <stp/>
        <stp>BDH|7161829611378597191</stp>
        <tr r="W11" s="9"/>
      </tp>
      <tp t="e">
        <v>#N/A</v>
        <stp/>
        <stp>BDH|3896578170860143609</stp>
        <tr r="L18" s="27"/>
        <tr r="L36" s="25"/>
      </tp>
      <tp t="e">
        <v>#N/A</v>
        <stp/>
        <stp>BDH|6055800528708533335</stp>
        <tr r="X93" s="12"/>
      </tp>
      <tp t="e">
        <v>#N/A</v>
        <stp/>
        <stp>BDH|3627435129273289109</stp>
        <tr r="F13" s="26"/>
      </tp>
      <tp t="e">
        <v>#N/A</v>
        <stp/>
        <stp>BDH|8179829334335080191</stp>
        <tr r="V100" s="12"/>
      </tp>
      <tp t="e">
        <v>#N/A</v>
        <stp/>
        <stp>BDH|8653804471289853911</stp>
        <tr r="J23" s="23"/>
      </tp>
      <tp t="e">
        <v>#N/A</v>
        <stp/>
        <stp>BDH|1820917637215486949</stp>
        <tr r="L22" s="18"/>
      </tp>
      <tp t="e">
        <v>#N/A</v>
        <stp/>
        <stp>BDH|7305990794713191318</stp>
        <tr r="O56" s="17"/>
      </tp>
      <tp t="e">
        <v>#N/A</v>
        <stp/>
        <stp>BDH|2491172072613989063</stp>
        <tr r="D65" s="11"/>
        <tr r="D76" s="10"/>
      </tp>
      <tp t="e">
        <v>#N/A</v>
        <stp/>
        <stp>BDH|1725263167626872409</stp>
        <tr r="X60" s="18"/>
      </tp>
      <tp t="e">
        <v>#N/A</v>
        <stp/>
        <stp>BDH|4743989483142416064</stp>
        <tr r="N83" s="12"/>
      </tp>
      <tp t="e">
        <v>#N/A</v>
        <stp/>
        <stp>BDH|9969226485277329339</stp>
        <tr r="I41" s="24"/>
      </tp>
      <tp t="e">
        <v>#N/A</v>
        <stp/>
        <stp>BDH|4396649637424785294</stp>
        <tr r="AA65" s="18"/>
      </tp>
      <tp t="e">
        <v>#N/A</v>
        <stp/>
        <stp>BDH|1809485243910558681</stp>
        <tr r="E17" s="5"/>
        <tr r="E36" s="6"/>
      </tp>
      <tp t="e">
        <v>#N/A</v>
        <stp/>
        <stp>BDH|6139660049277700479</stp>
        <tr r="O60" s="12"/>
      </tp>
      <tp t="e">
        <v>#N/A</v>
        <stp/>
        <stp>BDH|6892172304097002753</stp>
        <tr r="N96" s="18"/>
      </tp>
      <tp t="e">
        <v>#N/A</v>
        <stp/>
        <stp>BDH|1391785977214722257</stp>
        <tr r="W14" s="27"/>
        <tr r="W32" s="25"/>
      </tp>
      <tp t="e">
        <v>#N/A</v>
        <stp/>
        <stp>BDH|4242412778799027958</stp>
        <tr r="C12" s="17"/>
      </tp>
      <tp t="e">
        <v>#N/A</v>
        <stp/>
        <stp>BDH|4838875407928669303</stp>
        <tr r="H15" s="10"/>
      </tp>
      <tp t="e">
        <v>#N/A</v>
        <stp/>
        <stp>BDH|8549441647459887603</stp>
        <tr r="I21" s="24"/>
      </tp>
      <tp t="e">
        <v>#N/A</v>
        <stp/>
        <stp>BDH|3838789947602974506</stp>
        <tr r="X19" s="30"/>
      </tp>
      <tp t="e">
        <v>#N/A</v>
        <stp/>
        <stp>BDH|1165616723043952149</stp>
        <tr r="E75" s="10"/>
        <tr r="E64" s="11"/>
      </tp>
      <tp t="e">
        <v>#N/A</v>
        <stp/>
        <stp>BDH|9424020606338796694</stp>
        <tr r="K96" s="18"/>
      </tp>
      <tp t="e">
        <v>#N/A</v>
        <stp/>
        <stp>BDH|1429437118925376627</stp>
        <tr r="L7" s="14"/>
      </tp>
      <tp t="e">
        <v>#N/A</v>
        <stp/>
        <stp>BDH|5539461502823864573</stp>
        <tr r="AA58" s="24"/>
      </tp>
      <tp t="e">
        <v>#N/A</v>
        <stp/>
        <stp>BDH|4963976878475988812</stp>
        <tr r="O32" s="22"/>
      </tp>
      <tp t="e">
        <v>#N/A</v>
        <stp/>
        <stp>BDH|5107685417257736265</stp>
        <tr r="I51" s="21"/>
      </tp>
      <tp t="e">
        <v>#N/A</v>
        <stp/>
        <stp>BDH|6743056532640912264</stp>
        <tr r="AA29" s="12"/>
      </tp>
      <tp t="e">
        <v>#N/A</v>
        <stp/>
        <stp>BDH|2770353188427220973</stp>
        <tr r="V160" s="18"/>
      </tp>
      <tp t="e">
        <v>#N/A</v>
        <stp/>
        <stp>BDH|5682643692875615892</stp>
        <tr r="W40" s="11"/>
        <tr r="W28" s="11"/>
        <tr r="W51" s="10"/>
        <tr r="W39" s="10"/>
      </tp>
      <tp t="e">
        <v>#N/A</v>
        <stp/>
        <stp>BDH|9988229650078369177</stp>
        <tr r="P23" s="26"/>
      </tp>
      <tp t="e">
        <v>#N/A</v>
        <stp/>
        <stp>BDH|3165045148501256103</stp>
        <tr r="X162" s="18"/>
      </tp>
      <tp t="e">
        <v>#N/A</v>
        <stp/>
        <stp>BDH|7037501626452066593</stp>
        <tr r="S18" s="26"/>
      </tp>
      <tp t="e">
        <v>#N/A</v>
        <stp/>
        <stp>BDH|7685575819002281656</stp>
        <tr r="G48" s="6"/>
      </tp>
      <tp t="e">
        <v>#N/A</v>
        <stp/>
        <stp>BDH|8742535067478879441</stp>
        <tr r="M66" s="17"/>
      </tp>
      <tp t="e">
        <v>#N/A</v>
        <stp/>
        <stp>BDH|1264184900971183640</stp>
        <tr r="T39" s="11"/>
        <tr r="T50" s="10"/>
      </tp>
      <tp t="e">
        <v>#N/A</v>
        <stp/>
        <stp>BDH|1815755000986378718</stp>
        <tr r="S53" s="22"/>
      </tp>
      <tp t="e">
        <v>#N/A</v>
        <stp/>
        <stp>BDH|5592808384155921776</stp>
        <tr r="O141" s="18"/>
      </tp>
      <tp t="e">
        <v>#N/A</v>
        <stp/>
        <stp>BDH|7305700072178874862</stp>
        <tr r="G24" s="26"/>
      </tp>
      <tp t="e">
        <v>#N/A</v>
        <stp/>
        <stp>BDH|9655429292793963009</stp>
        <tr r="L87" s="18"/>
      </tp>
      <tp t="e">
        <v>#N/A</v>
        <stp/>
        <stp>BDH|6976578972297199420</stp>
        <tr r="U36" s="26"/>
      </tp>
      <tp t="e">
        <v>#N/A</v>
        <stp/>
        <stp>BDH|7286762058136283414</stp>
        <tr r="F62" s="11"/>
        <tr r="F73" s="10"/>
        <tr r="F20" s="7"/>
      </tp>
      <tp t="e">
        <v>#N/A</v>
        <stp/>
        <stp>BDH|5438968001198446389</stp>
        <tr r="W14" s="23"/>
      </tp>
      <tp t="e">
        <v>#N/A</v>
        <stp/>
        <stp>BDH|6833935154085952894</stp>
        <tr r="E34" s="12"/>
      </tp>
      <tp t="e">
        <v>#N/A</v>
        <stp/>
        <stp>BDH|1702577249271436620</stp>
        <tr r="D15" s="21"/>
      </tp>
      <tp t="e">
        <v>#N/A</v>
        <stp/>
        <stp>BDH|7486009527766509490</stp>
        <tr r="M97" s="12"/>
      </tp>
      <tp t="e">
        <v>#N/A</v>
        <stp/>
        <stp>BDH|4132656578794146620</stp>
        <tr r="E9" s="14"/>
      </tp>
      <tp t="e">
        <v>#N/A</v>
        <stp/>
        <stp>BDH|6987448505834089176</stp>
        <tr r="M42" s="4"/>
      </tp>
      <tp t="e">
        <v>#N/A</v>
        <stp/>
        <stp>BDH|6814085615386251684</stp>
        <tr r="N15" s="26"/>
      </tp>
      <tp t="e">
        <v>#N/A</v>
        <stp/>
        <stp>BDH|9262024488416772008</stp>
        <tr r="J19" s="18"/>
      </tp>
      <tp t="e">
        <v>#N/A</v>
        <stp/>
        <stp>BDH|5778116914860947244</stp>
        <tr r="F16" s="13"/>
        <tr r="F28" s="13"/>
        <tr r="D17" s="10"/>
      </tp>
      <tp t="e">
        <v>#N/A</v>
        <stp/>
        <stp>BDH|5799096202420459277</stp>
        <tr r="O29" s="12"/>
      </tp>
      <tp t="e">
        <v>#N/A</v>
        <stp/>
        <stp>BDH|1448593585919642212</stp>
        <tr r="S72" s="13"/>
      </tp>
      <tp t="e">
        <v>#N/A</v>
        <stp/>
        <stp>BDH|1310486395742681973</stp>
        <tr r="R47" s="11"/>
        <tr r="R58" s="10"/>
        <tr r="R7" s="7"/>
        <tr r="T12" s="3"/>
      </tp>
      <tp t="e">
        <v>#N/A</v>
        <stp/>
        <stp>BDH|1531782868293316499</stp>
        <tr r="M10" s="22"/>
      </tp>
      <tp t="e">
        <v>#N/A</v>
        <stp/>
        <stp>BDH|5208225209652596231</stp>
        <tr r="V41" s="21"/>
      </tp>
      <tp t="e">
        <v>#N/A</v>
        <stp/>
        <stp>BDH|4411153817310083392</stp>
        <tr r="K16" s="6"/>
      </tp>
      <tp t="e">
        <v>#N/A</v>
        <stp/>
        <stp>BDH|1291385430307441116</stp>
        <tr r="L57" s="17"/>
      </tp>
      <tp t="e">
        <v>#N/A</v>
        <stp/>
        <stp>BDH|8688577838568467121</stp>
        <tr r="W20" s="17"/>
      </tp>
      <tp t="e">
        <v>#N/A</v>
        <stp/>
        <stp>BDH|9270539268319302450</stp>
        <tr r="Q42" s="17"/>
      </tp>
      <tp t="e">
        <v>#N/A</v>
        <stp/>
        <stp>BDH|5936201458714911179</stp>
        <tr r="J9" s="6"/>
      </tp>
      <tp t="e">
        <v>#N/A</v>
        <stp/>
        <stp>BDH|9343768643505828816</stp>
        <tr r="G22" s="20"/>
      </tp>
      <tp t="e">
        <v>#N/A</v>
        <stp/>
        <stp>BDH|7585224737237716683</stp>
        <tr r="H97" s="18"/>
      </tp>
      <tp t="e">
        <v>#N/A</v>
        <stp/>
        <stp>BDH|4403802139700203809</stp>
        <tr r="R10" s="23"/>
      </tp>
      <tp t="e">
        <v>#N/A</v>
        <stp/>
        <stp>BDH|4179361865503850559</stp>
        <tr r="L30" s="18"/>
      </tp>
      <tp t="e">
        <v>#N/A</v>
        <stp/>
        <stp>BDH|8319397133639482627</stp>
        <tr r="C21" s="2"/>
      </tp>
      <tp t="e">
        <v>#N/A</v>
        <stp/>
        <stp>BDH|6882304574034750147</stp>
        <tr r="M105" s="18"/>
      </tp>
      <tp t="e">
        <v>#N/A</v>
        <stp/>
        <stp>BDH|4810047562287198203</stp>
        <tr r="U41" s="34"/>
      </tp>
      <tp t="e">
        <v>#N/A</v>
        <stp/>
        <stp>BDH|7080573989125843890</stp>
        <tr r="Z17" s="27"/>
        <tr r="Z35" s="25"/>
        <tr r="W14" s="5"/>
      </tp>
      <tp t="e">
        <v>#N/A</v>
        <stp/>
        <stp>BDH|6119464953314818439</stp>
        <tr r="N14" s="10"/>
      </tp>
      <tp t="e">
        <v>#N/A</v>
        <stp/>
        <stp>BDH|2695053730985805372</stp>
        <tr r="M62" s="13"/>
      </tp>
      <tp t="e">
        <v>#N/A</v>
        <stp/>
        <stp>BDH|6040738824267267399</stp>
        <tr r="I67" s="13"/>
      </tp>
      <tp t="e">
        <v>#N/A</v>
        <stp/>
        <stp>BDH|8024797387134140430</stp>
        <tr r="M22" s="21"/>
      </tp>
      <tp t="e">
        <v>#N/A</v>
        <stp/>
        <stp>BDH|3448658529070756039</stp>
        <tr r="U11" s="22"/>
      </tp>
      <tp t="e">
        <v>#N/A</v>
        <stp/>
        <stp>BDH|6522895513259466170</stp>
        <tr r="W88" s="17"/>
      </tp>
      <tp t="e">
        <v>#N/A</v>
        <stp/>
        <stp>BDH|3824653303834785652</stp>
        <tr r="V90" s="12"/>
      </tp>
      <tp t="e">
        <v>#N/A</v>
        <stp/>
        <stp>BDH|8769550793820944349</stp>
        <tr r="J59" s="18"/>
      </tp>
      <tp t="e">
        <v>#N/A</v>
        <stp/>
        <stp>BDH|5599791160997117412</stp>
        <tr r="H151" s="18"/>
      </tp>
      <tp t="e">
        <v>#N/A</v>
        <stp/>
        <stp>BDH|6418784830627169217</stp>
        <tr r="C46" s="18"/>
      </tp>
      <tp t="e">
        <v>#N/A</v>
        <stp/>
        <stp>BDH|3149663955177837060</stp>
        <tr r="S62" s="12"/>
      </tp>
      <tp t="e">
        <v>#N/A</v>
        <stp/>
        <stp>BDH|8137305228046225870</stp>
        <tr r="G18" s="12"/>
      </tp>
      <tp t="e">
        <v>#N/A</v>
        <stp/>
        <stp>BDH|1260682733925383661</stp>
        <tr r="L35" s="22"/>
      </tp>
      <tp t="e">
        <v>#N/A</v>
        <stp/>
        <stp>BDH|4372993956988392733</stp>
        <tr r="G25" s="11"/>
        <tr r="G36" s="10"/>
      </tp>
      <tp t="e">
        <v>#N/A</v>
        <stp/>
        <stp>BDH|9013358204118893556</stp>
        <tr r="K39" s="11"/>
        <tr r="K50" s="10"/>
      </tp>
      <tp t="e">
        <v>#N/A</v>
        <stp/>
        <stp>BDH|5118500399497528910</stp>
        <tr r="S35" s="21"/>
      </tp>
      <tp t="e">
        <v>#N/A</v>
        <stp/>
        <stp>BDH|3272239765852053285</stp>
        <tr r="P69" s="18"/>
      </tp>
      <tp t="e">
        <v>#N/A</v>
        <stp/>
        <stp>BDH|8894829979617742784</stp>
        <tr r="X41" s="24"/>
      </tp>
      <tp t="e">
        <v>#N/A</v>
        <stp/>
        <stp>BDH|3818906586586232308</stp>
        <tr r="Y135" s="18"/>
      </tp>
      <tp t="e">
        <v>#N/A</v>
        <stp/>
        <stp>BDH|4387959729918623053</stp>
        <tr r="T64" s="13"/>
      </tp>
      <tp t="e">
        <v>#N/A</v>
        <stp/>
        <stp>BDH|9722604940978815437</stp>
        <tr r="L47" s="24"/>
      </tp>
      <tp t="e">
        <v>#N/A</v>
        <stp/>
        <stp>BDH|2458213792456382882</stp>
        <tr r="W10" s="18"/>
      </tp>
      <tp t="e">
        <v>#N/A</v>
        <stp/>
        <stp>BDH|1842144100223595450</stp>
        <tr r="U30" s="21"/>
      </tp>
      <tp t="e">
        <v>#N/A</v>
        <stp/>
        <stp>BDH|6906938096468373930</stp>
        <tr r="T72" s="10"/>
      </tp>
      <tp t="e">
        <v>#N/A</v>
        <stp/>
        <stp>BDH|5820599316335365383</stp>
        <tr r="U71" s="18"/>
      </tp>
      <tp t="e">
        <v>#N/A</v>
        <stp/>
        <stp>BDH|4607318118474203511</stp>
        <tr r="O8" s="14"/>
      </tp>
      <tp t="e">
        <v>#N/A</v>
        <stp/>
        <stp>BDH|1257624920650590293</stp>
        <tr r="O41" s="6"/>
        <tr r="O18" s="5"/>
      </tp>
      <tp t="e">
        <v>#N/A</v>
        <stp/>
        <stp>BDH|2302703666523024798</stp>
        <tr r="N67" s="24"/>
      </tp>
      <tp t="e">
        <v>#N/A</v>
        <stp/>
        <stp>BDH|5829025215616259518</stp>
        <tr r="L55" s="12"/>
      </tp>
      <tp t="e">
        <v>#N/A</v>
        <stp/>
        <stp>BDH|4468794453531397012</stp>
        <tr r="W65" s="12"/>
      </tp>
      <tp t="e">
        <v>#N/A</v>
        <stp/>
        <stp>BDH|1587145643353961077</stp>
        <tr r="K65" s="18"/>
      </tp>
      <tp t="e">
        <v>#N/A</v>
        <stp/>
        <stp>BDH|1555568798168244257</stp>
        <tr r="H69" s="24"/>
      </tp>
      <tp t="e">
        <v>#N/A</v>
        <stp/>
        <stp>BDH|8635538733278926134</stp>
        <tr r="V87" s="17"/>
      </tp>
      <tp t="e">
        <v>#N/A</v>
        <stp/>
        <stp>BDH|3574994128146049989</stp>
        <tr r="I17" s="22"/>
      </tp>
      <tp t="e">
        <v>#N/A</v>
        <stp/>
        <stp>BDH|4483721973783997009</stp>
        <tr r="W17" s="18"/>
      </tp>
      <tp t="e">
        <v>#N/A</v>
        <stp/>
        <stp>BDH|5997785459942180253</stp>
        <tr r="AA98" s="18"/>
      </tp>
      <tp t="e">
        <v>#N/A</v>
        <stp/>
        <stp>BDH|1370448224179646994</stp>
        <tr r="V29" s="18"/>
      </tp>
      <tp t="e">
        <v>#N/A</v>
        <stp/>
        <stp>BDH|6093401039580776624</stp>
        <tr r="N77" s="12"/>
      </tp>
      <tp t="e">
        <v>#N/A</v>
        <stp/>
        <stp>BDH|3568770765597224280</stp>
        <tr r="T87" s="17"/>
      </tp>
      <tp t="e">
        <v>#N/A</v>
        <stp/>
        <stp>BDH|7273335224546929714</stp>
        <tr r="P12" s="22"/>
      </tp>
      <tp t="e">
        <v>#N/A</v>
        <stp/>
        <stp>BDH|2959724455550575762</stp>
        <tr r="F77" s="24"/>
      </tp>
      <tp t="e">
        <v>#N/A</v>
        <stp/>
        <stp>BDH|7271400222446519083</stp>
        <tr r="Z8" s="17"/>
      </tp>
      <tp t="e">
        <v>#N/A</v>
        <stp/>
        <stp>BDH|6493659720336822341</stp>
        <tr r="S61" s="24"/>
      </tp>
      <tp t="e">
        <v>#N/A</v>
        <stp/>
        <stp>BDH|3916322849582627194</stp>
        <tr r="N42" s="34"/>
      </tp>
      <tp t="e">
        <v>#N/A</v>
        <stp/>
        <stp>BDH|4283993454376303918</stp>
        <tr r="Y145" s="18"/>
      </tp>
      <tp t="e">
        <v>#N/A</v>
        <stp/>
        <stp>BDH|6448120633150958310</stp>
        <tr r="K7" s="17"/>
      </tp>
      <tp t="e">
        <v>#N/A</v>
        <stp/>
        <stp>BDH|8930813355177039502</stp>
        <tr r="U55" s="24"/>
      </tp>
      <tp t="e">
        <v>#N/A</v>
        <stp/>
        <stp>BDH|1563917835759920554</stp>
        <tr r="M32" s="22"/>
      </tp>
      <tp t="e">
        <v>#N/A</v>
        <stp/>
        <stp>BDH|6509768303586859058</stp>
        <tr r="Z46" s="18"/>
      </tp>
      <tp t="e">
        <v>#N/A</v>
        <stp/>
        <stp>BDH|3607676222966857669</stp>
        <tr r="O28" s="13"/>
        <tr r="O16" s="13"/>
        <tr r="M17" s="10"/>
      </tp>
      <tp t="e">
        <v>#N/A</v>
        <stp/>
        <stp>BDH|6340434468457410416</stp>
        <tr r="U12" s="20"/>
        <tr r="U117" s="18"/>
      </tp>
      <tp t="e">
        <v>#N/A</v>
        <stp/>
        <stp>BDH|5662995615523219954</stp>
        <tr r="D26" s="18"/>
      </tp>
      <tp t="e">
        <v>#N/A</v>
        <stp/>
        <stp>BDH|2425195052783206203</stp>
        <tr r="L9" s="12"/>
      </tp>
      <tp t="e">
        <v>#N/A</v>
        <stp/>
        <stp>BDH|8793398351769455061</stp>
        <tr r="Y50" s="17"/>
      </tp>
      <tp t="e">
        <v>#N/A</v>
        <stp/>
        <stp>BDH|1019693729191828353</stp>
        <tr r="S56" s="13"/>
      </tp>
      <tp t="e">
        <v>#N/A</v>
        <stp/>
        <stp>BDH|8210141885346875066</stp>
        <tr r="P76" s="18"/>
      </tp>
      <tp t="e">
        <v>#N/A</v>
        <stp/>
        <stp>BDH|2681314723495835119</stp>
        <tr r="W97" s="18"/>
      </tp>
      <tp t="e">
        <v>#N/A</v>
        <stp/>
        <stp>BDH|2774291477924532419</stp>
        <tr r="G70" s="12"/>
      </tp>
      <tp t="e">
        <v>#N/A</v>
        <stp/>
        <stp>BDH|6811805290244516402</stp>
        <tr r="C10" s="14"/>
      </tp>
      <tp t="e">
        <v>#N/A</v>
        <stp/>
        <stp>BDH|1210605270014679396</stp>
        <tr r="J166" s="18"/>
      </tp>
      <tp t="e">
        <v>#N/A</v>
        <stp/>
        <stp>BDH|3133205765695958501</stp>
        <tr r="N16" s="28"/>
        <tr r="N13" s="17"/>
      </tp>
      <tp t="e">
        <v>#N/A</v>
        <stp/>
        <stp>BDH|6470207409726423542</stp>
        <tr r="N30" s="22"/>
      </tp>
      <tp t="e">
        <v>#N/A</v>
        <stp/>
        <stp>BDH|3142854619644181919</stp>
        <tr r="E76" s="24"/>
      </tp>
      <tp t="e">
        <v>#N/A</v>
        <stp/>
        <stp>BDH|5762960050078484689</stp>
        <tr r="M58" s="18"/>
      </tp>
      <tp t="e">
        <v>#N/A</v>
        <stp/>
        <stp>BDH|1579443942956727098</stp>
        <tr r="K77" s="17"/>
      </tp>
      <tp t="e">
        <v>#N/A</v>
        <stp/>
        <stp>BDH|9012747184933517288</stp>
        <tr r="Q10" s="24"/>
      </tp>
      <tp t="e">
        <v>#N/A</v>
        <stp/>
        <stp>BDH|4383093332233683337</stp>
        <tr r="S52" s="22"/>
      </tp>
      <tp t="e">
        <v>#N/A</v>
        <stp/>
        <stp>BDH|8683986612915906281</stp>
        <tr r="Y32" s="26"/>
      </tp>
      <tp t="e">
        <v>#N/A</v>
        <stp/>
        <stp>BDH|9806231167278673272</stp>
        <tr r="U60" s="13"/>
        <tr r="S59" s="10"/>
        <tr r="S48" s="11"/>
        <tr r="S17" s="7"/>
        <tr r="S17" s="4"/>
        <tr r="U10" s="3"/>
      </tp>
      <tp t="e">
        <v>#N/A</v>
        <stp/>
        <stp>BDH|8314979735215944057</stp>
        <tr r="U48" s="18"/>
      </tp>
      <tp t="e">
        <v>#N/A</v>
        <stp/>
        <stp>BDH|2364112750214962569</stp>
        <tr r="Z50" s="12"/>
      </tp>
      <tp t="e">
        <v>#N/A</v>
        <stp/>
        <stp>BDH|3910042760623593154</stp>
        <tr r="I11" s="14"/>
      </tp>
      <tp t="e">
        <v>#N/A</v>
        <stp/>
        <stp>BDH|6807441190285888993</stp>
        <tr r="Q7" s="29"/>
        <tr r="Q29" s="29"/>
      </tp>
      <tp t="e">
        <v>#N/A</v>
        <stp/>
        <stp>BDH|1822837896804308336</stp>
        <tr r="Y10" s="17"/>
      </tp>
      <tp t="e">
        <v>#N/A</v>
        <stp/>
        <stp>BDH|3759247318923356455</stp>
        <tr r="C22" s="30"/>
        <tr r="C24" s="23"/>
      </tp>
      <tp t="e">
        <v>#N/A</v>
        <stp/>
        <stp>BDH|6037704695218194796</stp>
        <tr r="J45" s="21"/>
      </tp>
      <tp t="e">
        <v>#N/A</v>
        <stp/>
        <stp>BDH|8444643389732494303</stp>
        <tr r="E39" s="26"/>
      </tp>
      <tp t="e">
        <v>#N/A</v>
        <stp/>
        <stp>BDH|1578249208622455607</stp>
        <tr r="T75" s="17"/>
      </tp>
      <tp t="e">
        <v>#N/A</v>
        <stp/>
        <stp>BDH|1821268460430639257</stp>
        <tr r="U38" s="25"/>
        <tr r="U92" s="17"/>
      </tp>
      <tp t="e">
        <v>#N/A</v>
        <stp/>
        <stp>BDH|7214308729226566730</stp>
        <tr r="G76" s="24"/>
      </tp>
      <tp t="e">
        <v>#N/A</v>
        <stp/>
        <stp>BDH|9743380700844661947</stp>
        <tr r="V71" s="13"/>
      </tp>
      <tp t="e">
        <v>#N/A</v>
        <stp/>
        <stp>BDH|2908057866292017179</stp>
        <tr r="S78" s="12"/>
      </tp>
      <tp t="e">
        <v>#N/A</v>
        <stp/>
        <stp>BDH|3992364056451118355</stp>
        <tr r="J63" s="18"/>
      </tp>
      <tp t="e">
        <v>#N/A</v>
        <stp/>
        <stp>BDH|6877560365787193574</stp>
        <tr r="H38" s="12"/>
      </tp>
      <tp t="e">
        <v>#N/A</v>
        <stp/>
        <stp>BDH|2438001974633889151</stp>
        <tr r="R40" s="11"/>
        <tr r="R28" s="11"/>
        <tr r="R51" s="10"/>
        <tr r="R39" s="10"/>
      </tp>
      <tp t="e">
        <v>#N/A</v>
        <stp/>
        <stp>BDH|7514602613247245099</stp>
        <tr r="Y33" s="18"/>
      </tp>
      <tp t="e">
        <v>#N/A</v>
        <stp/>
        <stp>BDH|4239408343264810744</stp>
        <tr r="G17" s="13"/>
      </tp>
      <tp t="e">
        <v>#N/A</v>
        <stp/>
        <stp>BDH|6986566897144645937</stp>
        <tr r="Q25" s="3"/>
      </tp>
      <tp t="e">
        <v>#N/A</v>
        <stp/>
        <stp>BDH|6137843899837019716</stp>
        <tr r="S57" s="12"/>
      </tp>
      <tp t="e">
        <v>#N/A</v>
        <stp/>
        <stp>BDH|6275693131514683016</stp>
        <tr r="Z135" s="18"/>
      </tp>
      <tp t="e">
        <v>#N/A</v>
        <stp/>
        <stp>BDH|5347777729420900798</stp>
        <tr r="N33" s="21"/>
      </tp>
      <tp t="e">
        <v>#N/A</v>
        <stp/>
        <stp>BDH|6114472609060050528</stp>
        <tr r="Z17" s="24"/>
      </tp>
      <tp t="e">
        <v>#N/A</v>
        <stp/>
        <stp>BDH|2789489212796494641</stp>
        <tr r="U39" s="6"/>
      </tp>
      <tp t="e">
        <v>#N/A</v>
        <stp/>
        <stp>BDH|4987520014602096529</stp>
        <tr r="W58" s="12"/>
      </tp>
      <tp t="e">
        <v>#N/A</v>
        <stp/>
        <stp>BDH|8326867868590074109</stp>
        <tr r="W12" s="24"/>
      </tp>
      <tp t="e">
        <v>#N/A</v>
        <stp/>
        <stp>BDH|6203425848829410812</stp>
        <tr r="R16" s="26"/>
      </tp>
      <tp t="e">
        <v>#N/A</v>
        <stp/>
        <stp>BDH|8372717008909239154</stp>
        <tr r="R32" s="26"/>
      </tp>
      <tp t="e">
        <v>#N/A</v>
        <stp/>
        <stp>BDH|1365810490486359136</stp>
        <tr r="W15" s="9"/>
      </tp>
      <tp t="e">
        <v>#N/A</v>
        <stp/>
        <stp>BDH|8826283013164895899</stp>
        <tr r="O15" s="5"/>
      </tp>
      <tp t="e">
        <v>#N/A</v>
        <stp/>
        <stp>BDH|2864040966305167693</stp>
        <tr r="C37" s="6"/>
      </tp>
      <tp t="e">
        <v>#N/A</v>
        <stp/>
        <stp>BDH|3336260771192742316</stp>
        <tr r="X85" s="17"/>
      </tp>
      <tp t="e">
        <v>#N/A</v>
        <stp/>
        <stp>BDH|9962658159415186861</stp>
        <tr r="U52" s="12"/>
      </tp>
      <tp t="e">
        <v>#N/A</v>
        <stp/>
        <stp>BDH|4506407742116715524</stp>
        <tr r="X49" s="4"/>
      </tp>
      <tp t="e">
        <v>#N/A</v>
        <stp/>
        <stp>BDH|5464309202733125259</stp>
        <tr r="G59" s="24"/>
      </tp>
      <tp t="e">
        <v>#N/A</v>
        <stp/>
        <stp>BDH|1302991359572457852</stp>
        <tr r="X9" s="13"/>
      </tp>
      <tp t="e">
        <v>#N/A</v>
        <stp/>
        <stp>BDH|4181438258381056385</stp>
        <tr r="M9" s="10"/>
      </tp>
      <tp t="e">
        <v>#N/A</v>
        <stp/>
        <stp>BDH|9802992720554769142</stp>
        <tr r="F89" s="18"/>
      </tp>
      <tp t="e">
        <v>#N/A</v>
        <stp/>
        <stp>BDH|4808240750492802666</stp>
        <tr r="N94" s="18"/>
      </tp>
      <tp t="e">
        <v>#N/A</v>
        <stp/>
        <stp>BDH|5841671062460813275</stp>
        <tr r="W12" s="25"/>
      </tp>
      <tp t="e">
        <v>#N/A</v>
        <stp/>
        <stp>BDH|4057315610028045931</stp>
        <tr r="C11" s="3"/>
      </tp>
      <tp t="e">
        <v>#N/A</v>
        <stp/>
        <stp>BDH|1671454755606308171</stp>
        <tr r="F19" s="17"/>
      </tp>
      <tp t="e">
        <v>#N/A</v>
        <stp/>
        <stp>BDH|3344459546126083223</stp>
        <tr r="Y42" s="11"/>
        <tr r="Y53" s="10"/>
        <tr r="AA11" s="3"/>
        <tr r="Y8" s="7"/>
      </tp>
      <tp t="e">
        <v>#N/A</v>
        <stp/>
        <stp>BDH|5343713382465016825</stp>
        <tr r="O17" s="22"/>
      </tp>
      <tp t="e">
        <v>#N/A</v>
        <stp/>
        <stp>BDH|7743611714237735073</stp>
        <tr r="S39" s="25"/>
      </tp>
      <tp t="e">
        <v>#N/A</v>
        <stp/>
        <stp>BDH|9228894265724947452</stp>
        <tr r="H26" s="7"/>
      </tp>
      <tp t="e">
        <v>#N/A</v>
        <stp/>
        <stp>BDH|7776322644313436473</stp>
        <tr r="U31" s="24"/>
      </tp>
      <tp t="e">
        <v>#N/A</v>
        <stp/>
        <stp>BDH|5422869991603098012</stp>
        <tr r="M121" s="18"/>
      </tp>
      <tp t="e">
        <v>#N/A</v>
        <stp/>
        <stp>BDH|7902631758693461047</stp>
        <tr r="N13" s="27"/>
        <tr r="N31" s="25"/>
      </tp>
      <tp t="e">
        <v>#N/A</v>
        <stp/>
        <stp>BDH|5668434133657664224</stp>
        <tr r="X25" s="17"/>
      </tp>
      <tp t="e">
        <v>#N/A</v>
        <stp/>
        <stp>BDH|5571229681851699929</stp>
        <tr r="J58" s="24"/>
      </tp>
      <tp t="e">
        <v>#N/A</v>
        <stp/>
        <stp>BDH|9622630636158485353</stp>
        <tr r="F16" s="28"/>
        <tr r="F13" s="17"/>
      </tp>
      <tp t="e">
        <v>#N/A</v>
        <stp/>
        <stp>BDH|2908335295897944841</stp>
        <tr r="AA16" s="24"/>
      </tp>
      <tp t="e">
        <v>#N/A</v>
        <stp/>
        <stp>BDH|5369980393782891020</stp>
        <tr r="W11" s="14"/>
      </tp>
      <tp t="e">
        <v>#N/A</v>
        <stp/>
        <stp>BDH|2725333396368908799</stp>
        <tr r="O30" s="26"/>
      </tp>
      <tp t="e">
        <v>#N/A</v>
        <stp/>
        <stp>BDH|4430342890891059827</stp>
        <tr r="K17" s="27"/>
        <tr r="K35" s="25"/>
        <tr r="H14" s="5"/>
      </tp>
      <tp t="e">
        <v>#N/A</v>
        <stp/>
        <stp>BDH|5495376546581113460</stp>
        <tr r="D6" s="27"/>
      </tp>
      <tp t="e">
        <v>#N/A</v>
        <stp/>
        <stp>BDH|6426379021215141517</stp>
        <tr r="Y54" s="18"/>
      </tp>
      <tp t="e">
        <v>#N/A</v>
        <stp/>
        <stp>BDH|5392431135287095279</stp>
        <tr r="N29" s="4"/>
      </tp>
      <tp t="e">
        <v>#N/A</v>
        <stp/>
        <stp>BDH|2890676889483034845</stp>
        <tr r="Y129" s="18"/>
      </tp>
      <tp t="e">
        <v>#N/A</v>
        <stp/>
        <stp>BDH|8202258287760277505</stp>
        <tr r="J12" s="13"/>
      </tp>
      <tp t="e">
        <v>#N/A</v>
        <stp/>
        <stp>BDH|4384585240195850714</stp>
        <tr r="N9" s="30"/>
      </tp>
      <tp t="e">
        <v>#N/A</v>
        <stp/>
        <stp>BDH|3945389046525563602</stp>
        <tr r="J22" s="17"/>
        <tr r="J15" s="3"/>
      </tp>
      <tp t="e">
        <v>#N/A</v>
        <stp/>
        <stp>BDH|1111095865731796186</stp>
        <tr r="I16" s="34"/>
      </tp>
      <tp t="e">
        <v>#N/A</v>
        <stp/>
        <stp>BDH|3494016016233815693</stp>
        <tr r="T108" s="18"/>
      </tp>
      <tp t="e">
        <v>#N/A</v>
        <stp/>
        <stp>BDH|1445158610364721243</stp>
        <tr r="N41" s="26"/>
      </tp>
      <tp t="e">
        <v>#N/A</v>
        <stp/>
        <stp>BDH|4347337952793334639</stp>
        <tr r="G141" s="18"/>
      </tp>
      <tp t="e">
        <v>#N/A</v>
        <stp/>
        <stp>BDH|6058181178816514173</stp>
        <tr r="S9" s="14"/>
      </tp>
      <tp t="e">
        <v>#N/A</v>
        <stp/>
        <stp>BDH|7976322074033972753</stp>
        <tr r="AA16" s="20"/>
      </tp>
      <tp t="e">
        <v>#N/A</v>
        <stp/>
        <stp>BDH|9601765080932381305</stp>
        <tr r="U41" s="25"/>
        <tr r="U59" s="21"/>
        <tr r="S54" s="11"/>
        <tr r="S31" s="4"/>
      </tp>
      <tp t="e">
        <v>#N/A</v>
        <stp/>
        <stp>BDH|3429204429633904771</stp>
        <tr r="P13" s="13"/>
      </tp>
      <tp t="e">
        <v>#N/A</v>
        <stp/>
        <stp>BDH|6589376260227292334</stp>
        <tr r="M12" s="12"/>
      </tp>
      <tp t="e">
        <v>#N/A</v>
        <stp/>
        <stp>BDH|7972182372966153019</stp>
        <tr r="Y8" s="24"/>
      </tp>
      <tp t="e">
        <v>#N/A</v>
        <stp/>
        <stp>BDH|5021016774163461623</stp>
        <tr r="S71" s="10"/>
      </tp>
      <tp t="e">
        <v>#N/A</v>
        <stp/>
        <stp>BDH|3348325836914503018</stp>
        <tr r="E24" s="20"/>
      </tp>
      <tp t="e">
        <v>#N/A</v>
        <stp/>
        <stp>BDH|2114446877417412152</stp>
        <tr r="P7" s="10"/>
      </tp>
      <tp t="e">
        <v>#N/A</v>
        <stp/>
        <stp>BDH|6420785181918899667</stp>
        <tr r="R121" s="18"/>
      </tp>
      <tp t="e">
        <v>#N/A</v>
        <stp/>
        <stp>BDH|9655284284956137288</stp>
        <tr r="H37" s="12"/>
      </tp>
      <tp t="e">
        <v>#N/A</v>
        <stp/>
        <stp>BDH|4177893189166640542</stp>
        <tr r="P7" s="8"/>
      </tp>
      <tp t="e">
        <v>#N/A</v>
        <stp/>
        <stp>BDH|1799079694637562823</stp>
        <tr r="N52" s="12"/>
      </tp>
      <tp t="e">
        <v>#N/A</v>
        <stp/>
        <stp>BDH|2325660839938893870</stp>
        <tr r="J21" s="5"/>
      </tp>
      <tp t="e">
        <v>#N/A</v>
        <stp/>
        <stp>BDH|7538118606925439454</stp>
        <tr r="F14" s="23"/>
      </tp>
      <tp t="e">
        <v>#N/A</v>
        <stp/>
        <stp>BDH|2211412289609085098</stp>
        <tr r="H49" s="12"/>
      </tp>
      <tp t="e">
        <v>#N/A</v>
        <stp/>
        <stp>BDH|3236314305354246374</stp>
        <tr r="Q57" s="11"/>
        <tr r="Q24" s="4"/>
      </tp>
      <tp t="e">
        <v>#N/A</v>
        <stp/>
        <stp>BDH|4146829387900694319</stp>
        <tr r="H50" s="12"/>
      </tp>
      <tp t="e">
        <v>#N/A</v>
        <stp/>
        <stp>BDH|2249937603259022517</stp>
        <tr r="I65" s="24"/>
      </tp>
      <tp t="e">
        <v>#N/A</v>
        <stp/>
        <stp>BDH|3568175931155070302</stp>
        <tr r="O20" s="5"/>
      </tp>
      <tp t="e">
        <v>#N/A</v>
        <stp/>
        <stp>BDH|7454868383441477169</stp>
        <tr r="V51" s="17"/>
      </tp>
      <tp t="e">
        <v>#N/A</v>
        <stp/>
        <stp>BDH|9649591218573028945</stp>
        <tr r="G21" s="24"/>
      </tp>
      <tp t="e">
        <v>#N/A</v>
        <stp/>
        <stp>BDH|8388708082397766752</stp>
        <tr r="P146" s="18"/>
      </tp>
      <tp t="e">
        <v>#N/A</v>
        <stp/>
        <stp>BDH|9546215005269639547</stp>
        <tr r="V13" s="13"/>
      </tp>
      <tp t="e">
        <v>#N/A</v>
        <stp/>
        <stp>BDH|9588725467187630859</stp>
        <tr r="H18" s="14"/>
      </tp>
      <tp t="e">
        <v>#N/A</v>
        <stp/>
        <stp>BDH|2339330157194252761</stp>
        <tr r="H31" s="5"/>
      </tp>
      <tp t="e">
        <v>#N/A</v>
        <stp/>
        <stp>BDH|7655646562344238415</stp>
        <tr r="T20" s="25"/>
      </tp>
      <tp t="e">
        <v>#N/A</v>
        <stp/>
        <stp>BDH|6207916592388033920</stp>
        <tr r="Q66" s="18"/>
      </tp>
      <tp t="e">
        <v>#N/A</v>
        <stp/>
        <stp>BDH|8985553879958462522</stp>
        <tr r="K53" s="12"/>
      </tp>
      <tp t="e">
        <v>#N/A</v>
        <stp/>
        <stp>BDH|8906107587640993641</stp>
        <tr r="Q56" s="24"/>
      </tp>
      <tp t="e">
        <v>#N/A</v>
        <stp/>
        <stp>BDH|2617539564104352215</stp>
        <tr r="M56" s="12"/>
      </tp>
      <tp t="e">
        <v>#N/A</v>
        <stp/>
        <stp>BDH|2733757869771827508</stp>
        <tr r="V123" s="18"/>
      </tp>
      <tp t="e">
        <v>#N/A</v>
        <stp/>
        <stp>BDH|8978848025993263698</stp>
        <tr r="E19" s="13"/>
        <tr r="C65" s="10"/>
        <tr r="C16" s="2"/>
        <tr r="C32" s="4"/>
      </tp>
      <tp t="e">
        <v>#N/A</v>
        <stp/>
        <stp>BDH|9483072555028247376</stp>
        <tr r="Y8" s="17"/>
      </tp>
      <tp t="e">
        <v>#N/A</v>
        <stp/>
        <stp>BDH|6177216354072433439</stp>
        <tr r="O33" s="12"/>
      </tp>
      <tp t="e">
        <v>#N/A</v>
        <stp/>
        <stp>BDH|6516929871647632836</stp>
        <tr r="N20" s="26"/>
      </tp>
      <tp t="e">
        <v>#N/A</v>
        <stp/>
        <stp>BDH|2194082378105549774</stp>
        <tr r="K42" s="24"/>
      </tp>
      <tp t="e">
        <v>#N/A</v>
        <stp/>
        <stp>BDH|5833369186820887937</stp>
        <tr r="U65" s="17"/>
      </tp>
      <tp t="e">
        <v>#N/A</v>
        <stp/>
        <stp>BDH|2672374161948427875</stp>
        <tr r="AA13" s="27"/>
        <tr r="AA31" s="25"/>
      </tp>
      <tp t="e">
        <v>#N/A</v>
        <stp/>
        <stp>BDH|2498792676724172196</stp>
        <tr r="D14" s="12"/>
      </tp>
      <tp t="e">
        <v>#N/A</v>
        <stp/>
        <stp>BDH|7689611739340445593</stp>
        <tr r="G13" s="8"/>
      </tp>
      <tp t="e">
        <v>#N/A</v>
        <stp/>
        <stp>BDH|3020604372911064415</stp>
        <tr r="T27" s="12"/>
      </tp>
      <tp t="e">
        <v>#N/A</v>
        <stp/>
        <stp>BDH|9364588132168375094</stp>
        <tr r="J15" s="30"/>
      </tp>
      <tp t="e">
        <v>#N/A</v>
        <stp/>
        <stp>BDH|6865274204831828204</stp>
        <tr r="E13" s="11"/>
      </tp>
      <tp t="e">
        <v>#N/A</v>
        <stp/>
        <stp>BDH|2473508744744149020</stp>
        <tr r="Z28" s="18"/>
      </tp>
      <tp t="e">
        <v>#N/A</v>
        <stp/>
        <stp>BDH|3733666303663693175</stp>
        <tr r="N37" s="24"/>
      </tp>
      <tp t="e">
        <v>#N/A</v>
        <stp/>
        <stp>BDH|3697155752033241307</stp>
        <tr r="E152" s="18"/>
      </tp>
      <tp t="e">
        <v>#N/A</v>
        <stp/>
        <stp>BDH|1174376755489838989</stp>
        <tr r="L60" s="21"/>
        <tr r="J55" s="11"/>
      </tp>
      <tp t="e">
        <v>#N/A</v>
        <stp/>
        <stp>BDH|4996818744556837978</stp>
        <tr r="E12" s="26"/>
      </tp>
      <tp t="e">
        <v>#N/A</v>
        <stp/>
        <stp>BDH|7554451682674059818</stp>
        <tr r="T17" s="12"/>
      </tp>
      <tp t="e">
        <v>#N/A</v>
        <stp/>
        <stp>BDH|1720329441648235950</stp>
        <tr r="K52" s="13"/>
      </tp>
      <tp t="e">
        <v>#N/A</v>
        <stp/>
        <stp>BDH|1786674173490932795</stp>
        <tr r="R43" s="11"/>
        <tr r="R54" s="10"/>
        <tr r="R14" s="7"/>
        <tr r="T9" s="3"/>
      </tp>
      <tp t="e">
        <v>#N/A</v>
        <stp/>
        <stp>BDH|2947395785567617935</stp>
        <tr r="W25" s="22"/>
      </tp>
      <tp t="e">
        <v>#N/A</v>
        <stp/>
        <stp>BDH|7032502900471673462</stp>
        <tr r="D100" s="12"/>
      </tp>
      <tp t="e">
        <v>#N/A</v>
        <stp/>
        <stp>BDH|3720702976935790160</stp>
        <tr r="W22" s="10"/>
      </tp>
      <tp t="e">
        <v>#N/A</v>
        <stp/>
        <stp>BDH|5436413077493205204</stp>
        <tr r="V38" s="25"/>
        <tr r="V92" s="17"/>
      </tp>
      <tp t="e">
        <v>#N/A</v>
        <stp/>
        <stp>BDH|3478001786708129430</stp>
        <tr r="Q136" s="18"/>
      </tp>
      <tp t="e">
        <v>#N/A</v>
        <stp/>
        <stp>BDH|3950007649756013607</stp>
        <tr r="Q24" s="17"/>
      </tp>
      <tp t="e">
        <v>#N/A</v>
        <stp/>
        <stp>BDH|7456094078263113441</stp>
        <tr r="S50" s="22"/>
      </tp>
      <tp t="e">
        <v>#N/A</v>
        <stp/>
        <stp>BDH|3230865142180264842</stp>
        <tr r="O29" s="25"/>
        <tr r="O10" s="27"/>
      </tp>
      <tp t="e">
        <v>#N/A</v>
        <stp/>
        <stp>BDH|8477900942837392554</stp>
        <tr r="Q35" s="13"/>
        <tr r="O28" s="10"/>
      </tp>
      <tp t="e">
        <v>#N/A</v>
        <stp/>
        <stp>BDH|6279344625042383209</stp>
        <tr r="T14" s="13"/>
      </tp>
      <tp t="e">
        <v>#N/A</v>
        <stp/>
        <stp>BDH|9355031881952461459</stp>
        <tr r="K38" s="12"/>
      </tp>
      <tp t="e">
        <v>#N/A</v>
        <stp/>
        <stp>BDH|1001860670521160876</stp>
        <tr r="C42" s="6"/>
      </tp>
      <tp t="e">
        <v>#N/A</v>
        <stp/>
        <stp>BDH|8586811145600097313</stp>
        <tr r="S146" s="18"/>
      </tp>
      <tp t="e">
        <v>#N/A</v>
        <stp/>
        <stp>BDH|2176145739467828041</stp>
        <tr r="D31" s="9"/>
      </tp>
      <tp t="e">
        <v>#N/A</v>
        <stp/>
        <stp>BDH|7674673529856092281</stp>
        <tr r="M148" s="18"/>
      </tp>
      <tp t="e">
        <v>#N/A</v>
        <stp/>
        <stp>BDH|3004477654355467076</stp>
        <tr r="D63" s="21"/>
      </tp>
      <tp t="e">
        <v>#N/A</v>
        <stp/>
        <stp>BDH|3107005670220866396</stp>
        <tr r="I33" s="6"/>
      </tp>
      <tp t="e">
        <v>#N/A</v>
        <stp/>
        <stp>BDH|4745825574138532444</stp>
        <tr r="F11" s="7"/>
      </tp>
      <tp t="e">
        <v>#N/A</v>
        <stp/>
        <stp>BDH|5399057543347366162</stp>
        <tr r="U9" s="18"/>
      </tp>
      <tp t="e">
        <v>#N/A</v>
        <stp/>
        <stp>BDH|2731596822515810748</stp>
        <tr r="Q28" s="14"/>
      </tp>
      <tp t="e">
        <v>#N/A</v>
        <stp/>
        <stp>BDH|3245443397939513047</stp>
        <tr r="W69" s="18"/>
      </tp>
      <tp t="e">
        <v>#N/A</v>
        <stp/>
        <stp>BDH|5124950836590194836</stp>
        <tr r="U82" s="18"/>
      </tp>
      <tp t="e">
        <v>#N/A</v>
        <stp/>
        <stp>BDH|3524003996535796845</stp>
        <tr r="C8" s="25"/>
      </tp>
      <tp t="e">
        <v>#N/A</v>
        <stp/>
        <stp>BDH|7937534859806556662</stp>
        <tr r="S80" s="12"/>
      </tp>
      <tp t="e">
        <v>#N/A</v>
        <stp/>
        <stp>BDH|7192732040276762554</stp>
        <tr r="T85" s="12"/>
      </tp>
      <tp t="e">
        <v>#N/A</v>
        <stp/>
        <stp>BDH|1780272967797573521</stp>
        <tr r="K29" s="14"/>
      </tp>
      <tp t="e">
        <v>#N/A</v>
        <stp/>
        <stp>BDH|6291224882622488968</stp>
        <tr r="R42" s="24"/>
      </tp>
      <tp t="e">
        <v>#N/A</v>
        <stp/>
        <stp>BDH|8998692557678047472</stp>
        <tr r="E41" s="13"/>
        <tr r="C23" s="10"/>
        <tr r="C46" s="4"/>
      </tp>
      <tp t="e">
        <v>#N/A</v>
        <stp/>
        <stp>BDH|7338422401211182510</stp>
        <tr r="U25" s="21"/>
      </tp>
      <tp t="e">
        <v>#N/A</v>
        <stp/>
        <stp>BDH|4054335394899066075</stp>
        <tr r="N23" s="23"/>
      </tp>
      <tp t="e">
        <v>#N/A</v>
        <stp/>
        <stp>BDH|4210262058896451285</stp>
        <tr r="Y47" s="22"/>
      </tp>
      <tp t="e">
        <v>#N/A</v>
        <stp/>
        <stp>BDH|1196976375271077930</stp>
        <tr r="H18" s="6"/>
      </tp>
      <tp t="e">
        <v>#N/A</v>
        <stp/>
        <stp>BDH|2955604193768843228</stp>
        <tr r="J15" s="12"/>
      </tp>
      <tp t="e">
        <v>#N/A</v>
        <stp/>
        <stp>BDH|3415423232885213661</stp>
        <tr r="V128" s="18"/>
      </tp>
      <tp t="e">
        <v>#N/A</v>
        <stp/>
        <stp>BDH|7599956030293336933</stp>
        <tr r="AA42" s="24"/>
      </tp>
      <tp t="e">
        <v>#N/A</v>
        <stp/>
        <stp>BDH|1096864770249328050</stp>
        <tr r="D32" s="24"/>
      </tp>
      <tp t="e">
        <v>#N/A</v>
        <stp/>
        <stp>BDH|6981227437112801242</stp>
        <tr r="S30" s="18"/>
      </tp>
      <tp t="e">
        <v>#N/A</v>
        <stp/>
        <stp>BDH|8416514055558184714</stp>
        <tr r="I53" s="22"/>
      </tp>
      <tp t="e">
        <v>#N/A</v>
        <stp/>
        <stp>BDH|7899530545687667685</stp>
        <tr r="F9" s="8"/>
        <tr r="D52" s="6"/>
      </tp>
      <tp t="e">
        <v>#N/A</v>
        <stp/>
        <stp>BDH|5289632230117958081</stp>
        <tr r="L29" s="12"/>
      </tp>
      <tp t="e">
        <v>#N/A</v>
        <stp/>
        <stp>BDH|4281553757396000507</stp>
        <tr r="R29" s="26"/>
      </tp>
      <tp t="e">
        <v>#N/A</v>
        <stp/>
        <stp>BDH|2720709807542288028</stp>
        <tr r="J14" s="6"/>
      </tp>
      <tp t="e">
        <v>#N/A</v>
        <stp/>
        <stp>BDH|8100360019819947472</stp>
        <tr r="C31" s="9"/>
      </tp>
      <tp t="e">
        <v>#N/A</v>
        <stp/>
        <stp>BDH|7422448258842183394</stp>
        <tr r="K47" s="18"/>
      </tp>
      <tp t="e">
        <v>#N/A</v>
        <stp/>
        <stp>BDH|7431606701314280270</stp>
        <tr r="U35" s="11"/>
        <tr r="U46" s="10"/>
      </tp>
      <tp t="e">
        <v>#N/A</v>
        <stp/>
        <stp>BDH|5357732946997195679</stp>
        <tr r="AA48" s="22"/>
      </tp>
      <tp t="e">
        <v>#N/A</v>
        <stp/>
        <stp>BDH|4364071240086179141</stp>
        <tr r="V19" s="13"/>
        <tr r="T65" s="10"/>
        <tr r="T16" s="2"/>
        <tr r="T32" s="4"/>
      </tp>
      <tp t="e">
        <v>#N/A</v>
        <stp/>
        <stp>BDH|6614509891718370559</stp>
        <tr r="U68" s="12"/>
      </tp>
      <tp t="e">
        <v>#N/A</v>
        <stp/>
        <stp>BDH|1441767616679555900</stp>
        <tr r="T62" s="18"/>
      </tp>
      <tp t="e">
        <v>#N/A</v>
        <stp/>
        <stp>BDH|6041113307906277659</stp>
        <tr r="U38" s="13"/>
        <tr r="S31" s="10"/>
      </tp>
      <tp t="e">
        <v>#N/A</v>
        <stp/>
        <stp>BDH|8342082145032936965</stp>
        <tr r="R16" s="18"/>
      </tp>
      <tp t="e">
        <v>#N/A</v>
        <stp/>
        <stp>BDH|1644809615579104638</stp>
        <tr r="AA22" s="17"/>
        <tr r="AA15" s="3"/>
      </tp>
      <tp t="e">
        <v>#N/A</v>
        <stp/>
        <stp>BDH|5486766151247742758</stp>
        <tr r="D57" s="18"/>
      </tp>
      <tp t="e">
        <v>#N/A</v>
        <stp/>
        <stp>BDH|2682258273320650076</stp>
        <tr r="V66" s="10"/>
      </tp>
      <tp t="e">
        <v>#N/A</v>
        <stp/>
        <stp>BDH|9934721546348536592</stp>
        <tr r="M47" s="34"/>
      </tp>
      <tp t="e">
        <v>#N/A</v>
        <stp/>
        <stp>BDH|4756846833108275035</stp>
        <tr r="X43" s="11"/>
        <tr r="X54" s="10"/>
        <tr r="X14" s="7"/>
        <tr r="Z9" s="3"/>
      </tp>
      <tp t="e">
        <v>#N/A</v>
        <stp/>
        <stp>BDH|3089027514407619219</stp>
        <tr r="N68" s="13"/>
      </tp>
      <tp t="e">
        <v>#N/A</v>
        <stp/>
        <stp>BDH|1687563420520347129</stp>
        <tr r="Y25" s="17"/>
      </tp>
      <tp t="e">
        <v>#N/A</v>
        <stp/>
        <stp>BDH|6344746374328473965</stp>
        <tr r="J14" s="27"/>
        <tr r="J32" s="25"/>
      </tp>
      <tp t="e">
        <v>#N/A</v>
        <stp/>
        <stp>BDH|7111659002680442639</stp>
        <tr r="Z8" s="27"/>
      </tp>
      <tp t="e">
        <v>#N/A</v>
        <stp/>
        <stp>BDH|7124448216657076229</stp>
        <tr r="J16" s="6"/>
      </tp>
      <tp t="e">
        <v>#N/A</v>
        <stp/>
        <stp>BDH|6439694228187065245</stp>
        <tr r="I18" s="17"/>
      </tp>
      <tp t="e">
        <v>#N/A</v>
        <stp/>
        <stp>BDH|3332087730935295281</stp>
        <tr r="I18" s="6"/>
      </tp>
      <tp t="e">
        <v>#N/A</v>
        <stp/>
        <stp>BDH|4845176769682766607</stp>
        <tr r="N47" s="11"/>
        <tr r="N58" s="10"/>
        <tr r="N7" s="7"/>
        <tr r="P12" s="3"/>
      </tp>
      <tp t="e">
        <v>#N/A</v>
        <stp/>
        <stp>BDH|5044717866384368753</stp>
        <tr r="N28" s="9"/>
        <tr r="N30" s="5"/>
      </tp>
      <tp t="e">
        <v>#N/A</v>
        <stp/>
        <stp>BDH|4237591145700959265</stp>
        <tr r="Y7" s="14"/>
      </tp>
      <tp t="e">
        <v>#N/A</v>
        <stp/>
        <stp>BDH|4575253611113779377</stp>
        <tr r="K11" s="10"/>
        <tr r="K14" s="2"/>
      </tp>
      <tp t="e">
        <v>#N/A</v>
        <stp/>
        <stp>BDH|4732364758341975417</stp>
        <tr r="H27" s="12"/>
      </tp>
      <tp t="e">
        <v>#N/A</v>
        <stp/>
        <stp>BDH|1751584268477601201</stp>
        <tr r="L130" s="18"/>
      </tp>
      <tp t="e">
        <v>#N/A</v>
        <stp/>
        <stp>BDH|4063509205846772034</stp>
        <tr r="F54" s="18"/>
      </tp>
      <tp t="e">
        <v>#N/A</v>
        <stp/>
        <stp>BDH|7839177748375670004</stp>
        <tr r="J14" s="23"/>
      </tp>
      <tp t="e">
        <v>#N/A</v>
        <stp/>
        <stp>BDH|9743112548118960366</stp>
        <tr r="X36" s="29"/>
        <tr r="X13" s="29"/>
        <tr r="X22" s="29"/>
      </tp>
      <tp t="e">
        <v>#N/A</v>
        <stp/>
        <stp>BDH|6401286947012924533</stp>
        <tr r="R40" s="24"/>
      </tp>
      <tp t="e">
        <v>#N/A</v>
        <stp/>
        <stp>BDH|1544273064320122260</stp>
        <tr r="R97" s="18"/>
      </tp>
      <tp t="e">
        <v>#N/A</v>
        <stp/>
        <stp>BDH|1732412794302211915</stp>
        <tr r="T29" s="34"/>
      </tp>
      <tp t="e">
        <v>#N/A</v>
        <stp/>
        <stp>BDH|7665516151620583028</stp>
        <tr r="H13" s="5"/>
      </tp>
      <tp t="e">
        <v>#N/A</v>
        <stp/>
        <stp>BDH|9442657044615501913</stp>
        <tr r="G26" s="26"/>
      </tp>
      <tp t="e">
        <v>#N/A</v>
        <stp/>
        <stp>BDH|8118986212607822025</stp>
        <tr r="K46" s="34"/>
      </tp>
      <tp t="e">
        <v>#N/A</v>
        <stp/>
        <stp>BDH|9527944573509526968</stp>
        <tr r="D36" s="4"/>
      </tp>
      <tp t="e">
        <v>#N/A</v>
        <stp/>
        <stp>BDH|5367609203296859291</stp>
        <tr r="Y56" s="10"/>
        <tr r="Y45" s="11"/>
        <tr r="Y16" s="7"/>
      </tp>
      <tp t="e">
        <v>#N/A</v>
        <stp/>
        <stp>BDH|1915249255412909305</stp>
        <tr r="F103" s="18"/>
      </tp>
      <tp t="e">
        <v>#N/A</v>
        <stp/>
        <stp>BDH|6735447724452480520</stp>
        <tr r="N67" s="12"/>
      </tp>
      <tp t="e">
        <v>#N/A</v>
        <stp/>
        <stp>BDH|3521383439441580505</stp>
        <tr r="R21" s="17"/>
      </tp>
      <tp t="e">
        <v>#N/A</v>
        <stp/>
        <stp>BDH|2769318205410046626</stp>
        <tr r="J79" s="18"/>
      </tp>
      <tp t="e">
        <v>#N/A</v>
        <stp/>
        <stp>BDH|3502461230422675149</stp>
        <tr r="K16" s="29"/>
        <tr r="K39" s="29"/>
      </tp>
      <tp t="e">
        <v>#N/A</v>
        <stp/>
        <stp>BDH|5553586914044083280</stp>
        <tr r="H21" s="5"/>
      </tp>
      <tp t="e">
        <v>#N/A</v>
        <stp/>
        <stp>BDH|2955835282101839419</stp>
        <tr r="I58" s="18"/>
      </tp>
      <tp t="e">
        <v>#N/A</v>
        <stp/>
        <stp>BDH|1293720270917439158</stp>
        <tr r="D47" s="17"/>
      </tp>
      <tp t="e">
        <v>#N/A</v>
        <stp/>
        <stp>BDH|6329669164112229322</stp>
        <tr r="R36" s="29"/>
        <tr r="R13" s="29"/>
        <tr r="R22" s="29"/>
      </tp>
      <tp t="e">
        <v>#N/A</v>
        <stp/>
        <stp>BDH|5891422861642302297</stp>
        <tr r="P77" s="17"/>
      </tp>
      <tp t="e">
        <v>#N/A</v>
        <stp/>
        <stp>BDH|6532193715863106295</stp>
        <tr r="U159" s="18"/>
      </tp>
      <tp t="e">
        <v>#N/A</v>
        <stp/>
        <stp>BDH|7761723246620490367</stp>
        <tr r="G31" s="5"/>
      </tp>
      <tp t="e">
        <v>#N/A</v>
        <stp/>
        <stp>BDH|1044348452783307346</stp>
        <tr r="L11" s="6"/>
      </tp>
      <tp t="e">
        <v>#N/A</v>
        <stp/>
        <stp>BDH|5565044458913106497</stp>
        <tr r="G78" s="24"/>
      </tp>
      <tp t="e">
        <v>#N/A</v>
        <stp/>
        <stp>BDH|6181215027256734710</stp>
        <tr r="U21" s="10"/>
      </tp>
      <tp t="e">
        <v>#N/A</v>
        <stp/>
        <stp>BDH|3604625720786584606</stp>
        <tr r="D17" s="20"/>
      </tp>
      <tp t="e">
        <v>#N/A</v>
        <stp/>
        <stp>BDH|8273490320880807923</stp>
        <tr r="H16" s="6"/>
      </tp>
      <tp t="e">
        <v>#N/A</v>
        <stp/>
        <stp>BDH|6788277269520072581</stp>
        <tr r="I10" s="11"/>
      </tp>
      <tp t="e">
        <v>#N/A</v>
        <stp/>
        <stp>BDH|9727538666558396509</stp>
        <tr r="AA39" s="26"/>
      </tp>
      <tp t="e">
        <v>#N/A</v>
        <stp/>
        <stp>BDH|4761790941494681484</stp>
        <tr r="U38" s="26"/>
      </tp>
      <tp t="e">
        <v>#N/A</v>
        <stp/>
        <stp>BDH|3743148763502119106</stp>
        <tr r="P55" s="12"/>
      </tp>
      <tp t="e">
        <v>#N/A</v>
        <stp/>
        <stp>BDH|8766648932369488334</stp>
        <tr r="N83" s="18"/>
      </tp>
      <tp t="e">
        <v>#N/A</v>
        <stp/>
        <stp>BDH|3902040395629859462</stp>
        <tr r="Z11" s="17"/>
      </tp>
      <tp t="e">
        <v>#N/A</v>
        <stp/>
        <stp>BDH|3189158366056128552</stp>
        <tr r="C54" s="17"/>
        <tr r="C17" s="3"/>
      </tp>
      <tp t="e">
        <v>#N/A</v>
        <stp/>
        <stp>BDH|9899706659668789401</stp>
        <tr r="W41" s="22"/>
      </tp>
      <tp t="e">
        <v>#N/A</v>
        <stp/>
        <stp>BDH|9080085698790182772</stp>
        <tr r="U29" s="26"/>
      </tp>
      <tp t="e">
        <v>#N/A</v>
        <stp/>
        <stp>BDH|6225000146687642240</stp>
        <tr r="E20" s="26"/>
      </tp>
      <tp t="e">
        <v>#N/A</v>
        <stp/>
        <stp>BDH|4800802432219528191</stp>
        <tr r="X13" s="25"/>
      </tp>
      <tp t="e">
        <v>#N/A</v>
        <stp/>
        <stp>BDH|9263943804687116050</stp>
        <tr r="H30" s="34"/>
      </tp>
      <tp t="e">
        <v>#N/A</v>
        <stp/>
        <stp>BDH|6006047203509332823</stp>
        <tr r="I21" s="11"/>
      </tp>
      <tp t="e">
        <v>#N/A</v>
        <stp/>
        <stp>BDH|8902482395760610246</stp>
        <tr r="F18" s="17"/>
      </tp>
      <tp t="e">
        <v>#N/A</v>
        <stp/>
        <stp>BDH|2834247942246879503</stp>
        <tr r="T57" s="13"/>
        <tr r="R38" s="11"/>
        <tr r="R49" s="10"/>
        <tr r="R18" s="2"/>
        <tr r="R53" s="4"/>
      </tp>
      <tp t="e">
        <v>#N/A</v>
        <stp/>
        <stp>BDH|5340436651687710407</stp>
        <tr r="K78" s="18"/>
      </tp>
      <tp t="e">
        <v>#N/A</v>
        <stp/>
        <stp>BDH|3575810160339328314</stp>
        <tr r="M55" s="24"/>
      </tp>
      <tp t="e">
        <v>#N/A</v>
        <stp/>
        <stp>BDH|7391943390997493758</stp>
        <tr r="I87" s="12"/>
      </tp>
      <tp t="e">
        <v>#N/A</v>
        <stp/>
        <stp>BDH|3447815845678321057</stp>
        <tr r="P26" s="7"/>
      </tp>
      <tp t="e">
        <v>#N/A</v>
        <stp/>
        <stp>BDH|9756880398776607977</stp>
        <tr r="J70" s="24"/>
      </tp>
      <tp t="e">
        <v>#N/A</v>
        <stp/>
        <stp>BDH|9292219374069936286</stp>
        <tr r="S19" s="34"/>
      </tp>
      <tp t="e">
        <v>#N/A</v>
        <stp/>
        <stp>BDH|2723728213140180317</stp>
        <tr r="V37" s="13"/>
        <tr r="T30" s="10"/>
      </tp>
      <tp t="e">
        <v>#N/A</v>
        <stp/>
        <stp>BDH|9601061777850682975</stp>
        <tr r="E157" s="18"/>
      </tp>
      <tp t="e">
        <v>#N/A</v>
        <stp/>
        <stp>BDH|3722081970371046290</stp>
        <tr r="I53" s="21"/>
      </tp>
      <tp t="e">
        <v>#N/A</v>
        <stp/>
        <stp>BDH|9033732992001431136</stp>
        <tr r="W148" s="18"/>
      </tp>
      <tp t="e">
        <v>#N/A</v>
        <stp/>
        <stp>BDH|6162682680147900862</stp>
        <tr r="G79" s="18"/>
      </tp>
      <tp t="e">
        <v>#N/A</v>
        <stp/>
        <stp>BDH|4208272024124729706</stp>
        <tr r="J73" s="13"/>
        <tr r="H50" s="11"/>
        <tr r="H61" s="10"/>
        <tr r="H19" s="7"/>
        <tr r="H18" s="4"/>
        <tr r="H20" s="2"/>
      </tp>
      <tp t="e">
        <v>#N/A</v>
        <stp/>
        <stp>BDH|5887318389770592938</stp>
        <tr r="L13" s="7"/>
      </tp>
      <tp t="e">
        <v>#N/A</v>
        <stp/>
        <stp>BDH|2828602148194312356</stp>
        <tr r="U84" s="12"/>
      </tp>
      <tp t="e">
        <v>#N/A</v>
        <stp/>
        <stp>BDH|6270632243730062342</stp>
        <tr r="X17" s="13"/>
      </tp>
      <tp t="e">
        <v>#N/A</v>
        <stp/>
        <stp>BDH|2032956937846497902</stp>
        <tr r="L77" s="12"/>
      </tp>
      <tp t="e">
        <v>#N/A</v>
        <stp/>
        <stp>BDH|8406058132069116540</stp>
        <tr r="O16" s="20"/>
      </tp>
      <tp t="e">
        <v>#N/A</v>
        <stp/>
        <stp>BDH|3846892100895006977</stp>
        <tr r="V9" s="18"/>
      </tp>
      <tp t="e">
        <v>#N/A</v>
        <stp/>
        <stp>BDH|4837654778711693351</stp>
        <tr r="Q23" s="18"/>
      </tp>
      <tp t="e">
        <v>#N/A</v>
        <stp/>
        <stp>BDH|6186016971807260158</stp>
        <tr r="S19" s="13"/>
        <tr r="Q65" s="10"/>
        <tr r="Q32" s="4"/>
        <tr r="Q16" s="2"/>
      </tp>
      <tp t="e">
        <v>#N/A</v>
        <stp/>
        <stp>BDH|4336604797968119434</stp>
        <tr r="F10" s="11"/>
      </tp>
      <tp t="e">
        <v>#N/A</v>
        <stp/>
        <stp>BDH|7265665823935671176</stp>
        <tr r="N93" s="18"/>
      </tp>
      <tp t="e">
        <v>#N/A</v>
        <stp/>
        <stp>BDH|9234306195642305629</stp>
        <tr r="G27" s="26"/>
      </tp>
      <tp t="e">
        <v>#N/A</v>
        <stp/>
        <stp>BDH|1305625362241021758</stp>
        <tr r="M14" s="27"/>
        <tr r="M32" s="25"/>
      </tp>
      <tp t="e">
        <v>#N/A</v>
        <stp/>
        <stp>BDH|6313931332428702338</stp>
        <tr r="G64" s="24"/>
      </tp>
      <tp t="e">
        <v>#N/A</v>
        <stp/>
        <stp>BDH|2385617026460742153</stp>
        <tr r="D61" s="12"/>
      </tp>
      <tp t="e">
        <v>#N/A</v>
        <stp/>
        <stp>BDH|9519928729925091085</stp>
        <tr r="T158" s="18"/>
      </tp>
      <tp t="e">
        <v>#N/A</v>
        <stp/>
        <stp>BDH|1005908367351048813</stp>
        <tr r="D17" s="13"/>
      </tp>
      <tp t="e">
        <v>#N/A</v>
        <stp/>
        <stp>BDH|8242167130449589470</stp>
        <tr r="Z68" s="13"/>
      </tp>
      <tp t="e">
        <v>#N/A</v>
        <stp/>
        <stp>BDH|1916340561152389197</stp>
        <tr r="R52" s="12"/>
      </tp>
      <tp t="e">
        <v>#N/A</v>
        <stp/>
        <stp>BDH|2088004214463268700</stp>
        <tr r="M49" s="12"/>
      </tp>
      <tp t="e">
        <v>#N/A</v>
        <stp/>
        <stp>BDH|1983559429422426379</stp>
        <tr r="P27" s="7"/>
      </tp>
      <tp t="e">
        <v>#N/A</v>
        <stp/>
        <stp>BDH|3639343402901381640</stp>
        <tr r="E23" s="9"/>
      </tp>
      <tp t="e">
        <v>#N/A</v>
        <stp/>
        <stp>BDH|2119288548843765016</stp>
        <tr r="U15" s="11"/>
      </tp>
      <tp t="e">
        <v>#N/A</v>
        <stp/>
        <stp>BDH|7690474398214864969</stp>
        <tr r="W17" s="28"/>
        <tr r="W14" s="17"/>
      </tp>
      <tp t="e">
        <v>#N/A</v>
        <stp/>
        <stp>BDH|3472243357770374334</stp>
        <tr r="AA65" s="12"/>
      </tp>
      <tp t="e">
        <v>#N/A</v>
        <stp/>
        <stp>BDH|7673190819842861299</stp>
        <tr r="N133" s="18"/>
      </tp>
      <tp t="e">
        <v>#N/A</v>
        <stp/>
        <stp>BDH|7336293503330828261</stp>
        <tr r="P61" s="13"/>
      </tp>
      <tp t="e">
        <v>#N/A</v>
        <stp/>
        <stp>BDH|8366102831529595408</stp>
        <tr r="R76" s="10"/>
        <tr r="R65" s="11"/>
      </tp>
      <tp t="e">
        <v>#N/A</v>
        <stp/>
        <stp>BDH|7905361255514846253</stp>
        <tr r="W10" s="34"/>
      </tp>
      <tp t="e">
        <v>#N/A</v>
        <stp/>
        <stp>BDH|6043926434763268830</stp>
        <tr r="P77" s="12"/>
      </tp>
      <tp t="e">
        <v>#N/A</v>
        <stp/>
        <stp>BDH|5018640240353535362</stp>
        <tr r="C72" s="24"/>
      </tp>
      <tp t="e">
        <v>#N/A</v>
        <stp/>
        <stp>BDH|3133709164005117039</stp>
        <tr r="T140" s="18"/>
      </tp>
      <tp t="e">
        <v>#N/A</v>
        <stp/>
        <stp>BDH|5513448649413965169</stp>
        <tr r="D12" s="27"/>
        <tr r="D30" s="25"/>
      </tp>
      <tp t="e">
        <v>#N/A</v>
        <stp/>
        <stp>BDH|5606043763601322555</stp>
        <tr r="O67" s="18"/>
      </tp>
      <tp t="e">
        <v>#N/A</v>
        <stp/>
        <stp>BDH|7409228714833577005</stp>
        <tr r="K18" s="6"/>
      </tp>
      <tp t="e">
        <v>#N/A</v>
        <stp/>
        <stp>BDH|1546874300926781824</stp>
        <tr r="N105" s="18"/>
      </tp>
      <tp t="e">
        <v>#N/A</v>
        <stp/>
        <stp>BDH|5812513824453869625</stp>
        <tr r="U13" s="21"/>
      </tp>
      <tp t="e">
        <v>#N/A</v>
        <stp/>
        <stp>BDH|7514874385940799070</stp>
        <tr r="Z87" s="12"/>
      </tp>
      <tp t="e">
        <v>#N/A</v>
        <stp/>
        <stp>BDH|9582676586838172825</stp>
        <tr r="X139" s="18"/>
      </tp>
      <tp t="e">
        <v>#N/A</v>
        <stp/>
        <stp>BDH|9716892735441473484</stp>
        <tr r="N43" s="22"/>
      </tp>
      <tp t="e">
        <v>#N/A</v>
        <stp/>
        <stp>BDH|7960494745244522475</stp>
        <tr r="W13" s="25"/>
      </tp>
      <tp t="e">
        <v>#N/A</v>
        <stp/>
        <stp>BDH|2398845227609347649</stp>
        <tr r="F32" s="12"/>
      </tp>
      <tp t="e">
        <v>#N/A</v>
        <stp/>
        <stp>BDH|7253248332867759647</stp>
        <tr r="N16" s="11"/>
      </tp>
      <tp t="e">
        <v>#N/A</v>
        <stp/>
        <stp>BDH|2877214271680964064</stp>
        <tr r="Y86" s="17"/>
      </tp>
      <tp t="e">
        <v>#N/A</v>
        <stp/>
        <stp>BDH|2854562409628817886</stp>
        <tr r="W9" s="28"/>
      </tp>
      <tp t="e">
        <v>#N/A</v>
        <stp/>
        <stp>BDH|3138371497038748610</stp>
        <tr r="W33" s="21"/>
      </tp>
      <tp t="e">
        <v>#N/A</v>
        <stp/>
        <stp>BDH|8834935523576728288</stp>
        <tr r="O105" s="18"/>
      </tp>
      <tp t="e">
        <v>#N/A</v>
        <stp/>
        <stp>BDH|2239440471341503759</stp>
        <tr r="T110" s="18"/>
      </tp>
      <tp t="e">
        <v>#N/A</v>
        <stp/>
        <stp>BDH|3674035746132032248</stp>
        <tr r="H94" s="18"/>
      </tp>
      <tp t="e">
        <v>#N/A</v>
        <stp/>
        <stp>BDH|8147899416295147383</stp>
        <tr r="K80" s="18"/>
      </tp>
      <tp t="e">
        <v>#N/A</v>
        <stp/>
        <stp>BDH|9922286095187194224</stp>
        <tr r="K58" s="24"/>
      </tp>
      <tp t="e">
        <v>#N/A</v>
        <stp/>
        <stp>BDH|8787383998741215425</stp>
        <tr r="V41" s="34"/>
      </tp>
      <tp t="e">
        <v>#N/A</v>
        <stp/>
        <stp>BDH|9027926707834708354</stp>
        <tr r="Z34" s="17"/>
      </tp>
      <tp t="e">
        <v>#N/A</v>
        <stp/>
        <stp>BDH|9833629419400352971</stp>
        <tr r="S28" s="6"/>
      </tp>
      <tp t="e">
        <v>#N/A</v>
        <stp/>
        <stp>BDH|5460709323876699164</stp>
        <tr r="H27" s="22"/>
      </tp>
      <tp t="e">
        <v>#N/A</v>
        <stp/>
        <stp>BDH|8918792397122712379</stp>
        <tr r="V10" s="23"/>
      </tp>
      <tp t="e">
        <v>#N/A</v>
        <stp/>
        <stp>BDH|4199474909506909115</stp>
        <tr r="S26" s="6"/>
      </tp>
      <tp t="e">
        <v>#N/A</v>
        <stp/>
        <stp>BDH|3264800455268511159</stp>
        <tr r="C33" s="18"/>
      </tp>
      <tp t="e">
        <v>#N/A</v>
        <stp/>
        <stp>BDH|7803084257243297620</stp>
        <tr r="W39" s="24"/>
      </tp>
      <tp t="e">
        <v>#N/A</v>
        <stp/>
        <stp>BDH|7887324715107114592</stp>
        <tr r="M34" s="12"/>
      </tp>
      <tp t="e">
        <v>#N/A</v>
        <stp/>
        <stp>BDH|4860979488244800683</stp>
        <tr r="S73" s="17"/>
      </tp>
      <tp t="e">
        <v>#N/A</v>
        <stp/>
        <stp>BDH|4375181138132106359</stp>
        <tr r="T12" s="7"/>
      </tp>
      <tp t="e">
        <v>#N/A</v>
        <stp/>
        <stp>BDH|3449611151451572668</stp>
        <tr r="R166" s="18"/>
      </tp>
      <tp t="e">
        <v>#N/A</v>
        <stp/>
        <stp>BDH|8761976784726668860</stp>
        <tr r="G100" s="18"/>
      </tp>
      <tp t="e">
        <v>#N/A</v>
        <stp/>
        <stp>BDH|6131116643491695519</stp>
        <tr r="T144" s="18"/>
      </tp>
      <tp t="e">
        <v>#N/A</v>
        <stp/>
        <stp>BDH|1116571344452601504</stp>
        <tr r="X18" s="27"/>
        <tr r="X36" s="25"/>
      </tp>
      <tp t="e">
        <v>#N/A</v>
        <stp/>
        <stp>BDH|7558437052025930491</stp>
        <tr r="J58" s="10"/>
        <tr r="J47" s="11"/>
        <tr r="J7" s="7"/>
        <tr r="L12" s="3"/>
      </tp>
      <tp t="e">
        <v>#N/A</v>
        <stp/>
        <stp>BDH|3034744338508931812</stp>
        <tr r="M77" s="12"/>
      </tp>
      <tp t="e">
        <v>#N/A</v>
        <stp/>
        <stp>BDH|2285728626584377411</stp>
        <tr r="Z47" s="17"/>
      </tp>
      <tp t="e">
        <v>#N/A</v>
        <stp/>
        <stp>BDH|5716303841370667544</stp>
        <tr r="Z29" s="14"/>
      </tp>
      <tp t="e">
        <v>#N/A</v>
        <stp/>
        <stp>BDH|7973573078447749557</stp>
        <tr r="G15" s="22"/>
      </tp>
      <tp t="e">
        <v>#N/A</v>
        <stp/>
        <stp>BDH|1225819555493396815</stp>
        <tr r="S18" s="17"/>
      </tp>
      <tp t="e">
        <v>#N/A</v>
        <stp/>
        <stp>BDH|3157585803391616080</stp>
        <tr r="AA41" s="13"/>
        <tr r="Y23" s="10"/>
        <tr r="Y46" s="4"/>
      </tp>
      <tp t="e">
        <v>#N/A</v>
        <stp/>
        <stp>BDH|8451655225132120911</stp>
        <tr r="M16" s="6"/>
      </tp>
      <tp t="e">
        <v>#N/A</v>
        <stp/>
        <stp>BDH|9991618594574132595</stp>
        <tr r="G37" s="17"/>
      </tp>
      <tp t="e">
        <v>#N/A</v>
        <stp/>
        <stp>BDH|6752203106432419111</stp>
        <tr r="Y55" s="24"/>
      </tp>
      <tp t="e">
        <v>#N/A</v>
        <stp/>
        <stp>BDH|8178056522044306914</stp>
        <tr r="M27" s="26"/>
      </tp>
      <tp t="e">
        <v>#N/A</v>
        <stp/>
        <stp>BDH|6383615440146385550</stp>
        <tr r="F7" s="6"/>
      </tp>
      <tp t="e">
        <v>#N/A</v>
        <stp/>
        <stp>BDH|3333802795201139434</stp>
        <tr r="K9" s="13"/>
      </tp>
      <tp t="e">
        <v>#N/A</v>
        <stp/>
        <stp>BDH|2178133360311702313</stp>
        <tr r="W53" s="21"/>
      </tp>
      <tp t="e">
        <v>#N/A</v>
        <stp/>
        <stp>BDH|8086967628833316791</stp>
        <tr r="M156" s="18"/>
      </tp>
      <tp t="e">
        <v>#N/A</v>
        <stp/>
        <stp>BDH|9563392404865922859</stp>
        <tr r="J42" s="34"/>
      </tp>
      <tp t="e">
        <v>#N/A</v>
        <stp/>
        <stp>BDH|5457139536020237079</stp>
        <tr r="Q6" s="20"/>
        <tr r="Q112" s="18"/>
      </tp>
      <tp t="e">
        <v>#N/A</v>
        <stp/>
        <stp>BDH|7897187334640493247</stp>
        <tr r="X13" s="20"/>
        <tr r="X118" s="18"/>
      </tp>
      <tp t="e">
        <v>#N/A</v>
        <stp/>
        <stp>BDH|8331344533529805684</stp>
        <tr r="E80" s="17"/>
      </tp>
      <tp t="e">
        <v>#N/A</v>
        <stp/>
        <stp>BDH|5797399232136029485</stp>
        <tr r="R15" s="30"/>
      </tp>
      <tp t="e">
        <v>#N/A</v>
        <stp/>
        <stp>BDH|3379609426876843694</stp>
        <tr r="X24" s="26"/>
      </tp>
      <tp t="e">
        <v>#N/A</v>
        <stp/>
        <stp>BDH|4400535836434672130</stp>
        <tr r="H38" s="22"/>
      </tp>
      <tp t="e">
        <v>#N/A</v>
        <stp/>
        <stp>BDH|2266111760555483733</stp>
        <tr r="M14" s="23"/>
      </tp>
      <tp t="e">
        <v>#N/A</v>
        <stp/>
        <stp>BDH|7488507705285239077</stp>
        <tr r="E14" s="12"/>
      </tp>
      <tp t="e">
        <v>#N/A</v>
        <stp/>
        <stp>BDH|1692229806212592632</stp>
        <tr r="T21" s="17"/>
      </tp>
      <tp t="e">
        <v>#N/A</v>
        <stp/>
        <stp>BDH|3392621243587731117</stp>
        <tr r="H46" s="17"/>
      </tp>
      <tp t="e">
        <v>#N/A</v>
        <stp/>
        <stp>BDH|7885087925144632674</stp>
        <tr r="U89" s="18"/>
      </tp>
      <tp t="e">
        <v>#N/A</v>
        <stp/>
        <stp>BDH|5973695167974542667</stp>
        <tr r="P34" s="13"/>
        <tr r="N27" s="10"/>
      </tp>
      <tp t="e">
        <v>#N/A</v>
        <stp/>
        <stp>BDH|5359672106875046163</stp>
        <tr r="O11" s="30"/>
      </tp>
      <tp t="e">
        <v>#N/A</v>
        <stp/>
        <stp>BDH|9750541704163775848</stp>
        <tr r="D6" s="8"/>
      </tp>
      <tp t="e">
        <v>#N/A</v>
        <stp/>
        <stp>BDH|8202728695085219433</stp>
        <tr r="I13" s="24"/>
      </tp>
      <tp t="e">
        <v>#N/A</v>
        <stp/>
        <stp>BDH|1232958695725107376</stp>
        <tr r="C67" s="10"/>
      </tp>
      <tp t="e">
        <v>#N/A</v>
        <stp/>
        <stp>BDH|7372192307622180381</stp>
        <tr r="G56" s="12"/>
      </tp>
      <tp t="e">
        <v>#N/A</v>
        <stp/>
        <stp>BDH|2298834043241120877</stp>
        <tr r="E6" s="28"/>
      </tp>
      <tp t="e">
        <v>#N/A</v>
        <stp/>
        <stp>BDH|4137947952936330904</stp>
        <tr r="Q18" s="25"/>
      </tp>
      <tp t="e">
        <v>#N/A</v>
        <stp/>
        <stp>BDH|7684215303964799677</stp>
        <tr r="J8" s="27"/>
      </tp>
      <tp t="e">
        <v>#N/A</v>
        <stp/>
        <stp>BDH|1553411827178066879</stp>
        <tr r="E13" s="2"/>
      </tp>
      <tp t="e">
        <v>#N/A</v>
        <stp/>
        <stp>BDH|9724158705839295616</stp>
        <tr r="E140" s="18"/>
      </tp>
      <tp t="e">
        <v>#N/A</v>
        <stp/>
        <stp>BDH|3016391078079790924</stp>
        <tr r="H18" s="22"/>
      </tp>
      <tp t="e">
        <v>#N/A</v>
        <stp/>
        <stp>BDH|1223318923833185457</stp>
        <tr r="I41" s="18"/>
      </tp>
      <tp t="e">
        <v>#N/A</v>
        <stp/>
        <stp>BDH|3599658681632732829</stp>
        <tr r="N10" s="10"/>
      </tp>
      <tp t="e">
        <v>#N/A</v>
        <stp/>
        <stp>BDH|1773767105931347031</stp>
        <tr r="T11" s="22"/>
      </tp>
      <tp t="e">
        <v>#N/A</v>
        <stp/>
        <stp>BDH|6938288659697886149</stp>
        <tr r="R27" s="21"/>
      </tp>
      <tp t="e">
        <v>#N/A</v>
        <stp/>
        <stp>BDH|4869694554696606678</stp>
        <tr r="R48" s="6"/>
      </tp>
      <tp t="e">
        <v>#N/A</v>
        <stp/>
        <stp>BDH|7246699619390203742</stp>
        <tr r="S15" s="10"/>
      </tp>
      <tp t="e">
        <v>#N/A</v>
        <stp/>
        <stp>BDH|1461501112232527078</stp>
        <tr r="Z44" s="18"/>
      </tp>
      <tp t="e">
        <v>#N/A</v>
        <stp/>
        <stp>BDH|7456752660974556504</stp>
        <tr r="L59" s="12"/>
      </tp>
      <tp t="e">
        <v>#N/A</v>
        <stp/>
        <stp>BDH|6840279479523454762</stp>
        <tr r="T8" s="28"/>
      </tp>
      <tp t="e">
        <v>#N/A</v>
        <stp/>
        <stp>BDH|2419011373061793356</stp>
        <tr r="Z24" s="12"/>
      </tp>
      <tp t="e">
        <v>#N/A</v>
        <stp/>
        <stp>BDH|1680226946170796019</stp>
        <tr r="I23" s="30"/>
        <tr r="I25" s="23"/>
      </tp>
      <tp t="e">
        <v>#N/A</v>
        <stp/>
        <stp>BDH|3493733906694225770</stp>
        <tr r="W10" s="13"/>
      </tp>
      <tp t="e">
        <v>#N/A</v>
        <stp/>
        <stp>BDH|6896331069346642201</stp>
        <tr r="M7" s="28"/>
      </tp>
      <tp t="e">
        <v>#N/A</v>
        <stp/>
        <stp>BDH|7861768728392141737</stp>
        <tr r="C74" s="17"/>
      </tp>
      <tp t="e">
        <v>#N/A</v>
        <stp/>
        <stp>BDH|8244876626617199263</stp>
        <tr r="R136" s="18"/>
      </tp>
      <tp t="e">
        <v>#N/A</v>
        <stp/>
        <stp>BDH|9448011921109205535</stp>
        <tr r="M8" s="17"/>
      </tp>
      <tp t="e">
        <v>#N/A</v>
        <stp/>
        <stp>BDH|4774368975087682076</stp>
        <tr r="I13" s="27"/>
        <tr r="I31" s="25"/>
      </tp>
      <tp t="e">
        <v>#N/A</v>
        <stp/>
        <stp>BDH|5169460671587318603</stp>
        <tr r="F39" s="18"/>
      </tp>
      <tp t="e">
        <v>#N/A</v>
        <stp/>
        <stp>BDH|5475349177985128335</stp>
        <tr r="C81" s="18"/>
      </tp>
      <tp t="e">
        <v>#N/A</v>
        <stp/>
        <stp>BDH|1694853451979532220</stp>
        <tr r="P13" s="5"/>
      </tp>
      <tp t="e">
        <v>#N/A</v>
        <stp/>
        <stp>BDH|3043127265084317712</stp>
        <tr r="G23" s="22"/>
      </tp>
      <tp t="e">
        <v>#N/A</v>
        <stp/>
        <stp>BDH|4688975697260373308</stp>
        <tr r="H48" s="17"/>
      </tp>
      <tp t="e">
        <v>#N/A</v>
        <stp/>
        <stp>BDH|5724430154763725024</stp>
        <tr r="G85" s="17"/>
      </tp>
      <tp t="e">
        <v>#N/A</v>
        <stp/>
        <stp>BDH|7170458521867330137</stp>
        <tr r="J72" s="24"/>
      </tp>
      <tp t="e">
        <v>#N/A</v>
        <stp/>
        <stp>BDH|2914567999411355804</stp>
        <tr r="R50" s="34"/>
      </tp>
      <tp t="e">
        <v>#N/A</v>
        <stp/>
        <stp>BDH|4780438921235643065</stp>
        <tr r="S24" s="22"/>
      </tp>
      <tp t="e">
        <v>#N/A</v>
        <stp/>
        <stp>BDH|4828398155957888299</stp>
        <tr r="P9" s="21"/>
      </tp>
      <tp t="e">
        <v>#N/A</v>
        <stp/>
        <stp>BDH|3576753464256961382</stp>
        <tr r="U47" s="17"/>
      </tp>
      <tp t="e">
        <v>#N/A</v>
        <stp/>
        <stp>BDH|8422879372663571318</stp>
        <tr r="I6" s="16"/>
        <tr r="J6" s="11"/>
        <tr r="J10" s="4"/>
        <tr r="L6" s="3"/>
      </tp>
      <tp t="e">
        <v>#N/A</v>
        <stp/>
        <stp>BDH|9789831507246489021</stp>
        <tr r="AA8" s="24"/>
      </tp>
      <tp t="e">
        <v>#N/A</v>
        <stp/>
        <stp>BDH|6965092542447036271</stp>
        <tr r="X29" s="21"/>
      </tp>
      <tp t="e">
        <v>#N/A</v>
        <stp/>
        <stp>BDH|4508048594029482342</stp>
        <tr r="K71" s="10"/>
      </tp>
      <tp t="e">
        <v>#N/A</v>
        <stp/>
        <stp>BDH|7849472480724212882</stp>
        <tr r="O33" s="13"/>
        <tr r="M26" s="10"/>
      </tp>
      <tp t="e">
        <v>#N/A</v>
        <stp/>
        <stp>BDH|3593315369036905719</stp>
        <tr r="Y10" s="22"/>
      </tp>
      <tp t="e">
        <v>#N/A</v>
        <stp/>
        <stp>BDH|8334491726448811112</stp>
        <tr r="X18" s="17"/>
      </tp>
      <tp t="e">
        <v>#N/A</v>
        <stp/>
        <stp>BDH|5163762659611815136</stp>
        <tr r="AA50" s="17"/>
      </tp>
      <tp t="e">
        <v>#N/A</v>
        <stp/>
        <stp>BDH|3846497875497652076</stp>
        <tr r="O22" s="25"/>
      </tp>
      <tp t="e">
        <v>#N/A</v>
        <stp/>
        <stp>BDH|1255559682909664267</stp>
        <tr r="K21" s="22"/>
      </tp>
      <tp t="e">
        <v>#N/A</v>
        <stp/>
        <stp>BDH|6477916485414407412</stp>
        <tr r="T34" s="12"/>
      </tp>
      <tp t="e">
        <v>#N/A</v>
        <stp/>
        <stp>BDH|8541214987726476327</stp>
        <tr r="D45" s="17"/>
      </tp>
      <tp t="e">
        <v>#N/A</v>
        <stp/>
        <stp>BDH|3331828711279078459</stp>
        <tr r="R73" s="18"/>
      </tp>
      <tp t="e">
        <v>#N/A</v>
        <stp/>
        <stp>BDH|1559712925581502215</stp>
        <tr r="Z15" s="21"/>
      </tp>
      <tp t="e">
        <v>#N/A</v>
        <stp/>
        <stp>BDH|7139223267233513744</stp>
        <tr r="H16" s="24"/>
      </tp>
      <tp t="e">
        <v>#N/A</v>
        <stp/>
        <stp>BDH|1304364609072802712</stp>
        <tr r="Q12" s="7"/>
      </tp>
      <tp t="e">
        <v>#N/A</v>
        <stp/>
        <stp>BDH|9761851512934517309</stp>
        <tr r="S8" s="25"/>
        <tr r="Q9" s="2"/>
        <tr r="P10" s="5"/>
      </tp>
      <tp t="e">
        <v>#N/A</v>
        <stp/>
        <stp>BDH|3919114357983367393</stp>
        <tr r="Y16" s="23"/>
      </tp>
      <tp t="e">
        <v>#N/A</v>
        <stp/>
        <stp>BDH|5199237965552147436</stp>
        <tr r="Y96" s="17"/>
      </tp>
      <tp t="e">
        <v>#N/A</v>
        <stp/>
        <stp>BDH|2543491523727988433</stp>
        <tr r="O41" s="18"/>
      </tp>
      <tp t="e">
        <v>#N/A</v>
        <stp/>
        <stp>BDH|3649831381206470258</stp>
        <tr r="AA63" s="17"/>
      </tp>
      <tp t="e">
        <v>#N/A</v>
        <stp/>
        <stp>BDH|3253047442857267737</stp>
        <tr r="E43" s="21"/>
      </tp>
      <tp t="e">
        <v>#N/A</v>
        <stp/>
        <stp>BDH|5402429223441645562</stp>
        <tr r="N8" s="8"/>
      </tp>
      <tp t="e">
        <v>#N/A</v>
        <stp/>
        <stp>BDH|5202704503651118458</stp>
        <tr r="G15" s="21"/>
      </tp>
      <tp t="e">
        <v>#N/A</v>
        <stp/>
        <stp>BDH|1088841575421619826</stp>
        <tr r="T61" s="12"/>
      </tp>
      <tp t="e">
        <v>#N/A</v>
        <stp/>
        <stp>BDH|9200011672731731838</stp>
        <tr r="T53" s="24"/>
      </tp>
      <tp t="e">
        <v>#N/A</v>
        <stp/>
        <stp>BDH|6989660281027208895</stp>
        <tr r="P27" s="26"/>
      </tp>
      <tp t="e">
        <v>#N/A</v>
        <stp/>
        <stp>BDH|8505230693035551158</stp>
        <tr r="N13" s="2"/>
      </tp>
      <tp t="e">
        <v>#N/A</v>
        <stp/>
        <stp>BDH|1076469764504533025</stp>
        <tr r="U18" s="10"/>
      </tp>
      <tp t="e">
        <v>#N/A</v>
        <stp/>
        <stp>BDH|6359634145220870389</stp>
        <tr r="R7" s="4"/>
      </tp>
      <tp t="e">
        <v>#N/A</v>
        <stp/>
        <stp>BDH|6689772761370242070</stp>
        <tr r="T79" s="18"/>
      </tp>
      <tp t="e">
        <v>#N/A</v>
        <stp/>
        <stp>BDH|6310975267047783910</stp>
        <tr r="Q24" s="5"/>
      </tp>
      <tp t="e">
        <v>#N/A</v>
        <stp/>
        <stp>BDH|1731904006709291665</stp>
        <tr r="T15" s="4"/>
      </tp>
      <tp t="e">
        <v>#N/A</v>
        <stp/>
        <stp>BDH|8542791116859937062</stp>
        <tr r="M38" s="25"/>
        <tr r="M92" s="17"/>
      </tp>
      <tp t="e">
        <v>#N/A</v>
        <stp/>
        <stp>BDH|6151962992785074408</stp>
        <tr r="X9" s="22"/>
      </tp>
      <tp t="e">
        <v>#N/A</v>
        <stp/>
        <stp>BDH|7354691289239080761</stp>
        <tr r="Y165" s="18"/>
      </tp>
      <tp t="e">
        <v>#N/A</v>
        <stp/>
        <stp>BDH|4971671758840490078</stp>
        <tr r="D8" s="13"/>
      </tp>
      <tp t="e">
        <v>#N/A</v>
        <stp/>
        <stp>BDH|2789104350855727459</stp>
        <tr r="AA48" s="21"/>
      </tp>
      <tp t="e">
        <v>#N/A</v>
        <stp/>
        <stp>BDH|3187745021163907282</stp>
        <tr r="Y72" s="18"/>
      </tp>
      <tp t="e">
        <v>#N/A</v>
        <stp/>
        <stp>BDH|2985494654013255737</stp>
        <tr r="N64" s="21"/>
        <tr r="L23" s="7"/>
      </tp>
      <tp t="e">
        <v>#N/A</v>
        <stp/>
        <stp>BDH|8127313055961440842</stp>
        <tr r="G77" s="18"/>
      </tp>
      <tp t="e">
        <v>#N/A</v>
        <stp/>
        <stp>BDH|3138582942210642589</stp>
        <tr r="Y20" s="29"/>
      </tp>
      <tp t="e">
        <v>#N/A</v>
        <stp/>
        <stp>BDH|5704378501217332677</stp>
        <tr r="F91" s="12"/>
      </tp>
      <tp t="e">
        <v>#N/A</v>
        <stp/>
        <stp>BDH|2120217906624081335</stp>
        <tr r="M110" s="18"/>
      </tp>
      <tp t="e">
        <v>#N/A</v>
        <stp/>
        <stp>BDH|36417173511499802</stp>
        <tr r="L50" s="34"/>
      </tp>
      <tp t="e">
        <v>#N/A</v>
        <stp/>
        <stp>BDH|69594379361507954</stp>
        <tr r="C19" s="9"/>
      </tp>
      <tp t="e">
        <v>#N/A</v>
        <stp/>
        <stp>BDH|74595320105290857</stp>
        <tr r="F47" s="34"/>
      </tp>
      <tp t="e">
        <v>#N/A</v>
        <stp/>
        <stp>BDH|1736435046370127196</stp>
        <tr r="L10" s="13"/>
      </tp>
      <tp t="e">
        <v>#N/A</v>
        <stp/>
        <stp>BDH|3692388462121193778</stp>
        <tr r="D138" s="18"/>
      </tp>
      <tp t="e">
        <v>#N/A</v>
        <stp/>
        <stp>BDH|7978206416333255776</stp>
        <tr r="M7" s="4"/>
      </tp>
      <tp t="e">
        <v>#N/A</v>
        <stp/>
        <stp>BDH|2614104305837181485</stp>
        <tr r="U31" s="9"/>
      </tp>
      <tp t="e">
        <v>#N/A</v>
        <stp/>
        <stp>BDH|3385466757414033689</stp>
        <tr r="W68" s="13"/>
      </tp>
      <tp t="e">
        <v>#N/A</v>
        <stp/>
        <stp>BDH|7142018910523211588</stp>
        <tr r="I85" s="12"/>
      </tp>
      <tp t="e">
        <v>#N/A</v>
        <stp/>
        <stp>BDH|3124243921013869064</stp>
        <tr r="H98" s="12"/>
      </tp>
      <tp t="e">
        <v>#N/A</v>
        <stp/>
        <stp>BDH|1566014433594434697</stp>
        <tr r="E31" s="9"/>
      </tp>
      <tp t="e">
        <v>#N/A</v>
        <stp/>
        <stp>BDH|4235973295901288582</stp>
        <tr r="Q77" s="24"/>
      </tp>
      <tp t="e">
        <v>#N/A</v>
        <stp/>
        <stp>BDH|4842349920873127674</stp>
        <tr r="U123" s="18"/>
      </tp>
      <tp t="e">
        <v>#N/A</v>
        <stp/>
        <stp>BDH|8867192222178166381</stp>
        <tr r="Y46" s="24"/>
      </tp>
      <tp t="e">
        <v>#N/A</v>
        <stp/>
        <stp>BDH|2859905324031233841</stp>
        <tr r="AA6" s="20"/>
        <tr r="AA112" s="18"/>
      </tp>
      <tp t="e">
        <v>#N/A</v>
        <stp/>
        <stp>BDH|6051227376512927171</stp>
        <tr r="J50" s="12"/>
      </tp>
      <tp t="e">
        <v>#N/A</v>
        <stp/>
        <stp>BDH|2954380479545334317</stp>
        <tr r="P26" s="18"/>
      </tp>
      <tp t="e">
        <v>#N/A</v>
        <stp/>
        <stp>BDH|7745595935570505140</stp>
        <tr r="K74" s="17"/>
      </tp>
      <tp t="e">
        <v>#N/A</v>
        <stp/>
        <stp>BDH|4574176418015434145</stp>
        <tr r="W19" s="13"/>
        <tr r="U65" s="10"/>
        <tr r="U16" s="2"/>
        <tr r="U32" s="4"/>
      </tp>
      <tp t="e">
        <v>#N/A</v>
        <stp/>
        <stp>BDH|8321977218404164470</stp>
        <tr r="G87" s="18"/>
      </tp>
      <tp t="e">
        <v>#N/A</v>
        <stp/>
        <stp>BDH|5066388207906105040</stp>
        <tr r="R17" s="6"/>
      </tp>
      <tp t="e">
        <v>#N/A</v>
        <stp/>
        <stp>BDH|9296719213427350897</stp>
        <tr r="M47" s="11"/>
        <tr r="M58" s="10"/>
        <tr r="M7" s="7"/>
        <tr r="O12" s="3"/>
      </tp>
      <tp t="e">
        <v>#N/A</v>
        <stp/>
        <stp>BDH|5569425339350663220</stp>
        <tr r="V68" s="24"/>
      </tp>
      <tp t="e">
        <v>#N/A</v>
        <stp/>
        <stp>BDH|3242060818942086063</stp>
        <tr r="F13" s="21"/>
      </tp>
      <tp t="e">
        <v>#N/A</v>
        <stp/>
        <stp>BDH|2344497276973432220</stp>
        <tr r="Z36" s="25"/>
        <tr r="Z18" s="27"/>
      </tp>
      <tp t="e">
        <v>#N/A</v>
        <stp/>
        <stp>BDH|4551278169158528847</stp>
        <tr r="X31" s="11"/>
        <tr r="X42" s="10"/>
      </tp>
      <tp t="e">
        <v>#N/A</v>
        <stp/>
        <stp>BDH|8527896221006394445</stp>
        <tr r="M41" s="22"/>
      </tp>
      <tp t="e">
        <v>#N/A</v>
        <stp/>
        <stp>BDH|6193131398059338733</stp>
        <tr r="P56" s="24"/>
      </tp>
      <tp t="e">
        <v>#N/A</v>
        <stp/>
        <stp>BDH|6878575410283509108</stp>
        <tr r="AA19" s="28"/>
        <tr r="AA16" s="17"/>
      </tp>
      <tp t="e">
        <v>#N/A</v>
        <stp/>
        <stp>BDH|2821514535892712617</stp>
        <tr r="Z84" s="18"/>
      </tp>
      <tp t="e">
        <v>#N/A</v>
        <stp/>
        <stp>BDH|5526315347230087296</stp>
        <tr r="O39" s="11"/>
        <tr r="O50" s="10"/>
      </tp>
      <tp t="e">
        <v>#N/A</v>
        <stp/>
        <stp>BDH|8981903037270767234</stp>
        <tr r="P26" s="21"/>
      </tp>
      <tp t="e">
        <v>#N/A</v>
        <stp/>
        <stp>BDH|2464873408969644373</stp>
        <tr r="L35" s="12"/>
      </tp>
      <tp t="e">
        <v>#N/A</v>
        <stp/>
        <stp>BDH|6965429828824082495</stp>
        <tr r="E17" s="9"/>
      </tp>
      <tp t="e">
        <v>#N/A</v>
        <stp/>
        <stp>BDH|9873108796742608322</stp>
        <tr r="W69" s="12"/>
      </tp>
      <tp t="e">
        <v>#N/A</v>
        <stp/>
        <stp>BDH|1146053369075389245</stp>
        <tr r="Q62" s="17"/>
      </tp>
      <tp t="e">
        <v>#N/A</v>
        <stp/>
        <stp>BDH|6700640990308996107</stp>
        <tr r="Q46" s="18"/>
      </tp>
      <tp t="e">
        <v>#N/A</v>
        <stp/>
        <stp>BDH|2415501573174955448</stp>
        <tr r="I79" s="17"/>
        <tr r="I19" s="3"/>
      </tp>
      <tp t="e">
        <v>#N/A</v>
        <stp/>
        <stp>BDH|7965178764489232925</stp>
        <tr r="R22" s="21"/>
      </tp>
      <tp t="e">
        <v>#N/A</v>
        <stp/>
        <stp>BDH|8601197389284891543</stp>
        <tr r="AA9" s="25"/>
        <tr r="AA44" s="17"/>
      </tp>
      <tp t="e">
        <v>#N/A</v>
        <stp/>
        <stp>BDH|4420602501221693395</stp>
        <tr r="F32" s="11"/>
        <tr r="F43" s="10"/>
      </tp>
      <tp t="e">
        <v>#N/A</v>
        <stp/>
        <stp>BDH|8890122722402392918</stp>
        <tr r="D66" s="10"/>
      </tp>
      <tp t="e">
        <v>#N/A</v>
        <stp/>
        <stp>BDH|9967868444665032015</stp>
        <tr r="P22" s="22"/>
      </tp>
      <tp t="e">
        <v>#N/A</v>
        <stp/>
        <stp>BDH|3256425021317911233</stp>
        <tr r="X70" s="24"/>
      </tp>
      <tp t="e">
        <v>#N/A</v>
        <stp/>
        <stp>BDH|8086089925182620803</stp>
        <tr r="G14" s="28"/>
      </tp>
      <tp t="e">
        <v>#N/A</v>
        <stp/>
        <stp>BDH|6071718366355887245</stp>
        <tr r="T28" s="6"/>
      </tp>
      <tp t="e">
        <v>#N/A</v>
        <stp/>
        <stp>BDH|2711724429340513727</stp>
        <tr r="H33" s="21"/>
      </tp>
      <tp t="e">
        <v>#N/A</v>
        <stp/>
        <stp>BDH|5315250548754122747</stp>
        <tr r="Z45" s="18"/>
      </tp>
      <tp t="e">
        <v>#N/A</v>
        <stp/>
        <stp>BDH|2923046312360516315</stp>
        <tr r="J7" s="17"/>
      </tp>
      <tp t="e">
        <v>#N/A</v>
        <stp/>
        <stp>BDH|5390394137850606506</stp>
        <tr r="L21" s="20"/>
      </tp>
      <tp t="e">
        <v>#N/A</v>
        <stp/>
        <stp>BDH|5321958206484943829</stp>
        <tr r="H93" s="17"/>
      </tp>
      <tp t="e">
        <v>#N/A</v>
        <stp/>
        <stp>BDH|6998729614448572810</stp>
        <tr r="E17" s="20"/>
      </tp>
      <tp t="e">
        <v>#N/A</v>
        <stp/>
        <stp>BDH|4556567368637139015</stp>
        <tr r="R22" s="22"/>
      </tp>
      <tp t="e">
        <v>#N/A</v>
        <stp/>
        <stp>BDH|1332399753772795551</stp>
        <tr r="C84" s="12"/>
      </tp>
      <tp t="e">
        <v>#N/A</v>
        <stp/>
        <stp>BDH|2675298505181020119</stp>
        <tr r="S18" s="9"/>
      </tp>
      <tp t="e">
        <v>#N/A</v>
        <stp/>
        <stp>BDH|1829733624183273763</stp>
        <tr r="D60" s="18"/>
      </tp>
      <tp t="e">
        <v>#N/A</v>
        <stp/>
        <stp>BDH|6692446419412252129</stp>
        <tr r="C8" s="34"/>
      </tp>
      <tp t="e">
        <v>#N/A</v>
        <stp/>
        <stp>BDH|9143863149733131644</stp>
        <tr r="Z49" s="12"/>
      </tp>
      <tp t="e">
        <v>#N/A</v>
        <stp/>
        <stp>BDH|6966035108465883318</stp>
        <tr r="AA10" s="17"/>
      </tp>
      <tp t="e">
        <v>#N/A</v>
        <stp/>
        <stp>BDH|4044803443999091180</stp>
        <tr r="V27" s="21"/>
      </tp>
      <tp t="e">
        <v>#N/A</v>
        <stp/>
        <stp>BDH|9085354007648195285</stp>
        <tr r="J95" s="12"/>
      </tp>
      <tp t="e">
        <v>#N/A</v>
        <stp/>
        <stp>BDH|6823293628705093329</stp>
        <tr r="O17" s="13"/>
      </tp>
      <tp t="e">
        <v>#N/A</v>
        <stp/>
        <stp>BDH|6717852688126340020</stp>
        <tr r="Y46" s="17"/>
      </tp>
      <tp t="e">
        <v>#N/A</v>
        <stp/>
        <stp>BDH|2323427037497416296</stp>
        <tr r="P126" s="18"/>
      </tp>
      <tp t="e">
        <v>#N/A</v>
        <stp/>
        <stp>BDH|6128498272924755160</stp>
        <tr r="Y167" s="18"/>
      </tp>
      <tp t="e">
        <v>#N/A</v>
        <stp/>
        <stp>BDH|7277679721903919060</stp>
        <tr r="W45" s="13"/>
        <tr r="U29" s="11"/>
        <tr r="U40" s="10"/>
      </tp>
      <tp t="e">
        <v>#N/A</v>
        <stp/>
        <stp>BDH|9577597251431383855</stp>
        <tr r="T41" s="34"/>
      </tp>
      <tp t="e">
        <v>#N/A</v>
        <stp/>
        <stp>BDH|4834368115185721371</stp>
        <tr r="Z11" s="14"/>
      </tp>
      <tp t="e">
        <v>#N/A</v>
        <stp/>
        <stp>BDH|6926008958050847327</stp>
        <tr r="P27" s="24"/>
      </tp>
      <tp t="e">
        <v>#N/A</v>
        <stp/>
        <stp>BDH|6737982945923416850</stp>
        <tr r="Y87" s="17"/>
      </tp>
      <tp t="e">
        <v>#N/A</v>
        <stp/>
        <stp>BDH|6842301456953446310</stp>
        <tr r="Q46" s="24"/>
      </tp>
      <tp t="e">
        <v>#N/A</v>
        <stp/>
        <stp>BDH|7081078525855853015</stp>
        <tr r="T46" s="13"/>
        <tr r="R30" s="11"/>
        <tr r="R41" s="10"/>
      </tp>
      <tp t="e">
        <v>#N/A</v>
        <stp/>
        <stp>BDH|1457326108904755627</stp>
        <tr r="I57" s="13"/>
        <tr r="G38" s="11"/>
        <tr r="G49" s="10"/>
        <tr r="G18" s="2"/>
        <tr r="G53" s="4"/>
      </tp>
      <tp t="e">
        <v>#N/A</v>
        <stp/>
        <stp>BDH|5132813369802551976</stp>
        <tr r="G174" s="18"/>
      </tp>
      <tp t="e">
        <v>#N/A</v>
        <stp/>
        <stp>BDH|1968871963528011768</stp>
        <tr r="C53" s="21"/>
      </tp>
      <tp t="e">
        <v>#N/A</v>
        <stp/>
        <stp>BDH|7893029947014429729</stp>
        <tr r="Y6" s="15"/>
        <tr r="Y6" s="10"/>
        <tr r="Y12" s="2"/>
        <tr r="Y11" s="4"/>
      </tp>
      <tp t="e">
        <v>#N/A</v>
        <stp/>
        <stp>BDH|1374846450358419488</stp>
        <tr r="S78" s="17"/>
        <tr r="P9" s="9"/>
        <tr r="P9" s="5"/>
      </tp>
      <tp t="e">
        <v>#N/A</v>
        <stp/>
        <stp>BDH|1421877880866000786</stp>
        <tr r="Y20" s="24"/>
      </tp>
      <tp t="e">
        <v>#N/A</v>
        <stp/>
        <stp>BDH|4492535439487422510</stp>
        <tr r="V34" s="18"/>
      </tp>
      <tp t="e">
        <v>#N/A</v>
        <stp/>
        <stp>BDH|7989642649726604397</stp>
        <tr r="T24" s="11"/>
        <tr r="T35" s="10"/>
      </tp>
      <tp t="e">
        <v>#N/A</v>
        <stp/>
        <stp>BDH|6966132055343537119</stp>
        <tr r="U23" s="9"/>
      </tp>
      <tp t="e">
        <v>#N/A</v>
        <stp/>
        <stp>BDH|9683564695930894561</stp>
        <tr r="P30" s="14"/>
      </tp>
      <tp t="e">
        <v>#N/A</v>
        <stp/>
        <stp>BDH|1435526118997442215</stp>
        <tr r="C157" s="18"/>
      </tp>
      <tp t="e">
        <v>#N/A</v>
        <stp/>
        <stp>BDH|2028797342867305630</stp>
        <tr r="V130" s="18"/>
      </tp>
      <tp t="e">
        <v>#N/A</v>
        <stp/>
        <stp>BDH|3829296157140587480</stp>
        <tr r="M91" s="18"/>
      </tp>
      <tp t="e">
        <v>#N/A</v>
        <stp/>
        <stp>BDH|4046886632926579941</stp>
        <tr r="M40" s="21"/>
      </tp>
      <tp t="e">
        <v>#N/A</v>
        <stp/>
        <stp>BDH|9903571130907647830</stp>
        <tr r="AA88" s="12"/>
      </tp>
      <tp t="e">
        <v>#N/A</v>
        <stp/>
        <stp>BDH|6789927258092240847</stp>
        <tr r="K31" s="22"/>
      </tp>
      <tp t="e">
        <v>#N/A</v>
        <stp/>
        <stp>BDH|8999317194325476736</stp>
        <tr r="L29" s="21"/>
      </tp>
      <tp t="e">
        <v>#N/A</v>
        <stp/>
        <stp>BDH|8689885671103024442</stp>
        <tr r="Q30" s="21"/>
      </tp>
      <tp t="e">
        <v>#N/A</v>
        <stp/>
        <stp>BDH|7752245168104662768</stp>
        <tr r="K20" s="22"/>
      </tp>
      <tp t="e">
        <v>#N/A</v>
        <stp/>
        <stp>BDH|2334498448506922403</stp>
        <tr r="AA63" s="21"/>
      </tp>
      <tp t="e">
        <v>#N/A</v>
        <stp/>
        <stp>BDH|8585777069411063803</stp>
        <tr r="M8" s="13"/>
      </tp>
      <tp t="e">
        <v>#N/A</v>
        <stp/>
        <stp>BDH|8065997182109364038</stp>
        <tr r="S40" s="21"/>
      </tp>
      <tp t="e">
        <v>#N/A</v>
        <stp/>
        <stp>BDH|5620893780530428508</stp>
        <tr r="Y30" s="21"/>
      </tp>
      <tp t="e">
        <v>#N/A</v>
        <stp/>
        <stp>BDH|1752389704246349434</stp>
        <tr r="X20" s="23"/>
      </tp>
      <tp t="e">
        <v>#N/A</v>
        <stp/>
        <stp>BDH|4559400960770513682</stp>
        <tr r="F22" s="9"/>
      </tp>
      <tp t="e">
        <v>#N/A</v>
        <stp/>
        <stp>BDH|5728107363092506094</stp>
        <tr r="C13" s="21"/>
      </tp>
      <tp t="e">
        <v>#N/A</v>
        <stp/>
        <stp>BDH|4151344669794208567</stp>
        <tr r="J11" s="20"/>
        <tr r="J116" s="18"/>
      </tp>
      <tp t="e">
        <v>#N/A</v>
        <stp/>
        <stp>BDH|4072174490709849571</stp>
        <tr r="Y14" s="8"/>
      </tp>
      <tp t="e">
        <v>#N/A</v>
        <stp/>
        <stp>BDH|1812025500286569770</stp>
        <tr r="R79" s="18"/>
      </tp>
      <tp t="e">
        <v>#N/A</v>
        <stp/>
        <stp>BDH|4179766280423729887</stp>
        <tr r="P21" s="9"/>
        <tr r="P23" s="5"/>
      </tp>
      <tp t="e">
        <v>#N/A</v>
        <stp/>
        <stp>BDH|5452185145715200537</stp>
        <tr r="Z48" s="24"/>
      </tp>
      <tp t="e">
        <v>#N/A</v>
        <stp/>
        <stp>BDH|5148736256297860046</stp>
        <tr r="I58" s="24"/>
      </tp>
      <tp t="e">
        <v>#N/A</v>
        <stp/>
        <stp>BDH|5510468707729479889</stp>
        <tr r="D13" s="27"/>
        <tr r="D31" s="25"/>
      </tp>
      <tp t="e">
        <v>#N/A</v>
        <stp/>
        <stp>BDH|3161006910713143183</stp>
        <tr r="U109" s="18"/>
      </tp>
      <tp t="e">
        <v>#N/A</v>
        <stp/>
        <stp>BDH|4668322859936587406</stp>
        <tr r="T42" s="11"/>
        <tr r="T53" s="10"/>
        <tr r="V11" s="3"/>
        <tr r="T8" s="7"/>
      </tp>
      <tp t="e">
        <v>#N/A</v>
        <stp/>
        <stp>BDH|6503453211262111182</stp>
        <tr r="H99" s="12"/>
      </tp>
      <tp t="e">
        <v>#N/A</v>
        <stp/>
        <stp>BDH|5134104532534801330</stp>
        <tr r="O88" s="12"/>
      </tp>
      <tp t="e">
        <v>#N/A</v>
        <stp/>
        <stp>BDH|5982450836745784755</stp>
        <tr r="K35" s="12"/>
      </tp>
      <tp t="e">
        <v>#N/A</v>
        <stp/>
        <stp>BDH|1913087487070626981</stp>
        <tr r="N37" s="34"/>
      </tp>
      <tp t="e">
        <v>#N/A</v>
        <stp/>
        <stp>BDH|9938466402859597401</stp>
        <tr r="U10" s="34"/>
      </tp>
      <tp t="e">
        <v>#N/A</v>
        <stp/>
        <stp>BDH|3117650479195712724</stp>
        <tr r="L32" s="21"/>
      </tp>
      <tp t="e">
        <v>#N/A</v>
        <stp/>
        <stp>BDH|3559375373071157680</stp>
        <tr r="N19" s="20"/>
      </tp>
      <tp t="e">
        <v>#N/A</v>
        <stp/>
        <stp>BDH|9801817262521715647</stp>
        <tr r="D13" s="23"/>
      </tp>
      <tp t="e">
        <v>#N/A</v>
        <stp/>
        <stp>BDH|1071570502781969542</stp>
        <tr r="J8" s="6"/>
      </tp>
      <tp t="e">
        <v>#N/A</v>
        <stp/>
        <stp>BDH|9069649823955973865</stp>
        <tr r="L56" s="12"/>
      </tp>
      <tp t="e">
        <v>#N/A</v>
        <stp/>
        <stp>BDH|1492180576320746759</stp>
        <tr r="M44" s="13"/>
        <tr r="K36" s="11"/>
        <tr r="K47" s="10"/>
        <tr r="K52" s="4"/>
        <tr r="M8" s="3"/>
      </tp>
      <tp t="e">
        <v>#N/A</v>
        <stp/>
        <stp>BDH|5367955689357749303</stp>
        <tr r="N72" s="18"/>
      </tp>
      <tp t="e">
        <v>#N/A</v>
        <stp/>
        <stp>BDH|6172121840186315580</stp>
        <tr r="AA49" s="12"/>
      </tp>
      <tp t="e">
        <v>#N/A</v>
        <stp/>
        <stp>BDH|2136403854076969540</stp>
        <tr r="G35" s="25"/>
        <tr r="G17" s="27"/>
        <tr r="D14" s="5"/>
      </tp>
      <tp t="e">
        <v>#N/A</v>
        <stp/>
        <stp>BDH|8726857869636212014</stp>
        <tr r="L63" s="21"/>
      </tp>
      <tp t="e">
        <v>#N/A</v>
        <stp/>
        <stp>BDH|8398421996587632298</stp>
        <tr r="R19" s="18"/>
      </tp>
      <tp t="e">
        <v>#N/A</v>
        <stp/>
        <stp>BDH|3325025559590782673</stp>
        <tr r="O46" s="21"/>
      </tp>
      <tp t="e">
        <v>#N/A</v>
        <stp/>
        <stp>BDH|7802038113955610368</stp>
        <tr r="I69" s="12"/>
      </tp>
      <tp t="e">
        <v>#N/A</v>
        <stp/>
        <stp>BDH|3823623112961464546</stp>
        <tr r="G140" s="18"/>
      </tp>
      <tp t="e">
        <v>#N/A</v>
        <stp/>
        <stp>BDH|8276796932479247539</stp>
        <tr r="S35" s="22"/>
      </tp>
      <tp t="e">
        <v>#N/A</v>
        <stp/>
        <stp>BDH|4886016924361067751</stp>
        <tr r="H18" s="12"/>
      </tp>
      <tp t="e">
        <v>#N/A</v>
        <stp/>
        <stp>BDH|5582696617347379500</stp>
        <tr r="M19" s="29"/>
        <tr r="M10" s="29"/>
        <tr r="M25" s="29"/>
        <tr r="K6" s="9"/>
        <tr r="M12" s="8"/>
        <tr r="L6" s="2"/>
        <tr r="K6" s="5"/>
      </tp>
      <tp t="e">
        <v>#N/A</v>
        <stp/>
        <stp>BDH|9917891741836144381</stp>
        <tr r="N35" s="24"/>
      </tp>
      <tp t="e">
        <v>#N/A</v>
        <stp/>
        <stp>BDH|2110790716070051469</stp>
        <tr r="Z169" s="18"/>
      </tp>
      <tp t="e">
        <v>#N/A</v>
        <stp/>
        <stp>BDH|2460499378157834650</stp>
        <tr r="U7" s="8"/>
      </tp>
      <tp t="e">
        <v>#N/A</v>
        <stp/>
        <stp>BDH|2943022725905760515</stp>
        <tr r="D24" s="12"/>
      </tp>
      <tp t="e">
        <v>#N/A</v>
        <stp/>
        <stp>BDH|8989674794326408163</stp>
        <tr r="V41" s="25"/>
        <tr r="V59" s="21"/>
        <tr r="T54" s="11"/>
        <tr r="T31" s="4"/>
      </tp>
      <tp t="e">
        <v>#N/A</v>
        <stp/>
        <stp>BDH|8037233998630224318</stp>
        <tr r="V25" s="12"/>
      </tp>
      <tp t="e">
        <v>#N/A</v>
        <stp/>
        <stp>BDH|6019348207280817535</stp>
        <tr r="U32" s="17"/>
      </tp>
      <tp t="e">
        <v>#N/A</v>
        <stp/>
        <stp>BDH|4939332523367544249</stp>
        <tr r="AA92" s="12"/>
      </tp>
      <tp t="e">
        <v>#N/A</v>
        <stp/>
        <stp>BDH|1677984132732520918</stp>
        <tr r="Z10" s="22"/>
      </tp>
      <tp t="e">
        <v>#N/A</v>
        <stp/>
        <stp>BDH|5666409508226376754</stp>
        <tr r="U90" s="17"/>
      </tp>
      <tp t="e">
        <v>#N/A</v>
        <stp/>
        <stp>BDH|6410636100961646194</stp>
        <tr r="G41" s="12"/>
      </tp>
      <tp t="e">
        <v>#N/A</v>
        <stp/>
        <stp>BDH|6217539258775990388</stp>
        <tr r="Q53" s="24"/>
      </tp>
      <tp t="e">
        <v>#N/A</v>
        <stp/>
        <stp>BDH|6006117217981905770</stp>
        <tr r="U17" s="34"/>
      </tp>
      <tp t="e">
        <v>#N/A</v>
        <stp/>
        <stp>BDH|7341531618226904586</stp>
        <tr r="K37" s="12"/>
      </tp>
      <tp t="e">
        <v>#N/A</v>
        <stp/>
        <stp>BDH|5244959447470101889</stp>
        <tr r="U66" s="13"/>
      </tp>
      <tp t="e">
        <v>#N/A</v>
        <stp/>
        <stp>BDH|1642005129115423622</stp>
        <tr r="I10" s="17"/>
      </tp>
      <tp t="e">
        <v>#N/A</v>
        <stp/>
        <stp>BDH|5961074956371150104</stp>
        <tr r="K23" s="13"/>
      </tp>
      <tp t="e">
        <v>#N/A</v>
        <stp/>
        <stp>BDH|4037954418594729833</stp>
        <tr r="I70" s="13"/>
      </tp>
      <tp t="e">
        <v>#N/A</v>
        <stp/>
        <stp>BDH|3317456263412898349</stp>
        <tr r="AA55" s="18"/>
      </tp>
      <tp t="e">
        <v>#N/A</v>
        <stp/>
        <stp>BDH|6591485298122561999</stp>
        <tr r="L8" s="34"/>
      </tp>
      <tp t="e">
        <v>#N/A</v>
        <stp/>
        <stp>BDH|7959872094455410370</stp>
        <tr r="N20" s="5"/>
      </tp>
      <tp t="e">
        <v>#N/A</v>
        <stp/>
        <stp>BDH|9952387285195904741</stp>
        <tr r="T55" s="21"/>
      </tp>
      <tp t="e">
        <v>#N/A</v>
        <stp/>
        <stp>BDH|9043185946688229457</stp>
        <tr r="E51" s="13"/>
      </tp>
      <tp t="e">
        <v>#N/A</v>
        <stp/>
        <stp>BDH|9248433022088216783</stp>
        <tr r="L81" s="18"/>
      </tp>
      <tp t="e">
        <v>#N/A</v>
        <stp/>
        <stp>BDH|8797988110235272541</stp>
        <tr r="V30" s="17"/>
      </tp>
      <tp t="e">
        <v>#N/A</v>
        <stp/>
        <stp>BDH|3891508607187440121</stp>
        <tr r="R165" s="18"/>
      </tp>
      <tp t="e">
        <v>#N/A</v>
        <stp/>
        <stp>BDH|2277413308473201504</stp>
        <tr r="S47" s="21"/>
      </tp>
      <tp t="e">
        <v>#N/A</v>
        <stp/>
        <stp>BDH|7495452808925504656</stp>
        <tr r="S17" s="9"/>
      </tp>
      <tp t="e">
        <v>#N/A</v>
        <stp/>
        <stp>BDH|2271654291645712883</stp>
        <tr r="U6" s="8"/>
        <tr r="S51" s="6"/>
      </tp>
      <tp t="e">
        <v>#N/A</v>
        <stp/>
        <stp>BDH|3078251929661239274</stp>
        <tr r="Z96" s="17"/>
      </tp>
      <tp t="e">
        <v>#N/A</v>
        <stp/>
        <stp>BDH|2643496724895052128</stp>
        <tr r="N6" s="27"/>
      </tp>
      <tp t="e">
        <v>#N/A</v>
        <stp/>
        <stp>BDH|1760696451902762019</stp>
        <tr r="G89" s="12"/>
      </tp>
      <tp t="e">
        <v>#N/A</v>
        <stp/>
        <stp>BDH|1649864778697820992</stp>
        <tr r="H15" s="25"/>
      </tp>
      <tp t="e">
        <v>#N/A</v>
        <stp/>
        <stp>BDH|7676686953607611320</stp>
        <tr r="Y49" s="18"/>
      </tp>
      <tp t="e">
        <v>#N/A</v>
        <stp/>
        <stp>BDH|3675102904031900323</stp>
        <tr r="AA55" s="21"/>
      </tp>
      <tp t="e">
        <v>#N/A</v>
        <stp/>
        <stp>BDH|3694132049007311163</stp>
        <tr r="E8" s="14"/>
      </tp>
      <tp t="e">
        <v>#N/A</v>
        <stp/>
        <stp>BDH|5211746224279382984</stp>
        <tr r="V27" s="11"/>
        <tr r="V38" s="10"/>
      </tp>
      <tp t="e">
        <v>#N/A</v>
        <stp/>
        <stp>BDH|3761195556032790563</stp>
        <tr r="O13" s="12"/>
      </tp>
      <tp t="e">
        <v>#N/A</v>
        <stp/>
        <stp>BDH|1717284954614099222</stp>
        <tr r="E28" s="6"/>
      </tp>
      <tp t="e">
        <v>#N/A</v>
        <stp/>
        <stp>BDH|6702461054510545798</stp>
        <tr r="F50" s="12"/>
      </tp>
      <tp t="e">
        <v>#N/A</v>
        <stp/>
        <stp>BDH|8215012908541694945</stp>
        <tr r="F57" s="6"/>
      </tp>
      <tp t="e">
        <v>#N/A</v>
        <stp/>
        <stp>BDH|6511302601697575288</stp>
        <tr r="R24" s="29"/>
      </tp>
      <tp t="e">
        <v>#N/A</v>
        <stp/>
        <stp>BDH|3933053537908250801</stp>
        <tr r="L8" s="4"/>
      </tp>
      <tp t="e">
        <v>#N/A</v>
        <stp/>
        <stp>BDH|7950812171570590856</stp>
        <tr r="Q21" s="14"/>
      </tp>
      <tp t="e">
        <v>#N/A</v>
        <stp/>
        <stp>BDH|5925515940342590640</stp>
        <tr r="C43" s="12"/>
      </tp>
      <tp t="e">
        <v>#N/A</v>
        <stp/>
        <stp>BDH|1723359179317338217</stp>
        <tr r="F38" s="12"/>
      </tp>
      <tp t="e">
        <v>#N/A</v>
        <stp/>
        <stp>BDH|4209281150333290017</stp>
        <tr r="N130" s="18"/>
      </tp>
      <tp t="e">
        <v>#N/A</v>
        <stp/>
        <stp>BDH|3577659337481610784</stp>
        <tr r="I19" s="12"/>
      </tp>
      <tp t="e">
        <v>#N/A</v>
        <stp/>
        <stp>BDH|2734712296389840519</stp>
        <tr r="R46" s="13"/>
        <tr r="P30" s="11"/>
        <tr r="P41" s="10"/>
      </tp>
      <tp t="e">
        <v>#N/A</v>
        <stp/>
        <stp>BDH|8895548441820158953</stp>
        <tr r="X10" s="25"/>
        <tr r="X55" s="17"/>
      </tp>
      <tp t="e">
        <v>#N/A</v>
        <stp/>
        <stp>BDH|2936402354643115058</stp>
        <tr r="I55" s="12"/>
      </tp>
      <tp t="e">
        <v>#N/A</v>
        <stp/>
        <stp>BDH|3837100050326473159</stp>
        <tr r="N41" s="25"/>
        <tr r="N59" s="21"/>
        <tr r="L54" s="11"/>
        <tr r="L31" s="4"/>
      </tp>
      <tp t="e">
        <v>#N/A</v>
        <stp/>
        <stp>BDH|3114912646806751880</stp>
        <tr r="V16" s="28"/>
        <tr r="V13" s="17"/>
      </tp>
      <tp t="e">
        <v>#N/A</v>
        <stp/>
        <stp>BDH|7627773473751865640</stp>
        <tr r="Z77" s="17"/>
      </tp>
      <tp t="e">
        <v>#N/A</v>
        <stp/>
        <stp>BDH|6684713259110188412</stp>
        <tr r="V32" s="29"/>
        <tr r="T34" s="5"/>
      </tp>
      <tp t="e">
        <v>#N/A</v>
        <stp/>
        <stp>BDH|4844477010294614570</stp>
        <tr r="T34" s="6"/>
      </tp>
      <tp t="e">
        <v>#N/A</v>
        <stp/>
        <stp>BDH|7459486905094058775</stp>
        <tr r="J15" s="13"/>
      </tp>
      <tp t="e">
        <v>#N/A</v>
        <stp/>
        <stp>BDH|7385254281739083491</stp>
        <tr r="H27" s="25"/>
        <tr r="F20" s="11"/>
      </tp>
      <tp t="e">
        <v>#N/A</v>
        <stp/>
        <stp>BDH|9257706149872078859</stp>
        <tr r="X29" s="18"/>
      </tp>
      <tp t="e">
        <v>#N/A</v>
        <stp/>
        <stp>BDH|4089183278730605288</stp>
        <tr r="AA31" s="22"/>
      </tp>
      <tp t="e">
        <v>#N/A</v>
        <stp/>
        <stp>BDH|6480079052482642195</stp>
        <tr r="O35" s="26"/>
        <tr r="L14" s="9"/>
      </tp>
      <tp t="e">
        <v>#N/A</v>
        <stp/>
        <stp>BDH|8753735700678834722</stp>
        <tr r="D67" s="18"/>
      </tp>
      <tp t="e">
        <v>#N/A</v>
        <stp/>
        <stp>BDH|1799513603812310684</stp>
        <tr r="P30" s="22"/>
      </tp>
      <tp t="e">
        <v>#N/A</v>
        <stp/>
        <stp>BDH|3794133059051788645</stp>
        <tr r="M30" s="22"/>
      </tp>
      <tp t="e">
        <v>#N/A</v>
        <stp/>
        <stp>BDH|4200732035136853620</stp>
        <tr r="L32" s="17"/>
      </tp>
      <tp t="e">
        <v>#N/A</v>
        <stp/>
        <stp>BDH|3515946055326354997</stp>
        <tr r="N145" s="18"/>
      </tp>
      <tp t="e">
        <v>#N/A</v>
        <stp/>
        <stp>BDH|5955766501771849386</stp>
        <tr r="N170" s="18"/>
      </tp>
      <tp t="e">
        <v>#N/A</v>
        <stp/>
        <stp>BDH|2939364155572655621</stp>
        <tr r="F67" s="10"/>
      </tp>
      <tp t="e">
        <v>#N/A</v>
        <stp/>
        <stp>BDH|9536213481722381186</stp>
        <tr r="L67" s="13"/>
      </tp>
      <tp t="e">
        <v>#N/A</v>
        <stp/>
        <stp>BDH|7940312346814231424</stp>
        <tr r="E42" s="11"/>
        <tr r="E53" s="10"/>
        <tr r="E8" s="7"/>
        <tr r="G11" s="3"/>
      </tp>
      <tp t="e">
        <v>#N/A</v>
        <stp/>
        <stp>BDH|3417970236451959829</stp>
        <tr r="W24" s="20"/>
      </tp>
      <tp t="e">
        <v>#N/A</v>
        <stp/>
        <stp>BDH|3530209697631570993</stp>
        <tr r="F47" s="22"/>
      </tp>
      <tp t="e">
        <v>#N/A</v>
        <stp/>
        <stp>BDH|6351719878565158354</stp>
        <tr r="N63" s="18"/>
      </tp>
      <tp t="e">
        <v>#N/A</v>
        <stp/>
        <stp>BDH|5419225371215180586</stp>
        <tr r="D7" s="20"/>
        <tr r="D113" s="18"/>
      </tp>
      <tp t="e">
        <v>#N/A</v>
        <stp/>
        <stp>BDH|7956337103974315041</stp>
        <tr r="F14" s="28"/>
      </tp>
      <tp t="e">
        <v>#N/A</v>
        <stp/>
        <stp>BDH|2945274040616193214</stp>
        <tr r="R32" s="22"/>
      </tp>
      <tp t="e">
        <v>#N/A</v>
        <stp/>
        <stp>BDH|9431035188868224937</stp>
        <tr r="F26" s="25"/>
        <tr r="F56" s="21"/>
      </tp>
      <tp t="e">
        <v>#N/A</v>
        <stp/>
        <stp>BDH|8902070399724037598</stp>
        <tr r="V36" s="22"/>
      </tp>
      <tp t="e">
        <v>#N/A</v>
        <stp/>
        <stp>BDH|6062491164877254316</stp>
        <tr r="W43" s="29"/>
      </tp>
      <tp t="e">
        <v>#N/A</v>
        <stp/>
        <stp>BDH|5676205288878073703</stp>
        <tr r="I74" s="17"/>
      </tp>
      <tp t="e">
        <v>#N/A</v>
        <stp/>
        <stp>BDH|1794005478181024711</stp>
        <tr r="I67" s="18"/>
      </tp>
      <tp t="e">
        <v>#N/A</v>
        <stp/>
        <stp>BDH|5784400542947887228</stp>
        <tr r="E26" s="11"/>
        <tr r="E37" s="10"/>
      </tp>
      <tp t="e">
        <v>#N/A</v>
        <stp/>
        <stp>BDH|3712715019007521257</stp>
        <tr r="S28" s="22"/>
      </tp>
      <tp t="e">
        <v>#N/A</v>
        <stp/>
        <stp>BDH|3432367419455284468</stp>
        <tr r="H13" s="23"/>
        <tr r="F58" s="11"/>
        <tr r="F38" s="4"/>
      </tp>
      <tp t="e">
        <v>#N/A</v>
        <stp/>
        <stp>BDH|6084929784727037096</stp>
        <tr r="K26" s="18"/>
      </tp>
      <tp t="e">
        <v>#N/A</v>
        <stp/>
        <stp>BDH|7830046656427763524</stp>
        <tr r="D99" s="18"/>
      </tp>
      <tp t="e">
        <v>#N/A</v>
        <stp/>
        <stp>BDH|5354540528053959193</stp>
        <tr r="P17" s="24"/>
      </tp>
      <tp t="e">
        <v>#N/A</v>
        <stp/>
        <stp>BDH|8857005927783779973</stp>
        <tr r="I19" s="24"/>
      </tp>
      <tp t="e">
        <v>#N/A</v>
        <stp/>
        <stp>BDH|7177145929521740541</stp>
        <tr r="S42" s="26"/>
      </tp>
      <tp t="e">
        <v>#N/A</v>
        <stp/>
        <stp>BDH|8298998064240182719</stp>
        <tr r="Z83" s="12"/>
      </tp>
      <tp t="e">
        <v>#N/A</v>
        <stp/>
        <stp>BDH|7400337709676462252</stp>
        <tr r="W29" s="9"/>
      </tp>
      <tp t="e">
        <v>#N/A</v>
        <stp/>
        <stp>BDH|1718174408266117663</stp>
        <tr r="Y33" s="21"/>
      </tp>
      <tp t="e">
        <v>#N/A</v>
        <stp/>
        <stp>BDH|6697769141561859465</stp>
        <tr r="D36" s="21"/>
        <tr r="D24" s="3"/>
      </tp>
      <tp t="e">
        <v>#N/A</v>
        <stp/>
        <stp>BDH|9448462789625549010</stp>
        <tr r="U19" s="12"/>
      </tp>
      <tp t="e">
        <v>#N/A</v>
        <stp/>
        <stp>BDH|1305730680278731685</stp>
        <tr r="H17" s="20"/>
      </tp>
      <tp t="e">
        <v>#N/A</v>
        <stp/>
        <stp>BDH|8228801079117776031</stp>
        <tr r="E11" s="14"/>
      </tp>
      <tp t="e">
        <v>#N/A</v>
        <stp/>
        <stp>BDH|6063955992642927413</stp>
        <tr r="E27" s="12"/>
      </tp>
      <tp t="e">
        <v>#N/A</v>
        <stp/>
        <stp>BDH|3943246073403885599</stp>
        <tr r="W44" s="13"/>
        <tr r="U36" s="11"/>
        <tr r="U47" s="10"/>
        <tr r="U52" s="4"/>
        <tr r="W8" s="3"/>
      </tp>
      <tp t="e">
        <v>#N/A</v>
        <stp/>
        <stp>BDH|1488358913721503280</stp>
        <tr r="D42" s="11"/>
        <tr r="D53" s="10"/>
        <tr r="D8" s="7"/>
        <tr r="F11" s="3"/>
      </tp>
      <tp t="e">
        <v>#N/A</v>
        <stp/>
        <stp>BDH|9534865173183955565</stp>
        <tr r="H9" s="11"/>
      </tp>
      <tp t="e">
        <v>#N/A</v>
        <stp/>
        <stp>BDH|8613530068798573377</stp>
        <tr r="O12" s="20"/>
        <tr r="O117" s="18"/>
      </tp>
      <tp t="e">
        <v>#N/A</v>
        <stp/>
        <stp>BDH|8498767846623989826</stp>
        <tr r="S56" s="24"/>
      </tp>
      <tp t="e">
        <v>#N/A</v>
        <stp/>
        <stp>BDH|9008180894772096337</stp>
        <tr r="X19" s="34"/>
      </tp>
      <tp t="e">
        <v>#N/A</v>
        <stp/>
        <stp>BDH|5860140179475931639</stp>
        <tr r="I25" s="18"/>
      </tp>
      <tp t="e">
        <v>#N/A</v>
        <stp/>
        <stp>BDH|4389660513980804319</stp>
        <tr r="W33" s="12"/>
      </tp>
      <tp t="e">
        <v>#N/A</v>
        <stp/>
        <stp>BDH|9187540864178627283</stp>
        <tr r="H16" s="10"/>
      </tp>
      <tp t="e">
        <v>#N/A</v>
        <stp/>
        <stp>BDH|8058891373863365462</stp>
        <tr r="R17" s="22"/>
      </tp>
      <tp t="e">
        <v>#N/A</v>
        <stp/>
        <stp>BDH|1894754860727154737</stp>
        <tr r="H19" s="34"/>
      </tp>
      <tp t="e">
        <v>#N/A</v>
        <stp/>
        <stp>BDH|2250188411454143656</stp>
        <tr r="M62" s="11"/>
        <tr r="M73" s="10"/>
        <tr r="M20" s="7"/>
      </tp>
      <tp t="e">
        <v>#N/A</v>
        <stp/>
        <stp>BDH|6871291760347661588</stp>
        <tr r="W22" s="4"/>
      </tp>
      <tp t="e">
        <v>#N/A</v>
        <stp/>
        <stp>BDH|7934046643686393521</stp>
        <tr r="I84" s="18"/>
      </tp>
      <tp t="e">
        <v>#N/A</v>
        <stp/>
        <stp>BDH|6934619817128655965</stp>
        <tr r="Z121" s="18"/>
      </tp>
      <tp t="e">
        <v>#N/A</v>
        <stp/>
        <stp>BDH|3862513604940272601</stp>
        <tr r="O17" s="24"/>
      </tp>
      <tp t="e">
        <v>#N/A</v>
        <stp/>
        <stp>BDH|8672115307749688097</stp>
        <tr r="G48" s="21"/>
      </tp>
      <tp t="e">
        <v>#N/A</v>
        <stp/>
        <stp>BDH|3229542679995255421</stp>
        <tr r="M52" s="18"/>
      </tp>
      <tp t="e">
        <v>#N/A</v>
        <stp/>
        <stp>BDH|6846970482794094327</stp>
        <tr r="Q24" s="22"/>
      </tp>
      <tp t="e">
        <v>#N/A</v>
        <stp/>
        <stp>BDH|4841603653571450608</stp>
        <tr r="F24" s="6"/>
      </tp>
      <tp t="e">
        <v>#N/A</v>
        <stp/>
        <stp>BDH|2462436258781099201</stp>
        <tr r="C15" s="25"/>
      </tp>
      <tp t="e">
        <v>#N/A</v>
        <stp/>
        <stp>BDH|6184665220123163194</stp>
        <tr r="E11" s="11"/>
      </tp>
      <tp t="e">
        <v>#N/A</v>
        <stp/>
        <stp>BDH|9040931117164929528</stp>
        <tr r="L69" s="18"/>
      </tp>
      <tp t="e">
        <v>#N/A</v>
        <stp/>
        <stp>BDH|8317899307947997789</stp>
        <tr r="E175" s="18"/>
      </tp>
      <tp t="e">
        <v>#N/A</v>
        <stp/>
        <stp>BDH|5000553538231597249</stp>
        <tr r="K16" s="20"/>
      </tp>
      <tp t="e">
        <v>#N/A</v>
        <stp/>
        <stp>BDH|3959009700462596100</stp>
        <tr r="Y15" s="14"/>
      </tp>
      <tp t="e">
        <v>#N/A</v>
        <stp/>
        <stp>BDH|2921458836492194774</stp>
        <tr r="U18" s="14"/>
      </tp>
      <tp t="e">
        <v>#N/A</v>
        <stp/>
        <stp>BDH|3110193254315907292</stp>
        <tr r="AA32" s="12"/>
      </tp>
      <tp t="e">
        <v>#N/A</v>
        <stp/>
        <stp>BDH|5592561217957941616</stp>
        <tr r="K32" s="18"/>
      </tp>
      <tp t="e">
        <v>#N/A</v>
        <stp/>
        <stp>BDH|5366594777326760165</stp>
        <tr r="U35" s="18"/>
      </tp>
      <tp t="e">
        <v>#N/A</v>
        <stp/>
        <stp>BDH|9415413734386924841</stp>
        <tr r="Y79" s="18"/>
      </tp>
      <tp t="e">
        <v>#N/A</v>
        <stp/>
        <stp>BDH|6176455998168326333</stp>
        <tr r="Q48" s="6"/>
      </tp>
      <tp t="e">
        <v>#N/A</v>
        <stp/>
        <stp>BDH|2220759908951466476</stp>
        <tr r="O34" s="29"/>
      </tp>
      <tp t="e">
        <v>#N/A</v>
        <stp/>
        <stp>BDH|8702054509511052971</stp>
        <tr r="Q37" s="17"/>
      </tp>
      <tp t="e">
        <v>#N/A</v>
        <stp/>
        <stp>BDH|2614741623307867050</stp>
        <tr r="C15" s="34"/>
      </tp>
      <tp t="e">
        <v>#N/A</v>
        <stp/>
        <stp>BDH|8261476528126457851</stp>
        <tr r="W20" s="10"/>
      </tp>
      <tp t="e">
        <v>#N/A</v>
        <stp/>
        <stp>BDH|1419584961183410150</stp>
        <tr r="O26" s="6"/>
      </tp>
      <tp t="e">
        <v>#N/A</v>
        <stp/>
        <stp>BDH|4713569976945355381</stp>
        <tr r="E72" s="18"/>
      </tp>
      <tp t="e">
        <v>#N/A</v>
        <stp/>
        <stp>BDH|2828077967651015546</stp>
        <tr r="S96" s="18"/>
      </tp>
      <tp t="e">
        <v>#N/A</v>
        <stp/>
        <stp>BDH|7272799759352701799</stp>
        <tr r="U30" s="29"/>
        <tr r="U8" s="29"/>
      </tp>
      <tp t="e">
        <v>#N/A</v>
        <stp/>
        <stp>BDH|9521348373319685486</stp>
        <tr r="S38" s="12"/>
      </tp>
      <tp t="e">
        <v>#N/A</v>
        <stp/>
        <stp>BDH|9780164835962135991</stp>
        <tr r="F170" s="18"/>
      </tp>
      <tp t="e">
        <v>#N/A</v>
        <stp/>
        <stp>BDH|3039323916403967214</stp>
        <tr r="P28" s="17"/>
      </tp>
      <tp t="e">
        <v>#N/A</v>
        <stp/>
        <stp>BDH|6642785740235341011</stp>
        <tr r="G8" s="10"/>
      </tp>
      <tp t="e">
        <v>#N/A</v>
        <stp/>
        <stp>BDH|7414346060046457484</stp>
        <tr r="AA51" s="21"/>
      </tp>
      <tp t="e">
        <v>#N/A</v>
        <stp/>
        <stp>BDH|4328278989578017618</stp>
        <tr r="N12" s="18"/>
      </tp>
      <tp t="e">
        <v>#N/A</v>
        <stp/>
        <stp>BDH|9411878047271070485</stp>
        <tr r="Y15" s="12"/>
      </tp>
      <tp t="e">
        <v>#N/A</v>
        <stp/>
        <stp>BDH|5084687623263271252</stp>
        <tr r="S22" s="6"/>
      </tp>
      <tp t="e">
        <v>#N/A</v>
        <stp/>
        <stp>BDH|4575619615063974041</stp>
        <tr r="P44" s="6"/>
      </tp>
      <tp t="e">
        <v>#N/A</v>
        <stp/>
        <stp>BDH|6788568899902291868</stp>
        <tr r="Q85" s="12"/>
      </tp>
      <tp t="e">
        <v>#N/A</v>
        <stp/>
        <stp>BDH|8677456232116416999</stp>
        <tr r="Q55" s="10"/>
        <tr r="Q44" s="11"/>
        <tr r="Q15" s="7"/>
      </tp>
      <tp t="e">
        <v>#N/A</v>
        <stp/>
        <stp>BDH|4934082738477748029</stp>
        <tr r="D22" s="7"/>
      </tp>
      <tp t="e">
        <v>#N/A</v>
        <stp/>
        <stp>BDH|1253277789388739379</stp>
        <tr r="M56" s="18"/>
      </tp>
      <tp t="e">
        <v>#N/A</v>
        <stp/>
        <stp>BDH|7661741039266161568</stp>
        <tr r="P49" s="22"/>
      </tp>
      <tp t="e">
        <v>#N/A</v>
        <stp/>
        <stp>BDH|3742489527036528314</stp>
        <tr r="T8" s="22"/>
      </tp>
      <tp t="e">
        <v>#N/A</v>
        <stp/>
        <stp>BDH|1238396176703017618</stp>
        <tr r="K23" s="24"/>
      </tp>
      <tp t="e">
        <v>#N/A</v>
        <stp/>
        <stp>BDH|1864359454295200276</stp>
        <tr r="V20" s="25"/>
      </tp>
      <tp t="e">
        <v>#N/A</v>
        <stp/>
        <stp>BDH|3401606449062492355</stp>
        <tr r="J35" s="18"/>
      </tp>
      <tp t="e">
        <v>#N/A</v>
        <stp/>
        <stp>BDH|4334368130537867312</stp>
        <tr r="C164" s="18"/>
      </tp>
      <tp t="e">
        <v>#N/A</v>
        <stp/>
        <stp>BDH|5294087026155720277</stp>
        <tr r="Z9" s="28"/>
      </tp>
      <tp t="e">
        <v>#N/A</v>
        <stp/>
        <stp>BDH|3419503417247755088</stp>
        <tr r="H71" s="10"/>
      </tp>
      <tp t="e">
        <v>#N/A</v>
        <stp/>
        <stp>BDH|6940760165482645509</stp>
        <tr r="M52" s="17"/>
      </tp>
      <tp t="e">
        <v>#N/A</v>
        <stp/>
        <stp>BDH|1232998313040473900</stp>
        <tr r="E56" s="18"/>
      </tp>
      <tp t="e">
        <v>#N/A</v>
        <stp/>
        <stp>BDH|8182677344068834260</stp>
        <tr r="Y33" s="13"/>
        <tr r="W26" s="10"/>
      </tp>
      <tp t="e">
        <v>#N/A</v>
        <stp/>
        <stp>BDH|2554918988093029000</stp>
        <tr r="T47" s="22"/>
      </tp>
      <tp t="e">
        <v>#N/A</v>
        <stp/>
        <stp>BDH|3570353219944449516</stp>
        <tr r="N9" s="12"/>
      </tp>
      <tp t="e">
        <v>#N/A</v>
        <stp/>
        <stp>BDH|8987323554409050734</stp>
        <tr r="T30" s="24"/>
      </tp>
      <tp t="e">
        <v>#N/A</v>
        <stp/>
        <stp>BDH|3791411395109741783</stp>
        <tr r="G13" s="28"/>
        <tr r="G95" s="17"/>
      </tp>
      <tp t="e">
        <v>#N/A</v>
        <stp/>
        <stp>BDH|6465864693404490391</stp>
        <tr r="F34" s="29"/>
      </tp>
      <tp t="e">
        <v>#N/A</v>
        <stp/>
        <stp>BDH|4829850067642227848</stp>
        <tr r="E35" s="12"/>
      </tp>
      <tp t="e">
        <v>#N/A</v>
        <stp/>
        <stp>BDH|7276501746737055195</stp>
        <tr r="C63" s="13"/>
      </tp>
      <tp t="e">
        <v>#N/A</v>
        <stp/>
        <stp>BDH|1934449471095988783</stp>
        <tr r="X99" s="18"/>
      </tp>
      <tp t="e">
        <v>#N/A</v>
        <stp/>
        <stp>BDH|6374667118027426643</stp>
        <tr r="U76" s="24"/>
      </tp>
      <tp t="e">
        <v>#N/A</v>
        <stp/>
        <stp>BDH|2287776328362280524</stp>
        <tr r="L20" s="5"/>
      </tp>
      <tp t="e">
        <v>#N/A</v>
        <stp/>
        <stp>BDH|2913240141705350122</stp>
        <tr r="R51" s="22"/>
      </tp>
      <tp t="e">
        <v>#N/A</v>
        <stp/>
        <stp>BDH|9678956947314929001</stp>
        <tr r="G21" s="3"/>
      </tp>
      <tp t="e">
        <v>#N/A</v>
        <stp/>
        <stp>BDH|1602308761470983434</stp>
        <tr r="H25" s="29"/>
        <tr r="H19" s="29"/>
        <tr r="H10" s="29"/>
        <tr r="F6" s="5"/>
        <tr r="H12" s="8"/>
        <tr r="F6" s="9"/>
        <tr r="G6" s="2"/>
      </tp>
      <tp t="e">
        <v>#N/A</v>
        <stp/>
        <stp>BDH|9037694581786149144</stp>
        <tr r="V35" s="13"/>
        <tr r="T28" s="10"/>
      </tp>
      <tp t="e">
        <v>#N/A</v>
        <stp/>
        <stp>BDH|3292879071994187881</stp>
        <tr r="V38" s="6"/>
      </tp>
      <tp t="e">
        <v>#N/A</v>
        <stp/>
        <stp>BDH|6358712370363831577</stp>
        <tr r="D18" s="10"/>
      </tp>
      <tp t="e">
        <v>#N/A</v>
        <stp/>
        <stp>BDH|3252684266397606472</stp>
        <tr r="V12" s="11"/>
      </tp>
      <tp t="e">
        <v>#N/A</v>
        <stp/>
        <stp>BDH|4714618879940620542</stp>
        <tr r="AA22" s="26"/>
      </tp>
      <tp t="e">
        <v>#N/A</v>
        <stp/>
        <stp>BDH|4841254007326678014</stp>
        <tr r="M11" s="13"/>
      </tp>
      <tp t="e">
        <v>#N/A</v>
        <stp/>
        <stp>BDH|8222732337719806534</stp>
        <tr r="W26" s="6"/>
      </tp>
      <tp t="e">
        <v>#N/A</v>
        <stp/>
        <stp>BDH|8647581023687069806</stp>
        <tr r="F154" s="18"/>
      </tp>
      <tp t="e">
        <v>#N/A</v>
        <stp/>
        <stp>BDH|7373244720351216682</stp>
        <tr r="O120" s="18"/>
      </tp>
      <tp t="e">
        <v>#N/A</v>
        <stp/>
        <stp>BDH|5114555007061763191</stp>
        <tr r="T34" s="22"/>
      </tp>
      <tp t="e">
        <v>#N/A</v>
        <stp/>
        <stp>BDH|7619905198667776046</stp>
        <tr r="H52" s="12"/>
      </tp>
      <tp t="e">
        <v>#N/A</v>
        <stp/>
        <stp>BDH|9375497446410638974</stp>
        <tr r="E30" s="34"/>
      </tp>
      <tp t="e">
        <v>#N/A</v>
        <stp/>
        <stp>BDH|1583663571226890672</stp>
        <tr r="O19" s="9"/>
      </tp>
      <tp t="e">
        <v>#N/A</v>
        <stp/>
        <stp>BDH|9942543883891255518</stp>
        <tr r="R48" s="17"/>
      </tp>
      <tp t="e">
        <v>#N/A</v>
        <stp/>
        <stp>BDH|8012795333628763406</stp>
        <tr r="C16" s="21"/>
      </tp>
      <tp t="e">
        <v>#N/A</v>
        <stp/>
        <stp>BDH|3851761606730547405</stp>
        <tr r="G14" s="8"/>
      </tp>
      <tp t="e">
        <v>#N/A</v>
        <stp/>
        <stp>BDH|7969214216270561464</stp>
        <tr r="Y54" s="17"/>
        <tr r="Y17" s="3"/>
      </tp>
      <tp t="e">
        <v>#N/A</v>
        <stp/>
        <stp>BDH|5591439826676916545</stp>
        <tr r="S29" s="24"/>
      </tp>
      <tp t="e">
        <v>#N/A</v>
        <stp/>
        <stp>BDH|6883269505527713310</stp>
        <tr r="X41" s="12"/>
      </tp>
      <tp t="e">
        <v>#N/A</v>
        <stp/>
        <stp>BDH|9971314124948263039</stp>
        <tr r="P27" s="22"/>
      </tp>
      <tp t="e">
        <v>#N/A</v>
        <stp/>
        <stp>BDH|1654488960826152525</stp>
        <tr r="G9" s="24"/>
      </tp>
      <tp t="e">
        <v>#N/A</v>
        <stp/>
        <stp>BDH|3895675259150280091</stp>
        <tr r="T66" s="21"/>
      </tp>
      <tp t="e">
        <v>#N/A</v>
        <stp/>
        <stp>BDH|6698278653211954062</stp>
        <tr r="G155" s="18"/>
      </tp>
      <tp t="e">
        <v>#N/A</v>
        <stp/>
        <stp>BDH|7577566089459324340</stp>
        <tr r="X28" s="18"/>
      </tp>
      <tp t="e">
        <v>#N/A</v>
        <stp/>
        <stp>BDH|3152496263465511431</stp>
        <tr r="P19" s="6"/>
      </tp>
      <tp t="e">
        <v>#N/A</v>
        <stp/>
        <stp>BDH|1608361219720715330</stp>
        <tr r="P164" s="18"/>
      </tp>
      <tp t="e">
        <v>#N/A</v>
        <stp/>
        <stp>BDH|9426942701301949150</stp>
        <tr r="L47" s="21"/>
      </tp>
      <tp t="e">
        <v>#N/A</v>
        <stp/>
        <stp>BDH|3756127080918144299</stp>
        <tr r="E9" s="20"/>
        <tr r="E115" s="18"/>
      </tp>
      <tp t="e">
        <v>#N/A</v>
        <stp/>
        <stp>BDH|6449315018004015006</stp>
        <tr r="I6" s="15"/>
        <tr r="I6" s="10"/>
        <tr r="I12" s="2"/>
        <tr r="I11" s="4"/>
      </tp>
      <tp t="e">
        <v>#N/A</v>
        <stp/>
        <stp>BDH|2454830968985542971</stp>
        <tr r="Y24" s="2"/>
      </tp>
      <tp t="e">
        <v>#N/A</v>
        <stp/>
        <stp>BDH|2453105068114692171</stp>
        <tr r="E25" s="24"/>
      </tp>
      <tp t="e">
        <v>#N/A</v>
        <stp/>
        <stp>BDH|1418232889898761344</stp>
        <tr r="E44" s="13"/>
        <tr r="C36" s="11"/>
        <tr r="C47" s="10"/>
        <tr r="E8" s="3"/>
        <tr r="C52" s="4"/>
      </tp>
      <tp t="e">
        <v>#N/A</v>
        <stp/>
        <stp>BDH|3431934423991826915</stp>
        <tr r="P8" s="2"/>
      </tp>
      <tp t="e">
        <v>#N/A</v>
        <stp/>
        <stp>BDH|3400059537703850333</stp>
        <tr r="I10" s="10"/>
      </tp>
      <tp t="e">
        <v>#N/A</v>
        <stp/>
        <stp>BDH|6663730798959157112</stp>
        <tr r="P66" s="10"/>
      </tp>
      <tp t="e">
        <v>#N/A</v>
        <stp/>
        <stp>BDH|3663107067821866547</stp>
        <tr r="E90" s="17"/>
      </tp>
      <tp t="e">
        <v>#N/A</v>
        <stp/>
        <stp>BDH|3893687476290210295</stp>
        <tr r="Q26" s="26"/>
      </tp>
      <tp t="e">
        <v>#N/A</v>
        <stp/>
        <stp>BDH|8964173970866415874</stp>
        <tr r="Z7" s="21"/>
      </tp>
      <tp t="e">
        <v>#N/A</v>
        <stp/>
        <stp>BDH|7347267568601074209</stp>
        <tr r="O122" s="18"/>
      </tp>
      <tp t="e">
        <v>#N/A</v>
        <stp/>
        <stp>BDH|2968194567251289483</stp>
        <tr r="E65" s="17"/>
      </tp>
      <tp t="e">
        <v>#N/A</v>
        <stp/>
        <stp>BDH|7368717809335712518</stp>
        <tr r="R76" s="24"/>
      </tp>
      <tp t="e">
        <v>#N/A</v>
        <stp/>
        <stp>BDH|3306079428611721066</stp>
        <tr r="R17" s="28"/>
        <tr r="R14" s="17"/>
      </tp>
      <tp t="e">
        <v>#N/A</v>
        <stp/>
        <stp>BDH|5480190446635219544</stp>
        <tr r="D14" s="23"/>
      </tp>
      <tp t="e">
        <v>#N/A</v>
        <stp/>
        <stp>BDH|2581831129858383013</stp>
        <tr r="R19" s="17"/>
      </tp>
      <tp t="e">
        <v>#N/A</v>
        <stp/>
        <stp>BDH|6816019151165254671</stp>
        <tr r="Q12" s="17"/>
      </tp>
      <tp t="e">
        <v>#N/A</v>
        <stp/>
        <stp>BDH|3585140302784841666</stp>
        <tr r="C31" s="17"/>
      </tp>
      <tp t="e">
        <v>#N/A</v>
        <stp/>
        <stp>BDH|2857861383507489545</stp>
        <tr r="P16" s="11"/>
      </tp>
      <tp t="e">
        <v>#N/A</v>
        <stp/>
        <stp>BDH|5394016855342803220</stp>
        <tr r="E24" s="6"/>
      </tp>
      <tp t="e">
        <v>#N/A</v>
        <stp/>
        <stp>BDH|1682089176465482313</stp>
        <tr r="T60" s="17"/>
      </tp>
      <tp t="e">
        <v>#N/A</v>
        <stp/>
        <stp>BDH|7170615938042142048</stp>
        <tr r="C42" s="21"/>
      </tp>
      <tp t="e">
        <v>#N/A</v>
        <stp/>
        <stp>BDH|2073057876065999088</stp>
        <tr r="J13" s="6"/>
      </tp>
      <tp t="e">
        <v>#N/A</v>
        <stp/>
        <stp>BDH|3668496217062220483</stp>
        <tr r="O35" s="4"/>
      </tp>
      <tp t="e">
        <v>#N/A</v>
        <stp/>
        <stp>BDH|3476534603316468027</stp>
        <tr r="R23" s="24"/>
      </tp>
      <tp t="e">
        <v>#N/A</v>
        <stp/>
        <stp>BDH|1748125662206506003</stp>
        <tr r="U50" s="13"/>
      </tp>
      <tp t="e">
        <v>#N/A</v>
        <stp/>
        <stp>BDH|4843595515950288040</stp>
        <tr r="R78" s="24"/>
      </tp>
      <tp t="e">
        <v>#N/A</v>
        <stp/>
        <stp>BDH|4914836159528700161</stp>
        <tr r="G35" s="4"/>
      </tp>
      <tp t="e">
        <v>#N/A</v>
        <stp/>
        <stp>BDH|1025435950559418950</stp>
        <tr r="O64" s="18"/>
      </tp>
      <tp t="e">
        <v>#N/A</v>
        <stp/>
        <stp>BDH|5022622216450224245</stp>
        <tr r="I8" s="26"/>
        <tr r="F10" s="9"/>
      </tp>
      <tp t="e">
        <v>#N/A</v>
        <stp/>
        <stp>BDH|9108383954777856873</stp>
        <tr r="P74" s="18"/>
      </tp>
      <tp t="e">
        <v>#N/A</v>
        <stp/>
        <stp>BDH|4120126533722096428</stp>
        <tr r="P42" s="10"/>
        <tr r="P31" s="11"/>
      </tp>
      <tp t="e">
        <v>#N/A</v>
        <stp/>
        <stp>BDH|5832001465576754587</stp>
        <tr r="D77" s="17"/>
      </tp>
      <tp t="e">
        <v>#N/A</v>
        <stp/>
        <stp>BDH|4637182115353964701</stp>
        <tr r="K47" s="21"/>
      </tp>
      <tp t="e">
        <v>#N/A</v>
        <stp/>
        <stp>BDH|3138232591478562046</stp>
        <tr r="AA43" s="17"/>
      </tp>
      <tp t="e">
        <v>#N/A</v>
        <stp/>
        <stp>BDH|8025460395460059516</stp>
        <tr r="J61" s="13"/>
      </tp>
      <tp t="e">
        <v>#N/A</v>
        <stp/>
        <stp>BDH|3398747174716153509</stp>
        <tr r="T36" s="26"/>
      </tp>
      <tp t="e">
        <v>#N/A</v>
        <stp/>
        <stp>BDH|7574418728827853666</stp>
        <tr r="I90" s="17"/>
      </tp>
      <tp t="e">
        <v>#N/A</v>
        <stp/>
        <stp>BDH|3805585928401820527</stp>
        <tr r="S126" s="18"/>
      </tp>
      <tp t="e">
        <v>#N/A</v>
        <stp/>
        <stp>BDH|4315186869624240721</stp>
        <tr r="J20" s="14"/>
      </tp>
      <tp t="e">
        <v>#N/A</v>
        <stp/>
        <stp>BDH|5908043205374252181</stp>
        <tr r="S18" s="13"/>
      </tp>
      <tp t="e">
        <v>#N/A</v>
        <stp/>
        <stp>BDH|2675813913013758816</stp>
        <tr r="K26" s="7"/>
      </tp>
      <tp t="e">
        <v>#N/A</v>
        <stp/>
        <stp>BDH|8634960744550283549</stp>
        <tr r="Q11" s="17"/>
      </tp>
      <tp t="e">
        <v>#N/A</v>
        <stp/>
        <stp>BDH|9678307718612532992</stp>
        <tr r="U170" s="18"/>
      </tp>
      <tp t="e">
        <v>#N/A</v>
        <stp/>
        <stp>BDH|9128505182404634077</stp>
        <tr r="Y64" s="17"/>
      </tp>
      <tp t="e">
        <v>#N/A</v>
        <stp/>
        <stp>BDH|1309544107150013423</stp>
        <tr r="X20" s="24"/>
      </tp>
      <tp t="e">
        <v>#N/A</v>
        <stp/>
        <stp>BDH|5649756742357612157</stp>
        <tr r="Z20" s="22"/>
      </tp>
      <tp t="e">
        <v>#N/A</v>
        <stp/>
        <stp>BDH|4987398801342471573</stp>
        <tr r="L76" s="12"/>
      </tp>
      <tp t="e">
        <v>#N/A</v>
        <stp/>
        <stp>BDH|4759439502838434800</stp>
        <tr r="S36" s="22"/>
      </tp>
      <tp t="e">
        <v>#N/A</v>
        <stp/>
        <stp>BDH|6566427804451170305</stp>
        <tr r="N22" s="4"/>
      </tp>
      <tp t="e">
        <v>#N/A</v>
        <stp/>
        <stp>BDH|6549213398085721893</stp>
        <tr r="J44" s="21"/>
      </tp>
      <tp t="e">
        <v>#N/A</v>
        <stp/>
        <stp>BDH|7024065827814195120</stp>
        <tr r="P10" s="12"/>
      </tp>
      <tp t="e">
        <v>#N/A</v>
        <stp/>
        <stp>BDH|1999902552455900809</stp>
        <tr r="M13" s="5"/>
      </tp>
      <tp t="e">
        <v>#N/A</v>
        <stp/>
        <stp>BDH|8078656760349012175</stp>
        <tr r="C60" s="18"/>
      </tp>
      <tp t="e">
        <v>#N/A</v>
        <stp/>
        <stp>BDH|8379557470659212361</stp>
        <tr r="U104" s="18"/>
      </tp>
      <tp t="e">
        <v>#N/A</v>
        <stp/>
        <stp>BDH|4042877706588271418</stp>
        <tr r="E88" s="17"/>
      </tp>
      <tp t="e">
        <v>#N/A</v>
        <stp/>
        <stp>BDH|7189991439335320801</stp>
        <tr r="P172" s="18"/>
      </tp>
      <tp t="e">
        <v>#N/A</v>
        <stp/>
        <stp>BDH|9108995879224468378</stp>
        <tr r="D36" s="12"/>
      </tp>
      <tp t="e">
        <v>#N/A</v>
        <stp/>
        <stp>BDH|7008198614612813577</stp>
        <tr r="H21" s="22"/>
      </tp>
      <tp t="e">
        <v>#N/A</v>
        <stp/>
        <stp>BDH|7828272068377319469</stp>
        <tr r="J64" s="17"/>
      </tp>
      <tp t="e">
        <v>#N/A</v>
        <stp/>
        <stp>BDH|5075220953182053038</stp>
        <tr r="I12" s="27"/>
        <tr r="I30" s="25"/>
      </tp>
      <tp t="e">
        <v>#N/A</v>
        <stp/>
        <stp>BDH|4334411220305026709</stp>
        <tr r="W53" s="13"/>
      </tp>
      <tp t="e">
        <v>#N/A</v>
        <stp/>
        <stp>BDH|1749364326989111942</stp>
        <tr r="Q44" s="21"/>
      </tp>
      <tp t="e">
        <v>#N/A</v>
        <stp/>
        <stp>BDH|2444815511329710219</stp>
        <tr r="Y61" s="17"/>
      </tp>
      <tp t="e">
        <v>#N/A</v>
        <stp/>
        <stp>BDH|1619528440461017166</stp>
        <tr r="P24" s="13"/>
      </tp>
      <tp t="e">
        <v>#N/A</v>
        <stp/>
        <stp>BDH|2059734715931101555</stp>
        <tr r="X20" s="28"/>
        <tr r="X17" s="17"/>
      </tp>
      <tp t="e">
        <v>#N/A</v>
        <stp/>
        <stp>BDH|6147314843455294430</stp>
        <tr r="Y81" s="12"/>
      </tp>
      <tp t="e">
        <v>#N/A</v>
        <stp/>
        <stp>BDH|4862502138340282203</stp>
        <tr r="U66" s="12"/>
      </tp>
      <tp t="e">
        <v>#N/A</v>
        <stp/>
        <stp>BDH|2950876696377391495</stp>
        <tr r="Q78" s="18"/>
      </tp>
      <tp t="e">
        <v>#N/A</v>
        <stp/>
        <stp>BDH|5733618816095301717</stp>
        <tr r="Z15" s="22"/>
      </tp>
      <tp t="e">
        <v>#N/A</v>
        <stp/>
        <stp>BDH|6464638425414314634</stp>
        <tr r="H10" s="26"/>
      </tp>
      <tp t="e">
        <v>#N/A</v>
        <stp/>
        <stp>BDH|1523084119046691600</stp>
        <tr r="I43" s="26"/>
      </tp>
      <tp t="e">
        <v>#N/A</v>
        <stp/>
        <stp>BDH|8301178685220424177</stp>
        <tr r="Y38" s="13"/>
        <tr r="W31" s="10"/>
      </tp>
      <tp t="e">
        <v>#N/A</v>
        <stp/>
        <stp>BDH|4923718700981341298</stp>
        <tr r="Z63" s="12"/>
      </tp>
      <tp t="e">
        <v>#N/A</v>
        <stp/>
        <stp>BDH|4097129359822168281</stp>
        <tr r="I30" s="22"/>
      </tp>
      <tp t="e">
        <v>#N/A</v>
        <stp/>
        <stp>BDH|6455228655514214528</stp>
        <tr r="P46" s="13"/>
        <tr r="N30" s="11"/>
        <tr r="N41" s="10"/>
      </tp>
      <tp t="e">
        <v>#N/A</v>
        <stp/>
        <stp>BDH|2691720616910545445</stp>
        <tr r="D19" s="22"/>
      </tp>
      <tp t="e">
        <v>#N/A</v>
        <stp/>
        <stp>BDH|8313094187289954973</stp>
        <tr r="J76" s="17"/>
      </tp>
      <tp t="e">
        <v>#N/A</v>
        <stp/>
        <stp>BDH|5372056566046638553</stp>
        <tr r="N21" s="20"/>
      </tp>
      <tp t="e">
        <v>#N/A</v>
        <stp/>
        <stp>BDH|2140410026546780229</stp>
        <tr r="X17" s="28"/>
        <tr r="X14" s="17"/>
      </tp>
      <tp t="e">
        <v>#N/A</v>
        <stp/>
        <stp>BDH|7402240878285957727</stp>
        <tr r="G10" s="23"/>
      </tp>
      <tp t="e">
        <v>#N/A</v>
        <stp/>
        <stp>BDH|6943914463268026180</stp>
        <tr r="Z54" s="13"/>
      </tp>
      <tp t="e">
        <v>#N/A</v>
        <stp/>
        <stp>BDH|1699680726362397783</stp>
        <tr r="W22" s="22"/>
      </tp>
      <tp t="e">
        <v>#N/A</v>
        <stp/>
        <stp>BDH|8026461733608579732</stp>
        <tr r="O65" s="21"/>
        <tr r="L31" s="6"/>
      </tp>
      <tp t="e">
        <v>#N/A</v>
        <stp/>
        <stp>BDH|7074561252783207451</stp>
        <tr r="K50" s="4"/>
      </tp>
      <tp t="e">
        <v>#N/A</v>
        <stp/>
        <stp>BDH|7442645143174224121</stp>
        <tr r="I52" s="17"/>
      </tp>
      <tp t="e">
        <v>#N/A</v>
        <stp/>
        <stp>BDH|2336782900664005184</stp>
        <tr r="D99" s="12"/>
      </tp>
      <tp t="e">
        <v>#N/A</v>
        <stp/>
        <stp>BDH|2108605423310420657</stp>
        <tr r="S21" s="4"/>
      </tp>
      <tp t="e">
        <v>#N/A</v>
        <stp/>
        <stp>BDH|7129125316383759413</stp>
        <tr r="P18" s="34"/>
      </tp>
      <tp t="e">
        <v>#N/A</v>
        <stp/>
        <stp>BDH|1813126501831192193</stp>
        <tr r="P23" s="25"/>
      </tp>
      <tp t="e">
        <v>#N/A</v>
        <stp/>
        <stp>BDH|7223716123240209213</stp>
        <tr r="V39" s="13"/>
        <tr r="T32" s="10"/>
      </tp>
      <tp t="e">
        <v>#N/A</v>
        <stp/>
        <stp>BDH|7718146573326555764</stp>
        <tr r="L51" s="13"/>
      </tp>
      <tp t="e">
        <v>#N/A</v>
        <stp/>
        <stp>BDH|5530132231140052741</stp>
        <tr r="F32" s="24"/>
      </tp>
      <tp t="e">
        <v>#N/A</v>
        <stp/>
        <stp>BDH|9790713596676097131</stp>
        <tr r="D78" s="12"/>
      </tp>
      <tp t="e">
        <v>#N/A</v>
        <stp/>
        <stp>BDH|6208378894318783457</stp>
        <tr r="Q25" s="5"/>
      </tp>
      <tp t="e">
        <v>#N/A</v>
        <stp/>
        <stp>BDH|8078259799352989162</stp>
        <tr r="W15" s="14"/>
      </tp>
      <tp t="e">
        <v>#N/A</v>
        <stp/>
        <stp>BDH|6697146460933114201</stp>
        <tr r="G31" s="26"/>
      </tp>
      <tp t="e">
        <v>#N/A</v>
        <stp/>
        <stp>BDH|5125341110725263244</stp>
        <tr r="W70" s="10"/>
      </tp>
      <tp t="e">
        <v>#N/A</v>
        <stp/>
        <stp>BDH|1221733847082151042</stp>
        <tr r="V13" s="9"/>
      </tp>
      <tp t="e">
        <v>#N/A</v>
        <stp/>
        <stp>BDH|3620493361997579689</stp>
        <tr r="U101" s="18"/>
      </tp>
      <tp t="e">
        <v>#N/A</v>
        <stp/>
        <stp>BDH|9299089292492301282</stp>
        <tr r="E69" s="24"/>
      </tp>
      <tp t="e">
        <v>#N/A</v>
        <stp/>
        <stp>BDH|3831719035224999367</stp>
        <tr r="Z8" s="28"/>
      </tp>
      <tp t="e">
        <v>#N/A</v>
        <stp/>
        <stp>BDH|5480212949090851376</stp>
        <tr r="F57" s="18"/>
      </tp>
      <tp t="e">
        <v>#N/A</v>
        <stp/>
        <stp>BDH|7953135161930132093</stp>
        <tr r="Q12" s="26"/>
      </tp>
      <tp t="e">
        <v>#N/A</v>
        <stp/>
        <stp>BDH|1579824085178328928</stp>
        <tr r="F17" s="28"/>
        <tr r="F14" s="17"/>
      </tp>
      <tp t="e">
        <v>#N/A</v>
        <stp/>
        <stp>BDH|6780335186585778864</stp>
        <tr r="L22" s="17"/>
        <tr r="L15" s="3"/>
      </tp>
      <tp t="e">
        <v>#N/A</v>
        <stp/>
        <stp>BDH|7118605062626919198</stp>
        <tr r="K64" s="18"/>
      </tp>
      <tp t="e">
        <v>#N/A</v>
        <stp/>
        <stp>BDH|2107665059481928049</stp>
        <tr r="C57" s="18"/>
      </tp>
      <tp t="e">
        <v>#N/A</v>
        <stp/>
        <stp>BDH|6070539756190359650</stp>
        <tr r="Q14" s="12"/>
      </tp>
      <tp t="e">
        <v>#N/A</v>
        <stp/>
        <stp>BDH|9383934592751984889</stp>
        <tr r="Y40" s="29"/>
        <tr r="Y17" s="29"/>
      </tp>
      <tp t="e">
        <v>#N/A</v>
        <stp/>
        <stp>BDH|3319099740750937706</stp>
        <tr r="T7" s="17"/>
      </tp>
      <tp t="e">
        <v>#N/A</v>
        <stp/>
        <stp>BDH|7413686820356682596</stp>
        <tr r="X27" s="22"/>
      </tp>
      <tp t="e">
        <v>#N/A</v>
        <stp/>
        <stp>BDH|4997006037417859054</stp>
        <tr r="R84" s="17"/>
        <tr r="P6" s="7"/>
        <tr r="R20" s="3"/>
      </tp>
      <tp t="e">
        <v>#N/A</v>
        <stp/>
        <stp>BDH|9858481480884065137</stp>
        <tr r="E96" s="12"/>
      </tp>
      <tp t="e">
        <v>#N/A</v>
        <stp/>
        <stp>BDH|1119689096378510697</stp>
        <tr r="H84" s="12"/>
      </tp>
      <tp t="e">
        <v>#N/A</v>
        <stp/>
        <stp>BDH|7180735877013206440</stp>
        <tr r="K77" s="24"/>
      </tp>
      <tp t="e">
        <v>#N/A</v>
        <stp/>
        <stp>BDH|2151792339373701558</stp>
        <tr r="F89" s="17"/>
      </tp>
      <tp t="e">
        <v>#N/A</v>
        <stp/>
        <stp>BDH|4470357286167481805</stp>
        <tr r="X133" s="18"/>
      </tp>
      <tp t="e">
        <v>#N/A</v>
        <stp/>
        <stp>BDH|3211681255028551899</stp>
        <tr r="X10" s="21"/>
      </tp>
      <tp t="e">
        <v>#N/A</v>
        <stp/>
        <stp>BDH|5761012822022789503</stp>
        <tr r="O10" s="11"/>
      </tp>
      <tp t="e">
        <v>#N/A</v>
        <stp/>
        <stp>BDH|5487778391412230939</stp>
        <tr r="G36" s="34"/>
      </tp>
      <tp t="e">
        <v>#N/A</v>
        <stp/>
        <stp>BDH|9529083182065988468</stp>
        <tr r="J14" s="22"/>
      </tp>
      <tp t="e">
        <v>#N/A</v>
        <stp/>
        <stp>BDH|3785641845148288941</stp>
        <tr r="F72" s="13"/>
      </tp>
      <tp t="e">
        <v>#N/A</v>
        <stp/>
        <stp>BDH|7670582528780544037</stp>
        <tr r="F43" s="17"/>
      </tp>
      <tp t="e">
        <v>#N/A</v>
        <stp/>
        <stp>BDH|1714221146876219118</stp>
        <tr r="R71" s="17"/>
      </tp>
      <tp t="e">
        <v>#N/A</v>
        <stp/>
        <stp>BDH|4629647550635714253</stp>
        <tr r="Y8" s="10"/>
      </tp>
      <tp t="e">
        <v>#N/A</v>
        <stp/>
        <stp>BDH|9295839195541146951</stp>
        <tr r="X83" s="18"/>
      </tp>
      <tp t="e">
        <v>#N/A</v>
        <stp/>
        <stp>BDH|7584934542172484805</stp>
        <tr r="S10" s="25"/>
        <tr r="S55" s="17"/>
      </tp>
      <tp t="e">
        <v>#N/A</v>
        <stp/>
        <stp>BDH|3148525149126896429</stp>
        <tr r="E126" s="18"/>
      </tp>
      <tp t="e">
        <v>#N/A</v>
        <stp/>
        <stp>BDH|1631778161858090809</stp>
        <tr r="F89" s="12"/>
      </tp>
      <tp t="e">
        <v>#N/A</v>
        <stp/>
        <stp>BDH|4541766377425341171</stp>
        <tr r="X29" s="6"/>
      </tp>
      <tp t="e">
        <v>#N/A</v>
        <stp/>
        <stp>BDH|9805112161499137796</stp>
        <tr r="C10" s="21"/>
      </tp>
      <tp t="e">
        <v>#N/A</v>
        <stp/>
        <stp>BDH|2071870184321023334</stp>
        <tr r="Y151" s="18"/>
      </tp>
      <tp t="e">
        <v>#N/A</v>
        <stp/>
        <stp>BDH|9947516893097839234</stp>
        <tr r="P93" s="18"/>
      </tp>
      <tp t="e">
        <v>#N/A</v>
        <stp/>
        <stp>BDH|2537163801937096425</stp>
        <tr r="W7" s="14"/>
      </tp>
      <tp t="e">
        <v>#N/A</v>
        <stp/>
        <stp>BDH|1122470564657677447</stp>
        <tr r="N26" s="24"/>
      </tp>
      <tp t="e">
        <v>#N/A</v>
        <stp/>
        <stp>BDH|1311393768184463061</stp>
        <tr r="G10" s="10"/>
      </tp>
      <tp t="e">
        <v>#N/A</v>
        <stp/>
        <stp>BDH|3202403904567360054</stp>
        <tr r="X94" s="12"/>
      </tp>
      <tp t="e">
        <v>#N/A</v>
        <stp/>
        <stp>BDH|1367046870451192769</stp>
        <tr r="X24" s="6"/>
      </tp>
      <tp t="e">
        <v>#N/A</v>
        <stp/>
        <stp>BDH|6488549932851283106</stp>
        <tr r="E15" s="12"/>
      </tp>
      <tp t="e">
        <v>#N/A</v>
        <stp/>
        <stp>BDH|7761072313781033737</stp>
        <tr r="H15" s="26"/>
      </tp>
      <tp t="e">
        <v>#N/A</v>
        <stp/>
        <stp>BDH|2704440467544762435</stp>
        <tr r="D50" s="17"/>
      </tp>
      <tp t="e">
        <v>#N/A</v>
        <stp/>
        <stp>BDH|5278030583735051823</stp>
        <tr r="V25" s="22"/>
      </tp>
      <tp t="e">
        <v>#N/A</v>
        <stp/>
        <stp>BDH|4603615238109928860</stp>
        <tr r="U32" s="9"/>
      </tp>
      <tp t="e">
        <v>#N/A</v>
        <stp/>
        <stp>BDH|1592600846936503569</stp>
        <tr r="C20" s="28"/>
        <tr r="C17" s="17"/>
      </tp>
      <tp t="e">
        <v>#N/A</v>
        <stp/>
        <stp>BDH|8307923641791553458</stp>
        <tr r="K161" s="18"/>
      </tp>
      <tp t="e">
        <v>#N/A</v>
        <stp/>
        <stp>BDH|7404517750772310569</stp>
        <tr r="F80" s="18"/>
      </tp>
      <tp t="e">
        <v>#N/A</v>
        <stp/>
        <stp>BDH|2945224666662964448</stp>
        <tr r="E46" s="24"/>
      </tp>
      <tp t="e">
        <v>#N/A</v>
        <stp/>
        <stp>BDH|8821352380592847159</stp>
        <tr r="L30" s="24"/>
      </tp>
      <tp t="e">
        <v>#N/A</v>
        <stp/>
        <stp>BDH|6269739742430744547</stp>
        <tr r="E31" s="26"/>
      </tp>
      <tp t="e">
        <v>#N/A</v>
        <stp/>
        <stp>BDH|3784640228351356685</stp>
        <tr r="G60" s="18"/>
      </tp>
      <tp t="e">
        <v>#N/A</v>
        <stp/>
        <stp>BDH|5305110116442399776</stp>
        <tr r="K81" s="12"/>
      </tp>
      <tp t="e">
        <v>#N/A</v>
        <stp/>
        <stp>BDH|5681012432090266677</stp>
        <tr r="O44" s="21"/>
      </tp>
      <tp t="e">
        <v>#N/A</v>
        <stp/>
        <stp>BDH|5473114157803264207</stp>
        <tr r="Y13" s="24"/>
      </tp>
      <tp t="e">
        <v>#N/A</v>
        <stp/>
        <stp>BDH|9078672063629587011</stp>
        <tr r="M33" s="12"/>
      </tp>
      <tp t="e">
        <v>#N/A</v>
        <stp/>
        <stp>BDH|8613900236226475449</stp>
        <tr r="C51" s="12"/>
      </tp>
      <tp t="e">
        <v>#N/A</v>
        <stp/>
        <stp>BDH|9529642457112491825</stp>
        <tr r="J19" s="10"/>
      </tp>
      <tp t="e">
        <v>#N/A</v>
        <stp/>
        <stp>BDH|3097475694776468870</stp>
        <tr r="R35" s="4"/>
      </tp>
      <tp t="e">
        <v>#N/A</v>
        <stp/>
        <stp>BDH|4880282753746287519</stp>
        <tr r="T48" s="22"/>
      </tp>
      <tp t="e">
        <v>#N/A</v>
        <stp/>
        <stp>BDH|2631503169783909268</stp>
        <tr r="N154" s="18"/>
      </tp>
      <tp t="e">
        <v>#N/A</v>
        <stp/>
        <stp>BDH|3215919422461842996</stp>
        <tr r="E83" s="18"/>
      </tp>
      <tp t="e">
        <v>#N/A</v>
        <stp/>
        <stp>BDH|8357155780969770810</stp>
        <tr r="G20" s="18"/>
      </tp>
      <tp t="e">
        <v>#N/A</v>
        <stp/>
        <stp>BDH|2463643623603785545</stp>
        <tr r="E49" s="18"/>
      </tp>
      <tp t="e">
        <v>#N/A</v>
        <stp/>
        <stp>BDH|1515469835090017667</stp>
        <tr r="C93" s="18"/>
      </tp>
      <tp t="e">
        <v>#N/A</v>
        <stp/>
        <stp>BDH|3725701160623288153</stp>
        <tr r="M78" s="18"/>
      </tp>
      <tp t="e">
        <v>#N/A</v>
        <stp/>
        <stp>BDH|2493110235805721562</stp>
        <tr r="F10" s="34"/>
      </tp>
      <tp t="e">
        <v>#N/A</v>
        <stp/>
        <stp>BDH|2495319936546241400</stp>
        <tr r="N15" s="24"/>
      </tp>
      <tp t="e">
        <v>#N/A</v>
        <stp/>
        <stp>BDH|1720252673046316231</stp>
        <tr r="G60" s="17"/>
      </tp>
      <tp t="e">
        <v>#N/A</v>
        <stp/>
        <stp>BDH|4294063795735895884</stp>
        <tr r="I26" s="17"/>
      </tp>
      <tp t="e">
        <v>#N/A</v>
        <stp/>
        <stp>BDH|6332906081803487475</stp>
        <tr r="S57" s="6"/>
      </tp>
      <tp t="e">
        <v>#N/A</v>
        <stp/>
        <stp>BDH|7272522113611363216</stp>
        <tr r="N86" s="18"/>
      </tp>
      <tp t="e">
        <v>#N/A</v>
        <stp/>
        <stp>BDH|3003731162585228725</stp>
        <tr r="D21" s="30"/>
      </tp>
      <tp t="e">
        <v>#N/A</v>
        <stp/>
        <stp>BDH|5113324503724399228</stp>
        <tr r="I18" s="22"/>
      </tp>
      <tp t="e">
        <v>#N/A</v>
        <stp/>
        <stp>BDH|3181018797199207342</stp>
        <tr r="W73" s="18"/>
      </tp>
      <tp t="e">
        <v>#N/A</v>
        <stp/>
        <stp>BDH|4009841824887290933</stp>
        <tr r="J6" s="6"/>
      </tp>
      <tp t="e">
        <v>#N/A</v>
        <stp/>
        <stp>BDH|1695668167313093269</stp>
        <tr r="I42" s="22"/>
      </tp>
      <tp t="e">
        <v>#N/A</v>
        <stp/>
        <stp>BDH|4532690650060830752</stp>
        <tr r="Y21" s="27"/>
      </tp>
      <tp t="e">
        <v>#N/A</v>
        <stp/>
        <stp>BDH|9237113989957938728</stp>
        <tr r="U6" s="15"/>
        <tr r="U6" s="10"/>
        <tr r="U11" s="4"/>
        <tr r="U12" s="2"/>
      </tp>
      <tp t="e">
        <v>#N/A</v>
        <stp/>
        <stp>BDH|1557524931586590128</stp>
        <tr r="J9" s="30"/>
      </tp>
      <tp t="e">
        <v>#N/A</v>
        <stp/>
        <stp>BDH|7084478252655721331</stp>
        <tr r="H9" s="27"/>
      </tp>
      <tp t="e">
        <v>#N/A</v>
        <stp/>
        <stp>BDH|9165775766070427854</stp>
        <tr r="O43" s="29"/>
      </tp>
      <tp t="e">
        <v>#N/A</v>
        <stp/>
        <stp>BDH|8129431672049503246</stp>
        <tr r="P163" s="18"/>
      </tp>
      <tp t="e">
        <v>#N/A</v>
        <stp/>
        <stp>BDH|3702127646246209000</stp>
        <tr r="S32" s="29"/>
        <tr r="Q34" s="5"/>
      </tp>
      <tp t="e">
        <v>#N/A</v>
        <stp/>
        <stp>BDH|2528594052012772084</stp>
        <tr r="Z49" s="24"/>
      </tp>
      <tp t="e">
        <v>#N/A</v>
        <stp/>
        <stp>BDH|3337512187557728933</stp>
        <tr r="G126" s="18"/>
      </tp>
      <tp t="e">
        <v>#N/A</v>
        <stp/>
        <stp>BDH|2806662419134265141</stp>
        <tr r="Q109" s="18"/>
      </tp>
      <tp t="e">
        <v>#N/A</v>
        <stp/>
        <stp>BDH|9826191172729621642</stp>
        <tr r="F41" s="24"/>
      </tp>
      <tp t="e">
        <v>#N/A</v>
        <stp/>
        <stp>BDH|3637145516317085459</stp>
        <tr r="I11" s="7"/>
      </tp>
      <tp t="e">
        <v>#N/A</v>
        <stp/>
        <stp>BDH|3276941622811082952</stp>
        <tr r="T44" s="11"/>
        <tr r="T55" s="10"/>
        <tr r="T15" s="7"/>
      </tp>
      <tp t="e">
        <v>#N/A</v>
        <stp/>
        <stp>BDH|7296439476333268741</stp>
        <tr r="AA7" s="14"/>
      </tp>
      <tp t="e">
        <v>#N/A</v>
        <stp/>
        <stp>BDH|4973254113587610083</stp>
        <tr r="S21" s="30"/>
      </tp>
      <tp t="e">
        <v>#N/A</v>
        <stp/>
        <stp>BDH|1322177400810083052</stp>
        <tr r="F13" s="11"/>
      </tp>
      <tp t="e">
        <v>#N/A</v>
        <stp/>
        <stp>BDH|1720748971087487675</stp>
        <tr r="F91" s="17"/>
      </tp>
      <tp t="e">
        <v>#N/A</v>
        <stp/>
        <stp>BDH|7278177532321149470</stp>
        <tr r="Y125" s="18"/>
      </tp>
      <tp t="e">
        <v>#N/A</v>
        <stp/>
        <stp>BDH|1350145477744998389</stp>
        <tr r="H41" s="18"/>
      </tp>
      <tp t="e">
        <v>#N/A</v>
        <stp/>
        <stp>BDH|8418354739669160182</stp>
        <tr r="M23" s="21"/>
      </tp>
      <tp t="e">
        <v>#N/A</v>
        <stp/>
        <stp>BDH|7498091942673691081</stp>
        <tr r="S6" s="15"/>
        <tr r="S6" s="10"/>
        <tr r="S12" s="2"/>
        <tr r="S11" s="4"/>
      </tp>
      <tp t="e">
        <v>#N/A</v>
        <stp/>
        <stp>BDH|5365811526899007659</stp>
        <tr r="C80" s="17"/>
      </tp>
      <tp t="e">
        <v>#N/A</v>
        <stp/>
        <stp>BDH|5204298919093420573</stp>
        <tr r="H76" s="18"/>
      </tp>
      <tp t="e">
        <v>#N/A</v>
        <stp/>
        <stp>BDH|5611879815678638434</stp>
        <tr r="X12" s="12"/>
      </tp>
      <tp t="e">
        <v>#N/A</v>
        <stp/>
        <stp>BDH|7258024026995600011</stp>
        <tr r="U43" s="25"/>
        <tr r="U7" s="13"/>
        <tr r="S17" s="11"/>
        <tr r="U22" s="13"/>
        <tr r="U7" s="3"/>
      </tp>
      <tp t="e">
        <v>#N/A</v>
        <stp/>
        <stp>BDH|6044251327311665759</stp>
        <tr r="C10" s="13"/>
      </tp>
      <tp t="e">
        <v>#N/A</v>
        <stp/>
        <stp>BDH|7856350460677428589</stp>
        <tr r="J32" s="18"/>
      </tp>
      <tp t="e">
        <v>#N/A</v>
        <stp/>
        <stp>BDH|4776366454941709330</stp>
        <tr r="I32" s="9"/>
      </tp>
      <tp t="e">
        <v>#N/A</v>
        <stp/>
        <stp>BDH|8111650618017980842</stp>
        <tr r="D36" s="17"/>
      </tp>
      <tp t="e">
        <v>#N/A</v>
        <stp/>
        <stp>BDH|3228401136222039659</stp>
        <tr r="J11" s="14"/>
      </tp>
      <tp t="e">
        <v>#N/A</v>
        <stp/>
        <stp>BDH|6869439258811783654</stp>
        <tr r="D34" s="6"/>
      </tp>
      <tp t="e">
        <v>#N/A</v>
        <stp/>
        <stp>BDH|2106679300696406234</stp>
        <tr r="J124" s="18"/>
      </tp>
      <tp t="e">
        <v>#N/A</v>
        <stp/>
        <stp>BDH|5745218234766200211</stp>
        <tr r="E19" s="23"/>
        <tr r="C60" s="11"/>
      </tp>
      <tp t="e">
        <v>#N/A</v>
        <stp/>
        <stp>BDH|7114656764893220437</stp>
        <tr r="AA19" s="26"/>
      </tp>
      <tp t="e">
        <v>#N/A</v>
        <stp/>
        <stp>BDH|6100154136202783643</stp>
        <tr r="N48" s="6"/>
      </tp>
      <tp t="e">
        <v>#N/A</v>
        <stp/>
        <stp>BDH|3575116551970062742</stp>
        <tr r="X35" s="21"/>
      </tp>
      <tp t="e">
        <v>#N/A</v>
        <stp/>
        <stp>BDH|5259832842220316918</stp>
        <tr r="N32" s="12"/>
      </tp>
      <tp t="e">
        <v>#N/A</v>
        <stp/>
        <stp>BDH|3548380039591756228</stp>
        <tr r="N106" s="18"/>
      </tp>
      <tp t="e">
        <v>#N/A</v>
        <stp/>
        <stp>BDH|4757127825981646673</stp>
        <tr r="H47" s="21"/>
      </tp>
      <tp t="e">
        <v>#N/A</v>
        <stp/>
        <stp>BDH|1429127797890802982</stp>
        <tr r="J13" s="10"/>
      </tp>
      <tp t="e">
        <v>#N/A</v>
        <stp/>
        <stp>BDH|7470274415212470639</stp>
        <tr r="U88" s="17"/>
      </tp>
      <tp t="e">
        <v>#N/A</v>
        <stp/>
        <stp>BDH|3550324228551630388</stp>
        <tr r="Z102" s="18"/>
      </tp>
      <tp t="e">
        <v>#N/A</v>
        <stp/>
        <stp>BDH|1247757837493687670</stp>
        <tr r="N45" s="24"/>
      </tp>
      <tp t="e">
        <v>#N/A</v>
        <stp/>
        <stp>BDH|7776445069195252099</stp>
        <tr r="M84" s="12"/>
      </tp>
      <tp t="e">
        <v>#N/A</v>
        <stp/>
        <stp>BDH|5085923206264622835</stp>
        <tr r="F71" s="17"/>
      </tp>
      <tp t="e">
        <v>#N/A</v>
        <stp/>
        <stp>BDH|7838380441204408430</stp>
        <tr r="L11" s="11"/>
      </tp>
      <tp t="e">
        <v>#N/A</v>
        <stp/>
        <stp>BDH|3447370560715366364</stp>
        <tr r="L23" s="25"/>
      </tp>
      <tp t="e">
        <v>#N/A</v>
        <stp/>
        <stp>BDH|4003169344367296662</stp>
        <tr r="F52" s="13"/>
      </tp>
      <tp t="e">
        <v>#N/A</v>
        <stp/>
        <stp>BDH|5764670993662706821</stp>
        <tr r="N89" s="12"/>
      </tp>
      <tp t="e">
        <v>#N/A</v>
        <stp/>
        <stp>BDH|4462753473493217760</stp>
        <tr r="K148" s="18"/>
      </tp>
      <tp t="e">
        <v>#N/A</v>
        <stp/>
        <stp>BDH|7378245500673231637</stp>
        <tr r="R50" s="17"/>
      </tp>
      <tp t="e">
        <v>#N/A</v>
        <stp/>
        <stp>BDH|5405237062390629155</stp>
        <tr r="D44" s="22"/>
      </tp>
      <tp t="e">
        <v>#N/A</v>
        <stp/>
        <stp>BDH|1363441210303631774</stp>
        <tr r="J36" s="22"/>
      </tp>
      <tp t="e">
        <v>#N/A</v>
        <stp/>
        <stp>BDH|1210623308094717390</stp>
        <tr r="F101" s="18"/>
      </tp>
      <tp t="e">
        <v>#N/A</v>
        <stp/>
        <stp>BDH|9663593559699562056</stp>
        <tr r="G56" s="13"/>
      </tp>
      <tp t="e">
        <v>#N/A</v>
        <stp/>
        <stp>BDH|3530974987066410475</stp>
        <tr r="E50" s="17"/>
      </tp>
      <tp t="e">
        <v>#N/A</v>
        <stp/>
        <stp>BDH|9222941326577742510</stp>
        <tr r="S8" s="11"/>
      </tp>
      <tp t="e">
        <v>#N/A</v>
        <stp/>
        <stp>BDH|7236775007854644428</stp>
        <tr r="C9" s="3"/>
      </tp>
      <tp t="e">
        <v>#N/A</v>
        <stp/>
        <stp>BDH|6665436395948280343</stp>
        <tr r="P34" s="29"/>
      </tp>
      <tp t="e">
        <v>#N/A</v>
        <stp/>
        <stp>BDH|9916901262094904242</stp>
        <tr r="S142" s="18"/>
      </tp>
      <tp t="e">
        <v>#N/A</v>
        <stp/>
        <stp>BDH|4638081918350770573</stp>
        <tr r="S19" s="29"/>
        <tr r="S10" s="29"/>
        <tr r="S25" s="29"/>
        <tr r="S12" s="8"/>
        <tr r="Q6" s="5"/>
        <tr r="Q6" s="9"/>
        <tr r="R6" s="2"/>
      </tp>
      <tp t="e">
        <v>#N/A</v>
        <stp/>
        <stp>BDH|8141476690746777376</stp>
        <tr r="P34" s="17"/>
      </tp>
      <tp t="e">
        <v>#N/A</v>
        <stp/>
        <stp>BDH|7057910382513775523</stp>
        <tr r="R12" s="22"/>
      </tp>
      <tp t="e">
        <v>#N/A</v>
        <stp/>
        <stp>BDH|7252655066052644510</stp>
        <tr r="C49" s="13"/>
      </tp>
      <tp t="e">
        <v>#N/A</v>
        <stp/>
        <stp>BDH|8401496950829996023</stp>
        <tr r="O35" s="13"/>
        <tr r="M28" s="10"/>
      </tp>
      <tp t="e">
        <v>#N/A</v>
        <stp/>
        <stp>BDH|5347336261695761506</stp>
        <tr r="E8" s="22"/>
      </tp>
      <tp t="e">
        <v>#N/A</v>
        <stp/>
        <stp>BDH|9041824546493476667</stp>
        <tr r="H7" s="34"/>
      </tp>
      <tp t="e">
        <v>#N/A</v>
        <stp/>
        <stp>BDH|9979058665828701781</stp>
        <tr r="Y147" s="18"/>
      </tp>
      <tp t="e">
        <v>#N/A</v>
        <stp/>
        <stp>BDH|1506864995303568358</stp>
        <tr r="L78" s="12"/>
      </tp>
      <tp t="e">
        <v>#N/A</v>
        <stp/>
        <stp>BDH|1009847689077982626</stp>
        <tr r="J48" s="34"/>
      </tp>
      <tp t="e">
        <v>#N/A</v>
        <stp/>
        <stp>BDH|4219702062750088564</stp>
        <tr r="L15" s="24"/>
      </tp>
      <tp t="e">
        <v>#N/A</v>
        <stp/>
        <stp>BDH|1352156735997469414</stp>
        <tr r="AA21" s="3"/>
      </tp>
      <tp t="e">
        <v>#N/A</v>
        <stp/>
        <stp>BDH|2789759643806711700</stp>
        <tr r="C21" s="14"/>
      </tp>
      <tp t="e">
        <v>#N/A</v>
        <stp/>
        <stp>BDH|7458129801304048213</stp>
        <tr r="D68" s="17"/>
      </tp>
      <tp t="e">
        <v>#N/A</v>
        <stp/>
        <stp>BDH|6599112437702300667</stp>
        <tr r="W85" s="17"/>
      </tp>
      <tp t="e">
        <v>#N/A</v>
        <stp/>
        <stp>BDH|7959203784554888931</stp>
        <tr r="D27" s="25"/>
      </tp>
      <tp t="e">
        <v>#N/A</v>
        <stp/>
        <stp>BDH|2113795821033999460</stp>
        <tr r="G12" s="14"/>
      </tp>
      <tp t="e">
        <v>#N/A</v>
        <stp/>
        <stp>BDH|5307633439467684792</stp>
        <tr r="L73" s="17"/>
      </tp>
      <tp t="e">
        <v>#N/A</v>
        <stp/>
        <stp>BDH|4676083388988024402</stp>
        <tr r="J57" s="12"/>
      </tp>
      <tp t="e">
        <v>#N/A</v>
        <stp/>
        <stp>BDH|4271460375944151367</stp>
        <tr r="N29" s="34"/>
      </tp>
      <tp t="e">
        <v>#N/A</v>
        <stp/>
        <stp>BDH|3896112223862987254</stp>
        <tr r="R141" s="18"/>
      </tp>
      <tp t="e">
        <v>#N/A</v>
        <stp/>
        <stp>BDH|7339258053175008535</stp>
        <tr r="K129" s="18"/>
      </tp>
      <tp t="e">
        <v>#N/A</v>
        <stp/>
        <stp>BDH|6373947191280194614</stp>
        <tr r="U30" s="14"/>
      </tp>
      <tp t="e">
        <v>#N/A</v>
        <stp/>
        <stp>BDH|5993592571703253457</stp>
        <tr r="O15" s="22"/>
      </tp>
      <tp t="e">
        <v>#N/A</v>
        <stp/>
        <stp>BDH|6371823073791289865</stp>
        <tr r="F12" s="18"/>
      </tp>
      <tp t="e">
        <v>#N/A</v>
        <stp/>
        <stp>BDH|6019940486553320478</stp>
        <tr r="AA26" s="22"/>
      </tp>
      <tp t="e">
        <v>#N/A</v>
        <stp/>
        <stp>BDH|7861651941570886524</stp>
        <tr r="AA30" s="14"/>
      </tp>
      <tp t="e">
        <v>#N/A</v>
        <stp/>
        <stp>BDH|3911473704450824755</stp>
        <tr r="S86" s="12"/>
      </tp>
      <tp t="e">
        <v>#N/A</v>
        <stp/>
        <stp>BDH|9453951012318555913</stp>
        <tr r="I35" s="24"/>
      </tp>
      <tp t="e">
        <v>#N/A</v>
        <stp/>
        <stp>BDH|1422117692480472947</stp>
        <tr r="Y87" s="12"/>
      </tp>
      <tp t="e">
        <v>#N/A</v>
        <stp/>
        <stp>BDH|5927952758889397000</stp>
        <tr r="R75" s="17"/>
      </tp>
      <tp t="e">
        <v>#N/A</v>
        <stp/>
        <stp>BDH|4442693263225837116</stp>
        <tr r="P13" s="8"/>
      </tp>
      <tp t="e">
        <v>#N/A</v>
        <stp/>
        <stp>BDH|4923740784378842365</stp>
        <tr r="L7" s="21"/>
      </tp>
      <tp t="e">
        <v>#N/A</v>
        <stp/>
        <stp>BDH|2667314455267089358</stp>
        <tr r="R26" s="22"/>
      </tp>
      <tp t="e">
        <v>#N/A</v>
        <stp/>
        <stp>BDH|8792968034286212402</stp>
        <tr r="Y18" s="10"/>
      </tp>
      <tp t="e">
        <v>#N/A</v>
        <stp/>
        <stp>BDH|8428806400192665250</stp>
        <tr r="N25" s="24"/>
      </tp>
      <tp t="e">
        <v>#N/A</v>
        <stp/>
        <stp>BDH|7214076173473231333</stp>
        <tr r="M83" s="18"/>
      </tp>
      <tp t="e">
        <v>#N/A</v>
        <stp/>
        <stp>BDH|6662733148385371092</stp>
        <tr r="L54" s="24"/>
      </tp>
      <tp t="e">
        <v>#N/A</v>
        <stp/>
        <stp>BDH|8547344432731110954</stp>
        <tr r="L28" s="17"/>
      </tp>
      <tp t="e">
        <v>#N/A</v>
        <stp/>
        <stp>BDH|3590546816337984096</stp>
        <tr r="P32" s="11"/>
        <tr r="P43" s="10"/>
      </tp>
      <tp t="e">
        <v>#N/A</v>
        <stp/>
        <stp>BDH|3200813958266437880</stp>
        <tr r="E22" s="26"/>
      </tp>
      <tp t="e">
        <v>#N/A</v>
        <stp/>
        <stp>BDH|7217707151395207067</stp>
        <tr r="AA135" s="18"/>
      </tp>
      <tp t="e">
        <v>#N/A</v>
        <stp/>
        <stp>BDH|7388012873677410728</stp>
        <tr r="O31" s="21"/>
      </tp>
      <tp t="e">
        <v>#N/A</v>
        <stp/>
        <stp>BDH|9473102562519443750</stp>
        <tr r="L159" s="18"/>
      </tp>
      <tp t="e">
        <v>#N/A</v>
        <stp/>
        <stp>BDH|8063264470379005415</stp>
        <tr r="Z18" s="22"/>
      </tp>
      <tp t="e">
        <v>#N/A</v>
        <stp/>
        <stp>BDH|4108330841654156757</stp>
        <tr r="AA49" s="24"/>
      </tp>
      <tp t="e">
        <v>#N/A</v>
        <stp/>
        <stp>BDH|5188499553214864041</stp>
        <tr r="R73" s="13"/>
        <tr r="P50" s="11"/>
        <tr r="P61" s="10"/>
        <tr r="P20" s="2"/>
        <tr r="P18" s="4"/>
        <tr r="P19" s="7"/>
      </tp>
      <tp t="e">
        <v>#N/A</v>
        <stp/>
        <stp>BDH|4708578324405412679</stp>
        <tr r="G32" s="11"/>
        <tr r="G43" s="10"/>
      </tp>
      <tp t="e">
        <v>#N/A</v>
        <stp/>
        <stp>BDH|6201512006430397318</stp>
        <tr r="Q25" s="7"/>
      </tp>
      <tp t="e">
        <v>#N/A</v>
        <stp/>
        <stp>BDH|8541513080070530563</stp>
        <tr r="R69" s="10"/>
        <tr r="R39" s="4"/>
      </tp>
      <tp t="e">
        <v>#N/A</v>
        <stp/>
        <stp>BDH|2430384802745167481</stp>
        <tr r="R14" s="4"/>
      </tp>
      <tp t="e">
        <v>#N/A</v>
        <stp/>
        <stp>BDH|7703500951874878399</stp>
        <tr r="M18" s="25"/>
      </tp>
      <tp t="e">
        <v>#N/A</v>
        <stp/>
        <stp>BDH|6798138554581522320</stp>
        <tr r="N24" s="12"/>
      </tp>
      <tp t="e">
        <v>#N/A</v>
        <stp/>
        <stp>BDH|7481907751759464267</stp>
        <tr r="P51" s="34"/>
      </tp>
      <tp t="e">
        <v>#N/A</v>
        <stp/>
        <stp>BDH|8796224305428448234</stp>
        <tr r="W22" s="12"/>
      </tp>
      <tp t="e">
        <v>#N/A</v>
        <stp/>
        <stp>BDH|1165786872866981759</stp>
        <tr r="V10" s="11"/>
      </tp>
      <tp t="e">
        <v>#N/A</v>
        <stp/>
        <stp>BDH|7544171472493603219</stp>
        <tr r="X61" s="21"/>
        <tr r="V25" s="2"/>
      </tp>
      <tp t="e">
        <v>#N/A</v>
        <stp/>
        <stp>BDH|9481273404849395231</stp>
        <tr r="Z12" s="17"/>
      </tp>
      <tp t="e">
        <v>#N/A</v>
        <stp/>
        <stp>BDH|3290792918115399078</stp>
        <tr r="U124" s="18"/>
      </tp>
      <tp t="e">
        <v>#N/A</v>
        <stp/>
        <stp>BDH|1358220422214187554</stp>
        <tr r="H96" s="12"/>
      </tp>
      <tp t="e">
        <v>#N/A</v>
        <stp/>
        <stp>BDH|6826675478913938496</stp>
        <tr r="G43" s="17"/>
      </tp>
      <tp t="e">
        <v>#N/A</v>
        <stp/>
        <stp>BDH|4273346263027127639</stp>
        <tr r="S110" s="18"/>
      </tp>
      <tp t="e">
        <v>#N/A</v>
        <stp/>
        <stp>BDH|9227024063308386777</stp>
        <tr r="Y21" s="14"/>
      </tp>
      <tp t="e">
        <v>#N/A</v>
        <stp/>
        <stp>BDH|2513279691900529919</stp>
        <tr r="W21" s="21"/>
      </tp>
      <tp t="e">
        <v>#N/A</v>
        <stp/>
        <stp>BDH|5382136198555619890</stp>
        <tr r="W65" s="21"/>
        <tr r="T31" s="6"/>
      </tp>
      <tp t="e">
        <v>#N/A</v>
        <stp/>
        <stp>BDH|3755349308065538595</stp>
        <tr r="N25" s="7"/>
      </tp>
      <tp t="e">
        <v>#N/A</v>
        <stp/>
        <stp>BDH|1499246465034227107</stp>
        <tr r="K8" s="23"/>
      </tp>
      <tp t="e">
        <v>#N/A</v>
        <stp/>
        <stp>BDH|3469070895783320929</stp>
        <tr r="H18" s="25"/>
      </tp>
      <tp t="e">
        <v>#N/A</v>
        <stp/>
        <stp>BDH|8081714891325631316</stp>
        <tr r="X42" s="4"/>
      </tp>
      <tp t="e">
        <v>#N/A</v>
        <stp/>
        <stp>BDH|8086131585832448359</stp>
        <tr r="X45" s="17"/>
      </tp>
      <tp t="e">
        <v>#N/A</v>
        <stp/>
        <stp>BDH|2469473020567582317</stp>
        <tr r="Z28" s="14"/>
      </tp>
      <tp t="e">
        <v>#N/A</v>
        <stp/>
        <stp>BDH|3092737994579232427</stp>
        <tr r="AA20" s="24"/>
      </tp>
      <tp t="e">
        <v>#N/A</v>
        <stp/>
        <stp>BDH|3966742469510464279</stp>
        <tr r="K38" s="24"/>
      </tp>
      <tp t="e">
        <v>#N/A</v>
        <stp/>
        <stp>BDH|3191973123481248904</stp>
        <tr r="R9" s="17"/>
      </tp>
      <tp t="e">
        <v>#N/A</v>
        <stp/>
        <stp>BDH|8477118192166372637</stp>
        <tr r="W19" s="18"/>
      </tp>
      <tp t="e">
        <v>#N/A</v>
        <stp/>
        <stp>BDH|7468388819864839194</stp>
        <tr r="J89" s="17"/>
      </tp>
      <tp t="e">
        <v>#N/A</v>
        <stp/>
        <stp>BDH|6238252717201304472</stp>
        <tr r="N19" s="9"/>
      </tp>
      <tp t="e">
        <v>#N/A</v>
        <stp/>
        <stp>BDH|3524132030603542272</stp>
        <tr r="C41" s="34"/>
      </tp>
      <tp t="e">
        <v>#N/A</v>
        <stp/>
        <stp>BDH|5013566010429330810</stp>
        <tr r="F29" s="26"/>
      </tp>
      <tp t="e">
        <v>#N/A</v>
        <stp/>
        <stp>BDH|8268869323095299716</stp>
        <tr r="W11" s="29"/>
      </tp>
      <tp t="e">
        <v>#N/A</v>
        <stp/>
        <stp>BDH|4303932172542773813</stp>
        <tr r="F48" s="34"/>
      </tp>
      <tp t="e">
        <v>#N/A</v>
        <stp/>
        <stp>BDH|1555934350235496869</stp>
        <tr r="E17" s="34"/>
      </tp>
      <tp t="e">
        <v>#N/A</v>
        <stp/>
        <stp>BDH|7335999935928955525</stp>
        <tr r="X34" s="18"/>
      </tp>
      <tp t="e">
        <v>#N/A</v>
        <stp/>
        <stp>BDH|4063565211318328800</stp>
        <tr r="L8" s="2"/>
      </tp>
      <tp t="e">
        <v>#N/A</v>
        <stp/>
        <stp>BDH|2779574411024536202</stp>
        <tr r="W133" s="18"/>
      </tp>
      <tp t="e">
        <v>#N/A</v>
        <stp/>
        <stp>BDH|6613160394648514653</stp>
        <tr r="J45" s="12"/>
      </tp>
      <tp t="e">
        <v>#N/A</v>
        <stp/>
        <stp>BDH|1434419521884028304</stp>
        <tr r="P66" s="17"/>
      </tp>
      <tp t="e">
        <v>#N/A</v>
        <stp/>
        <stp>BDH|7231937507217274905</stp>
        <tr r="R17" s="30"/>
      </tp>
      <tp t="e">
        <v>#N/A</v>
        <stp/>
        <stp>BDH|2545519075612079258</stp>
        <tr r="I149" s="18"/>
      </tp>
      <tp t="e">
        <v>#N/A</v>
        <stp/>
        <stp>BDH|3759781757488858941</stp>
        <tr r="I64" s="24"/>
      </tp>
      <tp t="e">
        <v>#N/A</v>
        <stp/>
        <stp>BDH|6845318591958470485</stp>
        <tr r="V84" s="18"/>
      </tp>
      <tp t="e">
        <v>#N/A</v>
        <stp/>
        <stp>BDH|4859609739809360865</stp>
        <tr r="Y16" s="11"/>
      </tp>
      <tp t="e">
        <v>#N/A</v>
        <stp/>
        <stp>BDH|4793152411204491036</stp>
        <tr r="Y7" s="24"/>
      </tp>
      <tp t="e">
        <v>#N/A</v>
        <stp/>
        <stp>BDH|8811338364104993927</stp>
        <tr r="H63" s="12"/>
      </tp>
      <tp t="e">
        <v>#N/A</v>
        <stp/>
        <stp>BDH|8527053651919182446</stp>
        <tr r="Q89" s="18"/>
      </tp>
      <tp t="e">
        <v>#N/A</v>
        <stp/>
        <stp>BDH|8196121167486623968</stp>
        <tr r="K12" s="6"/>
      </tp>
      <tp t="e">
        <v>#N/A</v>
        <stp/>
        <stp>BDH|3859701261067865554</stp>
        <tr r="C87" s="18"/>
      </tp>
      <tp t="e">
        <v>#N/A</v>
        <stp/>
        <stp>BDH|5939280632954550029</stp>
        <tr r="K43" s="22"/>
      </tp>
      <tp t="e">
        <v>#N/A</v>
        <stp/>
        <stp>BDH|9576478683186478310</stp>
        <tr r="S167" s="18"/>
      </tp>
      <tp t="e">
        <v>#N/A</v>
        <stp/>
        <stp>BDH|4802128576644138694</stp>
        <tr r="S144" s="18"/>
      </tp>
      <tp t="e">
        <v>#N/A</v>
        <stp/>
        <stp>BDH|3520587938893627677</stp>
        <tr r="J13" s="23"/>
        <tr r="H58" s="11"/>
        <tr r="H38" s="4"/>
      </tp>
      <tp t="e">
        <v>#N/A</v>
        <stp/>
        <stp>BDH|7127227703236298366</stp>
        <tr r="K23" s="30"/>
        <tr r="K25" s="23"/>
      </tp>
      <tp t="e">
        <v>#N/A</v>
        <stp/>
        <stp>BDH|6005323044968534973</stp>
        <tr r="K35" s="4"/>
      </tp>
      <tp t="e">
        <v>#N/A</v>
        <stp/>
        <stp>BDH|7679368775981446258</stp>
        <tr r="X76" s="18"/>
      </tp>
      <tp t="e">
        <v>#N/A</v>
        <stp/>
        <stp>BDH|7018722332425441609</stp>
        <tr r="I101" s="18"/>
      </tp>
      <tp t="e">
        <v>#N/A</v>
        <stp/>
        <stp>BDH|1660863265097390826</stp>
        <tr r="I11" s="18"/>
      </tp>
      <tp t="e">
        <v>#N/A</v>
        <stp/>
        <stp>BDH|2684842103498367262</stp>
        <tr r="Y13" s="8"/>
      </tp>
      <tp t="e">
        <v>#N/A</v>
        <stp/>
        <stp>BDH|6594274652495020441</stp>
        <tr r="J11" s="9"/>
      </tp>
      <tp t="e">
        <v>#N/A</v>
        <stp/>
        <stp>BDH|5440239793178802681</stp>
        <tr r="C10" s="25"/>
        <tr r="C55" s="17"/>
      </tp>
      <tp t="e">
        <v>#N/A</v>
        <stp/>
        <stp>BDH|3673406419580295690</stp>
        <tr r="E30" s="9"/>
      </tp>
      <tp t="e">
        <v>#N/A</v>
        <stp/>
        <stp>BDH|6130943615026491805</stp>
        <tr r="F21" s="22"/>
      </tp>
      <tp t="e">
        <v>#N/A</v>
        <stp/>
        <stp>BDH|1611418445477252644</stp>
        <tr r="Y25" s="7"/>
      </tp>
      <tp t="e">
        <v>#N/A</v>
        <stp/>
        <stp>BDH|3115887410859476395</stp>
        <tr r="G11" s="10"/>
        <tr r="G14" s="2"/>
      </tp>
      <tp t="e">
        <v>#N/A</v>
        <stp/>
        <stp>BDH|9192915604076560656</stp>
        <tr r="E21" s="9"/>
        <tr r="E23" s="5"/>
      </tp>
      <tp t="e">
        <v>#N/A</v>
        <stp/>
        <stp>BDH|8693215984417103564</stp>
        <tr r="S29" s="18"/>
      </tp>
      <tp t="e">
        <v>#N/A</v>
        <stp/>
        <stp>BDH|4189896954290944917</stp>
        <tr r="V34" s="26"/>
      </tp>
      <tp t="e">
        <v>#N/A</v>
        <stp/>
        <stp>BDH|8737579573448485238</stp>
        <tr r="X30" s="12"/>
      </tp>
      <tp t="e">
        <v>#N/A</v>
        <stp/>
        <stp>BDH|5524843673952459823</stp>
        <tr r="R22" s="18"/>
      </tp>
      <tp t="e">
        <v>#N/A</v>
        <stp/>
        <stp>BDH|7687545978183778695</stp>
        <tr r="V60" s="13"/>
        <tr r="T48" s="11"/>
        <tr r="T17" s="7"/>
        <tr r="T59" s="10"/>
        <tr r="T17" s="4"/>
        <tr r="V10" s="3"/>
      </tp>
      <tp t="e">
        <v>#N/A</v>
        <stp/>
        <stp>BDH|4292551624494772705</stp>
        <tr r="N56" s="24"/>
      </tp>
      <tp t="e">
        <v>#N/A</v>
        <stp/>
        <stp>BDH|6065731717039718978</stp>
        <tr r="L7" s="27"/>
        <tr r="L94" s="17"/>
      </tp>
      <tp t="e">
        <v>#N/A</v>
        <stp/>
        <stp>BDH|8672827693409620047</stp>
        <tr r="Z29" s="21"/>
      </tp>
      <tp t="e">
        <v>#N/A</v>
        <stp/>
        <stp>BDH|7891796812709497820</stp>
        <tr r="E32" s="29"/>
        <tr r="C34" s="5"/>
      </tp>
      <tp t="e">
        <v>#N/A</v>
        <stp/>
        <stp>BDH|8524701571298270037</stp>
        <tr r="S50" s="4"/>
      </tp>
      <tp t="e">
        <v>#N/A</v>
        <stp/>
        <stp>BDH|4756727755426755023</stp>
        <tr r="AA85" s="12"/>
      </tp>
      <tp t="e">
        <v>#N/A</v>
        <stp/>
        <stp>BDH|3228477337405603111</stp>
        <tr r="H27" s="17"/>
      </tp>
      <tp t="e">
        <v>#N/A</v>
        <stp/>
        <stp>BDH|3250404375037665744</stp>
        <tr r="M9" s="30"/>
      </tp>
      <tp t="e">
        <v>#N/A</v>
        <stp/>
        <stp>BDH|5117742207592033076</stp>
        <tr r="L10" s="23"/>
      </tp>
      <tp t="e">
        <v>#N/A</v>
        <stp/>
        <stp>BDH|4786107154856379653</stp>
        <tr r="T52" s="13"/>
      </tp>
      <tp t="e">
        <v>#N/A</v>
        <stp/>
        <stp>BDH|8630154424769049227</stp>
        <tr r="H62" s="18"/>
      </tp>
      <tp t="e">
        <v>#N/A</v>
        <stp/>
        <stp>BDH|2570985088156254524</stp>
        <tr r="Q54" s="34"/>
      </tp>
      <tp t="e">
        <v>#N/A</v>
        <stp/>
        <stp>BDH|4572053663631389358</stp>
        <tr r="C42" s="26"/>
      </tp>
      <tp t="e">
        <v>#N/A</v>
        <stp/>
        <stp>BDH|8718770872538422033</stp>
        <tr r="H28" s="34"/>
      </tp>
      <tp t="e">
        <v>#N/A</v>
        <stp/>
        <stp>BDH|5343818982654367168</stp>
        <tr r="C81" s="12"/>
      </tp>
      <tp t="e">
        <v>#N/A</v>
        <stp/>
        <stp>BDH|2554138265354203149</stp>
        <tr r="R22" s="17"/>
        <tr r="R15" s="3"/>
      </tp>
      <tp t="e">
        <v>#N/A</v>
        <stp/>
        <stp>BDH|7776114861572655244</stp>
        <tr r="H43" s="12"/>
      </tp>
      <tp t="e">
        <v>#N/A</v>
        <stp/>
        <stp>BDH|7209495249004432331</stp>
        <tr r="O21" s="10"/>
      </tp>
      <tp t="e">
        <v>#N/A</v>
        <stp/>
        <stp>BDH|1894567748977715740</stp>
        <tr r="O20" s="26"/>
      </tp>
      <tp t="e">
        <v>#N/A</v>
        <stp/>
        <stp>BDH|5749555226084052612</stp>
        <tr r="E21" s="2"/>
      </tp>
      <tp t="e">
        <v>#N/A</v>
        <stp/>
        <stp>BDH|7310157915544600305</stp>
        <tr r="T16" s="21"/>
      </tp>
      <tp t="e">
        <v>#N/A</v>
        <stp/>
        <stp>BDH|4318769734498167853</stp>
        <tr r="N49" s="22"/>
      </tp>
      <tp t="e">
        <v>#N/A</v>
        <stp/>
        <stp>BDH|1822429251328951874</stp>
        <tr r="S13" s="22"/>
      </tp>
      <tp t="e">
        <v>#N/A</v>
        <stp/>
        <stp>BDH|9696952123725516704</stp>
        <tr r="Z31" s="29"/>
      </tp>
      <tp t="e">
        <v>#N/A</v>
        <stp/>
        <stp>BDH|1767355907953921191</stp>
        <tr r="Q18" s="34"/>
      </tp>
      <tp t="e">
        <v>#N/A</v>
        <stp/>
        <stp>BDH|7578130957337565419</stp>
        <tr r="M12" s="17"/>
      </tp>
      <tp t="e">
        <v>#N/A</v>
        <stp/>
        <stp>BDH|2030115217836213414</stp>
        <tr r="R159" s="18"/>
      </tp>
      <tp t="e">
        <v>#N/A</v>
        <stp/>
        <stp>BDH|7503578922492631235</stp>
        <tr r="C23" s="5"/>
        <tr r="C21" s="9"/>
      </tp>
      <tp t="e">
        <v>#N/A</v>
        <stp/>
        <stp>BDH|2458468641863684107</stp>
        <tr r="E54" s="24"/>
      </tp>
      <tp t="e">
        <v>#N/A</v>
        <stp/>
        <stp>BDH|5319508914690704155</stp>
        <tr r="AA49" s="18"/>
      </tp>
      <tp t="e">
        <v>#N/A</v>
        <stp/>
        <stp>BDH|6036173363036255739</stp>
        <tr r="G35" s="24"/>
      </tp>
      <tp t="e">
        <v>#N/A</v>
        <stp/>
        <stp>BDH|3380494689376219941</stp>
        <tr r="M49" s="34"/>
      </tp>
      <tp t="e">
        <v>#N/A</v>
        <stp/>
        <stp>BDH|51851397239680530</stp>
        <tr r="V56" s="13"/>
      </tp>
      <tp t="e">
        <v>#N/A</v>
        <stp/>
        <stp>BDH|67326346923963995</stp>
        <tr r="Y61" s="21"/>
        <tr r="W25" s="2"/>
      </tp>
      <tp t="e">
        <v>#N/A</v>
        <stp/>
        <stp>BDH|93700347219010726</stp>
        <tr r="T52" s="18"/>
      </tp>
      <tp t="e">
        <v>#N/A</v>
        <stp/>
        <stp>BDH|31102664922117852</stp>
        <tr r="C18" s="14"/>
      </tp>
      <tp t="e">
        <v>#N/A</v>
        <stp/>
        <stp>BDH|36892409862566746</stp>
        <tr r="Y67" s="10"/>
      </tp>
      <tp t="e">
        <v>#N/A</v>
        <stp/>
        <stp>BDH|56508621063101918</stp>
        <tr r="K24" s="24"/>
      </tp>
      <tp t="e">
        <v>#N/A</v>
        <stp/>
        <stp>BDH|25973628731548725</stp>
        <tr r="Z15" s="13"/>
      </tp>
      <tp t="e">
        <v>#N/A</v>
        <stp/>
        <stp>BDH|3700069295903994878</stp>
        <tr r="K99" s="18"/>
      </tp>
      <tp t="e">
        <v>#N/A</v>
        <stp/>
        <stp>BDH|3908003578792268793</stp>
        <tr r="L46" s="21"/>
      </tp>
      <tp t="e">
        <v>#N/A</v>
        <stp/>
        <stp>BDH|1700533531704871273</stp>
        <tr r="R26" s="17"/>
      </tp>
      <tp t="e">
        <v>#N/A</v>
        <stp/>
        <stp>BDH|7465008967238191885</stp>
        <tr r="I45" s="34"/>
      </tp>
      <tp t="e">
        <v>#N/A</v>
        <stp/>
        <stp>BDH|2619887963468647515</stp>
        <tr r="D24" s="2"/>
      </tp>
      <tp t="e">
        <v>#N/A</v>
        <stp/>
        <stp>BDH|2376438730495893121</stp>
        <tr r="Q7" s="14"/>
      </tp>
      <tp t="e">
        <v>#N/A</v>
        <stp/>
        <stp>BDH|8523528000818803450</stp>
        <tr r="E22" s="12"/>
      </tp>
      <tp t="e">
        <v>#N/A</v>
        <stp/>
        <stp>BDH|1463686446311916397</stp>
        <tr r="W11" s="21"/>
      </tp>
      <tp t="e">
        <v>#N/A</v>
        <stp/>
        <stp>BDH|3793335864314398393</stp>
        <tr r="Q33" s="21"/>
      </tp>
      <tp t="e">
        <v>#N/A</v>
        <stp/>
        <stp>BDH|5439722428592340374</stp>
        <tr r="Y31" s="21"/>
      </tp>
      <tp t="e">
        <v>#N/A</v>
        <stp/>
        <stp>BDH|9898017831243093821</stp>
        <tr r="V80" s="18"/>
      </tp>
      <tp t="e">
        <v>#N/A</v>
        <stp/>
        <stp>BDH|1540563048743719265</stp>
        <tr r="E18" s="6"/>
      </tp>
      <tp t="e">
        <v>#N/A</v>
        <stp/>
        <stp>BDH|2068862987791932224</stp>
        <tr r="X14" s="6"/>
      </tp>
      <tp t="e">
        <v>#N/A</v>
        <stp/>
        <stp>BDH|1536036709262131243</stp>
        <tr r="H49" s="18"/>
      </tp>
      <tp t="e">
        <v>#N/A</v>
        <stp/>
        <stp>BDH|5435387702742115555</stp>
        <tr r="Z17" s="18"/>
      </tp>
      <tp t="e">
        <v>#N/A</v>
        <stp/>
        <stp>BDH|1443470857136647786</stp>
        <tr r="C62" s="11"/>
        <tr r="C73" s="10"/>
        <tr r="C20" s="7"/>
      </tp>
      <tp t="e">
        <v>#N/A</v>
        <stp/>
        <stp>BDH|9477106693389577983</stp>
        <tr r="U65" s="11"/>
        <tr r="U76" s="10"/>
      </tp>
      <tp t="e">
        <v>#N/A</v>
        <stp/>
        <stp>BDH|2335094400292257129</stp>
        <tr r="N19" s="30"/>
      </tp>
      <tp t="e">
        <v>#N/A</v>
        <stp/>
        <stp>BDH|4676741082682204889</stp>
        <tr r="U22" s="30"/>
        <tr r="U24" s="23"/>
      </tp>
      <tp t="e">
        <v>#N/A</v>
        <stp/>
        <stp>BDH|9061895726645756728</stp>
        <tr r="W8" s="12"/>
      </tp>
      <tp t="e">
        <v>#N/A</v>
        <stp/>
        <stp>BDH|1381322901000905332</stp>
        <tr r="S12" s="11"/>
      </tp>
      <tp t="e">
        <v>#N/A</v>
        <stp/>
        <stp>BDH|3935671917935315002</stp>
        <tr r="J29" s="6"/>
      </tp>
      <tp t="e">
        <v>#N/A</v>
        <stp/>
        <stp>BDH|7214245345016180687</stp>
        <tr r="Y71" s="12"/>
      </tp>
      <tp t="e">
        <v>#N/A</v>
        <stp/>
        <stp>BDH|6914236390028486444</stp>
        <tr r="X28" s="21"/>
      </tp>
      <tp t="e">
        <v>#N/A</v>
        <stp/>
        <stp>BDH|5979931270558789271</stp>
        <tr r="T15" s="18"/>
      </tp>
      <tp t="e">
        <v>#N/A</v>
        <stp/>
        <stp>BDH|7813935029874163990</stp>
        <tr r="K50" s="13"/>
      </tp>
      <tp t="e">
        <v>#N/A</v>
        <stp/>
        <stp>BDH|3083568559471083356</stp>
        <tr r="G20" s="27"/>
      </tp>
      <tp t="e">
        <v>#N/A</v>
        <stp/>
        <stp>BDH|1801334852135695356</stp>
        <tr r="Q15" s="14"/>
      </tp>
      <tp t="e">
        <v>#N/A</v>
        <stp/>
        <stp>BDH|4490671449261029602</stp>
        <tr r="F44" s="13"/>
        <tr r="D36" s="11"/>
        <tr r="D47" s="10"/>
        <tr r="D52" s="4"/>
        <tr r="F8" s="3"/>
      </tp>
      <tp t="e">
        <v>#N/A</v>
        <stp/>
        <stp>BDH|1783064660500821636</stp>
        <tr r="D49" s="21"/>
      </tp>
      <tp t="e">
        <v>#N/A</v>
        <stp/>
        <stp>BDH|6410318882094854851</stp>
        <tr r="G73" s="12"/>
      </tp>
      <tp t="e">
        <v>#N/A</v>
        <stp/>
        <stp>BDH|7823822797922264552</stp>
        <tr r="F49" s="21"/>
      </tp>
      <tp t="e">
        <v>#N/A</v>
        <stp/>
        <stp>BDH|4917318673527536643</stp>
        <tr r="C44" s="13"/>
        <tr r="C8" s="3"/>
      </tp>
      <tp t="e">
        <v>#N/A</v>
        <stp/>
        <stp>BDH|3397645677306266585</stp>
        <tr r="D58" s="10"/>
        <tr r="D47" s="11"/>
        <tr r="D7" s="7"/>
        <tr r="F12" s="3"/>
      </tp>
      <tp t="e">
        <v>#N/A</v>
        <stp/>
        <stp>BDH|9730844770145193283</stp>
        <tr r="G41" s="18"/>
      </tp>
      <tp t="e">
        <v>#N/A</v>
        <stp/>
        <stp>BDH|9645659388961212739</stp>
        <tr r="D9" s="14"/>
      </tp>
      <tp t="e">
        <v>#N/A</v>
        <stp/>
        <stp>BDH|4561684846836843192</stp>
        <tr r="O106" s="18"/>
      </tp>
      <tp t="e">
        <v>#N/A</v>
        <stp/>
        <stp>BDH|2585394365786123026</stp>
        <tr r="Q35" s="18"/>
      </tp>
      <tp t="e">
        <v>#N/A</v>
        <stp/>
        <stp>BDH|2042237617522880260</stp>
        <tr r="E102" s="18"/>
      </tp>
      <tp t="e">
        <v>#N/A</v>
        <stp/>
        <stp>BDH|1412199338924891676</stp>
        <tr r="D22" s="26"/>
      </tp>
      <tp t="e">
        <v>#N/A</v>
        <stp/>
        <stp>BDH|5715332270130999075</stp>
        <tr r="W26" s="7"/>
      </tp>
      <tp t="e">
        <v>#N/A</v>
        <stp/>
        <stp>BDH|7766781383060309959</stp>
        <tr r="N32" s="17"/>
      </tp>
      <tp t="e">
        <v>#N/A</v>
        <stp/>
        <stp>BDH|1833844075759212600</stp>
        <tr r="F11" s="9"/>
      </tp>
      <tp t="e">
        <v>#N/A</v>
        <stp/>
        <stp>BDH|2112887435249072172</stp>
        <tr r="C53" s="10"/>
        <tr r="C42" s="11"/>
        <tr r="C8" s="7"/>
        <tr r="E11" s="3"/>
      </tp>
      <tp t="e">
        <v>#N/A</v>
        <stp/>
        <stp>BDH|6569264269880780363</stp>
        <tr r="N80" s="17"/>
      </tp>
      <tp t="e">
        <v>#N/A</v>
        <stp/>
        <stp>BDH|2985151495663578879</stp>
        <tr r="N18" s="10"/>
      </tp>
      <tp t="e">
        <v>#N/A</v>
        <stp/>
        <stp>BDH|9727295081917479508</stp>
        <tr r="Z134" s="18"/>
      </tp>
      <tp t="e">
        <v>#N/A</v>
        <stp/>
        <stp>BDH|8279583322577664956</stp>
        <tr r="J87" s="18"/>
      </tp>
      <tp t="e">
        <v>#N/A</v>
        <stp/>
        <stp>BDH|7377706887490940961</stp>
        <tr r="N6" s="28"/>
      </tp>
      <tp t="e">
        <v>#N/A</v>
        <stp/>
        <stp>BDH|8140876138573770120</stp>
        <tr r="M45" s="21"/>
      </tp>
      <tp t="e">
        <v>#N/A</v>
        <stp/>
        <stp>BDH|5172377378063726322</stp>
        <tr r="H62" s="17"/>
      </tp>
      <tp t="e">
        <v>#N/A</v>
        <stp/>
        <stp>BDH|6047864985942936519</stp>
        <tr r="S154" s="18"/>
      </tp>
      <tp t="e">
        <v>#N/A</v>
        <stp/>
        <stp>BDH|9187120087709789884</stp>
        <tr r="F49" s="6"/>
      </tp>
      <tp t="e">
        <v>#N/A</v>
        <stp/>
        <stp>BDH|7998688276975534298</stp>
        <tr r="C48" s="22"/>
      </tp>
      <tp t="e">
        <v>#N/A</v>
        <stp/>
        <stp>BDH|2084432204972441585</stp>
        <tr r="F29" s="12"/>
      </tp>
      <tp t="e">
        <v>#N/A</v>
        <stp/>
        <stp>BDH|5250736573565801114</stp>
        <tr r="R27" s="22"/>
      </tp>
      <tp t="e">
        <v>#N/A</v>
        <stp/>
        <stp>BDH|6227572358454213347</stp>
        <tr r="Z62" s="21"/>
      </tp>
      <tp t="e">
        <v>#N/A</v>
        <stp/>
        <stp>BDH|6775025231941710588</stp>
        <tr r="U148" s="18"/>
      </tp>
      <tp t="e">
        <v>#N/A</v>
        <stp/>
        <stp>BDH|4128681700403102035</stp>
        <tr r="M22" s="14"/>
      </tp>
      <tp t="e">
        <v>#N/A</v>
        <stp/>
        <stp>BDH|6955897035064821865</stp>
        <tr r="Q16" s="10"/>
      </tp>
      <tp t="e">
        <v>#N/A</v>
        <stp/>
        <stp>BDH|3023011853896079199</stp>
        <tr r="R44" s="22"/>
      </tp>
      <tp t="e">
        <v>#N/A</v>
        <stp/>
        <stp>BDH|1772710774303103380</stp>
        <tr r="Z33" s="18"/>
      </tp>
      <tp t="e">
        <v>#N/A</v>
        <stp/>
        <stp>BDH|7091418650815946239</stp>
        <tr r="L17" s="13"/>
      </tp>
      <tp t="e">
        <v>#N/A</v>
        <stp/>
        <stp>BDH|5978272850437461413</stp>
        <tr r="N29" s="9"/>
      </tp>
      <tp t="e">
        <v>#N/A</v>
        <stp/>
        <stp>BDH|2069101407262482089</stp>
        <tr r="X55" s="18"/>
      </tp>
      <tp t="e">
        <v>#N/A</v>
        <stp/>
        <stp>BDH|1412477408784304035</stp>
        <tr r="S54" s="34"/>
      </tp>
      <tp t="e">
        <v>#N/A</v>
        <stp/>
        <stp>BDH|6363553138082131342</stp>
        <tr r="M42" s="18"/>
      </tp>
      <tp t="e">
        <v>#N/A</v>
        <stp/>
        <stp>BDH|7957702616376240667</stp>
        <tr r="O8" s="26"/>
        <tr r="L10" s="9"/>
      </tp>
      <tp t="e">
        <v>#N/A</v>
        <stp/>
        <stp>BDH|5581541316145484587</stp>
        <tr r="D35" s="4"/>
      </tp>
      <tp t="e">
        <v>#N/A</v>
        <stp/>
        <stp>BDH|4401769810831954203</stp>
        <tr r="AA19" s="12"/>
      </tp>
      <tp t="e">
        <v>#N/A</v>
        <stp/>
        <stp>BDH|3627352677382851471</stp>
        <tr r="Z23" s="30"/>
        <tr r="Z25" s="23"/>
      </tp>
      <tp t="e">
        <v>#N/A</v>
        <stp/>
        <stp>BDH|3127683276633647025</stp>
        <tr r="H49" s="21"/>
      </tp>
      <tp t="e">
        <v>#N/A</v>
        <stp/>
        <stp>BDH|1166673447233238182</stp>
        <tr r="D9" s="29"/>
      </tp>
      <tp t="e">
        <v>#N/A</v>
        <stp/>
        <stp>BDH|3836682544262834279</stp>
        <tr r="G55" s="18"/>
      </tp>
      <tp t="e">
        <v>#N/A</v>
        <stp/>
        <stp>BDH|9803141751824513830</stp>
        <tr r="J46" s="17"/>
      </tp>
      <tp t="e">
        <v>#N/A</v>
        <stp/>
        <stp>BDH|8270419009388762563</stp>
        <tr r="Z88" s="18"/>
      </tp>
      <tp t="e">
        <v>#N/A</v>
        <stp/>
        <stp>BDH|3928845121890574823</stp>
        <tr r="I129" s="18"/>
      </tp>
      <tp t="e">
        <v>#N/A</v>
        <stp/>
        <stp>BDH|4314144424960944613</stp>
        <tr r="U21" s="11"/>
      </tp>
      <tp t="e">
        <v>#N/A</v>
        <stp/>
        <stp>BDH|2600787052753132269</stp>
        <tr r="P23" s="17"/>
      </tp>
      <tp t="e">
        <v>#N/A</v>
        <stp/>
        <stp>BDH|1620242336972964365</stp>
        <tr r="V83" s="18"/>
      </tp>
      <tp t="e">
        <v>#N/A</v>
        <stp/>
        <stp>BDH|4486279642861956236</stp>
        <tr r="H34" s="13"/>
        <tr r="F27" s="10"/>
      </tp>
      <tp t="e">
        <v>#N/A</v>
        <stp/>
        <stp>BDH|5801570714533699366</stp>
        <tr r="N15" s="25"/>
      </tp>
      <tp t="e">
        <v>#N/A</v>
        <stp/>
        <stp>BDH|6034693686521695821</stp>
        <tr r="O12" s="18"/>
      </tp>
      <tp t="e">
        <v>#N/A</v>
        <stp/>
        <stp>BDH|8958363852159395653</stp>
        <tr r="N50" s="34"/>
      </tp>
      <tp t="e">
        <v>#N/A</v>
        <stp/>
        <stp>BDH|2137040898942334854</stp>
        <tr r="X44" s="34"/>
      </tp>
      <tp t="e">
        <v>#N/A</v>
        <stp/>
        <stp>BDH|5788111545298061981</stp>
        <tr r="Q30" s="24"/>
      </tp>
      <tp t="e">
        <v>#N/A</v>
        <stp/>
        <stp>BDH|6832369833457078065</stp>
        <tr r="H23" s="5"/>
        <tr r="H21" s="9"/>
      </tp>
      <tp t="e">
        <v>#N/A</v>
        <stp/>
        <stp>BDH|3529747287929508480</stp>
        <tr r="Q100" s="18"/>
      </tp>
      <tp t="e">
        <v>#N/A</v>
        <stp/>
        <stp>BDH|1815932547595685812</stp>
        <tr r="M152" s="18"/>
      </tp>
      <tp t="e">
        <v>#N/A</v>
        <stp/>
        <stp>BDH|9250795374349390175</stp>
        <tr r="E155" s="18"/>
      </tp>
      <tp t="e">
        <v>#N/A</v>
        <stp/>
        <stp>BDH|3943491566915837550</stp>
        <tr r="D127" s="18"/>
      </tp>
      <tp t="e">
        <v>#N/A</v>
        <stp/>
        <stp>BDH|4555178458994737568</stp>
        <tr r="Q88" s="12"/>
      </tp>
      <tp t="e">
        <v>#N/A</v>
        <stp/>
        <stp>BDH|3896589356304993644</stp>
        <tr r="F28" s="9"/>
        <tr r="F30" s="5"/>
      </tp>
      <tp t="e">
        <v>#N/A</v>
        <stp/>
        <stp>BDH|2357577966159159988</stp>
        <tr r="T69" s="10"/>
        <tr r="T39" s="4"/>
      </tp>
      <tp t="e">
        <v>#N/A</v>
        <stp/>
        <stp>BDH|4660132808944126071</stp>
        <tr r="S70" s="13"/>
      </tp>
      <tp t="e">
        <v>#N/A</v>
        <stp/>
        <stp>BDH|4670276659247026500</stp>
        <tr r="E146" s="18"/>
      </tp>
      <tp t="e">
        <v>#N/A</v>
        <stp/>
        <stp>BDH|7317686581510703853</stp>
        <tr r="O9" s="10"/>
      </tp>
      <tp t="e">
        <v>#N/A</v>
        <stp/>
        <stp>BDH|6530009561225486481</stp>
        <tr r="F25" s="5"/>
      </tp>
      <tp t="e">
        <v>#N/A</v>
        <stp/>
        <stp>BDH|2932250333467638515</stp>
        <tr r="J30" s="34"/>
      </tp>
      <tp t="e">
        <v>#N/A</v>
        <stp/>
        <stp>BDH|5675254156391409290</stp>
        <tr r="Q157" s="18"/>
      </tp>
      <tp t="e">
        <v>#N/A</v>
        <stp/>
        <stp>BDH|3477742429683909483</stp>
        <tr r="H50" s="17"/>
      </tp>
      <tp t="e">
        <v>#N/A</v>
        <stp/>
        <stp>BDH|2028414175221852141</stp>
        <tr r="W45" s="18"/>
      </tp>
      <tp t="e">
        <v>#N/A</v>
        <stp/>
        <stp>BDH|1274986488102953336</stp>
        <tr r="C70" s="10"/>
      </tp>
      <tp t="e">
        <v>#N/A</v>
        <stp/>
        <stp>BDH|9945558994371396535</stp>
        <tr r="L38" s="22"/>
      </tp>
      <tp t="e">
        <v>#N/A</v>
        <stp/>
        <stp>BDH|5726277963024347482</stp>
        <tr r="U7" s="14"/>
      </tp>
      <tp t="e">
        <v>#N/A</v>
        <stp/>
        <stp>BDH|6626022719793062552</stp>
        <tr r="N15" s="23"/>
        <tr r="L59" s="11"/>
      </tp>
      <tp t="e">
        <v>#N/A</v>
        <stp/>
        <stp>BDH|6192649307506214786</stp>
        <tr r="R15" s="10"/>
      </tp>
      <tp t="e">
        <v>#N/A</v>
        <stp/>
        <stp>BDH|4999397072810368192</stp>
        <tr r="P43" s="4"/>
      </tp>
      <tp t="e">
        <v>#N/A</v>
        <stp/>
        <stp>BDH|9647281610319550231</stp>
        <tr r="L120" s="18"/>
      </tp>
      <tp t="e">
        <v>#N/A</v>
        <stp/>
        <stp>BDH|8275000098766445661</stp>
        <tr r="Y71" s="18"/>
      </tp>
      <tp t="e">
        <v>#N/A</v>
        <stp/>
        <stp>BDH|3005492734271278472</stp>
        <tr r="T47" s="6"/>
      </tp>
      <tp t="e">
        <v>#N/A</v>
        <stp/>
        <stp>BDH|6352587843166504056</stp>
        <tr r="P8" s="10"/>
      </tp>
      <tp t="e">
        <v>#N/A</v>
        <stp/>
        <stp>BDH|3288287770933606443</stp>
        <tr r="N58" s="17"/>
      </tp>
      <tp t="e">
        <v>#N/A</v>
        <stp/>
        <stp>BDH|6630726559065588009</stp>
        <tr r="R43" s="17"/>
      </tp>
      <tp t="e">
        <v>#N/A</v>
        <stp/>
        <stp>BDH|2726333462246873063</stp>
        <tr r="AA16" s="14"/>
      </tp>
      <tp t="e">
        <v>#N/A</v>
        <stp/>
        <stp>BDH|3585335048651447428</stp>
        <tr r="L18" s="23"/>
      </tp>
      <tp t="e">
        <v>#N/A</v>
        <stp/>
        <stp>BDH|7990440145642584450</stp>
        <tr r="E21" s="18"/>
      </tp>
      <tp t="e">
        <v>#N/A</v>
        <stp/>
        <stp>BDH|2717134004154834601</stp>
        <tr r="J24" s="26"/>
      </tp>
      <tp t="e">
        <v>#N/A</v>
        <stp/>
        <stp>BDH|3989302912354082437</stp>
        <tr r="D15" s="18"/>
      </tp>
      <tp t="e">
        <v>#N/A</v>
        <stp/>
        <stp>BDH|7600756694101796988</stp>
        <tr r="P14" s="10"/>
      </tp>
      <tp t="e">
        <v>#N/A</v>
        <stp/>
        <stp>BDH|3718085337641257021</stp>
        <tr r="E81" s="18"/>
      </tp>
      <tp t="e">
        <v>#N/A</v>
        <stp/>
        <stp>BDH|2605508645307203592</stp>
        <tr r="U121" s="18"/>
      </tp>
      <tp t="e">
        <v>#N/A</v>
        <stp/>
        <stp>BDH|7030996124794538908</stp>
        <tr r="D30" s="9"/>
      </tp>
      <tp t="e">
        <v>#N/A</v>
        <stp/>
        <stp>BDH|6778968151168078381</stp>
        <tr r="H8" s="21"/>
      </tp>
      <tp t="e">
        <v>#N/A</v>
        <stp/>
        <stp>BDH|4905773571281203459</stp>
        <tr r="R48" s="18"/>
      </tp>
      <tp t="e">
        <v>#N/A</v>
        <stp/>
        <stp>BDH|5666492115183589276</stp>
        <tr r="Z37" s="24"/>
      </tp>
      <tp t="e">
        <v>#N/A</v>
        <stp/>
        <stp>BDH|6641540849171278719</stp>
        <tr r="E142" s="18"/>
      </tp>
      <tp t="e">
        <v>#N/A</v>
        <stp/>
        <stp>BDH|6387008150126326488</stp>
        <tr r="X16" s="21"/>
      </tp>
      <tp t="e">
        <v>#N/A</v>
        <stp/>
        <stp>BDH|4738307116967843012</stp>
        <tr r="F72" s="17"/>
      </tp>
      <tp t="e">
        <v>#N/A</v>
        <stp/>
        <stp>BDH|4583731428977086762</stp>
        <tr r="Q73" s="13"/>
        <tr r="O61" s="10"/>
        <tr r="O50" s="11"/>
        <tr r="O19" s="7"/>
        <tr r="O18" s="4"/>
        <tr r="O20" s="2"/>
      </tp>
      <tp t="e">
        <v>#N/A</v>
        <stp/>
        <stp>BDH|1696371718796219434</stp>
        <tr r="Y43" s="17"/>
      </tp>
      <tp t="e">
        <v>#N/A</v>
        <stp/>
        <stp>BDH|3014108324278861947</stp>
        <tr r="J68" s="13"/>
      </tp>
      <tp t="e">
        <v>#N/A</v>
        <stp/>
        <stp>BDH|3592253736575966674</stp>
        <tr r="K21" s="14"/>
      </tp>
      <tp t="e">
        <v>#N/A</v>
        <stp/>
        <stp>BDH|5994059685034689875</stp>
        <tr r="V49" s="6"/>
      </tp>
      <tp t="e">
        <v>#N/A</v>
        <stp/>
        <stp>BDH|7181090446672306052</stp>
        <tr r="D84" s="17"/>
        <tr r="D20" s="3"/>
      </tp>
      <tp t="e">
        <v>#N/A</v>
        <stp/>
        <stp>BDH|3048607542126989636</stp>
        <tr r="Z46" s="17"/>
      </tp>
      <tp t="e">
        <v>#N/A</v>
        <stp/>
        <stp>BDH|1365741181457762899</stp>
        <tr r="X137" s="18"/>
      </tp>
      <tp t="e">
        <v>#N/A</v>
        <stp/>
        <stp>BDH|3213053569963701714</stp>
        <tr r="Y47" s="13"/>
      </tp>
      <tp t="e">
        <v>#N/A</v>
        <stp/>
        <stp>BDH|7651828703218784688</stp>
        <tr r="F110" s="18"/>
      </tp>
      <tp t="e">
        <v>#N/A</v>
        <stp/>
        <stp>BDH|1474768230547964332</stp>
        <tr r="U25" s="5"/>
      </tp>
      <tp t="e">
        <v>#N/A</v>
        <stp/>
        <stp>BDH|2711849722298803114</stp>
        <tr r="R53" s="21"/>
      </tp>
      <tp t="e">
        <v>#N/A</v>
        <stp/>
        <stp>BDH|4895124832651936696</stp>
        <tr r="P102" s="18"/>
      </tp>
      <tp t="e">
        <v>#N/A</v>
        <stp/>
        <stp>BDH|5973606573647689241</stp>
        <tr r="F71" s="12"/>
      </tp>
      <tp t="e">
        <v>#N/A</v>
        <stp/>
        <stp>BDH|7829079871779183867</stp>
        <tr r="AA26" s="13"/>
      </tp>
      <tp t="e">
        <v>#N/A</v>
        <stp/>
        <stp>BDH|1501484454141901096</stp>
        <tr r="Y159" s="18"/>
      </tp>
      <tp t="e">
        <v>#N/A</v>
        <stp/>
        <stp>BDH|1883491959803445256</stp>
        <tr r="R38" s="22"/>
      </tp>
      <tp t="e">
        <v>#N/A</v>
        <stp/>
        <stp>BDH|4699759385128643296</stp>
        <tr r="C66" s="17"/>
      </tp>
      <tp t="e">
        <v>#N/A</v>
        <stp/>
        <stp>BDH|8446426347601118897</stp>
        <tr r="AA34" s="25"/>
        <tr r="AA16" s="27"/>
      </tp>
      <tp t="e">
        <v>#N/A</v>
        <stp/>
        <stp>BDH|1049388351711413748</stp>
        <tr r="P15" s="30"/>
      </tp>
      <tp t="e">
        <v>#N/A</v>
        <stp/>
        <stp>BDH|1857037216279439801</stp>
        <tr r="I13" s="34"/>
      </tp>
      <tp t="e">
        <v>#N/A</v>
        <stp/>
        <stp>BDH|4792374474866437793</stp>
        <tr r="Y11" s="10"/>
        <tr r="Y14" s="2"/>
      </tp>
      <tp t="e">
        <v>#N/A</v>
        <stp/>
        <stp>BDH|8573365195700832373</stp>
        <tr r="F35" s="17"/>
      </tp>
      <tp t="e">
        <v>#N/A</v>
        <stp/>
        <stp>BDH|4760324468572132251</stp>
        <tr r="C51" s="22"/>
      </tp>
      <tp t="e">
        <v>#N/A</v>
        <stp/>
        <stp>BDH|1031494378340834302</stp>
        <tr r="R66" s="10"/>
      </tp>
      <tp t="e">
        <v>#N/A</v>
        <stp/>
        <stp>BDH|5459705238478454814</stp>
        <tr r="Z75" s="17"/>
      </tp>
      <tp t="e">
        <v>#N/A</v>
        <stp/>
        <stp>BDH|7766657669190630646</stp>
        <tr r="W28" s="14"/>
      </tp>
      <tp t="e">
        <v>#N/A</v>
        <stp/>
        <stp>BDH|6910651158801996545</stp>
        <tr r="T13" s="34"/>
      </tp>
      <tp t="e">
        <v>#N/A</v>
        <stp/>
        <stp>BDH|2230243258712450636</stp>
        <tr r="V16" s="29"/>
        <tr r="V39" s="29"/>
      </tp>
      <tp t="e">
        <v>#N/A</v>
        <stp/>
        <stp>BDH|1810636271737464671</stp>
        <tr r="G30" s="26"/>
      </tp>
      <tp t="e">
        <v>#N/A</v>
        <stp/>
        <stp>BDH|7867727683129605067</stp>
        <tr r="N120" s="18"/>
      </tp>
      <tp t="e">
        <v>#N/A</v>
        <stp/>
        <stp>BDH|1403514711307586388</stp>
        <tr r="H41" s="22"/>
      </tp>
      <tp t="e">
        <v>#N/A</v>
        <stp/>
        <stp>BDH|6398535689832237820</stp>
        <tr r="N51" s="22"/>
      </tp>
      <tp t="e">
        <v>#N/A</v>
        <stp/>
        <stp>BDH|8578300188241429301</stp>
        <tr r="S22" s="25"/>
      </tp>
      <tp t="e">
        <v>#N/A</v>
        <stp/>
        <stp>BDH|7740636053316716396</stp>
        <tr r="X22" s="7"/>
      </tp>
      <tp t="e">
        <v>#N/A</v>
        <stp/>
        <stp>BDH|6500738849020364458</stp>
        <tr r="L47" s="18"/>
      </tp>
      <tp t="e">
        <v>#N/A</v>
        <stp/>
        <stp>BDH|4428289715030187615</stp>
        <tr r="P7" s="17"/>
      </tp>
      <tp t="e">
        <v>#N/A</v>
        <stp/>
        <stp>BDH|7257068149760656226</stp>
        <tr r="W84" s="18"/>
      </tp>
      <tp t="e">
        <v>#N/A</v>
        <stp/>
        <stp>BDH|1094283716552512126</stp>
        <tr r="X97" s="12"/>
      </tp>
      <tp t="e">
        <v>#N/A</v>
        <stp/>
        <stp>BDH|4085312164260453085</stp>
        <tr r="O26" s="22"/>
      </tp>
      <tp t="e">
        <v>#N/A</v>
        <stp/>
        <stp>BDH|4929048250327344775</stp>
        <tr r="I8" s="20"/>
        <tr r="I114" s="18"/>
      </tp>
      <tp t="e">
        <v>#N/A</v>
        <stp/>
        <stp>BDH|4589934534719878637</stp>
        <tr r="L80" s="17"/>
      </tp>
      <tp t="e">
        <v>#N/A</v>
        <stp/>
        <stp>BDH|3998835050507615853</stp>
        <tr r="P35" s="26"/>
        <tr r="M14" s="9"/>
      </tp>
      <tp t="e">
        <v>#N/A</v>
        <stp/>
        <stp>BDH|8112809859473150702</stp>
        <tr r="V23" s="24"/>
      </tp>
      <tp t="e">
        <v>#N/A</v>
        <stp/>
        <stp>BDH|8081493331347668975</stp>
        <tr r="C48" s="13"/>
      </tp>
      <tp t="e">
        <v>#N/A</v>
        <stp/>
        <stp>BDH|3243036987528959268</stp>
        <tr r="N43" s="29"/>
      </tp>
      <tp t="e">
        <v>#N/A</v>
        <stp/>
        <stp>BDH|3757718100307877273</stp>
        <tr r="X36" s="10"/>
        <tr r="X25" s="11"/>
      </tp>
      <tp t="e">
        <v>#N/A</v>
        <stp/>
        <stp>BDH|7405898302966792812</stp>
        <tr r="M14" s="4"/>
      </tp>
      <tp t="e">
        <v>#N/A</v>
        <stp/>
        <stp>BDH|5635471262293287582</stp>
        <tr r="J22" s="24"/>
      </tp>
      <tp t="e">
        <v>#N/A</v>
        <stp/>
        <stp>BDH|4883351284408415641</stp>
        <tr r="Q68" s="24"/>
      </tp>
      <tp t="e">
        <v>#N/A</v>
        <stp/>
        <stp>BDH|6891924640938611259</stp>
        <tr r="G46" s="22"/>
      </tp>
      <tp t="e">
        <v>#N/A</v>
        <stp/>
        <stp>BDH|4833035528434867328</stp>
        <tr r="O12" s="10"/>
      </tp>
      <tp t="e">
        <v>#N/A</v>
        <stp/>
        <stp>BDH|8418163827292956859</stp>
        <tr r="N13" s="30"/>
      </tp>
      <tp t="e">
        <v>#N/A</v>
        <stp/>
        <stp>BDH|3126102456931665780</stp>
        <tr r="K30" s="17"/>
      </tp>
      <tp t="e">
        <v>#N/A</v>
        <stp/>
        <stp>BDH|7888524932206765666</stp>
        <tr r="L29" s="14"/>
      </tp>
      <tp t="e">
        <v>#N/A</v>
        <stp/>
        <stp>BDH|2889932388044203684</stp>
        <tr r="P12" s="21"/>
      </tp>
      <tp t="e">
        <v>#N/A</v>
        <stp/>
        <stp>BDH|3074962429881711812</stp>
        <tr r="F83" s="12"/>
      </tp>
      <tp t="e">
        <v>#N/A</v>
        <stp/>
        <stp>BDH|2272602771241445392</stp>
        <tr r="M158" s="18"/>
      </tp>
      <tp t="e">
        <v>#N/A</v>
        <stp/>
        <stp>BDH|9017977619374342430</stp>
        <tr r="X17" s="5"/>
        <tr r="X36" s="6"/>
      </tp>
      <tp t="e">
        <v>#N/A</v>
        <stp/>
        <stp>BDH|2630954063715683989</stp>
        <tr r="AA74" s="24"/>
      </tp>
      <tp t="e">
        <v>#N/A</v>
        <stp/>
        <stp>BDH|2109702178021212252</stp>
        <tr r="W16" s="6"/>
      </tp>
      <tp t="e">
        <v>#N/A</v>
        <stp/>
        <stp>BDH|9871179985740188151</stp>
        <tr r="O154" s="18"/>
      </tp>
      <tp t="e">
        <v>#N/A</v>
        <stp/>
        <stp>BDH|8396596598861848443</stp>
        <tr r="G44" s="12"/>
      </tp>
      <tp t="e">
        <v>#N/A</v>
        <stp/>
        <stp>BDH|9564942307077151693</stp>
        <tr r="S64" s="17"/>
      </tp>
      <tp t="e">
        <v>#N/A</v>
        <stp/>
        <stp>BDH|5534218818947644044</stp>
        <tr r="L10" s="24"/>
      </tp>
      <tp t="e">
        <v>#N/A</v>
        <stp/>
        <stp>BDH|3257727911630675491</stp>
        <tr r="Z70" s="12"/>
      </tp>
      <tp t="e">
        <v>#N/A</v>
        <stp/>
        <stp>BDH|9739451440521844941</stp>
        <tr r="J19" s="34"/>
      </tp>
      <tp t="e">
        <v>#N/A</v>
        <stp/>
        <stp>BDH|5315507905293087289</stp>
        <tr r="Q8" s="34"/>
      </tp>
      <tp t="e">
        <v>#N/A</v>
        <stp/>
        <stp>BDH|5225282942557314551</stp>
        <tr r="H47" s="6"/>
      </tp>
      <tp t="e">
        <v>#N/A</v>
        <stp/>
        <stp>BDH|5434141138422304452</stp>
        <tr r="C29" s="24"/>
      </tp>
      <tp t="e">
        <v>#N/A</v>
        <stp/>
        <stp>BDH|2896603684645188830</stp>
        <tr r="T16" s="25"/>
      </tp>
      <tp t="e">
        <v>#N/A</v>
        <stp/>
        <stp>BDH|4507342893407523890</stp>
        <tr r="O11" s="6"/>
      </tp>
      <tp t="e">
        <v>#N/A</v>
        <stp/>
        <stp>BDH|1539285707251501310</stp>
        <tr r="I20" s="10"/>
      </tp>
      <tp t="e">
        <v>#N/A</v>
        <stp/>
        <stp>BDH|1228716750696807455</stp>
        <tr r="I18" s="25"/>
      </tp>
      <tp t="e">
        <v>#N/A</v>
        <stp/>
        <stp>BDH|4693859688053229675</stp>
        <tr r="W36" s="29"/>
        <tr r="W22" s="29"/>
        <tr r="W13" s="29"/>
      </tp>
      <tp t="e">
        <v>#N/A</v>
        <stp/>
        <stp>BDH|3409842857027994802</stp>
        <tr r="J60" s="18"/>
      </tp>
      <tp t="e">
        <v>#N/A</v>
        <stp/>
        <stp>BDH|7678875564898817032</stp>
        <tr r="M13" s="13"/>
      </tp>
      <tp t="e">
        <v>#N/A</v>
        <stp/>
        <stp>BDH|7995751865036363147</stp>
        <tr r="C76" s="10"/>
        <tr r="C65" s="11"/>
      </tp>
      <tp t="e">
        <v>#N/A</v>
        <stp/>
        <stp>BDH|6386500218131018251</stp>
        <tr r="H31" s="17"/>
      </tp>
      <tp t="e">
        <v>#N/A</v>
        <stp/>
        <stp>BDH|3448245758854324153</stp>
        <tr r="Y57" s="13"/>
        <tr r="W38" s="11"/>
        <tr r="W49" s="10"/>
        <tr r="W18" s="2"/>
        <tr r="W53" s="4"/>
      </tp>
      <tp t="e">
        <v>#N/A</v>
        <stp/>
        <stp>BDH|5273154106134605199</stp>
        <tr r="K134" s="18"/>
      </tp>
      <tp t="e">
        <v>#N/A</v>
        <stp/>
        <stp>BDH|4591405618560238011</stp>
        <tr r="H17" s="22"/>
      </tp>
      <tp t="e">
        <v>#N/A</v>
        <stp/>
        <stp>BDH|3335051146765989376</stp>
        <tr r="K6" s="20"/>
        <tr r="K112" s="18"/>
      </tp>
      <tp t="e">
        <v>#N/A</v>
        <stp/>
        <stp>BDH|8502469319234187859</stp>
        <tr r="T91" s="18"/>
      </tp>
      <tp t="e">
        <v>#N/A</v>
        <stp/>
        <stp>BDH|3285563342140043384</stp>
        <tr r="S21" s="14"/>
      </tp>
      <tp t="e">
        <v>#N/A</v>
        <stp/>
        <stp>BDH|8963119210751476825</stp>
        <tr r="M16" s="27"/>
        <tr r="M34" s="25"/>
      </tp>
      <tp t="e">
        <v>#N/A</v>
        <stp/>
        <stp>BDH|4792585648625158185</stp>
        <tr r="E8" s="24"/>
      </tp>
      <tp t="e">
        <v>#N/A</v>
        <stp/>
        <stp>BDH|8885943249575275194</stp>
        <tr r="J13" s="26"/>
      </tp>
      <tp t="e">
        <v>#N/A</v>
        <stp/>
        <stp>BDH|3303222768720594621</stp>
        <tr r="Z48" s="22"/>
      </tp>
      <tp t="e">
        <v>#N/A</v>
        <stp/>
        <stp>BDH|5219268559513229012</stp>
        <tr r="G53" s="13"/>
      </tp>
      <tp t="e">
        <v>#N/A</v>
        <stp/>
        <stp>BDH|2048655968915750641</stp>
        <tr r="F35" s="24"/>
      </tp>
      <tp t="e">
        <v>#N/A</v>
        <stp/>
        <stp>BDH|7484411933550154196</stp>
        <tr r="Q8" s="27"/>
      </tp>
      <tp t="e">
        <v>#N/A</v>
        <stp/>
        <stp>BDH|1808752217796690022</stp>
        <tr r="E46" s="13"/>
        <tr r="C30" s="11"/>
        <tr r="C41" s="10"/>
      </tp>
      <tp t="e">
        <v>#N/A</v>
        <stp/>
        <stp>BDH|4041247488199641648</stp>
        <tr r="Q9" s="17"/>
      </tp>
      <tp t="e">
        <v>#N/A</v>
        <stp/>
        <stp>BDH|6163771227596857479</stp>
        <tr r="C20" s="14"/>
      </tp>
      <tp t="e">
        <v>#N/A</v>
        <stp/>
        <stp>BDH|2921164225158136845</stp>
        <tr r="H130" s="18"/>
      </tp>
      <tp t="e">
        <v>#N/A</v>
        <stp/>
        <stp>BDH|7840796228844625708</stp>
        <tr r="C6" s="16"/>
        <tr r="D6" s="11"/>
        <tr r="D10" s="4"/>
        <tr r="F6" s="3"/>
      </tp>
      <tp t="e">
        <v>#N/A</v>
        <stp/>
        <stp>BDH|4538591376254003350</stp>
        <tr r="M18" s="22"/>
      </tp>
      <tp t="e">
        <v>#N/A</v>
        <stp/>
        <stp>BDH|7420565220523869254</stp>
        <tr r="G99" s="18"/>
      </tp>
      <tp t="e">
        <v>#N/A</v>
        <stp/>
        <stp>BDH|5069067756639913865</stp>
        <tr r="V8" s="2"/>
      </tp>
      <tp t="e">
        <v>#N/A</v>
        <stp/>
        <stp>BDH|8132304491904796782</stp>
        <tr r="V95" s="18"/>
      </tp>
      <tp t="e">
        <v>#N/A</v>
        <stp/>
        <stp>BDH|8873990689528151063</stp>
        <tr r="K19" s="18"/>
      </tp>
      <tp t="e">
        <v>#N/A</v>
        <stp/>
        <stp>BDH|9405822049552957696</stp>
        <tr r="G31" s="24"/>
      </tp>
      <tp t="e">
        <v>#N/A</v>
        <stp/>
        <stp>BDH|5235980832067051972</stp>
        <tr r="N22" s="21"/>
      </tp>
      <tp t="e">
        <v>#N/A</v>
        <stp/>
        <stp>BDH|1917411930796583128</stp>
        <tr r="U24" s="26"/>
      </tp>
      <tp t="e">
        <v>#N/A</v>
        <stp/>
        <stp>BDH|8989981578034279349</stp>
        <tr r="P41" s="21"/>
      </tp>
      <tp t="e">
        <v>#N/A</v>
        <stp/>
        <stp>BDH|1188626125810126483</stp>
        <tr r="V60" s="18"/>
      </tp>
      <tp t="e">
        <v>#N/A</v>
        <stp/>
        <stp>BDH|5287788950141661730</stp>
        <tr r="D22" s="30"/>
        <tr r="D24" s="23"/>
      </tp>
      <tp t="e">
        <v>#N/A</v>
        <stp/>
        <stp>BDH|2484999852759829682</stp>
        <tr r="W100" s="12"/>
      </tp>
      <tp t="e">
        <v>#N/A</v>
        <stp/>
        <stp>BDH|8640390332371344815</stp>
        <tr r="U14" s="21"/>
      </tp>
      <tp t="e">
        <v>#N/A</v>
        <stp/>
        <stp>BDH|7687895811939922680</stp>
        <tr r="M165" s="18"/>
      </tp>
      <tp t="e">
        <v>#N/A</v>
        <stp/>
        <stp>BDH|5422659803915963742</stp>
        <tr r="S27" s="7"/>
      </tp>
      <tp t="e">
        <v>#N/A</v>
        <stp/>
        <stp>BDH|7971144257817288575</stp>
        <tr r="U21" s="9"/>
        <tr r="U23" s="5"/>
      </tp>
      <tp t="e">
        <v>#N/A</v>
        <stp/>
        <stp>BDH|3431129051444001287</stp>
        <tr r="F12" s="22"/>
      </tp>
      <tp t="e">
        <v>#N/A</v>
        <stp/>
        <stp>BDH|6020250121565874239</stp>
        <tr r="I48" s="21"/>
      </tp>
      <tp t="e">
        <v>#N/A</v>
        <stp/>
        <stp>BDH|2227028284503205897</stp>
        <tr r="U6" s="27"/>
      </tp>
      <tp t="e">
        <v>#N/A</v>
        <stp/>
        <stp>BDH|9215460678758382305</stp>
        <tr r="V104" s="18"/>
      </tp>
      <tp t="e">
        <v>#N/A</v>
        <stp/>
        <stp>BDH|2725085337845164562</stp>
        <tr r="X24" s="20"/>
      </tp>
      <tp t="e">
        <v>#N/A</v>
        <stp/>
        <stp>BDH|6219697943962220756</stp>
        <tr r="E21" s="17"/>
      </tp>
      <tp t="e">
        <v>#N/A</v>
        <stp/>
        <stp>BDH|9407609189863432569</stp>
        <tr r="M22" s="27"/>
      </tp>
      <tp t="e">
        <v>#N/A</v>
        <stp/>
        <stp>BDH|3981240537355750624</stp>
        <tr r="S34" s="11"/>
        <tr r="S45" s="10"/>
      </tp>
      <tp t="e">
        <v>#N/A</v>
        <stp/>
        <stp>BDH|2038123447105897322</stp>
        <tr r="Z8" s="20"/>
        <tr r="Z114" s="18"/>
      </tp>
      <tp t="e">
        <v>#N/A</v>
        <stp/>
        <stp>BDH|3922759576474214673</stp>
        <tr r="F16" s="14"/>
      </tp>
      <tp t="e">
        <v>#N/A</v>
        <stp/>
        <stp>BDH|7746689791158534142</stp>
        <tr r="N65" s="18"/>
      </tp>
      <tp t="e">
        <v>#N/A</v>
        <stp/>
        <stp>BDH|5488187567735562613</stp>
        <tr r="T6" s="27"/>
      </tp>
      <tp t="e">
        <v>#N/A</v>
        <stp/>
        <stp>BDH|4263826919678533438</stp>
        <tr r="G60" s="13"/>
        <tr r="E48" s="11"/>
        <tr r="E59" s="10"/>
        <tr r="E17" s="7"/>
        <tr r="E17" s="4"/>
        <tr r="G10" s="3"/>
      </tp>
      <tp t="e">
        <v>#N/A</v>
        <stp/>
        <stp>BDH|3482636929692754461</stp>
        <tr r="I134" s="18"/>
      </tp>
      <tp t="e">
        <v>#N/A</v>
        <stp/>
        <stp>BDH|7015878729465634972</stp>
        <tr r="G52" s="22"/>
      </tp>
      <tp t="e">
        <v>#N/A</v>
        <stp/>
        <stp>BDH|8798361688681607302</stp>
        <tr r="H46" s="22"/>
      </tp>
      <tp t="e">
        <v>#N/A</v>
        <stp/>
        <stp>BDH|4839422746585380003</stp>
        <tr r="P16" s="22"/>
      </tp>
      <tp t="e">
        <v>#N/A</v>
        <stp/>
        <stp>BDH|1872536267292645158</stp>
        <tr r="T35" s="4"/>
      </tp>
      <tp t="e">
        <v>#N/A</v>
        <stp/>
        <stp>BDH|9179151969899645645</stp>
        <tr r="D15" s="30"/>
      </tp>
      <tp t="e">
        <v>#N/A</v>
        <stp/>
        <stp>BDH|5146709598589264341</stp>
        <tr r="O150" s="18"/>
      </tp>
      <tp t="e">
        <v>#N/A</v>
        <stp/>
        <stp>BDH|6473654844961945431</stp>
        <tr r="O93" s="17"/>
      </tp>
      <tp t="e">
        <v>#N/A</v>
        <stp/>
        <stp>BDH|7994572851264311237</stp>
        <tr r="Z60" s="12"/>
      </tp>
      <tp t="e">
        <v>#N/A</v>
        <stp/>
        <stp>BDH|5776121058707578778</stp>
        <tr r="F28" s="12"/>
      </tp>
      <tp t="e">
        <v>#N/A</v>
        <stp/>
        <stp>BDH|8530794750313920897</stp>
        <tr r="Z13" s="26"/>
      </tp>
      <tp t="e">
        <v>#N/A</v>
        <stp/>
        <stp>BDH|2889511840722580007</stp>
        <tr r="K72" s="12"/>
      </tp>
      <tp t="e">
        <v>#N/A</v>
        <stp/>
        <stp>BDH|2823910144089543747</stp>
        <tr r="E9" s="11"/>
      </tp>
      <tp t="e">
        <v>#N/A</v>
        <stp/>
        <stp>BDH|3183812788195797733</stp>
        <tr r="Z19" s="17"/>
      </tp>
      <tp t="e">
        <v>#N/A</v>
        <stp/>
        <stp>BDH|6316312921134907263</stp>
        <tr r="Q18" s="28"/>
        <tr r="Q15" s="17"/>
      </tp>
      <tp t="e">
        <v>#N/A</v>
        <stp/>
        <stp>BDH|5243276558573320025</stp>
        <tr r="W11" s="20"/>
        <tr r="W116" s="18"/>
      </tp>
      <tp t="e">
        <v>#N/A</v>
        <stp/>
        <stp>BDH|2922264981478733151</stp>
        <tr r="Z16" s="28"/>
        <tr r="Z13" s="17"/>
      </tp>
      <tp t="e">
        <v>#N/A</v>
        <stp/>
        <stp>BDH|9937991775813194580</stp>
        <tr r="G37" s="24"/>
      </tp>
      <tp t="e">
        <v>#N/A</v>
        <stp/>
        <stp>BDH|5661287264735436526</stp>
        <tr r="M6" s="27"/>
      </tp>
      <tp t="e">
        <v>#N/A</v>
        <stp/>
        <stp>BDH|1570855460476449881</stp>
        <tr r="D15" s="12"/>
      </tp>
      <tp t="e">
        <v>#N/A</v>
        <stp/>
        <stp>BDH|9910913226042711151</stp>
        <tr r="H16" s="26"/>
      </tp>
      <tp t="e">
        <v>#N/A</v>
        <stp/>
        <stp>BDH|7567143837520861424</stp>
        <tr r="Q71" s="10"/>
      </tp>
      <tp t="e">
        <v>#N/A</v>
        <stp/>
        <stp>BDH|9006961305190660194</stp>
        <tr r="S14" s="13"/>
      </tp>
      <tp t="e">
        <v>#N/A</v>
        <stp/>
        <stp>BDH|1659312205072951170</stp>
        <tr r="I38" s="13"/>
        <tr r="G31" s="10"/>
      </tp>
      <tp t="e">
        <v>#N/A</v>
        <stp/>
        <stp>BDH|3385087357212310539</stp>
        <tr r="I64" s="12"/>
      </tp>
      <tp t="e">
        <v>#N/A</v>
        <stp/>
        <stp>BDH|6684398845794259447</stp>
        <tr r="U74" s="17"/>
      </tp>
      <tp t="e">
        <v>#N/A</v>
        <stp/>
        <stp>BDH|2026881822161458820</stp>
        <tr r="X21" s="24"/>
      </tp>
      <tp t="e">
        <v>#N/A</v>
        <stp/>
        <stp>BDH|5508081950245207434</stp>
        <tr r="O70" s="24"/>
      </tp>
      <tp t="e">
        <v>#N/A</v>
        <stp/>
        <stp>BDH|8396269438191916986</stp>
        <tr r="S34" s="21"/>
      </tp>
      <tp t="e">
        <v>#N/A</v>
        <stp/>
        <stp>BDH|5126383146157716448</stp>
        <tr r="V18" s="9"/>
      </tp>
      <tp t="e">
        <v>#N/A</v>
        <stp/>
        <stp>BDH|9428446075238989307</stp>
        <tr r="Q127" s="18"/>
      </tp>
      <tp t="e">
        <v>#N/A</v>
        <stp/>
        <stp>BDH|3047818703508783298</stp>
        <tr r="V68" s="10"/>
        <tr r="V25" s="4"/>
      </tp>
      <tp t="e">
        <v>#N/A</v>
        <stp/>
        <stp>BDH|2535263877146183091</stp>
        <tr r="M73" s="17"/>
      </tp>
      <tp t="e">
        <v>#N/A</v>
        <stp/>
        <stp>BDH|5411987230876446841</stp>
        <tr r="S24" s="25"/>
      </tp>
      <tp t="e">
        <v>#N/A</v>
        <stp/>
        <stp>BDH|2001248699349290139</stp>
        <tr r="R69" s="18"/>
      </tp>
      <tp t="e">
        <v>#N/A</v>
        <stp/>
        <stp>BDH|2923528524106383209</stp>
        <tr r="R22" s="4"/>
      </tp>
      <tp t="e">
        <v>#N/A</v>
        <stp/>
        <stp>BDH|7486682304048272867</stp>
        <tr r="G15" s="23"/>
        <tr r="E59" s="11"/>
      </tp>
      <tp t="e">
        <v>#N/A</v>
        <stp/>
        <stp>BDH|6896763027741533303</stp>
        <tr r="O14" s="11"/>
      </tp>
      <tp t="e">
        <v>#N/A</v>
        <stp/>
        <stp>BDH|4529663644170944729</stp>
        <tr r="C143" s="18"/>
      </tp>
      <tp t="e">
        <v>#N/A</v>
        <stp/>
        <stp>BDH|5097085879266967545</stp>
        <tr r="V13" s="24"/>
      </tp>
      <tp t="e">
        <v>#N/A</v>
        <stp/>
        <stp>BDH|7427064032970514592</stp>
        <tr r="T73" s="17"/>
      </tp>
      <tp t="e">
        <v>#N/A</v>
        <stp/>
        <stp>BDH|5585105279303451145</stp>
        <tr r="T28" s="13"/>
        <tr r="T16" s="13"/>
        <tr r="R17" s="10"/>
      </tp>
      <tp t="e">
        <v>#N/A</v>
        <stp/>
        <stp>BDH|1239437225346882001</stp>
        <tr r="U34" s="13"/>
        <tr r="S27" s="10"/>
      </tp>
      <tp t="e">
        <v>#N/A</v>
        <stp/>
        <stp>BDH|8587846809738235964</stp>
        <tr r="L8" s="24"/>
      </tp>
      <tp t="e">
        <v>#N/A</v>
        <stp/>
        <stp>BDH|6994304809415957152</stp>
        <tr r="L43" s="21"/>
      </tp>
      <tp t="e">
        <v>#N/A</v>
        <stp/>
        <stp>BDH|4955331771165107474</stp>
        <tr r="Y38" s="29"/>
        <tr r="Y15" s="29"/>
      </tp>
      <tp t="e">
        <v>#N/A</v>
        <stp/>
        <stp>BDH|5055213240762549094</stp>
        <tr r="V23" s="17"/>
      </tp>
      <tp t="e">
        <v>#N/A</v>
        <stp/>
        <stp>BDH|5251226266319397989</stp>
        <tr r="Q74" s="24"/>
      </tp>
      <tp t="e">
        <v>#N/A</v>
        <stp/>
        <stp>BDH|5852972359840872838</stp>
        <tr r="C86" s="17"/>
      </tp>
      <tp t="e">
        <v>#N/A</v>
        <stp/>
        <stp>BDH|8806461792934699071</stp>
        <tr r="C36" s="6"/>
        <tr r="C17" s="5"/>
      </tp>
      <tp t="e">
        <v>#N/A</v>
        <stp/>
        <stp>BDH|1439709113601997736</stp>
        <tr r="C63" s="18"/>
      </tp>
      <tp t="e">
        <v>#N/A</v>
        <stp/>
        <stp>BDH|5379012195324930936</stp>
        <tr r="C48" s="18"/>
      </tp>
      <tp t="e">
        <v>#N/A</v>
        <stp/>
        <stp>BDH|4699793833357489653</stp>
        <tr r="C22" s="25"/>
      </tp>
      <tp t="e">
        <v>#N/A</v>
        <stp/>
        <stp>BDH|3724081861422300605</stp>
        <tr r="S22" s="29"/>
        <tr r="S36" s="29"/>
        <tr r="S13" s="29"/>
      </tp>
      <tp t="e">
        <v>#N/A</v>
        <stp/>
        <stp>BDH|3354393190188372042</stp>
        <tr r="R12" s="13"/>
      </tp>
      <tp t="e">
        <v>#N/A</v>
        <stp/>
        <stp>BDH|3177753502164913121</stp>
        <tr r="H23" s="21"/>
      </tp>
      <tp t="e">
        <v>#N/A</v>
        <stp/>
        <stp>BDH|2442934654007967873</stp>
        <tr r="I26" s="22"/>
      </tp>
      <tp t="e">
        <v>#N/A</v>
        <stp/>
        <stp>BDH|4347060715636469291</stp>
        <tr r="L42" s="24"/>
      </tp>
      <tp t="e">
        <v>#N/A</v>
        <stp/>
        <stp>BDH|4892246836337293350</stp>
        <tr r="Y12" s="24"/>
      </tp>
      <tp t="e">
        <v>#N/A</v>
        <stp/>
        <stp>BDH|8876049089912173394</stp>
        <tr r="Z89" s="17"/>
      </tp>
      <tp t="e">
        <v>#N/A</v>
        <stp/>
        <stp>BDH|1164855014218423197</stp>
        <tr r="V18" s="24"/>
      </tp>
      <tp t="e">
        <v>#N/A</v>
        <stp/>
        <stp>BDH|3552023643400827614</stp>
        <tr r="G46" s="17"/>
      </tp>
      <tp t="e">
        <v>#N/A</v>
        <stp/>
        <stp>BDH|9505820940644252087</stp>
        <tr r="I27" s="26"/>
      </tp>
      <tp t="e">
        <v>#N/A</v>
        <stp/>
        <stp>BDH|7196503810700837249</stp>
        <tr r="H24" s="2"/>
      </tp>
      <tp t="e">
        <v>#N/A</v>
        <stp/>
        <stp>BDH|3568571906040180789</stp>
        <tr r="D9" s="34"/>
      </tp>
      <tp t="e">
        <v>#N/A</v>
        <stp/>
        <stp>BDH|5134412507058802827</stp>
        <tr r="O12" s="25"/>
      </tp>
      <tp t="e">
        <v>#N/A</v>
        <stp/>
        <stp>BDH|7317986951293770904</stp>
        <tr r="O8" s="23"/>
      </tp>
      <tp t="e">
        <v>#N/A</v>
        <stp/>
        <stp>BDH|5594744962962917773</stp>
        <tr r="X50" s="18"/>
      </tp>
      <tp t="e">
        <v>#N/A</v>
        <stp/>
        <stp>BDH|2018418900203565495</stp>
        <tr r="Y35" s="13"/>
        <tr r="W28" s="10"/>
      </tp>
      <tp t="e">
        <v>#N/A</v>
        <stp/>
        <stp>BDH|8225583834198600758</stp>
        <tr r="Y69" s="10"/>
        <tr r="Y39" s="4"/>
      </tp>
      <tp t="e">
        <v>#N/A</v>
        <stp/>
        <stp>BDH|3796531293739952732</stp>
        <tr r="O37" s="34"/>
      </tp>
      <tp t="e">
        <v>#N/A</v>
        <stp/>
        <stp>BDH|8463503601915815906</stp>
        <tr r="H20" s="10"/>
      </tp>
      <tp t="e">
        <v>#N/A</v>
        <stp/>
        <stp>BDH|3617563136902875637</stp>
        <tr r="O18" s="11"/>
      </tp>
      <tp t="e">
        <v>#N/A</v>
        <stp/>
        <stp>BDH|6558315598918612573</stp>
        <tr r="K15" s="10"/>
      </tp>
      <tp t="e">
        <v>#N/A</v>
        <stp/>
        <stp>BDH|6277079468513126213</stp>
        <tr r="O10" s="23"/>
      </tp>
      <tp t="e">
        <v>#N/A</v>
        <stp/>
        <stp>BDH|3851727371463283144</stp>
        <tr r="AA7" s="30"/>
      </tp>
      <tp t="e">
        <v>#N/A</v>
        <stp/>
        <stp>BDH|6536687777420684612</stp>
        <tr r="H83" s="12"/>
      </tp>
      <tp t="e">
        <v>#N/A</v>
        <stp/>
        <stp>BDH|2455417605575980242</stp>
        <tr r="AA41" s="22"/>
      </tp>
      <tp t="e">
        <v>#N/A</v>
        <stp/>
        <stp>BDH|2747502375209612898</stp>
        <tr r="W56" s="13"/>
      </tp>
      <tp t="e">
        <v>#N/A</v>
        <stp/>
        <stp>BDH|5998638174775489073</stp>
        <tr r="P134" s="18"/>
      </tp>
      <tp t="e">
        <v>#N/A</v>
        <stp/>
        <stp>BDH|3161512045045102698</stp>
        <tr r="G18" s="28"/>
        <tr r="G15" s="17"/>
      </tp>
      <tp t="e">
        <v>#N/A</v>
        <stp/>
        <stp>BDH|4889811434509562754</stp>
        <tr r="O126" s="18"/>
      </tp>
      <tp t="e">
        <v>#N/A</v>
        <stp/>
        <stp>BDH|5014862292624376153</stp>
        <tr r="L8" s="8"/>
      </tp>
      <tp t="e">
        <v>#N/A</v>
        <stp/>
        <stp>BDH|2663419057052395017</stp>
        <tr r="X34" s="29"/>
      </tp>
      <tp t="e">
        <v>#N/A</v>
        <stp/>
        <stp>BDH|7652559907710590333</stp>
        <tr r="W56" s="6"/>
      </tp>
      <tp t="e">
        <v>#N/A</v>
        <stp/>
        <stp>BDH|3353695665760962241</stp>
        <tr r="M55" s="12"/>
      </tp>
      <tp t="e">
        <v>#N/A</v>
        <stp/>
        <stp>BDH|8811201041609270691</stp>
        <tr r="D11" s="21"/>
      </tp>
      <tp t="e">
        <v>#N/A</v>
        <stp/>
        <stp>BDH|7011617009894395497</stp>
        <tr r="C26" s="22"/>
      </tp>
      <tp t="e">
        <v>#N/A</v>
        <stp/>
        <stp>BDH|1185460609057883343</stp>
        <tr r="G66" s="24"/>
      </tp>
      <tp t="e">
        <v>#N/A</v>
        <stp/>
        <stp>BDH|8892458591822822668</stp>
        <tr r="K173" s="18"/>
      </tp>
      <tp t="e">
        <v>#N/A</v>
        <stp/>
        <stp>BDH|7858261410186966350</stp>
        <tr r="S98" s="12"/>
      </tp>
      <tp t="e">
        <v>#N/A</v>
        <stp/>
        <stp>BDH|5706156474293224165</stp>
        <tr r="T10" s="12"/>
      </tp>
      <tp t="e">
        <v>#N/A</v>
        <stp/>
        <stp>BDH|5473378682946479972</stp>
        <tr r="H73" s="13"/>
        <tr r="F50" s="11"/>
        <tr r="F19" s="7"/>
        <tr r="F61" s="10"/>
        <tr r="F18" s="4"/>
        <tr r="F20" s="2"/>
      </tp>
      <tp t="e">
        <v>#N/A</v>
        <stp/>
        <stp>BDH|7623536213223277163</stp>
        <tr r="J95" s="18"/>
      </tp>
      <tp t="e">
        <v>#N/A</v>
        <stp/>
        <stp>BDH|4723992349649443110</stp>
        <tr r="J67" s="18"/>
      </tp>
      <tp t="e">
        <v>#N/A</v>
        <stp/>
        <stp>BDH|6423570801015647764</stp>
        <tr r="L22" s="24"/>
      </tp>
      <tp t="e">
        <v>#N/A</v>
        <stp/>
        <stp>BDH|2866270396159214193</stp>
        <tr r="U22" s="14"/>
      </tp>
      <tp t="e">
        <v>#N/A</v>
        <stp/>
        <stp>BDH|8178815767445428211</stp>
        <tr r="M54" s="34"/>
      </tp>
      <tp t="e">
        <v>#N/A</v>
        <stp/>
        <stp>BDH|5421630567126569270</stp>
        <tr r="R21" s="5"/>
      </tp>
      <tp t="e">
        <v>#N/A</v>
        <stp/>
        <stp>BDH|7290952433785739918</stp>
        <tr r="C158" s="18"/>
      </tp>
      <tp t="e">
        <v>#N/A</v>
        <stp/>
        <stp>BDH|3567754921080207715</stp>
        <tr r="C24" s="17"/>
      </tp>
      <tp t="e">
        <v>#N/A</v>
        <stp/>
        <stp>BDH|2103052166075566053</stp>
        <tr r="K24" s="29"/>
      </tp>
      <tp t="e">
        <v>#N/A</v>
        <stp/>
        <stp>BDH|9053921840142947796</stp>
        <tr r="H125" s="18"/>
      </tp>
      <tp t="e">
        <v>#N/A</v>
        <stp/>
        <stp>BDH|7944252825146870036</stp>
        <tr r="V19" s="20"/>
      </tp>
      <tp t="e">
        <v>#N/A</v>
        <stp/>
        <stp>BDH|5526943702908826593</stp>
        <tr r="L53" s="22"/>
      </tp>
      <tp t="e">
        <v>#N/A</v>
        <stp/>
        <stp>BDH|5197327677244674402</stp>
        <tr r="G7" s="28"/>
      </tp>
      <tp t="e">
        <v>#N/A</v>
        <stp/>
        <stp>BDH|1825564356252891224</stp>
        <tr r="V23" s="18"/>
      </tp>
      <tp t="e">
        <v>#N/A</v>
        <stp/>
        <stp>BDH|5051947335318510669</stp>
        <tr r="F73" s="12"/>
      </tp>
      <tp t="e">
        <v>#N/A</v>
        <stp/>
        <stp>BDH|6043053951534131678</stp>
        <tr r="P67" s="13"/>
      </tp>
      <tp t="e">
        <v>#N/A</v>
        <stp/>
        <stp>BDH|4138311441986350405</stp>
        <tr r="K23" s="17"/>
      </tp>
      <tp t="e">
        <v>#N/A</v>
        <stp/>
        <stp>BDH|9710229002022713822</stp>
        <tr r="Z40" s="13"/>
        <tr r="X33" s="10"/>
      </tp>
      <tp t="e">
        <v>#N/A</v>
        <stp/>
        <stp>BDH|8054896881879842025</stp>
        <tr r="C34" s="18"/>
      </tp>
      <tp t="e">
        <v>#N/A</v>
        <stp/>
        <stp>BDH|5378076244875408564</stp>
        <tr r="I44" s="13"/>
        <tr r="G36" s="11"/>
        <tr r="G47" s="10"/>
        <tr r="G52" s="4"/>
        <tr r="I8" s="3"/>
      </tp>
      <tp t="e">
        <v>#N/A</v>
        <stp/>
        <stp>BDH|5444519387760227925</stp>
        <tr r="K11" s="17"/>
      </tp>
      <tp t="e">
        <v>#N/A</v>
        <stp/>
        <stp>BDH|2270509377028341947</stp>
        <tr r="H121" s="18"/>
      </tp>
      <tp t="e">
        <v>#N/A</v>
        <stp/>
        <stp>BDH|9179604794357191064</stp>
        <tr r="Y22" s="24"/>
      </tp>
      <tp t="e">
        <v>#N/A</v>
        <stp/>
        <stp>BDH|2785967125121204941</stp>
        <tr r="F70" s="12"/>
      </tp>
      <tp t="e">
        <v>#N/A</v>
        <stp/>
        <stp>BDH|5338522971193485566</stp>
        <tr r="I77" s="18"/>
      </tp>
      <tp t="e">
        <v>#N/A</v>
        <stp/>
        <stp>BDH|5678679523522956290</stp>
        <tr r="V59" s="17"/>
      </tp>
      <tp t="e">
        <v>#N/A</v>
        <stp/>
        <stp>BDH|1797273672651250438</stp>
        <tr r="AA35" s="21"/>
      </tp>
      <tp t="e">
        <v>#N/A</v>
        <stp/>
        <stp>BDH|3140154001113296048</stp>
        <tr r="R32" s="5"/>
      </tp>
      <tp t="e">
        <v>#N/A</v>
        <stp/>
        <stp>BDH|6154309929676333089</stp>
        <tr r="Y39" s="26"/>
      </tp>
      <tp t="e">
        <v>#N/A</v>
        <stp/>
        <stp>BDH|6367850323119761412</stp>
        <tr r="R50" s="12"/>
      </tp>
      <tp t="e">
        <v>#N/A</v>
        <stp/>
        <stp>BDH|4673040213167303314</stp>
        <tr r="X13" s="7"/>
      </tp>
      <tp t="e">
        <v>#N/A</v>
        <stp/>
        <stp>BDH|4917285550215325716</stp>
        <tr r="N38" s="25"/>
        <tr r="N92" s="17"/>
      </tp>
      <tp t="e">
        <v>#N/A</v>
        <stp/>
        <stp>BDH|5257552561107334067</stp>
        <tr r="L28" s="21"/>
      </tp>
      <tp t="e">
        <v>#N/A</v>
        <stp/>
        <stp>BDH|6413107533720262565</stp>
        <tr r="F43" s="24"/>
      </tp>
      <tp t="e">
        <v>#N/A</v>
        <stp/>
        <stp>BDH|3553505656535639764</stp>
        <tr r="G23" s="24"/>
      </tp>
      <tp t="e">
        <v>#N/A</v>
        <stp/>
        <stp>BDH|2402509605787728159</stp>
        <tr r="P70" s="13"/>
      </tp>
      <tp t="e">
        <v>#N/A</v>
        <stp/>
        <stp>BDH|2405617631045207352</stp>
        <tr r="S76" s="12"/>
      </tp>
      <tp t="e">
        <v>#N/A</v>
        <stp/>
        <stp>BDH|3001202321474125631</stp>
        <tr r="W29" s="21"/>
      </tp>
      <tp t="e">
        <v>#N/A</v>
        <stp/>
        <stp>BDH|4336440059670580488</stp>
        <tr r="L34" s="26"/>
      </tp>
      <tp t="e">
        <v>#N/A</v>
        <stp/>
        <stp>BDH|7077696960690970634</stp>
        <tr r="M27" s="7"/>
      </tp>
      <tp t="e">
        <v>#N/A</v>
        <stp/>
        <stp>BDH|1168282952570818704</stp>
        <tr r="F47" s="17"/>
      </tp>
      <tp t="e">
        <v>#N/A</v>
        <stp/>
        <stp>BDH|5747534725523229003</stp>
        <tr r="Q72" s="12"/>
      </tp>
      <tp t="e">
        <v>#N/A</v>
        <stp/>
        <stp>BDH|1868131038241863384</stp>
        <tr r="J57" s="17"/>
      </tp>
      <tp t="e">
        <v>#N/A</v>
        <stp/>
        <stp>BDH|3128074130473067253</stp>
        <tr r="P136" s="18"/>
      </tp>
      <tp t="e">
        <v>#N/A</v>
        <stp/>
        <stp>BDH|4721393358065518606</stp>
        <tr r="Y107" s="18"/>
      </tp>
      <tp t="e">
        <v>#N/A</v>
        <stp/>
        <stp>BDH|9395839173681462646</stp>
        <tr r="X95" s="12"/>
      </tp>
      <tp t="e">
        <v>#N/A</v>
        <stp/>
        <stp>BDH|8010851957503206733</stp>
        <tr r="C34" s="13"/>
      </tp>
      <tp t="e">
        <v>#N/A</v>
        <stp/>
        <stp>BDH|8287369216223081812</stp>
        <tr r="T111" s="18"/>
      </tp>
      <tp t="e">
        <v>#N/A</v>
        <stp/>
        <stp>BDH|2633248706254397548</stp>
        <tr r="Q26" s="25"/>
        <tr r="Q56" s="21"/>
      </tp>
      <tp t="e">
        <v>#N/A</v>
        <stp/>
        <stp>BDH|6440158427544020053</stp>
        <tr r="T94" s="18"/>
      </tp>
      <tp t="e">
        <v>#N/A</v>
        <stp/>
        <stp>BDH|4363714456377703009</stp>
        <tr r="J50" s="22"/>
      </tp>
      <tp t="e">
        <v>#N/A</v>
        <stp/>
        <stp>BDH|8488374001549731362</stp>
        <tr r="L59" s="18"/>
      </tp>
      <tp t="e">
        <v>#N/A</v>
        <stp/>
        <stp>BDH|6396152058310969346</stp>
        <tr r="U21" s="14"/>
      </tp>
      <tp t="e">
        <v>#N/A</v>
        <stp/>
        <stp>BDH|4285771817012534142</stp>
        <tr r="E67" s="24"/>
      </tp>
      <tp t="e">
        <v>#N/A</v>
        <stp/>
        <stp>BDH|4378870143880036947</stp>
        <tr r="W47" s="34"/>
      </tp>
      <tp t="e">
        <v>#N/A</v>
        <stp/>
        <stp>BDH|6253409287499040267</stp>
        <tr r="L64" s="12"/>
      </tp>
      <tp t="e">
        <v>#N/A</v>
        <stp/>
        <stp>BDH|6010072911505749328</stp>
        <tr r="F9" s="29"/>
      </tp>
      <tp t="e">
        <v>#N/A</v>
        <stp/>
        <stp>BDH|8313761197496987186</stp>
        <tr r="F100" s="18"/>
      </tp>
      <tp t="e">
        <v>#N/A</v>
        <stp/>
        <stp>BDH|2734270983870695968</stp>
        <tr r="L25" s="12"/>
      </tp>
      <tp t="e">
        <v>#N/A</v>
        <stp/>
        <stp>BDH|2565919086044901682</stp>
        <tr r="H15" s="29"/>
        <tr r="H38" s="29"/>
      </tp>
      <tp t="e">
        <v>#N/A</v>
        <stp/>
        <stp>BDH|8657150678916072986</stp>
        <tr r="V27" s="22"/>
      </tp>
      <tp t="e">
        <v>#N/A</v>
        <stp/>
        <stp>BDH|1058539146542101374</stp>
        <tr r="N77" s="24"/>
      </tp>
      <tp t="e">
        <v>#N/A</v>
        <stp/>
        <stp>BDH|1101064030865113651</stp>
        <tr r="AA72" s="12"/>
      </tp>
      <tp t="e">
        <v>#N/A</v>
        <stp/>
        <stp>BDH|2710429750932380055</stp>
        <tr r="K41" s="34"/>
      </tp>
      <tp t="e">
        <v>#N/A</v>
        <stp/>
        <stp>BDH|3350611321063300538</stp>
        <tr r="X154" s="18"/>
      </tp>
      <tp t="e">
        <v>#N/A</v>
        <stp/>
        <stp>BDH|2982007745371764685</stp>
        <tr r="X17" s="9"/>
      </tp>
      <tp t="e">
        <v>#N/A</v>
        <stp/>
        <stp>BDH|3541558664359174867</stp>
        <tr r="S7" s="6"/>
      </tp>
      <tp t="e">
        <v>#N/A</v>
        <stp/>
        <stp>BDH|2121773251109674828</stp>
        <tr r="R24" s="26"/>
      </tp>
      <tp t="e">
        <v>#N/A</v>
        <stp/>
        <stp>BDH|1767251854243789422</stp>
        <tr r="Y17" s="27"/>
        <tr r="Y35" s="25"/>
        <tr r="V14" s="5"/>
      </tp>
      <tp t="e">
        <v>#N/A</v>
        <stp/>
        <stp>BDH|2677093040675953258</stp>
        <tr r="E23" s="12"/>
      </tp>
      <tp t="e">
        <v>#N/A</v>
        <stp/>
        <stp>BDH|3271230150451340419</stp>
        <tr r="D169" s="18"/>
      </tp>
      <tp t="e">
        <v>#N/A</v>
        <stp/>
        <stp>BDH|7966063143836904463</stp>
        <tr r="K20" s="21"/>
      </tp>
      <tp t="e">
        <v>#N/A</v>
        <stp/>
        <stp>BDH|9555881101367713788</stp>
        <tr r="L23" s="24"/>
      </tp>
      <tp t="e">
        <v>#N/A</v>
        <stp/>
        <stp>BDH|6032501537394696526</stp>
        <tr r="T42" s="17"/>
      </tp>
      <tp t="e">
        <v>#N/A</v>
        <stp/>
        <stp>BDH|4814356366899055984</stp>
        <tr r="Q163" s="18"/>
      </tp>
      <tp t="e">
        <v>#N/A</v>
        <stp/>
        <stp>BDH|8685743173919901083</stp>
        <tr r="U10" s="13"/>
      </tp>
      <tp t="e">
        <v>#N/A</v>
        <stp/>
        <stp>BDH|3683219873110650724</stp>
        <tr r="E67" s="12"/>
      </tp>
      <tp t="e">
        <v>#N/A</v>
        <stp/>
        <stp>BDH|1811114239436856484</stp>
        <tr r="W62" s="13"/>
      </tp>
      <tp t="e">
        <v>#N/A</v>
        <stp/>
        <stp>BDH|9921030719619171023</stp>
        <tr r="D151" s="18"/>
      </tp>
      <tp t="e">
        <v>#N/A</v>
        <stp/>
        <stp>BDH|2123626405704164175</stp>
        <tr r="AA48" s="17"/>
      </tp>
      <tp t="e">
        <v>#N/A</v>
        <stp/>
        <stp>BDH|6128446035992501258</stp>
        <tr r="G49" s="17"/>
      </tp>
      <tp t="e">
        <v>#N/A</v>
        <stp/>
        <stp>BDH|4198511452565211009</stp>
        <tr r="K66" s="12"/>
      </tp>
      <tp t="e">
        <v>#N/A</v>
        <stp/>
        <stp>BDH|4803436614067935761</stp>
        <tr r="W74" s="10"/>
        <tr r="W63" s="11"/>
      </tp>
      <tp t="e">
        <v>#N/A</v>
        <stp/>
        <stp>BDH|2216787174383738092</stp>
        <tr r="U71" s="24"/>
      </tp>
      <tp t="e">
        <v>#N/A</v>
        <stp/>
        <stp>BDH|6826028639651490573</stp>
        <tr r="T7" s="20"/>
        <tr r="T113" s="18"/>
      </tp>
      <tp t="e">
        <v>#N/A</v>
        <stp/>
        <stp>BDH|3174734595705496934</stp>
        <tr r="W23" s="24"/>
      </tp>
      <tp t="e">
        <v>#N/A</v>
        <stp/>
        <stp>BDH|4109461602472395365</stp>
        <tr r="E68" s="17"/>
      </tp>
      <tp t="e">
        <v>#N/A</v>
        <stp/>
        <stp>BDH|4463079052384802495</stp>
        <tr r="U10" s="11"/>
      </tp>
      <tp t="e">
        <v>#N/A</v>
        <stp/>
        <stp>BDH|2595951695711778221</stp>
        <tr r="J12" s="11"/>
      </tp>
      <tp t="e">
        <v>#N/A</v>
        <stp/>
        <stp>BDH|9685414170548043375</stp>
        <tr r="S32" s="26"/>
      </tp>
      <tp t="e">
        <v>#N/A</v>
        <stp/>
        <stp>BDH|4093494458222131606</stp>
        <tr r="V17" s="18"/>
      </tp>
      <tp t="e">
        <v>#N/A</v>
        <stp/>
        <stp>BDH|5742225464237691770</stp>
        <tr r="R64" s="24"/>
      </tp>
      <tp t="e">
        <v>#N/A</v>
        <stp/>
        <stp>BDH|7155211094835303876</stp>
        <tr r="G54" s="17"/>
        <tr r="G17" s="3"/>
      </tp>
      <tp t="e">
        <v>#N/A</v>
        <stp/>
        <stp>BDH|4691237636530153424</stp>
        <tr r="X32" s="17"/>
      </tp>
      <tp t="e">
        <v>#N/A</v>
        <stp/>
        <stp>BDH|5281776424767001613</stp>
        <tr r="I24" s="26"/>
      </tp>
      <tp t="e">
        <v>#N/A</v>
        <stp/>
        <stp>BDH|2015534417763409408</stp>
        <tr r="J10" s="8"/>
        <tr r="H53" s="6"/>
      </tp>
      <tp t="e">
        <v>#N/A</v>
        <stp/>
        <stp>BDH|3653480772120404188</stp>
        <tr r="K92" s="12"/>
      </tp>
      <tp t="e">
        <v>#N/A</v>
        <stp/>
        <stp>BDH|3238488675379764882</stp>
        <tr r="D22" s="12"/>
      </tp>
      <tp t="e">
        <v>#N/A</v>
        <stp/>
        <stp>BDH|6338431936550289043</stp>
        <tr r="M76" s="17"/>
      </tp>
      <tp t="e">
        <v>#N/A</v>
        <stp/>
        <stp>BDH|1131789195426921853</stp>
        <tr r="H42" s="4"/>
      </tp>
      <tp t="e">
        <v>#N/A</v>
        <stp/>
        <stp>BDH|9719810907836568640</stp>
        <tr r="L9" s="27"/>
      </tp>
      <tp t="e">
        <v>#N/A</v>
        <stp/>
        <stp>BDH|5100407725930130253</stp>
        <tr r="S168" s="18"/>
      </tp>
      <tp t="e">
        <v>#N/A</v>
        <stp/>
        <stp>BDH|5671479040682471651</stp>
        <tr r="M63" s="17"/>
      </tp>
      <tp t="e">
        <v>#N/A</v>
        <stp/>
        <stp>BDH|9120525696807094347</stp>
        <tr r="P16" s="20"/>
      </tp>
      <tp t="e">
        <v>#N/A</v>
        <stp/>
        <stp>BDH|1674367194483244971</stp>
        <tr r="H35" s="13"/>
        <tr r="F28" s="10"/>
      </tp>
      <tp t="e">
        <v>#N/A</v>
        <stp/>
        <stp>BDH|5200635550564386338</stp>
        <tr r="T48" s="6"/>
      </tp>
      <tp t="e">
        <v>#N/A</v>
        <stp/>
        <stp>BDH|4912844513799739581</stp>
        <tr r="C69" s="17"/>
        <tr r="C18" s="3"/>
      </tp>
      <tp t="e">
        <v>#N/A</v>
        <stp/>
        <stp>BDH|6137649916737247709</stp>
        <tr r="Q36" s="17"/>
      </tp>
      <tp t="e">
        <v>#N/A</v>
        <stp/>
        <stp>BDH|7632204600542792608</stp>
        <tr r="G23" s="29"/>
        <tr r="G14" s="29"/>
        <tr r="G37" s="29"/>
      </tp>
      <tp t="e">
        <v>#N/A</v>
        <stp/>
        <stp>BDH|3674889789996356451</stp>
        <tr r="J20" s="27"/>
      </tp>
      <tp t="e">
        <v>#N/A</v>
        <stp/>
        <stp>BDH|2113668447328398920</stp>
        <tr r="M41" s="24"/>
      </tp>
      <tp t="e">
        <v>#N/A</v>
        <stp/>
        <stp>BDH|5143331147560011343</stp>
        <tr r="T75" s="18"/>
      </tp>
      <tp t="e">
        <v>#N/A</v>
        <stp/>
        <stp>BDH|6384582553237187082</stp>
        <tr r="H47" s="24"/>
      </tp>
      <tp t="e">
        <v>#N/A</v>
        <stp/>
        <stp>BDH|2292531502535384317</stp>
        <tr r="Z24" s="24"/>
      </tp>
      <tp t="e">
        <v>#N/A</v>
        <stp/>
        <stp>BDH|8176326983125157707</stp>
        <tr r="C100" s="12"/>
      </tp>
      <tp t="e">
        <v>#N/A</v>
        <stp/>
        <stp>BDH|8367099972098120688</stp>
        <tr r="Q9" s="26"/>
      </tp>
      <tp t="e">
        <v>#N/A</v>
        <stp/>
        <stp>BDH|6679603566113471457</stp>
        <tr r="J53" s="17"/>
      </tp>
      <tp t="e">
        <v>#N/A</v>
        <stp/>
        <stp>BDH|7209135139974002099</stp>
        <tr r="E173" s="18"/>
      </tp>
      <tp t="e">
        <v>#N/A</v>
        <stp/>
        <stp>BDH|8649793127465937904</stp>
        <tr r="E20" s="22"/>
      </tp>
      <tp t="e">
        <v>#N/A</v>
        <stp/>
        <stp>BDH|4655899186723941618</stp>
        <tr r="Z141" s="18"/>
      </tp>
      <tp t="e">
        <v>#N/A</v>
        <stp/>
        <stp>BDH|9394614122538184407</stp>
        <tr r="AA49" s="13"/>
      </tp>
      <tp t="e">
        <v>#N/A</v>
        <stp/>
        <stp>BDH|2228449001932357550</stp>
        <tr r="F14" s="21"/>
      </tp>
      <tp t="e">
        <v>#N/A</v>
        <stp/>
        <stp>BDH|1991514747763646288</stp>
        <tr r="F96" s="18"/>
      </tp>
      <tp t="e">
        <v>#N/A</v>
        <stp/>
        <stp>BDH|2003052248210561790</stp>
        <tr r="M25" s="22"/>
      </tp>
      <tp t="e">
        <v>#N/A</v>
        <stp/>
        <stp>BDH|2161160600310117272</stp>
        <tr r="H56" s="11"/>
      </tp>
      <tp t="e">
        <v>#N/A</v>
        <stp/>
        <stp>BDH|6743354918011219497</stp>
        <tr r="X99" s="12"/>
      </tp>
      <tp t="e">
        <v>#N/A</v>
        <stp/>
        <stp>BDH|7849472824447817725</stp>
        <tr r="Z22" s="12"/>
      </tp>
      <tp t="e">
        <v>#N/A</v>
        <stp/>
        <stp>BDH|4206751260480788414</stp>
        <tr r="V30" s="22"/>
      </tp>
      <tp t="e">
        <v>#N/A</v>
        <stp/>
        <stp>BDH|7687886188551317743</stp>
        <tr r="E54" s="34"/>
      </tp>
      <tp t="e">
        <v>#N/A</v>
        <stp/>
        <stp>BDH|2697411816436434046</stp>
        <tr r="AA97" s="18"/>
      </tp>
      <tp t="e">
        <v>#N/A</v>
        <stp/>
        <stp>BDH|5072049513480734510</stp>
        <tr r="N36" s="12"/>
      </tp>
      <tp t="e">
        <v>#N/A</v>
        <stp/>
        <stp>BDH|6802694354672597613</stp>
        <tr r="U21" s="4"/>
      </tp>
      <tp t="e">
        <v>#N/A</v>
        <stp/>
        <stp>BDH|3952018399629030200</stp>
        <tr r="N85" s="18"/>
      </tp>
      <tp t="e">
        <v>#N/A</v>
        <stp/>
        <stp>BDH|6652067240545897694</stp>
        <tr r="F11" s="29"/>
      </tp>
      <tp t="e">
        <v>#N/A</v>
        <stp/>
        <stp>BDH|9230211121941278916</stp>
        <tr r="X68" s="12"/>
      </tp>
      <tp t="e">
        <v>#N/A</v>
        <stp/>
        <stp>BDH|8590822913406147641</stp>
        <tr r="AA95" s="18"/>
      </tp>
      <tp t="e">
        <v>#N/A</v>
        <stp/>
        <stp>BDH|3094531041495558664</stp>
        <tr r="J52" s="13"/>
      </tp>
      <tp t="e">
        <v>#N/A</v>
        <stp/>
        <stp>BDH|9280225491797463441</stp>
        <tr r="C28" s="21"/>
      </tp>
      <tp t="e">
        <v>#N/A</v>
        <stp/>
        <stp>BDH|3752138798049547386</stp>
        <tr r="V50" s="17"/>
      </tp>
      <tp t="e">
        <v>#N/A</v>
        <stp/>
        <stp>BDH|8758461134077436908</stp>
        <tr r="L61" s="13"/>
      </tp>
      <tp t="e">
        <v>#N/A</v>
        <stp/>
        <stp>BDH|9345942230146097460</stp>
        <tr r="R9" s="12"/>
      </tp>
      <tp t="e">
        <v>#N/A</v>
        <stp/>
        <stp>BDH|5052007440738922889</stp>
        <tr r="H43" s="4"/>
      </tp>
      <tp t="e">
        <v>#N/A</v>
        <stp/>
        <stp>BDH|9192354496867055541</stp>
        <tr r="H13" s="18"/>
      </tp>
      <tp t="e">
        <v>#N/A</v>
        <stp/>
        <stp>BDH|3840539217912900435</stp>
        <tr r="U14" s="3"/>
        <tr r="R7" s="9"/>
        <tr r="S7" s="2"/>
        <tr r="R7" s="5"/>
      </tp>
      <tp t="e">
        <v>#N/A</v>
        <stp/>
        <stp>BDH|2030353223193054105</stp>
        <tr r="Z33" s="17"/>
      </tp>
      <tp t="e">
        <v>#N/A</v>
        <stp/>
        <stp>BDH|9411103956129063544</stp>
        <tr r="X30" s="9"/>
      </tp>
      <tp t="e">
        <v>#N/A</v>
        <stp/>
        <stp>BDH|5469937598793911707</stp>
        <tr r="Z25" s="21"/>
      </tp>
      <tp t="e">
        <v>#N/A</v>
        <stp/>
        <stp>BDH|9222309088953571095</stp>
        <tr r="K58" s="17"/>
      </tp>
      <tp t="e">
        <v>#N/A</v>
        <stp/>
        <stp>BDH|5011485579753032470</stp>
        <tr r="Y42" s="25"/>
      </tp>
      <tp t="e">
        <v>#N/A</v>
        <stp/>
        <stp>BDH|7698489108746612466</stp>
        <tr r="AA115" s="18"/>
        <tr r="AA9" s="20"/>
      </tp>
      <tp t="e">
        <v>#N/A</v>
        <stp/>
        <stp>BDH|3773071911710400331</stp>
        <tr r="X15" s="4"/>
      </tp>
      <tp t="e">
        <v>#N/A</v>
        <stp/>
        <stp>BDH|7163318743988249970</stp>
        <tr r="J19" s="6"/>
      </tp>
      <tp t="e">
        <v>#N/A</v>
        <stp/>
        <stp>BDH|2739586262193964321</stp>
        <tr r="E61" s="18"/>
      </tp>
      <tp t="e">
        <v>#N/A</v>
        <stp/>
        <stp>BDH|6228121563799025955</stp>
        <tr r="F10" s="12"/>
      </tp>
      <tp t="e">
        <v>#N/A</v>
        <stp/>
        <stp>BDH|1143610157545578644</stp>
        <tr r="K10" s="21"/>
      </tp>
      <tp t="e">
        <v>#N/A</v>
        <stp/>
        <stp>BDH|5133899572939950253</stp>
        <tr r="S72" s="24"/>
      </tp>
      <tp t="e">
        <v>#N/A</v>
        <stp/>
        <stp>BDH|5385366058410362289</stp>
        <tr r="P32" s="9"/>
      </tp>
      <tp t="e">
        <v>#N/A</v>
        <stp/>
        <stp>BDH|5289388655614912602</stp>
        <tr r="I15" s="5"/>
      </tp>
      <tp t="e">
        <v>#N/A</v>
        <stp/>
        <stp>BDH|6677187769973159309</stp>
        <tr r="I58" s="6"/>
      </tp>
      <tp t="e">
        <v>#N/A</v>
        <stp/>
        <stp>BDH|6714280969095440641</stp>
        <tr r="L10" s="22"/>
      </tp>
      <tp t="e">
        <v>#N/A</v>
        <stp/>
        <stp>BDH|6102710036866956599</stp>
        <tr r="L12" s="17"/>
      </tp>
      <tp t="e">
        <v>#N/A</v>
        <stp/>
        <stp>BDH|3775821892264144704</stp>
        <tr r="P23" s="24"/>
      </tp>
      <tp t="e">
        <v>#N/A</v>
        <stp/>
        <stp>BDH|3447006394358462320</stp>
        <tr r="O47" s="22"/>
      </tp>
      <tp t="e">
        <v>#N/A</v>
        <stp/>
        <stp>BDH|7060087593698447794</stp>
        <tr r="I28" s="22"/>
      </tp>
      <tp t="e">
        <v>#N/A</v>
        <stp/>
        <stp>BDH|8412019396953211376</stp>
        <tr r="P45" s="22"/>
      </tp>
      <tp t="e">
        <v>#N/A</v>
        <stp/>
        <stp>BDH|6659976812567424812</stp>
        <tr r="S8" s="34"/>
      </tp>
      <tp t="e">
        <v>#N/A</v>
        <stp/>
        <stp>BDH|6313286558785262570</stp>
        <tr r="H161" s="18"/>
      </tp>
      <tp t="e">
        <v>#N/A</v>
        <stp/>
        <stp>BDH|9438915667516307175</stp>
        <tr r="AA23" s="22"/>
      </tp>
      <tp t="e">
        <v>#N/A</v>
        <stp/>
        <stp>BDH|2811704248494073460</stp>
        <tr r="K14" s="11"/>
      </tp>
      <tp t="e">
        <v>#N/A</v>
        <stp/>
        <stp>BDH|9393255093250504367</stp>
        <tr r="U33" s="5"/>
      </tp>
      <tp t="e">
        <v>#N/A</v>
        <stp/>
        <stp>BDH|4016856406109771428</stp>
        <tr r="X15" s="13"/>
      </tp>
      <tp t="e">
        <v>#N/A</v>
        <stp/>
        <stp>BDH|6321206612220266459</stp>
        <tr r="H6" s="15"/>
        <tr r="H6" s="10"/>
        <tr r="H12" s="2"/>
        <tr r="H11" s="4"/>
      </tp>
      <tp t="e">
        <v>#N/A</v>
        <stp/>
        <stp>BDH|8781576277418101303</stp>
        <tr r="Z31" s="21"/>
      </tp>
      <tp t="e">
        <v>#N/A</v>
        <stp/>
        <stp>BDH|2246895699884475607</stp>
        <tr r="M33" s="22"/>
      </tp>
      <tp t="e">
        <v>#N/A</v>
        <stp/>
        <stp>BDH|4368197711352880753</stp>
        <tr r="K49" s="22"/>
      </tp>
      <tp t="e">
        <v>#N/A</v>
        <stp/>
        <stp>BDH|8458210627819444000</stp>
        <tr r="K23" s="11"/>
        <tr r="M31" s="13"/>
        <tr r="K34" s="10"/>
        <tr r="K45" s="4"/>
      </tp>
      <tp t="e">
        <v>#N/A</v>
        <stp/>
        <stp>BDH|9200677642239494354</stp>
        <tr r="C12" s="18"/>
      </tp>
      <tp t="e">
        <v>#N/A</v>
        <stp/>
        <stp>BDH|7467824427679147568</stp>
        <tr r="I21" s="17"/>
      </tp>
      <tp t="e">
        <v>#N/A</v>
        <stp/>
        <stp>BDH|7323383059868555817</stp>
        <tr r="W43" s="18"/>
      </tp>
      <tp t="e">
        <v>#N/A</v>
        <stp/>
        <stp>BDH|4844586062594491205</stp>
        <tr r="S89" s="17"/>
      </tp>
      <tp t="e">
        <v>#N/A</v>
        <stp/>
        <stp>BDH|5050883164332969838</stp>
        <tr r="L29" s="17"/>
      </tp>
      <tp t="e">
        <v>#N/A</v>
        <stp/>
        <stp>BDH|1346703953805569733</stp>
        <tr r="G25" s="21"/>
      </tp>
      <tp t="e">
        <v>#N/A</v>
        <stp/>
        <stp>BDH|9792378506949434241</stp>
        <tr r="I24" s="2"/>
      </tp>
      <tp t="e">
        <v>#N/A</v>
        <stp/>
        <stp>BDH|3961518798009658701</stp>
        <tr r="V169" s="18"/>
      </tp>
      <tp t="e">
        <v>#N/A</v>
        <stp/>
        <stp>BDH|6332958613706085939</stp>
        <tr r="F15" s="11"/>
      </tp>
      <tp t="e">
        <v>#N/A</v>
        <stp/>
        <stp>BDH|3832969669449765467</stp>
        <tr r="V53" s="21"/>
      </tp>
      <tp t="e">
        <v>#N/A</v>
        <stp/>
        <stp>BDH|9355200070129425419</stp>
        <tr r="E36" s="17"/>
      </tp>
      <tp t="e">
        <v>#N/A</v>
        <stp/>
        <stp>BDH|1123069660433375527</stp>
        <tr r="Z48" s="17"/>
      </tp>
      <tp t="e">
        <v>#N/A</v>
        <stp/>
        <stp>BDH|6589263140693226271</stp>
        <tr r="E57" s="12"/>
      </tp>
      <tp t="e">
        <v>#N/A</v>
        <stp/>
        <stp>BDH|4415370163135374559</stp>
        <tr r="Q7" s="6"/>
      </tp>
      <tp t="e">
        <v>#N/A</v>
        <stp/>
        <stp>BDH|5402805774059067272</stp>
        <tr r="N7" s="9"/>
        <tr r="N7" s="5"/>
        <tr r="Q14" s="3"/>
        <tr r="O7" s="2"/>
      </tp>
      <tp t="e">
        <v>#N/A</v>
        <stp/>
        <stp>BDH|3798441940120002248</stp>
        <tr r="Y34" s="29"/>
      </tp>
      <tp t="e">
        <v>#N/A</v>
        <stp/>
        <stp>BDH|2656406033761743551</stp>
        <tr r="M34" s="17"/>
      </tp>
      <tp t="e">
        <v>#N/A</v>
        <stp/>
        <stp>BDH|3731050791708009345</stp>
        <tr r="U55" s="21"/>
      </tp>
      <tp t="e">
        <v>#N/A</v>
        <stp/>
        <stp>BDH|8797230680755763648</stp>
        <tr r="R135" s="18"/>
      </tp>
      <tp t="e">
        <v>#N/A</v>
        <stp/>
        <stp>BDH|2027778017893660614</stp>
        <tr r="L63" s="24"/>
      </tp>
      <tp t="e">
        <v>#N/A</v>
        <stp/>
        <stp>BDH|7277303843604511533</stp>
        <tr r="W25" s="17"/>
      </tp>
      <tp t="e">
        <v>#N/A</v>
        <stp/>
        <stp>BDH|4179405487329464057</stp>
        <tr r="Q20" s="5"/>
      </tp>
      <tp t="e">
        <v>#N/A</v>
        <stp/>
        <stp>BDH|3040648376822715126</stp>
        <tr r="M99" s="12"/>
      </tp>
      <tp t="e">
        <v>#N/A</v>
        <stp/>
        <stp>BDH|7429332907654226157</stp>
        <tr r="L14" s="27"/>
        <tr r="L32" s="25"/>
      </tp>
      <tp t="e">
        <v>#N/A</v>
        <stp/>
        <stp>BDH|3116068971936245337</stp>
        <tr r="E25" s="18"/>
      </tp>
      <tp t="e">
        <v>#N/A</v>
        <stp/>
        <stp>BDH|7683168162667761622</stp>
        <tr r="H50" s="13"/>
      </tp>
      <tp t="e">
        <v>#N/A</v>
        <stp/>
        <stp>BDH|5501980688761651440</stp>
        <tr r="C21" s="30"/>
      </tp>
      <tp t="e">
        <v>#N/A</v>
        <stp/>
        <stp>BDH|3459790008747200200</stp>
        <tr r="E43" s="6"/>
      </tp>
      <tp t="e">
        <v>#N/A</v>
        <stp/>
        <stp>BDH|1063666086196674814</stp>
        <tr r="E166" s="18"/>
      </tp>
      <tp t="e">
        <v>#N/A</v>
        <stp/>
        <stp>BDH|7483683238921579267</stp>
        <tr r="W52" s="12"/>
      </tp>
      <tp t="e">
        <v>#N/A</v>
        <stp/>
        <stp>BDH|2107194403153943154</stp>
        <tr r="E108" s="18"/>
      </tp>
      <tp t="e">
        <v>#N/A</v>
        <stp/>
        <stp>BDH|4059311001393701502</stp>
        <tr r="O17" s="27"/>
        <tr r="O35" s="25"/>
        <tr r="L14" s="5"/>
      </tp>
      <tp t="e">
        <v>#N/A</v>
        <stp/>
        <stp>BDH|6806452103002131185</stp>
        <tr r="L15" s="34"/>
      </tp>
      <tp t="e">
        <v>#N/A</v>
        <stp/>
        <stp>BDH|9890289193701246267</stp>
        <tr r="AA93" s="17"/>
      </tp>
      <tp t="e">
        <v>#N/A</v>
        <stp/>
        <stp>BDH|1741085248566984298</stp>
        <tr r="C16" s="18"/>
      </tp>
      <tp t="e">
        <v>#N/A</v>
        <stp/>
        <stp>BDH|8996132118861442813</stp>
        <tr r="I62" s="11"/>
        <tr r="I73" s="10"/>
        <tr r="I20" s="7"/>
      </tp>
      <tp t="e">
        <v>#N/A</v>
        <stp/>
        <stp>BDH|7503574846090621751</stp>
        <tr r="J11" s="29"/>
      </tp>
      <tp t="e">
        <v>#N/A</v>
        <stp/>
        <stp>BDH|6986984147133929988</stp>
        <tr r="F50" s="17"/>
      </tp>
      <tp t="e">
        <v>#N/A</v>
        <stp/>
        <stp>BDH|5388576375864695208</stp>
        <tr r="Z55" s="13"/>
      </tp>
      <tp t="e">
        <v>#N/A</v>
        <stp/>
        <stp>BDH|3389740484958571511</stp>
        <tr r="G6" s="20"/>
        <tr r="G112" s="18"/>
      </tp>
      <tp t="e">
        <v>#N/A</v>
        <stp/>
        <stp>BDH|3865900283510835346</stp>
        <tr r="C38" s="25"/>
        <tr r="C92" s="17"/>
      </tp>
      <tp t="e">
        <v>#N/A</v>
        <stp/>
        <stp>BDH|3155473236290451537</stp>
        <tr r="T7" s="14"/>
      </tp>
      <tp t="e">
        <v>#N/A</v>
        <stp/>
        <stp>BDH|2597424470171643161</stp>
        <tr r="T9" s="30"/>
      </tp>
      <tp t="e">
        <v>#N/A</v>
        <stp/>
        <stp>BDH|3292755903787714243</stp>
        <tr r="X56" s="12"/>
      </tp>
      <tp t="e">
        <v>#N/A</v>
        <stp/>
        <stp>BDH|1364537924051608658</stp>
        <tr r="E37" s="17"/>
      </tp>
      <tp t="e">
        <v>#N/A</v>
        <stp/>
        <stp>BDH|6891176101724869217</stp>
        <tr r="Y38" s="26"/>
      </tp>
      <tp t="e">
        <v>#N/A</v>
        <stp/>
        <stp>BDH|4599214492186551841</stp>
        <tr r="S10" s="28"/>
      </tp>
      <tp t="e">
        <v>#N/A</v>
        <stp/>
        <stp>BDH|8694043718718952040</stp>
        <tr r="H66" s="12"/>
      </tp>
      <tp t="e">
        <v>#N/A</v>
        <stp/>
        <stp>BDH|5048005814993521662</stp>
        <tr r="AA68" s="12"/>
      </tp>
      <tp t="e">
        <v>#N/A</v>
        <stp/>
        <stp>BDH|6464559767414039010</stp>
        <tr r="O81" s="12"/>
      </tp>
      <tp t="e">
        <v>#N/A</v>
        <stp/>
        <stp>BDH|5749714967316196371</stp>
        <tr r="V93" s="17"/>
      </tp>
      <tp t="e">
        <v>#N/A</v>
        <stp/>
        <stp>BDH|9406361390926279474</stp>
        <tr r="P70" s="10"/>
      </tp>
      <tp t="e">
        <v>#N/A</v>
        <stp/>
        <stp>BDH|2487754801070250452</stp>
        <tr r="U11" s="6"/>
      </tp>
      <tp t="e">
        <v>#N/A</v>
        <stp/>
        <stp>BDH|9224801157145211009</stp>
        <tr r="P39" s="18"/>
      </tp>
      <tp t="e">
        <v>#N/A</v>
        <stp/>
        <stp>BDH|3560131432759180922</stp>
        <tr r="K65" s="21"/>
        <tr r="H31" s="6"/>
      </tp>
      <tp t="e">
        <v>#N/A</v>
        <stp/>
        <stp>BDH|3175101844400116739</stp>
        <tr r="I96" s="17"/>
      </tp>
      <tp t="e">
        <v>#N/A</v>
        <stp/>
        <stp>BDH|3272045475690199550</stp>
        <tr r="U13" s="20"/>
        <tr r="U118" s="18"/>
      </tp>
      <tp t="e">
        <v>#N/A</v>
        <stp/>
        <stp>BDH|5350263478316912739</stp>
        <tr r="C98" s="12"/>
      </tp>
      <tp t="e">
        <v>#N/A</v>
        <stp/>
        <stp>BDH|5164194473407994553</stp>
        <tr r="M61" s="21"/>
        <tr r="K25" s="2"/>
      </tp>
      <tp t="e">
        <v>#N/A</v>
        <stp/>
        <stp>BDH|6829069458544339621</stp>
        <tr r="D147" s="18"/>
      </tp>
      <tp t="e">
        <v>#N/A</v>
        <stp/>
        <stp>BDH|8591205523100085919</stp>
        <tr r="U66" s="18"/>
      </tp>
      <tp t="e">
        <v>#N/A</v>
        <stp/>
        <stp>BDH|2242710871372030158</stp>
        <tr r="R24" s="5"/>
      </tp>
      <tp t="e">
        <v>#N/A</v>
        <stp/>
        <stp>BDH|1786030260485247314</stp>
        <tr r="X34" s="21"/>
      </tp>
      <tp t="e">
        <v>#N/A</v>
        <stp/>
        <stp>BDH|9433053301878331044</stp>
        <tr r="C7" s="23"/>
      </tp>
      <tp t="e">
        <v>#N/A</v>
        <stp/>
        <stp>BDH|3441286580359390187</stp>
        <tr r="I14" s="20"/>
        <tr r="I119" s="18"/>
      </tp>
      <tp t="e">
        <v>#N/A</v>
        <stp/>
        <stp>BDH|7403086928901596569</stp>
        <tr r="W18" s="22"/>
      </tp>
      <tp t="e">
        <v>#N/A</v>
        <stp/>
        <stp>BDH|1947179166513959462</stp>
        <tr r="K15" s="14"/>
      </tp>
      <tp t="e">
        <v>#N/A</v>
        <stp/>
        <stp>BDH|7131028001786162045</stp>
        <tr r="N29" s="12"/>
      </tp>
      <tp t="e">
        <v>#N/A</v>
        <stp/>
        <stp>BDH|1457448543479014946</stp>
        <tr r="I7" s="17"/>
      </tp>
      <tp t="e">
        <v>#N/A</v>
        <stp/>
        <stp>BDH|7907948677079427194</stp>
        <tr r="O11" s="22"/>
      </tp>
      <tp t="e">
        <v>#N/A</v>
        <stp/>
        <stp>BDH|8556583300088832414</stp>
        <tr r="E19" s="10"/>
      </tp>
      <tp t="e">
        <v>#N/A</v>
        <stp/>
        <stp>BDH|4296897601718882561</stp>
        <tr r="Z11" s="21"/>
      </tp>
      <tp t="e">
        <v>#N/A</v>
        <stp/>
        <stp>BDH|6484468012926088441</stp>
        <tr r="S14" s="22"/>
      </tp>
      <tp t="e">
        <v>#N/A</v>
        <stp/>
        <stp>BDH|5709104528280313784</stp>
        <tr r="Q33" s="6"/>
      </tp>
      <tp t="e">
        <v>#N/A</v>
        <stp/>
        <stp>BDH|3477160566701501453</stp>
        <tr r="W19" s="10"/>
      </tp>
      <tp t="e">
        <v>#N/A</v>
        <stp/>
        <stp>BDH|4062373173075469440</stp>
        <tr r="U56" s="18"/>
      </tp>
      <tp t="e">
        <v>#N/A</v>
        <stp/>
        <stp>BDH|5307319742874163755</stp>
        <tr r="AA60" s="21"/>
        <tr r="Y55" s="11"/>
      </tp>
      <tp t="e">
        <v>#N/A</v>
        <stp/>
        <stp>BDH|4715165023074147272</stp>
        <tr r="U34" s="26"/>
      </tp>
      <tp t="e">
        <v>#N/A</v>
        <stp/>
        <stp>BDH|2753456682957076848</stp>
        <tr r="G42" s="6"/>
      </tp>
      <tp t="e">
        <v>#N/A</v>
        <stp/>
        <stp>BDH|3968311856051245586</stp>
        <tr r="J17" s="23"/>
      </tp>
      <tp t="e">
        <v>#N/A</v>
        <stp/>
        <stp>BDH|7945388494349435559</stp>
        <tr r="E54" s="12"/>
      </tp>
      <tp t="e">
        <v>#N/A</v>
        <stp/>
        <stp>BDH|4220554425064211642</stp>
        <tr r="I18" s="11"/>
      </tp>
      <tp t="e">
        <v>#N/A</v>
        <stp/>
        <stp>BDH|9031597389233642627</stp>
        <tr r="L73" s="13"/>
        <tr r="J50" s="11"/>
        <tr r="J61" s="10"/>
        <tr r="J19" s="7"/>
        <tr r="J18" s="4"/>
        <tr r="J20" s="2"/>
      </tp>
      <tp t="e">
        <v>#N/A</v>
        <stp/>
        <stp>BDH|1124465250489466870</stp>
        <tr r="N33" s="13"/>
        <tr r="L26" s="10"/>
      </tp>
      <tp t="e">
        <v>#N/A</v>
        <stp/>
        <stp>BDH|2174046954624336261</stp>
        <tr r="U70" s="13"/>
      </tp>
      <tp t="e">
        <v>#N/A</v>
        <stp/>
        <stp>BDH|9271099783510572098</stp>
        <tr r="E23" s="20"/>
      </tp>
      <tp t="e">
        <v>#N/A</v>
        <stp/>
        <stp>BDH|4425841390295148151</stp>
        <tr r="Q14" s="29"/>
        <tr r="Q37" s="29"/>
        <tr r="Q23" s="29"/>
      </tp>
      <tp t="e">
        <v>#N/A</v>
        <stp/>
        <stp>BDH|8848023879707247950</stp>
        <tr r="S9" s="30"/>
      </tp>
      <tp t="e">
        <v>#N/A</v>
        <stp/>
        <stp>BDH|2314039212530484221</stp>
        <tr r="R25" s="12"/>
      </tp>
      <tp t="e">
        <v>#N/A</v>
        <stp/>
        <stp>BDH|3643240720511407325</stp>
        <tr r="D32" s="22"/>
      </tp>
      <tp t="e">
        <v>#N/A</v>
        <stp/>
        <stp>BDH|3110614720385240366</stp>
        <tr r="Z174" s="18"/>
      </tp>
      <tp t="e">
        <v>#N/A</v>
        <stp/>
        <stp>BDH|1966261391282336992</stp>
        <tr r="K145" s="18"/>
      </tp>
      <tp t="e">
        <v>#N/A</v>
        <stp/>
        <stp>BDH|9705662680017439115</stp>
        <tr r="Q24" s="12"/>
      </tp>
      <tp t="e">
        <v>#N/A</v>
        <stp/>
        <stp>BDH|2180524724916252217</stp>
        <tr r="I143" s="18"/>
      </tp>
      <tp t="e">
        <v>#N/A</v>
        <stp/>
        <stp>BDH|7095689396079977030</stp>
        <tr r="R79" s="12"/>
      </tp>
      <tp t="e">
        <v>#N/A</v>
        <stp/>
        <stp>BDH|6304361156568333940</stp>
        <tr r="U96" s="12"/>
      </tp>
      <tp t="e">
        <v>#N/A</v>
        <stp/>
        <stp>BDH|3714676967255244716</stp>
        <tr r="I18" s="23"/>
      </tp>
      <tp t="e">
        <v>#N/A</v>
        <stp/>
        <stp>BDH|5019818399320897544</stp>
        <tr r="S24" s="17"/>
      </tp>
      <tp t="e">
        <v>#N/A</v>
        <stp/>
        <stp>BDH|5129108750708683833</stp>
        <tr r="E18" s="23"/>
      </tp>
      <tp t="e">
        <v>#N/A</v>
        <stp/>
        <stp>BDH|7503680123743929133</stp>
        <tr r="I8" s="22"/>
      </tp>
      <tp t="e">
        <v>#N/A</v>
        <stp/>
        <stp>BDH|5975611469987381361</stp>
        <tr r="J61" s="17"/>
      </tp>
      <tp t="e">
        <v>#N/A</v>
        <stp/>
        <stp>BDH|9144566921526275906</stp>
        <tr r="P29" s="34"/>
      </tp>
      <tp t="e">
        <v>#N/A</v>
        <stp/>
        <stp>BDH|1037023374802777556</stp>
        <tr r="U91" s="12"/>
      </tp>
      <tp t="e">
        <v>#N/A</v>
        <stp/>
        <stp>BDH|6543142377987304616</stp>
        <tr r="J8" s="18"/>
      </tp>
      <tp t="e">
        <v>#N/A</v>
        <stp/>
        <stp>BDH|6250054868815866436</stp>
        <tr r="X61" s="13"/>
      </tp>
      <tp t="e">
        <v>#N/A</v>
        <stp/>
        <stp>BDH|5887421312755865440</stp>
        <tr r="F42" s="25"/>
      </tp>
      <tp t="e">
        <v>#N/A</v>
        <stp/>
        <stp>BDH|5519761931334636408</stp>
        <tr r="D46" s="13"/>
      </tp>
      <tp t="e">
        <v>#N/A</v>
        <stp/>
        <stp>BDH|7589414451127053010</stp>
        <tr r="Z42" s="24"/>
      </tp>
      <tp t="e">
        <v>#N/A</v>
        <stp/>
        <stp>BDH|8065114803019183172</stp>
        <tr r="X70" s="10"/>
      </tp>
      <tp t="e">
        <v>#N/A</v>
        <stp/>
        <stp>BDH|8109752265410175849</stp>
        <tr r="C29" s="18"/>
      </tp>
      <tp t="e">
        <v>#N/A</v>
        <stp/>
        <stp>BDH|7490305190489931593</stp>
        <tr r="L34" s="13"/>
        <tr r="J27" s="10"/>
      </tp>
      <tp t="e">
        <v>#N/A</v>
        <stp/>
        <stp>BDH|4430708593449420276</stp>
        <tr r="M31" s="29"/>
      </tp>
      <tp t="e">
        <v>#N/A</v>
        <stp/>
        <stp>BDH|2194621320467622015</stp>
        <tr r="P13" s="34"/>
      </tp>
      <tp t="e">
        <v>#N/A</v>
        <stp/>
        <stp>BDH|2718726345538287861</stp>
        <tr r="L26" s="22"/>
      </tp>
      <tp t="e">
        <v>#N/A</v>
        <stp/>
        <stp>BDH|2376071444105289265</stp>
        <tr r="K43" s="25"/>
        <tr r="K22" s="13"/>
        <tr r="K7" s="13"/>
        <tr r="I17" s="11"/>
        <tr r="K7" s="3"/>
      </tp>
      <tp t="e">
        <v>#N/A</v>
        <stp/>
        <stp>BDH|2352659811080235412</stp>
        <tr r="T51" s="22"/>
      </tp>
      <tp t="e">
        <v>#N/A</v>
        <stp/>
        <stp>BDH|6356661138403090194</stp>
        <tr r="J67" s="12"/>
      </tp>
      <tp t="e">
        <v>#N/A</v>
        <stp/>
        <stp>BDH|1423054473965102272</stp>
        <tr r="K30" s="22"/>
      </tp>
      <tp t="e">
        <v>#N/A</v>
        <stp/>
        <stp>BDH|5139157067944394749</stp>
        <tr r="W69" s="13"/>
      </tp>
      <tp t="e">
        <v>#N/A</v>
        <stp/>
        <stp>BDH|6316636701946531701</stp>
        <tr r="H75" s="12"/>
      </tp>
      <tp t="e">
        <v>#N/A</v>
        <stp/>
        <stp>BDH|4265143501016208219</stp>
        <tr r="D59" s="17"/>
      </tp>
      <tp t="e">
        <v>#N/A</v>
        <stp/>
        <stp>BDH|4514370006773588552</stp>
        <tr r="AA25" s="22"/>
      </tp>
      <tp t="e">
        <v>#N/A</v>
        <stp/>
        <stp>BDH|2696491252462822010</stp>
        <tr r="R37" s="17"/>
      </tp>
      <tp t="e">
        <v>#N/A</v>
        <stp/>
        <stp>BDH|4577968757560822999</stp>
        <tr r="V139" s="18"/>
      </tp>
      <tp t="e">
        <v>#N/A</v>
        <stp/>
        <stp>BDH|4523006775130757221</stp>
        <tr r="X8" s="34"/>
      </tp>
      <tp t="e">
        <v>#N/A</v>
        <stp/>
        <stp>BDH|5261756631077681759</stp>
        <tr r="T26" s="12"/>
      </tp>
      <tp t="e">
        <v>#N/A</v>
        <stp/>
        <stp>BDH|3307683201454842072</stp>
        <tr r="L27" s="12"/>
      </tp>
      <tp t="e">
        <v>#N/A</v>
        <stp/>
        <stp>BDH|2421730106637448301</stp>
        <tr r="L7" s="9"/>
        <tr r="L7" s="5"/>
        <tr r="M7" s="2"/>
        <tr r="O14" s="3"/>
      </tp>
      <tp t="e">
        <v>#N/A</v>
        <stp/>
        <stp>BDH|8947861398180618845</stp>
        <tr r="D70" s="17"/>
      </tp>
      <tp t="e">
        <v>#N/A</v>
        <stp/>
        <stp>BDH|4207732827066619653</stp>
        <tr r="X53" s="6"/>
        <tr r="Z10" s="8"/>
      </tp>
      <tp t="e">
        <v>#N/A</v>
        <stp/>
        <stp>BDH|7912687243664129062</stp>
        <tr r="F66" s="12"/>
      </tp>
      <tp t="e">
        <v>#N/A</v>
        <stp/>
        <stp>BDH|3561129646852514515</stp>
        <tr r="S32" s="17"/>
      </tp>
      <tp t="e">
        <v>#N/A</v>
        <stp/>
        <stp>BDH|4530036301405224000</stp>
        <tr r="L19" s="18"/>
      </tp>
      <tp t="e">
        <v>#N/A</v>
        <stp/>
        <stp>BDH|4104813966878188320</stp>
        <tr r="X10" s="11"/>
      </tp>
      <tp t="e">
        <v>#N/A</v>
        <stp/>
        <stp>BDH|6565119055885304674</stp>
        <tr r="C96" s="17"/>
      </tp>
      <tp t="e">
        <v>#N/A</v>
        <stp/>
        <stp>BDH|5842484733770644301</stp>
        <tr r="L18" s="12"/>
      </tp>
      <tp t="e">
        <v>#N/A</v>
        <stp/>
        <stp>BDH|5906695054285220237</stp>
        <tr r="I9" s="12"/>
      </tp>
      <tp t="e">
        <v>#N/A</v>
        <stp/>
        <stp>BDH|1476166582559481019</stp>
        <tr r="R53" s="22"/>
      </tp>
      <tp t="e">
        <v>#N/A</v>
        <stp/>
        <stp>BDH|5112467113752707364</stp>
        <tr r="P12" s="14"/>
      </tp>
      <tp t="e">
        <v>#N/A</v>
        <stp/>
        <stp>BDH|9412105414359077154</stp>
        <tr r="Z153" s="18"/>
      </tp>
      <tp t="e">
        <v>#N/A</v>
        <stp/>
        <stp>BDH|2792506303731487754</stp>
        <tr r="I17" s="30"/>
      </tp>
      <tp t="e">
        <v>#N/A</v>
        <stp/>
        <stp>BDH|4522604612110443267</stp>
        <tr r="D29" s="29"/>
        <tr r="D7" s="29"/>
      </tp>
      <tp t="e">
        <v>#N/A</v>
        <stp/>
        <stp>BDH|5962350572280218091</stp>
        <tr r="M38" s="24"/>
      </tp>
      <tp t="e">
        <v>#N/A</v>
        <stp/>
        <stp>BDH|9215821037512308111</stp>
        <tr r="T41" s="12"/>
      </tp>
      <tp t="e">
        <v>#N/A</v>
        <stp/>
        <stp>BDH|2472334824113453123</stp>
        <tr r="AA12" s="18"/>
      </tp>
      <tp t="e">
        <v>#N/A</v>
        <stp/>
        <stp>BDH|9076000800349434110</stp>
        <tr r="R18" s="14"/>
      </tp>
      <tp t="e">
        <v>#N/A</v>
        <stp/>
        <stp>BDH|2951737291869959479</stp>
        <tr r="O28" s="21"/>
      </tp>
      <tp t="e">
        <v>#N/A</v>
        <stp/>
        <stp>BDH|7178973607236634923</stp>
        <tr r="F9" s="34"/>
      </tp>
      <tp t="e">
        <v>#N/A</v>
        <stp/>
        <stp>BDH|3565256514855171406</stp>
        <tr r="K6" s="19"/>
        <tr r="K38" s="17"/>
        <tr r="K16" s="3"/>
      </tp>
      <tp t="e">
        <v>#N/A</v>
        <stp/>
        <stp>BDH|6355301272877652420</stp>
        <tr r="N129" s="18"/>
      </tp>
      <tp t="e">
        <v>#N/A</v>
        <stp/>
        <stp>BDH|6258124024183107708</stp>
        <tr r="C92" s="18"/>
      </tp>
      <tp t="e">
        <v>#N/A</v>
        <stp/>
        <stp>BDH|2616638755906081650</stp>
        <tr r="V64" s="21"/>
        <tr r="T23" s="7"/>
      </tp>
      <tp t="e">
        <v>#N/A</v>
        <stp/>
        <stp>BDH|8428968865553455562</stp>
        <tr r="V27" s="26"/>
      </tp>
      <tp t="e">
        <v>#N/A</v>
        <stp/>
        <stp>BDH|3761426316021791611</stp>
        <tr r="V99" s="18"/>
      </tp>
      <tp t="e">
        <v>#N/A</v>
        <stp/>
        <stp>BDH|1096224319383643082</stp>
        <tr r="E42" s="25"/>
      </tp>
      <tp t="e">
        <v>#N/A</v>
        <stp/>
        <stp>BDH|3489187063100975532</stp>
        <tr r="H173" s="18"/>
      </tp>
      <tp t="e">
        <v>#N/A</v>
        <stp/>
        <stp>BDH|2292466943067630447</stp>
        <tr r="K24" s="12"/>
      </tp>
      <tp t="e">
        <v>#N/A</v>
        <stp/>
        <stp>BDH|8584950966263772546</stp>
        <tr r="T10" s="23"/>
      </tp>
      <tp t="e">
        <v>#N/A</v>
        <stp/>
        <stp>BDH|9101448881280367426</stp>
        <tr r="G44" s="13"/>
        <tr r="E36" s="11"/>
        <tr r="E47" s="10"/>
        <tr r="E52" s="4"/>
        <tr r="G8" s="3"/>
      </tp>
      <tp t="e">
        <v>#N/A</v>
        <stp/>
        <stp>BDH|8496152804139563156</stp>
        <tr r="D11" s="9"/>
      </tp>
      <tp t="e">
        <v>#N/A</v>
        <stp/>
        <stp>BDH|6209419563975445019</stp>
        <tr r="I78" s="24"/>
      </tp>
      <tp t="e">
        <v>#N/A</v>
        <stp/>
        <stp>BDH|3123921287015064619</stp>
        <tr r="R10" s="27"/>
        <tr r="R29" s="25"/>
      </tp>
      <tp t="e">
        <v>#N/A</v>
        <stp/>
        <stp>BDH|8955912318819171844</stp>
        <tr r="Q111" s="18"/>
      </tp>
      <tp t="e">
        <v>#N/A</v>
        <stp/>
        <stp>BDH|4329368110726787179</stp>
        <tr r="P61" s="24"/>
      </tp>
      <tp t="e">
        <v>#N/A</v>
        <stp/>
        <stp>BDH|5640982679683340918</stp>
        <tr r="Y22" s="27"/>
      </tp>
      <tp t="e">
        <v>#N/A</v>
        <stp/>
        <stp>BDH|1292529763063195076</stp>
        <tr r="R12" s="11"/>
      </tp>
      <tp t="e">
        <v>#N/A</v>
        <stp/>
        <stp>BDH|7298966163161111830</stp>
        <tr r="H38" s="26"/>
      </tp>
      <tp t="e">
        <v>#N/A</v>
        <stp/>
        <stp>BDH|9883164130688370282</stp>
        <tr r="H61" s="24"/>
      </tp>
      <tp t="e">
        <v>#N/A</v>
        <stp/>
        <stp>BDH|9174087229028090257</stp>
        <tr r="J85" s="18"/>
      </tp>
      <tp t="e">
        <v>#N/A</v>
        <stp/>
        <stp>BDH|4722495439810041225</stp>
        <tr r="H48" s="34"/>
      </tp>
      <tp t="e">
        <v>#N/A</v>
        <stp/>
        <stp>BDH|6298211511150649413</stp>
        <tr r="G33" s="6"/>
      </tp>
      <tp t="e">
        <v>#N/A</v>
        <stp/>
        <stp>BDH|89760061378880586</stp>
        <tr r="U23" s="26"/>
      </tp>
      <tp t="e">
        <v>#N/A</v>
        <stp/>
        <stp>BDH|18009292240525531</stp>
        <tr r="U15" s="14"/>
      </tp>
      <tp t="e">
        <v>#N/A</v>
        <stp/>
        <stp>BDH|87916511452485644</stp>
        <tr r="K7" s="4"/>
      </tp>
      <tp t="e">
        <v>#N/A</v>
        <stp/>
        <stp>BDH|77125888885659039</stp>
        <tr r="J39" s="26"/>
      </tp>
      <tp t="e">
        <v>#N/A</v>
        <stp/>
        <stp>BDH|59352964751828832</stp>
        <tr r="X65" s="13"/>
      </tp>
      <tp t="e">
        <v>#N/A</v>
        <stp/>
        <stp>BDH|90986331797418168</stp>
        <tr r="F37" s="17"/>
      </tp>
      <tp t="e">
        <v>#N/A</v>
        <stp/>
        <stp>BDH|6724486055504141114</stp>
        <tr r="Z35" s="12"/>
      </tp>
      <tp t="e">
        <v>#N/A</v>
        <stp/>
        <stp>BDH|3351283026749585828</stp>
        <tr r="M71" s="17"/>
      </tp>
      <tp t="e">
        <v>#N/A</v>
        <stp/>
        <stp>BDH|6334353843104981768</stp>
        <tr r="K16" s="27"/>
        <tr r="K34" s="25"/>
      </tp>
      <tp t="e">
        <v>#N/A</v>
        <stp/>
        <stp>BDH|8469916429693036265</stp>
        <tr r="D8" s="22"/>
      </tp>
      <tp t="e">
        <v>#N/A</v>
        <stp/>
        <stp>BDH|5274150329195630125</stp>
        <tr r="K162" s="18"/>
      </tp>
      <tp t="e">
        <v>#N/A</v>
        <stp/>
        <stp>BDH|2345345482533807877</stp>
        <tr r="V85" s="18"/>
      </tp>
      <tp t="e">
        <v>#N/A</v>
        <stp/>
        <stp>BDH|5014241516960189492</stp>
        <tr r="L86" s="12"/>
      </tp>
      <tp t="e">
        <v>#N/A</v>
        <stp/>
        <stp>BDH|8556152754076918875</stp>
        <tr r="Z41" s="17"/>
      </tp>
      <tp t="e">
        <v>#N/A</v>
        <stp/>
        <stp>BDH|2173693056306173552</stp>
        <tr r="O19" s="6"/>
      </tp>
      <tp t="e">
        <v>#N/A</v>
        <stp/>
        <stp>BDH|5686618845825858008</stp>
        <tr r="E22" s="21"/>
      </tp>
      <tp t="e">
        <v>#N/A</v>
        <stp/>
        <stp>BDH|2682370420728934929</stp>
        <tr r="G28" s="18"/>
      </tp>
      <tp t="e">
        <v>#N/A</v>
        <stp/>
        <stp>BDH|7628166648495545571</stp>
        <tr r="J63" s="21"/>
      </tp>
      <tp t="e">
        <v>#N/A</v>
        <stp/>
        <stp>BDH|3798191667891169723</stp>
        <tr r="G88" s="17"/>
      </tp>
      <tp t="e">
        <v>#N/A</v>
        <stp/>
        <stp>BDH|7433860965072974941</stp>
        <tr r="Y76" s="10"/>
        <tr r="Y65" s="11"/>
      </tp>
      <tp t="e">
        <v>#N/A</v>
        <stp/>
        <stp>BDH|7907479124324970799</stp>
        <tr r="O10" s="28"/>
      </tp>
      <tp t="e">
        <v>#N/A</v>
        <stp/>
        <stp>BDH|1212571503263571591</stp>
        <tr r="K34" s="18"/>
      </tp>
      <tp t="e">
        <v>#N/A</v>
        <stp/>
        <stp>BDH|9770590554939710278</stp>
        <tr r="D136" s="18"/>
      </tp>
      <tp t="e">
        <v>#N/A</v>
        <stp/>
        <stp>BDH|9931815686183558815</stp>
        <tr r="E74" s="12"/>
      </tp>
      <tp t="e">
        <v>#N/A</v>
        <stp/>
        <stp>BDH|5272537329230049021</stp>
        <tr r="F100" s="12"/>
      </tp>
      <tp t="e">
        <v>#N/A</v>
        <stp/>
        <stp>BDH|6330224971872888321</stp>
        <tr r="Z14" s="13"/>
      </tp>
      <tp t="e">
        <v>#N/A</v>
        <stp/>
        <stp>BDH|5664110757485926636</stp>
        <tr r="R38" s="29"/>
        <tr r="R15" s="29"/>
      </tp>
      <tp t="e">
        <v>#N/A</v>
        <stp/>
        <stp>BDH|3514027248514680132</stp>
        <tr r="O15" s="26"/>
      </tp>
      <tp t="e">
        <v>#N/A</v>
        <stp/>
        <stp>BDH|4193880515708611706</stp>
        <tr r="N166" s="18"/>
      </tp>
      <tp t="e">
        <v>#N/A</v>
        <stp/>
        <stp>BDH|2144543104915822034</stp>
        <tr r="D170" s="18"/>
      </tp>
      <tp t="e">
        <v>#N/A</v>
        <stp/>
        <stp>BDH|1085040434039836920</stp>
        <tr r="G19" s="17"/>
      </tp>
      <tp t="e">
        <v>#N/A</v>
        <stp/>
        <stp>BDH|7838551777031910698</stp>
        <tr r="Q168" s="18"/>
      </tp>
      <tp t="e">
        <v>#N/A</v>
        <stp/>
        <stp>BDH|3889161648405574191</stp>
        <tr r="O18" s="34"/>
      </tp>
      <tp t="e">
        <v>#N/A</v>
        <stp/>
        <stp>BDH|3915909643399089509</stp>
        <tr r="D70" s="13"/>
      </tp>
      <tp t="e">
        <v>#N/A</v>
        <stp/>
        <stp>BDH|3725232718167787515</stp>
        <tr r="J15" s="21"/>
      </tp>
      <tp t="e">
        <v>#N/A</v>
        <stp/>
        <stp>BDH|7002598195981243849</stp>
        <tr r="N26" s="26"/>
      </tp>
      <tp t="e">
        <v>#N/A</v>
        <stp/>
        <stp>BDH|4330179653462925043</stp>
        <tr r="E78" s="17"/>
      </tp>
      <tp t="e">
        <v>#N/A</v>
        <stp/>
        <stp>BDH|7721707688853730921</stp>
        <tr r="C14" s="4"/>
      </tp>
      <tp t="e">
        <v>#N/A</v>
        <stp/>
        <stp>BDH|5307398668573838101</stp>
        <tr r="Y67" s="13"/>
      </tp>
      <tp t="e">
        <v>#N/A</v>
        <stp/>
        <stp>BDH|8599384876417634974</stp>
        <tr r="W8" s="17"/>
      </tp>
      <tp t="e">
        <v>#N/A</v>
        <stp/>
        <stp>BDH|2584324476056239291</stp>
        <tr r="J47" s="17"/>
      </tp>
      <tp t="e">
        <v>#N/A</v>
        <stp/>
        <stp>BDH|4584688627855638765</stp>
        <tr r="L8" s="25"/>
        <tr r="I10" s="5"/>
        <tr r="J9" s="2"/>
      </tp>
      <tp t="e">
        <v>#N/A</v>
        <stp/>
        <stp>BDH|5928413957942493400</stp>
        <tr r="J42" s="21"/>
      </tp>
      <tp t="e">
        <v>#N/A</v>
        <stp/>
        <stp>BDH|5582630256325920128</stp>
        <tr r="E29" s="25"/>
        <tr r="E10" s="27"/>
      </tp>
      <tp t="e">
        <v>#N/A</v>
        <stp/>
        <stp>BDH|6378164853624427494</stp>
        <tr r="F50" s="4"/>
      </tp>
      <tp t="e">
        <v>#N/A</v>
        <stp/>
        <stp>BDH|8229048289584254669</stp>
        <tr r="G48" s="18"/>
      </tp>
      <tp t="e">
        <v>#N/A</v>
        <stp/>
        <stp>BDH|9100885614321367353</stp>
        <tr r="G6" s="19"/>
        <tr r="G38" s="17"/>
        <tr r="G16" s="3"/>
      </tp>
      <tp t="e">
        <v>#N/A</v>
        <stp/>
        <stp>BDH|6908530225765659620</stp>
        <tr r="C46" s="34"/>
      </tp>
      <tp t="e">
        <v>#N/A</v>
        <stp/>
        <stp>BDH|7321195390634526941</stp>
        <tr r="W17" s="5"/>
        <tr r="W36" s="6"/>
      </tp>
      <tp t="e">
        <v>#N/A</v>
        <stp/>
        <stp>BDH|9586071579229481541</stp>
        <tr r="O98" s="18"/>
      </tp>
      <tp t="e">
        <v>#N/A</v>
        <stp/>
        <stp>BDH|8480691543960676832</stp>
        <tr r="R96" s="17"/>
      </tp>
      <tp t="e">
        <v>#N/A</v>
        <stp/>
        <stp>BDH|5792999871018649121</stp>
        <tr r="N59" s="17"/>
      </tp>
      <tp t="e">
        <v>#N/A</v>
        <stp/>
        <stp>BDH|8477018797694995705</stp>
        <tr r="R33" s="5"/>
      </tp>
      <tp t="e">
        <v>#N/A</v>
        <stp/>
        <stp>BDH|3563100613392902340</stp>
        <tr r="F142" s="18"/>
      </tp>
      <tp t="e">
        <v>#N/A</v>
        <stp/>
        <stp>BDH|1897119236529528812</stp>
        <tr r="K68" s="18"/>
      </tp>
      <tp t="e">
        <v>#N/A</v>
        <stp/>
        <stp>BDH|7525364950053143097</stp>
        <tr r="AA161" s="18"/>
      </tp>
      <tp t="e">
        <v>#N/A</v>
        <stp/>
        <stp>BDH|8082059528288279040</stp>
        <tr r="T78" s="24"/>
      </tp>
      <tp t="e">
        <v>#N/A</v>
        <stp/>
        <stp>BDH|3498826667847870824</stp>
        <tr r="D23" s="25"/>
      </tp>
      <tp t="e">
        <v>#N/A</v>
        <stp/>
        <stp>BDH|7909027310114088009</stp>
        <tr r="K77" s="18"/>
      </tp>
      <tp t="e">
        <v>#N/A</v>
        <stp/>
        <stp>BDH|8554114537600102890</stp>
        <tr r="Y12" s="7"/>
      </tp>
      <tp t="e">
        <v>#N/A</v>
        <stp/>
        <stp>BDH|6711531815464879425</stp>
        <tr r="V75" s="18"/>
      </tp>
      <tp t="e">
        <v>#N/A</v>
        <stp/>
        <stp>BDH|7412125009235707130</stp>
        <tr r="N16" s="6"/>
      </tp>
      <tp t="e">
        <v>#N/A</v>
        <stp/>
        <stp>BDH|3546696352252057053</stp>
        <tr r="O8" s="13"/>
      </tp>
      <tp t="e">
        <v>#N/A</v>
        <stp/>
        <stp>BDH|5144390426125152346</stp>
        <tr r="S20" s="10"/>
      </tp>
      <tp t="e">
        <v>#N/A</v>
        <stp/>
        <stp>BDH|7225266376160821011</stp>
        <tr r="H39" s="21"/>
      </tp>
      <tp t="e">
        <v>#N/A</v>
        <stp/>
        <stp>BDH|2930615327176068248</stp>
        <tr r="O51" s="12"/>
      </tp>
      <tp t="e">
        <v>#N/A</v>
        <stp/>
        <stp>BDH|7790389207165693350</stp>
        <tr r="G33" s="17"/>
      </tp>
      <tp t="e">
        <v>#N/A</v>
        <stp/>
        <stp>BDH|9394883352167072124</stp>
        <tr r="T39" s="6"/>
      </tp>
      <tp t="e">
        <v>#N/A</v>
        <stp/>
        <stp>BDH|9749209892964792496</stp>
        <tr r="M16" s="14"/>
      </tp>
      <tp t="e">
        <v>#N/A</v>
        <stp/>
        <stp>BDH|5362716344917932341</stp>
        <tr r="W142" s="18"/>
      </tp>
      <tp t="e">
        <v>#N/A</v>
        <stp/>
        <stp>BDH|3627120137992065186</stp>
        <tr r="W100" s="18"/>
      </tp>
      <tp t="e">
        <v>#N/A</v>
        <stp/>
        <stp>BDH|2288594075265529706</stp>
        <tr r="Q90" s="12"/>
      </tp>
      <tp t="e">
        <v>#N/A</v>
        <stp/>
        <stp>BDH|4810224241067696766</stp>
        <tr r="L16" s="24"/>
      </tp>
      <tp t="e">
        <v>#N/A</v>
        <stp/>
        <stp>BDH|6180802188710285408</stp>
        <tr r="G154" s="18"/>
      </tp>
      <tp t="e">
        <v>#N/A</v>
        <stp/>
        <stp>BDH|2042961229923219860</stp>
        <tr r="K154" s="18"/>
      </tp>
      <tp t="e">
        <v>#N/A</v>
        <stp/>
        <stp>BDH|3759038368021169667</stp>
        <tr r="V18" s="22"/>
      </tp>
      <tp t="e">
        <v>#N/A</v>
        <stp/>
        <stp>BDH|9711327699833230253</stp>
        <tr r="K43" s="34"/>
      </tp>
      <tp t="e">
        <v>#N/A</v>
        <stp/>
        <stp>BDH|9706670278433440941</stp>
        <tr r="P17" s="20"/>
      </tp>
      <tp t="e">
        <v>#N/A</v>
        <stp/>
        <stp>BDH|6224711976394915040</stp>
        <tr r="L12" s="26"/>
      </tp>
      <tp t="e">
        <v>#N/A</v>
        <stp/>
        <stp>BDH|2342397473522012617</stp>
        <tr r="G35" s="22"/>
      </tp>
      <tp t="e">
        <v>#N/A</v>
        <stp/>
        <stp>BDH|3528251430089809903</stp>
        <tr r="K107" s="18"/>
      </tp>
      <tp t="e">
        <v>#N/A</v>
        <stp/>
        <stp>BDH|4575904423069607480</stp>
        <tr r="H52" s="17"/>
      </tp>
      <tp t="e">
        <v>#N/A</v>
        <stp/>
        <stp>BDH|4816869686740284624</stp>
        <tr r="D67" s="17"/>
      </tp>
      <tp t="e">
        <v>#N/A</v>
        <stp/>
        <stp>BDH|5244422915892896054</stp>
        <tr r="F77" s="12"/>
      </tp>
      <tp t="e">
        <v>#N/A</v>
        <stp/>
        <stp>BDH|8195397729962039997</stp>
        <tr r="I87" s="17"/>
      </tp>
      <tp t="e">
        <v>#N/A</v>
        <stp/>
        <stp>BDH|7664511317400908110</stp>
        <tr r="W48" s="34"/>
      </tp>
      <tp t="e">
        <v>#N/A</v>
        <stp/>
        <stp>BDH|3961155114222306333</stp>
        <tr r="D30" s="34"/>
      </tp>
      <tp t="e">
        <v>#N/A</v>
        <stp/>
        <stp>BDH|6185849480024468095</stp>
        <tr r="V9" s="30"/>
      </tp>
      <tp t="e">
        <v>#N/A</v>
        <stp/>
        <stp>BDH|1243337530482838111</stp>
        <tr r="M13" s="7"/>
      </tp>
      <tp t="e">
        <v>#N/A</v>
        <stp/>
        <stp>BDH|8774290109500863871</stp>
        <tr r="S47" s="24"/>
      </tp>
      <tp t="e">
        <v>#N/A</v>
        <stp/>
        <stp>BDH|7656231368679778820</stp>
        <tr r="J96" s="12"/>
      </tp>
      <tp t="e">
        <v>#N/A</v>
        <stp/>
        <stp>BDH|1012390413087509675</stp>
        <tr r="S27" s="24"/>
      </tp>
      <tp t="e">
        <v>#N/A</v>
        <stp/>
        <stp>BDH|5864495064633835652</stp>
        <tr r="P9" s="29"/>
      </tp>
      <tp t="e">
        <v>#N/A</v>
        <stp/>
        <stp>BDH|1587818781435440694</stp>
        <tr r="E59" s="17"/>
      </tp>
      <tp t="e">
        <v>#N/A</v>
        <stp/>
        <stp>BDH|4155317831722818413</stp>
        <tr r="I155" s="18"/>
      </tp>
      <tp t="e">
        <v>#N/A</v>
        <stp/>
        <stp>BDH|4923550465396400356</stp>
        <tr r="M8" s="14"/>
      </tp>
      <tp t="e">
        <v>#N/A</v>
        <stp/>
        <stp>BDH|7466387825551643577</stp>
        <tr r="AA15" s="22"/>
      </tp>
      <tp t="e">
        <v>#N/A</v>
        <stp/>
        <stp>BDH|5067383460706901494</stp>
        <tr r="L13" s="27"/>
        <tr r="L31" s="25"/>
      </tp>
      <tp t="e">
        <v>#N/A</v>
        <stp/>
        <stp>BDH|2847939197285228564</stp>
        <tr r="T21" s="24"/>
      </tp>
      <tp t="e">
        <v>#N/A</v>
        <stp/>
        <stp>BDH|4845642076996249103</stp>
        <tr r="AA81" s="18"/>
      </tp>
      <tp t="e">
        <v>#N/A</v>
        <stp/>
        <stp>BDH|3882515740070912084</stp>
        <tr r="I57" s="12"/>
      </tp>
      <tp t="e">
        <v>#N/A</v>
        <stp/>
        <stp>BDH|9341849339190219045</stp>
        <tr r="K13" s="21"/>
      </tp>
      <tp t="e">
        <v>#N/A</v>
        <stp/>
        <stp>BDH|1117548022037745386</stp>
        <tr r="N142" s="18"/>
      </tp>
      <tp t="e">
        <v>#N/A</v>
        <stp/>
        <stp>BDH|1096191941827395132</stp>
        <tr r="Q52" s="12"/>
      </tp>
      <tp t="e">
        <v>#N/A</v>
        <stp/>
        <stp>BDH|6587597767173445476</stp>
        <tr r="N159" s="18"/>
      </tp>
      <tp t="e">
        <v>#N/A</v>
        <stp/>
        <stp>BDH|1364586371000599175</stp>
        <tr r="S93" s="18"/>
      </tp>
      <tp t="e">
        <v>#N/A</v>
        <stp/>
        <stp>BDH|9452287183082593327</stp>
        <tr r="S69" s="18"/>
      </tp>
      <tp t="e">
        <v>#N/A</v>
        <stp/>
        <stp>BDH|6884319420024273139</stp>
        <tr r="W8" s="10"/>
      </tp>
      <tp t="e">
        <v>#N/A</v>
        <stp/>
        <stp>BDH|6627973072063874938</stp>
        <tr r="V8" s="34"/>
      </tp>
      <tp t="e">
        <v>#N/A</v>
        <stp/>
        <stp>BDH|4631358324763778485</stp>
        <tr r="R21" s="20"/>
      </tp>
      <tp t="e">
        <v>#N/A</v>
        <stp/>
        <stp>BDH|7055900739049639678</stp>
        <tr r="Z24" s="13"/>
      </tp>
      <tp t="e">
        <v>#N/A</v>
        <stp/>
        <stp>BDH|5272545469622525637</stp>
        <tr r="P150" s="18"/>
      </tp>
      <tp t="e">
        <v>#N/A</v>
        <stp/>
        <stp>BDH|6869241245272676063</stp>
        <tr r="M35" s="26"/>
        <tr r="J14" s="9"/>
      </tp>
      <tp t="e">
        <v>#N/A</v>
        <stp/>
        <stp>BDH|8422402589130402601</stp>
        <tr r="C10" s="18"/>
      </tp>
      <tp t="e">
        <v>#N/A</v>
        <stp/>
        <stp>BDH|3536122935566919525</stp>
        <tr r="L22" s="14"/>
      </tp>
      <tp t="e">
        <v>#N/A</v>
        <stp/>
        <stp>BDH|2964304310192922091</stp>
        <tr r="O36" s="6"/>
        <tr r="O17" s="5"/>
      </tp>
      <tp t="e">
        <v>#N/A</v>
        <stp/>
        <stp>BDH|4507714406081277093</stp>
        <tr r="X13" s="28"/>
        <tr r="X95" s="17"/>
      </tp>
      <tp t="e">
        <v>#N/A</v>
        <stp/>
        <stp>BDH|3813395825262927244</stp>
        <tr r="J22" s="25"/>
      </tp>
      <tp t="e">
        <v>#N/A</v>
        <stp/>
        <stp>BDH|2457181372465240357</stp>
        <tr r="J7" s="8"/>
      </tp>
      <tp t="e">
        <v>#N/A</v>
        <stp/>
        <stp>BDH|8083339107269886058</stp>
        <tr r="J62" s="21"/>
      </tp>
      <tp t="e">
        <v>#N/A</v>
        <stp/>
        <stp>BDH|7200840613228939452</stp>
        <tr r="V25" s="29"/>
        <tr r="V19" s="29"/>
        <tr r="V10" s="29"/>
        <tr r="T6" s="9"/>
        <tr r="V12" s="8"/>
        <tr r="T6" s="5"/>
        <tr r="U6" s="2"/>
      </tp>
      <tp t="e">
        <v>#N/A</v>
        <stp/>
        <stp>BDH|3639940039079370217</stp>
        <tr r="W43" s="17"/>
      </tp>
      <tp t="e">
        <v>#N/A</v>
        <stp/>
        <stp>BDH|7747429402710703198</stp>
        <tr r="X132" s="18"/>
      </tp>
      <tp t="e">
        <v>#N/A</v>
        <stp/>
        <stp>BDH|4369952093333428587</stp>
        <tr r="P65" s="11"/>
        <tr r="P76" s="10"/>
      </tp>
      <tp t="e">
        <v>#N/A</v>
        <stp/>
        <stp>BDH|1233272804231125093</stp>
        <tr r="C14" s="23"/>
      </tp>
      <tp t="e">
        <v>#N/A</v>
        <stp/>
        <stp>BDH|6212332046372938171</stp>
        <tr r="F49" s="18"/>
      </tp>
      <tp t="e">
        <v>#N/A</v>
        <stp/>
        <stp>BDH|8608985011581174372</stp>
        <tr r="T11" s="13"/>
      </tp>
      <tp t="e">
        <v>#N/A</v>
        <stp/>
        <stp>BDH|6968895908508414452</stp>
        <tr r="S69" s="13"/>
      </tp>
      <tp t="e">
        <v>#N/A</v>
        <stp/>
        <stp>BDH|5038728697270948958</stp>
        <tr r="C7" s="17"/>
      </tp>
      <tp t="e">
        <v>#N/A</v>
        <stp/>
        <stp>BDH|7831864001165306853</stp>
        <tr r="F45" s="11"/>
        <tr r="F56" s="10"/>
        <tr r="F16" s="7"/>
      </tp>
      <tp t="e">
        <v>#N/A</v>
        <stp/>
        <stp>BDH|9409411271619427190</stp>
        <tr r="R14" s="6"/>
      </tp>
      <tp t="e">
        <v>#N/A</v>
        <stp/>
        <stp>BDH|7640160148773958383</stp>
        <tr r="M31" s="24"/>
      </tp>
      <tp t="e">
        <v>#N/A</v>
        <stp/>
        <stp>BDH|3111968497927041690</stp>
        <tr r="M31" s="26"/>
      </tp>
      <tp t="e">
        <v>#N/A</v>
        <stp/>
        <stp>BDH|9227405195496953072</stp>
        <tr r="N9" s="20"/>
        <tr r="N115" s="18"/>
      </tp>
      <tp t="e">
        <v>#N/A</v>
        <stp/>
        <stp>BDH|3931276657054051207</stp>
        <tr r="W73" s="12"/>
      </tp>
      <tp t="e">
        <v>#N/A</v>
        <stp/>
        <stp>BDH|4241347719923544738</stp>
        <tr r="J82" s="12"/>
      </tp>
      <tp t="e">
        <v>#N/A</v>
        <stp/>
        <stp>BDH|4781238471265543690</stp>
        <tr r="L20" s="14"/>
      </tp>
      <tp t="e">
        <v>#N/A</v>
        <stp/>
        <stp>BDH|6184012328520906689</stp>
        <tr r="D27" s="18"/>
      </tp>
      <tp t="e">
        <v>#N/A</v>
        <stp/>
        <stp>BDH|3309427125577973043</stp>
        <tr r="W13" s="26"/>
      </tp>
      <tp t="e">
        <v>#N/A</v>
        <stp/>
        <stp>BDH|6477242029994232029</stp>
        <tr r="N65" s="24"/>
      </tp>
      <tp t="e">
        <v>#N/A</v>
        <stp/>
        <stp>BDH|5667441979954157032</stp>
        <tr r="V31" s="5"/>
      </tp>
      <tp t="e">
        <v>#N/A</v>
        <stp/>
        <stp>BDH|5584187540096072441</stp>
        <tr r="C8" s="2"/>
      </tp>
      <tp t="e">
        <v>#N/A</v>
        <stp/>
        <stp>BDH|4152198700962482557</stp>
        <tr r="H7" s="6"/>
      </tp>
      <tp t="e">
        <v>#N/A</v>
        <stp/>
        <stp>BDH|5208799294438225144</stp>
        <tr r="AA64" s="13"/>
      </tp>
      <tp t="e">
        <v>#N/A</v>
        <stp/>
        <stp>BDH|6544908284687043285</stp>
        <tr r="K59" s="17"/>
      </tp>
      <tp t="e">
        <v>#N/A</v>
        <stp/>
        <stp>BDH|4981702737687548522</stp>
        <tr r="R14" s="34"/>
      </tp>
      <tp t="e">
        <v>#N/A</v>
        <stp/>
        <stp>BDH|9374580029818310482</stp>
        <tr r="O130" s="18"/>
      </tp>
      <tp t="e">
        <v>#N/A</v>
        <stp/>
        <stp>BDH|5295248857369879909</stp>
        <tr r="V46" s="18"/>
      </tp>
      <tp t="e">
        <v>#N/A</v>
        <stp/>
        <stp>BDH|7881674501396517522</stp>
        <tr r="J13" s="9"/>
      </tp>
      <tp t="e">
        <v>#N/A</v>
        <stp/>
        <stp>BDH|1394842771505686999</stp>
        <tr r="K15" s="9"/>
      </tp>
      <tp t="e">
        <v>#N/A</v>
        <stp/>
        <stp>BDH|4432010112120897764</stp>
        <tr r="Y40" s="18"/>
      </tp>
      <tp t="e">
        <v>#N/A</v>
        <stp/>
        <stp>BDH|6301598152175526144</stp>
        <tr r="T170" s="18"/>
      </tp>
      <tp t="e">
        <v>#N/A</v>
        <stp/>
        <stp>BDH|3759599447094968495</stp>
        <tr r="F30" s="17"/>
      </tp>
      <tp t="e">
        <v>#N/A</v>
        <stp/>
        <stp>BDH|3177409619693501747</stp>
        <tr r="H152" s="18"/>
      </tp>
      <tp t="e">
        <v>#N/A</v>
        <stp/>
        <stp>BDH|5681429983758997370</stp>
        <tr r="K51" s="21"/>
      </tp>
      <tp t="e">
        <v>#N/A</v>
        <stp/>
        <stp>BDH|4354205678603206008</stp>
        <tr r="AA80" s="18"/>
      </tp>
      <tp t="e">
        <v>#N/A</v>
        <stp/>
        <stp>BDH|7604673363121893435</stp>
        <tr r="C20" s="29"/>
      </tp>
      <tp t="e">
        <v>#N/A</v>
        <stp/>
        <stp>BDH|3056759675266899719</stp>
        <tr r="O78" s="12"/>
      </tp>
      <tp t="e">
        <v>#N/A</v>
        <stp/>
        <stp>BDH|7101307339232456721</stp>
        <tr r="R42" s="26"/>
      </tp>
      <tp t="e">
        <v>#N/A</v>
        <stp/>
        <stp>BDH|5239063969902091331</stp>
        <tr r="T28" s="22"/>
      </tp>
      <tp t="e">
        <v>#N/A</v>
        <stp/>
        <stp>BDH|4357771612721971115</stp>
        <tr r="K48" s="24"/>
      </tp>
      <tp t="e">
        <v>#N/A</v>
        <stp/>
        <stp>BDH|5457910623455879907</stp>
        <tr r="P38" s="34"/>
      </tp>
      <tp t="e">
        <v>#N/A</v>
        <stp/>
        <stp>BDH|4518113289549026634</stp>
        <tr r="H64" s="21"/>
        <tr r="F23" s="7"/>
      </tp>
      <tp t="e">
        <v>#N/A</v>
        <stp/>
        <stp>BDH|7620525657741979446</stp>
        <tr r="O42" s="25"/>
      </tp>
      <tp t="e">
        <v>#N/A</v>
        <stp/>
        <stp>BDH|9636504666769985178</stp>
        <tr r="Q33" s="13"/>
        <tr r="O26" s="10"/>
      </tp>
      <tp t="e">
        <v>#N/A</v>
        <stp/>
        <stp>BDH|6644831003338068480</stp>
        <tr r="K26" s="24"/>
      </tp>
      <tp t="e">
        <v>#N/A</v>
        <stp/>
        <stp>BDH|8153856929774306407</stp>
        <tr r="D15" s="26"/>
      </tp>
      <tp t="e">
        <v>#N/A</v>
        <stp/>
        <stp>BDH|7807397429654277044</stp>
        <tr r="C24" s="20"/>
      </tp>
      <tp t="e">
        <v>#N/A</v>
        <stp/>
        <stp>BDH|2516984986709645834</stp>
        <tr r="J127" s="18"/>
      </tp>
      <tp t="e">
        <v>#N/A</v>
        <stp/>
        <stp>BDH|2485198443080562554</stp>
        <tr r="E32" s="21"/>
      </tp>
      <tp t="e">
        <v>#N/A</v>
        <stp/>
        <stp>BDH|1582410606044484385</stp>
        <tr r="N18" s="11"/>
      </tp>
      <tp t="e">
        <v>#N/A</v>
        <stp/>
        <stp>BDH|3887142271956624155</stp>
        <tr r="Z20" s="23"/>
      </tp>
      <tp t="e">
        <v>#N/A</v>
        <stp/>
        <stp>BDH|6877154548550812133</stp>
        <tr r="Y21" s="3"/>
      </tp>
      <tp t="e">
        <v>#N/A</v>
        <stp/>
        <stp>BDH|3101214955581859730</stp>
        <tr r="D55" s="18"/>
      </tp>
      <tp t="e">
        <v>#N/A</v>
        <stp/>
        <stp>BDH|2155090947613178703</stp>
        <tr r="X47" s="17"/>
      </tp>
      <tp t="e">
        <v>#N/A</v>
        <stp/>
        <stp>BDH|9796435781204201399</stp>
        <tr r="R11" s="10"/>
        <tr r="R14" s="2"/>
      </tp>
      <tp t="e">
        <v>#N/A</v>
        <stp/>
        <stp>BDH|2102394224731753050</stp>
        <tr r="Q67" s="12"/>
      </tp>
      <tp t="e">
        <v>#N/A</v>
        <stp/>
        <stp>BDH|3697933420503992920</stp>
        <tr r="K22" s="4"/>
      </tp>
      <tp t="e">
        <v>#N/A</v>
        <stp/>
        <stp>BDH|8458772981752976751</stp>
        <tr r="E36" s="21"/>
        <tr r="E24" s="3"/>
      </tp>
      <tp t="e">
        <v>#N/A</v>
        <stp/>
        <stp>BDH|1296498900703285478</stp>
        <tr r="J156" s="18"/>
      </tp>
      <tp t="e">
        <v>#N/A</v>
        <stp/>
        <stp>BDH|3021966798753027208</stp>
        <tr r="W42" s="34"/>
      </tp>
      <tp t="e">
        <v>#N/A</v>
        <stp/>
        <stp>BDH|3592878593902924263</stp>
        <tr r="C48" s="6"/>
      </tp>
      <tp t="e">
        <v>#N/A</v>
        <stp/>
        <stp>BDH|2605392624815169445</stp>
        <tr r="X14" s="27"/>
        <tr r="X32" s="25"/>
      </tp>
      <tp t="e">
        <v>#N/A</v>
        <stp/>
        <stp>BDH|7341340148506790460</stp>
        <tr r="P41" s="22"/>
      </tp>
      <tp t="e">
        <v>#N/A</v>
        <stp/>
        <stp>BDH|6724219829753227736</stp>
        <tr r="P45" s="24"/>
      </tp>
      <tp t="e">
        <v>#N/A</v>
        <stp/>
        <stp>BDH|2985587150676807672</stp>
        <tr r="S35" s="24"/>
      </tp>
      <tp t="e">
        <v>#N/A</v>
        <stp/>
        <stp>BDH|6496991036517128944</stp>
        <tr r="L13" s="2"/>
      </tp>
      <tp t="e">
        <v>#N/A</v>
        <stp/>
        <stp>BDH|3842051652380285435</stp>
        <tr r="H156" s="18"/>
      </tp>
      <tp t="e">
        <v>#N/A</v>
        <stp/>
        <stp>BDH|2782046786610813833</stp>
        <tr r="U68" s="18"/>
      </tp>
      <tp t="e">
        <v>#N/A</v>
        <stp/>
        <stp>BDH|2060385176541096505</stp>
        <tr r="X22" s="21"/>
      </tp>
      <tp t="e">
        <v>#N/A</v>
        <stp/>
        <stp>BDH|6271335978995454533</stp>
        <tr r="Q32" s="22"/>
      </tp>
      <tp t="e">
        <v>#N/A</v>
        <stp/>
        <stp>BDH|5641095875293585317</stp>
        <tr r="Y28" s="22"/>
      </tp>
      <tp t="e">
        <v>#N/A</v>
        <stp/>
        <stp>BDH|4986480712763475094</stp>
        <tr r="AA13" s="24"/>
      </tp>
      <tp t="e">
        <v>#N/A</v>
        <stp/>
        <stp>BDH|5447306238917166031</stp>
        <tr r="D25" s="12"/>
      </tp>
      <tp t="e">
        <v>#N/A</v>
        <stp/>
        <stp>BDH|7660648042727661083</stp>
        <tr r="I51" s="22"/>
      </tp>
      <tp t="e">
        <v>#N/A</v>
        <stp/>
        <stp>BDH|3855934587254369419</stp>
        <tr r="G74" s="24"/>
      </tp>
      <tp t="e">
        <v>#N/A</v>
        <stp/>
        <stp>BDH|9090344585292770284</stp>
        <tr r="K40" s="13"/>
        <tr r="I33" s="10"/>
      </tp>
      <tp t="e">
        <v>#N/A</v>
        <stp/>
        <stp>BDH|1472544531306882377</stp>
        <tr r="T138" s="18"/>
      </tp>
      <tp t="e">
        <v>#N/A</v>
        <stp/>
        <stp>BDH|2052698920265778107</stp>
        <tr r="H48" s="21"/>
      </tp>
      <tp t="e">
        <v>#N/A</v>
        <stp/>
        <stp>BDH|9612685446119091063</stp>
        <tr r="Z65" s="12"/>
      </tp>
      <tp t="e">
        <v>#N/A</v>
        <stp/>
        <stp>BDH|3842757501402500478</stp>
        <tr r="L28" s="6"/>
      </tp>
      <tp t="e">
        <v>#N/A</v>
        <stp/>
        <stp>BDH|2429897195521439032</stp>
        <tr r="K9" s="18"/>
      </tp>
      <tp t="e">
        <v>#N/A</v>
        <stp/>
        <stp>BDH|9765832703735802602</stp>
        <tr r="Z96" s="18"/>
      </tp>
      <tp t="e">
        <v>#N/A</v>
        <stp/>
        <stp>BDH|5338049669555667478</stp>
        <tr r="N51" s="12"/>
      </tp>
      <tp t="e">
        <v>#N/A</v>
        <stp/>
        <stp>BDH|3026546743790038080</stp>
        <tr r="J7" s="9"/>
        <tr r="J7" s="5"/>
        <tr r="M14" s="3"/>
        <tr r="K7" s="2"/>
      </tp>
      <tp t="e">
        <v>#N/A</v>
        <stp/>
        <stp>BDH|5979836994135924381</stp>
        <tr r="Y29" s="18"/>
      </tp>
      <tp t="e">
        <v>#N/A</v>
        <stp/>
        <stp>BDH|7717500819981897092</stp>
        <tr r="V47" s="34"/>
      </tp>
      <tp t="e">
        <v>#N/A</v>
        <stp/>
        <stp>BDH|3571995747345273965</stp>
        <tr r="G34" s="6"/>
      </tp>
      <tp t="e">
        <v>#N/A</v>
        <stp/>
        <stp>BDH|5940537266764111027</stp>
        <tr r="H72" s="13"/>
      </tp>
      <tp t="e">
        <v>#N/A</v>
        <stp/>
        <stp>BDH|7108621882252788999</stp>
        <tr r="R148" s="18"/>
      </tp>
      <tp t="e">
        <v>#N/A</v>
        <stp/>
        <stp>BDH|2578488369110840238</stp>
        <tr r="AA16" s="12"/>
      </tp>
      <tp t="e">
        <v>#N/A</v>
        <stp/>
        <stp>BDH|8373961430355878520</stp>
        <tr r="L70" s="24"/>
      </tp>
      <tp t="e">
        <v>#N/A</v>
        <stp/>
        <stp>BDH|6792533519069681947</stp>
        <tr r="R65" s="18"/>
      </tp>
      <tp t="e">
        <v>#N/A</v>
        <stp/>
        <stp>BDH|1178172165273412783</stp>
        <tr r="H42" s="11"/>
        <tr r="H53" s="10"/>
        <tr r="H8" s="7"/>
        <tr r="J11" s="3"/>
      </tp>
      <tp t="e">
        <v>#N/A</v>
        <stp/>
        <stp>BDH|7957464573395343303</stp>
        <tr r="F31" s="9"/>
      </tp>
      <tp t="e">
        <v>#N/A</v>
        <stp/>
        <stp>BDH|1528255374501360781</stp>
        <tr r="M19" s="20"/>
      </tp>
      <tp t="e">
        <v>#N/A</v>
        <stp/>
        <stp>BDH|2870641223570375430</stp>
        <tr r="S18" s="6"/>
      </tp>
      <tp t="e">
        <v>#N/A</v>
        <stp/>
        <stp>BDH|9118115006359928302</stp>
        <tr r="T162" s="18"/>
      </tp>
      <tp t="e">
        <v>#N/A</v>
        <stp/>
        <stp>BDH|1877734015184833197</stp>
        <tr r="W69" s="24"/>
      </tp>
      <tp t="e">
        <v>#N/A</v>
        <stp/>
        <stp>BDH|6555082727170248674</stp>
        <tr r="V137" s="18"/>
      </tp>
      <tp t="e">
        <v>#N/A</v>
        <stp/>
        <stp>BDH|9930885746892961511</stp>
        <tr r="O45" s="34"/>
      </tp>
      <tp t="e">
        <v>#N/A</v>
        <stp/>
        <stp>BDH|7326059632381228792</stp>
        <tr r="D171" s="18"/>
      </tp>
      <tp t="e">
        <v>#N/A</v>
        <stp/>
        <stp>BDH|2058095675910791748</stp>
        <tr r="T7" s="34"/>
      </tp>
      <tp t="e">
        <v>#N/A</v>
        <stp/>
        <stp>BDH|2129998610600146860</stp>
        <tr r="H13" s="6"/>
      </tp>
      <tp t="e">
        <v>#N/A</v>
        <stp/>
        <stp>BDH|5746646501359837858</stp>
        <tr r="U75" s="24"/>
      </tp>
      <tp t="e">
        <v>#N/A</v>
        <stp/>
        <stp>BDH|2081130629554293779</stp>
        <tr r="L13" s="23"/>
        <tr r="J58" s="11"/>
        <tr r="J38" s="4"/>
      </tp>
      <tp t="e">
        <v>#N/A</v>
        <stp/>
        <stp>BDH|5470598232286034703</stp>
        <tr r="T16" s="6"/>
      </tp>
      <tp t="e">
        <v>#N/A</v>
        <stp/>
        <stp>BDH|1740285721962674170</stp>
        <tr r="H21" s="10"/>
      </tp>
      <tp t="e">
        <v>#N/A</v>
        <stp/>
        <stp>BDH|1751024639022483277</stp>
        <tr r="D144" s="18"/>
      </tp>
      <tp t="e">
        <v>#N/A</v>
        <stp/>
        <stp>BDH|6379934428088149769</stp>
        <tr r="K122" s="18"/>
      </tp>
      <tp t="e">
        <v>#N/A</v>
        <stp/>
        <stp>BDH|3524475820503843458</stp>
        <tr r="W109" s="18"/>
      </tp>
      <tp t="e">
        <v>#N/A</v>
        <stp/>
        <stp>BDH|5932932180234224240</stp>
        <tr r="P70" s="24"/>
      </tp>
      <tp t="e">
        <v>#N/A</v>
        <stp/>
        <stp>BDH|8554731086252947753</stp>
        <tr r="X8" s="11"/>
      </tp>
      <tp t="e">
        <v>#N/A</v>
        <stp/>
        <stp>BDH|6155036309473350743</stp>
        <tr r="H24" s="13"/>
      </tp>
      <tp t="e">
        <v>#N/A</v>
        <stp/>
        <stp>BDH|4621311413324864007</stp>
        <tr r="V98" s="18"/>
      </tp>
      <tp t="e">
        <v>#N/A</v>
        <stp/>
        <stp>BDH|5041606449767550201</stp>
        <tr r="R42" s="18"/>
      </tp>
      <tp t="e">
        <v>#N/A</v>
        <stp/>
        <stp>BDH|6888559321583440041</stp>
        <tr r="J31" s="14"/>
      </tp>
      <tp t="e">
        <v>#N/A</v>
        <stp/>
        <stp>BDH|7050085907023466677</stp>
        <tr r="X10" s="18"/>
      </tp>
      <tp t="e">
        <v>#N/A</v>
        <stp/>
        <stp>BDH|2499640399657770829</stp>
        <tr r="AA34" s="21"/>
      </tp>
      <tp t="e">
        <v>#N/A</v>
        <stp/>
        <stp>BDH|8872139591686114478</stp>
        <tr r="L43" s="17"/>
      </tp>
      <tp t="e">
        <v>#N/A</v>
        <stp/>
        <stp>BDH|9473984036781140071</stp>
        <tr r="E14" s="23"/>
      </tp>
      <tp t="e">
        <v>#N/A</v>
        <stp/>
        <stp>BDH|5755496308880390392</stp>
        <tr r="R56" s="17"/>
      </tp>
      <tp t="e">
        <v>#N/A</v>
        <stp/>
        <stp>BDH|4486593835982443205</stp>
        <tr r="L27" s="6"/>
      </tp>
      <tp t="e">
        <v>#N/A</v>
        <stp/>
        <stp>BDH|4061638858492703709</stp>
        <tr r="I20" s="27"/>
      </tp>
      <tp t="e">
        <v>#N/A</v>
        <stp/>
        <stp>BDH|7823945029449054795</stp>
        <tr r="E147" s="18"/>
      </tp>
      <tp t="e">
        <v>#N/A</v>
        <stp/>
        <stp>BDH|4509279233437467099</stp>
        <tr r="AA61" s="17"/>
      </tp>
      <tp t="e">
        <v>#N/A</v>
        <stp/>
        <stp>BDH|1883996424939172185</stp>
        <tr r="J50" s="13"/>
      </tp>
      <tp t="e">
        <v>#N/A</v>
        <stp/>
        <stp>BDH|5757076038531465505</stp>
        <tr r="X165" s="18"/>
      </tp>
      <tp t="e">
        <v>#N/A</v>
        <stp/>
        <stp>BDH|9293445240923310891</stp>
        <tr r="O18" s="28"/>
        <tr r="O15" s="17"/>
      </tp>
      <tp t="e">
        <v>#N/A</v>
        <stp/>
        <stp>BDH|5287799761637659107</stp>
        <tr r="C139" s="18"/>
      </tp>
      <tp t="e">
        <v>#N/A</v>
        <stp/>
        <stp>BDH|9457804917130970263</stp>
        <tr r="C11" s="10"/>
        <tr r="C14" s="2"/>
      </tp>
      <tp t="e">
        <v>#N/A</v>
        <stp/>
        <stp>BDH|7431491606403072276</stp>
        <tr r="V42" s="34"/>
      </tp>
      <tp t="e">
        <v>#N/A</v>
        <stp/>
        <stp>BDH|3999533776556117519</stp>
        <tr r="X24" s="29"/>
      </tp>
      <tp t="e">
        <v>#N/A</v>
        <stp/>
        <stp>BDH|4215388954904270400</stp>
        <tr r="W8" s="2"/>
      </tp>
      <tp t="e">
        <v>#N/A</v>
        <stp/>
        <stp>BDH|4250339131882833440</stp>
        <tr r="W6" s="28"/>
      </tp>
      <tp t="e">
        <v>#N/A</v>
        <stp/>
        <stp>BDH|3457188207211398140</stp>
        <tr r="I100" s="18"/>
      </tp>
      <tp t="e">
        <v>#N/A</v>
        <stp/>
        <stp>BDH|2326690752582327173</stp>
        <tr r="D68" s="10"/>
        <tr r="D25" s="4"/>
      </tp>
      <tp t="e">
        <v>#N/A</v>
        <stp/>
        <stp>BDH|6161210914724014386</stp>
        <tr r="T104" s="18"/>
      </tp>
      <tp t="e">
        <v>#N/A</v>
        <stp/>
        <stp>BDH|7638082862307524459</stp>
        <tr r="O108" s="18"/>
      </tp>
      <tp t="e">
        <v>#N/A</v>
        <stp/>
        <stp>BDH|8140067779324600949</stp>
        <tr r="M12" s="21"/>
      </tp>
      <tp t="e">
        <v>#N/A</v>
        <stp/>
        <stp>BDH|8394609081040920479</stp>
        <tr r="J60" s="12"/>
      </tp>
      <tp t="e">
        <v>#N/A</v>
        <stp/>
        <stp>BDH|3581432039284501263</stp>
        <tr r="I71" s="24"/>
      </tp>
      <tp t="e">
        <v>#N/A</v>
        <stp/>
        <stp>BDH|7421616449497698063</stp>
        <tr r="G27" s="13"/>
      </tp>
      <tp t="e">
        <v>#N/A</v>
        <stp/>
        <stp>BDH|5260320143434901468</stp>
        <tr r="F164" s="18"/>
      </tp>
      <tp t="e">
        <v>#N/A</v>
        <stp/>
        <stp>BDH|8246188901552479934</stp>
        <tr r="D32" s="21"/>
      </tp>
      <tp t="e">
        <v>#N/A</v>
        <stp/>
        <stp>BDH|2987521633091647727</stp>
        <tr r="O31" s="24"/>
      </tp>
      <tp t="e">
        <v>#N/A</v>
        <stp/>
        <stp>BDH|7306229330317468390</stp>
        <tr r="U15" s="25"/>
      </tp>
      <tp t="e">
        <v>#N/A</v>
        <stp/>
        <stp>BDH|9402997606733172168</stp>
        <tr r="S132" s="18"/>
      </tp>
      <tp t="e">
        <v>#N/A</v>
        <stp/>
        <stp>BDH|7901992398252067749</stp>
        <tr r="N37" s="17"/>
      </tp>
      <tp t="e">
        <v>#N/A</v>
        <stp/>
        <stp>BDH|5132192871315257466</stp>
        <tr r="L68" s="13"/>
      </tp>
      <tp t="e">
        <v>#N/A</v>
        <stp/>
        <stp>BDH|9437891822501532074</stp>
        <tr r="Q18" s="11"/>
      </tp>
      <tp t="e">
        <v>#N/A</v>
        <stp/>
        <stp>BDH|9173310670077415895</stp>
        <tr r="Q14" s="20"/>
        <tr r="Q119" s="18"/>
      </tp>
      <tp t="e">
        <v>#N/A</v>
        <stp/>
        <stp>BDH|6540524660416936135</stp>
        <tr r="T147" s="18"/>
      </tp>
      <tp t="e">
        <v>#N/A</v>
        <stp/>
        <stp>BDH|5881394922607607188</stp>
        <tr r="S29" s="6"/>
      </tp>
      <tp t="e">
        <v>#N/A</v>
        <stp/>
        <stp>BDH|2988889136528971331</stp>
        <tr r="D44" s="11"/>
        <tr r="D55" s="10"/>
        <tr r="D15" s="7"/>
      </tp>
      <tp t="e">
        <v>#N/A</v>
        <stp/>
        <stp>BDH|3384102153302893755</stp>
        <tr r="D142" s="18"/>
      </tp>
      <tp t="e">
        <v>#N/A</v>
        <stp/>
        <stp>BDH|7190529330407631482</stp>
        <tr r="R34" s="21"/>
      </tp>
      <tp t="e">
        <v>#N/A</v>
        <stp/>
        <stp>BDH|6561682836707106677</stp>
        <tr r="R61" s="12"/>
      </tp>
      <tp t="e">
        <v>#N/A</v>
        <stp/>
        <stp>BDH|7162330279543132277</stp>
        <tr r="C34" s="29"/>
      </tp>
      <tp t="e">
        <v>#N/A</v>
        <stp/>
        <stp>BDH|3966235687248219327</stp>
        <tr r="L109" s="18"/>
      </tp>
      <tp t="e">
        <v>#N/A</v>
        <stp/>
        <stp>BDH|5847555781783778967</stp>
        <tr r="W62" s="24"/>
      </tp>
      <tp t="e">
        <v>#N/A</v>
        <stp/>
        <stp>BDH|6864332153632325069</stp>
        <tr r="E11" s="24"/>
      </tp>
      <tp t="e">
        <v>#N/A</v>
        <stp/>
        <stp>BDH|1269775219337115208</stp>
        <tr r="Z97" s="18"/>
      </tp>
      <tp t="e">
        <v>#N/A</v>
        <stp/>
        <stp>BDH|6540188967530717301</stp>
        <tr r="K66" s="24"/>
      </tp>
      <tp t="e">
        <v>#N/A</v>
        <stp/>
        <stp>BDH|5403411878807110311</stp>
        <tr r="S43" s="26"/>
      </tp>
      <tp t="e">
        <v>#N/A</v>
        <stp/>
        <stp>BDH|3400643849982264164</stp>
        <tr r="Z138" s="18"/>
      </tp>
      <tp t="e">
        <v>#N/A</v>
        <stp/>
        <stp>BDH|1031553228907906391</stp>
        <tr r="K55" s="24"/>
      </tp>
      <tp t="e">
        <v>#N/A</v>
        <stp/>
        <stp>BDH|1042603769542290163</stp>
        <tr r="E48" s="6"/>
      </tp>
      <tp t="e">
        <v>#N/A</v>
        <stp/>
        <stp>BDH|6836327360716635718</stp>
        <tr r="E70" s="24"/>
      </tp>
      <tp t="e">
        <v>#N/A</v>
        <stp/>
        <stp>BDH|8833974183428522349</stp>
        <tr r="Y100" s="18"/>
      </tp>
      <tp t="e">
        <v>#N/A</v>
        <stp/>
        <stp>BDH|7600052708890103572</stp>
        <tr r="U36" s="29"/>
        <tr r="U13" s="29"/>
        <tr r="U22" s="29"/>
      </tp>
      <tp t="e">
        <v>#N/A</v>
        <stp/>
        <stp>BDH|1970808567615317803</stp>
        <tr r="F31" s="5"/>
      </tp>
      <tp t="e">
        <v>#N/A</v>
        <stp/>
        <stp>BDH|6634650973880409590</stp>
        <tr r="V23" s="26"/>
      </tp>
      <tp t="e">
        <v>#N/A</v>
        <stp/>
        <stp>BDH|3178298625021814085</stp>
        <tr r="Q10" s="26"/>
      </tp>
      <tp t="e">
        <v>#N/A</v>
        <stp/>
        <stp>BDH|5826178615027526022</stp>
        <tr r="X26" s="26"/>
      </tp>
      <tp t="e">
        <v>#N/A</v>
        <stp/>
        <stp>BDH|6937216934602890790</stp>
        <tr r="Y33" s="11"/>
        <tr r="Y44" s="10"/>
      </tp>
      <tp t="e">
        <v>#N/A</v>
        <stp/>
        <stp>BDH|6811420433752198155</stp>
        <tr r="R80" s="17"/>
      </tp>
      <tp t="e">
        <v>#N/A</v>
        <stp/>
        <stp>BDH|6071722909823798019</stp>
        <tr r="V71" s="24"/>
      </tp>
      <tp t="e">
        <v>#N/A</v>
        <stp/>
        <stp>BDH|7808199302352762690</stp>
        <tr r="U25" s="3"/>
      </tp>
      <tp t="e">
        <v>#N/A</v>
        <stp/>
        <stp>BDH|7730191235943258442</stp>
        <tr r="U10" s="22"/>
      </tp>
      <tp t="e">
        <v>#N/A</v>
        <stp/>
        <stp>BDH|5879142076534189566</stp>
        <tr r="N50" s="18"/>
      </tp>
      <tp t="e">
        <v>#N/A</v>
        <stp/>
        <stp>BDH|1351321818878142956</stp>
        <tr r="Z40" s="24"/>
      </tp>
      <tp t="e">
        <v>#N/A</v>
        <stp/>
        <stp>BDH|5656221319616968265</stp>
        <tr r="S32" s="5"/>
      </tp>
      <tp t="e">
        <v>#N/A</v>
        <stp/>
        <stp>BDH|6774751089142824915</stp>
        <tr r="Y21" s="11"/>
      </tp>
      <tp t="e">
        <v>#N/A</v>
        <stp/>
        <stp>BDH|6840298092577305829</stp>
        <tr r="AA36" s="18"/>
      </tp>
      <tp t="e">
        <v>#N/A</v>
        <stp/>
        <stp>BDH|6188616585978772200</stp>
        <tr r="P60" s="21"/>
        <tr r="N55" s="11"/>
      </tp>
      <tp t="e">
        <v>#N/A</v>
        <stp/>
        <stp>BDH|2542135162205251245</stp>
        <tr r="R58" s="6"/>
      </tp>
      <tp t="e">
        <v>#N/A</v>
        <stp/>
        <stp>BDH|1819586723046479253</stp>
        <tr r="G37" s="18"/>
      </tp>
      <tp t="e">
        <v>#N/A</v>
        <stp/>
        <stp>BDH|9432851898242962825</stp>
        <tr r="I22" s="17"/>
        <tr r="I15" s="3"/>
      </tp>
      <tp t="e">
        <v>#N/A</v>
        <stp/>
        <stp>BDH|4002290722394928203</stp>
        <tr r="C26" s="26"/>
      </tp>
      <tp t="e">
        <v>#N/A</v>
        <stp/>
        <stp>BDH|2248607705596175043</stp>
        <tr r="K14" s="8"/>
      </tp>
      <tp t="e">
        <v>#N/A</v>
        <stp/>
        <stp>BDH|4399338107300763526</stp>
        <tr r="E139" s="18"/>
      </tp>
      <tp t="e">
        <v>#N/A</v>
        <stp/>
        <stp>BDH|4833311858495705543</stp>
        <tr r="F41" s="13"/>
        <tr r="D23" s="10"/>
        <tr r="D46" s="4"/>
      </tp>
      <tp t="e">
        <v>#N/A</v>
        <stp/>
        <stp>BDH|5754319692985716811</stp>
        <tr r="V24" s="29"/>
      </tp>
      <tp t="e">
        <v>#N/A</v>
        <stp/>
        <stp>BDH|3294583076234687784</stp>
        <tr r="O54" s="24"/>
      </tp>
      <tp t="e">
        <v>#N/A</v>
        <stp/>
        <stp>BDH|6253888967279720389</stp>
        <tr r="S36" s="4"/>
      </tp>
      <tp t="e">
        <v>#N/A</v>
        <stp/>
        <stp>BDH|2988089550606603353</stp>
        <tr r="L99" s="12"/>
      </tp>
      <tp t="e">
        <v>#N/A</v>
        <stp/>
        <stp>BDH|8658266670437757856</stp>
        <tr r="O20" s="28"/>
        <tr r="O17" s="17"/>
      </tp>
      <tp t="e">
        <v>#N/A</v>
        <stp/>
        <stp>BDH|7001518778276885134</stp>
        <tr r="D35" s="11"/>
        <tr r="D46" s="10"/>
      </tp>
      <tp t="e">
        <v>#N/A</v>
        <stp/>
        <stp>BDH|1173357922527227561</stp>
        <tr r="P11" s="30"/>
      </tp>
      <tp t="e">
        <v>#N/A</v>
        <stp/>
        <stp>BDH|2307118549755140083</stp>
        <tr r="X38" s="12"/>
      </tp>
      <tp t="e">
        <v>#N/A</v>
        <stp/>
        <stp>BDH|2280630402716762063</stp>
        <tr r="V21" s="10"/>
      </tp>
      <tp t="e">
        <v>#N/A</v>
        <stp/>
        <stp>BDH|7008753242446681035</stp>
        <tr r="N35" s="21"/>
      </tp>
      <tp t="e">
        <v>#N/A</v>
        <stp/>
        <stp>BDH|9403629440849453009</stp>
        <tr r="N29" s="24"/>
      </tp>
      <tp t="e">
        <v>#N/A</v>
        <stp/>
        <stp>BDH|4471640827500695236</stp>
        <tr r="Q13" s="11"/>
      </tp>
      <tp t="e">
        <v>#N/A</v>
        <stp/>
        <stp>BDH|1083774411686616326</stp>
        <tr r="T14" s="4"/>
      </tp>
      <tp t="e">
        <v>#N/A</v>
        <stp/>
        <stp>BDH|1617616381989705433</stp>
        <tr r="Y66" s="17"/>
      </tp>
      <tp t="e">
        <v>#N/A</v>
        <stp/>
        <stp>BDH|7230214363202518379</stp>
        <tr r="R37" s="22"/>
      </tp>
      <tp t="e">
        <v>#N/A</v>
        <stp/>
        <stp>BDH|9665458206817022878</stp>
        <tr r="O11" s="21"/>
      </tp>
      <tp t="e">
        <v>#N/A</v>
        <stp/>
        <stp>BDH|5854745969884415235</stp>
        <tr r="K67" s="12"/>
      </tp>
      <tp t="e">
        <v>#N/A</v>
        <stp/>
        <stp>BDH|1059900404899496328</stp>
        <tr r="I26" s="29"/>
      </tp>
      <tp t="e">
        <v>#N/A</v>
        <stp/>
        <stp>BDH|5058566865134461058</stp>
        <tr r="Z86" s="17"/>
      </tp>
      <tp t="e">
        <v>#N/A</v>
        <stp/>
        <stp>BDH|7532729430453611233</stp>
        <tr r="O72" s="17"/>
      </tp>
      <tp t="e">
        <v>#N/A</v>
        <stp/>
        <stp>BDH|3426469946415751416</stp>
        <tr r="M139" s="18"/>
      </tp>
      <tp t="e">
        <v>#N/A</v>
        <stp/>
        <stp>BDH|2348072943304194043</stp>
        <tr r="U9" s="23"/>
      </tp>
      <tp t="e">
        <v>#N/A</v>
        <stp/>
        <stp>BDH|5903121118205952288</stp>
        <tr r="O23" s="18"/>
      </tp>
      <tp t="e">
        <v>#N/A</v>
        <stp/>
        <stp>BDH|6765002430997138040</stp>
        <tr r="T19" s="6"/>
      </tp>
      <tp t="e">
        <v>#N/A</v>
        <stp/>
        <stp>BDH|9666189328720339875</stp>
        <tr r="H71" s="24"/>
      </tp>
      <tp t="e">
        <v>#N/A</v>
        <stp/>
        <stp>BDH|1538049587643213863</stp>
        <tr r="I43" s="34"/>
      </tp>
      <tp t="e">
        <v>#N/A</v>
        <stp/>
        <stp>BDH|7380180351013818207</stp>
        <tr r="M9" s="14"/>
      </tp>
      <tp t="e">
        <v>#N/A</v>
        <stp/>
        <stp>BDH|1246432130632120633</stp>
        <tr r="AA21" s="20"/>
      </tp>
      <tp t="e">
        <v>#N/A</v>
        <stp/>
        <stp>BDH|6797087732262642589</stp>
        <tr r="H145" s="18"/>
      </tp>
      <tp t="e">
        <v>#N/A</v>
        <stp/>
        <stp>BDH|6316116042774614550</stp>
        <tr r="H20" s="12"/>
      </tp>
      <tp t="e">
        <v>#N/A</v>
        <stp/>
        <stp>BDH|1819041514022838031</stp>
        <tr r="U10" s="23"/>
      </tp>
      <tp t="e">
        <v>#N/A</v>
        <stp/>
        <stp>BDH|9445319212549152058</stp>
        <tr r="R20" s="10"/>
      </tp>
      <tp t="e">
        <v>#N/A</v>
        <stp/>
        <stp>BDH|4880048871637817662</stp>
        <tr r="I25" s="12"/>
      </tp>
      <tp t="e">
        <v>#N/A</v>
        <stp/>
        <stp>BDH|2666832844494203804</stp>
        <tr r="R146" s="18"/>
      </tp>
      <tp t="e">
        <v>#N/A</v>
        <stp/>
        <stp>BDH|3530382322645572594</stp>
        <tr r="O8" s="20"/>
        <tr r="O114" s="18"/>
      </tp>
      <tp t="e">
        <v>#N/A</v>
        <stp/>
        <stp>BDH|1612743052175129425</stp>
        <tr r="E167" s="18"/>
      </tp>
      <tp t="e">
        <v>#N/A</v>
        <stp/>
        <stp>BDH|1439715633275742224</stp>
        <tr r="M57" s="11"/>
        <tr r="M24" s="4"/>
      </tp>
      <tp t="e">
        <v>#N/A</v>
        <stp/>
        <stp>BDH|3100858762077077858</stp>
        <tr r="N43" s="26"/>
      </tp>
      <tp t="e">
        <v>#N/A</v>
        <stp/>
        <stp>BDH|9220079503863634837</stp>
        <tr r="G31" s="17"/>
      </tp>
      <tp t="e">
        <v>#N/A</v>
        <stp/>
        <stp>BDH|5340013149171064287</stp>
        <tr r="G73" s="17"/>
      </tp>
      <tp t="e">
        <v>#N/A</v>
        <stp/>
        <stp>BDH|1076894179069676552</stp>
        <tr r="U49" s="13"/>
      </tp>
      <tp t="e">
        <v>#N/A</v>
        <stp/>
        <stp>BDH|5977910792562024596</stp>
        <tr r="F11" s="13"/>
      </tp>
      <tp t="e">
        <v>#N/A</v>
        <stp/>
        <stp>BDH|9580913406412819098</stp>
        <tr r="AA79" s="18"/>
      </tp>
      <tp t="e">
        <v>#N/A</v>
        <stp/>
        <stp>BDH|1498173124555493500</stp>
        <tr r="M90" s="12"/>
      </tp>
      <tp t="e">
        <v>#N/A</v>
        <stp/>
        <stp>BDH|6574221367801008138</stp>
        <tr r="L53" s="21"/>
      </tp>
      <tp t="e">
        <v>#N/A</v>
        <stp/>
        <stp>BDH|7010807281192304711</stp>
        <tr r="O63" s="17"/>
      </tp>
      <tp t="e">
        <v>#N/A</v>
        <stp/>
        <stp>BDH|3458519856412151314</stp>
        <tr r="X70" s="12"/>
      </tp>
      <tp t="e">
        <v>#N/A</v>
        <stp/>
        <stp>BDH|7468230757160380206</stp>
        <tr r="O22" s="10"/>
      </tp>
      <tp t="e">
        <v>#N/A</v>
        <stp/>
        <stp>BDH|9223831790499478368</stp>
        <tr r="X66" s="10"/>
      </tp>
      <tp t="e">
        <v>#N/A</v>
        <stp/>
        <stp>BDH|5661821229929607486</stp>
        <tr r="K29" s="6"/>
      </tp>
      <tp t="e">
        <v>#N/A</v>
        <stp/>
        <stp>BDH|3603223746901473655</stp>
        <tr r="D7" s="27"/>
        <tr r="D94" s="17"/>
      </tp>
      <tp t="e">
        <v>#N/A</v>
        <stp/>
        <stp>BDH|7146328643627374507</stp>
        <tr r="Q11" s="14"/>
      </tp>
      <tp t="e">
        <v>#N/A</v>
        <stp/>
        <stp>BDH|2650816844915248924</stp>
        <tr r="AA75" s="17"/>
      </tp>
      <tp t="e">
        <v>#N/A</v>
        <stp/>
        <stp>BDH|4370926080023421469</stp>
        <tr r="Q18" s="18"/>
      </tp>
      <tp t="e">
        <v>#N/A</v>
        <stp/>
        <stp>BDH|6022525571932024401</stp>
        <tr r="Q65" s="11"/>
        <tr r="Q76" s="10"/>
      </tp>
      <tp t="e">
        <v>#N/A</v>
        <stp/>
        <stp>BDH|1973560461732880254</stp>
        <tr r="Z47" s="21"/>
      </tp>
      <tp t="e">
        <v>#N/A</v>
        <stp/>
        <stp>BDH|1827455335912250697</stp>
        <tr r="X37" s="12"/>
      </tp>
      <tp t="e">
        <v>#N/A</v>
        <stp/>
        <stp>BDH|6084622393572317912</stp>
        <tr r="F61" s="21"/>
        <tr r="D25" s="2"/>
      </tp>
      <tp t="e">
        <v>#N/A</v>
        <stp/>
        <stp>BDH|6614218756027126437</stp>
        <tr r="M160" s="18"/>
      </tp>
      <tp t="e">
        <v>#N/A</v>
        <stp/>
        <stp>BDH|8685906531232524211</stp>
        <tr r="T36" s="18"/>
      </tp>
      <tp t="e">
        <v>#N/A</v>
        <stp/>
        <stp>BDH|5793765307213023353</stp>
        <tr r="P34" s="26"/>
      </tp>
      <tp t="e">
        <v>#N/A</v>
        <stp/>
        <stp>BDH|5807296834375384353</stp>
        <tr r="I105" s="18"/>
      </tp>
      <tp t="e">
        <v>#N/A</v>
        <stp/>
        <stp>BDH|8392176504198630353</stp>
        <tr r="E24" s="13"/>
      </tp>
      <tp t="e">
        <v>#N/A</v>
        <stp/>
        <stp>BDH|6280770531999068946</stp>
        <tr r="K22" s="14"/>
      </tp>
      <tp t="e">
        <v>#N/A</v>
        <stp/>
        <stp>BDH|7129670601480353342</stp>
        <tr r="L32" s="12"/>
      </tp>
      <tp t="e">
        <v>#N/A</v>
        <stp/>
        <stp>BDH|3350035873944419279</stp>
        <tr r="O21" s="2"/>
      </tp>
      <tp t="e">
        <v>#N/A</v>
        <stp/>
        <stp>BDH|7547648167577407228</stp>
        <tr r="Z48" s="12"/>
      </tp>
      <tp t="e">
        <v>#N/A</v>
        <stp/>
        <stp>BDH|6675580669251271652</stp>
        <tr r="Z13" s="8"/>
      </tp>
      <tp t="e">
        <v>#N/A</v>
        <stp/>
        <stp>BDH|6247077946047727741</stp>
        <tr r="T13" s="23"/>
        <tr r="R58" s="11"/>
        <tr r="R38" s="4"/>
      </tp>
      <tp t="e">
        <v>#N/A</v>
        <stp/>
        <stp>BDH|8025861755866129129</stp>
        <tr r="Q80" s="18"/>
      </tp>
      <tp t="e">
        <v>#N/A</v>
        <stp/>
        <stp>BDH|6691046643616488651</stp>
        <tr r="Y106" s="18"/>
      </tp>
      <tp t="e">
        <v>#N/A</v>
        <stp/>
        <stp>BDH|2547915341219090459</stp>
        <tr r="F8" s="28"/>
      </tp>
      <tp t="e">
        <v>#N/A</v>
        <stp/>
        <stp>BDH|6568222411796620102</stp>
        <tr r="I77" s="17"/>
      </tp>
      <tp t="e">
        <v>#N/A</v>
        <stp/>
        <stp>BDH|7501177309384953022</stp>
        <tr r="K37" s="17"/>
      </tp>
      <tp t="e">
        <v>#N/A</v>
        <stp/>
        <stp>BDH|6732631469550478493</stp>
        <tr r="F64" s="11"/>
        <tr r="F75" s="10"/>
      </tp>
      <tp t="e">
        <v>#N/A</v>
        <stp/>
        <stp>BDH|8283177245129958698</stp>
        <tr r="S61" s="13"/>
      </tp>
      <tp t="e">
        <v>#N/A</v>
        <stp/>
        <stp>BDH|1585504360956606637</stp>
        <tr r="S17" s="22"/>
      </tp>
      <tp t="e">
        <v>#N/A</v>
        <stp/>
        <stp>BDH|2135490403187371387</stp>
        <tr r="L19" s="28"/>
        <tr r="L16" s="17"/>
      </tp>
      <tp t="e">
        <v>#N/A</v>
        <stp/>
        <stp>BDH|6333213777422323363</stp>
        <tr r="R22" s="7"/>
      </tp>
      <tp t="e">
        <v>#N/A</v>
        <stp/>
        <stp>BDH|3834210788303605875</stp>
        <tr r="U26" s="13"/>
      </tp>
      <tp t="e">
        <v>#N/A</v>
        <stp/>
        <stp>BDH|4376536315421104340</stp>
        <tr r="O17" s="18"/>
      </tp>
      <tp t="e">
        <v>#N/A</v>
        <stp/>
        <stp>BDH|2500179566037350078</stp>
        <tr r="J12" s="14"/>
      </tp>
      <tp t="e">
        <v>#N/A</v>
        <stp/>
        <stp>BDH|8345933358805186393</stp>
        <tr r="J41" s="6"/>
        <tr r="J18" s="5"/>
      </tp>
      <tp t="e">
        <v>#N/A</v>
        <stp/>
        <stp>BDH|3916606423636222387</stp>
        <tr r="T30" s="34"/>
      </tp>
      <tp t="e">
        <v>#N/A</v>
        <stp/>
        <stp>BDH|7241097471380268281</stp>
        <tr r="X78" s="18"/>
      </tp>
      <tp t="e">
        <v>#N/A</v>
        <stp/>
        <stp>BDH|9784110780735503738</stp>
        <tr r="I42" s="21"/>
      </tp>
      <tp t="e">
        <v>#N/A</v>
        <stp/>
        <stp>BDH|8642778330926409852</stp>
        <tr r="X95" s="18"/>
      </tp>
      <tp t="e">
        <v>#N/A</v>
        <stp/>
        <stp>BDH|6505621411686472527</stp>
        <tr r="V11" s="17"/>
      </tp>
      <tp t="e">
        <v>#N/A</v>
        <stp/>
        <stp>BDH|9270910187653108957</stp>
        <tr r="Z47" s="18"/>
      </tp>
      <tp t="e">
        <v>#N/A</v>
        <stp/>
        <stp>BDH|6049115902680710540</stp>
        <tr r="T19" s="13"/>
        <tr r="R65" s="10"/>
        <tr r="R32" s="4"/>
        <tr r="R16" s="2"/>
      </tp>
      <tp t="e">
        <v>#N/A</v>
        <stp/>
        <stp>BDH|7379835571318264231</stp>
        <tr r="J18" s="12"/>
      </tp>
      <tp t="e">
        <v>#N/A</v>
        <stp/>
        <stp>BDH|9050336799939211882</stp>
        <tr r="T41" s="13"/>
        <tr r="R23" s="10"/>
        <tr r="R46" s="4"/>
      </tp>
      <tp t="e">
        <v>#N/A</v>
        <stp/>
        <stp>BDH|2706699330766705396</stp>
        <tr r="J147" s="18"/>
      </tp>
      <tp t="e">
        <v>#N/A</v>
        <stp/>
        <stp>BDH|4064389069712397129</stp>
        <tr r="I25" s="29"/>
        <tr r="I19" s="29"/>
        <tr r="I10" s="29"/>
        <tr r="G6" s="9"/>
        <tr r="G6" s="5"/>
        <tr r="I12" s="8"/>
        <tr r="H6" s="2"/>
      </tp>
      <tp t="e">
        <v>#N/A</v>
        <stp/>
        <stp>BDH|8192030289786801436</stp>
        <tr r="L33" s="13"/>
        <tr r="J26" s="10"/>
      </tp>
      <tp t="e">
        <v>#N/A</v>
        <stp/>
        <stp>BDH|6059212101324751279</stp>
        <tr r="W22" s="17"/>
        <tr r="W15" s="3"/>
      </tp>
      <tp t="e">
        <v>#N/A</v>
        <stp/>
        <stp>BDH|1956959799806496516</stp>
        <tr r="L19" s="25"/>
      </tp>
      <tp t="e">
        <v>#N/A</v>
        <stp/>
        <stp>BDH|6631973638876000893</stp>
        <tr r="P58" s="17"/>
      </tp>
      <tp t="e">
        <v>#N/A</v>
        <stp/>
        <stp>BDH|3813623271954841435</stp>
        <tr r="W25" s="21"/>
      </tp>
      <tp t="e">
        <v>#N/A</v>
        <stp/>
        <stp>BDH|5756116076654292526</stp>
        <tr r="I10" s="24"/>
      </tp>
      <tp t="e">
        <v>#N/A</v>
        <stp/>
        <stp>BDH|6415329948082607182</stp>
        <tr r="D13" s="9"/>
      </tp>
      <tp t="e">
        <v>#N/A</v>
        <stp/>
        <stp>BDH|2387716144131001262</stp>
        <tr r="AA9" s="13"/>
      </tp>
      <tp t="e">
        <v>#N/A</v>
        <stp/>
        <stp>BDH|7624376362919502960</stp>
        <tr r="P29" s="24"/>
      </tp>
      <tp t="e">
        <v>#N/A</v>
        <stp/>
        <stp>BDH|2850372824809835831</stp>
        <tr r="N45" s="13"/>
        <tr r="L40" s="10"/>
        <tr r="L29" s="11"/>
      </tp>
      <tp t="e">
        <v>#N/A</v>
        <stp/>
        <stp>BDH|3086611892228572661</stp>
        <tr r="J61" s="12"/>
      </tp>
      <tp t="e">
        <v>#N/A</v>
        <stp/>
        <stp>BDH|1359838061329974485</stp>
        <tr r="F32" s="17"/>
      </tp>
      <tp t="e">
        <v>#N/A</v>
        <stp/>
        <stp>BDH|5417059965809597815</stp>
        <tr r="R19" s="11"/>
      </tp>
      <tp t="e">
        <v>#N/A</v>
        <stp/>
        <stp>BDH|9159223281684284507</stp>
        <tr r="L38" s="29"/>
        <tr r="L15" s="29"/>
      </tp>
      <tp t="e">
        <v>#N/A</v>
        <stp/>
        <stp>BDH|4367676189669483191</stp>
        <tr r="K20" s="26"/>
      </tp>
      <tp t="e">
        <v>#N/A</v>
        <stp/>
        <stp>BDH|1786078922085669449</stp>
        <tr r="F133" s="18"/>
      </tp>
      <tp t="e">
        <v>#N/A</v>
        <stp/>
        <stp>BDH|2992571458507708712</stp>
        <tr r="Y43" s="26"/>
      </tp>
      <tp t="e">
        <v>#N/A</v>
        <stp/>
        <stp>BDH|9056900625995771524</stp>
        <tr r="X62" s="24"/>
      </tp>
      <tp t="e">
        <v>#N/A</v>
        <stp/>
        <stp>BDH|4133208720682415453</stp>
        <tr r="F27" s="11"/>
        <tr r="F38" s="10"/>
      </tp>
      <tp t="e">
        <v>#N/A</v>
        <stp/>
        <stp>BDH|5237667312144725419</stp>
        <tr r="G27" s="7"/>
      </tp>
      <tp t="e">
        <v>#N/A</v>
        <stp/>
        <stp>BDH|1013213775075783334</stp>
        <tr r="Q16" s="28"/>
        <tr r="Q13" s="17"/>
      </tp>
      <tp t="e">
        <v>#N/A</v>
        <stp/>
        <stp>BDH|2400335514072093032</stp>
        <tr r="AA19" s="25"/>
      </tp>
      <tp t="e">
        <v>#N/A</v>
        <stp/>
        <stp>BDH|5757275418887929314</stp>
        <tr r="F43" s="34"/>
      </tp>
      <tp t="e">
        <v>#N/A</v>
        <stp/>
        <stp>BDH|6593641801752733072</stp>
        <tr r="R105" s="18"/>
      </tp>
      <tp t="e">
        <v>#N/A</v>
        <stp/>
        <stp>BDH|8741857141281276718</stp>
        <tr r="V13" s="30"/>
      </tp>
      <tp t="e">
        <v>#N/A</v>
        <stp/>
        <stp>BDH|9582625597080615462</stp>
        <tr r="C6" s="20"/>
        <tr r="C112" s="18"/>
      </tp>
      <tp t="e">
        <v>#N/A</v>
        <stp/>
        <stp>BDH|7887153315476987307</stp>
        <tr r="K17" s="13"/>
      </tp>
      <tp t="e">
        <v>#N/A</v>
        <stp/>
        <stp>BDH|1514017342312775502</stp>
        <tr r="O28" s="14"/>
      </tp>
      <tp t="e">
        <v>#N/A</v>
        <stp/>
        <stp>BDH|2324696020966996227</stp>
        <tr r="L8" s="10"/>
      </tp>
      <tp t="e">
        <v>#N/A</v>
        <stp/>
        <stp>BDH|1050647155340647066</stp>
        <tr r="R158" s="18"/>
      </tp>
      <tp t="e">
        <v>#N/A</v>
        <stp/>
        <stp>BDH|9855372690451739093</stp>
        <tr r="E10" s="21"/>
      </tp>
      <tp t="e">
        <v>#N/A</v>
        <stp/>
        <stp>BDH|3243703067544271460</stp>
        <tr r="U43" s="24"/>
      </tp>
      <tp t="e">
        <v>#N/A</v>
        <stp/>
        <stp>BDH|2830960690531945167</stp>
        <tr r="D128" s="18"/>
      </tp>
      <tp t="e">
        <v>#N/A</v>
        <stp/>
        <stp>BDH|4855337547661936042</stp>
        <tr r="I61" s="24"/>
      </tp>
      <tp t="e">
        <v>#N/A</v>
        <stp/>
        <stp>BDH|3015608804783026458</stp>
        <tr r="O26" s="13"/>
      </tp>
      <tp t="e">
        <v>#N/A</v>
        <stp/>
        <stp>BDH|4099348535244962291</stp>
        <tr r="N11" s="22"/>
      </tp>
      <tp t="e">
        <v>#N/A</v>
        <stp/>
        <stp>BDH|1744837551258348672</stp>
        <tr r="Y10" s="23"/>
      </tp>
      <tp t="e">
        <v>#N/A</v>
        <stp/>
        <stp>BDH|6181731152507525148</stp>
        <tr r="I41" s="21"/>
      </tp>
      <tp t="e">
        <v>#N/A</v>
        <stp/>
        <stp>BDH|5721304743784128445</stp>
        <tr r="O13" s="24"/>
      </tp>
      <tp t="e">
        <v>#N/A</v>
        <stp/>
        <stp>BDH|1650753123646746062</stp>
        <tr r="V164" s="18"/>
      </tp>
      <tp t="e">
        <v>#N/A</v>
        <stp/>
        <stp>BDH|8919084170334957995</stp>
        <tr r="I21" s="6"/>
      </tp>
      <tp t="e">
        <v>#N/A</v>
        <stp/>
        <stp>BDH|1099772912052711733</stp>
        <tr r="O10" s="14"/>
      </tp>
      <tp t="e">
        <v>#N/A</v>
        <stp/>
        <stp>BDH|3545314715037607468</stp>
        <tr r="S6" s="19"/>
        <tr r="S38" s="17"/>
        <tr r="S16" s="3"/>
      </tp>
      <tp t="e">
        <v>#N/A</v>
        <stp/>
        <stp>BDH|8499594090556515091</stp>
        <tr r="G94" s="12"/>
      </tp>
      <tp t="e">
        <v>#N/A</v>
        <stp/>
        <stp>BDH|1867488344300111347</stp>
        <tr r="M75" s="17"/>
      </tp>
      <tp t="e">
        <v>#N/A</v>
        <stp/>
        <stp>BDH|1888549365872170295</stp>
        <tr r="F24" s="29"/>
      </tp>
      <tp t="e">
        <v>#N/A</v>
        <stp/>
        <stp>BDH|8744221996124766559</stp>
        <tr r="U40" s="29"/>
        <tr r="U17" s="29"/>
      </tp>
      <tp t="e">
        <v>#N/A</v>
        <stp/>
        <stp>BDH|4748564607274182761</stp>
        <tr r="Q68" s="17"/>
      </tp>
      <tp t="e">
        <v>#N/A</v>
        <stp/>
        <stp>BDH|7850711085322959849</stp>
        <tr r="D21" s="17"/>
      </tp>
      <tp t="e">
        <v>#N/A</v>
        <stp/>
        <stp>BDH|3342723274932005344</stp>
        <tr r="I91" s="18"/>
      </tp>
      <tp t="e">
        <v>#N/A</v>
        <stp/>
        <stp>BDH|6579224887299939788</stp>
        <tr r="M55" s="13"/>
      </tp>
      <tp t="e">
        <v>#N/A</v>
        <stp/>
        <stp>BDH|9356325883553072338</stp>
        <tr r="F26" s="22"/>
      </tp>
      <tp t="e">
        <v>#N/A</v>
        <stp/>
        <stp>BDH|1061281310033021398</stp>
        <tr r="M24" s="29"/>
      </tp>
      <tp t="e">
        <v>#N/A</v>
        <stp/>
        <stp>BDH|3212512654618689900</stp>
        <tr r="S60" s="12"/>
      </tp>
      <tp t="e">
        <v>#N/A</v>
        <stp/>
        <stp>BDH|5711638315356427644</stp>
        <tr r="M41" s="34"/>
      </tp>
      <tp t="e">
        <v>#N/A</v>
        <stp/>
        <stp>BDH|6580105380099084449</stp>
        <tr r="N33" s="18"/>
      </tp>
      <tp t="e">
        <v>#N/A</v>
        <stp/>
        <stp>BDH|2564009513786160762</stp>
        <tr r="P20" s="26"/>
      </tp>
      <tp t="e">
        <v>#N/A</v>
        <stp/>
        <stp>BDH|3064594126135697385</stp>
        <tr r="E15" s="25"/>
      </tp>
      <tp t="e">
        <v>#N/A</v>
        <stp/>
        <stp>BDH|6684321112242473433</stp>
        <tr r="K83" s="12"/>
      </tp>
      <tp t="e">
        <v>#N/A</v>
        <stp/>
        <stp>BDH|2662031830037205468</stp>
        <tr r="E9" s="24"/>
      </tp>
      <tp t="e">
        <v>#N/A</v>
        <stp/>
        <stp>BDH|5308722611144754569</stp>
        <tr r="Q63" s="18"/>
      </tp>
      <tp t="e">
        <v>#N/A</v>
        <stp/>
        <stp>BDH|6945649878165173054</stp>
        <tr r="Y84" s="17"/>
        <tr r="W6" s="7"/>
        <tr r="Y20" s="3"/>
      </tp>
      <tp t="e">
        <v>#N/A</v>
        <stp/>
        <stp>BDH|1521669413256629275</stp>
        <tr r="N8" s="18"/>
      </tp>
      <tp t="e">
        <v>#N/A</v>
        <stp/>
        <stp>BDH|6331404551591044438</stp>
        <tr r="T13" s="7"/>
      </tp>
      <tp t="e">
        <v>#N/A</v>
        <stp/>
        <stp>BDH|8677833491649312212</stp>
        <tr r="Z57" s="24"/>
      </tp>
      <tp t="e">
        <v>#N/A</v>
        <stp/>
        <stp>BDH|6081577363624303318</stp>
        <tr r="T9" s="25"/>
        <tr r="T44" s="17"/>
      </tp>
      <tp t="e">
        <v>#N/A</v>
        <stp/>
        <stp>BDH|6410015148312308286</stp>
        <tr r="N13" s="22"/>
      </tp>
      <tp t="e">
        <v>#N/A</v>
        <stp/>
        <stp>BDH|8358366946014430910</stp>
        <tr r="C9" s="8"/>
      </tp>
      <tp t="e">
        <v>#N/A</v>
        <stp/>
        <stp>BDH|5729001895059606723</stp>
        <tr r="S135" s="18"/>
      </tp>
      <tp t="e">
        <v>#N/A</v>
        <stp/>
        <stp>BDH|1355054522206048727</stp>
        <tr r="F63" s="17"/>
      </tp>
      <tp t="e">
        <v>#N/A</v>
        <stp/>
        <stp>BDH|7738742874370931582</stp>
        <tr r="E94" s="18"/>
      </tp>
      <tp t="e">
        <v>#N/A</v>
        <stp/>
        <stp>BDH|5362473266860187556</stp>
        <tr r="Q26" s="7"/>
      </tp>
      <tp t="e">
        <v>#N/A</v>
        <stp/>
        <stp>BDH|2582905492879003916</stp>
        <tr r="N23" s="18"/>
      </tp>
      <tp t="e">
        <v>#N/A</v>
        <stp/>
        <stp>BDH|9579901236734426510</stp>
        <tr r="Z40" s="18"/>
      </tp>
      <tp t="e">
        <v>#N/A</v>
        <stp/>
        <stp>BDH|1331253753370561467</stp>
        <tr r="Y78" s="18"/>
      </tp>
      <tp t="e">
        <v>#N/A</v>
        <stp/>
        <stp>BDH|3407521308040961415</stp>
        <tr r="G162" s="18"/>
      </tp>
      <tp t="e">
        <v>#N/A</v>
        <stp/>
        <stp>BDH|6261591672354753283</stp>
        <tr r="C56" s="11"/>
      </tp>
      <tp t="e">
        <v>#N/A</v>
        <stp/>
        <stp>BDH|7840446197961572989</stp>
        <tr r="K15" s="21"/>
      </tp>
      <tp t="e">
        <v>#N/A</v>
        <stp/>
        <stp>BDH|5705554177526261312</stp>
        <tr r="U69" s="12"/>
      </tp>
      <tp t="e">
        <v>#N/A</v>
        <stp/>
        <stp>BDH|6755070523663611537</stp>
        <tr r="U10" s="25"/>
        <tr r="U55" s="17"/>
      </tp>
      <tp t="e">
        <v>#N/A</v>
        <stp/>
        <stp>BDH|4589413207955710726</stp>
        <tr r="P26" s="6"/>
      </tp>
      <tp t="e">
        <v>#N/A</v>
        <stp/>
        <stp>BDH|1145164601067323536</stp>
        <tr r="K8" s="12"/>
      </tp>
      <tp t="e">
        <v>#N/A</v>
        <stp/>
        <stp>BDH|9367689624316012999</stp>
        <tr r="T6" s="19"/>
        <tr r="T38" s="17"/>
        <tr r="T16" s="3"/>
      </tp>
      <tp t="e">
        <v>#N/A</v>
        <stp/>
        <stp>BDH|1413809280500397313</stp>
        <tr r="H86" s="18"/>
      </tp>
      <tp t="e">
        <v>#N/A</v>
        <stp/>
        <stp>BDH|6180672565227096356</stp>
        <tr r="X35" s="34"/>
      </tp>
      <tp t="e">
        <v>#N/A</v>
        <stp/>
        <stp>BDH|7569030308737847202</stp>
        <tr r="P41" s="26"/>
      </tp>
      <tp t="e">
        <v>#N/A</v>
        <stp/>
        <stp>BDH|5580005864628340948</stp>
        <tr r="H29" s="34"/>
      </tp>
      <tp t="e">
        <v>#N/A</v>
        <stp/>
        <stp>BDH|6441260514014831381</stp>
        <tr r="U17" s="12"/>
      </tp>
      <tp t="e">
        <v>#N/A</v>
        <stp/>
        <stp>BDH|9942036150109406785</stp>
        <tr r="E6" s="15"/>
        <tr r="E6" s="10"/>
        <tr r="E11" s="4"/>
        <tr r="E12" s="2"/>
      </tp>
      <tp t="e">
        <v>#N/A</v>
        <stp/>
        <stp>BDH|1626865933518279073</stp>
        <tr r="E22" s="27"/>
      </tp>
      <tp t="e">
        <v>#N/A</v>
        <stp/>
        <stp>BDH|4136162273589042926</stp>
        <tr r="P75" s="17"/>
      </tp>
      <tp t="e">
        <v>#N/A</v>
        <stp/>
        <stp>BDH|9029333243219604505</stp>
        <tr r="D172" s="18"/>
      </tp>
      <tp t="e">
        <v>#N/A</v>
        <stp/>
        <stp>BDH|2947443498294231910</stp>
        <tr r="I74" s="24"/>
      </tp>
      <tp t="e">
        <v>#N/A</v>
        <stp/>
        <stp>BDH|4712045374229371828</stp>
        <tr r="M12" s="22"/>
      </tp>
      <tp t="e">
        <v>#N/A</v>
        <stp/>
        <stp>BDH|4337654411959739864</stp>
        <tr r="F45" s="12"/>
      </tp>
      <tp t="e">
        <v>#N/A</v>
        <stp/>
        <stp>BDH|4295656930641052215</stp>
        <tr r="M40" s="12"/>
      </tp>
      <tp t="e">
        <v>#N/A</v>
        <stp/>
        <stp>BDH|6179352861684133529</stp>
        <tr r="U16" s="20"/>
      </tp>
      <tp t="e">
        <v>#N/A</v>
        <stp/>
        <stp>BDH|6780435078984855329</stp>
        <tr r="AA29" s="17"/>
      </tp>
      <tp t="e">
        <v>#N/A</v>
        <stp/>
        <stp>BDH|7198181900197761387</stp>
        <tr r="L15" s="30"/>
      </tp>
      <tp t="e">
        <v>#N/A</v>
        <stp/>
        <stp>BDH|2920019743367547387</stp>
        <tr r="P44" s="12"/>
      </tp>
      <tp t="e">
        <v>#N/A</v>
        <stp/>
        <stp>BDH|6044508450712369656</stp>
        <tr r="H23" s="22"/>
      </tp>
      <tp t="e">
        <v>#N/A</v>
        <stp/>
        <stp>BDH|6644933439377882926</stp>
        <tr r="F27" s="6"/>
      </tp>
      <tp t="e">
        <v>#N/A</v>
        <stp/>
        <stp>BDH|4267962233344037819</stp>
        <tr r="X25" s="7"/>
      </tp>
      <tp t="e">
        <v>#N/A</v>
        <stp/>
        <stp>BDH|6988851572793104893</stp>
        <tr r="I38" s="24"/>
      </tp>
      <tp t="e">
        <v>#N/A</v>
        <stp/>
        <stp>BDH|3354059628942082181</stp>
        <tr r="T17" s="24"/>
      </tp>
      <tp t="e">
        <v>#N/A</v>
        <stp/>
        <stp>BDH|5687386058976132718</stp>
        <tr r="U25" s="18"/>
      </tp>
      <tp t="e">
        <v>#N/A</v>
        <stp/>
        <stp>BDH|8598990136610926051</stp>
        <tr r="H14" s="11"/>
      </tp>
      <tp t="e">
        <v>#N/A</v>
        <stp/>
        <stp>BDH|4732136210811017723</stp>
        <tr r="L13" s="13"/>
      </tp>
      <tp t="e">
        <v>#N/A</v>
        <stp/>
        <stp>BDH|5799373627550915681</stp>
        <tr r="L66" s="12"/>
      </tp>
      <tp t="e">
        <v>#N/A</v>
        <stp/>
        <stp>BDH|8360800256910369706</stp>
        <tr r="Q47" s="21"/>
      </tp>
      <tp t="e">
        <v>#N/A</v>
        <stp/>
        <stp>BDH|7431675054827307120</stp>
        <tr r="L34" s="11"/>
        <tr r="L45" s="10"/>
      </tp>
      <tp t="e">
        <v>#N/A</v>
        <stp/>
        <stp>BDH|5794966250269011272</stp>
        <tr r="K55" s="12"/>
      </tp>
      <tp t="e">
        <v>#N/A</v>
        <stp/>
        <stp>BDH|5142016009963806475</stp>
        <tr r="L68" s="18"/>
      </tp>
      <tp t="e">
        <v>#N/A</v>
        <stp/>
        <stp>BDH|8409319886090409108</stp>
        <tr r="L55" s="18"/>
      </tp>
      <tp t="e">
        <v>#N/A</v>
        <stp/>
        <stp>BDH|9563756170363007872</stp>
        <tr r="AA16" s="21"/>
      </tp>
      <tp t="e">
        <v>#N/A</v>
        <stp/>
        <stp>BDH|1037037836718561874</stp>
        <tr r="T121" s="18"/>
      </tp>
      <tp t="e">
        <v>#N/A</v>
        <stp/>
        <stp>BDH|9131203899270657096</stp>
        <tr r="I30" s="9"/>
      </tp>
      <tp t="e">
        <v>#N/A</v>
        <stp/>
        <stp>BDH|7801125462640870274</stp>
        <tr r="E70" s="10"/>
      </tp>
      <tp t="e">
        <v>#N/A</v>
        <stp/>
        <stp>BDH|6662458513515285450</stp>
        <tr r="R17" s="14"/>
      </tp>
      <tp t="e">
        <v>#N/A</v>
        <stp/>
        <stp>BDH|6964009853270878159</stp>
        <tr r="F20" s="21"/>
      </tp>
      <tp t="e">
        <v>#N/A</v>
        <stp/>
        <stp>BDH|6581154540826568721</stp>
        <tr r="R24" s="13"/>
      </tp>
      <tp t="e">
        <v>#N/A</v>
        <stp/>
        <stp>BDH|8742930911111041322</stp>
        <tr r="L59" s="24"/>
      </tp>
      <tp t="e">
        <v>#N/A</v>
        <stp/>
        <stp>BDH|5667763603154367470</stp>
        <tr r="J30" s="22"/>
      </tp>
      <tp t="e">
        <v>#N/A</v>
        <stp/>
        <stp>BDH|9871747566388473296</stp>
        <tr r="D12" s="13"/>
      </tp>
      <tp t="e">
        <v>#N/A</v>
        <stp/>
        <stp>BDH|4274698389271068959</stp>
        <tr r="X14" s="28"/>
      </tp>
      <tp t="e">
        <v>#N/A</v>
        <stp/>
        <stp>BDH|2710402860184975690</stp>
        <tr r="S30" s="26"/>
      </tp>
      <tp t="e">
        <v>#N/A</v>
        <stp/>
        <stp>BDH|8941090140836011878</stp>
        <tr r="N150" s="18"/>
      </tp>
      <tp t="e">
        <v>#N/A</v>
        <stp/>
        <stp>BDH|5263967093150835786</stp>
        <tr r="X23" s="9"/>
      </tp>
      <tp t="e">
        <v>#N/A</v>
        <stp/>
        <stp>BDH|8341412383751413724</stp>
        <tr r="J99" s="12"/>
      </tp>
      <tp t="e">
        <v>#N/A</v>
        <stp/>
        <stp>BDH|7094429950086067252</stp>
        <tr r="Y9" s="22"/>
      </tp>
      <tp t="e">
        <v>#N/A</v>
        <stp/>
        <stp>BDH|7422666346362535560</stp>
        <tr r="V18" s="13"/>
      </tp>
      <tp t="e">
        <v>#N/A</v>
        <stp/>
        <stp>BDH|9264437305477564864</stp>
        <tr r="N87" s="17"/>
      </tp>
      <tp t="e">
        <v>#N/A</v>
        <stp/>
        <stp>BDH|6030482403442461284</stp>
        <tr r="M80" s="18"/>
      </tp>
      <tp t="e">
        <v>#N/A</v>
        <stp/>
        <stp>BDH|4431194873451853111</stp>
        <tr r="G8" s="13"/>
      </tp>
      <tp t="e">
        <v>#N/A</v>
        <stp/>
        <stp>BDH|8902628722837849963</stp>
        <tr r="D30" s="22"/>
      </tp>
      <tp t="e">
        <v>#N/A</v>
        <stp/>
        <stp>BDH|6056464141197547353</stp>
        <tr r="V14" s="12"/>
      </tp>
      <tp t="e">
        <v>#N/A</v>
        <stp/>
        <stp>BDH|1334219381070144958</stp>
        <tr r="K33" s="5"/>
      </tp>
      <tp t="e">
        <v>#N/A</v>
        <stp/>
        <stp>BDH|3999309942513535590</stp>
        <tr r="Q21" s="3"/>
      </tp>
      <tp t="e">
        <v>#N/A</v>
        <stp/>
        <stp>BDH|5782212319045052189</stp>
        <tr r="L27" s="17"/>
      </tp>
      <tp t="e">
        <v>#N/A</v>
        <stp/>
        <stp>BDH|3992083541044440138</stp>
        <tr r="G53" s="17"/>
      </tp>
      <tp t="e">
        <v>#N/A</v>
        <stp/>
        <stp>BDH|3417580959371027026</stp>
        <tr r="L54" s="10"/>
        <tr r="L43" s="11"/>
        <tr r="L14" s="7"/>
        <tr r="N9" s="3"/>
      </tp>
      <tp t="e">
        <v>#N/A</v>
        <stp/>
        <stp>BDH|6894608050801663696</stp>
        <tr r="T20" s="28"/>
        <tr r="T17" s="17"/>
      </tp>
      <tp t="e">
        <v>#N/A</v>
        <stp/>
        <stp>BDH|1298920103559770332</stp>
        <tr r="Q51" s="12"/>
      </tp>
      <tp t="e">
        <v>#N/A</v>
        <stp/>
        <stp>BDH|7292656674443358777</stp>
        <tr r="AA77" s="24"/>
      </tp>
      <tp t="e">
        <v>#N/A</v>
        <stp/>
        <stp>BDH|5681790550136881309</stp>
        <tr r="F30" s="14"/>
      </tp>
      <tp t="e">
        <v>#N/A</v>
        <stp/>
        <stp>BDH|6779200750046665569</stp>
        <tr r="I68" s="24"/>
      </tp>
      <tp t="e">
        <v>#N/A</v>
        <stp/>
        <stp>BDH|3292864283255604464</stp>
        <tr r="T20" s="29"/>
      </tp>
      <tp t="e">
        <v>#N/A</v>
        <stp/>
        <stp>BDH|2623679804034306210</stp>
        <tr r="S9" s="23"/>
      </tp>
      <tp t="e">
        <v>#N/A</v>
        <stp/>
        <stp>BDH|1249456061253427259</stp>
        <tr r="H71" s="17"/>
      </tp>
      <tp t="e">
        <v>#N/A</v>
        <stp/>
        <stp>BDH|7040910887993004710</stp>
        <tr r="T174" s="18"/>
      </tp>
      <tp t="e">
        <v>#N/A</v>
        <stp/>
        <stp>BDH|7065091249396619718</stp>
        <tr r="V47" s="17"/>
      </tp>
      <tp t="e">
        <v>#N/A</v>
        <stp/>
        <stp>BDH|4291766107003463204</stp>
        <tr r="T53" s="17"/>
      </tp>
      <tp t="e">
        <v>#N/A</v>
        <stp/>
        <stp>BDH|3606257642853109472</stp>
        <tr r="F22" s="25"/>
      </tp>
      <tp t="e">
        <v>#N/A</v>
        <stp/>
        <stp>BDH|4606233902700286421</stp>
        <tr r="G61" s="11"/>
      </tp>
      <tp t="e">
        <v>#N/A</v>
        <stp/>
        <stp>BDH|6034969127767679807</stp>
        <tr r="X12" s="17"/>
      </tp>
      <tp t="e">
        <v>#N/A</v>
        <stp/>
        <stp>BDH|6193844482746402246</stp>
        <tr r="T46" s="6"/>
        <tr r="T19" s="5"/>
      </tp>
      <tp t="e">
        <v>#N/A</v>
        <stp/>
        <stp>BDH|4427078774769939892</stp>
        <tr r="H42" s="26"/>
      </tp>
      <tp t="e">
        <v>#N/A</v>
        <stp/>
        <stp>BDH|8598955314967334509</stp>
        <tr r="J138" s="18"/>
      </tp>
      <tp t="e">
        <v>#N/A</v>
        <stp/>
        <stp>BDH|3669549270487509405</stp>
        <tr r="F20" s="18"/>
      </tp>
      <tp t="e">
        <v>#N/A</v>
        <stp/>
        <stp>BDH|6414309483027278821</stp>
        <tr r="Y37" s="17"/>
      </tp>
      <tp t="e">
        <v>#N/A</v>
        <stp/>
        <stp>BDH|6989324669226067756</stp>
        <tr r="R22" s="11"/>
      </tp>
      <tp t="e">
        <v>#N/A</v>
        <stp/>
        <stp>BDH|7635076554070231037</stp>
        <tr r="G39" s="13"/>
        <tr r="E32" s="10"/>
      </tp>
      <tp t="e">
        <v>#N/A</v>
        <stp/>
        <stp>BDH|2169757852637173531</stp>
        <tr r="O17" s="9"/>
      </tp>
      <tp t="e">
        <v>#N/A</v>
        <stp/>
        <stp>BDH|5676515522342715261</stp>
        <tr r="O18" s="6"/>
      </tp>
      <tp t="e">
        <v>#N/A</v>
        <stp/>
        <stp>BDH|9507839467932012750</stp>
        <tr r="F18" s="25"/>
      </tp>
      <tp t="e">
        <v>#N/A</v>
        <stp/>
        <stp>BDH|1667601564447425420</stp>
        <tr r="U6" s="28"/>
      </tp>
      <tp t="e">
        <v>#N/A</v>
        <stp/>
        <stp>BDH|1480409972700275000</stp>
        <tr r="F29" s="18"/>
      </tp>
      <tp t="e">
        <v>#N/A</v>
        <stp/>
        <stp>BDH|8472560082243246461</stp>
        <tr r="E29" s="21"/>
      </tp>
      <tp t="e">
        <v>#N/A</v>
        <stp/>
        <stp>BDH|6503051844414149411</stp>
        <tr r="C19" s="17"/>
      </tp>
      <tp t="e">
        <v>#N/A</v>
        <stp/>
        <stp>BDH|7465675155347619141</stp>
        <tr r="G96" s="18"/>
      </tp>
      <tp t="e">
        <v>#N/A</v>
        <stp/>
        <stp>BDH|7017257924154631134</stp>
        <tr r="Q35" s="12"/>
      </tp>
      <tp t="e">
        <v>#N/A</v>
        <stp/>
        <stp>BDH|3432144250574103151</stp>
        <tr r="O88" s="17"/>
      </tp>
      <tp t="e">
        <v>#N/A</v>
        <stp/>
        <stp>BDH|6320623845081374735</stp>
        <tr r="X69" s="10"/>
        <tr r="X39" s="4"/>
      </tp>
      <tp t="e">
        <v>#N/A</v>
        <stp/>
        <stp>BDH|6364990909314614917</stp>
        <tr r="H39" s="13"/>
        <tr r="F32" s="10"/>
      </tp>
      <tp t="e">
        <v>#N/A</v>
        <stp/>
        <stp>BDH|1905229818231615119</stp>
        <tr r="Y54" s="24"/>
      </tp>
      <tp t="e">
        <v>#N/A</v>
        <stp/>
        <stp>BDH|3883181571856567105</stp>
        <tr r="E12" s="13"/>
      </tp>
      <tp t="e">
        <v>#N/A</v>
        <stp/>
        <stp>BDH|7937406321246851540</stp>
        <tr r="C71" s="12"/>
      </tp>
      <tp t="e">
        <v>#N/A</v>
        <stp/>
        <stp>BDH|2003315643305676203</stp>
        <tr r="I30" s="17"/>
      </tp>
      <tp t="e">
        <v>#N/A</v>
        <stp/>
        <stp>BDH|1269541877796506702</stp>
        <tr r="V43" s="22"/>
      </tp>
      <tp t="e">
        <v>#N/A</v>
        <stp/>
        <stp>BDH|9355593490222942575</stp>
        <tr r="J45" s="34"/>
      </tp>
      <tp t="e">
        <v>#N/A</v>
        <stp/>
        <stp>BDH|7945209808462448518</stp>
        <tr r="Y18" s="12"/>
      </tp>
      <tp t="e">
        <v>#N/A</v>
        <stp/>
        <stp>BDH|9169144001922478849</stp>
        <tr r="M56" s="24"/>
      </tp>
      <tp t="e">
        <v>#N/A</v>
        <stp/>
        <stp>BDH|1238557637427602225</stp>
        <tr r="M81" s="12"/>
      </tp>
      <tp t="e">
        <v>#N/A</v>
        <stp/>
        <stp>BDH|7368145996569111443</stp>
        <tr r="N39" s="6"/>
      </tp>
      <tp t="e">
        <v>#N/A</v>
        <stp/>
        <stp>BDH|2426578754694388400</stp>
        <tr r="Z62" s="24"/>
      </tp>
      <tp t="e">
        <v>#N/A</v>
        <stp/>
        <stp>BDH|1266100158981630688</stp>
        <tr r="F46" s="34"/>
      </tp>
      <tp t="e">
        <v>#N/A</v>
        <stp/>
        <stp>BDH|2669274743082772412</stp>
        <tr r="D6" s="19"/>
        <tr r="D38" s="17"/>
        <tr r="D16" s="3"/>
      </tp>
      <tp t="e">
        <v>#N/A</v>
        <stp/>
        <stp>BDH|3492435567940613323</stp>
        <tr r="E72" s="24"/>
      </tp>
      <tp t="e">
        <v>#N/A</v>
        <stp/>
        <stp>BDH|8781007146256595803</stp>
        <tr r="C30" s="9"/>
      </tp>
      <tp t="e">
        <v>#N/A</v>
        <stp/>
        <stp>BDH|9164289405921911810</stp>
        <tr r="G37" s="10"/>
        <tr r="G26" s="11"/>
      </tp>
      <tp t="e">
        <v>#N/A</v>
        <stp/>
        <stp>BDH|8392962092982506865</stp>
        <tr r="Y8" s="11"/>
      </tp>
      <tp t="e">
        <v>#N/A</v>
        <stp/>
        <stp>BDH|2617863810091148851</stp>
        <tr r="J24" s="20"/>
      </tp>
      <tp t="e">
        <v>#N/A</v>
        <stp/>
        <stp>BDH|9328122605128902296</stp>
        <tr r="G58" s="17"/>
      </tp>
      <tp t="e">
        <v>#N/A</v>
        <stp/>
        <stp>BDH|8572170590436631406</stp>
        <tr r="Z24" s="26"/>
      </tp>
      <tp t="e">
        <v>#N/A</v>
        <stp/>
        <stp>BDH|2702400755604764516</stp>
        <tr r="L16" s="23"/>
      </tp>
      <tp t="e">
        <v>#N/A</v>
        <stp/>
        <stp>BDH|1128045876742580621</stp>
        <tr r="D27" s="21"/>
      </tp>
      <tp t="e">
        <v>#N/A</v>
        <stp/>
        <stp>BDH|1617987181415381783</stp>
        <tr r="Q153" s="18"/>
      </tp>
      <tp t="e">
        <v>#N/A</v>
        <stp/>
        <stp>BDH|6299624705505648775</stp>
        <tr r="F56" s="18"/>
      </tp>
      <tp t="e">
        <v>#N/A</v>
        <stp/>
        <stp>BDH|1907580473886267747</stp>
        <tr r="O16" s="22"/>
      </tp>
      <tp t="e">
        <v>#N/A</v>
        <stp/>
        <stp>BDH|9104252980249290820</stp>
        <tr r="W158" s="18"/>
      </tp>
      <tp t="e">
        <v>#N/A</v>
        <stp/>
        <stp>BDH|8540745190872553604</stp>
        <tr r="H23" s="12"/>
      </tp>
      <tp t="e">
        <v>#N/A</v>
        <stp/>
        <stp>BDH|1287667166307678403</stp>
        <tr r="L50" s="13"/>
      </tp>
      <tp t="e">
        <v>#N/A</v>
        <stp/>
        <stp>BDH|2006768057375622732</stp>
        <tr r="X34" s="22"/>
      </tp>
      <tp t="e">
        <v>#N/A</v>
        <stp/>
        <stp>BDH|1250103362592504618</stp>
        <tr r="E24" s="12"/>
      </tp>
      <tp t="e">
        <v>#N/A</v>
        <stp/>
        <stp>BDH|2313814668969744792</stp>
        <tr r="AA48" s="13"/>
      </tp>
      <tp t="e">
        <v>#N/A</v>
        <stp/>
        <stp>BDH|3111043644842043754</stp>
        <tr r="M13" s="8"/>
      </tp>
      <tp t="e">
        <v>#N/A</v>
        <stp/>
        <stp>BDH|9857819153312656480</stp>
        <tr r="AA111" s="18"/>
      </tp>
      <tp t="e">
        <v>#N/A</v>
        <stp/>
        <stp>BDH|3020125336957224426</stp>
        <tr r="E6" s="16"/>
        <tr r="F6" s="11"/>
        <tr r="H6" s="3"/>
        <tr r="F10" s="4"/>
      </tp>
      <tp t="e">
        <v>#N/A</v>
        <stp/>
        <stp>BDH|7588002861607772471</stp>
        <tr r="Y95" s="12"/>
      </tp>
      <tp t="e">
        <v>#N/A</v>
        <stp/>
        <stp>BDH|9883817603544943774</stp>
        <tr r="G49" s="4"/>
      </tp>
      <tp t="e">
        <v>#N/A</v>
        <stp/>
        <stp>BDH|7439404643732597763</stp>
        <tr r="R8" s="24"/>
      </tp>
      <tp t="e">
        <v>#N/A</v>
        <stp/>
        <stp>BDH|1202088655091219794</stp>
        <tr r="M41" s="17"/>
      </tp>
      <tp t="e">
        <v>#N/A</v>
        <stp/>
        <stp>BDH|8667834484873331964</stp>
        <tr r="N45" s="18"/>
      </tp>
      <tp t="e">
        <v>#N/A</v>
        <stp/>
        <stp>BDH|6219104734214232209</stp>
        <tr r="E38" s="25"/>
        <tr r="E92" s="17"/>
      </tp>
      <tp t="e">
        <v>#N/A</v>
        <stp/>
        <stp>BDH|8182610491326179341</stp>
        <tr r="I41" s="22"/>
      </tp>
      <tp t="e">
        <v>#N/A</v>
        <stp/>
        <stp>BDH|4670494419045474668</stp>
        <tr r="C50" s="12"/>
      </tp>
      <tp t="e">
        <v>#N/A</v>
        <stp/>
        <stp>BDH|1216558775606477724</stp>
        <tr r="L11" s="7"/>
      </tp>
      <tp t="e">
        <v>#N/A</v>
        <stp/>
        <stp>BDH|2767168920151725221</stp>
        <tr r="V9" s="6"/>
      </tp>
      <tp t="e">
        <v>#N/A</v>
        <stp/>
        <stp>BDH|8929156163194821938</stp>
        <tr r="D54" s="34"/>
      </tp>
      <tp t="e">
        <v>#N/A</v>
        <stp/>
        <stp>BDH|6893416030124933742</stp>
        <tr r="T18" s="34"/>
      </tp>
      <tp t="e">
        <v>#N/A</v>
        <stp/>
        <stp>BDH|4787480304472920061</stp>
        <tr r="T15" s="21"/>
      </tp>
      <tp t="e">
        <v>#N/A</v>
        <stp/>
        <stp>BDH|7174042487739250448</stp>
        <tr r="R30" s="21"/>
      </tp>
      <tp t="e">
        <v>#N/A</v>
        <stp/>
        <stp>BDH|1146380080039838158</stp>
        <tr r="X11" s="10"/>
        <tr r="X14" s="2"/>
      </tp>
      <tp t="e">
        <v>#N/A</v>
        <stp/>
        <stp>BDH|2799043118802945369</stp>
        <tr r="V48" s="34"/>
      </tp>
      <tp t="e">
        <v>#N/A</v>
        <stp/>
        <stp>BDH|8787009562875104907</stp>
        <tr r="P120" s="18"/>
      </tp>
      <tp t="e">
        <v>#N/A</v>
        <stp/>
        <stp>BDH|1230365585661290977</stp>
        <tr r="F52" s="34"/>
      </tp>
      <tp t="e">
        <v>#N/A</v>
        <stp/>
        <stp>BDH|3156548528355115381</stp>
        <tr r="Q78" s="17"/>
        <tr r="N9" s="9"/>
        <tr r="N9" s="5"/>
      </tp>
      <tp t="e">
        <v>#N/A</v>
        <stp/>
        <stp>BDH|2383311828274941571</stp>
        <tr r="Y61" s="18"/>
      </tp>
      <tp t="e">
        <v>#N/A</v>
        <stp/>
        <stp>BDH|1091492581737878845</stp>
        <tr r="F16" s="22"/>
      </tp>
      <tp t="e">
        <v>#N/A</v>
        <stp/>
        <stp>BDH|7580481983160357993</stp>
        <tr r="F40" s="13"/>
        <tr r="D33" s="10"/>
      </tp>
      <tp t="e">
        <v>#N/A</v>
        <stp/>
        <stp>BDH|1636673035883445542</stp>
        <tr r="M46" s="17"/>
      </tp>
      <tp t="e">
        <v>#N/A</v>
        <stp/>
        <stp>BDH|3053539836563536444</stp>
        <tr r="S27" s="12"/>
      </tp>
      <tp t="e">
        <v>#N/A</v>
        <stp/>
        <stp>BDH|1395997433120595997</stp>
        <tr r="D29" s="14"/>
      </tp>
      <tp t="e">
        <v>#N/A</v>
        <stp/>
        <stp>BDH|7886588657222474764</stp>
        <tr r="X150" s="18"/>
      </tp>
      <tp t="e">
        <v>#N/A</v>
        <stp/>
        <stp>BDH|5949608880330861949</stp>
        <tr r="F13" s="12"/>
      </tp>
      <tp t="e">
        <v>#N/A</v>
        <stp/>
        <stp>BDH|6163372874409296959</stp>
        <tr r="O172" s="18"/>
      </tp>
      <tp t="e">
        <v>#N/A</v>
        <stp/>
        <stp>BDH|8455857655444249332</stp>
        <tr r="P62" s="12"/>
      </tp>
      <tp t="e">
        <v>#N/A</v>
        <stp/>
        <stp>BDH|6586907144250662928</stp>
        <tr r="C48" s="24"/>
      </tp>
      <tp t="e">
        <v>#N/A</v>
        <stp/>
        <stp>BDH|2812289003181385352</stp>
        <tr r="G31" s="22"/>
      </tp>
      <tp t="e">
        <v>#N/A</v>
        <stp/>
        <stp>BDH|2308012082278454016</stp>
        <tr r="V11" s="21"/>
      </tp>
      <tp t="e">
        <v>#N/A</v>
        <stp/>
        <stp>BDH|2772513179322957030</stp>
        <tr r="F29" s="34"/>
      </tp>
      <tp t="e">
        <v>#N/A</v>
        <stp/>
        <stp>BDH|1270260856504388048</stp>
        <tr r="W102" s="18"/>
      </tp>
      <tp t="e">
        <v>#N/A</v>
        <stp/>
        <stp>BDH|8627237820652689869</stp>
        <tr r="Y10" s="10"/>
      </tp>
      <tp t="e">
        <v>#N/A</v>
        <stp/>
        <stp>BDH|1129585355570083398</stp>
        <tr r="F55" s="13"/>
      </tp>
      <tp t="e">
        <v>#N/A</v>
        <stp/>
        <stp>BDH|7846871777728875251</stp>
        <tr r="M24" s="12"/>
      </tp>
      <tp t="e">
        <v>#N/A</v>
        <stp/>
        <stp>BDH|4154441406022171077</stp>
        <tr r="C147" s="18"/>
      </tp>
      <tp t="e">
        <v>#N/A</v>
        <stp/>
        <stp>BDH|3349293045363252485</stp>
        <tr r="N12" s="12"/>
      </tp>
      <tp t="e">
        <v>#N/A</v>
        <stp/>
        <stp>BDH|9413028012199793365</stp>
        <tr r="T152" s="18"/>
      </tp>
      <tp t="e">
        <v>#N/A</v>
        <stp/>
        <stp>BDH|8685949776611307520</stp>
        <tr r="Q174" s="18"/>
      </tp>
      <tp t="e">
        <v>#N/A</v>
        <stp/>
        <stp>BDH|8464880948586563042</stp>
        <tr r="S13" s="26"/>
      </tp>
      <tp t="e">
        <v>#N/A</v>
        <stp/>
        <stp>BDH|3523086088638017104</stp>
        <tr r="C34" s="12"/>
      </tp>
      <tp t="e">
        <v>#N/A</v>
        <stp/>
        <stp>BDH|4515234156152450316</stp>
        <tr r="P57" s="11"/>
        <tr r="P24" s="4"/>
      </tp>
      <tp t="e">
        <v>#N/A</v>
        <stp/>
        <stp>BDH|2928614302516818075</stp>
        <tr r="V44" s="11"/>
        <tr r="V55" s="10"/>
        <tr r="V15" s="7"/>
      </tp>
      <tp t="e">
        <v>#N/A</v>
        <stp/>
        <stp>BDH|7723763115426822590</stp>
        <tr r="D66" s="13"/>
      </tp>
      <tp t="e">
        <v>#N/A</v>
        <stp/>
        <stp>BDH|5995389332721628602</stp>
        <tr r="O25" s="3"/>
      </tp>
      <tp t="e">
        <v>#N/A</v>
        <stp/>
        <stp>BDH|1806586811554565312</stp>
        <tr r="W13" s="30"/>
      </tp>
      <tp t="e">
        <v>#N/A</v>
        <stp/>
        <stp>BDH|1359116683753562915</stp>
        <tr r="C64" s="24"/>
      </tp>
      <tp t="e">
        <v>#N/A</v>
        <stp/>
        <stp>BDH|3862400253800608089</stp>
        <tr r="L12" s="11"/>
      </tp>
      <tp t="e">
        <v>#N/A</v>
        <stp/>
        <stp>BDH|5325513643062075440</stp>
        <tr r="J54" s="13"/>
      </tp>
      <tp t="e">
        <v>#N/A</v>
        <stp/>
        <stp>BDH|5629127167415539534</stp>
        <tr r="F120" s="18"/>
      </tp>
      <tp t="e">
        <v>#N/A</v>
        <stp/>
        <stp>BDH|2023914944075596859</stp>
        <tr r="F140" s="18"/>
      </tp>
      <tp t="e">
        <v>#N/A</v>
        <stp/>
        <stp>BDH|6133427816614051501</stp>
        <tr r="P23" s="22"/>
      </tp>
      <tp t="e">
        <v>#N/A</v>
        <stp/>
        <stp>BDH|6254504760901441635</stp>
        <tr r="L74" s="24"/>
      </tp>
      <tp t="e">
        <v>#N/A</v>
        <stp/>
        <stp>BDH|4266289604787987329</stp>
        <tr r="W11" s="7"/>
      </tp>
      <tp t="e">
        <v>#N/A</v>
        <stp/>
        <stp>BDH|2416689868168507841</stp>
        <tr r="C67" s="12"/>
      </tp>
      <tp t="e">
        <v>#N/A</v>
        <stp/>
        <stp>BDH|9772680076929860343</stp>
        <tr r="C27" s="17"/>
      </tp>
      <tp t="e">
        <v>#N/A</v>
        <stp/>
        <stp>BDH|4716323324027294060</stp>
        <tr r="L25" s="5"/>
      </tp>
      <tp t="e">
        <v>#N/A</v>
        <stp/>
        <stp>BDH|3886625748095414637</stp>
        <tr r="AA11" s="20"/>
        <tr r="AA116" s="18"/>
      </tp>
      <tp t="e">
        <v>#N/A</v>
        <stp/>
        <stp>BDH|3588251146271730643</stp>
        <tr r="W19" s="24"/>
      </tp>
      <tp t="e">
        <v>#N/A</v>
        <stp/>
        <stp>BDH|1453637581485196824</stp>
        <tr r="F98" s="18"/>
      </tp>
      <tp t="e">
        <v>#N/A</v>
        <stp/>
        <stp>BDH|6944794465152431748</stp>
        <tr r="S145" s="18"/>
      </tp>
      <tp t="e">
        <v>#N/A</v>
        <stp/>
        <stp>BDH|3103522767801482358</stp>
        <tr r="W83" s="18"/>
      </tp>
      <tp t="e">
        <v>#N/A</v>
        <stp/>
        <stp>BDH|2766500274705125779</stp>
        <tr r="S71" s="24"/>
      </tp>
      <tp t="e">
        <v>#N/A</v>
        <stp/>
        <stp>BDH|2950528369261408235</stp>
        <tr r="D49" s="6"/>
      </tp>
      <tp t="e">
        <v>#N/A</v>
        <stp/>
        <stp>BDH|6100883174689064289</stp>
        <tr r="L85" s="12"/>
      </tp>
      <tp t="e">
        <v>#N/A</v>
        <stp/>
        <stp>BDH|4753114667084625529</stp>
        <tr r="W32" s="22"/>
      </tp>
      <tp t="e">
        <v>#N/A</v>
        <stp/>
        <stp>BDH|2868698560015315575</stp>
        <tr r="T25" s="5"/>
      </tp>
      <tp t="e">
        <v>#N/A</v>
        <stp/>
        <stp>BDH|5783661742222133775</stp>
        <tr r="I47" s="6"/>
      </tp>
      <tp t="e">
        <v>#N/A</v>
        <stp/>
        <stp>BDH|5119183009307141148</stp>
        <tr r="E20" s="27"/>
      </tp>
      <tp t="e">
        <v>#N/A</v>
        <stp/>
        <stp>BDH|5758504117927150440</stp>
        <tr r="T13" s="12"/>
      </tp>
      <tp t="e">
        <v>#N/A</v>
        <stp/>
        <stp>BDH|8546566795034663258</stp>
        <tr r="P8" s="21"/>
      </tp>
      <tp t="e">
        <v>#N/A</v>
        <stp/>
        <stp>BDH|8590197733758323097</stp>
        <tr r="R35" s="13"/>
        <tr r="P28" s="10"/>
      </tp>
      <tp t="e">
        <v>#N/A</v>
        <stp/>
        <stp>BDH|4498260146504785468</stp>
        <tr r="H24" s="24"/>
      </tp>
      <tp t="e">
        <v>#N/A</v>
        <stp/>
        <stp>BDH|6932088014661059404</stp>
        <tr r="V18" s="26"/>
      </tp>
      <tp t="e">
        <v>#N/A</v>
        <stp/>
        <stp>BDH|6564427814154481524</stp>
        <tr r="T24" s="25"/>
      </tp>
      <tp t="e">
        <v>#N/A</v>
        <stp/>
        <stp>BDH|4371266423942572460</stp>
        <tr r="O9" s="11"/>
      </tp>
      <tp t="e">
        <v>#N/A</v>
        <stp/>
        <stp>BDH|6158256575625435409</stp>
        <tr r="X36" s="17"/>
      </tp>
      <tp t="e">
        <v>#N/A</v>
        <stp/>
        <stp>BDH|1448857902938275343</stp>
        <tr r="U71" s="13"/>
      </tp>
      <tp t="e">
        <v>#N/A</v>
        <stp/>
        <stp>BDH|8067749485021503411</stp>
        <tr r="R98" s="12"/>
      </tp>
      <tp t="e">
        <v>#N/A</v>
        <stp/>
        <stp>BDH|9432931238638281982</stp>
        <tr r="T60" s="13"/>
        <tr r="R48" s="11"/>
        <tr r="R59" s="10"/>
        <tr r="T10" s="3"/>
        <tr r="R17" s="7"/>
        <tr r="R17" s="4"/>
      </tp>
      <tp t="e">
        <v>#N/A</v>
        <stp/>
        <stp>BDH|60965128777886313</stp>
        <tr r="O28" s="18"/>
      </tp>
      <tp t="e">
        <v>#N/A</v>
        <stp/>
        <stp>BDH|66856158422803022</stp>
        <tr r="W38" s="12"/>
      </tp>
      <tp t="e">
        <v>#N/A</v>
        <stp/>
        <stp>BDH|69045922124439965</stp>
        <tr r="L40" s="21"/>
      </tp>
      <tp t="e">
        <v>#N/A</v>
        <stp/>
        <stp>BDH|3345326714397726582</stp>
        <tr r="V43" s="4"/>
      </tp>
      <tp t="e">
        <v>#N/A</v>
        <stp/>
        <stp>BDH|1810731385319358477</stp>
        <tr r="K61" s="11"/>
      </tp>
      <tp t="e">
        <v>#N/A</v>
        <stp/>
        <stp>BDH|1292698064033769127</stp>
        <tr r="K29" s="9"/>
      </tp>
      <tp t="e">
        <v>#N/A</v>
        <stp/>
        <stp>BDH|2809440469515946661</stp>
        <tr r="O41" s="24"/>
      </tp>
      <tp t="e">
        <v>#N/A</v>
        <stp/>
        <stp>BDH|6320182467551518337</stp>
        <tr r="L32" s="5"/>
      </tp>
      <tp t="e">
        <v>#N/A</v>
        <stp/>
        <stp>BDH|1425537571194475481</stp>
        <tr r="S18" s="27"/>
        <tr r="S36" s="25"/>
      </tp>
      <tp t="e">
        <v>#N/A</v>
        <stp/>
        <stp>BDH|2074983887862594207</stp>
        <tr r="C26" s="29"/>
      </tp>
      <tp t="e">
        <v>#N/A</v>
        <stp/>
        <stp>BDH|7469993724189772646</stp>
        <tr r="U74" s="18"/>
      </tp>
      <tp t="e">
        <v>#N/A</v>
        <stp/>
        <stp>BDH|8036950757664170396</stp>
        <tr r="P25" s="24"/>
      </tp>
      <tp t="e">
        <v>#N/A</v>
        <stp/>
        <stp>BDH|1606087075656539346</stp>
        <tr r="L29" s="9"/>
      </tp>
      <tp t="e">
        <v>#N/A</v>
        <stp/>
        <stp>BDH|2056603064155734493</stp>
        <tr r="Y8" s="2"/>
      </tp>
      <tp t="e">
        <v>#N/A</v>
        <stp/>
        <stp>BDH|6783370800700989630</stp>
        <tr r="M39" s="29"/>
        <tr r="M16" s="29"/>
      </tp>
      <tp t="e">
        <v>#N/A</v>
        <stp/>
        <stp>BDH|7578227942326739487</stp>
        <tr r="M37" s="18"/>
      </tp>
      <tp t="e">
        <v>#N/A</v>
        <stp/>
        <stp>BDH|3213238506325850759</stp>
        <tr r="F13" s="20"/>
        <tr r="F118" s="18"/>
      </tp>
      <tp t="e">
        <v>#N/A</v>
        <stp/>
        <stp>BDH|7496645634979801863</stp>
        <tr r="C39" s="13"/>
      </tp>
      <tp t="e">
        <v>#N/A</v>
        <stp/>
        <stp>BDH|8232902508592627060</stp>
        <tr r="Q40" s="18"/>
      </tp>
      <tp t="e">
        <v>#N/A</v>
        <stp/>
        <stp>BDH|1245113308472186102</stp>
        <tr r="AA26" s="26"/>
      </tp>
      <tp t="e">
        <v>#N/A</v>
        <stp/>
        <stp>BDH|5418837335925110897</stp>
        <tr r="T7" s="27"/>
        <tr r="T94" s="17"/>
      </tp>
      <tp t="e">
        <v>#N/A</v>
        <stp/>
        <stp>BDH|5201609358183711670</stp>
        <tr r="L38" s="25"/>
        <tr r="L92" s="17"/>
      </tp>
      <tp t="e">
        <v>#N/A</v>
        <stp/>
        <stp>BDH|3345226390959852236</stp>
        <tr r="J53" s="13"/>
      </tp>
      <tp t="e">
        <v>#N/A</v>
        <stp/>
        <stp>BDH|9627150479555965999</stp>
        <tr r="Y63" s="13"/>
        <tr r="W49" s="11"/>
        <tr r="W60" s="10"/>
        <tr r="W18" s="7"/>
      </tp>
      <tp t="e">
        <v>#N/A</v>
        <stp/>
        <stp>BDH|7003546755812969620</stp>
        <tr r="V21" s="20"/>
      </tp>
      <tp t="e">
        <v>#N/A</v>
        <stp/>
        <stp>BDH|1003675659531630028</stp>
        <tr r="J32" s="9"/>
      </tp>
      <tp t="e">
        <v>#N/A</v>
        <stp/>
        <stp>BDH|2018588945143242357</stp>
        <tr r="Y26" s="29"/>
      </tp>
      <tp t="e">
        <v>#N/A</v>
        <stp/>
        <stp>BDH|6182435831157072590</stp>
        <tr r="W36" s="34"/>
      </tp>
      <tp t="e">
        <v>#N/A</v>
        <stp/>
        <stp>BDH|3302259149340141644</stp>
        <tr r="U56" s="17"/>
      </tp>
      <tp t="e">
        <v>#N/A</v>
        <stp/>
        <stp>BDH|5863510523609187812</stp>
        <tr r="K43" s="4"/>
      </tp>
      <tp t="e">
        <v>#N/A</v>
        <stp/>
        <stp>BDH|1079631443617224788</stp>
        <tr r="M71" s="24"/>
      </tp>
      <tp t="e">
        <v>#N/A</v>
        <stp/>
        <stp>BDH|4442121975864007597</stp>
        <tr r="W30" s="29"/>
        <tr r="W8" s="29"/>
      </tp>
      <tp t="e">
        <v>#N/A</v>
        <stp/>
        <stp>BDH|1482240374512740594</stp>
        <tr r="I87" s="18"/>
      </tp>
      <tp t="e">
        <v>#N/A</v>
        <stp/>
        <stp>BDH|5825295471966937530</stp>
        <tr r="Q61" s="18"/>
      </tp>
      <tp t="e">
        <v>#N/A</v>
        <stp/>
        <stp>BDH|1532566723040984531</stp>
        <tr r="I7" s="9"/>
        <tr r="J7" s="2"/>
        <tr r="I7" s="5"/>
        <tr r="L14" s="3"/>
      </tp>
      <tp t="e">
        <v>#N/A</v>
        <stp/>
        <stp>BDH|4376561536156933708</stp>
        <tr r="Y30" s="22"/>
      </tp>
      <tp t="e">
        <v>#N/A</v>
        <stp/>
        <stp>BDH|4229038476083422394</stp>
        <tr r="R68" s="18"/>
      </tp>
      <tp t="e">
        <v>#N/A</v>
        <stp/>
        <stp>BDH|6232405660125136298</stp>
        <tr r="N137" s="18"/>
      </tp>
      <tp t="e">
        <v>#N/A</v>
        <stp/>
        <stp>BDH|3273600578954612563</stp>
        <tr r="X68" s="10"/>
        <tr r="X25" s="4"/>
      </tp>
      <tp t="e">
        <v>#N/A</v>
        <stp/>
        <stp>BDH|6419546341851807533</stp>
        <tr r="G51" s="12"/>
      </tp>
      <tp t="e">
        <v>#N/A</v>
        <stp/>
        <stp>BDH|3460989929753843873</stp>
        <tr r="Q146" s="18"/>
      </tp>
      <tp t="e">
        <v>#N/A</v>
        <stp/>
        <stp>BDH|7952331295927146947</stp>
        <tr r="F31" s="21"/>
      </tp>
      <tp t="e">
        <v>#N/A</v>
        <stp/>
        <stp>BDH|8640824301741967270</stp>
        <tr r="H71" s="13"/>
      </tp>
      <tp t="e">
        <v>#N/A</v>
        <stp/>
        <stp>BDH|2507282024174434560</stp>
        <tr r="F41" s="34"/>
      </tp>
      <tp t="e">
        <v>#N/A</v>
        <stp/>
        <stp>BDH|9808885744335639396</stp>
        <tr r="O12" s="6"/>
      </tp>
      <tp t="e">
        <v>#N/A</v>
        <stp/>
        <stp>BDH|4057594031739127827</stp>
        <tr r="X12" s="18"/>
      </tp>
      <tp t="e">
        <v>#N/A</v>
        <stp/>
        <stp>BDH|5258906298557836196</stp>
        <tr r="Q65" s="13"/>
      </tp>
      <tp t="e">
        <v>#N/A</v>
        <stp/>
        <stp>BDH|7666806726219367786</stp>
        <tr r="E46" s="22"/>
      </tp>
      <tp t="e">
        <v>#N/A</v>
        <stp/>
        <stp>BDH|2889827089417899600</stp>
        <tr r="S131" s="18"/>
      </tp>
      <tp t="e">
        <v>#N/A</v>
        <stp/>
        <stp>BDH|1829091179442528760</stp>
        <tr r="O52" s="22"/>
      </tp>
      <tp t="e">
        <v>#N/A</v>
        <stp/>
        <stp>BDH|5507571974430864456</stp>
        <tr r="S54" s="13"/>
      </tp>
      <tp t="e">
        <v>#N/A</v>
        <stp/>
        <stp>BDH|3414917992110518092</stp>
        <tr r="L11" s="10"/>
        <tr r="L14" s="2"/>
      </tp>
      <tp t="e">
        <v>#N/A</v>
        <stp/>
        <stp>BDH|3179316846661840657</stp>
        <tr r="H50" s="34"/>
      </tp>
      <tp t="e">
        <v>#N/A</v>
        <stp/>
        <stp>BDH|9310773686642132783</stp>
        <tr r="X31" s="22"/>
      </tp>
      <tp t="e">
        <v>#N/A</v>
        <stp/>
        <stp>BDH|7931607026272008242</stp>
        <tr r="R13" s="27"/>
        <tr r="R31" s="25"/>
      </tp>
      <tp t="e">
        <v>#N/A</v>
        <stp/>
        <stp>BDH|6820521202659712943</stp>
        <tr r="I72" s="13"/>
      </tp>
      <tp t="e">
        <v>#N/A</v>
        <stp/>
        <stp>BDH|4847305361486730451</stp>
        <tr r="L18" s="26"/>
      </tp>
      <tp t="e">
        <v>#N/A</v>
        <stp/>
        <stp>BDH|3519628470586428789</stp>
        <tr r="L22" s="7"/>
      </tp>
      <tp t="e">
        <v>#N/A</v>
        <stp/>
        <stp>BDH|1934398320377282496</stp>
        <tr r="G90" s="18"/>
      </tp>
      <tp t="e">
        <v>#N/A</v>
        <stp/>
        <stp>BDH|2998697011705926332</stp>
        <tr r="G43" s="4"/>
      </tp>
      <tp t="e">
        <v>#N/A</v>
        <stp/>
        <stp>BDH|7401962470969956306</stp>
        <tr r="U34" s="18"/>
      </tp>
      <tp t="e">
        <v>#N/A</v>
        <stp/>
        <stp>BDH|4044735419004716568</stp>
        <tr r="P85" s="18"/>
      </tp>
      <tp t="e">
        <v>#N/A</v>
        <stp/>
        <stp>BDH|4635448295618511294</stp>
        <tr r="R53" s="17"/>
      </tp>
      <tp t="e">
        <v>#N/A</v>
        <stp/>
        <stp>BDH|4532665642122879728</stp>
        <tr r="M43" s="26"/>
      </tp>
      <tp t="e">
        <v>#N/A</v>
        <stp/>
        <stp>BDH|8515377789322595257</stp>
        <tr r="U48" s="24"/>
      </tp>
      <tp t="e">
        <v>#N/A</v>
        <stp/>
        <stp>BDH|3687133457554841011</stp>
        <tr r="N87" s="18"/>
      </tp>
      <tp t="e">
        <v>#N/A</v>
        <stp/>
        <stp>BDH|7201152820610968759</stp>
        <tr r="L42" s="34"/>
      </tp>
      <tp t="e">
        <v>#N/A</v>
        <stp/>
        <stp>BDH|5315645761077864159</stp>
        <tr r="F36" s="29"/>
        <tr r="F13" s="29"/>
        <tr r="F22" s="29"/>
      </tp>
      <tp t="e">
        <v>#N/A</v>
        <stp/>
        <stp>BDH|7252439457705874056</stp>
        <tr r="L139" s="18"/>
      </tp>
      <tp t="e">
        <v>#N/A</v>
        <stp/>
        <stp>BDH|8798314758468018555</stp>
        <tr r="P145" s="18"/>
      </tp>
      <tp t="e">
        <v>#N/A</v>
        <stp/>
        <stp>BDH|3394059408809459910</stp>
        <tr r="O78" s="17"/>
        <tr r="L9" s="9"/>
        <tr r="L9" s="5"/>
      </tp>
      <tp t="e">
        <v>#N/A</v>
        <stp/>
        <stp>BDH|3296506426112657597</stp>
        <tr r="O121" s="18"/>
      </tp>
      <tp t="e">
        <v>#N/A</v>
        <stp/>
        <stp>BDH|2256994776279496626</stp>
        <tr r="S170" s="18"/>
      </tp>
      <tp t="e">
        <v>#N/A</v>
        <stp/>
        <stp>BDH|5488698397680493950</stp>
        <tr r="E18" s="14"/>
      </tp>
      <tp t="e">
        <v>#N/A</v>
        <stp/>
        <stp>BDH|4888376013286012372</stp>
        <tr r="S25" s="3"/>
      </tp>
      <tp t="e">
        <v>#N/A</v>
        <stp/>
        <stp>BDH|5374795874077594104</stp>
        <tr r="G48" s="17"/>
      </tp>
      <tp t="e">
        <v>#N/A</v>
        <stp/>
        <stp>BDH|7587272128597996389</stp>
        <tr r="M38" s="22"/>
      </tp>
      <tp t="e">
        <v>#N/A</v>
        <stp/>
        <stp>BDH|6717683983688226358</stp>
        <tr r="G42" s="22"/>
      </tp>
      <tp t="e">
        <v>#N/A</v>
        <stp/>
        <stp>BDH|5911770127674015728</stp>
        <tr r="O174" s="18"/>
      </tp>
      <tp t="e">
        <v>#N/A</v>
        <stp/>
        <stp>BDH|3161741708004215377</stp>
        <tr r="V28" s="12"/>
      </tp>
      <tp t="e">
        <v>#N/A</v>
        <stp/>
        <stp>BDH|4634411482718812355</stp>
        <tr r="F13" s="23"/>
        <tr r="D58" s="11"/>
        <tr r="D38" s="4"/>
      </tp>
      <tp t="e">
        <v>#N/A</v>
        <stp/>
        <stp>BDH|4945725544882300648</stp>
        <tr r="F46" s="18"/>
      </tp>
      <tp t="e">
        <v>#N/A</v>
        <stp/>
        <stp>BDH|6781126418262652739</stp>
        <tr r="R81" s="12"/>
      </tp>
      <tp t="e">
        <v>#N/A</v>
        <stp/>
        <stp>BDH|9567725185546900336</stp>
        <tr r="O29" s="26"/>
      </tp>
      <tp t="e">
        <v>#N/A</v>
        <stp/>
        <stp>BDH|2355032529633277035</stp>
        <tr r="AA68" s="13"/>
      </tp>
      <tp t="e">
        <v>#N/A</v>
        <stp/>
        <stp>BDH|4248218953306055689</stp>
        <tr r="M18" s="20"/>
      </tp>
      <tp t="e">
        <v>#N/A</v>
        <stp/>
        <stp>BDH|7977983591164172091</stp>
        <tr r="C11" s="22"/>
      </tp>
      <tp t="e">
        <v>#N/A</v>
        <stp/>
        <stp>BDH|1325129249151315638</stp>
        <tr r="D52" s="13"/>
      </tp>
      <tp t="e">
        <v>#N/A</v>
        <stp/>
        <stp>BDH|1306148137441062189</stp>
        <tr r="H13" s="20"/>
        <tr r="H118" s="18"/>
      </tp>
      <tp t="e">
        <v>#N/A</v>
        <stp/>
        <stp>BDH|3685026535896144581</stp>
        <tr r="Y15" s="24"/>
      </tp>
      <tp t="e">
        <v>#N/A</v>
        <stp/>
        <stp>BDH|3068800392450960137</stp>
        <tr r="O26" s="26"/>
      </tp>
      <tp t="e">
        <v>#N/A</v>
        <stp/>
        <stp>BDH|1402786134904558259</stp>
        <tr r="K35" s="13"/>
        <tr r="I28" s="10"/>
      </tp>
      <tp t="e">
        <v>#N/A</v>
        <stp/>
        <stp>BDH|3081590632921133720</stp>
        <tr r="G103" s="18"/>
      </tp>
      <tp t="e">
        <v>#N/A</v>
        <stp/>
        <stp>BDH|1121786590679864596</stp>
        <tr r="AA60" s="17"/>
      </tp>
      <tp t="e">
        <v>#N/A</v>
        <stp/>
        <stp>BDH|7918109346894110563</stp>
        <tr r="G30" s="17"/>
      </tp>
      <tp t="e">
        <v>#N/A</v>
        <stp/>
        <stp>BDH|3977177479065656397</stp>
        <tr r="Y80" s="17"/>
      </tp>
      <tp t="e">
        <v>#N/A</v>
        <stp/>
        <stp>BDH|7895399008000628770</stp>
        <tr r="Y34" s="12"/>
      </tp>
      <tp t="e">
        <v>#N/A</v>
        <stp/>
        <stp>BDH|3391576467297364489</stp>
        <tr r="H89" s="12"/>
      </tp>
      <tp t="e">
        <v>#N/A</v>
        <stp/>
        <stp>BDH|5385246075442964139</stp>
        <tr r="I28" s="13"/>
        <tr r="I16" s="13"/>
        <tr r="G17" s="10"/>
      </tp>
      <tp t="e">
        <v>#N/A</v>
        <stp/>
        <stp>BDH|2340356629609346945</stp>
        <tr r="J13" s="24"/>
      </tp>
      <tp t="e">
        <v>#N/A</v>
        <stp/>
        <stp>BDH|6848026317707296379</stp>
        <tr r="N20" s="18"/>
      </tp>
      <tp t="e">
        <v>#N/A</v>
        <stp/>
        <stp>BDH|4724301862783547184</stp>
        <tr r="U7" s="34"/>
      </tp>
      <tp t="e">
        <v>#N/A</v>
        <stp/>
        <stp>BDH|4238434046812936568</stp>
        <tr r="D18" s="11"/>
      </tp>
      <tp t="e">
        <v>#N/A</v>
        <stp/>
        <stp>BDH|1822027027120139043</stp>
        <tr r="X130" s="18"/>
      </tp>
      <tp t="e">
        <v>#N/A</v>
        <stp/>
        <stp>BDH|6622887425778207715</stp>
        <tr r="T34" s="21"/>
      </tp>
      <tp t="e">
        <v>#N/A</v>
        <stp/>
        <stp>BDH|6311300783198802607</stp>
        <tr r="Q18" s="12"/>
      </tp>
      <tp t="e">
        <v>#N/A</v>
        <stp/>
        <stp>BDH|5531550990682858807</stp>
        <tr r="V40" s="29"/>
        <tr r="V17" s="29"/>
      </tp>
      <tp t="e">
        <v>#N/A</v>
        <stp/>
        <stp>BDH|1210439623264899024</stp>
        <tr r="S87" s="12"/>
      </tp>
      <tp t="e">
        <v>#N/A</v>
        <stp/>
        <stp>BDH|1334376510036458687</stp>
        <tr r="X19" s="11"/>
      </tp>
      <tp t="e">
        <v>#N/A</v>
        <stp/>
        <stp>BDH|8259083173549938586</stp>
        <tr r="U23" s="24"/>
      </tp>
      <tp t="e">
        <v>#N/A</v>
        <stp/>
        <stp>BDH|3951606186556463836</stp>
        <tr r="M22" s="24"/>
      </tp>
      <tp t="e">
        <v>#N/A</v>
        <stp/>
        <stp>BDH|7270609712014909718</stp>
        <tr r="G30" s="12"/>
      </tp>
      <tp t="e">
        <v>#N/A</v>
        <stp/>
        <stp>BDH|4528160165472927272</stp>
        <tr r="W44" s="24"/>
      </tp>
      <tp t="e">
        <v>#N/A</v>
        <stp/>
        <stp>BDH|2886725224252645602</stp>
        <tr r="H50" s="18"/>
      </tp>
      <tp t="e">
        <v>#N/A</v>
        <stp/>
        <stp>BDH|9094996584172637934</stp>
        <tr r="G67" s="12"/>
      </tp>
      <tp t="e">
        <v>#N/A</v>
        <stp/>
        <stp>BDH|4185166663581423180</stp>
        <tr r="Z13" s="24"/>
      </tp>
      <tp t="e">
        <v>#N/A</v>
        <stp/>
        <stp>BDH|6587287854601084318</stp>
        <tr r="I13" s="25"/>
      </tp>
      <tp t="e">
        <v>#N/A</v>
        <stp/>
        <stp>BDH|9680229099198008958</stp>
        <tr r="L16" s="14"/>
      </tp>
      <tp t="e">
        <v>#N/A</v>
        <stp/>
        <stp>BDH|9455639688064525025</stp>
        <tr r="K31" s="21"/>
      </tp>
      <tp t="e">
        <v>#N/A</v>
        <stp/>
        <stp>BDH|3102493351013981280</stp>
        <tr r="C173" s="18"/>
      </tp>
      <tp t="e">
        <v>#N/A</v>
        <stp/>
        <stp>BDH|6442041108465626068</stp>
        <tr r="H34" s="26"/>
      </tp>
      <tp t="e">
        <v>#N/A</v>
        <stp/>
        <stp>BDH|5031306103795817038</stp>
        <tr r="E23" s="30"/>
        <tr r="E25" s="23"/>
      </tp>
      <tp t="e">
        <v>#N/A</v>
        <stp/>
        <stp>BDH|3985296571455067091</stp>
        <tr r="O37" s="17"/>
      </tp>
      <tp t="e">
        <v>#N/A</v>
        <stp/>
        <stp>BDH|7964850745478187007</stp>
        <tr r="C68" s="13"/>
      </tp>
      <tp t="e">
        <v>#N/A</v>
        <stp/>
        <stp>BDH|3226724389408169709</stp>
        <tr r="S78" s="18"/>
      </tp>
      <tp t="e">
        <v>#N/A</v>
        <stp/>
        <stp>BDH|7031358898107358961</stp>
        <tr r="R21" s="10"/>
      </tp>
      <tp t="e">
        <v>#N/A</v>
        <stp/>
        <stp>BDH|3553758611900138689</stp>
        <tr r="L15" s="18"/>
      </tp>
      <tp t="e">
        <v>#N/A</v>
        <stp/>
        <stp>BDH|7019875697244886100</stp>
        <tr r="R17" s="24"/>
      </tp>
      <tp t="e">
        <v>#N/A</v>
        <stp/>
        <stp>BDH|6922085689614790969</stp>
        <tr r="L160" s="18"/>
      </tp>
      <tp t="e">
        <v>#N/A</v>
        <stp/>
        <stp>BDH|7119638260993363787</stp>
        <tr r="X47" s="11"/>
        <tr r="X58" s="10"/>
        <tr r="X7" s="7"/>
        <tr r="Z12" s="3"/>
      </tp>
      <tp t="e">
        <v>#N/A</v>
        <stp/>
        <stp>BDH|4044094232622428665</stp>
        <tr r="T24" s="6"/>
      </tp>
      <tp t="e">
        <v>#N/A</v>
        <stp/>
        <stp>BDH|8247589031254662949</stp>
        <tr r="F22" s="12"/>
      </tp>
      <tp t="e">
        <v>#N/A</v>
        <stp/>
        <stp>BDH|5923180660117119692</stp>
        <tr r="H32" s="18"/>
      </tp>
      <tp t="e">
        <v>#N/A</v>
        <stp/>
        <stp>BDH|8647833715274119684</stp>
        <tr r="W12" s="13"/>
      </tp>
      <tp t="e">
        <v>#N/A</v>
        <stp/>
        <stp>BDH|8866675350751327955</stp>
        <tr r="Y67" s="18"/>
      </tp>
      <tp t="e">
        <v>#N/A</v>
        <stp/>
        <stp>BDH|7952291599217646861</stp>
        <tr r="K69" s="24"/>
      </tp>
      <tp t="e">
        <v>#N/A</v>
        <stp/>
        <stp>BDH|3487123714757369789</stp>
        <tr r="O9" s="23"/>
      </tp>
      <tp t="e">
        <v>#N/A</v>
        <stp/>
        <stp>BDH|2180108859773739666</stp>
        <tr r="F21" s="6"/>
      </tp>
      <tp t="e">
        <v>#N/A</v>
        <stp/>
        <stp>BDH|3631801634568956320</stp>
        <tr r="X158" s="18"/>
      </tp>
      <tp t="e">
        <v>#N/A</v>
        <stp/>
        <stp>BDH|1784618624974888233</stp>
        <tr r="N75" s="18"/>
      </tp>
      <tp t="e">
        <v>#N/A</v>
        <stp/>
        <stp>BDH|5308467378525767036</stp>
        <tr r="D155" s="18"/>
      </tp>
      <tp t="e">
        <v>#N/A</v>
        <stp/>
        <stp>BDH|2239191425264223657</stp>
        <tr r="Y127" s="18"/>
      </tp>
      <tp t="e">
        <v>#N/A</v>
        <stp/>
        <stp>BDH|5354565656611228781</stp>
        <tr r="I45" s="18"/>
      </tp>
      <tp t="e">
        <v>#N/A</v>
        <stp/>
        <stp>BDH|8414354394783510297</stp>
        <tr r="X17" s="18"/>
      </tp>
      <tp t="e">
        <v>#N/A</v>
        <stp/>
        <stp>BDH|4233623538882370028</stp>
        <tr r="Q13" s="22"/>
      </tp>
      <tp t="e">
        <v>#N/A</v>
        <stp/>
        <stp>BDH|8773053381204894729</stp>
        <tr r="Z19" s="18"/>
      </tp>
      <tp t="e">
        <v>#N/A</v>
        <stp/>
        <stp>BDH|7828185135701508796</stp>
        <tr r="C11" s="20"/>
        <tr r="C116" s="18"/>
      </tp>
      <tp t="e">
        <v>#N/A</v>
        <stp/>
        <stp>BDH|2700913536972866915</stp>
        <tr r="N162" s="18"/>
      </tp>
      <tp t="e">
        <v>#N/A</v>
        <stp/>
        <stp>BDH|3847248490248340362</stp>
        <tr r="T32" s="12"/>
      </tp>
      <tp t="e">
        <v>#N/A</v>
        <stp/>
        <stp>BDH|6856764446440991684</stp>
        <tr r="Y45" s="13"/>
        <tr r="W40" s="10"/>
        <tr r="W29" s="11"/>
      </tp>
      <tp t="e">
        <v>#N/A</v>
        <stp/>
        <stp>BDH|9076441945422893803</stp>
        <tr r="H9" s="34"/>
      </tp>
      <tp t="e">
        <v>#N/A</v>
        <stp/>
        <stp>BDH|8888506551319123217</stp>
        <tr r="E69" s="17"/>
        <tr r="E18" s="3"/>
      </tp>
      <tp t="e">
        <v>#N/A</v>
        <stp/>
        <stp>BDH|4857659230835592716</stp>
        <tr r="Y90" s="17"/>
      </tp>
      <tp t="e">
        <v>#N/A</v>
        <stp/>
        <stp>BDH|8733763036038885763</stp>
        <tr r="V44" s="13"/>
        <tr r="T36" s="11"/>
        <tr r="T47" s="10"/>
        <tr r="T52" s="4"/>
        <tr r="V8" s="3"/>
      </tp>
      <tp t="e">
        <v>#N/A</v>
        <stp/>
        <stp>BDH|2972504675425441618</stp>
        <tr r="T141" s="18"/>
      </tp>
      <tp t="e">
        <v>#N/A</v>
        <stp/>
        <stp>BDH|8441526088280783603</stp>
        <tr r="W35" s="22"/>
      </tp>
      <tp t="e">
        <v>#N/A</v>
        <stp/>
        <stp>BDH|8465801439251381177</stp>
        <tr r="H42" s="24"/>
      </tp>
      <tp t="e">
        <v>#N/A</v>
        <stp/>
        <stp>BDH|3677743712745093390</stp>
        <tr r="Q99" s="18"/>
      </tp>
      <tp t="e">
        <v>#N/A</v>
        <stp/>
        <stp>BDH|3573912666658375789</stp>
        <tr r="N11" s="20"/>
        <tr r="N116" s="18"/>
      </tp>
      <tp t="e">
        <v>#N/A</v>
        <stp/>
        <stp>BDH|7306611299332787957</stp>
        <tr r="I52" s="18"/>
      </tp>
      <tp t="e">
        <v>#N/A</v>
        <stp/>
        <stp>BDH|9057356596208393895</stp>
        <tr r="T36" s="12"/>
      </tp>
      <tp t="e">
        <v>#N/A</v>
        <stp/>
        <stp>BDH|4806169234805789044</stp>
        <tr r="I27" s="22"/>
      </tp>
      <tp t="e">
        <v>#N/A</v>
        <stp/>
        <stp>BDH|4289293064070730315</stp>
        <tr r="F33" s="6"/>
      </tp>
      <tp t="e">
        <v>#N/A</v>
        <stp/>
        <stp>BDH|6385201952221107396</stp>
        <tr r="Z17" s="22"/>
      </tp>
      <tp t="e">
        <v>#N/A</v>
        <stp/>
        <stp>BDH|4685543403013904117</stp>
        <tr r="H15" s="30"/>
      </tp>
      <tp t="e">
        <v>#N/A</v>
        <stp/>
        <stp>BDH|7688792922772652324</stp>
        <tr r="F45" s="34"/>
      </tp>
      <tp t="e">
        <v>#N/A</v>
        <stp/>
        <stp>BDH|6280501068792408472</stp>
        <tr r="C22" s="20"/>
      </tp>
      <tp t="e">
        <v>#N/A</v>
        <stp/>
        <stp>BDH|2311058686261073890</stp>
        <tr r="O12" s="17"/>
      </tp>
      <tp t="e">
        <v>#N/A</v>
        <stp/>
        <stp>BDH|5996520296362571811</stp>
        <tr r="C62" s="13"/>
      </tp>
      <tp t="e">
        <v>#N/A</v>
        <stp/>
        <stp>BDH|9424433808136199876</stp>
        <tr r="Y14" s="10"/>
      </tp>
      <tp t="e">
        <v>#N/A</v>
        <stp/>
        <stp>BDH|6679703734837800633</stp>
        <tr r="I169" s="18"/>
      </tp>
      <tp t="e">
        <v>#N/A</v>
        <stp/>
        <stp>BDH|2452996114941978892</stp>
        <tr r="Q63" s="17"/>
      </tp>
      <tp t="e">
        <v>#N/A</v>
        <stp/>
        <stp>BDH|5441478509725357700</stp>
        <tr r="W60" s="17"/>
      </tp>
      <tp t="e">
        <v>#N/A</v>
        <stp/>
        <stp>BDH|4460222948618682914</stp>
        <tr r="Q53" s="34"/>
      </tp>
      <tp t="e">
        <v>#N/A</v>
        <stp/>
        <stp>BDH|1006885021259143162</stp>
        <tr r="E34" s="18"/>
      </tp>
      <tp t="e">
        <v>#N/A</v>
        <stp/>
        <stp>BDH|3270862530289951233</stp>
        <tr r="K14" s="23"/>
      </tp>
      <tp t="e">
        <v>#N/A</v>
        <stp/>
        <stp>BDH|4148396173313100040</stp>
        <tr r="D73" s="18"/>
      </tp>
      <tp t="e">
        <v>#N/A</v>
        <stp/>
        <stp>BDH|5419064430737516292</stp>
        <tr r="F24" s="10"/>
      </tp>
      <tp t="e">
        <v>#N/A</v>
        <stp/>
        <stp>BDH|7312196052642354254</stp>
        <tr r="X9" s="17"/>
      </tp>
      <tp t="e">
        <v>#N/A</v>
        <stp/>
        <stp>BDH|7423460659391772426</stp>
        <tr r="D39" s="24"/>
      </tp>
      <tp t="e">
        <v>#N/A</v>
        <stp/>
        <stp>BDH|7492217158901449273</stp>
        <tr r="P15" s="18"/>
      </tp>
      <tp t="e">
        <v>#N/A</v>
        <stp/>
        <stp>BDH|1600555072114664491</stp>
        <tr r="S13" s="28"/>
        <tr r="S95" s="17"/>
      </tp>
      <tp t="e">
        <v>#N/A</v>
        <stp/>
        <stp>BDH|6565940259148226147</stp>
        <tr r="U21" s="22"/>
      </tp>
      <tp t="e">
        <v>#N/A</v>
        <stp/>
        <stp>BDH|4287025445195897637</stp>
        <tr r="P37" s="18"/>
      </tp>
      <tp t="e">
        <v>#N/A</v>
        <stp/>
        <stp>BDH|6539631442422967532</stp>
        <tr r="G16" s="27"/>
        <tr r="G34" s="25"/>
      </tp>
      <tp t="e">
        <v>#N/A</v>
        <stp/>
        <stp>BDH|3651604642671309395</stp>
        <tr r="M23" s="25"/>
      </tp>
      <tp t="e">
        <v>#N/A</v>
        <stp/>
        <stp>BDH|4440610043803094680</stp>
        <tr r="AA106" s="18"/>
      </tp>
      <tp t="e">
        <v>#N/A</v>
        <stp/>
        <stp>BDH|9859417380576559027</stp>
        <tr r="D55" s="21"/>
      </tp>
      <tp t="e">
        <v>#N/A</v>
        <stp/>
        <stp>BDH|2557401548122695359</stp>
        <tr r="P13" s="12"/>
      </tp>
      <tp t="e">
        <v>#N/A</v>
        <stp/>
        <stp>BDH|8098900735905835436</stp>
        <tr r="G74" s="12"/>
      </tp>
      <tp t="e">
        <v>#N/A</v>
        <stp/>
        <stp>BDH|3467591218063368784</stp>
        <tr r="F11" s="11"/>
      </tp>
      <tp t="e">
        <v>#N/A</v>
        <stp/>
        <stp>BDH|5916312430113038564</stp>
        <tr r="V61" s="21"/>
        <tr r="T25" s="2"/>
      </tp>
      <tp t="e">
        <v>#N/A</v>
        <stp/>
        <stp>BDH|7658932187020518592</stp>
        <tr r="H9" s="13"/>
      </tp>
      <tp t="e">
        <v>#N/A</v>
        <stp/>
        <stp>BDH|3548123478173777565</stp>
        <tr r="W61" s="21"/>
        <tr r="U25" s="2"/>
      </tp>
      <tp t="e">
        <v>#N/A</v>
        <stp/>
        <stp>BDH|4093715028557770509</stp>
        <tr r="C67" s="24"/>
      </tp>
      <tp t="e">
        <v>#N/A</v>
        <stp/>
        <stp>BDH|1050495156622584149</stp>
        <tr r="AA13" s="28"/>
        <tr r="AA95" s="17"/>
      </tp>
      <tp t="e">
        <v>#N/A</v>
        <stp/>
        <stp>BDH|9018485717517279831</stp>
        <tr r="Y68" s="12"/>
      </tp>
      <tp t="e">
        <v>#N/A</v>
        <stp/>
        <stp>BDH|6967842261558073321</stp>
        <tr r="T48" s="34"/>
      </tp>
      <tp t="e">
        <v>#N/A</v>
        <stp/>
        <stp>BDH|8359825358796630013</stp>
        <tr r="M50" s="18"/>
      </tp>
      <tp t="e">
        <v>#N/A</v>
        <stp/>
        <stp>BDH|1121421164129017995</stp>
        <tr r="V78" s="24"/>
      </tp>
      <tp t="e">
        <v>#N/A</v>
        <stp/>
        <stp>BDH|3401278161814516097</stp>
        <tr r="P9" s="23"/>
      </tp>
      <tp t="e">
        <v>#N/A</v>
        <stp/>
        <stp>BDH|1738030109253325105</stp>
        <tr r="G45" s="13"/>
        <tr r="E29" s="11"/>
        <tr r="E40" s="10"/>
      </tp>
      <tp t="e">
        <v>#N/A</v>
        <stp/>
        <stp>BDH|1821340460607192034</stp>
        <tr r="AA25" s="13"/>
      </tp>
      <tp t="e">
        <v>#N/A</v>
        <stp/>
        <stp>BDH|8708822459841200703</stp>
        <tr r="E20" s="25"/>
      </tp>
      <tp t="e">
        <v>#N/A</v>
        <stp/>
        <stp>BDH|2562570103033745789</stp>
        <tr r="Z65" s="13"/>
      </tp>
      <tp t="e">
        <v>#N/A</v>
        <stp/>
        <stp>BDH|4994904742403323960</stp>
        <tr r="F25" s="17"/>
      </tp>
      <tp t="e">
        <v>#N/A</v>
        <stp/>
        <stp>BDH|5432189275773269350</stp>
        <tr r="W62" s="12"/>
      </tp>
      <tp t="e">
        <v>#N/A</v>
        <stp/>
        <stp>BDH|2799515149524509443</stp>
        <tr r="Q31" s="9"/>
      </tp>
      <tp t="e">
        <v>#N/A</v>
        <stp/>
        <stp>BDH|6790562713014516597</stp>
        <tr r="Q46" s="17"/>
      </tp>
      <tp t="e">
        <v>#N/A</v>
        <stp/>
        <stp>BDH|5971030155862358127</stp>
        <tr r="X22" s="9"/>
      </tp>
      <tp t="e">
        <v>#N/A</v>
        <stp/>
        <stp>BDH|7139022609091286565</stp>
        <tr r="J27" s="25"/>
        <tr r="H20" s="11"/>
      </tp>
      <tp t="e">
        <v>#N/A</v>
        <stp/>
        <stp>BDH|4585080120261664453</stp>
        <tr r="Z10" s="27"/>
        <tr r="Z29" s="25"/>
      </tp>
      <tp t="e">
        <v>#N/A</v>
        <stp/>
        <stp>BDH|6562826527836617986</stp>
        <tr r="F18" s="24"/>
      </tp>
      <tp t="e">
        <v>#N/A</v>
        <stp/>
        <stp>BDH|1545787479986340491</stp>
        <tr r="T13" s="30"/>
      </tp>
      <tp t="e">
        <v>#N/A</v>
        <stp/>
        <stp>BDH|5584804468130367805</stp>
        <tr r="D13" s="11"/>
      </tp>
      <tp t="e">
        <v>#N/A</v>
        <stp/>
        <stp>BDH|4491492426214261571</stp>
        <tr r="Y26" s="22"/>
      </tp>
      <tp t="e">
        <v>#N/A</v>
        <stp/>
        <stp>BDH|4525347323946575095</stp>
        <tr r="J31" s="22"/>
      </tp>
      <tp t="e">
        <v>#N/A</v>
        <stp/>
        <stp>BDH|7633717617212606088</stp>
        <tr r="J34" s="22"/>
      </tp>
      <tp t="e">
        <v>#N/A</v>
        <stp/>
        <stp>BDH|5442263259733000241</stp>
        <tr r="R70" s="18"/>
      </tp>
      <tp t="e">
        <v>#N/A</v>
        <stp/>
        <stp>BDH|4018108484036882830</stp>
        <tr r="Q152" s="18"/>
      </tp>
      <tp t="e">
        <v>#N/A</v>
        <stp/>
        <stp>BDH|4144023935203173783</stp>
        <tr r="I44" s="6"/>
      </tp>
      <tp t="e">
        <v>#N/A</v>
        <stp/>
        <stp>BDH|3548203092192149993</stp>
        <tr r="Q26" s="13"/>
      </tp>
      <tp t="e">
        <v>#N/A</v>
        <stp/>
        <stp>BDH|3604727580716899938</stp>
        <tr r="L124" s="18"/>
      </tp>
      <tp t="e">
        <v>#N/A</v>
        <stp/>
        <stp>BDH|6966229964034465548</stp>
        <tr r="L96" s="18"/>
      </tp>
      <tp t="e">
        <v>#N/A</v>
        <stp/>
        <stp>BDH|2547410243705807403</stp>
        <tr r="U165" s="18"/>
      </tp>
      <tp t="e">
        <v>#N/A</v>
        <stp/>
        <stp>BDH|6187678364136825351</stp>
        <tr r="X18" s="9"/>
      </tp>
      <tp t="e">
        <v>#N/A</v>
        <stp/>
        <stp>BDH|3696088917765567432</stp>
        <tr r="Z29" s="26"/>
      </tp>
      <tp t="e">
        <v>#N/A</v>
        <stp/>
        <stp>BDH|9861365981724661560</stp>
        <tr r="C33" s="5"/>
      </tp>
      <tp t="e">
        <v>#N/A</v>
        <stp/>
        <stp>BDH|6298043926761802678</stp>
        <tr r="N19" s="12"/>
      </tp>
      <tp t="e">
        <v>#N/A</v>
        <stp/>
        <stp>BDH|7072582298020625892</stp>
        <tr r="D78" s="18"/>
      </tp>
      <tp t="e">
        <v>#N/A</v>
        <stp/>
        <stp>BDH|2413991474728135771</stp>
        <tr r="K8" s="34"/>
      </tp>
      <tp t="e">
        <v>#N/A</v>
        <stp/>
        <stp>BDH|2010230075427970307</stp>
        <tr r="Q12" s="20"/>
        <tr r="Q117" s="18"/>
      </tp>
      <tp t="e">
        <v>#N/A</v>
        <stp/>
        <stp>BDH|5014158647272589186</stp>
        <tr r="F12" s="6"/>
      </tp>
      <tp t="e">
        <v>#N/A</v>
        <stp/>
        <stp>BDH|6969805718775657984</stp>
        <tr r="U163" s="18"/>
      </tp>
      <tp t="e">
        <v>#N/A</v>
        <stp/>
        <stp>BDH|4941040823213741667</stp>
        <tr r="K42" s="26"/>
      </tp>
      <tp t="e">
        <v>#N/A</v>
        <stp/>
        <stp>BDH|6075565958211679473</stp>
        <tr r="E42" s="29"/>
        <tr r="E33" s="29"/>
        <tr r="C55" s="6"/>
        <tr r="D10" s="2"/>
        <tr r="C11" s="5"/>
      </tp>
      <tp t="e">
        <v>#N/A</v>
        <stp/>
        <stp>BDH|1887219637912687174</stp>
        <tr r="S67" s="18"/>
      </tp>
      <tp t="e">
        <v>#N/A</v>
        <stp/>
        <stp>BDH|1225126703554418784</stp>
        <tr r="V136" s="18"/>
      </tp>
      <tp t="e">
        <v>#N/A</v>
        <stp/>
        <stp>BDH|4490980385154374258</stp>
        <tr r="O129" s="18"/>
      </tp>
      <tp t="e">
        <v>#N/A</v>
        <stp/>
        <stp>BDH|2716291362786567366</stp>
        <tr r="Q75" s="24"/>
      </tp>
      <tp t="e">
        <v>#N/A</v>
        <stp/>
        <stp>BDH|9087373095614835458</stp>
        <tr r="N39" s="25"/>
      </tp>
      <tp t="e">
        <v>#N/A</v>
        <stp/>
        <stp>BDH|2750429155498787886</stp>
        <tr r="K24" s="17"/>
      </tp>
      <tp t="e">
        <v>#N/A</v>
        <stp/>
        <stp>BDH|8788503904498505696</stp>
        <tr r="Z27" s="17"/>
      </tp>
      <tp t="e">
        <v>#N/A</v>
        <stp/>
        <stp>BDH|7814046204737397341</stp>
        <tr r="O19" s="25"/>
      </tp>
      <tp t="e">
        <v>#N/A</v>
        <stp/>
        <stp>BDH|3464765549677795434</stp>
        <tr r="D64" s="21"/>
      </tp>
      <tp t="e">
        <v>#N/A</v>
        <stp/>
        <stp>BDH|5037791695951445974</stp>
        <tr r="P147" s="18"/>
      </tp>
      <tp t="e">
        <v>#N/A</v>
        <stp/>
        <stp>BDH|6138512304178397882</stp>
        <tr r="L9" s="28"/>
      </tp>
      <tp t="e">
        <v>#N/A</v>
        <stp/>
        <stp>BDH|2207772914886782198</stp>
        <tr r="L98" s="18"/>
      </tp>
      <tp t="e">
        <v>#N/A</v>
        <stp/>
        <stp>BDH|7282479985888613092</stp>
        <tr r="O102" s="18"/>
      </tp>
      <tp t="e">
        <v>#N/A</v>
        <stp/>
        <stp>BDH|8708032527911845845</stp>
        <tr r="Z65" s="24"/>
      </tp>
      <tp t="e">
        <v>#N/A</v>
        <stp/>
        <stp>BDH|2165869078306381839</stp>
        <tr r="C13" s="18"/>
      </tp>
      <tp t="e">
        <v>#N/A</v>
        <stp/>
        <stp>BDH|8507254909610368959</stp>
        <tr r="I23" s="6"/>
      </tp>
      <tp t="e">
        <v>#N/A</v>
        <stp/>
        <stp>BDH|2966137932181098274</stp>
        <tr r="AA88" s="17"/>
      </tp>
      <tp t="e">
        <v>#N/A</v>
        <stp/>
        <stp>BDH|2667520524655691395</stp>
        <tr r="H9" s="10"/>
      </tp>
      <tp t="e">
        <v>#N/A</v>
        <stp/>
        <stp>BDH|1380533561732918371</stp>
        <tr r="W97" s="12"/>
      </tp>
      <tp t="e">
        <v>#N/A</v>
        <stp/>
        <stp>BDH|3988565366015642605</stp>
        <tr r="P68" s="12"/>
      </tp>
      <tp t="e">
        <v>#N/A</v>
        <stp/>
        <stp>BDH|4983397456759035894</stp>
        <tr r="N70" s="13"/>
      </tp>
      <tp t="e">
        <v>#N/A</v>
        <stp/>
        <stp>BDH|9488824866484724085</stp>
        <tr r="G71" s="17"/>
      </tp>
      <tp t="e">
        <v>#N/A</v>
        <stp/>
        <stp>BDH|5779090953863611040</stp>
        <tr r="R19" s="9"/>
      </tp>
      <tp t="e">
        <v>#N/A</v>
        <stp/>
        <stp>BDH|7599156309591423426</stp>
        <tr r="O39" s="18"/>
      </tp>
      <tp t="e">
        <v>#N/A</v>
        <stp/>
        <stp>BDH|4142824399464124248</stp>
        <tr r="O36" s="26"/>
      </tp>
      <tp t="e">
        <v>#N/A</v>
        <stp/>
        <stp>BDH|3954956087627589613</stp>
        <tr r="F22" s="20"/>
      </tp>
      <tp t="e">
        <v>#N/A</v>
        <stp/>
        <stp>BDH|4504065265729971834</stp>
        <tr r="X127" s="18"/>
      </tp>
      <tp t="e">
        <v>#N/A</v>
        <stp/>
        <stp>BDH|3573977455949305588</stp>
        <tr r="D43" s="25"/>
        <tr r="D22" s="13"/>
        <tr r="D7" s="13"/>
        <tr r="D7" s="3"/>
      </tp>
      <tp t="e">
        <v>#N/A</v>
        <stp/>
        <stp>BDH|4013795045365545152</stp>
        <tr r="Z56" s="18"/>
      </tp>
      <tp t="e">
        <v>#N/A</v>
        <stp/>
        <stp>BDH|9926680517574257983</stp>
        <tr r="L14" s="12"/>
      </tp>
      <tp t="e">
        <v>#N/A</v>
        <stp/>
        <stp>BDH|7707391631583075732</stp>
        <tr r="C54" s="13"/>
      </tp>
      <tp t="e">
        <v>#N/A</v>
        <stp/>
        <stp>BDH|6751762047545268385</stp>
        <tr r="S9" s="27"/>
      </tp>
      <tp t="e">
        <v>#N/A</v>
        <stp/>
        <stp>BDH|9357410226185964913</stp>
        <tr r="K27" s="7"/>
      </tp>
      <tp t="e">
        <v>#N/A</v>
        <stp/>
        <stp>BDH|1376524421011946457</stp>
        <tr r="U146" s="18"/>
      </tp>
      <tp t="e">
        <v>#N/A</v>
        <stp/>
        <stp>BDH|9065954908252217131</stp>
        <tr r="F29" s="9"/>
      </tp>
      <tp t="e">
        <v>#N/A</v>
        <stp/>
        <stp>BDH|4262647505724630596</stp>
        <tr r="U13" s="28"/>
        <tr r="U95" s="17"/>
      </tp>
      <tp t="e">
        <v>#N/A</v>
        <stp/>
        <stp>BDH|1848623335811056639</stp>
        <tr r="K19" s="11"/>
      </tp>
      <tp t="e">
        <v>#N/A</v>
        <stp/>
        <stp>BDH|2239125301849942949</stp>
        <tr r="Z75" s="18"/>
      </tp>
      <tp t="e">
        <v>#N/A</v>
        <stp/>
        <stp>BDH|7486858195361915410</stp>
        <tr r="I34" s="18"/>
      </tp>
      <tp t="e">
        <v>#N/A</v>
        <stp/>
        <stp>BDH|3730259370801680488</stp>
        <tr r="L10" s="26"/>
      </tp>
      <tp t="e">
        <v>#N/A</v>
        <stp/>
        <stp>BDH|6281686302845315675</stp>
        <tr r="N12" s="11"/>
      </tp>
      <tp t="e">
        <v>#N/A</v>
        <stp/>
        <stp>BDH|3488529100450842523</stp>
        <tr r="I21" s="14"/>
      </tp>
      <tp t="e">
        <v>#N/A</v>
        <stp/>
        <stp>BDH|3322653884099738790</stp>
        <tr r="H24" s="21"/>
      </tp>
      <tp t="e">
        <v>#N/A</v>
        <stp/>
        <stp>BDH|2433961525003972920</stp>
        <tr r="X73" s="18"/>
      </tp>
      <tp t="e">
        <v>#N/A</v>
        <stp/>
        <stp>BDH|3233233321523997359</stp>
        <tr r="L30" s="21"/>
      </tp>
      <tp t="e">
        <v>#N/A</v>
        <stp/>
        <stp>BDH|2626228738867355732</stp>
        <tr r="K23" s="6"/>
      </tp>
      <tp t="e">
        <v>#N/A</v>
        <stp/>
        <stp>BDH|2750688155297297543</stp>
        <tr r="H28" s="9"/>
        <tr r="H30" s="5"/>
      </tp>
      <tp t="e">
        <v>#N/A</v>
        <stp/>
        <stp>BDH|9434311864106805954</stp>
        <tr r="G39" s="18"/>
      </tp>
      <tp t="e">
        <v>#N/A</v>
        <stp/>
        <stp>BDH|4836868413367571949</stp>
        <tr r="X62" s="12"/>
      </tp>
      <tp t="e">
        <v>#N/A</v>
        <stp/>
        <stp>BDH|4221361259266515746</stp>
        <tr r="Z26" s="21"/>
      </tp>
      <tp t="e">
        <v>#N/A</v>
        <stp/>
        <stp>BDH|1356257491680218993</stp>
        <tr r="S13" s="9"/>
      </tp>
      <tp t="e">
        <v>#N/A</v>
        <stp/>
        <stp>BDH|2823774296967105849</stp>
        <tr r="R86" s="17"/>
      </tp>
      <tp t="e">
        <v>#N/A</v>
        <stp/>
        <stp>BDH|8505037284534724798</stp>
        <tr r="L39" s="29"/>
        <tr r="L16" s="29"/>
      </tp>
      <tp t="e">
        <v>#N/A</v>
        <stp/>
        <stp>BDH|6251229116702851426</stp>
        <tr r="W70" s="13"/>
      </tp>
      <tp t="e">
        <v>#N/A</v>
        <stp/>
        <stp>BDH|1571799557782513220</stp>
        <tr r="Z24" s="22"/>
      </tp>
      <tp t="e">
        <v>#N/A</v>
        <stp/>
        <stp>BDH|6127397477030648159</stp>
        <tr r="Y20" s="25"/>
      </tp>
      <tp t="e">
        <v>#N/A</v>
        <stp/>
        <stp>BDH|1244095344447188125</stp>
        <tr r="C174" s="18"/>
      </tp>
      <tp t="e">
        <v>#N/A</v>
        <stp/>
        <stp>BDH|1294587836727364334</stp>
        <tr r="V9" s="12"/>
      </tp>
      <tp t="e">
        <v>#N/A</v>
        <stp/>
        <stp>BDH|4081681563300622712</stp>
        <tr r="J71" s="12"/>
      </tp>
      <tp t="e">
        <v>#N/A</v>
        <stp/>
        <stp>BDH|6997313166766779650</stp>
        <tr r="P29" s="26"/>
      </tp>
      <tp t="e">
        <v>#N/A</v>
        <stp/>
        <stp>BDH|3683469715966178385</stp>
        <tr r="M35" s="21"/>
      </tp>
      <tp t="e">
        <v>#N/A</v>
        <stp/>
        <stp>BDH|7529383603534210308</stp>
        <tr r="Z25" s="29"/>
        <tr r="Z19" s="29"/>
        <tr r="Z10" s="29"/>
        <tr r="Z12" s="8"/>
        <tr r="X6" s="9"/>
        <tr r="Y6" s="2"/>
        <tr r="X6" s="5"/>
      </tp>
      <tp t="e">
        <v>#N/A</v>
        <stp/>
        <stp>BDH|5977588417214876626</stp>
        <tr r="D37" s="13"/>
      </tp>
      <tp t="e">
        <v>#N/A</v>
        <stp/>
        <stp>BDH|1686463047784209690</stp>
        <tr r="D18" s="13"/>
      </tp>
      <tp t="e">
        <v>#N/A</v>
        <stp/>
        <stp>BDH|1686147694068254286</stp>
        <tr r="AA9" s="24"/>
      </tp>
      <tp t="e">
        <v>#N/A</v>
        <stp/>
        <stp>BDH|5300399934235260301</stp>
        <tr r="R7" s="17"/>
      </tp>
      <tp t="e">
        <v>#N/A</v>
        <stp/>
        <stp>BDH|8142452609737289836</stp>
        <tr r="K25" s="17"/>
      </tp>
      <tp t="e">
        <v>#N/A</v>
        <stp/>
        <stp>BDH|5360209336604962301</stp>
        <tr r="L48" s="22"/>
      </tp>
      <tp t="e">
        <v>#N/A</v>
        <stp/>
        <stp>BDH|6027256340646143588</stp>
        <tr r="O21" s="14"/>
      </tp>
      <tp t="e">
        <v>#N/A</v>
        <stp/>
        <stp>BDH|2263555762301013380</stp>
        <tr r="K21" s="30"/>
      </tp>
      <tp t="e">
        <v>#N/A</v>
        <stp/>
        <stp>BDH|2618426851817971719</stp>
        <tr r="R24" s="11"/>
        <tr r="R35" s="10"/>
      </tp>
      <tp t="e">
        <v>#N/A</v>
        <stp/>
        <stp>BDH|4709895993964997294</stp>
        <tr r="U42" s="6"/>
      </tp>
      <tp t="e">
        <v>#N/A</v>
        <stp/>
        <stp>BDH|1826256610232539354</stp>
        <tr r="V96" s="18"/>
      </tp>
      <tp t="e">
        <v>#N/A</v>
        <stp/>
        <stp>BDH|8894222191649290944</stp>
        <tr r="J36" s="12"/>
      </tp>
      <tp t="e">
        <v>#N/A</v>
        <stp/>
        <stp>BDH|4429024573106956612</stp>
        <tr r="E68" s="24"/>
      </tp>
      <tp t="e">
        <v>#N/A</v>
        <stp/>
        <stp>BDH|4491247533326672089</stp>
        <tr r="F8" s="4"/>
      </tp>
      <tp t="e">
        <v>#N/A</v>
        <stp/>
        <stp>BDH|6182787432952539336</stp>
        <tr r="F51" s="22"/>
      </tp>
      <tp t="e">
        <v>#N/A</v>
        <stp/>
        <stp>BDH|1623052300596769491</stp>
        <tr r="R9" s="18"/>
      </tp>
      <tp t="e">
        <v>#N/A</v>
        <stp/>
        <stp>BDH|7891265567606699621</stp>
        <tr r="U12" s="24"/>
      </tp>
      <tp t="e">
        <v>#N/A</v>
        <stp/>
        <stp>BDH|1279026632867687693</stp>
        <tr r="O42" s="24"/>
      </tp>
      <tp t="e">
        <v>#N/A</v>
        <stp/>
        <stp>BDH|8936756735598020740</stp>
        <tr r="C41" s="18"/>
      </tp>
      <tp t="e">
        <v>#N/A</v>
        <stp/>
        <stp>BDH|2429053012886893665</stp>
        <tr r="U16" s="10"/>
      </tp>
      <tp t="e">
        <v>#N/A</v>
        <stp/>
        <stp>BDH|2337496415651429564</stp>
        <tr r="U175" s="18"/>
      </tp>
      <tp t="e">
        <v>#N/A</v>
        <stp/>
        <stp>BDH|4539103318633926491</stp>
        <tr r="T33" s="18"/>
      </tp>
      <tp t="e">
        <v>#N/A</v>
        <stp/>
        <stp>BDH|7764388122023622668</stp>
        <tr r="Q93" s="17"/>
      </tp>
      <tp t="e">
        <v>#N/A</v>
        <stp/>
        <stp>BDH|7505090636647630011</stp>
        <tr r="Z18" s="13"/>
      </tp>
      <tp t="e">
        <v>#N/A</v>
        <stp/>
        <stp>BDH|7887056637277301048</stp>
        <tr r="X156" s="18"/>
      </tp>
      <tp t="e">
        <v>#N/A</v>
        <stp/>
        <stp>BDH|6339645866057505292</stp>
        <tr r="U17" s="30"/>
      </tp>
      <tp t="e">
        <v>#N/A</v>
        <stp/>
        <stp>BDH|3273935081170876150</stp>
        <tr r="K24" s="13"/>
      </tp>
      <tp t="e">
        <v>#N/A</v>
        <stp/>
        <stp>BDH|3594792998339897715</stp>
        <tr r="D109" s="18"/>
      </tp>
      <tp t="e">
        <v>#N/A</v>
        <stp/>
        <stp>BDH|3617966146065934823</stp>
        <tr r="U9" s="17"/>
      </tp>
      <tp t="e">
        <v>#N/A</v>
        <stp/>
        <stp>BDH|4629026763376269786</stp>
        <tr r="M43" s="4"/>
      </tp>
      <tp t="e">
        <v>#N/A</v>
        <stp/>
        <stp>BDH|5239184040236732501</stp>
        <tr r="F38" s="34"/>
      </tp>
      <tp t="e">
        <v>#N/A</v>
        <stp/>
        <stp>BDH|3523590711055224126</stp>
        <tr r="M14" s="20"/>
        <tr r="M119" s="18"/>
      </tp>
      <tp t="e">
        <v>#N/A</v>
        <stp/>
        <stp>BDH|8708224833048290295</stp>
        <tr r="H138" s="18"/>
      </tp>
      <tp t="e">
        <v>#N/A</v>
        <stp/>
        <stp>BDH|3207609520545838177</stp>
        <tr r="X33" s="13"/>
        <tr r="V26" s="10"/>
      </tp>
      <tp t="e">
        <v>#N/A</v>
        <stp/>
        <stp>BDH|1973003831756531708</stp>
        <tr r="AA31" s="26"/>
      </tp>
      <tp t="e">
        <v>#N/A</v>
        <stp/>
        <stp>BDH|7999984229528522701</stp>
        <tr r="K89" s="12"/>
      </tp>
      <tp t="e">
        <v>#N/A</v>
        <stp/>
        <stp>BDH|1906066272537282226</stp>
        <tr r="S46" s="17"/>
      </tp>
      <tp t="e">
        <v>#N/A</v>
        <stp/>
        <stp>BDH|4099581374922855799</stp>
        <tr r="N15" s="9"/>
      </tp>
      <tp t="e">
        <v>#N/A</v>
        <stp/>
        <stp>BDH|4661966569649791133</stp>
        <tr r="I18" s="9"/>
      </tp>
      <tp t="e">
        <v>#N/A</v>
        <stp/>
        <stp>BDH|7572121010884973036</stp>
        <tr r="N14" s="34"/>
      </tp>
      <tp t="e">
        <v>#N/A</v>
        <stp/>
        <stp>BDH|4963032834801022530</stp>
        <tr r="F28" s="34"/>
      </tp>
      <tp t="e">
        <v>#N/A</v>
        <stp/>
        <stp>BDH|1000352706642835396</stp>
        <tr r="F28" s="4"/>
      </tp>
      <tp t="e">
        <v>#N/A</v>
        <stp/>
        <stp>BDH|1303985922979990024</stp>
        <tr r="Z46" s="13"/>
        <tr r="X30" s="11"/>
        <tr r="X41" s="10"/>
      </tp>
      <tp t="e">
        <v>#N/A</v>
        <stp/>
        <stp>BDH|6128407951496232202</stp>
        <tr r="V43" s="24"/>
      </tp>
      <tp t="e">
        <v>#N/A</v>
        <stp/>
        <stp>BDH|5699769757751440513</stp>
        <tr r="M39" s="18"/>
      </tp>
      <tp t="e">
        <v>#N/A</v>
        <stp/>
        <stp>BDH|9322861486362404853</stp>
        <tr r="D19" s="23"/>
      </tp>
      <tp t="e">
        <v>#N/A</v>
        <stp/>
        <stp>BDH|6382241006955551266</stp>
        <tr r="K35" s="24"/>
      </tp>
      <tp t="e">
        <v>#N/A</v>
        <stp/>
        <stp>BDH|4275747808465976550</stp>
        <tr r="V21" s="24"/>
      </tp>
      <tp t="e">
        <v>#N/A</v>
        <stp/>
        <stp>BDH|5409413776205871095</stp>
        <tr r="U12" s="22"/>
      </tp>
      <tp t="e">
        <v>#N/A</v>
        <stp/>
        <stp>BDH|4884796970622424579</stp>
        <tr r="X15" s="18"/>
      </tp>
      <tp t="e">
        <v>#N/A</v>
        <stp/>
        <stp>BDH|9026028397061698210</stp>
        <tr r="Z13" s="20"/>
        <tr r="Z118" s="18"/>
      </tp>
      <tp t="e">
        <v>#N/A</v>
        <stp/>
        <stp>BDH|1524523970591655133</stp>
        <tr r="R18" s="10"/>
      </tp>
      <tp t="e">
        <v>#N/A</v>
        <stp/>
        <stp>BDH|6526460798019192189</stp>
        <tr r="D37" s="24"/>
      </tp>
      <tp t="e">
        <v>#N/A</v>
        <stp/>
        <stp>BDH|1608491266043972324</stp>
        <tr r="P52" s="18"/>
      </tp>
      <tp t="e">
        <v>#N/A</v>
        <stp/>
        <stp>BDH|2324356556204107333</stp>
        <tr r="Y7" s="23"/>
      </tp>
      <tp t="e">
        <v>#N/A</v>
        <stp/>
        <stp>BDH|3446516634202406475</stp>
        <tr r="X30" s="26"/>
      </tp>
      <tp t="e">
        <v>#N/A</v>
        <stp/>
        <stp>BDH|9737424846708268233</stp>
        <tr r="G20" s="24"/>
      </tp>
      <tp t="e">
        <v>#N/A</v>
        <stp/>
        <stp>BDH|4220072058705642796</stp>
        <tr r="E45" s="34"/>
      </tp>
      <tp t="e">
        <v>#N/A</v>
        <stp/>
        <stp>BDH|4151381931104364396</stp>
        <tr r="U66" s="21"/>
      </tp>
      <tp t="e">
        <v>#N/A</v>
        <stp/>
        <stp>BDH|1475421682999734719</stp>
        <tr r="M25" s="18"/>
      </tp>
      <tp t="e">
        <v>#N/A</v>
        <stp/>
        <stp>BDH|3589293172822432785</stp>
        <tr r="M11" s="24"/>
      </tp>
      <tp t="e">
        <v>#N/A</v>
        <stp/>
        <stp>BDH|7861524395110839855</stp>
        <tr r="L61" s="11"/>
      </tp>
      <tp t="e">
        <v>#N/A</v>
        <stp/>
        <stp>BDH|5903078564832954212</stp>
        <tr r="V30" s="14"/>
      </tp>
      <tp t="e">
        <v>#N/A</v>
        <stp/>
        <stp>BDH|1198567814116293031</stp>
        <tr r="X22" s="12"/>
      </tp>
      <tp t="e">
        <v>#N/A</v>
        <stp/>
        <stp>BDH|8036273280112550302</stp>
        <tr r="O164" s="18"/>
      </tp>
      <tp t="e">
        <v>#N/A</v>
        <stp/>
        <stp>BDH|3702470111761634452</stp>
        <tr r="H64" s="12"/>
      </tp>
      <tp t="e">
        <v>#N/A</v>
        <stp/>
        <stp>BDH|1778725807620778575</stp>
        <tr r="I160" s="18"/>
      </tp>
      <tp t="e">
        <v>#N/A</v>
        <stp/>
        <stp>BDH|4819242819061381542</stp>
        <tr r="AA22" s="18"/>
      </tp>
      <tp t="e">
        <v>#N/A</v>
        <stp/>
        <stp>BDH|4051173156234782745</stp>
        <tr r="C113" s="18"/>
        <tr r="C7" s="20"/>
      </tp>
      <tp t="e">
        <v>#N/A</v>
        <stp/>
        <stp>BDH|8584462326608764503</stp>
        <tr r="AA78" s="24"/>
      </tp>
      <tp t="e">
        <v>#N/A</v>
        <stp/>
        <stp>BDH|6553689714047261592</stp>
        <tr r="L7" s="10"/>
      </tp>
      <tp t="e">
        <v>#N/A</v>
        <stp/>
        <stp>BDH|8212908663332144626</stp>
        <tr r="V37" s="34"/>
      </tp>
      <tp t="e">
        <v>#N/A</v>
        <stp/>
        <stp>BDH|1061353756585701168</stp>
        <tr r="I12" s="13"/>
      </tp>
      <tp t="e">
        <v>#N/A</v>
        <stp/>
        <stp>BDH|8766818102504194779</stp>
        <tr r="Y17" s="28"/>
        <tr r="Y14" s="17"/>
      </tp>
      <tp t="e">
        <v>#N/A</v>
        <stp/>
        <stp>BDH|6287396955785953656</stp>
        <tr r="N48" s="18"/>
      </tp>
      <tp t="e">
        <v>#N/A</v>
        <stp/>
        <stp>BDH|1393401475941485003</stp>
        <tr r="L13" s="25"/>
      </tp>
      <tp t="e">
        <v>#N/A</v>
        <stp/>
        <stp>BDH|5595844586002341464</stp>
        <tr r="L21" s="24"/>
      </tp>
      <tp t="e">
        <v>#N/A</v>
        <stp/>
        <stp>BDH|1926638672096264581</stp>
        <tr r="M17" s="18"/>
      </tp>
      <tp t="e">
        <v>#N/A</v>
        <stp/>
        <stp>BDH|3394276806421201326</stp>
        <tr r="F17" s="30"/>
      </tp>
      <tp t="e">
        <v>#N/A</v>
        <stp/>
        <stp>BDH|7836690341825228304</stp>
        <tr r="O32" s="5"/>
      </tp>
      <tp t="e">
        <v>#N/A</v>
        <stp/>
        <stp>BDH|7327880353658809129</stp>
        <tr r="M28" s="21"/>
      </tp>
      <tp t="e">
        <v>#N/A</v>
        <stp/>
        <stp>BDH|1282796350932897212</stp>
        <tr r="L47" s="6"/>
      </tp>
      <tp t="e">
        <v>#N/A</v>
        <stp/>
        <stp>BDH|7670380572043823369</stp>
        <tr r="D28" s="22"/>
      </tp>
      <tp t="e">
        <v>#N/A</v>
        <stp/>
        <stp>BDH|8164888251536367091</stp>
        <tr r="T157" s="18"/>
      </tp>
      <tp t="e">
        <v>#N/A</v>
        <stp/>
        <stp>BDH|8188803556091558702</stp>
        <tr r="O26" s="11"/>
        <tr r="O37" s="10"/>
      </tp>
      <tp t="e">
        <v>#N/A</v>
        <stp/>
        <stp>BDH|3157295625819966960</stp>
        <tr r="S7" s="14"/>
      </tp>
      <tp t="e">
        <v>#N/A</v>
        <stp/>
        <stp>BDH|1723143751565585352</stp>
        <tr r="U51" s="34"/>
      </tp>
      <tp t="e">
        <v>#N/A</v>
        <stp/>
        <stp>BDH|7026531283250561979</stp>
        <tr r="K32" s="26"/>
      </tp>
      <tp t="e">
        <v>#N/A</v>
        <stp/>
        <stp>BDH|1786484768213462316</stp>
        <tr r="R32" s="17"/>
      </tp>
      <tp t="e">
        <v>#N/A</v>
        <stp/>
        <stp>BDH|4491059011671618749</stp>
        <tr r="Q35" s="17"/>
      </tp>
      <tp t="e">
        <v>#N/A</v>
        <stp/>
        <stp>BDH|3557639873364383549</stp>
        <tr r="W35" s="21"/>
      </tp>
      <tp t="e">
        <v>#N/A</v>
        <stp/>
        <stp>BDH|8147517322704320827</stp>
        <tr r="S43" s="21"/>
      </tp>
      <tp t="e">
        <v>#N/A</v>
        <stp/>
        <stp>BDH|4899791870503247408</stp>
        <tr r="U44" s="21"/>
      </tp>
      <tp t="e">
        <v>#N/A</v>
        <stp/>
        <stp>BDH|9564860799133122884</stp>
        <tr r="R84" s="18"/>
      </tp>
      <tp t="e">
        <v>#N/A</v>
        <stp/>
        <stp>BDH|5053912898806965038</stp>
        <tr r="I54" s="34"/>
      </tp>
      <tp t="e">
        <v>#N/A</v>
        <stp/>
        <stp>BDH|1595786218680007468</stp>
        <tr r="J9" s="26"/>
      </tp>
      <tp t="e">
        <v>#N/A</v>
        <stp/>
        <stp>BDH|8675064296542279070</stp>
        <tr r="F7" s="27"/>
        <tr r="F94" s="17"/>
      </tp>
      <tp t="e">
        <v>#N/A</v>
        <stp/>
        <stp>BDH|1884398517126028652</stp>
        <tr r="Y117" s="18"/>
        <tr r="Y12" s="20"/>
      </tp>
      <tp t="e">
        <v>#N/A</v>
        <stp/>
        <stp>BDH|9452074541639110706</stp>
        <tr r="F11" s="28"/>
      </tp>
      <tp t="e">
        <v>#N/A</v>
        <stp/>
        <stp>BDH|5284632516914717531</stp>
        <tr r="V28" s="18"/>
      </tp>
      <tp t="e">
        <v>#N/A</v>
        <stp/>
        <stp>BDH|8961896755322317451</stp>
        <tr r="V29" s="17"/>
      </tp>
      <tp t="e">
        <v>#N/A</v>
        <stp/>
        <stp>BDH|2471089552541414598</stp>
        <tr r="E65" s="11"/>
        <tr r="E76" s="10"/>
      </tp>
      <tp t="e">
        <v>#N/A</v>
        <stp/>
        <stp>BDH|6376814067228430320</stp>
        <tr r="F54" s="17"/>
        <tr r="F17" s="3"/>
      </tp>
      <tp t="e">
        <v>#N/A</v>
        <stp/>
        <stp>BDH|8317618861699694264</stp>
        <tr r="S51" s="21"/>
      </tp>
      <tp t="e">
        <v>#N/A</v>
        <stp/>
        <stp>BDH|5555362851617203733</stp>
        <tr r="E85" s="18"/>
      </tp>
      <tp t="e">
        <v>#N/A</v>
        <stp/>
        <stp>BDH|8714744306278446426</stp>
        <tr r="AA57" s="12"/>
      </tp>
      <tp t="e">
        <v>#N/A</v>
        <stp/>
        <stp>BDH|1813889416083598804</stp>
        <tr r="D57" s="13"/>
      </tp>
      <tp t="e">
        <v>#N/A</v>
        <stp/>
        <stp>BDH|2873631352271985339</stp>
        <tr r="Z35" s="22"/>
      </tp>
      <tp t="e">
        <v>#N/A</v>
        <stp/>
        <stp>BDH|6905283409411353687</stp>
        <tr r="X18" s="10"/>
      </tp>
      <tp t="e">
        <v>#N/A</v>
        <stp/>
        <stp>BDH|4417725502691606117</stp>
        <tr r="I24" s="22"/>
      </tp>
      <tp t="e">
        <v>#N/A</v>
        <stp/>
        <stp>BDH|7114750931116361653</stp>
        <tr r="K47" s="34"/>
      </tp>
      <tp t="e">
        <v>#N/A</v>
        <stp/>
        <stp>BDH|4678154522320364413</stp>
        <tr r="H47" s="17"/>
      </tp>
      <tp t="e">
        <v>#N/A</v>
        <stp/>
        <stp>BDH|9598500514018383615</stp>
        <tr r="O45" s="24"/>
      </tp>
      <tp t="e">
        <v>#N/A</v>
        <stp/>
        <stp>BDH|1080343212883160341</stp>
        <tr r="I98" s="18"/>
      </tp>
      <tp t="e">
        <v>#N/A</v>
        <stp/>
        <stp>BDH|4262777102518167855</stp>
        <tr r="C61" s="17"/>
      </tp>
      <tp t="e">
        <v>#N/A</v>
        <stp/>
        <stp>BDH|2625839596886231627</stp>
        <tr r="F17" s="34"/>
      </tp>
      <tp t="e">
        <v>#N/A</v>
        <stp/>
        <stp>BDH|6927165735281958606</stp>
        <tr r="L43" s="18"/>
      </tp>
      <tp t="e">
        <v>#N/A</v>
        <stp/>
        <stp>BDH|3695559362880186336</stp>
        <tr r="Y36" s="21"/>
        <tr r="Y24" s="3"/>
      </tp>
      <tp t="e">
        <v>#N/A</v>
        <stp/>
        <stp>BDH|6709196270302973144</stp>
        <tr r="J20" s="17"/>
      </tp>
      <tp t="e">
        <v>#N/A</v>
        <stp/>
        <stp>BDH|3268424658215808439</stp>
        <tr r="Q164" s="18"/>
      </tp>
      <tp t="e">
        <v>#N/A</v>
        <stp/>
        <stp>BDH|8758169757798337761</stp>
        <tr r="P128" s="18"/>
      </tp>
      <tp t="e">
        <v>#N/A</v>
        <stp/>
        <stp>BDH|7812553874681991734</stp>
        <tr r="O42" s="22"/>
      </tp>
      <tp t="e">
        <v>#N/A</v>
        <stp/>
        <stp>BDH|7638580434146837418</stp>
        <tr r="R26" s="25"/>
        <tr r="R56" s="21"/>
      </tp>
      <tp t="e">
        <v>#N/A</v>
        <stp/>
        <stp>BDH|9594943070560442463</stp>
        <tr r="Y155" s="18"/>
      </tp>
      <tp t="e">
        <v>#N/A</v>
        <stp/>
        <stp>BDH|3799279323246192613</stp>
        <tr r="H43" s="22"/>
      </tp>
      <tp t="e">
        <v>#N/A</v>
        <stp/>
        <stp>BDH|4198618254651091576</stp>
        <tr r="U33" s="18"/>
      </tp>
      <tp t="e">
        <v>#N/A</v>
        <stp/>
        <stp>BDH|2373616501143237428</stp>
        <tr r="F33" s="18"/>
      </tp>
      <tp t="e">
        <v>#N/A</v>
        <stp/>
        <stp>BDH|4926290546946347764</stp>
        <tr r="N9" s="14"/>
      </tp>
      <tp t="e">
        <v>#N/A</v>
        <stp/>
        <stp>BDH|5365524853982375427</stp>
        <tr r="I23" s="24"/>
      </tp>
      <tp t="e">
        <v>#N/A</v>
        <stp/>
        <stp>BDH|7781792821448970952</stp>
        <tr r="H31" s="9"/>
      </tp>
      <tp t="e">
        <v>#N/A</v>
        <stp/>
        <stp>BDH|1370816172948351507</stp>
        <tr r="D40" s="18"/>
      </tp>
      <tp t="e">
        <v>#N/A</v>
        <stp/>
        <stp>BDH|7146277057637187437</stp>
        <tr r="H12" s="12"/>
      </tp>
      <tp t="e">
        <v>#N/A</v>
        <stp/>
        <stp>BDH|4234011335360194445</stp>
        <tr r="Z171" s="18"/>
      </tp>
      <tp t="e">
        <v>#N/A</v>
        <stp/>
        <stp>BDH|9797604305094138803</stp>
        <tr r="Z81" s="12"/>
      </tp>
      <tp t="e">
        <v>#N/A</v>
        <stp/>
        <stp>BDH|5902413929322348219</stp>
        <tr r="Q41" s="29"/>
        <tr r="Q18" s="29"/>
      </tp>
      <tp t="e">
        <v>#N/A</v>
        <stp/>
        <stp>BDH|7250158627357710042</stp>
        <tr r="W81" s="12"/>
      </tp>
      <tp t="e">
        <v>#N/A</v>
        <stp/>
        <stp>BDH|5383991452073360983</stp>
        <tr r="Y92" s="18"/>
      </tp>
      <tp t="e">
        <v>#N/A</v>
        <stp/>
        <stp>BDH|3095034546036341255</stp>
        <tr r="U73" s="12"/>
      </tp>
      <tp t="e">
        <v>#N/A</v>
        <stp/>
        <stp>BDH|5146757835710081220</stp>
        <tr r="I16" s="24"/>
      </tp>
      <tp t="e">
        <v>#N/A</v>
        <stp/>
        <stp>BDH|5248560646325294232</stp>
        <tr r="Z16" s="21"/>
      </tp>
      <tp t="e">
        <v>#N/A</v>
        <stp/>
        <stp>BDH|1418790844406999730</stp>
        <tr r="X37" s="22"/>
      </tp>
      <tp t="e">
        <v>#N/A</v>
        <stp/>
        <stp>BDH|8038176928021825948</stp>
        <tr r="S19" s="11"/>
      </tp>
      <tp t="e">
        <v>#N/A</v>
        <stp/>
        <stp>BDH|2133252326576085713</stp>
        <tr r="W131" s="18"/>
      </tp>
      <tp t="e">
        <v>#N/A</v>
        <stp/>
        <stp>BDH|3005436123714379209</stp>
        <tr r="V32" s="9"/>
      </tp>
      <tp t="e">
        <v>#N/A</v>
        <stp/>
        <stp>BDH|6841358584648878622</stp>
        <tr r="Y33" s="12"/>
      </tp>
      <tp t="e">
        <v>#N/A</v>
        <stp/>
        <stp>BDH|7352237920663524769</stp>
        <tr r="W13" s="23"/>
        <tr r="U58" s="11"/>
        <tr r="U38" s="4"/>
      </tp>
      <tp t="e">
        <v>#N/A</v>
        <stp/>
        <stp>BDH|5185970697680751654</stp>
        <tr r="H18" s="13"/>
      </tp>
      <tp t="e">
        <v>#N/A</v>
        <stp/>
        <stp>BDH|9545762248141019889</stp>
        <tr r="J7" s="4"/>
      </tp>
      <tp t="e">
        <v>#N/A</v>
        <stp/>
        <stp>BDH|5734981884285891207</stp>
        <tr r="G78" s="18"/>
      </tp>
      <tp t="e">
        <v>#N/A</v>
        <stp/>
        <stp>BDH|7112425580158380033</stp>
        <tr r="D6" s="6"/>
      </tp>
      <tp t="e">
        <v>#N/A</v>
        <stp/>
        <stp>BDH|9124372360976180970</stp>
        <tr r="AA96" s="18"/>
      </tp>
      <tp t="e">
        <v>#N/A</v>
        <stp/>
        <stp>BDH|5816555923982786394</stp>
        <tr r="H78" s="17"/>
        <tr r="E9" s="9"/>
        <tr r="E9" s="5"/>
      </tp>
      <tp t="e">
        <v>#N/A</v>
        <stp/>
        <stp>BDH|1125612271854190700</stp>
        <tr r="M61" s="24"/>
      </tp>
      <tp t="e">
        <v>#N/A</v>
        <stp/>
        <stp>BDH|7209770987478175332</stp>
        <tr r="AA46" s="24"/>
      </tp>
      <tp t="e">
        <v>#N/A</v>
        <stp/>
        <stp>BDH|3803641465215159587</stp>
        <tr r="K35" s="22"/>
      </tp>
      <tp t="e">
        <v>#N/A</v>
        <stp/>
        <stp>BDH|5701183825724864123</stp>
        <tr r="Z31" s="26"/>
      </tp>
      <tp t="e">
        <v>#N/A</v>
        <stp/>
        <stp>BDH|4789690460657662089</stp>
        <tr r="V70" s="18"/>
      </tp>
      <tp t="e">
        <v>#N/A</v>
        <stp/>
        <stp>BDH|8693258890110070036</stp>
        <tr r="H70" s="10"/>
      </tp>
      <tp t="e">
        <v>#N/A</v>
        <stp/>
        <stp>BDH|4276711140044502065</stp>
        <tr r="S17" s="21"/>
        <tr r="S23" s="3"/>
        <tr r="Q23" s="2"/>
      </tp>
      <tp t="e">
        <v>#N/A</v>
        <stp/>
        <stp>BDH|6532270643971692270</stp>
        <tr r="M169" s="18"/>
      </tp>
      <tp t="e">
        <v>#N/A</v>
        <stp/>
        <stp>BDH|7361607402473911187</stp>
        <tr r="R13" s="25"/>
      </tp>
      <tp t="e">
        <v>#N/A</v>
        <stp/>
        <stp>BDH|4173595979110663576</stp>
        <tr r="AA66" s="24"/>
      </tp>
      <tp t="e">
        <v>#N/A</v>
        <stp/>
        <stp>BDH|7388097718960213504</stp>
        <tr r="E33" s="18"/>
      </tp>
      <tp t="e">
        <v>#N/A</v>
        <stp/>
        <stp>BDH|6220177506875096136</stp>
        <tr r="R24" s="22"/>
      </tp>
      <tp t="e">
        <v>#N/A</v>
        <stp/>
        <stp>BDH|6117683625509922857</stp>
        <tr r="Q36" s="13"/>
        <tr r="O29" s="10"/>
      </tp>
      <tp t="e">
        <v>#N/A</v>
        <stp/>
        <stp>BDH|6744721388398831257</stp>
        <tr r="J48" s="17"/>
      </tp>
      <tp t="e">
        <v>#N/A</v>
        <stp/>
        <stp>BDH|4462051934202753622</stp>
        <tr r="J163" s="18"/>
      </tp>
      <tp t="e">
        <v>#N/A</v>
        <stp/>
        <stp>BDH|6289334470745310428</stp>
        <tr r="K26" s="29"/>
      </tp>
      <tp t="e">
        <v>#N/A</v>
        <stp/>
        <stp>BDH|1210579244214509748</stp>
        <tr r="V21" s="9"/>
        <tr r="V23" s="5"/>
      </tp>
      <tp t="e">
        <v>#N/A</v>
        <stp/>
        <stp>BDH|8447659482972046735</stp>
        <tr r="H62" s="12"/>
      </tp>
      <tp t="e">
        <v>#N/A</v>
        <stp/>
        <stp>BDH|6809766990843737898</stp>
        <tr r="Y41" s="22"/>
      </tp>
      <tp t="e">
        <v>#N/A</v>
        <stp/>
        <stp>BDH|1082019209567029583</stp>
        <tr r="Z72" s="17"/>
      </tp>
      <tp t="e">
        <v>#N/A</v>
        <stp/>
        <stp>BDH|8256010101673027825</stp>
        <tr r="U15" s="34"/>
      </tp>
      <tp t="e">
        <v>#N/A</v>
        <stp/>
        <stp>BDH|6032266591318665614</stp>
        <tr r="P22" s="21"/>
      </tp>
      <tp t="e">
        <v>#N/A</v>
        <stp/>
        <stp>BDH|2148865059714854867</stp>
        <tr r="N32" s="24"/>
      </tp>
      <tp t="e">
        <v>#N/A</v>
        <stp/>
        <stp>BDH|2802097935720417205</stp>
        <tr r="C15" s="24"/>
      </tp>
      <tp t="e">
        <v>#N/A</v>
        <stp/>
        <stp>BDH|6738664444062244577</stp>
        <tr r="Q34" s="13"/>
        <tr r="O27" s="10"/>
      </tp>
      <tp t="e">
        <v>#N/A</v>
        <stp/>
        <stp>BDH|2623388926558097882</stp>
        <tr r="H15" s="13"/>
      </tp>
      <tp t="e">
        <v>#N/A</v>
        <stp/>
        <stp>BDH|4230241294765239901</stp>
        <tr r="M33" s="17"/>
      </tp>
      <tp t="e">
        <v>#N/A</v>
        <stp/>
        <stp>BDH|3921414807174950065</stp>
        <tr r="Z12" s="14"/>
      </tp>
      <tp t="e">
        <v>#N/A</v>
        <stp/>
        <stp>BDH|6159667545710575775</stp>
        <tr r="G33" s="22"/>
      </tp>
      <tp t="e">
        <v>#N/A</v>
        <stp/>
        <stp>BDH|6432753030114857592</stp>
        <tr r="X71" s="10"/>
      </tp>
      <tp t="e">
        <v>#N/A</v>
        <stp/>
        <stp>BDH|1537060913264909797</stp>
        <tr r="T14" s="12"/>
      </tp>
      <tp t="e">
        <v>#N/A</v>
        <stp/>
        <stp>BDH|7556638916477094406</stp>
        <tr r="W68" s="17"/>
      </tp>
      <tp t="e">
        <v>#N/A</v>
        <stp/>
        <stp>BDH|2872048033056909466</stp>
        <tr r="G169" s="18"/>
      </tp>
      <tp t="e">
        <v>#N/A</v>
        <stp/>
        <stp>BDH|7208444922423185150</stp>
        <tr r="R91" s="17"/>
      </tp>
      <tp t="e">
        <v>#N/A</v>
        <stp/>
        <stp>BDH|1011331767307294062</stp>
        <tr r="U153" s="18"/>
      </tp>
      <tp t="e">
        <v>#N/A</v>
        <stp/>
        <stp>BDH|8896515819629627660</stp>
        <tr r="L78" s="17"/>
        <tr r="I9" s="9"/>
        <tr r="I9" s="5"/>
      </tp>
      <tp t="e">
        <v>#N/A</v>
        <stp/>
        <stp>BDH|7050064231101581622</stp>
        <tr r="V56" s="6"/>
      </tp>
      <tp t="e">
        <v>#N/A</v>
        <stp/>
        <stp>BDH|5261418264943235759</stp>
        <tr r="L44" s="11"/>
        <tr r="L55" s="10"/>
        <tr r="L15" s="7"/>
      </tp>
      <tp t="e">
        <v>#N/A</v>
        <stp/>
        <stp>BDH|4283254907245161015</stp>
        <tr r="Y17" s="12"/>
      </tp>
      <tp t="e">
        <v>#N/A</v>
        <stp/>
        <stp>BDH|3462801397977231611</stp>
        <tr r="Z73" s="13"/>
        <tr r="X50" s="11"/>
        <tr r="X61" s="10"/>
        <tr r="X19" s="7"/>
        <tr r="X20" s="2"/>
        <tr r="X18" s="4"/>
      </tp>
      <tp t="e">
        <v>#N/A</v>
        <stp/>
        <stp>BDH|6793324448772950043</stp>
        <tr r="I8" s="6"/>
      </tp>
      <tp t="e">
        <v>#N/A</v>
        <stp/>
        <stp>BDH|6141548403727144773</stp>
        <tr r="X89" s="17"/>
      </tp>
      <tp t="e">
        <v>#N/A</v>
        <stp/>
        <stp>BDH|8019659477628651247</stp>
        <tr r="W27" s="18"/>
      </tp>
      <tp t="e">
        <v>#N/A</v>
        <stp/>
        <stp>BDH|9738817376965385039</stp>
        <tr r="R34" s="11"/>
        <tr r="R45" s="10"/>
      </tp>
      <tp t="e">
        <v>#N/A</v>
        <stp/>
        <stp>BDH|1449321175904411271</stp>
        <tr r="Z47" s="22"/>
      </tp>
      <tp t="e">
        <v>#N/A</v>
        <stp/>
        <stp>BDH|4543164075497403628</stp>
        <tr r="H15" s="12"/>
      </tp>
      <tp t="e">
        <v>#N/A</v>
        <stp/>
        <stp>BDH|5610071404080198646</stp>
        <tr r="L24" s="26"/>
      </tp>
      <tp t="e">
        <v>#N/A</v>
        <stp/>
        <stp>BDH|6486272807405745235</stp>
        <tr r="H34" s="18"/>
      </tp>
      <tp t="e">
        <v>#N/A</v>
        <stp/>
        <stp>BDH|4096511040963892596</stp>
        <tr r="T62" s="17"/>
      </tp>
      <tp t="e">
        <v>#N/A</v>
        <stp/>
        <stp>BDH|5845835791416389193</stp>
        <tr r="C26" s="17"/>
      </tp>
      <tp t="e">
        <v>#N/A</v>
        <stp/>
        <stp>BDH|9009933174366465238</stp>
        <tr r="K10" s="18"/>
      </tp>
      <tp t="e">
        <v>#N/A</v>
        <stp/>
        <stp>BDH|9595167963395695875</stp>
        <tr r="M28" s="17"/>
      </tp>
      <tp t="e">
        <v>#N/A</v>
        <stp/>
        <stp>BDH|2951685445321269274</stp>
        <tr r="C31" s="24"/>
      </tp>
      <tp t="e">
        <v>#N/A</v>
        <stp/>
        <stp>BDH|3196569753367178745</stp>
        <tr r="P50" s="18"/>
      </tp>
      <tp t="e">
        <v>#N/A</v>
        <stp/>
        <stp>BDH|9686844266446018258</stp>
        <tr r="J9" s="11"/>
      </tp>
      <tp t="e">
        <v>#N/A</v>
        <stp/>
        <stp>BDH|9030432784287718112</stp>
        <tr r="F59" s="24"/>
      </tp>
      <tp t="e">
        <v>#N/A</v>
        <stp/>
        <stp>BDH|9491330783929196849</stp>
        <tr r="X72" s="10"/>
      </tp>
      <tp t="e">
        <v>#N/A</v>
        <stp/>
        <stp>BDH|3030498224986963054</stp>
        <tr r="L90" s="17"/>
      </tp>
      <tp t="e">
        <v>#N/A</v>
        <stp/>
        <stp>BDH|9090223907590786834</stp>
        <tr r="P15" s="5"/>
      </tp>
      <tp t="e">
        <v>#N/A</v>
        <stp/>
        <stp>BDH|9348510722088501547</stp>
        <tr r="F24" s="25"/>
      </tp>
      <tp t="e">
        <v>#N/A</v>
        <stp/>
        <stp>BDH|8688195144769292780</stp>
        <tr r="O18" s="9"/>
      </tp>
      <tp t="e">
        <v>#N/A</v>
        <stp/>
        <stp>BDH|3116763452797603526</stp>
        <tr r="C9" s="6"/>
      </tp>
      <tp t="e">
        <v>#N/A</v>
        <stp/>
        <stp>BDH|1739513379539813967</stp>
        <tr r="AA29" s="26"/>
      </tp>
      <tp t="e">
        <v>#N/A</v>
        <stp/>
        <stp>BDH|9392538968601902805</stp>
        <tr r="V15" s="10"/>
      </tp>
      <tp t="e">
        <v>#N/A</v>
        <stp/>
        <stp>BDH|3250537215406405213</stp>
        <tr r="P76" s="12"/>
      </tp>
      <tp t="e">
        <v>#N/A</v>
        <stp/>
        <stp>BDH|5210162443615719611</stp>
        <tr r="K172" s="18"/>
      </tp>
      <tp t="e">
        <v>#N/A</v>
        <stp/>
        <stp>BDH|4821077479794627415</stp>
        <tr r="M7" s="14"/>
      </tp>
      <tp t="e">
        <v>#N/A</v>
        <stp/>
        <stp>BDH|5311271959170458180</stp>
        <tr r="Y16" s="26"/>
      </tp>
      <tp t="e">
        <v>#N/A</v>
        <stp/>
        <stp>BDH|2313014465365409222</stp>
        <tr r="O57" s="17"/>
      </tp>
      <tp t="e">
        <v>#N/A</v>
        <stp/>
        <stp>BDH|3810572322031401684</stp>
        <tr r="J15" s="5"/>
      </tp>
      <tp t="e">
        <v>#N/A</v>
        <stp/>
        <stp>BDH|4514715161091161755</stp>
        <tr r="O21" s="18"/>
      </tp>
      <tp t="e">
        <v>#N/A</v>
        <stp/>
        <stp>BDH|4117177533784430105</stp>
        <tr r="H14" s="12"/>
      </tp>
      <tp t="e">
        <v>#N/A</v>
        <stp/>
        <stp>BDH|3141524232660881688</stp>
        <tr r="D22" s="4"/>
      </tp>
      <tp t="e">
        <v>#N/A</v>
        <stp/>
        <stp>BDH|5752550753001752776</stp>
        <tr r="M26" s="7"/>
      </tp>
      <tp t="e">
        <v>#N/A</v>
        <stp/>
        <stp>BDH|5825849693515905278</stp>
        <tr r="W35" s="12"/>
      </tp>
      <tp t="e">
        <v>#N/A</v>
        <stp/>
        <stp>BDH|2018133374263776411</stp>
        <tr r="R150" s="18"/>
      </tp>
      <tp t="e">
        <v>#N/A</v>
        <stp/>
        <stp>BDH|6290120456372166365</stp>
        <tr r="Q27" s="12"/>
      </tp>
      <tp t="e">
        <v>#N/A</v>
        <stp/>
        <stp>BDH|3123800223948523260</stp>
        <tr r="N79" s="18"/>
      </tp>
      <tp t="e">
        <v>#N/A</v>
        <stp/>
        <stp>BDH|9997944822333757292</stp>
        <tr r="K13" s="24"/>
      </tp>
      <tp t="e">
        <v>#N/A</v>
        <stp/>
        <stp>BDH|3606668512360554766</stp>
        <tr r="R14" s="13"/>
      </tp>
      <tp t="e">
        <v>#N/A</v>
        <stp/>
        <stp>BDH|6004709195119037243</stp>
        <tr r="R36" s="26"/>
      </tp>
      <tp t="e">
        <v>#N/A</v>
        <stp/>
        <stp>BDH|7946308617621651794</stp>
        <tr r="I54" s="24"/>
      </tp>
      <tp t="e">
        <v>#N/A</v>
        <stp/>
        <stp>BDH|5780845291225005235</stp>
        <tr r="P38" s="6"/>
      </tp>
      <tp t="e">
        <v>#N/A</v>
        <stp/>
        <stp>BDH|4380288017151486593</stp>
        <tr r="F111" s="18"/>
      </tp>
      <tp t="e">
        <v>#N/A</v>
        <stp/>
        <stp>BDH|6330451305450595175</stp>
        <tr r="G11" s="18"/>
      </tp>
      <tp t="e">
        <v>#N/A</v>
        <stp/>
        <stp>BDH|2994543944606919610</stp>
        <tr r="H175" s="18"/>
      </tp>
      <tp t="e">
        <v>#N/A</v>
        <stp/>
        <stp>BDH|3289236654564219367</stp>
        <tr r="N44" s="11"/>
        <tr r="N55" s="10"/>
        <tr r="N15" s="7"/>
      </tp>
      <tp t="e">
        <v>#N/A</v>
        <stp/>
        <stp>BDH|4219058248203965070</stp>
        <tr r="Q46" s="13"/>
        <tr r="O30" s="11"/>
        <tr r="O41" s="10"/>
      </tp>
      <tp t="e">
        <v>#N/A</v>
        <stp/>
        <stp>BDH|4054228912524540041</stp>
        <tr r="X27" s="21"/>
      </tp>
      <tp t="e">
        <v>#N/A</v>
        <stp/>
        <stp>BDH|8380888785192697995</stp>
        <tr r="AA130" s="18"/>
      </tp>
      <tp t="e">
        <v>#N/A</v>
        <stp/>
        <stp>BDH|5784635000053234372</stp>
        <tr r="M43" s="22"/>
      </tp>
      <tp t="e">
        <v>#N/A</v>
        <stp/>
        <stp>BDH|4603366656340297150</stp>
        <tr r="X57" s="18"/>
      </tp>
      <tp t="e">
        <v>#N/A</v>
        <stp/>
        <stp>BDH|3615521401770684520</stp>
        <tr r="V65" s="21"/>
        <tr r="S31" s="6"/>
      </tp>
      <tp t="e">
        <v>#N/A</v>
        <stp/>
        <stp>BDH|6487163540659429970</stp>
        <tr r="T32" s="13"/>
        <tr r="R25" s="10"/>
      </tp>
      <tp t="e">
        <v>#N/A</v>
        <stp/>
        <stp>BDH|3847131742572966718</stp>
        <tr r="T23" s="22"/>
      </tp>
      <tp t="e">
        <v>#N/A</v>
        <stp/>
        <stp>BDH|2527666583226512949</stp>
        <tr r="V87" s="12"/>
      </tp>
      <tp t="e">
        <v>#N/A</v>
        <stp/>
        <stp>BDH|8614659794293216745</stp>
        <tr r="Y64" s="24"/>
      </tp>
      <tp t="e">
        <v>#N/A</v>
        <stp/>
        <stp>BDH|4785553983669971394</stp>
        <tr r="S73" s="13"/>
        <tr r="Q50" s="11"/>
        <tr r="Q61" s="10"/>
        <tr r="Q19" s="7"/>
        <tr r="Q18" s="4"/>
        <tr r="Q20" s="2"/>
      </tp>
      <tp t="e">
        <v>#N/A</v>
        <stp/>
        <stp>BDH|6769665511981290342</stp>
        <tr r="R36" s="17"/>
      </tp>
      <tp t="e">
        <v>#N/A</v>
        <stp/>
        <stp>BDH|2748547974131475254</stp>
        <tr r="X14" s="21"/>
      </tp>
      <tp t="e">
        <v>#N/A</v>
        <stp/>
        <stp>BDH|8003869611141115309</stp>
        <tr r="V98" s="12"/>
      </tp>
      <tp t="e">
        <v>#N/A</v>
        <stp/>
        <stp>BDH|7243359803104158339</stp>
        <tr r="J9" s="12"/>
      </tp>
      <tp t="e">
        <v>#N/A</v>
        <stp/>
        <stp>BDH|4501249694989218512</stp>
        <tr r="AA72" s="13"/>
      </tp>
      <tp t="e">
        <v>#N/A</v>
        <stp/>
        <stp>BDH|6501134037065324245</stp>
        <tr r="I65" s="12"/>
      </tp>
      <tp t="e">
        <v>#N/A</v>
        <stp/>
        <stp>BDH|4619389446069736998</stp>
        <tr r="U24" s="2"/>
      </tp>
      <tp t="e">
        <v>#N/A</v>
        <stp/>
        <stp>BDH|2019621165583208236</stp>
        <tr r="T15" s="22"/>
      </tp>
      <tp t="e">
        <v>#N/A</v>
        <stp/>
        <stp>BDH|1614447917270058733</stp>
        <tr r="C24" s="22"/>
      </tp>
      <tp t="e">
        <v>#N/A</v>
        <stp/>
        <stp>BDH|8337900024036507646</stp>
        <tr r="O144" s="18"/>
      </tp>
      <tp t="e">
        <v>#N/A</v>
        <stp/>
        <stp>BDH|3880419232317838054</stp>
        <tr r="S22" s="10"/>
      </tp>
      <tp t="e">
        <v>#N/A</v>
        <stp/>
        <stp>BDH|6021379774068680937</stp>
        <tr r="K45" s="12"/>
      </tp>
      <tp t="e">
        <v>#N/A</v>
        <stp/>
        <stp>BDH|6154911863563066953</stp>
        <tr r="H85" s="12"/>
      </tp>
      <tp t="e">
        <v>#N/A</v>
        <stp/>
        <stp>BDH|3088933457729025529</stp>
        <tr r="T66" s="17"/>
      </tp>
      <tp t="e">
        <v>#N/A</v>
        <stp/>
        <stp>BDH|6408850693753194757</stp>
        <tr r="T114" s="18"/>
        <tr r="T8" s="20"/>
      </tp>
      <tp t="e">
        <v>#N/A</v>
        <stp/>
        <stp>BDH|1595517622002566750</stp>
        <tr r="R63" s="13"/>
        <tr r="P49" s="11"/>
        <tr r="P60" s="10"/>
        <tr r="P18" s="7"/>
      </tp>
      <tp t="e">
        <v>#N/A</v>
        <stp/>
        <stp>BDH|8663848442606027161</stp>
        <tr r="G82" s="12"/>
      </tp>
      <tp t="e">
        <v>#N/A</v>
        <stp/>
        <stp>BDH|6298454795550057846</stp>
        <tr r="C25" s="21"/>
      </tp>
      <tp t="e">
        <v>#N/A</v>
        <stp/>
        <stp>BDH|5143403671763299642</stp>
        <tr r="K11" s="29"/>
      </tp>
      <tp t="e">
        <v>#N/A</v>
        <stp/>
        <stp>BDH|5185596142362521595</stp>
        <tr r="O85" s="17"/>
      </tp>
      <tp t="e">
        <v>#N/A</v>
        <stp/>
        <stp>BDH|5781776971983235559</stp>
        <tr r="I20" s="28"/>
        <tr r="I17" s="17"/>
      </tp>
      <tp t="e">
        <v>#N/A</v>
        <stp/>
        <stp>BDH|5783208214263092656</stp>
        <tr r="S59" s="24"/>
      </tp>
      <tp t="e">
        <v>#N/A</v>
        <stp/>
        <stp>BDH|2818427383708895575</stp>
        <tr r="X125" s="18"/>
      </tp>
      <tp t="e">
        <v>#N/A</v>
        <stp/>
        <stp>BDH|1031877694955444615</stp>
        <tr r="P22" s="27"/>
      </tp>
      <tp t="e">
        <v>#N/A</v>
        <stp/>
        <stp>BDH|5978690541636240259</stp>
        <tr r="N13" s="12"/>
      </tp>
      <tp t="e">
        <v>#N/A</v>
        <stp/>
        <stp>BDH|6034201424760099520</stp>
        <tr r="C18" s="25"/>
      </tp>
      <tp t="e">
        <v>#N/A</v>
        <stp/>
        <stp>BDH|8843919932565827456</stp>
        <tr r="M43" s="18"/>
      </tp>
      <tp t="e">
        <v>#N/A</v>
        <stp/>
        <stp>BDH|1466398063230054786</stp>
        <tr r="Y51" s="22"/>
      </tp>
      <tp t="e">
        <v>#N/A</v>
        <stp/>
        <stp>BDH|9799362197500894088</stp>
        <tr r="M44" s="34"/>
      </tp>
      <tp t="e">
        <v>#N/A</v>
        <stp/>
        <stp>BDH|4339414866291181432</stp>
        <tr r="M50" s="34"/>
      </tp>
      <tp t="e">
        <v>#N/A</v>
        <stp/>
        <stp>BDH|3664291753854886329</stp>
        <tr r="T20" s="14"/>
      </tp>
      <tp t="e">
        <v>#N/A</v>
        <stp/>
        <stp>BDH|3301468101760557474</stp>
        <tr r="R33" s="17"/>
      </tp>
      <tp t="e">
        <v>#N/A</v>
        <stp/>
        <stp>BDH|6987751357771479697</stp>
        <tr r="V19" s="25"/>
      </tp>
      <tp t="e">
        <v>#N/A</v>
        <stp/>
        <stp>BDH|8121658860963768844</stp>
        <tr r="U11" s="18"/>
      </tp>
      <tp t="e">
        <v>#N/A</v>
        <stp/>
        <stp>BDH|9477051569838786487</stp>
        <tr r="U12" s="10"/>
      </tp>
      <tp t="e">
        <v>#N/A</v>
        <stp/>
        <stp>BDH|1044838675878247531</stp>
        <tr r="T18" s="10"/>
      </tp>
      <tp t="e">
        <v>#N/A</v>
        <stp/>
        <stp>BDH|4489210642887299628</stp>
        <tr r="Q14" s="6"/>
      </tp>
      <tp t="e">
        <v>#N/A</v>
        <stp/>
        <stp>BDH|6378206403477015075</stp>
        <tr r="W39" s="11"/>
        <tr r="W50" s="10"/>
      </tp>
      <tp t="e">
        <v>#N/A</v>
        <stp/>
        <stp>BDH|5320338216454178008</stp>
        <tr r="N18" s="18"/>
      </tp>
      <tp t="e">
        <v>#N/A</v>
        <stp/>
        <stp>BDH|8166801208787920472</stp>
        <tr r="J76" s="24"/>
      </tp>
      <tp t="e">
        <v>#N/A</v>
        <stp/>
        <stp>BDH|5556411903055163712</stp>
        <tr r="G43" s="25"/>
        <tr r="G7" s="13"/>
        <tr r="G22" s="13"/>
        <tr r="E17" s="11"/>
        <tr r="G7" s="3"/>
      </tp>
      <tp t="e">
        <v>#N/A</v>
        <stp/>
        <stp>BDH|8418602991524046021</stp>
        <tr r="F45" s="22"/>
      </tp>
      <tp t="e">
        <v>#N/A</v>
        <stp/>
        <stp>BDH|7364519540743632638</stp>
        <tr r="V57" s="24"/>
      </tp>
      <tp t="e">
        <v>#N/A</v>
        <stp/>
        <stp>BDH|3434875083155325547</stp>
        <tr r="AA16" s="25"/>
      </tp>
      <tp t="e">
        <v>#N/A</v>
        <stp/>
        <stp>BDH|5411241160722217054</stp>
        <tr r="M21" s="6"/>
      </tp>
      <tp t="e">
        <v>#N/A</v>
        <stp/>
        <stp>BDH|9432006713302843980</stp>
        <tr r="M26" s="22"/>
      </tp>
      <tp t="e">
        <v>#N/A</v>
        <stp/>
        <stp>BDH|4834693293371283979</stp>
        <tr r="F15" s="22"/>
      </tp>
      <tp t="e">
        <v>#N/A</v>
        <stp/>
        <stp>BDH|5726099619825190218</stp>
        <tr r="AA78" s="17"/>
        <tr r="X9" s="9"/>
        <tr r="X9" s="5"/>
      </tp>
      <tp t="e">
        <v>#N/A</v>
        <stp/>
        <stp>BDH|2532909763346780864</stp>
        <tr r="L42" s="11"/>
        <tr r="L53" s="10"/>
        <tr r="L8" s="7"/>
        <tr r="N11" s="3"/>
      </tp>
      <tp t="e">
        <v>#N/A</v>
        <stp/>
        <stp>BDH|2729570423275426307</stp>
        <tr r="K76" s="12"/>
      </tp>
      <tp t="e">
        <v>#N/A</v>
        <stp/>
        <stp>BDH|2258304254340540743</stp>
        <tr r="X164" s="18"/>
      </tp>
      <tp t="e">
        <v>#N/A</v>
        <stp/>
        <stp>BDH|1578398580818905122</stp>
        <tr r="L21" s="11"/>
      </tp>
      <tp t="e">
        <v>#N/A</v>
        <stp/>
        <stp>BDH|2308082014751190198</stp>
        <tr r="I39" s="26"/>
      </tp>
      <tp t="e">
        <v>#N/A</v>
        <stp/>
        <stp>BDH|2054756624226364250</stp>
        <tr r="M9" s="8"/>
        <tr r="K52" s="6"/>
      </tp>
      <tp t="e">
        <v>#N/A</v>
        <stp/>
        <stp>BDH|3446257371665022070</stp>
        <tr r="C56" s="6"/>
      </tp>
      <tp t="e">
        <v>#N/A</v>
        <stp/>
        <stp>BDH|9046667420938190604</stp>
        <tr r="J9" s="34"/>
      </tp>
      <tp t="e">
        <v>#N/A</v>
        <stp/>
        <stp>BDH|9242864252386765162</stp>
        <tr r="R61" s="11"/>
      </tp>
      <tp t="e">
        <v>#N/A</v>
        <stp/>
        <stp>BDH|5135107121646426336</stp>
        <tr r="U48" s="34"/>
      </tp>
      <tp t="e">
        <v>#N/A</v>
        <stp/>
        <stp>BDH|5068176383076324904</stp>
        <tr r="E49" s="13"/>
      </tp>
      <tp t="e">
        <v>#N/A</v>
        <stp/>
        <stp>BDH|4559563856022497566</stp>
        <tr r="R35" s="12"/>
      </tp>
      <tp t="e">
        <v>#N/A</v>
        <stp/>
        <stp>BDH|6960439247591346497</stp>
        <tr r="O63" s="12"/>
      </tp>
      <tp t="e">
        <v>#N/A</v>
        <stp/>
        <stp>BDH|4494342798629605495</stp>
        <tr r="J69" s="13"/>
      </tp>
      <tp t="e">
        <v>#N/A</v>
        <stp/>
        <stp>BDH|3309288338917515618</stp>
        <tr r="Q21" s="10"/>
      </tp>
      <tp t="e">
        <v>#N/A</v>
        <stp/>
        <stp>BDH|7232108873071125371</stp>
        <tr r="J29" s="14"/>
      </tp>
      <tp t="e">
        <v>#N/A</v>
        <stp/>
        <stp>BDH|3474738065642574305</stp>
        <tr r="F59" s="12"/>
      </tp>
      <tp t="e">
        <v>#N/A</v>
        <stp/>
        <stp>BDH|8670963872890052552</stp>
        <tr r="I84" s="12"/>
      </tp>
      <tp t="e">
        <v>#N/A</v>
        <stp/>
        <stp>BDH|3134740833996518240</stp>
        <tr r="Q65" s="21"/>
        <tr r="N31" s="6"/>
      </tp>
      <tp t="e">
        <v>#N/A</v>
        <stp/>
        <stp>BDH|2159013906787422658</stp>
        <tr r="M45" s="18"/>
      </tp>
      <tp t="e">
        <v>#N/A</v>
        <stp/>
        <stp>BDH|8118905214276787555</stp>
        <tr r="Q135" s="18"/>
      </tp>
      <tp t="e">
        <v>#N/A</v>
        <stp/>
        <stp>BDH|5113788088720005964</stp>
        <tr r="AA24" s="21"/>
      </tp>
      <tp t="e">
        <v>#N/A</v>
        <stp/>
        <stp>BDH|5800548751710961633</stp>
        <tr r="S25" s="18"/>
      </tp>
      <tp t="e">
        <v>#N/A</v>
        <stp/>
        <stp>BDH|6807077830195823309</stp>
        <tr r="S37" s="29"/>
        <tr r="S14" s="29"/>
        <tr r="S23" s="29"/>
      </tp>
      <tp t="e">
        <v>#N/A</v>
        <stp/>
        <stp>BDH|1708465825010096431</stp>
        <tr r="W15" s="24"/>
      </tp>
      <tp t="e">
        <v>#N/A</v>
        <stp/>
        <stp>BDH|2971248920044936531</stp>
        <tr r="P132" s="18"/>
      </tp>
      <tp t="e">
        <v>#N/A</v>
        <stp/>
        <stp>BDH|8858072140709893604</stp>
        <tr r="G11" s="22"/>
      </tp>
      <tp t="e">
        <v>#N/A</v>
        <stp/>
        <stp>BDH|7018005101026710219</stp>
        <tr r="V14" s="11"/>
      </tp>
      <tp t="e">
        <v>#N/A</v>
        <stp/>
        <stp>BDH|3355647776921675003</stp>
        <tr r="T35" s="26"/>
        <tr r="Q14" s="9"/>
      </tp>
      <tp t="e">
        <v>#N/A</v>
        <stp/>
        <stp>BDH|6480852067642974984</stp>
        <tr r="AA89" s="18"/>
      </tp>
      <tp t="e">
        <v>#N/A</v>
        <stp/>
        <stp>BDH|9593096388253773144</stp>
        <tr r="M8" s="6"/>
      </tp>
      <tp t="e">
        <v>#N/A</v>
        <stp/>
        <stp>BDH|9592537506047630813</stp>
        <tr r="O29" s="29"/>
        <tr r="O7" s="29"/>
      </tp>
      <tp t="e">
        <v>#N/A</v>
        <stp/>
        <stp>BDH|4360026835116681257</stp>
        <tr r="AA11" s="28"/>
      </tp>
      <tp t="e">
        <v>#N/A</v>
        <stp/>
        <stp>BDH|6837150244678404895</stp>
        <tr r="X70" s="18"/>
      </tp>
      <tp t="e">
        <v>#N/A</v>
        <stp/>
        <stp>BDH|7803935092301516584</stp>
        <tr r="I80" s="12"/>
      </tp>
      <tp t="e">
        <v>#N/A</v>
        <stp/>
        <stp>BDH|9426724940409339012</stp>
        <tr r="R67" s="13"/>
      </tp>
      <tp t="e">
        <v>#N/A</v>
        <stp/>
        <stp>BDH|9920397019571815952</stp>
        <tr r="AA15" s="13"/>
      </tp>
      <tp t="e">
        <v>#N/A</v>
        <stp/>
        <stp>BDH|3172857320502410846</stp>
        <tr r="S54" s="12"/>
      </tp>
      <tp t="e">
        <v>#N/A</v>
        <stp/>
        <stp>BDH|3233827805161002917</stp>
        <tr r="K45" s="11"/>
        <tr r="K56" s="10"/>
        <tr r="K16" s="7"/>
      </tp>
      <tp t="e">
        <v>#N/A</v>
        <stp/>
        <stp>BDH|3235063414492011347</stp>
        <tr r="K24" s="6"/>
      </tp>
      <tp t="e">
        <v>#N/A</v>
        <stp/>
        <stp>BDH|9340939074823509757</stp>
        <tr r="O47" s="21"/>
      </tp>
      <tp t="e">
        <v>#N/A</v>
        <stp/>
        <stp>BDH|9321276678307865804</stp>
        <tr r="K16" s="24"/>
      </tp>
      <tp t="e">
        <v>#N/A</v>
        <stp/>
        <stp>BDH|2958731772054589599</stp>
        <tr r="J51" s="12"/>
      </tp>
      <tp t="e">
        <v>#N/A</v>
        <stp/>
        <stp>BDH|3528550464105963690</stp>
        <tr r="V42" s="26"/>
      </tp>
      <tp t="e">
        <v>#N/A</v>
        <stp/>
        <stp>BDH|6338117908507808364</stp>
        <tr r="N17" s="24"/>
      </tp>
      <tp t="e">
        <v>#N/A</v>
        <stp/>
        <stp>BDH|4277177396586306940</stp>
        <tr r="AA15" s="26"/>
      </tp>
      <tp t="e">
        <v>#N/A</v>
        <stp/>
        <stp>BDH|7594236206907463104</stp>
        <tr r="C15" s="9"/>
      </tp>
      <tp t="e">
        <v>#N/A</v>
        <stp/>
        <stp>BDH|8735347008119801171</stp>
        <tr r="E18" s="22"/>
      </tp>
      <tp t="e">
        <v>#N/A</v>
        <stp/>
        <stp>BDH|5903101669102114355</stp>
        <tr r="Q43" s="22"/>
      </tp>
      <tp t="e">
        <v>#N/A</v>
        <stp/>
        <stp>BDH|6765660710393677136</stp>
        <tr r="O89" s="17"/>
      </tp>
      <tp t="e">
        <v>#N/A</v>
        <stp/>
        <stp>BDH|1268089643605880355</stp>
        <tr r="D17" s="34"/>
      </tp>
      <tp t="e">
        <v>#N/A</v>
        <stp/>
        <stp>BDH|9080302432983722915</stp>
        <tr r="U160" s="18"/>
      </tp>
      <tp t="e">
        <v>#N/A</v>
        <stp/>
        <stp>BDH|1158197304205050681</stp>
        <tr r="T20" s="12"/>
      </tp>
      <tp t="e">
        <v>#N/A</v>
        <stp/>
        <stp>BDH|6096939001505725910</stp>
        <tr r="X12" s="10"/>
      </tp>
      <tp t="e">
        <v>#N/A</v>
        <stp/>
        <stp>BDH|9358800134517201617</stp>
        <tr r="S20" s="22"/>
      </tp>
      <tp t="e">
        <v>#N/A</v>
        <stp/>
        <stp>BDH|1927321282430813950</stp>
        <tr r="R13" s="6"/>
      </tp>
      <tp t="e">
        <v>#N/A</v>
        <stp/>
        <stp>BDH|7046611136332748344</stp>
        <tr r="C36" s="12"/>
      </tp>
      <tp t="e">
        <v>#N/A</v>
        <stp/>
        <stp>BDH|4636310826261345763</stp>
        <tr r="C87" s="17"/>
      </tp>
      <tp t="e">
        <v>#N/A</v>
        <stp/>
        <stp>BDH|9043204355749985486</stp>
        <tr r="M72" s="18"/>
      </tp>
      <tp t="e">
        <v>#N/A</v>
        <stp/>
        <stp>BDH|1061103406185741659</stp>
        <tr r="T59" s="18"/>
      </tp>
      <tp t="e">
        <v>#N/A</v>
        <stp/>
        <stp>BDH|4726078448273948055</stp>
        <tr r="F39" s="13"/>
        <tr r="D32" s="10"/>
      </tp>
      <tp t="e">
        <v>#N/A</v>
        <stp/>
        <stp>BDH|4400377865004066629</stp>
        <tr r="Q7" s="27"/>
        <tr r="Q94" s="17"/>
      </tp>
      <tp t="e">
        <v>#N/A</v>
        <stp/>
        <stp>BDH|8694643554180771854</stp>
        <tr r="T149" s="18"/>
      </tp>
      <tp t="e">
        <v>#N/A</v>
        <stp/>
        <stp>BDH|7515333356173205168</stp>
        <tr r="W86" s="17"/>
      </tp>
      <tp t="e">
        <v>#N/A</v>
        <stp/>
        <stp>BDH|6459536605740789017</stp>
        <tr r="Q40" s="22"/>
      </tp>
      <tp t="e">
        <v>#N/A</v>
        <stp/>
        <stp>BDH|6325220077964600440</stp>
        <tr r="Y104" s="18"/>
      </tp>
      <tp t="e">
        <v>#N/A</v>
        <stp/>
        <stp>BDH|1169206204961874195</stp>
        <tr r="S48" s="17"/>
      </tp>
      <tp t="e">
        <v>#N/A</v>
        <stp/>
        <stp>BDH|2511331003712097014</stp>
        <tr r="N11" s="29"/>
      </tp>
      <tp t="e">
        <v>#N/A</v>
        <stp/>
        <stp>BDH|7035643111623957089</stp>
        <tr r="Z35" s="24"/>
      </tp>
      <tp t="e">
        <v>#N/A</v>
        <stp/>
        <stp>BDH|5652607295991520823</stp>
        <tr r="C19" s="20"/>
      </tp>
      <tp t="e">
        <v>#N/A</v>
        <stp/>
        <stp>BDH|4007175339922946735</stp>
        <tr r="S29" s="34"/>
      </tp>
      <tp t="e">
        <v>#N/A</v>
        <stp/>
        <stp>BDH|2634664702383288441</stp>
        <tr r="O19" s="17"/>
      </tp>
      <tp t="e">
        <v>#N/A</v>
        <stp/>
        <stp>BDH|6161838266638438346</stp>
        <tr r="I93" s="18"/>
      </tp>
      <tp t="e">
        <v>#N/A</v>
        <stp/>
        <stp>BDH|7747376567170083137</stp>
        <tr r="I150" s="18"/>
      </tp>
      <tp t="e">
        <v>#N/A</v>
        <stp/>
        <stp>BDH|5320655736820732330</stp>
        <tr r="M16" s="34"/>
      </tp>
      <tp t="e">
        <v>#N/A</v>
        <stp/>
        <stp>BDH|2541517435063469419</stp>
        <tr r="J53" s="21"/>
      </tp>
      <tp t="e">
        <v>#N/A</v>
        <stp/>
        <stp>BDH|5550338942896434749</stp>
        <tr r="X76" s="24"/>
      </tp>
      <tp t="e">
        <v>#N/A</v>
        <stp/>
        <stp>BDH|4221118624505664156</stp>
        <tr r="D14" s="11"/>
      </tp>
      <tp t="e">
        <v>#N/A</v>
        <stp/>
        <stp>BDH|6576465017805225527</stp>
        <tr r="T45" s="24"/>
      </tp>
      <tp t="e">
        <v>#N/A</v>
        <stp/>
        <stp>BDH|3334630227427788340</stp>
        <tr r="K29" s="26"/>
      </tp>
      <tp t="e">
        <v>#N/A</v>
        <stp/>
        <stp>BDH|1279418563404673423</stp>
        <tr r="G86" s="18"/>
      </tp>
      <tp t="e">
        <v>#N/A</v>
        <stp/>
        <stp>BDH|6625570953455781011</stp>
        <tr r="W8" s="4"/>
      </tp>
      <tp t="e">
        <v>#N/A</v>
        <stp/>
        <stp>BDH|1847923405508989325</stp>
        <tr r="J32" s="29"/>
        <tr r="H34" s="5"/>
      </tp>
      <tp t="e">
        <v>#N/A</v>
        <stp/>
        <stp>BDH|6671341437556746369</stp>
        <tr r="X61" s="12"/>
      </tp>
      <tp t="e">
        <v>#N/A</v>
        <stp/>
        <stp>BDH|5704139252183139135</stp>
        <tr r="Z54" s="12"/>
      </tp>
      <tp t="e">
        <v>#N/A</v>
        <stp/>
        <stp>BDH|3847589561362285178</stp>
        <tr r="L41" s="22"/>
      </tp>
      <tp t="e">
        <v>#N/A</v>
        <stp/>
        <stp>BDH|3079337359361953778</stp>
        <tr r="V45" s="13"/>
        <tr r="T29" s="11"/>
        <tr r="T40" s="10"/>
      </tp>
      <tp t="e">
        <v>#N/A</v>
        <stp/>
        <stp>BDH|4845059917920625688</stp>
        <tr r="Q20" s="26"/>
      </tp>
      <tp t="e">
        <v>#N/A</v>
        <stp/>
        <stp>BDH|1513031237278250966</stp>
        <tr r="Y72" s="12"/>
      </tp>
      <tp t="e">
        <v>#N/A</v>
        <stp/>
        <stp>BDH|5554649891570595901</stp>
        <tr r="K19" s="9"/>
      </tp>
      <tp t="e">
        <v>#N/A</v>
        <stp/>
        <stp>BDH|9348125986395756656</stp>
        <tr r="Q7" s="5"/>
        <tr r="T14" s="3"/>
        <tr r="Q7" s="9"/>
        <tr r="R7" s="2"/>
      </tp>
      <tp t="e">
        <v>#N/A</v>
        <stp/>
        <stp>BDH|2523430377573608126</stp>
        <tr r="X20" s="17"/>
      </tp>
      <tp t="e">
        <v>#N/A</v>
        <stp/>
        <stp>BDH|7867461498021435874</stp>
        <tr r="U44" s="6"/>
      </tp>
      <tp t="e">
        <v>#N/A</v>
        <stp/>
        <stp>BDH|2685111372797467048</stp>
        <tr r="C44" s="12"/>
      </tp>
      <tp t="e">
        <v>#N/A</v>
        <stp/>
        <stp>BDH|7164134100684356141</stp>
        <tr r="AA30" s="12"/>
      </tp>
      <tp t="e">
        <v>#N/A</v>
        <stp/>
        <stp>BDH|9171323456638923493</stp>
        <tr r="O12" s="21"/>
      </tp>
      <tp t="e">
        <v>#N/A</v>
        <stp/>
        <stp>BDH|5671437115732525106</stp>
        <tr r="N30" s="24"/>
      </tp>
      <tp t="e">
        <v>#N/A</v>
        <stp/>
        <stp>BDH|7896037908884718014</stp>
        <tr r="W37" s="22"/>
      </tp>
      <tp t="e">
        <v>#N/A</v>
        <stp/>
        <stp>BDH|1121661850305150436</stp>
        <tr r="S47" s="22"/>
      </tp>
      <tp t="e">
        <v>#N/A</v>
        <stp/>
        <stp>BDH|8088256461328066719</stp>
        <tr r="F51" s="17"/>
      </tp>
      <tp t="e">
        <v>#N/A</v>
        <stp/>
        <stp>BDH|7007722157410852686</stp>
        <tr r="V9" s="24"/>
      </tp>
      <tp t="e">
        <v>#N/A</v>
        <stp/>
        <stp>BDH|5904739879643288542</stp>
        <tr r="K19" s="6"/>
      </tp>
      <tp t="e">
        <v>#N/A</v>
        <stp/>
        <stp>BDH|6454934867352507807</stp>
        <tr r="U33" s="17"/>
      </tp>
      <tp t="e">
        <v>#N/A</v>
        <stp/>
        <stp>BDH|4310090987756974914</stp>
        <tr r="J24" s="2"/>
      </tp>
      <tp t="e">
        <v>#N/A</v>
        <stp/>
        <stp>BDH|1906297742812529628</stp>
        <tr r="Y25" s="22"/>
      </tp>
      <tp t="e">
        <v>#N/A</v>
        <stp/>
        <stp>BDH|8656320779829992610</stp>
        <tr r="G63" s="18"/>
      </tp>
      <tp t="e">
        <v>#N/A</v>
        <stp/>
        <stp>BDH|9743244463139035756</stp>
        <tr r="M41" s="29"/>
        <tr r="M18" s="29"/>
      </tp>
      <tp t="e">
        <v>#N/A</v>
        <stp/>
        <stp>BDH|2814980797732638341</stp>
        <tr r="G89" s="17"/>
      </tp>
      <tp t="e">
        <v>#N/A</v>
        <stp/>
        <stp>BDH|5079345861787493448</stp>
        <tr r="G54" s="18"/>
      </tp>
      <tp t="e">
        <v>#N/A</v>
        <stp/>
        <stp>BDH|3384795800902648597</stp>
        <tr r="V57" s="13"/>
        <tr r="T49" s="10"/>
        <tr r="T38" s="11"/>
        <tr r="T53" s="4"/>
        <tr r="T18" s="2"/>
      </tp>
      <tp t="e">
        <v>#N/A</v>
        <stp/>
        <stp>BDH|7339582970577833161</stp>
        <tr r="H22" s="27"/>
      </tp>
      <tp t="e">
        <v>#N/A</v>
        <stp/>
        <stp>BDH|9301482352168571392</stp>
        <tr r="D50" s="22"/>
      </tp>
      <tp t="e">
        <v>#N/A</v>
        <stp/>
        <stp>BDH|7503421381970384806</stp>
        <tr r="U32" s="11"/>
        <tr r="U43" s="10"/>
      </tp>
      <tp t="e">
        <v>#N/A</v>
        <stp/>
        <stp>BDH|3314931186606549764</stp>
        <tr r="L61" s="18"/>
      </tp>
      <tp t="e">
        <v>#N/A</v>
        <stp/>
        <stp>BDH|7280422315772888383</stp>
        <tr r="N25" s="17"/>
      </tp>
      <tp t="e">
        <v>#N/A</v>
        <stp/>
        <stp>BDH|7471326634514369044</stp>
        <tr r="T18" s="9"/>
      </tp>
      <tp t="e">
        <v>#N/A</v>
        <stp/>
        <stp>BDH|6026612187682596969</stp>
        <tr r="Q19" s="10"/>
      </tp>
      <tp t="e">
        <v>#N/A</v>
        <stp/>
        <stp>BDH|5408403238076089792</stp>
        <tr r="W27" s="22"/>
      </tp>
      <tp t="e">
        <v>#N/A</v>
        <stp/>
        <stp>BDH|1589531877089297969</stp>
        <tr r="Y98" s="18"/>
      </tp>
      <tp t="e">
        <v>#N/A</v>
        <stp/>
        <stp>BDH|4274473941115797265</stp>
        <tr r="O43" s="12"/>
      </tp>
      <tp t="e">
        <v>#N/A</v>
        <stp/>
        <stp>BDH|9310205801680330849</stp>
        <tr r="M82" s="18"/>
      </tp>
      <tp t="e">
        <v>#N/A</v>
        <stp/>
        <stp>BDH|3922032419532386355</stp>
        <tr r="P13" s="10"/>
      </tp>
      <tp t="e">
        <v>#N/A</v>
        <stp/>
        <stp>BDH|9720644244399388115</stp>
        <tr r="U19" s="10"/>
      </tp>
      <tp t="e">
        <v>#N/A</v>
        <stp/>
        <stp>BDH|3814100037304991630</stp>
        <tr r="J93" s="17"/>
      </tp>
      <tp t="e">
        <v>#N/A</v>
        <stp/>
        <stp>BDH|4291206138785938360</stp>
        <tr r="P52" s="17"/>
      </tp>
      <tp t="e">
        <v>#N/A</v>
        <stp/>
        <stp>BDH|1067585108745581207</stp>
        <tr r="AA169" s="18"/>
      </tp>
      <tp t="e">
        <v>#N/A</v>
        <stp/>
        <stp>BDH|1487026803437636562</stp>
        <tr r="D88" s="12"/>
      </tp>
      <tp t="e">
        <v>#N/A</v>
        <stp/>
        <stp>BDH|6113119277134136730</stp>
        <tr r="W72" s="12"/>
      </tp>
      <tp t="e">
        <v>#N/A</v>
        <stp/>
        <stp>BDH|9379070336101786804</stp>
        <tr r="J26" s="13"/>
      </tp>
      <tp t="e">
        <v>#N/A</v>
        <stp/>
        <stp>BDH|8429774073468780320</stp>
        <tr r="M22" s="26"/>
      </tp>
      <tp t="e">
        <v>#N/A</v>
        <stp/>
        <stp>BDH|7924336743995813646</stp>
        <tr r="E145" s="18"/>
      </tp>
      <tp t="e">
        <v>#N/A</v>
        <stp/>
        <stp>BDH|9956098000922194840</stp>
        <tr r="S18" s="14"/>
      </tp>
      <tp t="e">
        <v>#N/A</v>
        <stp/>
        <stp>BDH|7898005835146026182</stp>
        <tr r="P7" s="20"/>
        <tr r="P113" s="18"/>
      </tp>
      <tp t="e">
        <v>#N/A</v>
        <stp/>
        <stp>BDH|7305937290834250074</stp>
        <tr r="N70" s="17"/>
        <tr r="K8" s="5"/>
        <tr r="K8" s="9"/>
      </tp>
      <tp t="e">
        <v>#N/A</v>
        <stp/>
        <stp>BDH|7413718387732485938</stp>
        <tr r="O56" s="18"/>
      </tp>
      <tp t="e">
        <v>#N/A</v>
        <stp/>
        <stp>BDH|3100381426333347298</stp>
        <tr r="E29" s="12"/>
      </tp>
      <tp t="e">
        <v>#N/A</v>
        <stp/>
        <stp>BDH|5566601929644888617</stp>
        <tr r="Q33" s="22"/>
      </tp>
      <tp t="e">
        <v>#N/A</v>
        <stp/>
        <stp>BDH|2995301653123958462</stp>
        <tr r="Y20" s="23"/>
      </tp>
      <tp t="e">
        <v>#N/A</v>
        <stp/>
        <stp>BDH|6816947849451452949</stp>
        <tr r="D22" s="20"/>
      </tp>
      <tp t="e">
        <v>#N/A</v>
        <stp/>
        <stp>BDH|99149876901424905</stp>
        <tr r="G12" s="12"/>
      </tp>
      <tp t="e">
        <v>#N/A</v>
        <stp/>
        <stp>BDH|97994278375664532</stp>
        <tr r="E14" s="8"/>
      </tp>
      <tp t="e">
        <v>#N/A</v>
        <stp/>
        <stp>BDH|60863254754606753</stp>
        <tr r="J131" s="18"/>
      </tp>
      <tp t="e">
        <v>#N/A</v>
        <stp/>
        <stp>BDH|73628993355184489</stp>
        <tr r="D6" s="28"/>
      </tp>
      <tp t="e">
        <v>#N/A</v>
        <stp/>
        <stp>BDH|15992364803269276</stp>
        <tr r="V69" s="13"/>
      </tp>
      <tp t="e">
        <v>#N/A</v>
        <stp/>
        <stp>BDH|11710289987922699</stp>
        <tr r="L17" s="5"/>
        <tr r="L36" s="6"/>
      </tp>
      <tp t="e">
        <v>#N/A</v>
        <stp/>
        <stp>BDH|30528186546455593</stp>
        <tr r="L36" s="12"/>
      </tp>
      <tp t="e">
        <v>#N/A</v>
        <stp/>
        <stp>BDH|413799232566364700</stp>
        <tr r="T92" s="12"/>
      </tp>
      <tp t="e">
        <v>#N/A</v>
        <stp/>
        <stp>BDH|968308828924894056</stp>
        <tr r="Q87" s="17"/>
      </tp>
      <tp t="e">
        <v>#N/A</v>
        <stp/>
        <stp>BDH|454485673014189226</stp>
        <tr r="X129" s="18"/>
      </tp>
      <tp t="e">
        <v>#N/A</v>
        <stp/>
        <stp>BDH|503576157922056795</stp>
        <tr r="X54" s="34"/>
      </tp>
      <tp t="e">
        <v>#N/A</v>
        <stp/>
        <stp>BDH|580870949989759004</stp>
        <tr r="O29" s="14"/>
      </tp>
      <tp t="e">
        <v>#N/A</v>
        <stp/>
        <stp>BDH|884180409810390472</stp>
        <tr r="X31" s="9"/>
      </tp>
      <tp t="e">
        <v>#N/A</v>
        <stp/>
        <stp>BDH|344709549766323047</stp>
        <tr r="T64" s="18"/>
      </tp>
      <tp t="e">
        <v>#N/A</v>
        <stp/>
        <stp>BDH|464305017606863162</stp>
        <tr r="Q45" s="24"/>
      </tp>
      <tp t="e">
        <v>#N/A</v>
        <stp/>
        <stp>BDH|567353528261696504</stp>
        <tr r="E41" s="22"/>
      </tp>
      <tp t="e">
        <v>#N/A</v>
        <stp/>
        <stp>BDH|445398954194061771</stp>
        <tr r="N47" s="18"/>
      </tp>
      <tp t="e">
        <v>#N/A</v>
        <stp/>
        <stp>BDH|347142733955230285</stp>
        <tr r="R17" s="29"/>
        <tr r="R40" s="29"/>
      </tp>
      <tp t="e">
        <v>#N/A</v>
        <stp/>
        <stp>BDH|830234430271332568</stp>
        <tr r="Y52" s="22"/>
      </tp>
      <tp t="e">
        <v>#N/A</v>
        <stp/>
        <stp>BDH|429088152161426149</stp>
        <tr r="V33" s="22"/>
      </tp>
      <tp t="e">
        <v>#N/A</v>
        <stp/>
        <stp>BDH|667305829317631372</stp>
        <tr r="R55" s="12"/>
      </tp>
      <tp t="e">
        <v>#N/A</v>
        <stp/>
        <stp>BDH|367544206729761984</stp>
        <tr r="K8" s="2"/>
      </tp>
      <tp t="e">
        <v>#N/A</v>
        <stp/>
        <stp>BDH|838754596529059250</stp>
        <tr r="W89" s="18"/>
      </tp>
      <tp t="e">
        <v>#N/A</v>
        <stp/>
        <stp>BDH|862801178329699397</stp>
        <tr r="S34" s="12"/>
      </tp>
      <tp t="e">
        <v>#N/A</v>
        <stp/>
        <stp>BDH|675169368700121260</stp>
        <tr r="M32" s="17"/>
      </tp>
      <tp t="e">
        <v>#N/A</v>
        <stp/>
        <stp>BDH|464396823926230231</stp>
        <tr r="F15" s="26"/>
      </tp>
      <tp t="e">
        <v>#N/A</v>
        <stp/>
        <stp>BDH|324510611046993758</stp>
        <tr r="E34" s="26"/>
      </tp>
      <tp t="e">
        <v>#N/A</v>
        <stp/>
        <stp>BDH|193648544086677185</stp>
        <tr r="O7" s="8"/>
      </tp>
      <tp t="e">
        <v>#N/A</v>
        <stp/>
        <stp>BDH|599089544706056761</stp>
        <tr r="T123" s="18"/>
      </tp>
      <tp t="e">
        <v>#N/A</v>
        <stp/>
        <stp>BDH|628639126812513395</stp>
        <tr r="L33" s="5"/>
      </tp>
      <tp t="e">
        <v>#N/A</v>
        <stp/>
        <stp>BDH|305817949478445177</stp>
        <tr r="J12" s="12"/>
      </tp>
      <tp t="e">
        <v>#N/A</v>
        <stp/>
        <stp>BDH|816291163157866620</stp>
        <tr r="V69" s="17"/>
        <tr r="V18" s="3"/>
      </tp>
      <tp t="e">
        <v>#N/A</v>
        <stp/>
        <stp>BDH|568424721250664382</stp>
        <tr r="W19" s="28"/>
        <tr r="W16" s="17"/>
      </tp>
      <tp t="e">
        <v>#N/A</v>
        <stp/>
        <stp>BDH|311207969476578770</stp>
        <tr r="H20" s="25"/>
      </tp>
      <tp t="e">
        <v>#N/A</v>
        <stp/>
        <stp>BDH|714598341175511135</stp>
        <tr r="S9" s="12"/>
      </tp>
      <tp t="e">
        <v>#N/A</v>
        <stp/>
        <stp>BDH|126285025872697734</stp>
        <tr r="E44" s="34"/>
      </tp>
      <tp t="e">
        <v>#N/A</v>
        <stp/>
        <stp>BDH|847347262557674716</stp>
        <tr r="C28" s="18"/>
      </tp>
      <tp t="e">
        <v>#N/A</v>
        <stp/>
        <stp>BDH|145820259678420074</stp>
        <tr r="R48" s="24"/>
      </tp>
      <tp t="e">
        <v>#N/A</v>
        <stp/>
        <stp>BDH|939379165024976487</stp>
        <tr r="C45" s="12"/>
      </tp>
      <tp t="e">
        <v>#N/A</v>
        <stp/>
        <stp>BDH|613188110197506214</stp>
        <tr r="J21" s="14"/>
      </tp>
      <tp t="e">
        <v>#N/A</v>
        <stp/>
        <stp>BDH|480271772139928929</stp>
        <tr r="M26" s="18"/>
      </tp>
      <tp t="e">
        <v>#N/A</v>
        <stp/>
        <stp>BDH|203723619650495378</stp>
        <tr r="D36" s="18"/>
      </tp>
      <tp t="e">
        <v>#N/A</v>
        <stp/>
        <stp>BDH|255285246510440339</stp>
        <tr r="Z35" s="17"/>
      </tp>
      <tp t="e">
        <v>#N/A</v>
        <stp/>
        <stp>BDH|671341710736086197</stp>
        <tr r="O78" s="18"/>
      </tp>
      <tp t="e">
        <v>#N/A</v>
        <stp/>
        <stp>BDH|369895394011207575</stp>
        <tr r="U90" s="18"/>
      </tp>
      <tp t="e">
        <v>#N/A</v>
        <stp/>
        <stp>BDH|493562457553729699</stp>
        <tr r="F34" s="26"/>
      </tp>
      <tp t="e">
        <v>#N/A</v>
        <stp/>
        <stp>BDH|105243762879190828</stp>
        <tr r="R54" s="13"/>
      </tp>
      <tp t="e">
        <v>#N/A</v>
        <stp/>
        <stp>BDH|344179919691911400</stp>
        <tr r="AA42" s="21"/>
      </tp>
      <tp t="e">
        <v>#N/A</v>
        <stp/>
        <stp>BDH|540794183479886332</stp>
        <tr r="V16" s="20"/>
      </tp>
      <tp t="e">
        <v>#N/A</v>
        <stp/>
        <stp>BDH|772567643533334748</stp>
        <tr r="L42" s="26"/>
      </tp>
      <tp t="e">
        <v>#N/A</v>
        <stp/>
        <stp>BDH|711651736135002513</stp>
        <tr r="D135" s="18"/>
      </tp>
      <tp t="e">
        <v>#N/A</v>
        <stp/>
        <stp>BDH|314207407072220535</stp>
        <tr r="C7" s="10"/>
      </tp>
      <tp t="e">
        <v>#N/A</v>
        <stp/>
        <stp>BDH|425187112380885507</stp>
        <tr r="T70" s="17"/>
        <tr r="Q8" s="9"/>
        <tr r="Q8" s="5"/>
      </tp>
      <tp t="e">
        <v>#N/A</v>
        <stp/>
        <stp>BDH|439417872163166505</stp>
        <tr r="S8" s="8"/>
      </tp>
      <tp t="e">
        <v>#N/A</v>
        <stp/>
        <stp>BDH|498417494501490935</stp>
        <tr r="G33" s="18"/>
      </tp>
      <tp t="e">
        <v>#N/A</v>
        <stp/>
        <stp>BDH|839423159182645631</stp>
        <tr r="Z109" s="18"/>
      </tp>
      <tp t="e">
        <v>#N/A</v>
        <stp/>
        <stp>BDH|741537103770431053</stp>
        <tr r="S16" s="34"/>
      </tp>
      <tp t="e">
        <v>#N/A</v>
        <stp/>
        <stp>BDH|653773600804166674</stp>
        <tr r="H60" s="21"/>
        <tr r="F55" s="11"/>
      </tp>
      <tp t="e">
        <v>#N/A</v>
        <stp/>
        <stp>BDH|535913048380320887</stp>
        <tr r="I89" s="12"/>
      </tp>
      <tp t="e">
        <v>#N/A</v>
        <stp/>
        <stp>BDH|683381111505088283</stp>
        <tr r="H32" s="26"/>
      </tp>
      <tp t="e">
        <v>#N/A</v>
        <stp/>
        <stp>BDH|250311499888811758</stp>
        <tr r="W54" s="13"/>
      </tp>
      <tp t="e">
        <v>#N/A</v>
        <stp/>
        <stp>BDH|782209350566796406</stp>
        <tr r="R13" s="11"/>
      </tp>
      <tp t="e">
        <v>#N/A</v>
        <stp/>
        <stp>BDH|785842824247022874</stp>
        <tr r="S37" s="12"/>
      </tp>
      <tp t="e">
        <v>#N/A</v>
        <stp/>
        <stp>BDH|884478579092098465</stp>
        <tr r="J36" s="4"/>
      </tp>
      <tp t="e">
        <v>#N/A</v>
        <stp/>
        <stp>BDH|789638218331598397</stp>
        <tr r="X85" s="12"/>
      </tp>
      <tp t="e">
        <v>#N/A</v>
        <stp/>
        <stp>BDH|405128077376211538</stp>
        <tr r="S99" s="18"/>
      </tp>
      <tp t="e">
        <v>#N/A</v>
        <stp/>
        <stp>BDH|658915285572379613</stp>
        <tr r="L9" s="8"/>
        <tr r="J52" s="6"/>
      </tp>
      <tp t="e">
        <v>#N/A</v>
        <stp/>
        <stp>BDH|252678635813802383</stp>
        <tr r="I60" s="12"/>
      </tp>
      <tp t="e">
        <v>#N/A</v>
        <stp/>
        <stp>BDH|577641938595024595</stp>
        <tr r="L66" s="10"/>
      </tp>
      <tp t="e">
        <v>#N/A</v>
        <stp/>
        <stp>BDH|166696037281662191</stp>
        <tr r="O32" s="12"/>
      </tp>
      <tp t="e">
        <v>#N/A</v>
        <stp/>
        <stp>BDH|405432492118689023</stp>
        <tr r="Q58" s="6"/>
      </tp>
      <tp t="e">
        <v>#N/A</v>
        <stp/>
        <stp>BDH|249330642006231409</stp>
        <tr r="H170" s="18"/>
      </tp>
      <tp t="e">
        <v>#N/A</v>
        <stp/>
        <stp>BDH|506868510508688449</stp>
        <tr r="L93" s="17"/>
      </tp>
      <tp t="e">
        <v>#N/A</v>
        <stp/>
        <stp>BDH|417770861951027539</stp>
        <tr r="D13" s="20"/>
        <tr r="D118" s="18"/>
      </tp>
      <tp t="e">
        <v>#N/A</v>
        <stp/>
        <stp>BDH|196617225822620324</stp>
        <tr r="X41" s="26"/>
      </tp>
      <tp t="e">
        <v>#N/A</v>
        <stp/>
        <stp>BDH|560852224477629832</stp>
        <tr r="J48" s="22"/>
      </tp>
      <tp t="e">
        <v>#N/A</v>
        <stp/>
        <stp>BDH|607238557997434577</stp>
        <tr r="U8" s="24"/>
      </tp>
      <tp t="e">
        <v>#N/A</v>
        <stp/>
        <stp>BDH|868103565636910457</stp>
        <tr r="O13" s="5"/>
      </tp>
      <tp t="e">
        <v>#N/A</v>
        <stp/>
        <stp>BDH|435488275302273494</stp>
        <tr r="X59" s="17"/>
      </tp>
      <tp t="e">
        <v>#N/A</v>
        <stp/>
        <stp>BDH|454130243215434528</stp>
        <tr r="M16" s="22"/>
      </tp>
      <tp t="e">
        <v>#N/A</v>
        <stp/>
        <stp>BDH|466273564647627635</stp>
        <tr r="Y23" s="13"/>
      </tp>
      <tp t="e">
        <v>#N/A</v>
        <stp/>
        <stp>BDH|609721277691145418</stp>
        <tr r="R12" s="10"/>
      </tp>
      <tp t="e">
        <v>#N/A</v>
        <stp/>
        <stp>BDH|366431369770885720</stp>
        <tr r="X20" s="12"/>
      </tp>
      <tp t="e">
        <v>#N/A</v>
        <stp/>
        <stp>BDH|972982195375237050</stp>
        <tr r="J42" s="4"/>
      </tp>
      <tp t="e">
        <v>#N/A</v>
        <stp/>
        <stp>BDH|633188353354471453</stp>
        <tr r="N68" s="17"/>
      </tp>
      <tp t="e">
        <v>#N/A</v>
        <stp/>
        <stp>BDH|572655332403726295</stp>
        <tr r="T64" s="17"/>
      </tp>
      <tp t="e">
        <v>#N/A</v>
        <stp/>
        <stp>BDH|372185620660217752</stp>
        <tr r="K10" s="26"/>
      </tp>
      <tp t="e">
        <v>#N/A</v>
        <stp/>
        <stp>BDH|409615460640138485</stp>
        <tr r="C41" s="25"/>
        <tr r="C59" s="21"/>
      </tp>
      <tp t="e">
        <v>#N/A</v>
        <stp/>
        <stp>BDH|235690117335445641</stp>
        <tr r="V12" s="25"/>
      </tp>
      <tp t="e">
        <v>#N/A</v>
        <stp/>
        <stp>BDH|232058813727993207</stp>
        <tr r="AA42" s="25"/>
      </tp>
      <tp t="e">
        <v>#N/A</v>
        <stp/>
        <stp>BDH|566311611833808509</stp>
        <tr r="L6" s="16"/>
        <tr r="M6" s="11"/>
        <tr r="M10" s="4"/>
        <tr r="O6" s="3"/>
      </tp>
      <tp t="e">
        <v>#N/A</v>
        <stp/>
        <stp>BDH|570162540794774591</stp>
        <tr r="N42" s="22"/>
      </tp>
      <tp t="e">
        <v>#N/A</v>
        <stp/>
        <stp>BDH|919145722521284631</stp>
        <tr r="S69" s="17"/>
        <tr r="S18" s="3"/>
      </tp>
      <tp t="e">
        <v>#N/A</v>
        <stp/>
        <stp>BDH|313835245690283896</stp>
        <tr r="H41" s="29"/>
        <tr r="H18" s="29"/>
      </tp>
      <tp t="e">
        <v>#N/A</v>
        <stp/>
        <stp>BDH|675634428142089237</stp>
        <tr r="J32" s="13"/>
        <tr r="H25" s="10"/>
      </tp>
      <tp t="e">
        <v>#N/A</v>
        <stp/>
        <stp>BDH|145257561653255393</stp>
        <tr r="T29" s="9"/>
      </tp>
      <tp t="e">
        <v>#N/A</v>
        <stp/>
        <stp>BDH|297962658818766056</stp>
        <tr r="U33" s="12"/>
      </tp>
      <tp t="e">
        <v>#N/A</v>
        <stp/>
        <stp>BDH|362585555223675762</stp>
        <tr r="X71" s="13"/>
      </tp>
      <tp t="e">
        <v>#N/A</v>
        <stp/>
        <stp>BDH|301737349333727403</stp>
        <tr r="D86" s="17"/>
      </tp>
      <tp t="e">
        <v>#N/A</v>
        <stp/>
        <stp>BDH|789783432650150030</stp>
        <tr r="O62" s="17"/>
      </tp>
      <tp t="e">
        <v>#N/A</v>
        <stp/>
        <stp>BDH|983597958693959790</stp>
        <tr r="S123" s="18"/>
      </tp>
      <tp t="e">
        <v>#N/A</v>
        <stp/>
        <stp>BDH|916306959012066086</stp>
        <tr r="S59" s="17"/>
      </tp>
      <tp t="e">
        <v>#N/A</v>
        <stp/>
        <stp>BDH|638239338515136055</stp>
        <tr r="S41" s="25"/>
        <tr r="S59" s="21"/>
        <tr r="Q54" s="11"/>
        <tr r="Q31" s="4"/>
      </tp>
      <tp t="e">
        <v>#N/A</v>
        <stp/>
        <stp>BDH|832004176545054679</stp>
        <tr r="P34" s="25"/>
        <tr r="P16" s="27"/>
      </tp>
      <tp t="e">
        <v>#N/A</v>
        <stp/>
        <stp>BDH|736014308093397741</stp>
        <tr r="Y62" s="21"/>
      </tp>
      <tp t="e">
        <v>#N/A</v>
        <stp/>
        <stp>BDH|600496741043362747</stp>
        <tr r="Q48" s="34"/>
      </tp>
      <tp t="e">
        <v>#N/A</v>
        <stp/>
        <stp>BDH|634665626252966267</stp>
        <tr r="Y11" s="20"/>
        <tr r="Y116" s="18"/>
      </tp>
      <tp t="e">
        <v>#N/A</v>
        <stp/>
        <stp>BDH|785554928796137512</stp>
        <tr r="L51" s="21"/>
      </tp>
      <tp t="e">
        <v>#N/A</v>
        <stp/>
        <stp>BDH|112398232676341233</stp>
        <tr r="P51" s="17"/>
      </tp>
      <tp t="e">
        <v>#N/A</v>
        <stp/>
        <stp>BDH|881687727789524983</stp>
        <tr r="F41" s="21"/>
      </tp>
      <tp t="e">
        <v>#N/A</v>
        <stp/>
        <stp>BDH|217110509155167019</stp>
        <tr r="N9" s="28"/>
      </tp>
      <tp t="e">
        <v>#N/A</v>
        <stp/>
        <stp>BDH|636983247759020035</stp>
        <tr r="D42" s="22"/>
      </tp>
      <tp t="e">
        <v>#N/A</v>
        <stp/>
        <stp>BDH|821648143585636325</stp>
        <tr r="U20" s="23"/>
      </tp>
      <tp t="e">
        <v>#N/A</v>
        <stp/>
        <stp>BDH|873641246055216337</stp>
        <tr r="Q32" s="24"/>
      </tp>
      <tp t="e">
        <v>#N/A</v>
        <stp/>
        <stp>BDH|880555561965200250</stp>
        <tr r="E15" s="23"/>
        <tr r="C59" s="11"/>
      </tp>
      <tp t="e">
        <v>#N/A</v>
        <stp/>
        <stp>BDH|623078543618705816</stp>
        <tr r="P9" s="28"/>
      </tp>
      <tp t="e">
        <v>#N/A</v>
        <stp/>
        <stp>BDH|401066950068694905</stp>
        <tr r="N54" s="34"/>
      </tp>
      <tp t="e">
        <v>#N/A</v>
        <stp/>
        <stp>BDH|357314773354693430</stp>
        <tr r="W26" s="25"/>
        <tr r="W56" s="21"/>
      </tp>
      <tp t="e">
        <v>#N/A</v>
        <stp/>
        <stp>BDH|684163068563892049</stp>
        <tr r="Y144" s="18"/>
      </tp>
      <tp t="e">
        <v>#N/A</v>
        <stp/>
        <stp>BDH|334353365601503026</stp>
        <tr r="W36" s="22"/>
      </tp>
      <tp t="e">
        <v>#N/A</v>
        <stp/>
        <stp>BDH|344677171662259730</stp>
        <tr r="R20" s="24"/>
      </tp>
      <tp t="e">
        <v>#N/A</v>
        <stp/>
        <stp>BDH|825656910006018593</stp>
        <tr r="L66" s="18"/>
      </tp>
      <tp t="e">
        <v>#N/A</v>
        <stp/>
        <stp>BDH|735275053105421631</stp>
        <tr r="K62" s="21"/>
      </tp>
      <tp t="e">
        <v>#N/A</v>
        <stp/>
        <stp>BDH|235100146580366134</stp>
        <tr r="Y13" s="27"/>
        <tr r="Y31" s="25"/>
      </tp>
      <tp t="e">
        <v>#N/A</v>
        <stp/>
        <stp>BDH|615471702863123370</stp>
        <tr r="H36" s="17"/>
      </tp>
      <tp t="e">
        <v>#N/A</v>
        <stp/>
        <stp>BDH|594471353973535619</stp>
        <tr r="C21" s="22"/>
      </tp>
      <tp t="e">
        <v>#N/A</v>
        <stp/>
        <stp>BDH|360707428612853365</stp>
        <tr r="R62" s="17"/>
      </tp>
      <tp t="e">
        <v>#N/A</v>
        <stp/>
        <stp>BDH|790567397409761148</stp>
        <tr r="M16" s="11"/>
      </tp>
      <tp t="e">
        <v>#N/A</v>
        <stp/>
        <stp>BDH|118273075831139043</stp>
        <tr r="S34" s="22"/>
      </tp>
      <tp t="e">
        <v>#N/A</v>
        <stp/>
        <stp>BDH|414899809259426563</stp>
        <tr r="C8" s="22"/>
      </tp>
      <tp t="e">
        <v>#N/A</v>
        <stp/>
        <stp>BDH|128989030319677797</stp>
        <tr r="W24" s="10"/>
      </tp>
      <tp t="e">
        <v>#N/A</v>
        <stp/>
        <stp>BDH|501628905711400306</stp>
        <tr r="P85" s="12"/>
      </tp>
      <tp t="e">
        <v>#N/A</v>
        <stp/>
        <stp>BDH|714118844675479409</stp>
        <tr r="F10" s="23"/>
      </tp>
      <tp t="e">
        <v>#N/A</v>
        <stp/>
        <stp>BDH|584449454522101722</stp>
        <tr r="M68" s="17"/>
      </tp>
      <tp t="e">
        <v>#N/A</v>
        <stp/>
        <stp>BDH|168563621360959394</stp>
        <tr r="Q11" s="6"/>
      </tp>
      <tp t="e">
        <v>#N/A</v>
        <stp/>
        <stp>BDH|101679532368291907</stp>
        <tr r="Y49" s="17"/>
      </tp>
      <tp t="e">
        <v>#N/A</v>
        <stp/>
        <stp>BDH|687560478611794792</stp>
        <tr r="Y36" s="13"/>
        <tr r="W29" s="10"/>
      </tp>
      <tp t="e">
        <v>#N/A</v>
        <stp/>
        <stp>BDH|642660133199685827</stp>
        <tr r="R30" s="26"/>
      </tp>
      <tp t="e">
        <v>#N/A</v>
        <stp/>
        <stp>BDH|898101012545551188</stp>
        <tr r="W32" s="29"/>
        <tr r="U34" s="5"/>
      </tp>
      <tp t="e">
        <v>#N/A</v>
        <stp/>
        <stp>BDH|230850201755778918</stp>
        <tr r="O137" s="18"/>
      </tp>
      <tp t="e">
        <v>#N/A</v>
        <stp/>
        <stp>BDH|284021771210696376</stp>
        <tr r="L154" s="18"/>
      </tp>
      <tp t="e">
        <v>#N/A</v>
        <stp/>
        <stp>BDH|189531314168324843</stp>
        <tr r="F25" s="7"/>
      </tp>
      <tp t="e">
        <v>#N/A</v>
        <stp/>
        <stp>BDH|114670021360652009</stp>
        <tr r="T55" s="13"/>
      </tp>
      <tp t="e">
        <v>#N/A</v>
        <stp/>
        <stp>BDH|386778937511156132</stp>
        <tr r="K32" s="29"/>
        <tr r="I34" s="5"/>
      </tp>
      <tp t="e">
        <v>#N/A</v>
        <stp/>
        <stp>BDH|432468663396782072</stp>
        <tr r="L39" s="24"/>
      </tp>
      <tp t="e">
        <v>#N/A</v>
        <stp/>
        <stp>BDH|307702884149745215</stp>
        <tr r="O22" s="20"/>
      </tp>
      <tp t="e">
        <v>#N/A</v>
        <stp/>
        <stp>BDH|531458960725657378</stp>
        <tr r="P161" s="18"/>
      </tp>
      <tp t="e">
        <v>#N/A</v>
        <stp/>
        <stp>BDH|942617020553935302</stp>
        <tr r="V65" s="18"/>
      </tp>
      <tp t="e">
        <v>#N/A</v>
        <stp/>
        <stp>BDH|497512985131566848</stp>
        <tr r="O170" s="18"/>
      </tp>
      <tp t="e">
        <v>#N/A</v>
        <stp/>
        <stp>BDH|640877965022431814</stp>
        <tr r="R71" s="10"/>
      </tp>
      <tp t="e">
        <v>#N/A</v>
        <stp/>
        <stp>BDH|203814266589199360</stp>
        <tr r="W156" s="18"/>
      </tp>
      <tp t="e">
        <v>#N/A</v>
        <stp/>
        <stp>BDH|418563173406079039</stp>
        <tr r="E9" s="6"/>
      </tp>
      <tp t="e">
        <v>#N/A</v>
        <stp/>
        <stp>BDH|201079271965275649</stp>
        <tr r="AA54" s="13"/>
      </tp>
      <tp t="e">
        <v>#N/A</v>
        <stp/>
        <stp>BDH|187111084248453521</stp>
        <tr r="H45" s="34"/>
      </tp>
      <tp t="e">
        <v>#N/A</v>
        <stp/>
        <stp>BDH|297308409412134584</stp>
        <tr r="H25" s="11"/>
        <tr r="H36" s="10"/>
      </tp>
      <tp t="e">
        <v>#N/A</v>
        <stp/>
        <stp>BDH|426403146407347332</stp>
        <tr r="L101" s="18"/>
      </tp>
      <tp t="e">
        <v>#N/A</v>
        <stp/>
        <stp>BDH|153773573346641212</stp>
        <tr r="F38" s="26"/>
      </tp>
      <tp t="e">
        <v>#N/A</v>
        <stp/>
        <stp>BDH|942767169061524417</stp>
        <tr r="O72" s="10"/>
      </tp>
      <tp t="e">
        <v>#N/A</v>
        <stp/>
        <stp>BDH|219060475676498578</stp>
        <tr r="C169" s="18"/>
      </tp>
      <tp t="e">
        <v>#N/A</v>
        <stp/>
        <stp>BDH|190113652133375338</stp>
        <tr r="I59" s="24"/>
      </tp>
      <tp t="e">
        <v>#N/A</v>
        <stp/>
        <stp>BDH|780525592111638925</stp>
        <tr r="I153" s="18"/>
      </tp>
      <tp t="e">
        <v>#N/A</v>
        <stp/>
        <stp>BDH|737442001788051819</stp>
        <tr r="H34" s="17"/>
      </tp>
      <tp t="e">
        <v>#N/A</v>
        <stp/>
        <stp>BDH|156118043550337130</stp>
        <tr r="D16" s="20"/>
      </tp>
      <tp t="e">
        <v>#N/A</v>
        <stp/>
        <stp>BDH|181445207601350121</stp>
        <tr r="W47" s="11"/>
        <tr r="W58" s="10"/>
        <tr r="W7" s="7"/>
        <tr r="Y12" s="3"/>
      </tp>
      <tp t="e">
        <v>#N/A</v>
        <stp/>
        <stp>BDH|908221933812905726</stp>
        <tr r="F56" s="11"/>
      </tp>
      <tp t="e">
        <v>#N/A</v>
        <stp/>
        <stp>BDH|383958052361797906</stp>
        <tr r="K28" s="6"/>
      </tp>
      <tp t="e">
        <v>#N/A</v>
        <stp/>
        <stp>BDH|391762201400763309</stp>
        <tr r="P80" s="12"/>
      </tp>
      <tp t="e">
        <v>#N/A</v>
        <stp/>
        <stp>BDH|593559055850905702</stp>
        <tr r="F11" s="22"/>
      </tp>
      <tp t="e">
        <v>#N/A</v>
        <stp/>
        <stp>BDH|344657249543613658</stp>
        <tr r="V8" s="21"/>
      </tp>
      <tp t="e">
        <v>#N/A</v>
        <stp/>
        <stp>BDH|712268413336821264</stp>
        <tr r="Q42" s="4"/>
      </tp>
      <tp t="e">
        <v>#N/A</v>
        <stp/>
        <stp>BDH|567594779531037490</stp>
        <tr r="W86" s="12"/>
      </tp>
      <tp t="e">
        <v>#N/A</v>
        <stp/>
        <stp>BDH|922011974196939695</stp>
        <tr r="D98" s="18"/>
      </tp>
      <tp t="e">
        <v>#N/A</v>
        <stp/>
        <stp>BDH|152412217915849720</stp>
        <tr r="G58" s="6"/>
      </tp>
      <tp t="e">
        <v>#N/A</v>
        <stp/>
        <stp>BDH|965964183652394425</stp>
        <tr r="R8" s="4"/>
      </tp>
      <tp t="e">
        <v>#N/A</v>
        <stp/>
        <stp>BDH|166454770387994301</stp>
        <tr r="O89" s="12"/>
      </tp>
      <tp t="e">
        <v>#N/A</v>
        <stp/>
        <stp>BDH|542614027444881760</stp>
        <tr r="D26" s="21"/>
      </tp>
      <tp t="e">
        <v>#N/A</v>
        <stp/>
        <stp>BDH|987580600275892741</stp>
        <tr r="R37" s="34"/>
      </tp>
      <tp t="e">
        <v>#N/A</v>
        <stp/>
        <stp>BDH|386946548049173301</stp>
        <tr r="X76" s="12"/>
      </tp>
      <tp t="e">
        <v>#N/A</v>
        <stp/>
        <stp>BDH|614647957942830630</stp>
        <tr r="P86" s="12"/>
      </tp>
      <tp t="e">
        <v>#N/A</v>
        <stp/>
        <stp>BDH|604424738826120638</stp>
        <tr r="X12" s="14"/>
      </tp>
      <tp t="e">
        <v>#N/A</v>
        <stp/>
        <stp>BDH|837788341447949376</stp>
        <tr r="C41" s="21"/>
      </tp>
      <tp t="e">
        <v>#N/A</v>
        <stp/>
        <stp>BDH|754683962396083156</stp>
        <tr r="P39" s="13"/>
        <tr r="N32" s="10"/>
      </tp>
      <tp t="e">
        <v>#N/A</v>
        <stp/>
        <stp>BDH|414353427137854168</stp>
        <tr r="N52" s="22"/>
      </tp>
      <tp t="e">
        <v>#N/A</v>
        <stp/>
        <stp>BDH|881443263496763306</stp>
        <tr r="J72" s="10"/>
      </tp>
      <tp t="e">
        <v>#N/A</v>
        <stp/>
        <stp>BDH|907473417422950080</stp>
        <tr r="C57" s="17"/>
      </tp>
      <tp t="e">
        <v>#N/A</v>
        <stp/>
        <stp>BDH|704631356130230481</stp>
        <tr r="R27" s="26"/>
      </tp>
      <tp t="e">
        <v>#N/A</v>
        <stp/>
        <stp>BDH|423786162371424725</stp>
        <tr r="W49" s="21"/>
      </tp>
      <tp t="e">
        <v>#N/A</v>
        <stp/>
        <stp>BDH|863027507781255672</stp>
        <tr r="X16" s="23"/>
      </tp>
      <tp t="e">
        <v>#N/A</v>
        <stp/>
        <stp>BDH|409922491975712290</stp>
        <tr r="W23" s="18"/>
      </tp>
      <tp t="e">
        <v>#N/A</v>
        <stp/>
        <stp>BDH|805021515914168275</stp>
        <tr r="C36" s="34"/>
      </tp>
      <tp t="e">
        <v>#N/A</v>
        <stp/>
        <stp>BDH|169482371344787061</stp>
        <tr r="M140" s="18"/>
      </tp>
      <tp t="e">
        <v>#N/A</v>
        <stp/>
        <stp>BDH|632973198687479041</stp>
        <tr r="V121" s="18"/>
      </tp>
      <tp t="e">
        <v>#N/A</v>
        <stp/>
        <stp>BDH|350028527325996059</stp>
        <tr r="L58" s="17"/>
      </tp>
      <tp t="e">
        <v>#N/A</v>
        <stp/>
        <stp>BDH|828362346964370413</stp>
        <tr r="Q64" s="12"/>
      </tp>
      <tp t="e">
        <v>#N/A</v>
        <stp/>
        <stp>BDH|808257436096418057</stp>
        <tr r="Q32" s="12"/>
      </tp>
      <tp t="e">
        <v>#N/A</v>
        <stp/>
        <stp>BDH|159718933140927315</stp>
        <tr r="N63" s="24"/>
      </tp>
      <tp t="e">
        <v>#N/A</v>
        <stp/>
        <stp>BDH|467494066035854088</stp>
        <tr r="T35" s="17"/>
      </tp>
      <tp t="e">
        <v>#N/A</v>
        <stp/>
        <stp>BDH|552996596350487757</stp>
        <tr r="X126" s="18"/>
      </tp>
      <tp t="e">
        <v>#N/A</v>
        <stp/>
        <stp>BDH|618245101791831404</stp>
        <tr r="I54" s="13"/>
      </tp>
      <tp t="e">
        <v>#N/A</v>
        <stp/>
        <stp>BDH|763273037237008139</stp>
        <tr r="W66" s="12"/>
      </tp>
      <tp t="e">
        <v>#N/A</v>
        <stp/>
        <stp>BDH|571419346343280448</stp>
        <tr r="J64" s="24"/>
      </tp>
      <tp t="e">
        <v>#N/A</v>
        <stp/>
        <stp>BDH|680376352332485337</stp>
        <tr r="E9" s="13"/>
      </tp>
      <tp t="e">
        <v>#N/A</v>
        <stp/>
        <stp>BDH|430733104452641216</stp>
        <tr r="C10" s="10"/>
      </tp>
      <tp t="e">
        <v>#N/A</v>
        <stp/>
        <stp>BDH|327769165096645029</stp>
        <tr r="O55" s="18"/>
      </tp>
      <tp t="e">
        <v>#N/A</v>
        <stp/>
        <stp>BDH|413520542550399626</stp>
        <tr r="R51" s="34"/>
      </tp>
      <tp t="e">
        <v>#N/A</v>
        <stp/>
        <stp>BDH|159527593748581303</stp>
        <tr r="Y9" s="12"/>
      </tp>
      <tp t="e">
        <v>#N/A</v>
        <stp/>
        <stp>BDH|902523473933885651</stp>
        <tr r="R35" s="26"/>
        <tr r="O14" s="9"/>
      </tp>
      <tp t="e">
        <v>#N/A</v>
        <stp/>
        <stp>BDH|309085807023081499</stp>
        <tr r="K61" s="21"/>
        <tr r="I25" s="2"/>
      </tp>
      <tp t="e">
        <v>#N/A</v>
        <stp/>
        <stp>BDH|324162723195418175</stp>
        <tr r="M33" s="29"/>
        <tr r="M42" s="29"/>
        <tr r="K55" s="6"/>
        <tr r="K11" s="5"/>
        <tr r="L10" s="2"/>
      </tp>
      <tp t="e">
        <v>#N/A</v>
        <stp/>
        <stp>BDH|620022235326305249</stp>
        <tr r="K35" s="18"/>
      </tp>
      <tp t="e">
        <v>#N/A</v>
        <stp/>
        <stp>BDH|443026720470905598</stp>
        <tr r="R50" s="13"/>
      </tp>
      <tp t="e">
        <v>#N/A</v>
        <stp/>
        <stp>BDH|607040731902128645</stp>
        <tr r="V8" s="13"/>
      </tp>
      <tp t="e">
        <v>#N/A</v>
        <stp/>
        <stp>BDH|626360752016392778</stp>
        <tr r="E42" s="6"/>
      </tp>
      <tp t="e">
        <v>#N/A</v>
        <stp/>
        <stp>BDH|923721249497474300</stp>
        <tr r="D42" s="26"/>
      </tp>
      <tp t="e">
        <v>#N/A</v>
        <stp/>
        <stp>BDH|687729065564759206</stp>
        <tr r="R9" s="13"/>
      </tp>
      <tp t="e">
        <v>#N/A</v>
        <stp/>
        <stp>BDH|775193828971609575</stp>
        <tr r="F8" s="20"/>
        <tr r="F114" s="18"/>
      </tp>
      <tp t="e">
        <v>#N/A</v>
        <stp/>
        <stp>BDH|589264148327926651</stp>
        <tr r="F80" s="17"/>
      </tp>
      <tp t="e">
        <v>#N/A</v>
        <stp/>
        <stp>BDH|246540025938660826</stp>
        <tr r="E72" s="10"/>
      </tp>
      <tp t="e">
        <v>#N/A</v>
        <stp/>
        <stp>BDH|671217206662625707</stp>
        <tr r="N71" s="17"/>
      </tp>
      <tp t="e">
        <v>#N/A</v>
        <stp/>
        <stp>BDH|285642432864475672</stp>
        <tr r="Z22" s="17"/>
        <tr r="Z15" s="3"/>
      </tp>
      <tp t="e">
        <v>#N/A</v>
        <stp/>
        <stp>BDH|341508017005573611</stp>
        <tr r="F66" s="21"/>
      </tp>
      <tp t="e">
        <v>#N/A</v>
        <stp/>
        <stp>BDH|422744893070396901</stp>
        <tr r="J64" s="12"/>
      </tp>
      <tp t="e">
        <v>#N/A</v>
        <stp/>
        <stp>BDH|415532355837229006</stp>
        <tr r="X61" s="17"/>
      </tp>
      <tp t="e">
        <v>#N/A</v>
        <stp/>
        <stp>BDH|912891504908328779</stp>
        <tr r="K18" s="24"/>
      </tp>
      <tp t="e">
        <v>#N/A</v>
        <stp/>
        <stp>BDH|630365765477483500</stp>
        <tr r="I53" s="6"/>
        <tr r="K10" s="8"/>
      </tp>
      <tp t="e">
        <v>#N/A</v>
        <stp/>
        <stp>BDH|101454122903432231</stp>
        <tr r="Q6" s="27"/>
      </tp>
      <tp t="e">
        <v>#N/A</v>
        <stp/>
        <stp>BDH|455229959908673880</stp>
        <tr r="E26" s="12"/>
      </tp>
      <tp t="e">
        <v>#N/A</v>
        <stp/>
        <stp>BDH|454237327290945785</stp>
        <tr r="F30" s="18"/>
      </tp>
      <tp t="e">
        <v>#N/A</v>
        <stp/>
        <stp>BDH|854328734127723088</stp>
        <tr r="F25" s="13"/>
      </tp>
      <tp t="e">
        <v>#N/A</v>
        <stp/>
        <stp>BDH|427204277923392113</stp>
        <tr r="Z38" s="26"/>
      </tp>
      <tp t="e">
        <v>#N/A</v>
        <stp/>
        <stp>BDH|872013956731811367</stp>
        <tr r="N14" s="27"/>
        <tr r="N32" s="25"/>
      </tp>
      <tp t="e">
        <v>#N/A</v>
        <stp/>
        <stp>BDH|767628216266318624</stp>
        <tr r="T19" s="22"/>
      </tp>
      <tp t="e">
        <v>#N/A</v>
        <stp/>
        <stp>BDH|760267947310487104</stp>
        <tr r="Q9" s="30"/>
      </tp>
      <tp t="e">
        <v>#N/A</v>
        <stp/>
        <stp>BDH|553316829246668094</stp>
        <tr r="H111" s="18"/>
      </tp>
      <tp t="e">
        <v>#N/A</v>
        <stp/>
        <stp>BDH|604108672833524232</stp>
        <tr r="L41" s="17"/>
      </tp>
      <tp t="e">
        <v>#N/A</v>
        <stp/>
        <stp>BDH|832169404643003597</stp>
        <tr r="H56" s="12"/>
      </tp>
      <tp t="e">
        <v>#N/A</v>
        <stp/>
        <stp>BDH|567834445952126910</stp>
        <tr r="F42" s="34"/>
      </tp>
      <tp t="e">
        <v>#N/A</v>
        <stp/>
        <stp>BDH|808571853305811275</stp>
        <tr r="W71" s="10"/>
      </tp>
      <tp t="e">
        <v>#N/A</v>
        <stp/>
        <stp>BDH|779850152183609951</stp>
        <tr r="I35" s="21"/>
      </tp>
      <tp t="e">
        <v>#N/A</v>
        <stp/>
        <stp>BDH|686327999848193406</stp>
        <tr r="N76" s="10"/>
        <tr r="N65" s="11"/>
      </tp>
      <tp t="e">
        <v>#N/A</v>
        <stp/>
        <stp>BDH|394183024360255505</stp>
        <tr r="P53" s="21"/>
      </tp>
      <tp t="e">
        <v>#N/A</v>
        <stp/>
        <stp>BDH|419423115695625688</stp>
        <tr r="Y66" s="21"/>
      </tp>
      <tp t="e">
        <v>#N/A</v>
        <stp/>
        <stp>BDH|669490646573221562</stp>
        <tr r="H25" s="5"/>
      </tp>
      <tp t="e">
        <v>#N/A</v>
        <stp/>
        <stp>BDH|832428291798798311</stp>
        <tr r="P133" s="18"/>
      </tp>
      <tp t="e">
        <v>#N/A</v>
        <stp/>
        <stp>BDH|335276720695176381</stp>
        <tr r="N25" s="12"/>
      </tp>
      <tp t="e">
        <v>#N/A</v>
        <stp/>
        <stp>BDH|840310234260796642</stp>
        <tr r="V61" s="13"/>
      </tp>
      <tp t="e">
        <v>#N/A</v>
        <stp/>
        <stp>BDH|557032220392018687</stp>
        <tr r="N43" s="11"/>
        <tr r="N54" s="10"/>
        <tr r="N14" s="7"/>
        <tr r="P9" s="3"/>
      </tp>
      <tp t="e">
        <v>#N/A</v>
        <stp/>
        <stp>BDH|393346248222580345</stp>
        <tr r="U20" s="5"/>
      </tp>
      <tp t="e">
        <v>#N/A</v>
        <stp/>
        <stp>BDH|934772723002675156</stp>
        <tr r="G25" s="13"/>
      </tp>
      <tp t="e">
        <v>#N/A</v>
        <stp/>
        <stp>BDH|635537208415179627</stp>
        <tr r="Q11" s="28"/>
      </tp>
      <tp t="e">
        <v>#N/A</v>
        <stp/>
        <stp>BDH|652337559109363914</stp>
        <tr r="K6" s="8"/>
        <tr r="I51" s="6"/>
      </tp>
      <tp t="e">
        <v>#N/A</v>
        <stp/>
        <stp>BDH|718276350647929674</stp>
        <tr r="N14" s="28"/>
      </tp>
      <tp t="e">
        <v>#N/A</v>
        <stp/>
        <stp>BDH|186926452843786994</stp>
        <tr r="K13" s="6"/>
      </tp>
      <tp t="e">
        <v>#N/A</v>
        <stp/>
        <stp>BDH|980542973761031510</stp>
        <tr r="Z18" s="12"/>
      </tp>
      <tp t="e">
        <v>#N/A</v>
        <stp/>
        <stp>BDH|960296309153797717</stp>
        <tr r="Q172" s="18"/>
      </tp>
      <tp t="e">
        <v>#N/A</v>
        <stp/>
        <stp>BDH|438510208464674740</stp>
        <tr r="V21" s="2"/>
      </tp>
      <tp t="e">
        <v>#N/A</v>
        <stp/>
        <stp>BDH|364165692839082782</stp>
        <tr r="G22" s="27"/>
      </tp>
      <tp t="e">
        <v>#N/A</v>
        <stp/>
        <stp>BDH|500516839783409366</stp>
        <tr r="AA36" s="21"/>
        <tr r="AA24" s="3"/>
      </tp>
      <tp t="e">
        <v>#N/A</v>
        <stp/>
        <stp>BDH|240298136567787028</stp>
        <tr r="L25" s="13"/>
      </tp>
      <tp t="e">
        <v>#N/A</v>
        <stp/>
        <stp>BDH|108999467039505026</stp>
        <tr r="K62" s="13"/>
      </tp>
      <tp t="e">
        <v>#N/A</v>
        <stp/>
        <stp>BDH|427731316058107881</stp>
        <tr r="Q26" s="22"/>
      </tp>
      <tp t="e">
        <v>#N/A</v>
        <stp/>
        <stp>BDH|695307289818620514</stp>
        <tr r="R95" s="12"/>
      </tp>
      <tp t="e">
        <v>#N/A</v>
        <stp/>
        <stp>BDH|516370519912673659</stp>
        <tr r="V26" s="6"/>
      </tp>
      <tp t="e">
        <v>#N/A</v>
        <stp/>
        <stp>BDH|544460033776066780</stp>
        <tr r="P10" s="17"/>
      </tp>
      <tp t="e">
        <v>#N/A</v>
        <stp/>
        <stp>BDH|298494037299677833</stp>
        <tr r="G36" s="18"/>
      </tp>
      <tp t="e">
        <v>#N/A</v>
        <stp/>
        <stp>BDH|384762960342841544</stp>
        <tr r="K26" s="13"/>
      </tp>
      <tp t="e">
        <v>#N/A</v>
        <stp/>
        <stp>BDH|137218203965888126</stp>
        <tr r="O49" s="6"/>
      </tp>
      <tp t="e">
        <v>#N/A</v>
        <stp/>
        <stp>BDH|573696767195169337</stp>
        <tr r="K87" s="18"/>
      </tp>
      <tp t="e">
        <v>#N/A</v>
        <stp/>
        <stp>BDH|156441466390193485</stp>
        <tr r="X143" s="18"/>
      </tp>
      <tp t="e">
        <v>#N/A</v>
        <stp/>
        <stp>BDH|471780332031714338</stp>
        <tr r="M74" s="17"/>
      </tp>
      <tp t="e">
        <v>#N/A</v>
        <stp/>
        <stp>BDH|865760949514814150</stp>
        <tr r="Y35" s="18"/>
      </tp>
      <tp t="e">
        <v>#N/A</v>
        <stp/>
        <stp>BDH|767114952162880068</stp>
        <tr r="O17" s="23"/>
      </tp>
      <tp t="e">
        <v>#N/A</v>
        <stp/>
        <stp>BDH|884250946031072119</stp>
        <tr r="O70" s="17"/>
        <tr r="L8" s="9"/>
        <tr r="L8" s="5"/>
      </tp>
      <tp t="e">
        <v>#N/A</v>
        <stp/>
        <stp>BDH|768472960110394485</stp>
        <tr r="O49" s="21"/>
      </tp>
      <tp t="e">
        <v>#N/A</v>
        <stp/>
        <stp>BDH|184496373542397731</stp>
        <tr r="J55" s="21"/>
      </tp>
      <tp t="e">
        <v>#N/A</v>
        <stp/>
        <stp>BDH|398967773419079126</stp>
        <tr r="K52" s="12"/>
      </tp>
      <tp t="e">
        <v>#N/A</v>
        <stp/>
        <stp>BDH|989046162792862232</stp>
        <tr r="N11" s="9"/>
      </tp>
      <tp t="e">
        <v>#N/A</v>
        <stp/>
        <stp>BDH|517957337295074931</stp>
        <tr r="G56" s="6"/>
      </tp>
      <tp t="e">
        <v>#N/A</v>
        <stp/>
        <stp>BDH|653113787606610921</stp>
        <tr r="U22" s="7"/>
      </tp>
      <tp t="e">
        <v>#N/A</v>
        <stp/>
        <stp>BDH|431817366110320841</stp>
        <tr r="K42" s="11"/>
        <tr r="K53" s="10"/>
        <tr r="K8" s="7"/>
        <tr r="M11" s="3"/>
      </tp>
      <tp t="e">
        <v>#N/A</v>
        <stp/>
        <stp>BDH|926883162649688105</stp>
        <tr r="F9" s="25"/>
        <tr r="F44" s="17"/>
      </tp>
      <tp t="e">
        <v>#N/A</v>
        <stp/>
        <stp>BDH|808473678926784351</stp>
        <tr r="P24" s="11"/>
        <tr r="P35" s="10"/>
      </tp>
      <tp t="e">
        <v>#N/A</v>
        <stp/>
        <stp>BDH|442114204006353175</stp>
        <tr r="M51" s="13"/>
      </tp>
      <tp t="e">
        <v>#N/A</v>
        <stp/>
        <stp>BDH|820723611027817760</stp>
        <tr r="E42" s="22"/>
      </tp>
      <tp t="e">
        <v>#N/A</v>
        <stp/>
        <stp>BDH|520043023526707204</stp>
        <tr r="Y19" s="23"/>
        <tr r="W60" s="11"/>
      </tp>
      <tp t="e">
        <v>#N/A</v>
        <stp/>
        <stp>BDH|156262025673705501</stp>
        <tr r="N8" s="14"/>
      </tp>
      <tp t="e">
        <v>#N/A</v>
        <stp/>
        <stp>BDH|951067369751465177</stp>
        <tr r="O12" s="11"/>
      </tp>
      <tp t="e">
        <v>#N/A</v>
        <stp/>
        <stp>BDH|409226033303483475</stp>
        <tr r="Q106" s="18"/>
      </tp>
      <tp t="e">
        <v>#N/A</v>
        <stp/>
        <stp>BDH|462118834856679213</stp>
        <tr r="P48" s="34"/>
      </tp>
      <tp t="e">
        <v>#N/A</v>
        <stp/>
        <stp>BDH|238260271831148232</stp>
        <tr r="S9" s="13"/>
      </tp>
      <tp t="e">
        <v>#N/A</v>
        <stp/>
        <stp>BDH|242344402713024638</stp>
        <tr r="H132" s="18"/>
      </tp>
      <tp t="e">
        <v>#N/A</v>
        <stp/>
        <stp>BDH|674902651652284829</stp>
        <tr r="M20" s="12"/>
      </tp>
      <tp t="e">
        <v>#N/A</v>
        <stp/>
        <stp>BDH|888297403877151340</stp>
        <tr r="P59" s="18"/>
      </tp>
      <tp t="e">
        <v>#N/A</v>
        <stp/>
        <stp>BDH|995286186484086803</stp>
        <tr r="G15" s="11"/>
      </tp>
      <tp t="e">
        <v>#N/A</v>
        <stp/>
        <stp>BDH|100075608533072592</stp>
        <tr r="P77" s="24"/>
      </tp>
      <tp t="e">
        <v>#N/A</v>
        <stp/>
        <stp>BDH|997811183744259290</stp>
        <tr r="C47" s="18"/>
      </tp>
      <tp t="e">
        <v>#N/A</v>
        <stp/>
        <stp>BDH|188776779407675196</stp>
        <tr r="C45" s="18"/>
      </tp>
      <tp t="e">
        <v>#N/A</v>
        <stp/>
        <stp>BDH|309438447174106265</stp>
        <tr r="O45" s="18"/>
      </tp>
      <tp t="e">
        <v>#N/A</v>
        <stp/>
        <stp>BDH|491804616046061926</stp>
        <tr r="Q39" s="13"/>
        <tr r="O32" s="10"/>
      </tp>
      <tp t="e">
        <v>#N/A</v>
        <stp/>
        <stp>BDH|699266572010787356</stp>
        <tr r="E111" s="18"/>
      </tp>
      <tp t="e">
        <v>#N/A</v>
        <stp/>
        <stp>BDH|776244707956780234</stp>
        <tr r="Z19" s="28"/>
        <tr r="Z16" s="17"/>
      </tp>
      <tp t="e">
        <v>#N/A</v>
        <stp/>
        <stp>BDH|252668016370702144</stp>
        <tr r="W48" s="6"/>
      </tp>
      <tp t="e">
        <v>#N/A</v>
        <stp/>
        <stp>BDH|681414254677310010</stp>
        <tr r="K18" s="28"/>
        <tr r="K15" s="17"/>
      </tp>
      <tp t="e">
        <v>#N/A</v>
        <stp/>
        <stp>BDH|634858459199311285</stp>
        <tr r="U59" s="17"/>
      </tp>
      <tp t="e">
        <v>#N/A</v>
        <stp/>
        <stp>BDH|163641162425052361</stp>
        <tr r="T14" s="20"/>
        <tr r="T119" s="18"/>
      </tp>
      <tp t="e">
        <v>#N/A</v>
        <stp/>
        <stp>BDH|698139098027971950</stp>
        <tr r="W23" s="30"/>
        <tr r="W25" s="23"/>
      </tp>
      <tp t="e">
        <v>#N/A</v>
        <stp/>
        <stp>BDH|742822834234734973</stp>
        <tr r="G19" s="28"/>
        <tr r="G16" s="17"/>
      </tp>
      <tp t="e">
        <v>#N/A</v>
        <stp/>
        <stp>BDH|408101061090735109</stp>
        <tr r="P25" s="18"/>
      </tp>
      <tp t="e">
        <v>#N/A</v>
        <stp/>
        <stp>BDH|245239111126040320</stp>
        <tr r="G71" s="24"/>
      </tp>
      <tp t="e">
        <v>#N/A</v>
        <stp/>
        <stp>BDH|410347796408164458</stp>
        <tr r="T19" s="12"/>
      </tp>
      <tp t="e">
        <v>#N/A</v>
        <stp/>
        <stp>BDH|577882991222797592</stp>
        <tr r="Q41" s="26"/>
      </tp>
      <tp t="e">
        <v>#N/A</v>
        <stp/>
        <stp>BDH|967243942032437290</stp>
        <tr r="W65" s="24"/>
      </tp>
      <tp t="e">
        <v>#N/A</v>
        <stp/>
        <stp>BDH|729333536693340537</stp>
        <tr r="W53" s="17"/>
      </tp>
      <tp t="e">
        <v>#N/A</v>
        <stp/>
        <stp>BDH|859246723624988249</stp>
        <tr r="U157" s="18"/>
      </tp>
      <tp t="e">
        <v>#N/A</v>
        <stp/>
        <stp>BDH|610950860318535158</stp>
        <tr r="D41" s="13"/>
      </tp>
      <tp t="e">
        <v>#N/A</v>
        <stp/>
        <stp>BDH|183235664441122345</stp>
        <tr r="W12" s="7"/>
      </tp>
      <tp t="e">
        <v>#N/A</v>
        <stp/>
        <stp>BDH|982986594203396556</stp>
        <tr r="D51" s="13"/>
      </tp>
      <tp t="e">
        <v>#N/A</v>
        <stp/>
        <stp>BDH|553486599678338340</stp>
        <tr r="S96" s="12"/>
      </tp>
      <tp t="e">
        <v>#N/A</v>
        <stp/>
        <stp>BDH|104584935915355232</stp>
        <tr r="O66" s="10"/>
      </tp>
      <tp t="e">
        <v>#N/A</v>
        <stp/>
        <stp>BDH|825610163968126977</stp>
        <tr r="Z64" s="17"/>
      </tp>
      <tp t="e">
        <v>#N/A</v>
        <stp/>
        <stp>BDH|640360256452845529</stp>
        <tr r="Z150" s="18"/>
      </tp>
      <tp t="e">
        <v>#N/A</v>
        <stp/>
        <stp>BDH|879952080783305324</stp>
        <tr r="F21" s="30"/>
      </tp>
      <tp t="e">
        <v>#N/A</v>
        <stp/>
        <stp>BDH|483419009855571058</stp>
        <tr r="L55" s="21"/>
      </tp>
      <tp t="e">
        <v>#N/A</v>
        <stp/>
        <stp>BDH|531792214142217565</stp>
        <tr r="I92" s="12"/>
      </tp>
      <tp t="e">
        <v>#N/A</v>
        <stp/>
        <stp>BDH|758388361307638348</stp>
        <tr r="D19" s="6"/>
      </tp>
      <tp t="e">
        <v>#N/A</v>
        <stp/>
        <stp>BDH|891027171254217243</stp>
        <tr r="Q22" s="26"/>
      </tp>
      <tp t="e">
        <v>#N/A</v>
        <stp/>
        <stp>BDH|701117351224920138</stp>
        <tr r="Q9" s="24"/>
      </tp>
      <tp t="e">
        <v>#N/A</v>
        <stp/>
        <stp>BDH|951405460930512317</stp>
        <tr r="V53" s="24"/>
      </tp>
      <tp t="e">
        <v>#N/A</v>
        <stp/>
        <stp>BDH|851714562006700611</stp>
        <tr r="Q70" s="12"/>
      </tp>
      <tp t="e">
        <v>#N/A</v>
        <stp/>
        <stp>BDH|475756931441835451</stp>
        <tr r="Q77" s="17"/>
      </tp>
      <tp t="e">
        <v>#N/A</v>
        <stp/>
        <stp>BDH|735175479166492134</stp>
        <tr r="J7" s="29"/>
        <tr r="J29" s="29"/>
      </tp>
      <tp t="e">
        <v>#N/A</v>
        <stp/>
        <stp>BDH|411131820541985303</stp>
        <tr r="R43" s="24"/>
      </tp>
      <tp t="e">
        <v>#N/A</v>
        <stp/>
        <stp>BDH|935922326859011334</stp>
        <tr r="H99" s="18"/>
      </tp>
      <tp t="e">
        <v>#N/A</v>
        <stp/>
        <stp>BDH|480487832656994093</stp>
        <tr r="F33" s="11"/>
        <tr r="F44" s="10"/>
      </tp>
      <tp t="e">
        <v>#N/A</v>
        <stp/>
        <stp>BDH|295189305840272038</stp>
        <tr r="U35" s="22"/>
      </tp>
      <tp t="e">
        <v>#N/A</v>
        <stp/>
        <stp>BDH|413469067464917728</stp>
        <tr r="C68" s="17"/>
      </tp>
      <tp t="e">
        <v>#N/A</v>
        <stp/>
        <stp>BDH|315347736605715499</stp>
        <tr r="F49" s="24"/>
      </tp>
      <tp t="e">
        <v>#N/A</v>
        <stp/>
        <stp>BDH|756707350574843705</stp>
        <tr r="G69" s="18"/>
      </tp>
      <tp t="e">
        <v>#N/A</v>
        <stp/>
        <stp>BDH|874425981955288865</stp>
        <tr r="F87" s="12"/>
      </tp>
      <tp t="e">
        <v>#N/A</v>
        <stp/>
        <stp>BDH|988558968422231091</stp>
        <tr r="S44" s="22"/>
      </tp>
      <tp t="e">
        <v>#N/A</v>
        <stp/>
        <stp>BDH|599772532683806604</stp>
        <tr r="G67" s="17"/>
      </tp>
      <tp t="e">
        <v>#N/A</v>
        <stp/>
        <stp>BDH|692475861626826501</stp>
        <tr r="Y38" s="25"/>
        <tr r="Y92" s="17"/>
      </tp>
      <tp t="e">
        <v>#N/A</v>
        <stp/>
        <stp>BDH|244892377628075648</stp>
        <tr r="X43" s="34"/>
      </tp>
      <tp t="e">
        <v>#N/A</v>
        <stp/>
        <stp>BDH|126157422521936372</stp>
        <tr r="S13" s="10"/>
      </tp>
      <tp t="e">
        <v>#N/A</v>
        <stp/>
        <stp>BDH|571214039649267968</stp>
        <tr r="S56" s="6"/>
      </tp>
      <tp t="e">
        <v>#N/A</v>
        <stp/>
        <stp>BDH|199717605845858340</stp>
        <tr r="S45" s="17"/>
      </tp>
      <tp t="e">
        <v>#N/A</v>
        <stp/>
        <stp>BDH|127530482174021890</stp>
        <tr r="G16" s="12"/>
      </tp>
      <tp t="e">
        <v>#N/A</v>
        <stp/>
        <stp>BDH|245449337091329785</stp>
        <tr r="M22" s="17"/>
        <tr r="M15" s="3"/>
      </tp>
      <tp t="e">
        <v>#N/A</v>
        <stp/>
        <stp>BDH|937937422408413269</stp>
        <tr r="R25" s="18"/>
      </tp>
      <tp t="e">
        <v>#N/A</v>
        <stp/>
        <stp>BDH|817104256310780537</stp>
        <tr r="F54" s="24"/>
      </tp>
      <tp t="e">
        <v>#N/A</v>
        <stp/>
        <stp>BDH|980237965844012158</stp>
        <tr r="I75" s="10"/>
        <tr r="I64" s="11"/>
      </tp>
      <tp t="e">
        <v>#N/A</v>
        <stp/>
        <stp>BDH|198481930973266510</stp>
        <tr r="S30" s="34"/>
      </tp>
      <tp t="e">
        <v>#N/A</v>
        <stp/>
        <stp>BDH|340563078173085079</stp>
        <tr r="V7" s="23"/>
      </tp>
      <tp t="e">
        <v>#N/A</v>
        <stp/>
        <stp>BDH|363019027133936077</stp>
        <tr r="O21" s="21"/>
      </tp>
      <tp t="e">
        <v>#N/A</v>
        <stp/>
        <stp>BDH|542449614111763590</stp>
        <tr r="H7" s="10"/>
      </tp>
      <tp t="e">
        <v>#N/A</v>
        <stp/>
        <stp>BDH|831142615893020223</stp>
        <tr r="P40" s="12"/>
      </tp>
      <tp t="e">
        <v>#N/A</v>
        <stp/>
        <stp>BDH|945952487020247021</stp>
        <tr r="K8" s="21"/>
      </tp>
      <tp t="e">
        <v>#N/A</v>
        <stp/>
        <stp>BDH|615143805755869543</stp>
        <tr r="C39" s="18"/>
      </tp>
      <tp t="e">
        <v>#N/A</v>
        <stp/>
        <stp>BDH|945604243514720766</stp>
        <tr r="M62" s="21"/>
      </tp>
      <tp t="e">
        <v>#N/A</v>
        <stp/>
        <stp>BDH|320198844975369160</stp>
        <tr r="S34" s="29"/>
      </tp>
      <tp t="e">
        <v>#N/A</v>
        <stp/>
        <stp>BDH|355963777116453929</stp>
        <tr r="N8" s="34"/>
      </tp>
      <tp t="e">
        <v>#N/A</v>
        <stp/>
        <stp>BDH|146070834315008769</stp>
        <tr r="E16" s="20"/>
      </tp>
      <tp t="e">
        <v>#N/A</v>
        <stp/>
        <stp>BDH|799632903006409174</stp>
        <tr r="P43" s="6"/>
      </tp>
      <tp t="e">
        <v>#N/A</v>
        <stp/>
        <stp>BDH|740958197254601572</stp>
        <tr r="J134" s="18"/>
      </tp>
      <tp t="e">
        <v>#N/A</v>
        <stp/>
        <stp>BDH|690913193845962495</stp>
        <tr r="V14" s="22"/>
      </tp>
      <tp t="e">
        <v>#N/A</v>
        <stp/>
        <stp>BDH|464373923020106054</stp>
        <tr r="D12" s="21"/>
      </tp>
      <tp t="e">
        <v>#N/A</v>
        <stp/>
        <stp>BDH|187166756322799720</stp>
        <tr r="V22" s="10"/>
      </tp>
      <tp t="e">
        <v>#N/A</v>
        <stp/>
        <stp>BDH|502798807175898368</stp>
        <tr r="E25" s="11"/>
        <tr r="E36" s="10"/>
      </tp>
      <tp t="e">
        <v>#N/A</v>
        <stp/>
        <stp>BDH|611161670602688537</stp>
        <tr r="S69" s="12"/>
      </tp>
      <tp t="e">
        <v>#N/A</v>
        <stp/>
        <stp>BDH|942896019651985953</stp>
        <tr r="Q19" s="25"/>
      </tp>
      <tp t="e">
        <v>#N/A</v>
        <stp/>
        <stp>BDH|299351465233560729</stp>
        <tr r="L50" s="17"/>
      </tp>
      <tp t="e">
        <v>#N/A</v>
        <stp/>
        <stp>BDH|721367169150911476</stp>
        <tr r="D23" s="20"/>
      </tp>
      <tp t="e">
        <v>#N/A</v>
        <stp/>
        <stp>BDH|652563424050016623</stp>
        <tr r="T31" s="13"/>
        <tr r="R23" s="11"/>
        <tr r="R34" s="10"/>
        <tr r="R45" s="4"/>
      </tp>
      <tp t="e">
        <v>#N/A</v>
        <stp/>
        <stp>BDH|749116117990146170</stp>
        <tr r="Q8" s="18"/>
      </tp>
      <tp t="e">
        <v>#N/A</v>
        <stp/>
        <stp>BDH|393103141745702120</stp>
        <tr r="Z17" s="30"/>
      </tp>
      <tp t="e">
        <v>#N/A</v>
        <stp/>
        <stp>BDH|977360048775087305</stp>
        <tr r="K12" s="26"/>
      </tp>
      <tp t="e">
        <v>#N/A</v>
        <stp/>
        <stp>BDH|731413286694230958</stp>
        <tr r="K85" s="12"/>
      </tp>
      <tp t="e">
        <v>#N/A</v>
        <stp/>
        <stp>BDH|983748944195747796</stp>
        <tr r="H10" s="28"/>
      </tp>
      <tp t="e">
        <v>#N/A</v>
        <stp/>
        <stp>BDH|993089749793714685</stp>
        <tr r="K21" s="2"/>
      </tp>
      <tp t="e">
        <v>#N/A</v>
        <stp/>
        <stp>BDH|449305935373623200</stp>
        <tr r="N59" s="24"/>
      </tp>
      <tp t="e">
        <v>#N/A</v>
        <stp/>
        <stp>BDH|299537326860032605</stp>
        <tr r="G43" s="26"/>
      </tp>
      <tp t="e">
        <v>#N/A</v>
        <stp/>
        <stp>BDH|415456165317273416</stp>
        <tr r="J29" s="24"/>
      </tp>
      <tp t="e">
        <v>#N/A</v>
        <stp/>
        <stp>BDH|769079617949386946</stp>
        <tr r="X30" s="21"/>
      </tp>
      <tp t="e">
        <v>#N/A</v>
        <stp/>
        <stp>BDH|762273638290973019</stp>
        <tr r="J13" s="8"/>
      </tp>
      <tp t="e">
        <v>#N/A</v>
        <stp/>
        <stp>BDH|564477470167279509</stp>
        <tr r="W31" s="21"/>
      </tp>
      <tp t="e">
        <v>#N/A</v>
        <stp/>
        <stp>BDH|280759126765022116</stp>
        <tr r="M34" s="13"/>
        <tr r="K27" s="10"/>
      </tp>
      <tp t="e">
        <v>#N/A</v>
        <stp/>
        <stp>BDH|168222095739127370</stp>
        <tr r="V49" s="17"/>
      </tp>
      <tp t="e">
        <v>#N/A</v>
        <stp/>
        <stp>BDH|783622584728820782</stp>
        <tr r="X54" s="17"/>
        <tr r="X17" s="3"/>
      </tp>
      <tp t="e">
        <v>#N/A</v>
        <stp/>
        <stp>BDH|629287470694756085</stp>
        <tr r="R23" s="20"/>
      </tp>
      <tp t="e">
        <v>#N/A</v>
        <stp/>
        <stp>BDH|597297262424880171</stp>
        <tr r="E95" s="12"/>
      </tp>
      <tp t="e">
        <v>#N/A</v>
        <stp/>
        <stp>BDH|138024774070209647</stp>
        <tr r="O81" s="18"/>
      </tp>
      <tp t="e">
        <v>#N/A</v>
        <stp/>
        <stp>BDH|374251653844780237</stp>
        <tr r="R20" s="14"/>
      </tp>
      <tp t="e">
        <v>#N/A</v>
        <stp/>
        <stp>BDH|148101949733813728</stp>
        <tr r="H59" s="17"/>
      </tp>
      <tp t="e">
        <v>#N/A</v>
        <stp/>
        <stp>BDH|984264864416856314</stp>
        <tr r="C7" s="24"/>
      </tp>
      <tp t="e">
        <v>#N/A</v>
        <stp/>
        <stp>BDH|611444402091535471</stp>
        <tr r="D72" s="24"/>
      </tp>
      <tp t="e">
        <v>#N/A</v>
        <stp/>
        <stp>BDH|218749723452204647</stp>
        <tr r="T17" s="6"/>
      </tp>
      <tp t="e">
        <v>#N/A</v>
        <stp/>
        <stp>BDH|545029121267208477</stp>
        <tr r="O49" s="12"/>
      </tp>
      <tp t="e">
        <v>#N/A</v>
        <stp/>
        <stp>BDH|615763962739966981</stp>
        <tr r="S82" s="18"/>
      </tp>
      <tp t="e">
        <v>#N/A</v>
        <stp/>
        <stp>BDH|524472512744041034</stp>
        <tr r="Y30" s="26"/>
      </tp>
      <tp t="e">
        <v>#N/A</v>
        <stp/>
        <stp>BDH|225747005287976078</stp>
        <tr r="V47" s="22"/>
      </tp>
      <tp t="e">
        <v>#N/A</v>
        <stp/>
        <stp>BDH|935170715008220848</stp>
        <tr r="S73" s="18"/>
      </tp>
      <tp t="e">
        <v>#N/A</v>
        <stp/>
        <stp>BDH|893410242379492922</stp>
        <tr r="AA122" s="18"/>
      </tp>
      <tp t="e">
        <v>#N/A</v>
        <stp/>
        <stp>BDH|597482454355668428</stp>
        <tr r="E27" s="18"/>
      </tp>
      <tp t="e">
        <v>#N/A</v>
        <stp/>
        <stp>BDH|626942235082817825</stp>
        <tr r="Z41" s="18"/>
      </tp>
      <tp t="e">
        <v>#N/A</v>
        <stp/>
        <stp>BDH|475822075609596680</stp>
        <tr r="Q17" s="29"/>
        <tr r="Q40" s="29"/>
      </tp>
      <tp t="e">
        <v>#N/A</v>
        <stp/>
        <stp>BDH|729456182815969974</stp>
        <tr r="C24" s="24"/>
      </tp>
      <tp t="e">
        <v>#N/A</v>
        <stp/>
        <stp>BDH|539006355735853069</stp>
        <tr r="M33" s="5"/>
      </tp>
      <tp t="e">
        <v>#N/A</v>
        <stp/>
        <stp>BDH|909026525507500553</stp>
        <tr r="D72" s="12"/>
      </tp>
      <tp t="e">
        <v>#N/A</v>
        <stp/>
        <stp>BDH|413205674456753394</stp>
        <tr r="M27" s="13"/>
      </tp>
      <tp t="e">
        <v>#N/A</v>
        <stp/>
        <stp>BDH|818237141364375275</stp>
        <tr r="E50" s="18"/>
      </tp>
      <tp t="e">
        <v>#N/A</v>
        <stp/>
        <stp>BDH|313702150857951556</stp>
        <tr r="AA17" s="21"/>
        <tr r="Y23" s="2"/>
        <tr r="AA23" s="3"/>
      </tp>
      <tp t="e">
        <v>#N/A</v>
        <stp/>
        <stp>BDH|300427582589980525</stp>
        <tr r="M134" s="18"/>
      </tp>
      <tp t="e">
        <v>#N/A</v>
        <stp/>
        <stp>BDH|706998271877215951</stp>
        <tr r="L48" s="18"/>
      </tp>
      <tp t="e">
        <v>#N/A</v>
        <stp/>
        <stp>BDH|601464458366951793</stp>
        <tr r="N110" s="18"/>
      </tp>
      <tp t="e">
        <v>#N/A</v>
        <stp/>
        <stp>BDH|559012161111594789</stp>
        <tr r="Q139" s="18"/>
      </tp>
      <tp t="e">
        <v>#N/A</v>
        <stp/>
        <stp>BDH|156741663443736294</stp>
        <tr r="Q54" s="12"/>
      </tp>
      <tp t="e">
        <v>#N/A</v>
        <stp/>
        <stp>BDH|129311502744251785</stp>
        <tr r="AA124" s="18"/>
      </tp>
      <tp t="e">
        <v>#N/A</v>
        <stp/>
        <stp>BDH|532877378546680952</stp>
        <tr r="K136" s="18"/>
      </tp>
      <tp t="e">
        <v>#N/A</v>
        <stp/>
        <stp>BDH|905434735037287043</stp>
        <tr r="F10" s="14"/>
      </tp>
      <tp t="e">
        <v>#N/A</v>
        <stp/>
        <stp>BDH|534287721370430016</stp>
        <tr r="V29" s="4"/>
      </tp>
      <tp t="e">
        <v>#N/A</v>
        <stp/>
        <stp>BDH|252865818398639132</stp>
        <tr r="W25" s="18"/>
      </tp>
      <tp t="e">
        <v>#N/A</v>
        <stp/>
        <stp>BDH|254319883748919309</stp>
        <tr r="Y56" s="11"/>
      </tp>
      <tp t="e">
        <v>#N/A</v>
        <stp/>
        <stp>BDH|321083384141632907</stp>
        <tr r="Y27" s="13"/>
      </tp>
      <tp t="e">
        <v>#N/A</v>
        <stp/>
        <stp>BDH|530952635742794885</stp>
        <tr r="U21" s="17"/>
      </tp>
      <tp t="e">
        <v>#N/A</v>
        <stp/>
        <stp>BDH|555913784246910736</stp>
        <tr r="X91" s="17"/>
      </tp>
      <tp t="e">
        <v>#N/A</v>
        <stp/>
        <stp>BDH|967243566485263137</stp>
        <tr r="L16" s="26"/>
      </tp>
      <tp t="e">
        <v>#N/A</v>
        <stp/>
        <stp>BDH|210420379487249410</stp>
        <tr r="M48" s="13"/>
      </tp>
      <tp t="e">
        <v>#N/A</v>
        <stp/>
        <stp>BDH|647329669925549024</stp>
        <tr r="G13" s="23"/>
        <tr r="E58" s="11"/>
        <tr r="E38" s="4"/>
      </tp>
      <tp t="e">
        <v>#N/A</v>
        <stp/>
        <stp>BDH|419860797388616996</stp>
        <tr r="N32" s="11"/>
        <tr r="N43" s="10"/>
      </tp>
      <tp t="e">
        <v>#N/A</v>
        <stp/>
        <stp>BDH|253638389398401672</stp>
        <tr r="Q18" s="13"/>
      </tp>
      <tp t="e">
        <v>#N/A</v>
        <stp/>
        <stp>BDH|502536418104138046</stp>
        <tr r="Q100" s="12"/>
      </tp>
      <tp t="e">
        <v>#N/A</v>
        <stp/>
        <stp>BDH|765549729280892795</stp>
        <tr r="V58" s="12"/>
      </tp>
      <tp t="e">
        <v>#N/A</v>
        <stp/>
        <stp>BDH|687627513243822449</stp>
        <tr r="K62" s="17"/>
      </tp>
      <tp t="e">
        <v>#N/A</v>
        <stp/>
        <stp>BDH|638436924117341194</stp>
        <tr r="N45" s="21"/>
      </tp>
      <tp t="e">
        <v>#N/A</v>
        <stp/>
        <stp>BDH|502556137925134324</stp>
        <tr r="W18" s="9"/>
      </tp>
      <tp t="e">
        <v>#N/A</v>
        <stp/>
        <stp>BDH|289212415857481462</stp>
        <tr r="U7" s="30"/>
      </tp>
      <tp t="e">
        <v>#N/A</v>
        <stp/>
        <stp>BDH|663700122791436441</stp>
        <tr r="K20" s="25"/>
      </tp>
      <tp t="e">
        <v>#N/A</v>
        <stp/>
        <stp>BDH|138236527156354627</stp>
        <tr r="O58" s="24"/>
      </tp>
      <tp t="e">
        <v>#N/A</v>
        <stp/>
        <stp>BDH|386109172590118640</stp>
        <tr r="V48" s="24"/>
      </tp>
      <tp t="e">
        <v>#N/A</v>
        <stp/>
        <stp>BDH|405641607670487665</stp>
        <tr r="T8" s="8"/>
      </tp>
      <tp t="e">
        <v>#N/A</v>
        <stp/>
        <stp>BDH|515258673724617106</stp>
        <tr r="O17" s="29"/>
        <tr r="O40" s="29"/>
      </tp>
      <tp t="e">
        <v>#N/A</v>
        <stp/>
        <stp>BDH|538796574137428795</stp>
        <tr r="D27" s="22"/>
      </tp>
      <tp t="e">
        <v>#N/A</v>
        <stp/>
        <stp>BDH|736712887798162750</stp>
        <tr r="W43" s="22"/>
      </tp>
      <tp t="e">
        <v>#N/A</v>
        <stp/>
        <stp>BDH|752554700613185668</stp>
        <tr r="W71" s="12"/>
      </tp>
      <tp t="e">
        <v>#N/A</v>
        <stp/>
        <stp>BDH|978406174283946025</stp>
        <tr r="I77" s="24"/>
      </tp>
      <tp t="e">
        <v>#N/A</v>
        <stp/>
        <stp>BDH|229548022523244409</stp>
        <tr r="L23" s="22"/>
      </tp>
      <tp t="e">
        <v>#N/A</v>
        <stp/>
        <stp>BDH|326796118326429004</stp>
        <tr r="M9" s="12"/>
      </tp>
      <tp t="e">
        <v>#N/A</v>
        <stp/>
        <stp>BDH|488102120043231008</stp>
        <tr r="T41" s="17"/>
      </tp>
      <tp t="e">
        <v>#N/A</v>
        <stp/>
        <stp>BDH|262779774207227744</stp>
        <tr r="L18" s="10"/>
      </tp>
      <tp t="e">
        <v>#N/A</v>
        <stp/>
        <stp>BDH|451234280358285223</stp>
        <tr r="Y21" s="30"/>
      </tp>
      <tp t="e">
        <v>#N/A</v>
        <stp/>
        <stp>BDH|404520268025181686</stp>
        <tr r="Z87" s="18"/>
      </tp>
      <tp t="e">
        <v>#N/A</v>
        <stp/>
        <stp>BDH|311794421254521197</stp>
        <tr r="J38" s="10"/>
        <tr r="J27" s="11"/>
      </tp>
      <tp t="e">
        <v>#N/A</v>
        <stp/>
        <stp>BDH|557900781033678250</stp>
        <tr r="D32" s="25"/>
        <tr r="D14" s="27"/>
      </tp>
      <tp t="e">
        <v>#N/A</v>
        <stp/>
        <stp>BDH|690037305350810086</stp>
        <tr r="L69" s="12"/>
      </tp>
      <tp t="e">
        <v>#N/A</v>
        <stp/>
        <stp>BDH|571119133766206452</stp>
        <tr r="L16" s="6"/>
      </tp>
      <tp t="e">
        <v>#N/A</v>
        <stp/>
        <stp>BDH|430079514355048474</stp>
        <tr r="L126" s="18"/>
      </tp>
      <tp t="e">
        <v>#N/A</v>
        <stp/>
        <stp>BDH|179356932126476629</stp>
        <tr r="E30" s="12"/>
      </tp>
      <tp t="e">
        <v>#N/A</v>
        <stp/>
        <stp>BDH|293559628106636190</stp>
        <tr r="E18" s="10"/>
      </tp>
      <tp t="e">
        <v>#N/A</v>
        <stp/>
        <stp>BDH|613241462152622662</stp>
        <tr r="K95" s="18"/>
      </tp>
      <tp t="e">
        <v>#N/A</v>
        <stp/>
        <stp>BDH|214335250203610570</stp>
        <tr r="M123" s="18"/>
      </tp>
      <tp t="e">
        <v>#N/A</v>
        <stp/>
        <stp>BDH|782548697435056944</stp>
        <tr r="H29" s="4"/>
      </tp>
      <tp t="e">
        <v>#N/A</v>
        <stp/>
        <stp>BDH|798566546167262643</stp>
        <tr r="Q28" s="12"/>
      </tp>
      <tp t="e">
        <v>#N/A</v>
        <stp/>
        <stp>BDH|685844982732034213</stp>
        <tr r="I7" s="14"/>
      </tp>
      <tp t="e">
        <v>#N/A</v>
        <stp/>
        <stp>BDH|610852693464272539</stp>
        <tr r="S42" s="18"/>
      </tp>
      <tp t="e">
        <v>#N/A</v>
        <stp/>
        <stp>BDH|967029785069761184</stp>
        <tr r="M151" s="18"/>
      </tp>
      <tp t="e">
        <v>#N/A</v>
        <stp/>
        <stp>BDH|582002271055623235</stp>
        <tr r="R76" s="18"/>
      </tp>
      <tp t="e">
        <v>#N/A</v>
        <stp/>
        <stp>BDH|414167423192983192</stp>
        <tr r="T37" s="24"/>
      </tp>
      <tp t="e">
        <v>#N/A</v>
        <stp/>
        <stp>BDH|804841412779950065</stp>
        <tr r="R16" s="12"/>
      </tp>
      <tp t="e">
        <v>#N/A</v>
        <stp/>
        <stp>BDH|375661180127118953</stp>
        <tr r="W32" s="9"/>
      </tp>
      <tp t="e">
        <v>#N/A</v>
        <stp/>
        <stp>BDH|344222925071505131</stp>
        <tr r="L22" s="11"/>
      </tp>
      <tp t="e">
        <v>#N/A</v>
        <stp/>
        <stp>BDH|172365123687775614</stp>
        <tr r="D64" s="17"/>
      </tp>
      <tp t="e">
        <v>#N/A</v>
        <stp/>
        <stp>BDH|412973606459687004</stp>
        <tr r="E55" s="21"/>
      </tp>
      <tp t="e">
        <v>#N/A</v>
        <stp/>
        <stp>BDH|810746886936057991</stp>
        <tr r="I29" s="26"/>
      </tp>
      <tp t="e">
        <v>#N/A</v>
        <stp/>
        <stp>BDH|596467246086738615</stp>
        <tr r="E45" s="11"/>
        <tr r="E56" s="10"/>
        <tr r="E16" s="7"/>
      </tp>
      <tp t="e">
        <v>#N/A</v>
        <stp/>
        <stp>BDH|433021217804453563</stp>
        <tr r="W124" s="18"/>
      </tp>
      <tp t="e">
        <v>#N/A</v>
        <stp/>
        <stp>BDH|634700864628411957</stp>
        <tr r="N98" s="18"/>
      </tp>
      <tp t="e">
        <v>#N/A</v>
        <stp/>
        <stp>BDH|570677443966096420</stp>
        <tr r="C61" s="18"/>
      </tp>
      <tp t="e">
        <v>#N/A</v>
        <stp/>
        <stp>BDH|376235626724309461</stp>
        <tr r="C76" s="12"/>
      </tp>
      <tp t="e">
        <v>#N/A</v>
        <stp/>
        <stp>BDH|594359852352356422</stp>
        <tr r="F13" s="9"/>
      </tp>
      <tp t="e">
        <v>#N/A</v>
        <stp/>
        <stp>BDH|421468311352817471</stp>
        <tr r="F26" s="24"/>
      </tp>
      <tp t="e">
        <v>#N/A</v>
        <stp/>
        <stp>BDH|366309104285323586</stp>
        <tr r="G57" s="18"/>
      </tp>
      <tp t="e">
        <v>#N/A</v>
        <stp/>
        <stp>BDH|532564748762086074</stp>
        <tr r="D74" s="12"/>
      </tp>
      <tp t="e">
        <v>#N/A</v>
        <stp/>
        <stp>BDH|555110937994834572</stp>
        <tr r="G67" s="10"/>
      </tp>
      <tp t="e">
        <v>#N/A</v>
        <stp/>
        <stp>BDH|833174285398334254</stp>
        <tr r="I19" s="17"/>
      </tp>
      <tp t="e">
        <v>#N/A</v>
        <stp/>
        <stp>BDH|413499472142038223</stp>
        <tr r="V40" s="22"/>
      </tp>
      <tp t="e">
        <v>#N/A</v>
        <stp/>
        <stp>BDH|771180967034363061</stp>
        <tr r="Y60" s="17"/>
      </tp>
      <tp t="e">
        <v>#N/A</v>
        <stp/>
        <stp>BDH|628527504926858058</stp>
        <tr r="M36" s="13"/>
        <tr r="K29" s="10"/>
      </tp>
      <tp t="e">
        <v>#N/A</v>
        <stp/>
        <stp>BDH|343589206977122112</stp>
        <tr r="R39" s="11"/>
        <tr r="R50" s="10"/>
      </tp>
      <tp t="e">
        <v>#N/A</v>
        <stp/>
        <stp>BDH|879849490773070122</stp>
        <tr r="H103" s="18"/>
      </tp>
      <tp t="e">
        <v>#N/A</v>
        <stp/>
        <stp>BDH|363702600012496690</stp>
        <tr r="I36" s="17"/>
      </tp>
      <tp t="e">
        <v>#N/A</v>
        <stp/>
        <stp>BDH|644294669886009197</stp>
        <tr r="E17" s="23"/>
      </tp>
      <tp t="e">
        <v>#N/A</v>
        <stp/>
        <stp>BDH|541634240424007596</stp>
        <tr r="I69" s="18"/>
      </tp>
      <tp t="e">
        <v>#N/A</v>
        <stp/>
        <stp>BDH|309204499089305160</stp>
        <tr r="N24" s="22"/>
      </tp>
      <tp t="e">
        <v>#N/A</v>
        <stp/>
        <stp>BDH|966003757670682601</stp>
        <tr r="R14" s="8"/>
      </tp>
      <tp t="e">
        <v>#N/A</v>
        <stp/>
        <stp>BDH|945827193570382237</stp>
        <tr r="V21" s="30"/>
      </tp>
      <tp t="e">
        <v>#N/A</v>
        <stp/>
        <stp>BDH|402289067395259216</stp>
        <tr r="Q140" s="18"/>
      </tp>
      <tp t="e">
        <v>#N/A</v>
        <stp/>
        <stp>BDH|148510763101817139</stp>
        <tr r="P46" s="6"/>
        <tr r="P19" s="5"/>
      </tp>
      <tp t="e">
        <v>#N/A</v>
        <stp/>
        <stp>BDH|883798608075558147</stp>
        <tr r="Q24" s="11"/>
        <tr r="Q35" s="10"/>
      </tp>
      <tp t="e">
        <v>#N/A</v>
        <stp/>
        <stp>BDH|216109560233321782</stp>
        <tr r="N33" s="6"/>
      </tp>
      <tp t="e">
        <v>#N/A</v>
        <stp/>
        <stp>BDH|121787822946566070</stp>
        <tr r="I19" s="30"/>
      </tp>
      <tp t="e">
        <v>#N/A</v>
        <stp/>
        <stp>BDH|816235523725522641</stp>
        <tr r="N140" s="18"/>
      </tp>
      <tp t="e">
        <v>#N/A</v>
        <stp/>
        <stp>BDH|419818158587094940</stp>
        <tr r="N12" s="14"/>
      </tp>
      <tp t="e">
        <v>#N/A</v>
        <stp/>
        <stp>BDH|524912717883009883</stp>
        <tr r="I26" s="21"/>
      </tp>
      <tp t="e">
        <v>#N/A</v>
        <stp/>
        <stp>BDH|319059285329386248</stp>
        <tr r="T42" s="24"/>
      </tp>
      <tp t="e">
        <v>#N/A</v>
        <stp/>
        <stp>BDH|181835890674334650</stp>
        <tr r="U42" s="24"/>
      </tp>
      <tp t="e">
        <v>#N/A</v>
        <stp/>
        <stp>BDH|203630261830542312</stp>
        <tr r="K9" s="28"/>
      </tp>
      <tp t="e">
        <v>#N/A</v>
        <stp/>
        <stp>BDH|141057796173397956</stp>
        <tr r="C38" s="24"/>
      </tp>
      <tp t="e">
        <v>#N/A</v>
        <stp/>
        <stp>BDH|320250446376744331</stp>
        <tr r="V37" s="17"/>
      </tp>
      <tp t="e">
        <v>#N/A</v>
        <stp/>
        <stp>BDH|702666365301530253</stp>
        <tr r="R27" s="18"/>
      </tp>
      <tp t="e">
        <v>#N/A</v>
        <stp/>
        <stp>BDH|216137322661528138</stp>
        <tr r="O18" s="12"/>
      </tp>
      <tp t="e">
        <v>#N/A</v>
        <stp/>
        <stp>BDH|375114620421504129</stp>
        <tr r="Q70" s="10"/>
      </tp>
      <tp t="e">
        <v>#N/A</v>
        <stp/>
        <stp>BDH|574630662795407657</stp>
        <tr r="F38" s="13"/>
        <tr r="D31" s="10"/>
      </tp>
      <tp t="e">
        <v>#N/A</v>
        <stp/>
        <stp>BDH|230660011790095409</stp>
        <tr r="AA9" s="26"/>
      </tp>
      <tp t="e">
        <v>#N/A</v>
        <stp/>
        <stp>BDH|717738951756126726</stp>
        <tr r="Q57" s="18"/>
      </tp>
      <tp t="e">
        <v>#N/A</v>
        <stp/>
        <stp>BDH|308520320650301446</stp>
        <tr r="F56" s="13"/>
      </tp>
      <tp t="e">
        <v>#N/A</v>
        <stp/>
        <stp>BDH|319510936893118639</stp>
        <tr r="R31" s="5"/>
      </tp>
      <tp t="e">
        <v>#N/A</v>
        <stp/>
        <stp>BDH|296432230965059171</stp>
        <tr r="O78" s="24"/>
      </tp>
      <tp t="e">
        <v>#N/A</v>
        <stp/>
        <stp>BDH|436473827906347307</stp>
        <tr r="C44" s="24"/>
      </tp>
      <tp t="e">
        <v>#N/A</v>
        <stp/>
        <stp>BDH|454821190370719269</stp>
        <tr r="N15" s="30"/>
      </tp>
      <tp t="e">
        <v>#N/A</v>
        <stp/>
        <stp>BDH|643237665527677012</stp>
        <tr r="U75" s="17"/>
      </tp>
      <tp t="e">
        <v>#N/A</v>
        <stp/>
        <stp>BDH|762010440171710667</stp>
        <tr r="O32" s="6"/>
      </tp>
      <tp t="e">
        <v>#N/A</v>
        <stp/>
        <stp>BDH|205932623311462913</stp>
        <tr r="V71" s="10"/>
      </tp>
      <tp t="e">
        <v>#N/A</v>
        <stp/>
        <stp>BDH|223109105244074674</stp>
        <tr r="S47" s="18"/>
      </tp>
      <tp t="e">
        <v>#N/A</v>
        <stp/>
        <stp>BDH|558211657764687055</stp>
        <tr r="G28" s="14"/>
      </tp>
      <tp t="e">
        <v>#N/A</v>
        <stp/>
        <stp>BDH|655614801644028167</stp>
        <tr r="D57" s="6"/>
      </tp>
      <tp t="e">
        <v>#N/A</v>
        <stp/>
        <stp>BDH|750359641402070639</stp>
        <tr r="O30" s="29"/>
        <tr r="O8" s="29"/>
      </tp>
      <tp t="e">
        <v>#N/A</v>
        <stp/>
        <stp>BDH|218427141850846385</stp>
        <tr r="U18" s="13"/>
      </tp>
      <tp t="e">
        <v>#N/A</v>
        <stp/>
        <stp>BDH|293463770113615336</stp>
        <tr r="L138" s="18"/>
      </tp>
      <tp t="e">
        <v>#N/A</v>
        <stp/>
        <stp>BDH|668112820799418920</stp>
        <tr r="P12" s="18"/>
      </tp>
      <tp t="e">
        <v>#N/A</v>
        <stp/>
        <stp>BDH|266026760226596349</stp>
        <tr r="Q9" s="14"/>
      </tp>
      <tp t="e">
        <v>#N/A</v>
        <stp/>
        <stp>BDH|536079858155217399</stp>
        <tr r="T105" s="18"/>
      </tp>
      <tp t="e">
        <v>#N/A</v>
        <stp/>
        <stp>BDH|783767113136174329</stp>
        <tr r="T34" s="17"/>
      </tp>
      <tp t="e">
        <v>#N/A</v>
        <stp/>
        <stp>BDH|275078455333889594</stp>
        <tr r="G79" s="12"/>
      </tp>
      <tp t="e">
        <v>#N/A</v>
        <stp/>
        <stp>BDH|741533107607439165</stp>
        <tr r="N8" s="10"/>
      </tp>
      <tp t="e">
        <v>#N/A</v>
        <stp/>
        <stp>BDH|219142123543152369</stp>
        <tr r="K163" s="18"/>
      </tp>
      <tp t="e">
        <v>#N/A</v>
        <stp/>
        <stp>BDH|845405367932562385</stp>
        <tr r="D23" s="6"/>
      </tp>
      <tp t="e">
        <v>#N/A</v>
        <stp/>
        <stp>BDH|444278321667971491</stp>
        <tr r="G47" s="18"/>
      </tp>
      <tp t="e">
        <v>#N/A</v>
        <stp/>
        <stp>BDH|244624216926733238</stp>
        <tr r="I15" s="21"/>
      </tp>
      <tp t="e">
        <v>#N/A</v>
        <stp/>
        <stp>BDH|364961880502207051</stp>
        <tr r="Y18" s="25"/>
      </tp>
      <tp t="e">
        <v>#N/A</v>
        <stp/>
        <stp>BDH|999461993859682788</stp>
        <tr r="R25" s="22"/>
      </tp>
      <tp t="e">
        <v>#N/A</v>
        <stp/>
        <stp>BDH|289297922491381282</stp>
        <tr r="Y20" s="27"/>
      </tp>
      <tp t="e">
        <v>#N/A</v>
        <stp/>
        <stp>BDH|568523922693222750</stp>
        <tr r="D26" s="29"/>
      </tp>
      <tp t="e">
        <v>#N/A</v>
        <stp/>
        <stp>BDH|457352941716333214</stp>
        <tr r="Z48" s="18"/>
      </tp>
      <tp t="e">
        <v>#N/A</v>
        <stp/>
        <stp>BDH|399487640181946213</stp>
        <tr r="M23" s="30"/>
        <tr r="M25" s="23"/>
      </tp>
      <tp t="e">
        <v>#N/A</v>
        <stp/>
        <stp>BDH|142555555691428261</stp>
        <tr r="Z9" s="13"/>
      </tp>
      <tp t="e">
        <v>#N/A</v>
        <stp/>
        <stp>BDH|190578763309887811</stp>
        <tr r="F46" s="24"/>
      </tp>
      <tp t="e">
        <v>#N/A</v>
        <stp/>
        <stp>BDH|245639906867978325</stp>
        <tr r="K10" s="22"/>
      </tp>
      <tp t="e">
        <v>#N/A</v>
        <stp/>
        <stp>BDH|922589213510928678</stp>
        <tr r="Q61" s="24"/>
      </tp>
      <tp t="e">
        <v>#N/A</v>
        <stp/>
        <stp>BDH|958973596714799625</stp>
        <tr r="H21" s="2"/>
      </tp>
      <tp t="e">
        <v>#N/A</v>
        <stp/>
        <stp>BDH|304528530953803744</stp>
        <tr r="M25" s="12"/>
      </tp>
      <tp t="e">
        <v>#N/A</v>
        <stp/>
        <stp>BDH|453091320460610052</stp>
        <tr r="X8" s="26"/>
        <tr r="U10" s="9"/>
      </tp>
      <tp t="e">
        <v>#N/A</v>
        <stp/>
        <stp>BDH|292092636153081235</stp>
        <tr r="N107" s="18"/>
      </tp>
      <tp t="e">
        <v>#N/A</v>
        <stp/>
        <stp>BDH|282035899428256349</stp>
        <tr r="M132" s="18"/>
      </tp>
      <tp t="e">
        <v>#N/A</v>
        <stp/>
        <stp>BDH|593323825156987549</stp>
        <tr r="U65" s="18"/>
      </tp>
      <tp t="e">
        <v>#N/A</v>
        <stp/>
        <stp>BDH|347385144244491141</stp>
        <tr r="P13" s="25"/>
      </tp>
      <tp t="e">
        <v>#N/A</v>
        <stp/>
        <stp>BDH|531189737147541704</stp>
        <tr r="U87" s="18"/>
      </tp>
      <tp t="e">
        <v>#N/A</v>
        <stp/>
        <stp>BDH|784259960200558681</stp>
        <tr r="H9" s="29"/>
      </tp>
      <tp t="e">
        <v>#N/A</v>
        <stp/>
        <stp>BDH|217452888776142814</stp>
        <tr r="D28" s="14"/>
      </tp>
      <tp t="e">
        <v>#N/A</v>
        <stp/>
        <stp>BDH|973528625285443020</stp>
        <tr r="D79" s="12"/>
      </tp>
      <tp t="e">
        <v>#N/A</v>
        <stp/>
        <stp>BDH|320214192020985912</stp>
        <tr r="X78" s="12"/>
      </tp>
      <tp t="e">
        <v>#N/A</v>
        <stp/>
        <stp>BDH|916022523601360134</stp>
        <tr r="V22" s="26"/>
      </tp>
      <tp t="e">
        <v>#N/A</v>
        <stp/>
        <stp>BDH|451863737440902946</stp>
        <tr r="I23" s="9"/>
      </tp>
      <tp t="e">
        <v>#N/A</v>
        <stp/>
        <stp>BDH|679492197707776870</stp>
        <tr r="D45" s="24"/>
      </tp>
      <tp t="e">
        <v>#N/A</v>
        <stp/>
        <stp>BDH|947657533882105579</stp>
        <tr r="D134" s="18"/>
      </tp>
      <tp t="e">
        <v>#N/A</v>
        <stp/>
        <stp>BDH|204689814041793400</stp>
        <tr r="G71" s="18"/>
      </tp>
      <tp t="e">
        <v>#N/A</v>
        <stp/>
        <stp>BDH|125505916666706090</stp>
        <tr r="Z77" s="24"/>
      </tp>
      <tp t="e">
        <v>#N/A</v>
        <stp/>
        <stp>BDH|619443649957544578</stp>
        <tr r="P29" s="9"/>
      </tp>
      <tp t="e">
        <v>#N/A</v>
        <stp/>
        <stp>BDH|747664669222443064</stp>
        <tr r="O70" s="13"/>
      </tp>
      <tp t="e">
        <v>#N/A</v>
        <stp/>
        <stp>BDH|757049039657600668</stp>
        <tr r="C6" s="3"/>
      </tp>
      <tp t="e">
        <v>#N/A</v>
        <stp/>
        <stp>BDH|452764299854291836</stp>
        <tr r="W155" s="18"/>
      </tp>
      <tp t="e">
        <v>#N/A</v>
        <stp/>
        <stp>BDH|104372316500337093</stp>
        <tr r="P6" s="19"/>
        <tr r="P38" s="17"/>
        <tr r="P16" s="3"/>
      </tp>
      <tp t="e">
        <v>#N/A</v>
        <stp/>
        <stp>BDH|972337973773742558</stp>
        <tr r="P50" s="22"/>
      </tp>
      <tp t="e">
        <v>#N/A</v>
        <stp/>
        <stp>BDH|547645799494501963</stp>
        <tr r="E14" s="21"/>
      </tp>
      <tp t="e">
        <v>#N/A</v>
        <stp/>
        <stp>BDH|336323205609708882</stp>
        <tr r="V138" s="18"/>
      </tp>
      <tp t="e">
        <v>#N/A</v>
        <stp/>
        <stp>BDH|334590522202735747</stp>
        <tr r="K32" s="9"/>
      </tp>
      <tp t="e">
        <v>#N/A</v>
        <stp/>
        <stp>BDH|125394408215495404</stp>
        <tr r="U145" s="18"/>
      </tp>
      <tp t="e">
        <v>#N/A</v>
        <stp/>
        <stp>BDH|566345182218749108</stp>
        <tr r="M22" s="6"/>
      </tp>
      <tp t="e">
        <v>#N/A</v>
        <stp/>
        <stp>BDH|381788107681811404</stp>
        <tr r="C17" s="21"/>
        <tr r="C23" s="3"/>
      </tp>
      <tp t="e">
        <v>#N/A</v>
        <stp/>
        <stp>BDH|866586673650671017</stp>
        <tr r="Y56" s="17"/>
      </tp>
      <tp t="e">
        <v>#N/A</v>
        <stp/>
        <stp>BDH|109523090908680617</stp>
        <tr r="H95" s="18"/>
      </tp>
      <tp t="e">
        <v>#N/A</v>
        <stp/>
        <stp>BDH|705472658784459798</stp>
        <tr r="G72" s="24"/>
      </tp>
      <tp t="e">
        <v>#N/A</v>
        <stp/>
        <stp>BDH|461811735278198144</stp>
        <tr r="F107" s="18"/>
      </tp>
      <tp t="e">
        <v>#N/A</v>
        <stp/>
        <stp>BDH|992544987637973857</stp>
        <tr r="K11" s="14"/>
      </tp>
      <tp t="e">
        <v>#N/A</v>
        <stp/>
        <stp>BDH|664426168811928131</stp>
        <tr r="T26" s="25"/>
        <tr r="T56" s="21"/>
      </tp>
      <tp t="e">
        <v>#N/A</v>
        <stp/>
        <stp>BDH|730079536250848182</stp>
        <tr r="V83" s="12"/>
      </tp>
      <tp t="e">
        <v>#N/A</v>
        <stp/>
        <stp>BDH|380542683147213806</stp>
        <tr r="AA107" s="18"/>
      </tp>
      <tp t="e">
        <v>#N/A</v>
        <stp/>
        <stp>BDH|847763701775937001</stp>
        <tr r="I85" s="18"/>
      </tp>
      <tp t="e">
        <v>#N/A</v>
        <stp/>
        <stp>BDH|253041685473005952</stp>
        <tr r="T17" s="9"/>
      </tp>
      <tp t="e">
        <v>#N/A</v>
        <stp/>
        <stp>BDH|469855814462372900</stp>
        <tr r="K19" s="12"/>
      </tp>
      <tp t="e">
        <v>#N/A</v>
        <stp/>
        <stp>BDH|176623410780459512</stp>
        <tr r="O33" s="5"/>
      </tp>
      <tp t="e">
        <v>#N/A</v>
        <stp/>
        <stp>BDH|643362915894769456</stp>
        <tr r="F66" s="10"/>
      </tp>
      <tp t="e">
        <v>#N/A</v>
        <stp/>
        <stp>BDH|835589229300852560</stp>
        <tr r="C50" s="18"/>
      </tp>
      <tp t="e">
        <v>#N/A</v>
        <stp/>
        <stp>BDH|767307412968587870</stp>
        <tr r="P35" s="22"/>
      </tp>
      <tp t="e">
        <v>#N/A</v>
        <stp/>
        <stp>BDH|794637049454857429</stp>
        <tr r="P50" s="4"/>
      </tp>
      <tp t="e">
        <v>#N/A</v>
        <stp/>
        <stp>BDH|540263289011431991</stp>
        <tr r="X26" s="29"/>
      </tp>
      <tp t="e">
        <v>#N/A</v>
        <stp/>
        <stp>BDH|471041554167577065</stp>
        <tr r="N21" s="4"/>
      </tp>
      <tp t="e">
        <v>#N/A</v>
        <stp/>
        <stp>BDH|347474625414469059</stp>
        <tr r="N33" s="22"/>
      </tp>
      <tp t="e">
        <v>#N/A</v>
        <stp/>
        <stp>BDH|699501992107543914</stp>
        <tr r="D39" s="13"/>
      </tp>
      <tp t="e">
        <v>#N/A</v>
        <stp/>
        <stp>BDH|523675134002297540</stp>
        <tr r="Q32" s="9"/>
      </tp>
      <tp t="e">
        <v>#N/A</v>
        <stp/>
        <stp>BDH|776929845548450740</stp>
        <tr r="K63" s="13"/>
        <tr r="I60" s="10"/>
        <tr r="I49" s="11"/>
        <tr r="I18" s="7"/>
      </tp>
      <tp t="e">
        <v>#N/A</v>
        <stp/>
        <stp>BDH|497646744124523401</stp>
        <tr r="O72" s="13"/>
      </tp>
      <tp t="e">
        <v>#N/A</v>
        <stp/>
        <stp>BDH|998360158894642004</stp>
        <tr r="I66" s="24"/>
      </tp>
      <tp t="e">
        <v>#N/A</v>
        <stp/>
        <stp>BDH|106782652344967430</stp>
        <tr r="W20" s="25"/>
      </tp>
      <tp t="e">
        <v>#N/A</v>
        <stp/>
        <stp>BDH|618122455854099239</stp>
        <tr r="W19" s="11"/>
      </tp>
      <tp t="e">
        <v>#N/A</v>
        <stp/>
        <stp>BDH|582766826783577422</stp>
        <tr r="W29" s="26"/>
      </tp>
      <tp t="e">
        <v>#N/A</v>
        <stp/>
        <stp>BDH|111746313142692623</stp>
        <tr r="O9" s="17"/>
      </tp>
      <tp t="e">
        <v>#N/A</v>
        <stp/>
        <stp>BDH|572000734117104620</stp>
        <tr r="T52" s="17"/>
      </tp>
      <tp t="e">
        <v>#N/A</v>
        <stp/>
        <stp>BDH|916820363085845921</stp>
        <tr r="X65" s="12"/>
      </tp>
      <tp t="e">
        <v>#N/A</v>
        <stp/>
        <stp>BDH|567525463130784103</stp>
        <tr r="V44" s="21"/>
      </tp>
      <tp t="e">
        <v>#N/A</v>
        <stp/>
        <stp>BDH|111500273120001012</stp>
        <tr r="T53" s="12"/>
      </tp>
      <tp t="e">
        <v>#N/A</v>
        <stp/>
        <stp>BDH|182017524259183963</stp>
        <tr r="I31" s="21"/>
      </tp>
      <tp t="e">
        <v>#N/A</v>
        <stp/>
        <stp>BDH|232371852322614625</stp>
        <tr r="N9" s="29"/>
      </tp>
      <tp t="e">
        <v>#N/A</v>
        <stp/>
        <stp>BDH|908522611951552833</stp>
        <tr r="G16" s="18"/>
      </tp>
      <tp t="e">
        <v>#N/A</v>
        <stp/>
        <stp>BDH|984868300306777346</stp>
        <tr r="M53" s="34"/>
      </tp>
      <tp t="e">
        <v>#N/A</v>
        <stp/>
        <stp>BDH|212341898147655046</stp>
        <tr r="G65" s="12"/>
      </tp>
      <tp t="e">
        <v>#N/A</v>
        <stp/>
        <stp>BDH|891338307337849982</stp>
        <tr r="C87" s="12"/>
      </tp>
      <tp t="e">
        <v>#N/A</v>
        <stp/>
        <stp>BDH|946916551249593819</stp>
        <tr r="S48" s="34"/>
      </tp>
      <tp t="e">
        <v>#N/A</v>
        <stp/>
        <stp>BDH|726122031077927805</stp>
        <tr r="D54" s="17"/>
        <tr r="D17" s="3"/>
      </tp>
      <tp t="e">
        <v>#N/A</v>
        <stp/>
        <stp>BDH|187130585510062490</stp>
        <tr r="C153" s="18"/>
      </tp>
      <tp t="e">
        <v>#N/A</v>
        <stp/>
        <stp>BDH|166873922255887227</stp>
        <tr r="I81" s="18"/>
      </tp>
      <tp t="e">
        <v>#N/A</v>
        <stp/>
        <stp>BDH|242367194087894062</stp>
        <tr r="S76" s="24"/>
      </tp>
      <tp t="e">
        <v>#N/A</v>
        <stp/>
        <stp>BDH|116514549969105563</stp>
        <tr r="Q125" s="18"/>
      </tp>
      <tp t="e">
        <v>#N/A</v>
        <stp/>
        <stp>BDH|572835738242863486</stp>
        <tr r="C37" s="18"/>
      </tp>
      <tp t="e">
        <v>#N/A</v>
        <stp/>
        <stp>BDH|959083584116310387</stp>
        <tr r="W51" s="17"/>
      </tp>
      <tp t="e">
        <v>#N/A</v>
        <stp/>
        <stp>BDH|184093052948528078</stp>
        <tr r="H78" s="18"/>
      </tp>
      <tp t="e">
        <v>#N/A</v>
        <stp/>
        <stp>BDH|229861533283417589</stp>
        <tr r="H31" s="22"/>
      </tp>
      <tp t="e">
        <v>#N/A</v>
        <stp/>
        <stp>BDH|335789331178423150</stp>
        <tr r="L66" s="17"/>
      </tp>
      <tp t="e">
        <v>#N/A</v>
        <stp/>
        <stp>BDH|266932436003583492</stp>
        <tr r="C37" s="17"/>
      </tp>
      <tp t="e">
        <v>#N/A</v>
        <stp/>
        <stp>BDH|918039684937129244</stp>
        <tr r="H20" s="27"/>
      </tp>
      <tp t="e">
        <v>#N/A</v>
        <stp/>
        <stp>BDH|450128597144439112</stp>
        <tr r="G49" s="12"/>
      </tp>
      <tp t="e">
        <v>#N/A</v>
        <stp/>
        <stp>BDH|298146193595945088</stp>
        <tr r="T70" s="10"/>
      </tp>
      <tp t="e">
        <v>#N/A</v>
        <stp/>
        <stp>BDH|598381188424529256</stp>
        <tr r="AA99" s="18"/>
      </tp>
      <tp t="e">
        <v>#N/A</v>
        <stp/>
        <stp>BDH|709479604600305921</stp>
        <tr r="I8" s="2"/>
      </tp>
      <tp t="e">
        <v>#N/A</v>
        <stp/>
        <stp>BDH|451759274365191814</stp>
        <tr r="L8" s="17"/>
      </tp>
      <tp t="e">
        <v>#N/A</v>
        <stp/>
        <stp>BDH|351963500146658263</stp>
        <tr r="L27" s="26"/>
      </tp>
      <tp t="e">
        <v>#N/A</v>
        <stp/>
        <stp>BDH|497482298819018917</stp>
        <tr r="T13" s="28"/>
        <tr r="T95" s="17"/>
      </tp>
      <tp t="e">
        <v>#N/A</v>
        <stp/>
        <stp>BDH|952231509027496813</stp>
        <tr r="J62" s="24"/>
      </tp>
      <tp t="e">
        <v>#N/A</v>
        <stp/>
        <stp>BDH|405046033776510800</stp>
        <tr r="I32" s="25"/>
        <tr r="I14" s="27"/>
      </tp>
      <tp t="e">
        <v>#N/A</v>
        <stp/>
        <stp>BDH|666409634442299863</stp>
        <tr r="Y93" s="12"/>
      </tp>
      <tp t="e">
        <v>#N/A</v>
        <stp/>
        <stp>BDH|882494468189643681</stp>
        <tr r="C37" s="34"/>
      </tp>
      <tp t="e">
        <v>#N/A</v>
        <stp/>
        <stp>BDH|537125295271045457</stp>
        <tr r="K23" s="18"/>
      </tp>
      <tp t="e">
        <v>#N/A</v>
        <stp/>
        <stp>BDH|193867222033373462</stp>
        <tr r="Q53" s="17"/>
      </tp>
      <tp t="e">
        <v>#N/A</v>
        <stp/>
        <stp>BDH|111252876699688140</stp>
        <tr r="G158" s="18"/>
      </tp>
      <tp t="e">
        <v>#N/A</v>
        <stp/>
        <stp>BDH|685578194806697732</stp>
        <tr r="X30" s="22"/>
      </tp>
      <tp t="e">
        <v>#N/A</v>
        <stp/>
        <stp>BDH|306320785545234366</stp>
        <tr r="R52" s="22"/>
      </tp>
      <tp t="e">
        <v>#N/A</v>
        <stp/>
        <stp>BDH|405161296794121152</stp>
        <tr r="M43" s="17"/>
      </tp>
      <tp t="e">
        <v>#N/A</v>
        <stp/>
        <stp>BDH|641596840628715496</stp>
        <tr r="H11" s="10"/>
        <tr r="H14" s="2"/>
      </tp>
      <tp t="e">
        <v>#N/A</v>
        <stp/>
        <stp>BDH|327810775470568230</stp>
        <tr r="S13" s="23"/>
        <tr r="Q58" s="11"/>
        <tr r="Q38" s="4"/>
      </tp>
      <tp t="e">
        <v>#N/A</v>
        <stp/>
        <stp>BDH|364748231791281869</stp>
        <tr r="Z159" s="18"/>
      </tp>
      <tp t="e">
        <v>#N/A</v>
        <stp/>
        <stp>BDH|630360125645766900</stp>
        <tr r="S23" s="12"/>
      </tp>
      <tp t="e">
        <v>#N/A</v>
        <stp/>
        <stp>BDH|298710504868037251</stp>
        <tr r="V76" s="17"/>
      </tp>
      <tp t="e">
        <v>#N/A</v>
        <stp/>
        <stp>BDH|346943217560679540</stp>
        <tr r="I104" s="18"/>
      </tp>
      <tp t="e">
        <v>#N/A</v>
        <stp/>
        <stp>BDH|433919240600407024</stp>
        <tr r="E13" s="9"/>
      </tp>
      <tp t="e">
        <v>#N/A</v>
        <stp/>
        <stp>BDH|734579129303897921</stp>
        <tr r="M27" s="12"/>
      </tp>
      <tp t="e">
        <v>#N/A</v>
        <stp/>
        <stp>BDH|239767931650741917</stp>
        <tr r="J84" s="17"/>
        <tr r="H6" s="7"/>
        <tr r="J20" s="3"/>
      </tp>
      <tp t="e">
        <v>#N/A</v>
        <stp/>
        <stp>BDH|828872136557920131</stp>
        <tr r="Z101" s="18"/>
      </tp>
      <tp t="e">
        <v>#N/A</v>
        <stp/>
        <stp>BDH|733964042317049707</stp>
        <tr r="L70" s="10"/>
      </tp>
      <tp t="e">
        <v>#N/A</v>
        <stp/>
        <stp>BDH|438050594773717712</stp>
        <tr r="F22" s="24"/>
      </tp>
      <tp t="e">
        <v>#N/A</v>
        <stp/>
        <stp>BDH|639633872584652824</stp>
        <tr r="X37" s="24"/>
      </tp>
      <tp t="e">
        <v>#N/A</v>
        <stp/>
        <stp>BDH|529897229732774510</stp>
        <tr r="J22" s="29"/>
        <tr r="J36" s="29"/>
        <tr r="J13" s="29"/>
      </tp>
      <tp t="e">
        <v>#N/A</v>
        <stp/>
        <stp>BDH|310794026588323139</stp>
        <tr r="Y9" s="21"/>
      </tp>
      <tp t="e">
        <v>#N/A</v>
        <stp/>
        <stp>BDH|115953300487917216</stp>
        <tr r="F58" s="6"/>
      </tp>
      <tp t="e">
        <v>#N/A</v>
        <stp/>
        <stp>BDH|884609745168235636</stp>
        <tr r="H21" s="24"/>
      </tp>
      <tp t="e">
        <v>#N/A</v>
        <stp/>
        <stp>BDH|543195423298083702</stp>
        <tr r="G43" s="12"/>
      </tp>
      <tp t="e">
        <v>#N/A</v>
        <stp/>
        <stp>BDH|417284557028510314</stp>
        <tr r="E10" s="26"/>
      </tp>
      <tp t="e">
        <v>#N/A</v>
        <stp/>
        <stp>BDH|353164255281905918</stp>
        <tr r="V35" s="24"/>
      </tp>
      <tp t="e">
        <v>#N/A</v>
        <stp/>
        <stp>BDH|395948971065991774</stp>
        <tr r="L65" s="12"/>
      </tp>
      <tp t="e">
        <v>#N/A</v>
        <stp/>
        <stp>BDH|537010587212298694</stp>
        <tr r="K56" s="13"/>
      </tp>
      <tp t="e">
        <v>#N/A</v>
        <stp/>
        <stp>BDH|617953419902330615</stp>
        <tr r="V48" s="13"/>
      </tp>
      <tp t="e">
        <v>#N/A</v>
        <stp/>
        <stp>BDH|298998660742126127</stp>
        <tr r="M78" s="24"/>
      </tp>
      <tp t="e">
        <v>#N/A</v>
        <stp/>
        <stp>BDH|825545080755677420</stp>
        <tr r="U15" s="26"/>
      </tp>
      <tp t="e">
        <v>#N/A</v>
        <stp/>
        <stp>BDH|256916889255329816</stp>
        <tr r="Q9" s="22"/>
      </tp>
      <tp t="e">
        <v>#N/A</v>
        <stp/>
        <stp>BDH|673122848448517102</stp>
        <tr r="Z20" s="25"/>
      </tp>
      <tp t="e">
        <v>#N/A</v>
        <stp/>
        <stp>BDH|488553500240934918</stp>
        <tr r="H37" s="13"/>
        <tr r="F30" s="10"/>
      </tp>
      <tp t="e">
        <v>#N/A</v>
        <stp/>
        <stp>BDH|731230905439045780</stp>
        <tr r="S45" s="13"/>
        <tr r="Q29" s="11"/>
        <tr r="Q40" s="10"/>
      </tp>
      <tp t="e">
        <v>#N/A</v>
        <stp/>
        <stp>BDH|988655031830775936</stp>
        <tr r="E28" s="4"/>
      </tp>
      <tp t="e">
        <v>#N/A</v>
        <stp/>
        <stp>BDH|891475424462656877</stp>
        <tr r="Y31" s="29"/>
      </tp>
      <tp t="e">
        <v>#N/A</v>
        <stp/>
        <stp>BDH|250452290508552988</stp>
        <tr r="T13" s="5"/>
      </tp>
      <tp t="e">
        <v>#N/A</v>
        <stp/>
        <stp>BDH|951664684812727066</stp>
        <tr r="R57" s="12"/>
      </tp>
      <tp t="e">
        <v>#N/A</v>
        <stp/>
        <stp>BDH|592618544758921637</stp>
        <tr r="H106" s="18"/>
      </tp>
      <tp t="e">
        <v>#N/A</v>
        <stp/>
        <stp>BDH|980925351586480646</stp>
        <tr r="P47" s="11"/>
        <tr r="P58" s="10"/>
        <tr r="P7" s="7"/>
        <tr r="R12" s="3"/>
      </tp>
      <tp t="e">
        <v>#N/A</v>
        <stp/>
        <stp>BDH|647912047909977823</stp>
        <tr r="T37" s="12"/>
      </tp>
      <tp t="e">
        <v>#N/A</v>
        <stp/>
        <stp>BDH|853861430037079054</stp>
        <tr r="M126" s="18"/>
      </tp>
      <tp t="e">
        <v>#N/A</v>
        <stp/>
        <stp>BDH|444298300657792917</stp>
        <tr r="P87" s="18"/>
      </tp>
      <tp t="e">
        <v>#N/A</v>
        <stp/>
        <stp>BDH|289898561644897667</stp>
        <tr r="M21" s="5"/>
      </tp>
      <tp t="e">
        <v>#N/A</v>
        <stp/>
        <stp>BDH|975211162160611884</stp>
        <tr r="I137" s="18"/>
      </tp>
      <tp t="e">
        <v>#N/A</v>
        <stp/>
        <stp>BDH|235846149980357088</stp>
        <tr r="R23" s="26"/>
      </tp>
      <tp t="e">
        <v>#N/A</v>
        <stp/>
        <stp>BDH|540905468083941004</stp>
        <tr r="U42" s="25"/>
      </tp>
      <tp t="e">
        <v>#N/A</v>
        <stp/>
        <stp>BDH|125815427852528475</stp>
        <tr r="F14" s="4"/>
      </tp>
      <tp t="e">
        <v>#N/A</v>
        <stp/>
        <stp>BDH|195484216209840024</stp>
        <tr r="T12" s="26"/>
      </tp>
      <tp t="e">
        <v>#N/A</v>
        <stp/>
        <stp>BDH|390827522700138675</stp>
        <tr r="M30" s="14"/>
      </tp>
      <tp t="e">
        <v>#N/A</v>
        <stp/>
        <stp>BDH|283786585843932034</stp>
        <tr r="Z34" s="29"/>
      </tp>
      <tp t="e">
        <v>#N/A</v>
        <stp/>
        <stp>BDH|507084612315333893</stp>
        <tr r="D34" s="17"/>
      </tp>
      <tp t="e">
        <v>#N/A</v>
        <stp/>
        <stp>BDH|136766695607626514</stp>
        <tr r="R41" s="13"/>
        <tr r="P23" s="10"/>
        <tr r="P46" s="4"/>
      </tp>
      <tp t="e">
        <v>#N/A</v>
        <stp/>
        <stp>BDH|940408153984588997</stp>
        <tr r="Z32" s="21"/>
      </tp>
      <tp t="e">
        <v>#N/A</v>
        <stp/>
        <stp>BDH|594257982660745636</stp>
        <tr r="X10" s="22"/>
      </tp>
      <tp t="e">
        <v>#N/A</v>
        <stp/>
        <stp>BDH|668582989082100307</stp>
        <tr r="H19" s="9"/>
      </tp>
      <tp t="e">
        <v>#N/A</v>
        <stp/>
        <stp>BDH|639734475389409524</stp>
        <tr r="O63" s="13"/>
        <tr r="M49" s="11"/>
        <tr r="M18" s="7"/>
        <tr r="M60" s="10"/>
      </tp>
      <tp t="e">
        <v>#N/A</v>
        <stp/>
        <stp>BDH|181809854272419373</stp>
        <tr r="H48" s="18"/>
      </tp>
      <tp t="e">
        <v>#N/A</v>
        <stp/>
        <stp>BDH|783926257348446817</stp>
        <tr r="Q9" s="12"/>
      </tp>
      <tp t="e">
        <v>#N/A</v>
        <stp/>
        <stp>BDH|876114017018935402</stp>
        <tr r="N28" s="34"/>
      </tp>
      <tp t="e">
        <v>#N/A</v>
        <stp/>
        <stp>BDH|436746096446350423</stp>
        <tr r="V44" s="6"/>
      </tp>
      <tp t="e">
        <v>#N/A</v>
        <stp/>
        <stp>BDH|722919560067358453</stp>
        <tr r="AA94" s="18"/>
      </tp>
      <tp t="e">
        <v>#N/A</v>
        <stp/>
        <stp>BDH|379852722636748037</stp>
        <tr r="S50" s="13"/>
      </tp>
      <tp t="e">
        <v>#N/A</v>
        <stp/>
        <stp>BDH|479643194170169349</stp>
        <tr r="W29" s="34"/>
      </tp>
      <tp t="e">
        <v>#N/A</v>
        <stp/>
        <stp>BDH|483755748458177794</stp>
        <tr r="I42" s="4"/>
      </tp>
      <tp t="e">
        <v>#N/A</v>
        <stp/>
        <stp>BDH|668759654976483827</stp>
        <tr r="Z73" s="17"/>
      </tp>
      <tp t="e">
        <v>#N/A</v>
        <stp/>
        <stp>BDH|280230246179555332</stp>
        <tr r="U29" s="24"/>
      </tp>
      <tp t="e">
        <v>#N/A</v>
        <stp/>
        <stp>BDH|275439153548002534</stp>
        <tr r="V63" s="12"/>
      </tp>
      <tp t="e">
        <v>#N/A</v>
        <stp/>
        <stp>BDH|913903308842641763</stp>
        <tr r="Q35" s="22"/>
      </tp>
      <tp t="e">
        <v>#N/A</v>
        <stp/>
        <stp>BDH|226153194115016123</stp>
        <tr r="S23" s="25"/>
      </tp>
      <tp t="e">
        <v>#N/A</v>
        <stp/>
        <stp>BDH|805942278231606336</stp>
        <tr r="R82" s="12"/>
      </tp>
      <tp t="e">
        <v>#N/A</v>
        <stp/>
        <stp>BDH|563526103169061052</stp>
        <tr r="AA43" s="24"/>
      </tp>
      <tp t="e">
        <v>#N/A</v>
        <stp/>
        <stp>BDH|816934407642982771</stp>
        <tr r="W21" s="30"/>
      </tp>
      <tp t="e">
        <v>#N/A</v>
        <stp/>
        <stp>BDH|620442071609304625</stp>
        <tr r="F19" s="34"/>
      </tp>
      <tp t="e">
        <v>#N/A</v>
        <stp/>
        <stp>BDH|413709415669090336</stp>
        <tr r="N65" s="13"/>
      </tp>
      <tp t="e">
        <v>#N/A</v>
        <stp/>
        <stp>BDH|390953555450399023</stp>
        <tr r="H40" s="13"/>
        <tr r="F33" s="10"/>
      </tp>
      <tp t="e">
        <v>#N/A</v>
        <stp/>
        <stp>BDH|318356370080391864</stp>
        <tr r="AA11" s="17"/>
      </tp>
      <tp t="e">
        <v>#N/A</v>
        <stp/>
        <stp>BDH|382078633077636827</stp>
        <tr r="G175" s="18"/>
      </tp>
      <tp t="e">
        <v>#N/A</v>
        <stp/>
        <stp>BDH|174831121042607463</stp>
        <tr r="K34" s="29"/>
      </tp>
      <tp t="e">
        <v>#N/A</v>
        <stp/>
        <stp>BDH|850276399940843437</stp>
        <tr r="X22" s="22"/>
      </tp>
      <tp t="e">
        <v>#N/A</v>
        <stp/>
        <stp>BDH|818216912865122972</stp>
        <tr r="O57" s="24"/>
      </tp>
      <tp t="e">
        <v>#N/A</v>
        <stp/>
        <stp>BDH|915056590984447264</stp>
        <tr r="AA64" s="12"/>
      </tp>
      <tp t="e">
        <v>#N/A</v>
        <stp/>
        <stp>BDH|393856308256178115</stp>
        <tr r="E90" s="12"/>
      </tp>
      <tp t="e">
        <v>#N/A</v>
        <stp/>
        <stp>BDH|323038267898068198</stp>
        <tr r="S125" s="18"/>
      </tp>
      <tp t="e">
        <v>#N/A</v>
        <stp/>
        <stp>BDH|782258953838883076</stp>
        <tr r="O25" s="5"/>
      </tp>
      <tp t="e">
        <v>#N/A</v>
        <stp/>
        <stp>BDH|828863652936269409</stp>
        <tr r="O65" s="24"/>
      </tp>
      <tp t="e">
        <v>#N/A</v>
        <stp/>
        <stp>BDH|390517212122811972</stp>
        <tr r="C129" s="18"/>
      </tp>
      <tp t="e">
        <v>#N/A</v>
        <stp/>
        <stp>BDH|786915319015584258</stp>
        <tr r="K54" s="24"/>
      </tp>
      <tp t="e">
        <v>#N/A</v>
        <stp/>
        <stp>BDH|992508615419679254</stp>
        <tr r="T44" s="6"/>
      </tp>
      <tp t="e">
        <v>#N/A</v>
        <stp/>
        <stp>BDH|377962159286133521</stp>
        <tr r="O17" s="14"/>
      </tp>
      <tp t="e">
        <v>#N/A</v>
        <stp/>
        <stp>BDH|968149265250368832</stp>
        <tr r="P139" s="18"/>
      </tp>
      <tp t="e">
        <v>#N/A</v>
        <stp/>
        <stp>BDH|722217245160312989</stp>
        <tr r="P56" s="6"/>
      </tp>
      <tp t="e">
        <v>#N/A</v>
        <stp/>
        <stp>BDH|833323083687328329</stp>
        <tr r="I130" s="18"/>
      </tp>
      <tp t="e">
        <v>#N/A</v>
        <stp/>
        <stp>BDH|993600305651750837</stp>
        <tr r="C40" s="21"/>
      </tp>
      <tp t="e">
        <v>#N/A</v>
        <stp/>
        <stp>BDH|352818451432021097</stp>
        <tr r="X9" s="11"/>
      </tp>
      <tp t="e">
        <v>#N/A</v>
        <stp/>
        <stp>BDH|454796281323757316</stp>
        <tr r="L31" s="13"/>
        <tr r="J23" s="11"/>
        <tr r="J34" s="10"/>
        <tr r="J45" s="4"/>
      </tp>
      <tp t="e">
        <v>#N/A</v>
        <stp/>
        <stp>BDH|757892604242982599</stp>
        <tr r="AA91" s="12"/>
      </tp>
      <tp t="e">
        <v>#N/A</v>
        <stp/>
        <stp>BDH|968654977858527657</stp>
        <tr r="AA39" s="12"/>
      </tp>
      <tp t="e">
        <v>#N/A</v>
        <stp/>
        <stp>BDH|568265072143261988</stp>
        <tr r="I139" s="18"/>
      </tp>
      <tp t="e">
        <v>#N/A</v>
        <stp/>
        <stp>BDH|281647450649583581</stp>
        <tr r="E50" s="4"/>
      </tp>
      <tp t="e">
        <v>#N/A</v>
        <stp/>
        <stp>BDH|828957602290438604</stp>
        <tr r="Q44" s="13"/>
        <tr r="O47" s="10"/>
        <tr r="O36" s="11"/>
        <tr r="O52" s="4"/>
        <tr r="Q8" s="3"/>
      </tp>
      <tp t="e">
        <v>#N/A</v>
        <stp/>
        <stp>BDH|793353438528306729</stp>
        <tr r="K72" s="10"/>
      </tp>
      <tp t="e">
        <v>#N/A</v>
        <stp/>
        <stp>BDH|923204218574707838</stp>
        <tr r="I34" s="26"/>
      </tp>
      <tp t="e">
        <v>#N/A</v>
        <stp/>
        <stp>BDH|963638382166813757</stp>
        <tr r="U81" s="18"/>
      </tp>
      <tp t="e">
        <v>#N/A</v>
        <stp/>
        <stp>BDH|751238185751755433</stp>
        <tr r="Y25" s="24"/>
      </tp>
      <tp t="e">
        <v>#N/A</v>
        <stp/>
        <stp>BDH|496073920744363968</stp>
        <tr r="V9" s="11"/>
      </tp>
      <tp t="e">
        <v>#N/A</v>
        <stp/>
        <stp>BDH|402144676931892881</stp>
        <tr r="G22" s="25"/>
      </tp>
      <tp t="e">
        <v>#N/A</v>
        <stp/>
        <stp>BDH|899533829219146146</stp>
        <tr r="X38" s="34"/>
      </tp>
      <tp t="e">
        <v>#N/A</v>
        <stp/>
        <stp>BDH|793967082259574714</stp>
        <tr r="Y28" s="13"/>
        <tr r="Y16" s="13"/>
        <tr r="W17" s="10"/>
      </tp>
      <tp t="e">
        <v>#N/A</v>
        <stp/>
        <stp>BDH|863389550698602116</stp>
        <tr r="E36" s="4"/>
      </tp>
      <tp t="e">
        <v>#N/A</v>
        <stp/>
        <stp>BDH|191438395885659760</stp>
        <tr r="J42" s="18"/>
      </tp>
      <tp t="e">
        <v>#N/A</v>
        <stp/>
        <stp>BDH|177778930128526340</stp>
        <tr r="K22" s="12"/>
      </tp>
      <tp t="e">
        <v>#N/A</v>
        <stp/>
        <stp>BDH|403741582654218475</stp>
        <tr r="N10" s="14"/>
      </tp>
      <tp t="e">
        <v>#N/A</v>
        <stp/>
        <stp>BDH|945104489463733506</stp>
        <tr r="T10" s="10"/>
      </tp>
      <tp t="e">
        <v>#N/A</v>
        <stp/>
        <stp>BDH|500134795983138425</stp>
        <tr r="T20" s="17"/>
      </tp>
      <tp t="e">
        <v>#N/A</v>
        <stp/>
        <stp>BDH|651222152728440029</stp>
        <tr r="M22" s="22"/>
      </tp>
      <tp t="e">
        <v>#N/A</v>
        <stp/>
        <stp>BDH|264960853142520128</stp>
        <tr r="E30" s="17"/>
      </tp>
      <tp t="e">
        <v>#N/A</v>
        <stp/>
        <stp>BDH|689164834814707933</stp>
        <tr r="K64" s="21"/>
        <tr r="I23" s="7"/>
      </tp>
      <tp t="e">
        <v>#N/A</v>
        <stp/>
        <stp>BDH|812682821562450949</stp>
        <tr r="I60" s="17"/>
      </tp>
      <tp t="e">
        <v>#N/A</v>
        <stp/>
        <stp>BDH|286683005988994172</stp>
        <tr r="P127" s="18"/>
      </tp>
      <tp t="e">
        <v>#N/A</v>
        <stp/>
        <stp>BDH|600471136698759012</stp>
        <tr r="T9" s="13"/>
      </tp>
      <tp t="e">
        <v>#N/A</v>
        <stp/>
        <stp>BDH|467886245177815406</stp>
        <tr r="D168" s="18"/>
      </tp>
      <tp t="e">
        <v>#N/A</v>
        <stp/>
        <stp>BDH|487516871889104443</stp>
        <tr r="R77" s="12"/>
      </tp>
      <tp t="e">
        <v>#N/A</v>
        <stp/>
        <stp>BDH|654920831210393546</stp>
        <tr r="F64" s="21"/>
        <tr r="D23" s="7"/>
      </tp>
      <tp t="e">
        <v>#N/A</v>
        <stp/>
        <stp>BDH|455077773660315818</stp>
        <tr r="M8" s="21"/>
      </tp>
      <tp t="e">
        <v>#N/A</v>
        <stp/>
        <stp>BDH|912747214038994122</stp>
        <tr r="AA18" s="20"/>
      </tp>
      <tp t="e">
        <v>#N/A</v>
        <stp/>
        <stp>BDH|344973500411245745</stp>
        <tr r="H43" s="29"/>
      </tp>
      <tp t="e">
        <v>#N/A</v>
        <stp/>
        <stp>BDH|839941366498816804</stp>
        <tr r="F137" s="18"/>
      </tp>
      <tp t="e">
        <v>#N/A</v>
        <stp/>
        <stp>BDH|836022359663906982</stp>
        <tr r="Z164" s="18"/>
      </tp>
      <tp t="e">
        <v>#N/A</v>
        <stp/>
        <stp>BDH|542338525079187711</stp>
        <tr r="O29" s="18"/>
      </tp>
      <tp t="e">
        <v>#N/A</v>
        <stp/>
        <stp>BDH|272955491386634937</stp>
        <tr r="K77" s="12"/>
      </tp>
      <tp t="e">
        <v>#N/A</v>
        <stp/>
        <stp>BDH|103609195157101694</stp>
        <tr r="E13" s="22"/>
      </tp>
      <tp t="e">
        <v>#N/A</v>
        <stp/>
        <stp>BDH|879016295173103413</stp>
        <tr r="E32" s="26"/>
      </tp>
      <tp t="e">
        <v>#N/A</v>
        <stp/>
        <stp>BDH|840660987377205771</stp>
        <tr r="Y18" s="28"/>
        <tr r="Y15" s="17"/>
      </tp>
      <tp t="e">
        <v>#N/A</v>
        <stp/>
        <stp>BDH|330906591686775886</stp>
        <tr r="X22" s="4"/>
      </tp>
      <tp t="e">
        <v>#N/A</v>
        <stp/>
        <stp>BDH|169267528239219738</stp>
        <tr r="F34" s="18"/>
      </tp>
      <tp t="e">
        <v>#N/A</v>
        <stp/>
        <stp>BDH|598363383833890661</stp>
        <tr r="V56" s="12"/>
      </tp>
      <tp t="e">
        <v>#N/A</v>
        <stp/>
        <stp>BDH|524781003341705872</stp>
        <tr r="S35" s="17"/>
      </tp>
      <tp t="e">
        <v>#N/A</v>
        <stp/>
        <stp>BDH|239899088898531684</stp>
        <tr r="U66" s="17"/>
      </tp>
      <tp t="e">
        <v>#N/A</v>
        <stp/>
        <stp>BDH|644229565343717995</stp>
        <tr r="Y130" s="18"/>
      </tp>
      <tp t="e">
        <v>#N/A</v>
        <stp/>
        <stp>BDH|389882010856423100</stp>
        <tr r="H37" s="18"/>
      </tp>
      <tp t="e">
        <v>#N/A</v>
        <stp/>
        <stp>BDH|615542321710945951</stp>
        <tr r="AA34" s="22"/>
      </tp>
      <tp t="e">
        <v>#N/A</v>
        <stp/>
        <stp>BDH|450888064722307230</stp>
        <tr r="AA56" s="18"/>
      </tp>
      <tp t="e">
        <v>#N/A</v>
        <stp/>
        <stp>BDH|135466619098203348</stp>
        <tr r="W26" s="18"/>
      </tp>
      <tp t="e">
        <v>#N/A</v>
        <stp/>
        <stp>BDH|255154956272140886</stp>
        <tr r="T7" s="6"/>
      </tp>
      <tp t="e">
        <v>#N/A</v>
        <stp/>
        <stp>BDH|884662499463798286</stp>
        <tr r="X69" s="13"/>
      </tp>
      <tp t="e">
        <v>#N/A</v>
        <stp/>
        <stp>BDH|200394329689082684</stp>
        <tr r="Z39" s="13"/>
        <tr r="X32" s="10"/>
      </tp>
      <tp t="e">
        <v>#N/A</v>
        <stp/>
        <stp>BDH|851051200218412634</stp>
        <tr r="H17" s="24"/>
      </tp>
      <tp t="e">
        <v>#N/A</v>
        <stp/>
        <stp>BDH|723319254998825004</stp>
        <tr r="N9" s="6"/>
      </tp>
      <tp t="e">
        <v>#N/A</v>
        <stp/>
        <stp>BDH|169743999707723708</stp>
        <tr r="L12" s="10"/>
      </tp>
      <tp t="e">
        <v>#N/A</v>
        <stp/>
        <stp>BDH|356253934849815612</stp>
        <tr r="V58" s="6"/>
      </tp>
      <tp t="e">
        <v>#N/A</v>
        <stp/>
        <stp>BDH|826736050609893571</stp>
        <tr r="L100" s="18"/>
      </tp>
      <tp t="e">
        <v>#N/A</v>
        <stp/>
        <stp>BDH|358324685220706578</stp>
        <tr r="O86" s="12"/>
      </tp>
      <tp t="e">
        <v>#N/A</v>
        <stp/>
        <stp>BDH|500848368285930546</stp>
        <tr r="X157" s="18"/>
      </tp>
      <tp t="e">
        <v>#N/A</v>
        <stp/>
        <stp>BDH|608529873719718549</stp>
        <tr r="E23" s="22"/>
      </tp>
      <tp t="e">
        <v>#N/A</v>
        <stp/>
        <stp>BDH|879190997251099728</stp>
        <tr r="D49" s="34"/>
      </tp>
      <tp t="e">
        <v>#N/A</v>
        <stp/>
        <stp>BDH|617850400271680701</stp>
        <tr r="S27" s="17"/>
      </tp>
      <tp t="e">
        <v>#N/A</v>
        <stp/>
        <stp>BDH|685127561948635168</stp>
        <tr r="C23" s="6"/>
      </tp>
      <tp t="e">
        <v>#N/A</v>
        <stp/>
        <stp>BDH|209353593171815597</stp>
        <tr r="S20" s="14"/>
      </tp>
      <tp t="e">
        <v>#N/A</v>
        <stp/>
        <stp>BDH|466511963598583552</stp>
        <tr r="R31" s="29"/>
      </tp>
      <tp t="e">
        <v>#N/A</v>
        <stp/>
        <stp>BDH|384379672442992894</stp>
        <tr r="V25" s="18"/>
      </tp>
      <tp t="e">
        <v>#N/A</v>
        <stp/>
        <stp>BDH|834934204834849315</stp>
        <tr r="L58" s="18"/>
      </tp>
      <tp t="e">
        <v>#N/A</v>
        <stp/>
        <stp>BDH|195465982086406473</stp>
        <tr r="W57" s="6"/>
      </tp>
      <tp t="e">
        <v>#N/A</v>
        <stp/>
        <stp>BDH|966308782703456690</stp>
        <tr r="L79" s="18"/>
      </tp>
      <tp t="e">
        <v>#N/A</v>
        <stp/>
        <stp>BDH|172560820720751962</stp>
        <tr r="F14" s="22"/>
      </tp>
      <tp t="e">
        <v>#N/A</v>
        <stp/>
        <stp>BDH|257877840312341000</stp>
        <tr r="S36" s="6"/>
        <tr r="S17" s="5"/>
      </tp>
      <tp t="e">
        <v>#N/A</v>
        <stp/>
        <stp>BDH|372363125969384644</stp>
        <tr r="D16" s="18"/>
      </tp>
      <tp t="e">
        <v>#N/A</v>
        <stp/>
        <stp>BDH|172528945787054866</stp>
        <tr r="H58" s="6"/>
      </tp>
      <tp t="e">
        <v>#N/A</v>
        <stp/>
        <stp>BDH|483209687827359307</stp>
        <tr r="K27" s="6"/>
      </tp>
      <tp t="e">
        <v>#N/A</v>
        <stp/>
        <stp>BDH|199491285020851243</stp>
        <tr r="U67" s="13"/>
      </tp>
      <tp t="e">
        <v>#N/A</v>
        <stp/>
        <stp>BDH|465761617368246064</stp>
        <tr r="X48" s="34"/>
      </tp>
      <tp t="e">
        <v>#N/A</v>
        <stp/>
        <stp>BDH|910984674911186151</stp>
        <tr r="D32" s="17"/>
      </tp>
      <tp t="e">
        <v>#N/A</v>
        <stp/>
        <stp>BDH|115606593570833182</stp>
        <tr r="U16" s="14"/>
      </tp>
      <tp t="e">
        <v>#N/A</v>
        <stp/>
        <stp>BDH|508763937383064960</stp>
        <tr r="F36" s="6"/>
        <tr r="F17" s="5"/>
      </tp>
      <tp t="e">
        <v>#N/A</v>
        <stp/>
        <stp>BDH|838152330979918570</stp>
        <tr r="K24" s="26"/>
      </tp>
      <tp t="e">
        <v>#N/A</v>
        <stp/>
        <stp>BDH|874365139827470903</stp>
        <tr r="F37" s="18"/>
      </tp>
      <tp t="e">
        <v>#N/A</v>
        <stp/>
        <stp>BDH|628961101303179430</stp>
        <tr r="S94" s="12"/>
      </tp>
      <tp t="e">
        <v>#N/A</v>
        <stp/>
        <stp>BDH|738814615653717477</stp>
        <tr r="O73" s="13"/>
        <tr r="M61" s="10"/>
        <tr r="M19" s="7"/>
        <tr r="M50" s="11"/>
        <tr r="M18" s="4"/>
        <tr r="M20" s="2"/>
      </tp>
      <tp t="e">
        <v>#N/A</v>
        <stp/>
        <stp>BDH|486977396758394655</stp>
        <tr r="Z20" s="12"/>
      </tp>
      <tp t="e">
        <v>#N/A</v>
        <stp/>
        <stp>BDH|245100984564403314</stp>
        <tr r="J35" s="26"/>
        <tr r="G14" s="9"/>
      </tp>
      <tp t="e">
        <v>#N/A</v>
        <stp/>
        <stp>BDH|875343812839376215</stp>
        <tr r="Y108" s="18"/>
      </tp>
      <tp t="e">
        <v>#N/A</v>
        <stp/>
        <stp>BDH|965425246001486854</stp>
        <tr r="J53" s="12"/>
      </tp>
      <tp t="e">
        <v>#N/A</v>
        <stp/>
        <stp>BDH|254035272556878871</stp>
        <tr r="U21" s="2"/>
      </tp>
      <tp t="e">
        <v>#N/A</v>
        <stp/>
        <stp>BDH|307894150576403220</stp>
        <tr r="C22" s="10"/>
      </tp>
      <tp t="e">
        <v>#N/A</v>
        <stp/>
        <stp>BDH|442876410139482995</stp>
        <tr r="J141" s="18"/>
      </tp>
      <tp t="e">
        <v>#N/A</v>
        <stp/>
        <stp>BDH|783455457290998826</stp>
        <tr r="C104" s="18"/>
      </tp>
      <tp t="e">
        <v>#N/A</v>
        <stp/>
        <stp>BDH|325380732719423025</stp>
        <tr r="Z37" s="18"/>
      </tp>
      <tp t="e">
        <v>#N/A</v>
        <stp/>
        <stp>BDH|311459819108631469</stp>
        <tr r="G50" s="17"/>
      </tp>
      <tp t="e">
        <v>#N/A</v>
        <stp/>
        <stp>BDH|713861784368966131</stp>
        <tr r="D34" s="12"/>
      </tp>
      <tp t="e">
        <v>#N/A</v>
        <stp/>
        <stp>BDH|966653345332940986</stp>
        <tr r="I69" s="17"/>
        <tr r="I18" s="3"/>
      </tp>
      <tp t="e">
        <v>#N/A</v>
        <stp/>
        <stp>BDH|182006594722522299</stp>
        <tr r="Y16" s="27"/>
        <tr r="Y34" s="25"/>
      </tp>
      <tp t="e">
        <v>#N/A</v>
        <stp/>
        <stp>BDH|338097542485970881</stp>
        <tr r="W32" s="5"/>
      </tp>
      <tp t="e">
        <v>#N/A</v>
        <stp/>
        <stp>BDH|795775694861852654</stp>
        <tr r="N94" s="12"/>
      </tp>
      <tp t="e">
        <v>#N/A</v>
        <stp/>
        <stp>BDH|345781653892081928</stp>
        <tr r="G13" s="12"/>
      </tp>
      <tp t="e">
        <v>#N/A</v>
        <stp/>
        <stp>BDH|172800640333328694</stp>
        <tr r="M67" s="10"/>
      </tp>
      <tp t="e">
        <v>#N/A</v>
        <stp/>
        <stp>BDH|433927924821729314</stp>
        <tr r="N17" s="13"/>
      </tp>
      <tp t="e">
        <v>#N/A</v>
        <stp/>
        <stp>BDH|553529739836274988</stp>
        <tr r="C58" s="18"/>
      </tp>
      <tp t="e">
        <v>#N/A</v>
        <stp/>
        <stp>BDH|464874143946251366</stp>
        <tr r="R51" s="12"/>
      </tp>
      <tp t="e">
        <v>#N/A</v>
        <stp/>
        <stp>BDH|272363780774238623</stp>
        <tr r="J55" s="12"/>
      </tp>
      <tp t="e">
        <v>#N/A</v>
        <stp/>
        <stp>BDH|836711984635900302</stp>
        <tr r="P37" s="6"/>
      </tp>
      <tp t="e">
        <v>#N/A</v>
        <stp/>
        <stp>BDH|233912701204038478</stp>
        <tr r="AA13" s="30"/>
      </tp>
      <tp t="e">
        <v>#N/A</v>
        <stp/>
        <stp>BDH|265374042249141736</stp>
        <tr r="W9" s="30"/>
      </tp>
      <tp t="e">
        <v>#N/A</v>
        <stp/>
        <stp>BDH|555912845385063141</stp>
        <tr r="V147" s="18"/>
      </tp>
      <tp t="e">
        <v>#N/A</v>
        <stp/>
        <stp>BDH|433074865236044931</stp>
        <tr r="Y22" s="18"/>
      </tp>
      <tp t="e">
        <v>#N/A</v>
        <stp/>
        <stp>BDH|145347182620768254</stp>
        <tr r="Q7" s="17"/>
      </tp>
      <tp t="e">
        <v>#N/A</v>
        <stp/>
        <stp>BDH|832592292546572337</stp>
        <tr r="Y45" s="12"/>
      </tp>
      <tp t="e">
        <v>#N/A</v>
        <stp/>
        <stp>BDH|127782087603157595</stp>
        <tr r="Q37" s="34"/>
      </tp>
      <tp t="e">
        <v>#N/A</v>
        <stp/>
        <stp>BDH|192256287682459119</stp>
        <tr r="J7" s="24"/>
      </tp>
      <tp t="e">
        <v>#N/A</v>
        <stp/>
        <stp>BDH|826336998615045653</stp>
        <tr r="R20" s="17"/>
      </tp>
      <tp t="e">
        <v>#N/A</v>
        <stp/>
        <stp>BDH|820698916959783775</stp>
        <tr r="I55" s="24"/>
      </tp>
      <tp t="e">
        <v>#N/A</v>
        <stp/>
        <stp>BDH|957847501238841936</stp>
        <tr r="Y66" s="13"/>
      </tp>
      <tp t="e">
        <v>#N/A</v>
        <stp/>
        <stp>BDH|251915514111840080</stp>
        <tr r="L90" s="18"/>
      </tp>
      <tp t="e">
        <v>#N/A</v>
        <stp/>
        <stp>BDH|223010263956265926</stp>
        <tr r="X11" s="9"/>
      </tp>
      <tp t="e">
        <v>#N/A</v>
        <stp/>
        <stp>BDH|514958372170138732</stp>
        <tr r="I48" s="24"/>
      </tp>
      <tp t="e">
        <v>#N/A</v>
        <stp/>
        <stp>BDH|925341182701991363</stp>
        <tr r="U44" s="12"/>
      </tp>
      <tp t="e">
        <v>#N/A</v>
        <stp/>
        <stp>BDH|487974414324503522</stp>
        <tr r="W10" s="23"/>
      </tp>
      <tp t="e">
        <v>#N/A</v>
        <stp/>
        <stp>BDH|382697647159574291</stp>
        <tr r="Z6" s="19"/>
        <tr r="Z38" s="17"/>
        <tr r="Z16" s="3"/>
      </tp>
      <tp t="e">
        <v>#N/A</v>
        <stp/>
        <stp>BDH|171363145827674953</stp>
        <tr r="Q79" s="17"/>
        <tr r="Q19" s="3"/>
      </tp>
      <tp t="e">
        <v>#N/A</v>
        <stp/>
        <stp>BDH|666478882452376715</stp>
        <tr r="E53" s="24"/>
      </tp>
      <tp t="e">
        <v>#N/A</v>
        <stp/>
        <stp>BDH|662440233287584950</stp>
        <tr r="G42" s="18"/>
      </tp>
      <tp t="e">
        <v>#N/A</v>
        <stp/>
        <stp>BDH|229101372956715969</stp>
        <tr r="W154" s="18"/>
      </tp>
      <tp t="e">
        <v>#N/A</v>
        <stp/>
        <stp>BDH|947398719823962816</stp>
        <tr r="W41" s="25"/>
        <tr r="W59" s="21"/>
        <tr r="U54" s="11"/>
        <tr r="U31" s="4"/>
      </tp>
      <tp t="e">
        <v>#N/A</v>
        <stp/>
        <stp>BDH|316996254572736784</stp>
        <tr r="X12" s="22"/>
      </tp>
      <tp t="e">
        <v>#N/A</v>
        <stp/>
        <stp>BDH|913527195267839248</stp>
        <tr r="E29" s="14"/>
      </tp>
      <tp t="e">
        <v>#N/A</v>
        <stp/>
        <stp>BDH|387120134438320342</stp>
        <tr r="E36" s="13"/>
        <tr r="C29" s="10"/>
      </tp>
      <tp t="e">
        <v>#N/A</v>
        <stp/>
        <stp>BDH|158404070793634958</stp>
        <tr r="O39" s="13"/>
        <tr r="M32" s="10"/>
      </tp>
      <tp t="e">
        <v>#N/A</v>
        <stp/>
        <stp>BDH|999204397192552099</stp>
        <tr r="F57" s="24"/>
      </tp>
      <tp t="e">
        <v>#N/A</v>
        <stp/>
        <stp>BDH|452816181031764814</stp>
        <tr r="M66" s="24"/>
      </tp>
      <tp t="e">
        <v>#N/A</v>
        <stp/>
        <stp>BDH|237403863023689842</stp>
        <tr r="G29" s="9"/>
      </tp>
      <tp t="e">
        <v>#N/A</v>
        <stp/>
        <stp>BDH|397090435038912253</stp>
        <tr r="N34" s="17"/>
      </tp>
      <tp t="e">
        <v>#N/A</v>
        <stp/>
        <stp>BDH|440477762849007229</stp>
        <tr r="AA13" s="22"/>
      </tp>
      <tp t="e">
        <v>#N/A</v>
        <stp/>
        <stp>BDH|392421407955471816</stp>
        <tr r="Y71" s="10"/>
      </tp>
      <tp t="e">
        <v>#N/A</v>
        <stp/>
        <stp>BDH|596591780851805574</stp>
        <tr r="M120" s="18"/>
      </tp>
      <tp t="e">
        <v>#N/A</v>
        <stp/>
        <stp>BDH|640887455957430221</stp>
        <tr r="X89" s="18"/>
      </tp>
      <tp t="e">
        <v>#N/A</v>
        <stp/>
        <stp>BDH|351550918539178511</stp>
        <tr r="X42" s="24"/>
      </tp>
      <tp t="e">
        <v>#N/A</v>
        <stp/>
        <stp>BDH|907370760564109913</stp>
        <tr r="K130" s="18"/>
      </tp>
      <tp t="e">
        <v>#N/A</v>
        <stp/>
        <stp>BDH|146686030038654510</stp>
        <tr r="I15" s="25"/>
      </tp>
      <tp t="e">
        <v>#N/A</v>
        <stp/>
        <stp>BDH|981933031496300471</stp>
        <tr r="P22" s="9"/>
      </tp>
      <tp t="e">
        <v>#N/A</v>
        <stp/>
        <stp>BDH|678058201268876057</stp>
        <tr r="N8" s="6"/>
      </tp>
      <tp t="e">
        <v>#N/A</v>
        <stp/>
        <stp>BDH|907053516400535906</stp>
        <tr r="W36" s="4"/>
      </tp>
      <tp t="e">
        <v>#N/A</v>
        <stp/>
        <stp>BDH|345905860761463682</stp>
        <tr r="R50" s="4"/>
      </tp>
      <tp t="e">
        <v>#N/A</v>
        <stp/>
        <stp>BDH|509013598794090538</stp>
        <tr r="I28" s="18"/>
      </tp>
      <tp t="e">
        <v>#N/A</v>
        <stp/>
        <stp>BDH|590005924909762396</stp>
        <tr r="N34" s="29"/>
      </tp>
      <tp t="e">
        <v>#N/A</v>
        <stp/>
        <stp>BDH|446998187748100136</stp>
        <tr r="W18" s="20"/>
      </tp>
      <tp t="e">
        <v>#N/A</v>
        <stp/>
        <stp>BDH|704531324437184899</stp>
        <tr r="U16" s="22"/>
      </tp>
      <tp t="e">
        <v>#N/A</v>
        <stp/>
        <stp>BDH|317118283087900611</stp>
        <tr r="O60" s="21"/>
        <tr r="M55" s="11"/>
      </tp>
      <tp t="e">
        <v>#N/A</v>
        <stp/>
        <stp>BDH|848261116228081310</stp>
        <tr r="E8" s="27"/>
      </tp>
      <tp t="e">
        <v>#N/A</v>
        <stp/>
        <stp>BDH|936891706191965167</stp>
        <tr r="V63" s="18"/>
      </tp>
      <tp t="e">
        <v>#N/A</v>
        <stp/>
        <stp>BDH|550603508947563921</stp>
        <tr r="O73" s="17"/>
      </tp>
      <tp t="e">
        <v>#N/A</v>
        <stp/>
        <stp>BDH|601994824794973785</stp>
        <tr r="U12" s="26"/>
      </tp>
      <tp t="e">
        <v>#N/A</v>
        <stp/>
        <stp>BDH|373917756976985261</stp>
        <tr r="M40" s="11"/>
        <tr r="M28" s="11"/>
        <tr r="M39" s="10"/>
        <tr r="M51" s="10"/>
      </tp>
      <tp t="e">
        <v>#N/A</v>
        <stp/>
        <stp>BDH|798561000435157846</stp>
        <tr r="W30" s="24"/>
      </tp>
      <tp t="e">
        <v>#N/A</v>
        <stp/>
        <stp>BDH|550059667458383603</stp>
        <tr r="S24" s="29"/>
      </tp>
      <tp t="e">
        <v>#N/A</v>
        <stp/>
        <stp>BDH|117973540184127132</stp>
        <tr r="L35" s="34"/>
      </tp>
      <tp t="e">
        <v>#N/A</v>
        <stp/>
        <stp>BDH|504488226729873779</stp>
        <tr r="C27" s="25"/>
      </tp>
      <tp t="e">
        <v>#N/A</v>
        <stp/>
        <stp>BDH|323938167596695151</stp>
        <tr r="M58" s="17"/>
      </tp>
      <tp t="e">
        <v>#N/A</v>
        <stp/>
        <stp>BDH|735981551321929537</stp>
        <tr r="O37" s="29"/>
        <tr r="O23" s="29"/>
        <tr r="O14" s="29"/>
      </tp>
      <tp t="e">
        <v>#N/A</v>
        <stp/>
        <stp>BDH|243847563071611777</stp>
        <tr r="Y17" s="13"/>
      </tp>
      <tp t="e">
        <v>#N/A</v>
        <stp/>
        <stp>BDH|993975716091909146</stp>
        <tr r="P63" s="24"/>
      </tp>
      <tp t="e">
        <v>#N/A</v>
        <stp/>
        <stp>BDH|717941787278001118</stp>
        <tr r="C41" s="6"/>
        <tr r="C18" s="5"/>
      </tp>
      <tp t="e">
        <v>#N/A</v>
        <stp/>
        <stp>BDH|361831036904457773</stp>
        <tr r="F151" s="18"/>
      </tp>
      <tp t="e">
        <v>#N/A</v>
        <stp/>
        <stp>BDH|101401431787411815</stp>
        <tr r="N28" s="12"/>
      </tp>
      <tp t="e">
        <v>#N/A</v>
        <stp/>
        <stp>BDH|494062728999970366</stp>
        <tr r="G19" s="30"/>
      </tp>
      <tp t="e">
        <v>#N/A</v>
        <stp/>
        <stp>BDH|471884678110479755</stp>
        <tr r="Z91" s="17"/>
      </tp>
      <tp t="e">
        <v>#N/A</v>
        <stp/>
        <stp>BDH|829153752344956836</stp>
        <tr r="C61" s="13"/>
      </tp>
      <tp t="e">
        <v>#N/A</v>
        <stp/>
        <stp>BDH|832792708397744886</stp>
        <tr r="E31" s="29"/>
      </tp>
      <tp t="e">
        <v>#N/A</v>
        <stp/>
        <stp>BDH|832939027532330186</stp>
        <tr r="J25" s="24"/>
      </tp>
      <tp t="e">
        <v>#N/A</v>
        <stp/>
        <stp>BDH|131713022908698539</stp>
        <tr r="S49" s="4"/>
      </tp>
      <tp t="e">
        <v>#N/A</v>
        <stp/>
        <stp>BDH|245473496516006340</stp>
        <tr r="M42" s="34"/>
      </tp>
      <tp t="e">
        <v>#N/A</v>
        <stp/>
        <stp>BDH|411822140931380521</stp>
        <tr r="R42" s="11"/>
        <tr r="R53" s="10"/>
        <tr r="R8" s="7"/>
        <tr r="T11" s="3"/>
      </tp>
      <tp t="e">
        <v>#N/A</v>
        <stp/>
        <stp>BDH|752949784859073000</stp>
        <tr r="R16" s="28"/>
        <tr r="R13" s="17"/>
      </tp>
      <tp t="e">
        <v>#N/A</v>
        <stp/>
        <stp>BDH|116769227898441537</stp>
        <tr r="U32" s="12"/>
      </tp>
      <tp t="e">
        <v>#N/A</v>
        <stp/>
        <stp>BDH|816892404920447069</stp>
        <tr r="C12" s="25"/>
      </tp>
      <tp t="e">
        <v>#N/A</v>
        <stp/>
        <stp>BDH|111904765766219114</stp>
        <tr r="W59" s="24"/>
      </tp>
      <tp t="e">
        <v>#N/A</v>
        <stp/>
        <stp>BDH|214533085702438771</stp>
        <tr r="M19" s="18"/>
      </tp>
      <tp t="e">
        <v>#N/A</v>
        <stp/>
        <stp>BDH|927501750521968975</stp>
        <tr r="AA66" s="12"/>
      </tp>
      <tp t="e">
        <v>#N/A</v>
        <stp/>
        <stp>BDH|252107171379299711</stp>
        <tr r="Z22" s="27"/>
      </tp>
      <tp t="e">
        <v>#N/A</v>
        <stp/>
        <stp>BDH|498420591260408525</stp>
        <tr r="W66" s="24"/>
      </tp>
      <tp t="e">
        <v>#N/A</v>
        <stp/>
        <stp>BDH|297117397189557905</stp>
        <tr r="AA20" s="17"/>
      </tp>
      <tp t="e">
        <v>#N/A</v>
        <stp/>
        <stp>BDH|662524457449125136</stp>
        <tr r="K8" s="8"/>
      </tp>
      <tp t="e">
        <v>#N/A</v>
        <stp/>
        <stp>BDH|177058677698621748</stp>
        <tr r="Q31" s="24"/>
      </tp>
      <tp t="e">
        <v>#N/A</v>
        <stp/>
        <stp>BDH|744664011739477650</stp>
        <tr r="T72" s="17"/>
      </tp>
      <tp t="e">
        <v>#N/A</v>
        <stp/>
        <stp>BDH|906182181156354726</stp>
        <tr r="O24" s="13"/>
      </tp>
      <tp t="e">
        <v>#N/A</v>
        <stp/>
        <stp>BDH|262632146019040367</stp>
        <tr r="R30" s="17"/>
      </tp>
      <tp t="e">
        <v>#N/A</v>
        <stp/>
        <stp>BDH|613650806307091972</stp>
        <tr r="W39" s="13"/>
        <tr r="U32" s="10"/>
      </tp>
      <tp t="e">
        <v>#N/A</v>
        <stp/>
        <stp>BDH|238380745738492793</stp>
        <tr r="W55" s="13"/>
      </tp>
      <tp t="e">
        <v>#N/A</v>
        <stp/>
        <stp>BDH|275267856507635867</stp>
        <tr r="AA56" s="13"/>
      </tp>
      <tp t="e">
        <v>#N/A</v>
        <stp/>
        <stp>BDH|732156416361602903</stp>
        <tr r="R72" s="12"/>
      </tp>
      <tp t="e">
        <v>#N/A</v>
        <stp/>
        <stp>BDH|127917122002911188</stp>
        <tr r="Z124" s="18"/>
      </tp>
      <tp t="e">
        <v>#N/A</v>
        <stp/>
        <stp>BDH|276452783183637716</stp>
        <tr r="N24" s="29"/>
      </tp>
      <tp t="e">
        <v>#N/A</v>
        <stp/>
        <stp>BDH|564802161487136167</stp>
        <tr r="H8" s="23"/>
      </tp>
      <tp t="e">
        <v>#N/A</v>
        <stp/>
        <stp>BDH|622891919521267381</stp>
        <tr r="S12" s="7"/>
      </tp>
      <tp t="e">
        <v>#N/A</v>
        <stp/>
        <stp>BDH|371394598487812662</stp>
        <tr r="L52" s="22"/>
      </tp>
      <tp t="e">
        <v>#N/A</v>
        <stp/>
        <stp>BDH|341010589297697404</stp>
        <tr r="S26" s="25"/>
        <tr r="S56" s="21"/>
      </tp>
      <tp t="e">
        <v>#N/A</v>
        <stp/>
        <stp>BDH|818221180063069240</stp>
        <tr r="AA14" s="28"/>
      </tp>
      <tp t="e">
        <v>#N/A</v>
        <stp/>
        <stp>BDH|490682351641153936</stp>
        <tr r="I24" s="24"/>
      </tp>
      <tp t="e">
        <v>#N/A</v>
        <stp/>
        <stp>BDH|316107845709959706</stp>
        <tr r="H8" s="28"/>
      </tp>
      <tp t="e">
        <v>#N/A</v>
        <stp/>
        <stp>BDH|387963751715516296</stp>
        <tr r="N60" s="13"/>
        <tr r="L59" s="10"/>
        <tr r="L48" s="11"/>
        <tr r="L17" s="7"/>
        <tr r="L17" s="4"/>
        <tr r="N10" s="3"/>
      </tp>
      <tp t="e">
        <v>#N/A</v>
        <stp/>
        <stp>BDH|722423448078569301</stp>
        <tr r="Q61" s="17"/>
      </tp>
      <tp t="e">
        <v>#N/A</v>
        <stp/>
        <stp>BDH|825967395578242313</stp>
        <tr r="T171" s="18"/>
      </tp>
      <tp t="e">
        <v>#N/A</v>
        <stp/>
        <stp>BDH|773909318043044063</stp>
        <tr r="L17" s="12"/>
      </tp>
      <tp t="e">
        <v>#N/A</v>
        <stp/>
        <stp>BDH|595226953108579489</stp>
        <tr r="H96" s="18"/>
      </tp>
      <tp t="e">
        <v>#N/A</v>
        <stp/>
        <stp>BDH|368222388527032604</stp>
        <tr r="J151" s="18"/>
      </tp>
      <tp t="e">
        <v>#N/A</v>
        <stp/>
        <stp>BDH|131281806061496815</stp>
        <tr r="AA60" s="18"/>
      </tp>
      <tp t="e">
        <v>#N/A</v>
        <stp/>
        <stp>BDH|225422477281805952</stp>
        <tr r="Q24" s="20"/>
      </tp>
      <tp t="e">
        <v>#N/A</v>
        <stp/>
        <stp>BDH|909210861728510779</stp>
        <tr r="K25" s="13"/>
      </tp>
      <tp t="e">
        <v>#N/A</v>
        <stp/>
        <stp>BDH|997899066645984041</stp>
        <tr r="R14" s="27"/>
        <tr r="R32" s="25"/>
      </tp>
      <tp t="e">
        <v>#N/A</v>
        <stp/>
        <stp>BDH|782730794157770230</stp>
        <tr r="M63" s="13"/>
        <tr r="K49" s="11"/>
        <tr r="K60" s="10"/>
        <tr r="K18" s="7"/>
      </tp>
      <tp t="e">
        <v>#N/A</v>
        <stp/>
        <stp>BDH|947960462756195293</stp>
        <tr r="Z42" s="26"/>
      </tp>
      <tp t="e">
        <v>#N/A</v>
        <stp/>
        <stp>BDH|461834707622627137</stp>
        <tr r="D29" s="21"/>
      </tp>
      <tp t="e">
        <v>#N/A</v>
        <stp/>
        <stp>BDH|459343660828539631</stp>
        <tr r="R107" s="18"/>
      </tp>
      <tp t="e">
        <v>#N/A</v>
        <stp/>
        <stp>BDH|686425940552752941</stp>
        <tr r="X36" s="12"/>
      </tp>
      <tp t="e">
        <v>#N/A</v>
        <stp/>
        <stp>BDH|755924901195482779</stp>
        <tr r="T51" s="17"/>
      </tp>
      <tp t="e">
        <v>#N/A</v>
        <stp/>
        <stp>BDH|351506185840592645</stp>
        <tr r="N21" s="6"/>
      </tp>
      <tp t="e">
        <v>#N/A</v>
        <stp/>
        <stp>BDH|375593426759212595</stp>
        <tr r="Q17" s="22"/>
      </tp>
      <tp t="e">
        <v>#N/A</v>
        <stp/>
        <stp>BDH|512445843783724826</stp>
        <tr r="W63" s="18"/>
      </tp>
      <tp t="e">
        <v>#N/A</v>
        <stp/>
        <stp>BDH|300446372848573002</stp>
        <tr r="C47" s="17"/>
      </tp>
      <tp t="e">
        <v>#N/A</v>
        <stp/>
        <stp>BDH|438475297972022446</stp>
        <tr r="Y8" s="22"/>
      </tp>
      <tp t="e">
        <v>#N/A</v>
        <stp/>
        <stp>BDH|463038816782075810</stp>
        <tr r="H20" s="26"/>
      </tp>
      <tp t="e">
        <v>#N/A</v>
        <stp/>
        <stp>BDH|188508725008341478</stp>
        <tr r="U23" s="22"/>
      </tp>
      <tp t="e">
        <v>#N/A</v>
        <stp/>
        <stp>BDH|203071903998513334</stp>
        <tr r="D65" s="13"/>
      </tp>
      <tp t="e">
        <v>#N/A</v>
        <stp/>
        <stp>BDH|475450587761562635</stp>
        <tr r="K35" s="11"/>
        <tr r="K46" s="10"/>
      </tp>
      <tp t="e">
        <v>#N/A</v>
        <stp/>
        <stp>BDH|610476381282813584</stp>
        <tr r="Y9" s="13"/>
      </tp>
      <tp t="e">
        <v>#N/A</v>
        <stp/>
        <stp>BDH|752465383890213709</stp>
        <tr r="W50" s="22"/>
      </tp>
      <tp t="e">
        <v>#N/A</v>
        <stp/>
        <stp>BDH|638301866808104603</stp>
        <tr r="C25" s="7"/>
      </tp>
      <tp t="e">
        <v>#N/A</v>
        <stp/>
        <stp>BDH|759032986103185022</stp>
        <tr r="C126" s="18"/>
      </tp>
      <tp t="e">
        <v>#N/A</v>
        <stp/>
        <stp>BDH|714312841434207846</stp>
        <tr r="C65" s="18"/>
      </tp>
      <tp t="e">
        <v>#N/A</v>
        <stp/>
        <stp>BDH|365382990084279586</stp>
        <tr r="Q14" s="11"/>
      </tp>
      <tp t="e">
        <v>#N/A</v>
        <stp/>
        <stp>BDH|502772183162789640</stp>
        <tr r="I75" s="12"/>
      </tp>
      <tp t="e">
        <v>#N/A</v>
        <stp/>
        <stp>BDH|876734405874531891</stp>
        <tr r="Q21" s="9"/>
        <tr r="Q23" s="5"/>
      </tp>
      <tp t="e">
        <v>#N/A</v>
        <stp/>
        <stp>BDH|336978620417140775</stp>
        <tr r="AA38" s="22"/>
      </tp>
      <tp t="e">
        <v>#N/A</v>
        <stp/>
        <stp>BDH|159074907433412878</stp>
        <tr r="D12" s="22"/>
      </tp>
      <tp t="e">
        <v>#N/A</v>
        <stp/>
        <stp>BDH|811320868359646764</stp>
        <tr r="G19" s="22"/>
      </tp>
      <tp t="e">
        <v>#N/A</v>
        <stp/>
        <stp>BDH|847121001218157287</stp>
        <tr r="T22" s="20"/>
      </tp>
      <tp t="e">
        <v>#N/A</v>
        <stp/>
        <stp>BDH|722110289435453796</stp>
        <tr r="L35" s="13"/>
        <tr r="J28" s="10"/>
      </tp>
      <tp t="e">
        <v>#N/A</v>
        <stp/>
        <stp>BDH|326857053165294344</stp>
        <tr r="V97" s="12"/>
      </tp>
      <tp t="e">
        <v>#N/A</v>
        <stp/>
        <stp>BDH|289495519229771761</stp>
        <tr r="K13" s="30"/>
      </tp>
      <tp t="e">
        <v>#N/A</v>
        <stp/>
        <stp>BDH|420240597192344278</stp>
        <tr r="C36" s="22"/>
      </tp>
      <tp t="e">
        <v>#N/A</v>
        <stp/>
        <stp>BDH|122653385056043329</stp>
        <tr r="W38" s="22"/>
      </tp>
      <tp t="e">
        <v>#N/A</v>
        <stp/>
        <stp>BDH|332212597573008367</stp>
        <tr r="G164" s="18"/>
      </tp>
      <tp t="e">
        <v>#N/A</v>
        <stp/>
        <stp>BDH|742439300747728808</stp>
        <tr r="P121" s="18"/>
      </tp>
      <tp t="e">
        <v>#N/A</v>
        <stp/>
        <stp>BDH|348823981729666250</stp>
        <tr r="Q13" s="5"/>
      </tp>
      <tp t="e">
        <v>#N/A</v>
        <stp/>
        <stp>BDH|890194152788834672</stp>
        <tr r="O26" s="7"/>
      </tp>
      <tp t="e">
        <v>#N/A</v>
        <stp/>
        <stp>BDH|238945898762301819</stp>
        <tr r="G42" s="11"/>
        <tr r="G53" s="10"/>
        <tr r="G8" s="7"/>
        <tr r="I11" s="3"/>
      </tp>
      <tp t="e">
        <v>#N/A</v>
        <stp/>
        <stp>BDH|300427969680322873</stp>
        <tr r="Y57" s="12"/>
      </tp>
      <tp t="e">
        <v>#N/A</v>
        <stp/>
        <stp>BDH|816176683666276520</stp>
        <tr r="E9" s="26"/>
      </tp>
      <tp t="e">
        <v>#N/A</v>
        <stp/>
        <stp>BDH|380674489043387723</stp>
        <tr r="U26" s="25"/>
        <tr r="U56" s="21"/>
      </tp>
      <tp t="e">
        <v>#N/A</v>
        <stp/>
        <stp>BDH|341966338548450857</stp>
        <tr r="D68" s="12"/>
      </tp>
      <tp t="e">
        <v>#N/A</v>
        <stp/>
        <stp>BDH|319666087762681692</stp>
        <tr r="T86" s="12"/>
      </tp>
      <tp t="e">
        <v>#N/A</v>
        <stp/>
        <stp>BDH|383997340886073173</stp>
        <tr r="X36" s="21"/>
        <tr r="X24" s="3"/>
      </tp>
      <tp t="e">
        <v>#N/A</v>
        <stp/>
        <stp>BDH|605055689713226166</stp>
        <tr r="X8" s="25"/>
        <tr r="U10" s="5"/>
        <tr r="V9" s="2"/>
      </tp>
      <tp t="e">
        <v>#N/A</v>
        <stp/>
        <stp>BDH|313004827741218987</stp>
        <tr r="M39" s="13"/>
        <tr r="K32" s="10"/>
      </tp>
      <tp t="e">
        <v>#N/A</v>
        <stp/>
        <stp>BDH|354521739564699813</stp>
        <tr r="E66" s="24"/>
      </tp>
      <tp t="e">
        <v>#N/A</v>
        <stp/>
        <stp>BDH|628878244141245787</stp>
        <tr r="N124" s="18"/>
      </tp>
      <tp t="e">
        <v>#N/A</v>
        <stp/>
        <stp>BDH|233295392802654305</stp>
        <tr r="C13" s="13"/>
      </tp>
      <tp t="e">
        <v>#N/A</v>
        <stp/>
        <stp>BDH|580513470009390182</stp>
        <tr r="U13" s="6"/>
      </tp>
      <tp t="e">
        <v>#N/A</v>
        <stp/>
        <stp>BDH|442824519414271724</stp>
        <tr r="O21" s="5"/>
      </tp>
      <tp t="e">
        <v>#N/A</v>
        <stp/>
        <stp>BDH|252781147279365068</stp>
        <tr r="K51" s="17"/>
      </tp>
      <tp t="e">
        <v>#N/A</v>
        <stp/>
        <stp>BDH|989368684985370406</stp>
        <tr r="S47" s="6"/>
      </tp>
      <tp t="e">
        <v>#N/A</v>
        <stp/>
        <stp>BDH|514734499311795501</stp>
        <tr r="U147" s="18"/>
      </tp>
      <tp t="e">
        <v>#N/A</v>
        <stp/>
        <stp>BDH|520497927689168529</stp>
        <tr r="P59" s="17"/>
      </tp>
      <tp t="e">
        <v>#N/A</v>
        <stp/>
        <stp>BDH|367700225277622881</stp>
        <tr r="W78" s="18"/>
      </tp>
      <tp t="e">
        <v>#N/A</v>
        <stp/>
        <stp>BDH|259787444781603800</stp>
        <tr r="F40" s="29"/>
        <tr r="F17" s="29"/>
      </tp>
      <tp t="e">
        <v>#N/A</v>
        <stp/>
        <stp>BDH|773354621968975337</stp>
        <tr r="R39" s="26"/>
      </tp>
      <tp t="e">
        <v>#N/A</v>
        <stp/>
        <stp>BDH|326528321535993804</stp>
        <tr r="Y61" s="11"/>
      </tp>
      <tp t="e">
        <v>#N/A</v>
        <stp/>
        <stp>BDH|732516395391970730</stp>
        <tr r="P39" s="21"/>
      </tp>
      <tp t="e">
        <v>#N/A</v>
        <stp/>
        <stp>BDH|392121080820849334</stp>
        <tr r="I17" s="28"/>
        <tr r="I14" s="17"/>
      </tp>
      <tp t="e">
        <v>#N/A</v>
        <stp/>
        <stp>BDH|813573824414706966</stp>
        <tr r="Y25" s="13"/>
      </tp>
      <tp t="e">
        <v>#N/A</v>
        <stp/>
        <stp>BDH|679429998032635514</stp>
        <tr r="S15" s="25"/>
      </tp>
      <tp t="e">
        <v>#N/A</v>
        <stp/>
        <stp>BDH|128485115176185967</stp>
        <tr r="AA137" s="18"/>
      </tp>
      <tp t="e">
        <v>#N/A</v>
        <stp/>
        <stp>BDH|866208696316064755</stp>
        <tr r="P50" s="13"/>
      </tp>
      <tp t="e">
        <v>#N/A</v>
        <stp/>
        <stp>BDH|422193238541984973</stp>
        <tr r="E21" s="22"/>
      </tp>
      <tp t="e">
        <v>#N/A</v>
        <stp/>
        <stp>BDH|160660968208397272</stp>
        <tr r="P86" s="18"/>
      </tp>
      <tp t="e">
        <v>#N/A</v>
        <stp/>
        <stp>BDH|723075908278618259</stp>
        <tr r="T55" s="24"/>
      </tp>
      <tp t="e">
        <v>#N/A</v>
        <stp/>
        <stp>BDH|339824924141892169</stp>
        <tr r="Q25" s="21"/>
      </tp>
      <tp t="e">
        <v>#N/A</v>
        <stp/>
        <stp>BDH|290876177481620406</stp>
        <tr r="W8" s="14"/>
      </tp>
      <tp t="e">
        <v>#N/A</v>
        <stp/>
        <stp>BDH|886199399427973549</stp>
        <tr r="N61" s="13"/>
      </tp>
      <tp t="e">
        <v>#N/A</v>
        <stp/>
        <stp>BDH|335252585578071868</stp>
        <tr r="I13" s="10"/>
      </tp>
      <tp t="e">
        <v>#N/A</v>
        <stp/>
        <stp>BDH|234715704664457967</stp>
        <tr r="Z29" s="24"/>
      </tp>
      <tp t="e">
        <v>#N/A</v>
        <stp/>
        <stp>BDH|121128822981715830</stp>
        <tr r="O24" s="17"/>
      </tp>
      <tp t="e">
        <v>#N/A</v>
        <stp/>
        <stp>BDH|498825287042236856</stp>
        <tr r="G7" s="20"/>
        <tr r="G113" s="18"/>
      </tp>
      <tp t="e">
        <v>#N/A</v>
        <stp/>
        <stp>BDH|509558698882649488</stp>
        <tr r="O26" s="24"/>
      </tp>
      <tp t="e">
        <v>#N/A</v>
        <stp/>
        <stp>BDH|960161162509836431</stp>
        <tr r="J42" s="25"/>
      </tp>
      <tp t="e">
        <v>#N/A</v>
        <stp/>
        <stp>BDH|698064141197615919</stp>
        <tr r="K34" s="21"/>
      </tp>
      <tp t="e">
        <v>#N/A</v>
        <stp/>
        <stp>BDH|966856532264121594</stp>
        <tr r="N17" s="28"/>
        <tr r="N14" s="17"/>
      </tp>
      <tp t="e">
        <v>#N/A</v>
        <stp/>
        <stp>BDH|475901856062743429</stp>
        <tr r="F13" s="8"/>
      </tp>
      <tp t="e">
        <v>#N/A</v>
        <stp/>
        <stp>BDH|428572914816901890</stp>
        <tr r="R26" s="7"/>
      </tp>
      <tp t="e">
        <v>#N/A</v>
        <stp/>
        <stp>BDH|863711289735772008</stp>
        <tr r="D33" s="5"/>
      </tp>
      <tp t="e">
        <v>#N/A</v>
        <stp/>
        <stp>BDH|246643370243267833</stp>
        <tr r="Q15" s="18"/>
      </tp>
      <tp t="e">
        <v>#N/A</v>
        <stp/>
        <stp>BDH|186293278618483734</stp>
        <tr r="S151" s="18"/>
      </tp>
      <tp t="e">
        <v>#N/A</v>
        <stp/>
        <stp>BDH|567903332606677663</stp>
        <tr r="Z90" s="17"/>
      </tp>
      <tp t="e">
        <v>#N/A</v>
        <stp/>
        <stp>BDH|556141326348641167</stp>
        <tr r="W33" s="5"/>
      </tp>
      <tp t="e">
        <v>#N/A</v>
        <stp/>
        <stp>BDH|759204366428995686</stp>
        <tr r="I38" s="22"/>
      </tp>
      <tp t="e">
        <v>#N/A</v>
        <stp/>
        <stp>BDH|230411262939854197</stp>
        <tr r="P45" s="17"/>
      </tp>
      <tp t="e">
        <v>#N/A</v>
        <stp/>
        <stp>BDH|299894215703712097</stp>
        <tr r="C14" s="12"/>
      </tp>
      <tp t="e">
        <v>#N/A</v>
        <stp/>
        <stp>BDH|400558804147210875</stp>
        <tr r="X67" s="13"/>
      </tp>
      <tp t="e">
        <v>#N/A</v>
        <stp/>
        <stp>BDH|654210817888843189</stp>
        <tr r="N8" s="2"/>
      </tp>
      <tp t="e">
        <v>#N/A</v>
        <stp/>
        <stp>BDH|950898817064455723</stp>
        <tr r="L10" s="14"/>
      </tp>
      <tp t="e">
        <v>#N/A</v>
        <stp/>
        <stp>BDH|390773090183082763</stp>
        <tr r="C12" s="26"/>
      </tp>
      <tp t="e">
        <v>#N/A</v>
        <stp/>
        <stp>BDH|569069614699708231</stp>
        <tr r="E27" s="7"/>
      </tp>
      <tp t="e">
        <v>#N/A</v>
        <stp/>
        <stp>BDH|587798399241789514</stp>
        <tr r="N65" s="21"/>
        <tr r="K31" s="6"/>
      </tp>
      <tp t="e">
        <v>#N/A</v>
        <stp/>
        <stp>BDH|869931907607352</stp>
        <tr r="F46" s="21"/>
      </tp>
      <tp t="e">
        <v>#N/A</v>
        <stp/>
        <stp>BDH|324168668975419</stp>
        <tr r="I7" s="28"/>
      </tp>
      <tp t="e">
        <v>#N/A</v>
        <stp/>
        <stp>BDH|520803902091373</stp>
        <tr r="AA11" s="13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topLeftCell="F1" workbookViewId="0"/>
  </sheetViews>
  <sheetFormatPr defaultRowHeight="15" x14ac:dyDescent="0.25"/>
  <cols>
    <col min="1" max="1" width="23.57031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8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31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</row>
    <row r="6" spans="1:27" x14ac:dyDescent="0.25">
      <c r="A6" s="6" t="s">
        <v>60</v>
      </c>
      <c r="B6" s="6" t="s">
        <v>61</v>
      </c>
      <c r="C6" s="19">
        <f>_xll.BDH("SRPT US Equity","HISTORICAL_MARKET_CAP","FQ2 2019","FQ2 2019","Currency=USD","Period=FQ","BEST_FPERIOD_OVERRIDE=FQ","FILING_STATUS=MR","SCALING_FORMAT=MLN","Sort=A","Dates=H","DateFormat=P","Fill=—","Direction=H","UseDPDF=Y")</f>
        <v>11294.1042</v>
      </c>
      <c r="D6" s="19">
        <f>_xll.BDH("SRPT US Equity","HISTORICAL_MARKET_CAP","FQ3 2019","FQ3 2019","Currency=USD","Period=FQ","BEST_FPERIOD_OVERRIDE=FQ","FILING_STATUS=MR","SCALING_FORMAT=MLN","Sort=A","Dates=H","DateFormat=P","Fill=—","Direction=H","UseDPDF=Y")</f>
        <v>5611.7042000000001</v>
      </c>
      <c r="E6" s="19">
        <f>_xll.BDH("SRPT US Equity","HISTORICAL_MARKET_CAP","FQ4 2019","FQ4 2019","Currency=USD","Period=FQ","BEST_FPERIOD_OVERRIDE=FQ","FILING_STATUS=MR","SCALING_FORMAT=MLN","Sort=A","Dates=H","DateFormat=P","Fill=—","Direction=H","UseDPDF=Y")</f>
        <v>9701.8546999999999</v>
      </c>
      <c r="F6" s="19">
        <f>_xll.BDH("SRPT US Equity","HISTORICAL_MARKET_CAP","FQ1 2020","FQ1 2020","Currency=USD","Period=FQ","BEST_FPERIOD_OVERRIDE=FQ","FILING_STATUS=MR","SCALING_FORMAT=MLN","Sort=A","Dates=H","DateFormat=P","Fill=—","Direction=H","UseDPDF=Y")</f>
        <v>7625.8310000000001</v>
      </c>
      <c r="G6" s="19">
        <f>_xll.BDH("SRPT US Equity","HISTORICAL_MARKET_CAP","FQ2 2020","FQ2 2020","Currency=USD","Period=FQ","BEST_FPERIOD_OVERRIDE=FQ","FILING_STATUS=MR","SCALING_FORMAT=MLN","Sort=A","Dates=H","DateFormat=P","Fill=—","Direction=H","UseDPDF=Y")</f>
        <v>12575.826300000001</v>
      </c>
      <c r="H6" s="19">
        <f>_xll.BDH("SRPT US Equity","HISTORICAL_MARKET_CAP","FQ3 2020","FQ3 2020","Currency=USD","Period=FQ","BEST_FPERIOD_OVERRIDE=FQ","FILING_STATUS=MR","SCALING_FORMAT=MLN","Sort=A","Dates=H","DateFormat=P","Fill=—","Direction=H","UseDPDF=Y")</f>
        <v>11064.446</v>
      </c>
      <c r="I6" s="19">
        <f>_xll.BDH("SRPT US Equity","HISTORICAL_MARKET_CAP","FQ4 2020","FQ4 2020","Currency=USD","Period=FQ","BEST_FPERIOD_OVERRIDE=FQ","FILING_STATUS=MR","SCALING_FORMAT=MLN","Sort=A","Dates=H","DateFormat=P","Fill=—","Direction=H","UseDPDF=Y")</f>
        <v>13532.5154</v>
      </c>
      <c r="J6" s="19">
        <f>_xll.BDH("SRPT US Equity","HISTORICAL_MARKET_CAP","FQ1 2021","FQ1 2021","Currency=USD","Period=FQ","BEST_FPERIOD_OVERRIDE=FQ","FILING_STATUS=MR","SCALING_FORMAT=MLN","Sort=A","Dates=H","DateFormat=P","Fill=—","Direction=H","UseDPDF=Y")</f>
        <v>5943.6265999999996</v>
      </c>
      <c r="K6" s="19">
        <f>_xll.BDH("SRPT US Equity","HISTORICAL_MARKET_CAP","FQ2 2021","FQ2 2021","Currency=USD","Period=FQ","BEST_FPERIOD_OVERRIDE=FQ","FILING_STATUS=MR","SCALING_FORMAT=MLN","Sort=A","Dates=H","DateFormat=P","Fill=—","Direction=H","UseDPDF=Y")</f>
        <v>6206.0162</v>
      </c>
      <c r="L6" s="19">
        <f>_xll.BDH("SRPT US Equity","HISTORICAL_MARKET_CAP","FQ3 2021","FQ3 2021","Currency=USD","Period=FQ","BEST_FPERIOD_OVERRIDE=FQ","FILING_STATUS=MR","SCALING_FORMAT=MLN","Sort=A","Dates=H","DateFormat=P","Fill=—","Direction=H","UseDPDF=Y")</f>
        <v>7394.5645999999997</v>
      </c>
      <c r="M6" s="19">
        <f>_xll.BDH("SRPT US Equity","HISTORICAL_MARKET_CAP","FQ4 2021","FQ4 2021","Currency=USD","Period=FQ","BEST_FPERIOD_OVERRIDE=FQ","FILING_STATUS=MR","SCALING_FORMAT=MLN","Sort=A","Dates=H","DateFormat=P","Fill=—","Direction=H","UseDPDF=Y")</f>
        <v>7845.7839999999997</v>
      </c>
      <c r="N6" s="19">
        <f>_xll.BDH("SRPT US Equity","HISTORICAL_MARKET_CAP","FQ1 2022","FQ1 2022","Currency=USD","Period=FQ","BEST_FPERIOD_OVERRIDE=FQ","FILING_STATUS=MR","SCALING_FORMAT=MLN","Sort=A","Dates=H","DateFormat=P","Fill=—","Direction=H","UseDPDF=Y")</f>
        <v>6835.1567999999997</v>
      </c>
      <c r="O6" s="19">
        <f>_xll.BDH("SRPT US Equity","HISTORICAL_MARKET_CAP","FQ2 2022","FQ2 2022","Currency=USD","Period=FQ","BEST_FPERIOD_OVERRIDE=FQ","FILING_STATUS=MR","SCALING_FORMAT=MLN","Sort=A","Dates=H","DateFormat=P","Fill=—","Direction=H","UseDPDF=Y")</f>
        <v>6561.6459999999997</v>
      </c>
      <c r="P6" s="19">
        <f>_xll.BDH("SRPT US Equity","HISTORICAL_MARKET_CAP","FQ3 2022","FQ3 2022","Currency=USD","Period=FQ","BEST_FPERIOD_OVERRIDE=FQ","FILING_STATUS=MR","SCALING_FORMAT=MLN","Sort=A","Dates=H","DateFormat=P","Fill=—","Direction=H","UseDPDF=Y")</f>
        <v>9701.6756000000005</v>
      </c>
      <c r="Q6" s="19">
        <f>_xll.BDH("SRPT US Equity","HISTORICAL_MARKET_CAP","FQ4 2022","FQ4 2022","Currency=USD","Period=FQ","BEST_FPERIOD_OVERRIDE=FQ","FILING_STATUS=MR","SCALING_FORMAT=MLN","Sort=A","Dates=H","DateFormat=P","Fill=—","Direction=H","UseDPDF=Y")</f>
        <v>11396.5762</v>
      </c>
      <c r="R6" s="19">
        <f>_xll.BDH("SRPT US Equity","HISTORICAL_MARKET_CAP","FQ1 2023","FQ1 2023","Currency=USD","Period=FQ","BEST_FPERIOD_OVERRIDE=FQ","FILING_STATUS=MR","SCALING_FORMAT=MLN","Sort=A","Dates=H","DateFormat=P","Fill=—","Direction=H","UseDPDF=Y")</f>
        <v>12837.504800000001</v>
      </c>
      <c r="S6" s="19">
        <f>_xll.BDH("SRPT US Equity","HISTORICAL_MARKET_CAP","FQ2 2023","FQ2 2023","Currency=USD","Period=FQ","BEST_FPERIOD_OVERRIDE=FQ","FILING_STATUS=MR","SCALING_FORMAT=MLN","Sort=A","Dates=H","DateFormat=P","Fill=—","Direction=H","UseDPDF=Y")</f>
        <v>10681.6859</v>
      </c>
      <c r="T6" s="19">
        <f>_xll.BDH("SRPT US Equity","HISTORICAL_MARKET_CAP","FQ3 2023","FQ3 2023","Currency=USD","Period=FQ","BEST_FPERIOD_OVERRIDE=FQ","FILING_STATUS=MR","SCALING_FORMAT=MLN","Sort=A","Dates=H","DateFormat=P","Fill=—","Direction=H","UseDPDF=Y")</f>
        <v>11338.5982</v>
      </c>
      <c r="U6" s="19">
        <f>_xll.BDH("SRPT US Equity","HISTORICAL_MARKET_CAP","FQ4 2023","FQ4 2023","Currency=USD","Period=FQ","BEST_FPERIOD_OVERRIDE=FQ","FILING_STATUS=MR","SCALING_FORMAT=MLN","Sort=A","Dates=H","DateFormat=P","Fill=—","Direction=H","UseDPDF=Y")</f>
        <v>9038.5604999999996</v>
      </c>
      <c r="V6" s="19">
        <f>_xll.BDH("SRPT US Equity","HISTORICAL_MARKET_CAP","FQ1 2024","FQ1 2024","Currency=USD","Period=FQ","BEST_FPERIOD_OVERRIDE=FQ","FILING_STATUS=MR","SCALING_FORMAT=MLN","Sort=A","Dates=H","DateFormat=P","Fill=—","Direction=H","UseDPDF=Y")</f>
        <v>12232.6957</v>
      </c>
      <c r="W6" s="19">
        <f>_xll.BDH("SRPT US Equity","HISTORICAL_MARKET_CAP","FQ2 2024","FQ2 2024","Currency=USD","Period=FQ","BEST_FPERIOD_OVERRIDE=FQ","FILING_STATUS=MR","SCALING_FORMAT=MLN","Sort=A","Dates=H","DateFormat=P","Fill=—","Direction=H","UseDPDF=Y")</f>
        <v>15054.650799999999</v>
      </c>
      <c r="X6" s="19">
        <f>_xll.BDH("SRPT US Equity","HISTORICAL_MARKET_CAP","FQ3 2024","FQ3 2024","Currency=USD","Period=FQ","BEST_FPERIOD_OVERRIDE=FQ","FILING_STATUS=MR","SCALING_FORMAT=MLN","Sort=A","Dates=H","DateFormat=P","Fill=—","Direction=H","UseDPDF=Y")</f>
        <v>11926.1214</v>
      </c>
      <c r="Y6" s="19">
        <f>_xll.BDH("SRPT US Equity","HISTORICAL_MARKET_CAP","FQ4 2024","FQ4 2024","Currency=USD","Period=FQ","BEST_FPERIOD_OVERRIDE=FQ","FILING_STATUS=MR","SCALING_FORMAT=MLN","Sort=A","Dates=H","DateFormat=P","Fill=—","Direction=H","UseDPDF=Y")</f>
        <v>11782.131299999999</v>
      </c>
      <c r="Z6" s="19"/>
      <c r="AA6" s="19"/>
    </row>
    <row r="7" spans="1:27" x14ac:dyDescent="0.25">
      <c r="A7" s="10" t="s">
        <v>62</v>
      </c>
      <c r="B7" s="10" t="s">
        <v>63</v>
      </c>
      <c r="C7" s="13">
        <f>_xll.BDH("SRPT US Equity","CASH_AND_MARKETABLE_SECURITIES","FQ2 2019","FQ2 2019","Currency=USD","Period=FQ","BEST_FPERIOD_OVERRIDE=FQ","FILING_STATUS=MR","SCALING_FORMAT=MLN","Sort=A","Dates=H","DateFormat=P","Fill=—","Direction=H","UseDPDF=Y")</f>
        <v>1103.069</v>
      </c>
      <c r="D7" s="13">
        <f>_xll.BDH("SRPT US Equity","CASH_AND_MARKETABLE_SECURITIES","FQ3 2019","FQ3 2019","Currency=USD","Period=FQ","BEST_FPERIOD_OVERRIDE=FQ","FILING_STATUS=MR","SCALING_FORMAT=MLN","Sort=A","Dates=H","DateFormat=P","Fill=—","Direction=H","UseDPDF=Y")</f>
        <v>1048.8920000000001</v>
      </c>
      <c r="E7" s="13">
        <f>_xll.BDH("SRPT US Equity","CASH_AND_MARKETABLE_SECURITIES","FQ4 2019","FQ4 2019","Currency=USD","Period=FQ","BEST_FPERIOD_OVERRIDE=FQ","FILING_STATUS=MR","SCALING_FORMAT=MLN","Sort=A","Dates=H","DateFormat=P","Fill=—","Direction=H","UseDPDF=Y")</f>
        <v>1124.748</v>
      </c>
      <c r="F7" s="13">
        <f>_xll.BDH("SRPT US Equity","CASH_AND_MARKETABLE_SECURITIES","FQ1 2020","FQ1 2020","Currency=USD","Period=FQ","BEST_FPERIOD_OVERRIDE=FQ","FILING_STATUS=MR","SCALING_FORMAT=MLN","Sort=A","Dates=H","DateFormat=P","Fill=—","Direction=H","UseDPDF=Y")</f>
        <v>2180.7179999999998</v>
      </c>
      <c r="G7" s="13">
        <f>_xll.BDH("SRPT US Equity","CASH_AND_MARKETABLE_SECURITIES","FQ2 2020","FQ2 2020","Currency=USD","Period=FQ","BEST_FPERIOD_OVERRIDE=FQ","FILING_STATUS=MR","SCALING_FORMAT=MLN","Sort=A","Dates=H","DateFormat=P","Fill=—","Direction=H","UseDPDF=Y")</f>
        <v>2070.8739999999998</v>
      </c>
      <c r="H7" s="13">
        <f>_xll.BDH("SRPT US Equity","CASH_AND_MARKETABLE_SECURITIES","FQ3 2020","FQ3 2020","Currency=USD","Period=FQ","BEST_FPERIOD_OVERRIDE=FQ","FILING_STATUS=MR","SCALING_FORMAT=MLN","Sort=A","Dates=H","DateFormat=P","Fill=—","Direction=H","UseDPDF=Y")</f>
        <v>1825.67</v>
      </c>
      <c r="I7" s="13">
        <f>_xll.BDH("SRPT US Equity","CASH_AND_MARKETABLE_SECURITIES","FQ4 2020","FQ4 2020","Currency=USD","Period=FQ","BEST_FPERIOD_OVERRIDE=FQ","FILING_STATUS=MR","SCALING_FORMAT=MLN","Sort=A","Dates=H","DateFormat=P","Fill=—","Direction=H","UseDPDF=Y")</f>
        <v>1947.886</v>
      </c>
      <c r="J7" s="13">
        <f>_xll.BDH("SRPT US Equity","CASH_AND_MARKETABLE_SECURITIES","FQ1 2021","FQ1 2021","Currency=USD","Period=FQ","BEST_FPERIOD_OVERRIDE=FQ","FILING_STATUS=MR","SCALING_FORMAT=MLN","Sort=A","Dates=H","DateFormat=P","Fill=—","Direction=H","UseDPDF=Y")</f>
        <v>1747.1479999999999</v>
      </c>
      <c r="K7" s="13">
        <f>_xll.BDH("SRPT US Equity","CASH_AND_MARKETABLE_SECURITIES","FQ2 2021","FQ2 2021","Currency=USD","Period=FQ","BEST_FPERIOD_OVERRIDE=FQ","FILING_STATUS=MR","SCALING_FORMAT=MLN","Sort=A","Dates=H","DateFormat=P","Fill=—","Direction=H","UseDPDF=Y")</f>
        <v>1736.59</v>
      </c>
      <c r="L7" s="13">
        <f>_xll.BDH("SRPT US Equity","CASH_AND_MARKETABLE_SECURITIES","FQ3 2021","FQ3 2021","Currency=USD","Period=FQ","BEST_FPERIOD_OVERRIDE=FQ","FILING_STATUS=MR","SCALING_FORMAT=MLN","Sort=A","Dates=H","DateFormat=P","Fill=—","Direction=H","UseDPDF=Y")</f>
        <v>1608.4280000000001</v>
      </c>
      <c r="M7" s="13">
        <f>_xll.BDH("SRPT US Equity","CASH_AND_MARKETABLE_SECURITIES","FQ4 2021","FQ4 2021","Currency=USD","Period=FQ","BEST_FPERIOD_OVERRIDE=FQ","FILING_STATUS=MR","SCALING_FORMAT=MLN","Sort=A","Dates=H","DateFormat=P","Fill=—","Direction=H","UseDPDF=Y")</f>
        <v>2125.7730000000001</v>
      </c>
      <c r="N7" s="13">
        <f>_xll.BDH("SRPT US Equity","CASH_AND_MARKETABLE_SECURITIES","FQ1 2022","FQ1 2022","Currency=USD","Period=FQ","BEST_FPERIOD_OVERRIDE=FQ","FILING_STATUS=MR","SCALING_FORMAT=MLN","Sort=A","Dates=H","DateFormat=P","Fill=—","Direction=H","UseDPDF=Y")</f>
        <v>2023.079</v>
      </c>
      <c r="O7" s="13">
        <f>_xll.BDH("SRPT US Equity","CASH_AND_MARKETABLE_SECURITIES","FQ2 2022","FQ2 2022","Currency=USD","Period=FQ","BEST_FPERIOD_OVERRIDE=FQ","FILING_STATUS=MR","SCALING_FORMAT=MLN","Sort=A","Dates=H","DateFormat=P","Fill=—","Direction=H","UseDPDF=Y")</f>
        <v>1946.518</v>
      </c>
      <c r="P7" s="13">
        <f>_xll.BDH("SRPT US Equity","CASH_AND_MARKETABLE_SECURITIES","FQ3 2022","FQ3 2022","Currency=USD","Period=FQ","BEST_FPERIOD_OVERRIDE=FQ","FILING_STATUS=MR","SCALING_FORMAT=MLN","Sort=A","Dates=H","DateFormat=P","Fill=—","Direction=H","UseDPDF=Y")</f>
        <v>2091.5079999999998</v>
      </c>
      <c r="Q7" s="13">
        <f>_xll.BDH("SRPT US Equity","CASH_AND_MARKETABLE_SECURITIES","FQ4 2022","FQ4 2022","Currency=USD","Period=FQ","BEST_FPERIOD_OVERRIDE=FQ","FILING_STATUS=MR","SCALING_FORMAT=MLN","Sort=A","Dates=H","DateFormat=P","Fill=—","Direction=H","UseDPDF=Y")</f>
        <v>2008.3979999999999</v>
      </c>
      <c r="R7" s="13">
        <f>_xll.BDH("SRPT US Equity","CASH_AND_MARKETABLE_SECURITIES","FQ1 2023","FQ1 2023","Currency=USD","Period=FQ","BEST_FPERIOD_OVERRIDE=FQ","FILING_STATUS=MR","SCALING_FORMAT=MLN","Sort=A","Dates=H","DateFormat=P","Fill=—","Direction=H","UseDPDF=Y")</f>
        <v>1901.1210000000001</v>
      </c>
      <c r="S7" s="13">
        <f>_xll.BDH("SRPT US Equity","CASH_AND_MARKETABLE_SECURITIES","FQ2 2023","FQ2 2023","Currency=USD","Period=FQ","BEST_FPERIOD_OVERRIDE=FQ","FILING_STATUS=MR","SCALING_FORMAT=MLN","Sort=A","Dates=H","DateFormat=P","Fill=—","Direction=H","UseDPDF=Y")</f>
        <v>1879.739</v>
      </c>
      <c r="T7" s="13">
        <f>_xll.BDH("SRPT US Equity","CASH_AND_MARKETABLE_SECURITIES","FQ3 2023","FQ3 2023","Currency=USD","Period=FQ","BEST_FPERIOD_OVERRIDE=FQ","FILING_STATUS=MR","SCALING_FORMAT=MLN","Sort=A","Dates=H","DateFormat=P","Fill=—","Direction=H","UseDPDF=Y")</f>
        <v>1741.0419999999999</v>
      </c>
      <c r="U7" s="13">
        <f>_xll.BDH("SRPT US Equity","CASH_AND_MARKETABLE_SECURITIES","FQ4 2023","FQ4 2023","Currency=USD","Period=FQ","BEST_FPERIOD_OVERRIDE=FQ","FILING_STATUS=MR","SCALING_FORMAT=MLN","Sort=A","Dates=H","DateFormat=P","Fill=—","Direction=H","UseDPDF=Y")</f>
        <v>1682.777</v>
      </c>
      <c r="V7" s="13">
        <f>_xll.BDH("SRPT US Equity","CASH_AND_MARKETABLE_SECURITIES","FQ1 2024","FQ1 2024","Currency=USD","Period=FQ","BEST_FPERIOD_OVERRIDE=FQ","FILING_STATUS=MR","SCALING_FORMAT=MLN","Sort=A","Dates=H","DateFormat=P","Fill=—","Direction=H","UseDPDF=Y")</f>
        <v>1406.3219999999999</v>
      </c>
      <c r="W7" s="13">
        <f>_xll.BDH("SRPT US Equity","CASH_AND_MARKETABLE_SECURITIES","FQ2 2024","FQ2 2024","Currency=USD","Period=FQ","BEST_FPERIOD_OVERRIDE=FQ","FILING_STATUS=MR","SCALING_FORMAT=MLN","Sort=A","Dates=H","DateFormat=P","Fill=—","Direction=H","UseDPDF=Y")</f>
        <v>1476.0530000000001</v>
      </c>
      <c r="X7" s="13">
        <f>_xll.BDH("SRPT US Equity","CASH_AND_MARKETABLE_SECURITIES","FQ3 2024","FQ3 2024","Currency=USD","Period=FQ","BEST_FPERIOD_OVERRIDE=FQ","FILING_STATUS=MR","SCALING_FORMAT=MLN","Sort=A","Dates=H","DateFormat=P","Fill=—","Direction=H","UseDPDF=Y")</f>
        <v>1203.1120000000001</v>
      </c>
      <c r="Y7" s="13">
        <f>_xll.BDH("SRPT US Equity","CASH_AND_MARKETABLE_SECURITIES","FQ4 2024","FQ4 2024","Currency=USD","Period=FQ","BEST_FPERIOD_OVERRIDE=FQ","FILING_STATUS=MR","SCALING_FORMAT=MLN","Sort=A","Dates=H","DateFormat=P","Fill=—","Direction=H","UseDPDF=Y")</f>
        <v>1358.502</v>
      </c>
      <c r="Z7" s="13"/>
      <c r="AA7" s="13"/>
    </row>
    <row r="8" spans="1:27" x14ac:dyDescent="0.25">
      <c r="A8" s="10" t="s">
        <v>64</v>
      </c>
      <c r="B8" s="10" t="s">
        <v>65</v>
      </c>
      <c r="C8" s="13">
        <f>_xll.BDH("SRPT US Equity","PFD_EQTY_MINORTY_INTEREST","FQ2 2019","FQ2 2019","Currency=USD","Period=FQ","BEST_FPERIOD_OVERRIDE=FQ","FILING_STATUS=MR","SCALING_FORMAT=MLN","Sort=A","Dates=H","DateFormat=P","Fill=—","Direction=H","UseDPDF=Y")</f>
        <v>0</v>
      </c>
      <c r="D8" s="13">
        <f>_xll.BDH("SRPT US Equity","PFD_EQTY_MINORTY_INTEREST","FQ3 2019","FQ3 2019","Currency=USD","Period=FQ","BEST_FPERIOD_OVERRIDE=FQ","FILING_STATUS=MR","SCALING_FORMAT=MLN","Sort=A","Dates=H","DateFormat=P","Fill=—","Direction=H","UseDPDF=Y")</f>
        <v>0</v>
      </c>
      <c r="E8" s="13">
        <f>_xll.BDH("SRPT US Equity","PFD_EQTY_MINORTY_INTEREST","FQ4 2019","FQ4 2019","Currency=USD","Period=FQ","BEST_FPERIOD_OVERRIDE=FQ","FILING_STATUS=MR","SCALING_FORMAT=MLN","Sort=A","Dates=H","DateFormat=P","Fill=—","Direction=H","UseDPDF=Y")</f>
        <v>0</v>
      </c>
      <c r="F8" s="13">
        <f>_xll.BDH("SRPT US Equity","PFD_EQTY_MINORTY_INTEREST","FQ1 2020","FQ1 2020","Currency=USD","Period=FQ","BEST_FPERIOD_OVERRIDE=FQ","FILING_STATUS=MR","SCALING_FORMAT=MLN","Sort=A","Dates=H","DateFormat=P","Fill=—","Direction=H","UseDPDF=Y")</f>
        <v>0</v>
      </c>
      <c r="G8" s="13">
        <f>_xll.BDH("SRPT US Equity","PFD_EQTY_MINORTY_INTEREST","FQ2 2020","FQ2 2020","Currency=USD","Period=FQ","BEST_FPERIOD_OVERRIDE=FQ","FILING_STATUS=MR","SCALING_FORMAT=MLN","Sort=A","Dates=H","DateFormat=P","Fill=—","Direction=H","UseDPDF=Y")</f>
        <v>0</v>
      </c>
      <c r="H8" s="13">
        <f>_xll.BDH("SRPT US Equity","PFD_EQTY_MINORTY_INTEREST","FQ3 2020","FQ3 2020","Currency=USD","Period=FQ","BEST_FPERIOD_OVERRIDE=FQ","FILING_STATUS=MR","SCALING_FORMAT=MLN","Sort=A","Dates=H","DateFormat=P","Fill=—","Direction=H","UseDPDF=Y")</f>
        <v>0</v>
      </c>
      <c r="I8" s="13">
        <f>_xll.BDH("SRPT US Equity","PFD_EQTY_MINORTY_INTEREST","FQ4 2020","FQ4 2020","Currency=USD","Period=FQ","BEST_FPERIOD_OVERRIDE=FQ","FILING_STATUS=MR","SCALING_FORMAT=MLN","Sort=A","Dates=H","DateFormat=P","Fill=—","Direction=H","UseDPDF=Y")</f>
        <v>0</v>
      </c>
      <c r="J8" s="13">
        <f>_xll.BDH("SRPT US Equity","PFD_EQTY_MINORTY_INTEREST","FQ1 2021","FQ1 2021","Currency=USD","Period=FQ","BEST_FPERIOD_OVERRIDE=FQ","FILING_STATUS=MR","SCALING_FORMAT=MLN","Sort=A","Dates=H","DateFormat=P","Fill=—","Direction=H","UseDPDF=Y")</f>
        <v>0</v>
      </c>
      <c r="K8" s="13">
        <f>_xll.BDH("SRPT US Equity","PFD_EQTY_MINORTY_INTEREST","FQ2 2021","FQ2 2021","Currency=USD","Period=FQ","BEST_FPERIOD_OVERRIDE=FQ","FILING_STATUS=MR","SCALING_FORMAT=MLN","Sort=A","Dates=H","DateFormat=P","Fill=—","Direction=H","UseDPDF=Y")</f>
        <v>0</v>
      </c>
      <c r="L8" s="13">
        <f>_xll.BDH("SRPT US Equity","PFD_EQTY_MINORTY_INTEREST","FQ3 2021","FQ3 2021","Currency=USD","Period=FQ","BEST_FPERIOD_OVERRIDE=FQ","FILING_STATUS=MR","SCALING_FORMAT=MLN","Sort=A","Dates=H","DateFormat=P","Fill=—","Direction=H","UseDPDF=Y")</f>
        <v>0</v>
      </c>
      <c r="M8" s="13">
        <f>_xll.BDH("SRPT US Equity","PFD_EQTY_MINORTY_INTEREST","FQ4 2021","FQ4 2021","Currency=USD","Period=FQ","BEST_FPERIOD_OVERRIDE=FQ","FILING_STATUS=MR","SCALING_FORMAT=MLN","Sort=A","Dates=H","DateFormat=P","Fill=—","Direction=H","UseDPDF=Y")</f>
        <v>0</v>
      </c>
      <c r="N8" s="13">
        <f>_xll.BDH("SRPT US Equity","PFD_EQTY_MINORTY_INTEREST","FQ1 2022","FQ1 2022","Currency=USD","Period=FQ","BEST_FPERIOD_OVERRIDE=FQ","FILING_STATUS=MR","SCALING_FORMAT=MLN","Sort=A","Dates=H","DateFormat=P","Fill=—","Direction=H","UseDPDF=Y")</f>
        <v>0</v>
      </c>
      <c r="O8" s="13">
        <f>_xll.BDH("SRPT US Equity","PFD_EQTY_MINORTY_INTEREST","FQ2 2022","FQ2 2022","Currency=USD","Period=FQ","BEST_FPERIOD_OVERRIDE=FQ","FILING_STATUS=MR","SCALING_FORMAT=MLN","Sort=A","Dates=H","DateFormat=P","Fill=—","Direction=H","UseDPDF=Y")</f>
        <v>0</v>
      </c>
      <c r="P8" s="13">
        <f>_xll.BDH("SRPT US Equity","PFD_EQTY_MINORTY_INTEREST","FQ3 2022","FQ3 2022","Currency=USD","Period=FQ","BEST_FPERIOD_OVERRIDE=FQ","FILING_STATUS=MR","SCALING_FORMAT=MLN","Sort=A","Dates=H","DateFormat=P","Fill=—","Direction=H","UseDPDF=Y")</f>
        <v>0</v>
      </c>
      <c r="Q8" s="13">
        <f>_xll.BDH("SRPT US Equity","PFD_EQTY_MINORTY_INTEREST","FQ4 2022","FQ4 2022","Currency=USD","Period=FQ","BEST_FPERIOD_OVERRIDE=FQ","FILING_STATUS=MR","SCALING_FORMAT=MLN","Sort=A","Dates=H","DateFormat=P","Fill=—","Direction=H","UseDPDF=Y")</f>
        <v>0</v>
      </c>
      <c r="R8" s="13">
        <f>_xll.BDH("SRPT US Equity","PFD_EQTY_MINORTY_INTEREST","FQ1 2023","FQ1 2023","Currency=USD","Period=FQ","BEST_FPERIOD_OVERRIDE=FQ","FILING_STATUS=MR","SCALING_FORMAT=MLN","Sort=A","Dates=H","DateFormat=P","Fill=—","Direction=H","UseDPDF=Y")</f>
        <v>0</v>
      </c>
      <c r="S8" s="13">
        <f>_xll.BDH("SRPT US Equity","PFD_EQTY_MINORTY_INTEREST","FQ2 2023","FQ2 2023","Currency=USD","Period=FQ","BEST_FPERIOD_OVERRIDE=FQ","FILING_STATUS=MR","SCALING_FORMAT=MLN","Sort=A","Dates=H","DateFormat=P","Fill=—","Direction=H","UseDPDF=Y")</f>
        <v>0</v>
      </c>
      <c r="T8" s="13">
        <f>_xll.BDH("SRPT US Equity","PFD_EQTY_MINORTY_INTEREST","FQ3 2023","FQ3 2023","Currency=USD","Period=FQ","BEST_FPERIOD_OVERRIDE=FQ","FILING_STATUS=MR","SCALING_FORMAT=MLN","Sort=A","Dates=H","DateFormat=P","Fill=—","Direction=H","UseDPDF=Y")</f>
        <v>0</v>
      </c>
      <c r="U8" s="13">
        <f>_xll.BDH("SRPT US Equity","PFD_EQTY_MINORTY_INTEREST","FQ4 2023","FQ4 2023","Currency=USD","Period=FQ","BEST_FPERIOD_OVERRIDE=FQ","FILING_STATUS=MR","SCALING_FORMAT=MLN","Sort=A","Dates=H","DateFormat=P","Fill=—","Direction=H","UseDPDF=Y")</f>
        <v>0</v>
      </c>
      <c r="V8" s="13">
        <f>_xll.BDH("SRPT US Equity","PFD_EQTY_MINORTY_INTEREST","FQ1 2024","FQ1 2024","Currency=USD","Period=FQ","BEST_FPERIOD_OVERRIDE=FQ","FILING_STATUS=MR","SCALING_FORMAT=MLN","Sort=A","Dates=H","DateFormat=P","Fill=—","Direction=H","UseDPDF=Y")</f>
        <v>0</v>
      </c>
      <c r="W8" s="13">
        <f>_xll.BDH("SRPT US Equity","PFD_EQTY_MINORTY_INTEREST","FQ2 2024","FQ2 2024","Currency=USD","Period=FQ","BEST_FPERIOD_OVERRIDE=FQ","FILING_STATUS=MR","SCALING_FORMAT=MLN","Sort=A","Dates=H","DateFormat=P","Fill=—","Direction=H","UseDPDF=Y")</f>
        <v>0</v>
      </c>
      <c r="X8" s="13">
        <f>_xll.BDH("SRPT US Equity","PFD_EQTY_MINORTY_INTEREST","FQ3 2024","FQ3 2024","Currency=USD","Period=FQ","BEST_FPERIOD_OVERRIDE=FQ","FILING_STATUS=MR","SCALING_FORMAT=MLN","Sort=A","Dates=H","DateFormat=P","Fill=—","Direction=H","UseDPDF=Y")</f>
        <v>0</v>
      </c>
      <c r="Y8" s="13">
        <f>_xll.BDH("SRPT US Equity","PFD_EQTY_MINORTY_INTEREST","FQ4 2024","FQ4 2024","Currency=USD","Period=FQ","BEST_FPERIOD_OVERRIDE=FQ","FILING_STATUS=MR","SCALING_FORMAT=MLN","Sort=A","Dates=H","DateFormat=P","Fill=—","Direction=H","UseDPDF=Y")</f>
        <v>0</v>
      </c>
      <c r="Z8" s="13"/>
      <c r="AA8" s="13"/>
    </row>
    <row r="9" spans="1:27" x14ac:dyDescent="0.25">
      <c r="A9" s="10" t="s">
        <v>66</v>
      </c>
      <c r="B9" s="10" t="s">
        <v>67</v>
      </c>
      <c r="C9" s="13">
        <f>_xll.BDH("SRPT US Equity","SHORT_AND_LONG_TERM_DEBT","FQ2 2019","FQ2 2019","Currency=USD","Period=FQ","BEST_FPERIOD_OVERRIDE=FQ","FILING_STATUS=MR","SCALING_FORMAT=MLN","Sort=A","Dates=H","DateFormat=P","Fill=—","Direction=H","UseDPDF=Y")</f>
        <v>488.41</v>
      </c>
      <c r="D9" s="13">
        <f>_xll.BDH("SRPT US Equity","SHORT_AND_LONG_TERM_DEBT","FQ3 2019","FQ3 2019","Currency=USD","Period=FQ","BEST_FPERIOD_OVERRIDE=FQ","FILING_STATUS=MR","SCALING_FORMAT=MLN","Sort=A","Dates=H","DateFormat=P","Fill=—","Direction=H","UseDPDF=Y")</f>
        <v>493.75799999999998</v>
      </c>
      <c r="E9" s="13">
        <f>_xll.BDH("SRPT US Equity","SHORT_AND_LONG_TERM_DEBT","FQ4 2019","FQ4 2019","Currency=USD","Period=FQ","BEST_FPERIOD_OVERRIDE=FQ","FILING_STATUS=MR","SCALING_FORMAT=MLN","Sort=A","Dates=H","DateFormat=P","Fill=—","Direction=H","UseDPDF=Y")</f>
        <v>737.46600000000001</v>
      </c>
      <c r="F9" s="13">
        <f>_xll.BDH("SRPT US Equity","SHORT_AND_LONG_TERM_DEBT","FQ1 2020","FQ1 2020","Currency=USD","Period=FQ","BEST_FPERIOD_OVERRIDE=FQ","FILING_STATUS=MR","SCALING_FORMAT=MLN","Sort=A","Dates=H","DateFormat=P","Fill=—","Direction=H","UseDPDF=Y")</f>
        <v>753.21600000000001</v>
      </c>
      <c r="G9" s="13">
        <f>_xll.BDH("SRPT US Equity","SHORT_AND_LONG_TERM_DEBT","FQ2 2020","FQ2 2020","Currency=USD","Period=FQ","BEST_FPERIOD_OVERRIDE=FQ","FILING_STATUS=MR","SCALING_FORMAT=MLN","Sort=A","Dates=H","DateFormat=P","Fill=—","Direction=H","UseDPDF=Y")</f>
        <v>766.55700000000002</v>
      </c>
      <c r="H9" s="13">
        <f>_xll.BDH("SRPT US Equity","SHORT_AND_LONG_TERM_DEBT","FQ3 2020","FQ3 2020","Currency=USD","Period=FQ","BEST_FPERIOD_OVERRIDE=FQ","FILING_STATUS=MR","SCALING_FORMAT=MLN","Sort=A","Dates=H","DateFormat=P","Fill=—","Direction=H","UseDPDF=Y")</f>
        <v>768.69899999999996</v>
      </c>
      <c r="I9" s="13">
        <f>_xll.BDH("SRPT US Equity","SHORT_AND_LONG_TERM_DEBT","FQ4 2020","FQ4 2020","Currency=USD","Period=FQ","BEST_FPERIOD_OVERRIDE=FQ","FILING_STATUS=MR","SCALING_FORMAT=MLN","Sort=A","Dates=H","DateFormat=P","Fill=—","Direction=H","UseDPDF=Y")</f>
        <v>1093.79</v>
      </c>
      <c r="J9" s="13">
        <f>_xll.BDH("SRPT US Equity","SHORT_AND_LONG_TERM_DEBT","FQ1 2021","FQ1 2021","Currency=USD","Period=FQ","BEST_FPERIOD_OVERRIDE=FQ","FILING_STATUS=MR","SCALING_FORMAT=MLN","Sort=A","Dates=H","DateFormat=P","Fill=—","Direction=H","UseDPDF=Y")</f>
        <v>1151.7850000000001</v>
      </c>
      <c r="K9" s="13">
        <f>_xll.BDH("SRPT US Equity","SHORT_AND_LONG_TERM_DEBT","FQ2 2021","FQ2 2021","Currency=USD","Period=FQ","BEST_FPERIOD_OVERRIDE=FQ","FILING_STATUS=MR","SCALING_FORMAT=MLN","Sort=A","Dates=H","DateFormat=P","Fill=—","Direction=H","UseDPDF=Y")</f>
        <v>1158.27</v>
      </c>
      <c r="L9" s="13">
        <f>_xll.BDH("SRPT US Equity","SHORT_AND_LONG_TERM_DEBT","FQ3 2021","FQ3 2021","Currency=USD","Period=FQ","BEST_FPERIOD_OVERRIDE=FQ","FILING_STATUS=MR","SCALING_FORMAT=MLN","Sort=A","Dates=H","DateFormat=P","Fill=—","Direction=H","UseDPDF=Y")</f>
        <v>1158.3399999999999</v>
      </c>
      <c r="M9" s="13">
        <f>_xll.BDH("SRPT US Equity","SHORT_AND_LONG_TERM_DEBT","FQ4 2021","FQ4 2021","Currency=USD","Period=FQ","BEST_FPERIOD_OVERRIDE=FQ","FILING_STATUS=MR","SCALING_FORMAT=MLN","Sort=A","Dates=H","DateFormat=P","Fill=—","Direction=H","UseDPDF=Y")</f>
        <v>1153.4369999999999</v>
      </c>
      <c r="N9" s="13">
        <f>_xll.BDH("SRPT US Equity","SHORT_AND_LONG_TERM_DEBT","FQ1 2022","FQ1 2022","Currency=USD","Period=FQ","BEST_FPERIOD_OVERRIDE=FQ","FILING_STATUS=MR","SCALING_FORMAT=MLN","Sort=A","Dates=H","DateFormat=P","Fill=—","Direction=H","UseDPDF=Y")</f>
        <v>1137.4670000000001</v>
      </c>
      <c r="O9" s="13">
        <f>_xll.BDH("SRPT US Equity","SHORT_AND_LONG_TERM_DEBT","FQ2 2022","FQ2 2022","Currency=USD","Period=FQ","BEST_FPERIOD_OVERRIDE=FQ","FILING_STATUS=MR","SCALING_FORMAT=MLN","Sort=A","Dates=H","DateFormat=P","Fill=—","Direction=H","UseDPDF=Y")</f>
        <v>1140.241</v>
      </c>
      <c r="P9" s="13">
        <f>_xll.BDH("SRPT US Equity","SHORT_AND_LONG_TERM_DEBT","FQ3 2022","FQ3 2022","Currency=USD","Period=FQ","BEST_FPERIOD_OVERRIDE=FQ","FILING_STATUS=MR","SCALING_FORMAT=MLN","Sort=A","Dates=H","DateFormat=P","Fill=—","Direction=H","UseDPDF=Y")</f>
        <v>1577.999</v>
      </c>
      <c r="Q9" s="13">
        <f>_xll.BDH("SRPT US Equity","SHORT_AND_LONG_TERM_DEBT","FQ4 2022","FQ4 2022","Currency=USD","Period=FQ","BEST_FPERIOD_OVERRIDE=FQ","FILING_STATUS=MR","SCALING_FORMAT=MLN","Sort=A","Dates=H","DateFormat=P","Fill=—","Direction=H","UseDPDF=Y")</f>
        <v>1617.3589999999999</v>
      </c>
      <c r="R9" s="13">
        <f>_xll.BDH("SRPT US Equity","SHORT_AND_LONG_TERM_DEBT","FQ1 2023","FQ1 2023","Currency=USD","Period=FQ","BEST_FPERIOD_OVERRIDE=FQ","FILING_STATUS=MR","SCALING_FORMAT=MLN","Sort=A","Dates=H","DateFormat=P","Fill=—","Direction=H","UseDPDF=Y")</f>
        <v>1288.2149999999999</v>
      </c>
      <c r="S9" s="13">
        <f>_xll.BDH("SRPT US Equity","SHORT_AND_LONG_TERM_DEBT","FQ2 2023","FQ2 2023","Currency=USD","Period=FQ","BEST_FPERIOD_OVERRIDE=FQ","FILING_STATUS=MR","SCALING_FORMAT=MLN","Sort=A","Dates=H","DateFormat=P","Fill=—","Direction=H","UseDPDF=Y")</f>
        <v>1364.6869999999999</v>
      </c>
      <c r="T9" s="13">
        <f>_xll.BDH("SRPT US Equity","SHORT_AND_LONG_TERM_DEBT","FQ3 2023","FQ3 2023","Currency=USD","Period=FQ","BEST_FPERIOD_OVERRIDE=FQ","FILING_STATUS=MR","SCALING_FORMAT=MLN","Sort=A","Dates=H","DateFormat=P","Fill=—","Direction=H","UseDPDF=Y")</f>
        <v>1389.4580000000001</v>
      </c>
      <c r="U9" s="13">
        <f>_xll.BDH("SRPT US Equity","SHORT_AND_LONG_TERM_DEBT","FQ4 2023","FQ4 2023","Currency=USD","Period=FQ","BEST_FPERIOD_OVERRIDE=FQ","FILING_STATUS=MR","SCALING_FORMAT=MLN","Sort=A","Dates=H","DateFormat=P","Fill=—","Direction=H","UseDPDF=Y")</f>
        <v>1396.808</v>
      </c>
      <c r="V9" s="13">
        <f>_xll.BDH("SRPT US Equity","SHORT_AND_LONG_TERM_DEBT","FQ1 2024","FQ1 2024","Currency=USD","Period=FQ","BEST_FPERIOD_OVERRIDE=FQ","FILING_STATUS=MR","SCALING_FORMAT=MLN","Sort=A","Dates=H","DateFormat=P","Fill=—","Direction=H","UseDPDF=Y")</f>
        <v>1379.348</v>
      </c>
      <c r="W9" s="13">
        <f>_xll.BDH("SRPT US Equity","SHORT_AND_LONG_TERM_DEBT","FQ2 2024","FQ2 2024","Currency=USD","Period=FQ","BEST_FPERIOD_OVERRIDE=FQ","FILING_STATUS=MR","SCALING_FORMAT=MLN","Sort=A","Dates=H","DateFormat=P","Fill=—","Direction=H","UseDPDF=Y")</f>
        <v>1369.9159999999999</v>
      </c>
      <c r="X9" s="13">
        <f>_xll.BDH("SRPT US Equity","SHORT_AND_LONG_TERM_DEBT","FQ3 2024","FQ3 2024","Currency=USD","Period=FQ","BEST_FPERIOD_OVERRIDE=FQ","FILING_STATUS=MR","SCALING_FORMAT=MLN","Sort=A","Dates=H","DateFormat=P","Fill=—","Direction=H","UseDPDF=Y")</f>
        <v>1397.569</v>
      </c>
      <c r="Y9" s="13">
        <f>_xll.BDH("SRPT US Equity","SHORT_AND_LONG_TERM_DEBT","FQ4 2024","FQ4 2024","Currency=USD","Period=FQ","BEST_FPERIOD_OVERRIDE=FQ","FILING_STATUS=MR","SCALING_FORMAT=MLN","Sort=A","Dates=H","DateFormat=P","Fill=—","Direction=H","UseDPDF=Y")</f>
        <v>1343.07</v>
      </c>
      <c r="Z9" s="13"/>
      <c r="AA9" s="13"/>
    </row>
    <row r="10" spans="1:27" x14ac:dyDescent="0.25">
      <c r="A10" s="6" t="s">
        <v>68</v>
      </c>
      <c r="B10" s="6" t="s">
        <v>69</v>
      </c>
      <c r="C10" s="19">
        <f>_xll.BDH("SRPT US Equity","ENTERPRISE_VALUE","FQ2 2019","FQ2 2019","Currency=USD","Period=FQ","BEST_FPERIOD_OVERRIDE=FQ","FILING_STATUS=MR","SCALING_FORMAT=MLN","Sort=A","Dates=H","DateFormat=P","Fill=—","Direction=H","UseDPDF=Y")</f>
        <v>10679.4452</v>
      </c>
      <c r="D10" s="19">
        <f>_xll.BDH("SRPT US Equity","ENTERPRISE_VALUE","FQ3 2019","FQ3 2019","Currency=USD","Period=FQ","BEST_FPERIOD_OVERRIDE=FQ","FILING_STATUS=MR","SCALING_FORMAT=MLN","Sort=A","Dates=H","DateFormat=P","Fill=—","Direction=H","UseDPDF=Y")</f>
        <v>5056.5702000000001</v>
      </c>
      <c r="E10" s="19">
        <f>_xll.BDH("SRPT US Equity","ENTERPRISE_VALUE","FQ4 2019","FQ4 2019","Currency=USD","Period=FQ","BEST_FPERIOD_OVERRIDE=FQ","FILING_STATUS=MR","SCALING_FORMAT=MLN","Sort=A","Dates=H","DateFormat=P","Fill=—","Direction=H","UseDPDF=Y")</f>
        <v>9314.5727000000006</v>
      </c>
      <c r="F10" s="19">
        <f>_xll.BDH("SRPT US Equity","ENTERPRISE_VALUE","FQ1 2020","FQ1 2020","Currency=USD","Period=FQ","BEST_FPERIOD_OVERRIDE=FQ","FILING_STATUS=MR","SCALING_FORMAT=MLN","Sort=A","Dates=H","DateFormat=P","Fill=—","Direction=H","UseDPDF=Y")</f>
        <v>6198.3289999999997</v>
      </c>
      <c r="G10" s="19">
        <f>_xll.BDH("SRPT US Equity","ENTERPRISE_VALUE","FQ2 2020","FQ2 2020","Currency=USD","Period=FQ","BEST_FPERIOD_OVERRIDE=FQ","FILING_STATUS=MR","SCALING_FORMAT=MLN","Sort=A","Dates=H","DateFormat=P","Fill=—","Direction=H","UseDPDF=Y")</f>
        <v>11271.5093</v>
      </c>
      <c r="H10" s="19">
        <f>_xll.BDH("SRPT US Equity","ENTERPRISE_VALUE","FQ3 2020","FQ3 2020","Currency=USD","Period=FQ","BEST_FPERIOD_OVERRIDE=FQ","FILING_STATUS=MR","SCALING_FORMAT=MLN","Sort=A","Dates=H","DateFormat=P","Fill=—","Direction=H","UseDPDF=Y")</f>
        <v>10007.475</v>
      </c>
      <c r="I10" s="19">
        <f>_xll.BDH("SRPT US Equity","ENTERPRISE_VALUE","FQ4 2020","FQ4 2020","Currency=USD","Period=FQ","BEST_FPERIOD_OVERRIDE=FQ","FILING_STATUS=MR","SCALING_FORMAT=MLN","Sort=A","Dates=H","DateFormat=P","Fill=—","Direction=H","UseDPDF=Y")</f>
        <v>12678.419400000001</v>
      </c>
      <c r="J10" s="19">
        <f>_xll.BDH("SRPT US Equity","ENTERPRISE_VALUE","FQ1 2021","FQ1 2021","Currency=USD","Period=FQ","BEST_FPERIOD_OVERRIDE=FQ","FILING_STATUS=MR","SCALING_FORMAT=MLN","Sort=A","Dates=H","DateFormat=P","Fill=—","Direction=H","UseDPDF=Y")</f>
        <v>5348.2636000000002</v>
      </c>
      <c r="K10" s="19">
        <f>_xll.BDH("SRPT US Equity","ENTERPRISE_VALUE","FQ2 2021","FQ2 2021","Currency=USD","Period=FQ","BEST_FPERIOD_OVERRIDE=FQ","FILING_STATUS=MR","SCALING_FORMAT=MLN","Sort=A","Dates=H","DateFormat=P","Fill=—","Direction=H","UseDPDF=Y")</f>
        <v>5627.6962000000003</v>
      </c>
      <c r="L10" s="19">
        <f>_xll.BDH("SRPT US Equity","ENTERPRISE_VALUE","FQ3 2021","FQ3 2021","Currency=USD","Period=FQ","BEST_FPERIOD_OVERRIDE=FQ","FILING_STATUS=MR","SCALING_FORMAT=MLN","Sort=A","Dates=H","DateFormat=P","Fill=—","Direction=H","UseDPDF=Y")</f>
        <v>6944.4766</v>
      </c>
      <c r="M10" s="19">
        <f>_xll.BDH("SRPT US Equity","ENTERPRISE_VALUE","FQ4 2021","FQ4 2021","Currency=USD","Period=FQ","BEST_FPERIOD_OVERRIDE=FQ","FILING_STATUS=MR","SCALING_FORMAT=MLN","Sort=A","Dates=H","DateFormat=P","Fill=—","Direction=H","UseDPDF=Y")</f>
        <v>6873.4480000000003</v>
      </c>
      <c r="N10" s="19">
        <f>_xll.BDH("SRPT US Equity","ENTERPRISE_VALUE","FQ1 2022","FQ1 2022","Currency=USD","Period=FQ","BEST_FPERIOD_OVERRIDE=FQ","FILING_STATUS=MR","SCALING_FORMAT=MLN","Sort=A","Dates=H","DateFormat=P","Fill=—","Direction=H","UseDPDF=Y")</f>
        <v>5949.5447999999997</v>
      </c>
      <c r="O10" s="19">
        <f>_xll.BDH("SRPT US Equity","ENTERPRISE_VALUE","FQ2 2022","FQ2 2022","Currency=USD","Period=FQ","BEST_FPERIOD_OVERRIDE=FQ","FILING_STATUS=MR","SCALING_FORMAT=MLN","Sort=A","Dates=H","DateFormat=P","Fill=—","Direction=H","UseDPDF=Y")</f>
        <v>5755.3689999999997</v>
      </c>
      <c r="P10" s="19">
        <f>_xll.BDH("SRPT US Equity","ENTERPRISE_VALUE","FQ3 2022","FQ3 2022","Currency=USD","Period=FQ","BEST_FPERIOD_OVERRIDE=FQ","FILING_STATUS=MR","SCALING_FORMAT=MLN","Sort=A","Dates=H","DateFormat=P","Fill=—","Direction=H","UseDPDF=Y")</f>
        <v>9188.1666000000005</v>
      </c>
      <c r="Q10" s="19">
        <f>_xll.BDH("SRPT US Equity","ENTERPRISE_VALUE","FQ4 2022","FQ4 2022","Currency=USD","Period=FQ","BEST_FPERIOD_OVERRIDE=FQ","FILING_STATUS=MR","SCALING_FORMAT=MLN","Sort=A","Dates=H","DateFormat=P","Fill=—","Direction=H","UseDPDF=Y")</f>
        <v>11005.537200000001</v>
      </c>
      <c r="R10" s="19">
        <f>_xll.BDH("SRPT US Equity","ENTERPRISE_VALUE","FQ1 2023","FQ1 2023","Currency=USD","Period=FQ","BEST_FPERIOD_OVERRIDE=FQ","FILING_STATUS=MR","SCALING_FORMAT=MLN","Sort=A","Dates=H","DateFormat=P","Fill=—","Direction=H","UseDPDF=Y")</f>
        <v>12224.5988</v>
      </c>
      <c r="S10" s="19">
        <f>_xll.BDH("SRPT US Equity","ENTERPRISE_VALUE","FQ2 2023","FQ2 2023","Currency=USD","Period=FQ","BEST_FPERIOD_OVERRIDE=FQ","FILING_STATUS=MR","SCALING_FORMAT=MLN","Sort=A","Dates=H","DateFormat=P","Fill=—","Direction=H","UseDPDF=Y")</f>
        <v>10166.633900000001</v>
      </c>
      <c r="T10" s="19">
        <f>_xll.BDH("SRPT US Equity","ENTERPRISE_VALUE","FQ3 2023","FQ3 2023","Currency=USD","Period=FQ","BEST_FPERIOD_OVERRIDE=FQ","FILING_STATUS=MR","SCALING_FORMAT=MLN","Sort=A","Dates=H","DateFormat=P","Fill=—","Direction=H","UseDPDF=Y")</f>
        <v>10987.0142</v>
      </c>
      <c r="U10" s="19">
        <f>_xll.BDH("SRPT US Equity","ENTERPRISE_VALUE","FQ4 2023","FQ4 2023","Currency=USD","Period=FQ","BEST_FPERIOD_OVERRIDE=FQ","FILING_STATUS=MR","SCALING_FORMAT=MLN","Sort=A","Dates=H","DateFormat=P","Fill=—","Direction=H","UseDPDF=Y")</f>
        <v>8752.5915000000005</v>
      </c>
      <c r="V10" s="19">
        <f>_xll.BDH("SRPT US Equity","ENTERPRISE_VALUE","FQ1 2024","FQ1 2024","Currency=USD","Period=FQ","BEST_FPERIOD_OVERRIDE=FQ","FILING_STATUS=MR","SCALING_FORMAT=MLN","Sort=A","Dates=H","DateFormat=P","Fill=—","Direction=H","UseDPDF=Y")</f>
        <v>12205.7217</v>
      </c>
      <c r="W10" s="19">
        <f>_xll.BDH("SRPT US Equity","ENTERPRISE_VALUE","FQ2 2024","FQ2 2024","Currency=USD","Period=FQ","BEST_FPERIOD_OVERRIDE=FQ","FILING_STATUS=MR","SCALING_FORMAT=MLN","Sort=A","Dates=H","DateFormat=P","Fill=—","Direction=H","UseDPDF=Y")</f>
        <v>14948.513800000001</v>
      </c>
      <c r="X10" s="19">
        <f>_xll.BDH("SRPT US Equity","ENTERPRISE_VALUE","FQ3 2024","FQ3 2024","Currency=USD","Period=FQ","BEST_FPERIOD_OVERRIDE=FQ","FILING_STATUS=MR","SCALING_FORMAT=MLN","Sort=A","Dates=H","DateFormat=P","Fill=—","Direction=H","UseDPDF=Y")</f>
        <v>12120.5784</v>
      </c>
      <c r="Y10" s="19">
        <f>_xll.BDH("SRPT US Equity","ENTERPRISE_VALUE","FQ4 2024","FQ4 2024","Currency=USD","Period=FQ","BEST_FPERIOD_OVERRIDE=FQ","FILING_STATUS=MR","SCALING_FORMAT=MLN","Sort=A","Dates=H","DateFormat=P","Fill=—","Direction=H","UseDPDF=Y")</f>
        <v>11766.6993</v>
      </c>
      <c r="Z10" s="19"/>
      <c r="AA10" s="19"/>
    </row>
    <row r="11" spans="1:27" x14ac:dyDescent="0.25">
      <c r="A11" s="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x14ac:dyDescent="0.25">
      <c r="A12" s="6" t="s">
        <v>70</v>
      </c>
      <c r="B12" s="6" t="s">
        <v>71</v>
      </c>
      <c r="C12" s="19">
        <f>_xll.BDH("SRPT US Equity","SALES_REV_TURN","FQ2 2019","FQ2 2019","Currency=USD","Period=FQ","BEST_FPERIOD_OVERRIDE=FQ","FILING_STATUS=MR","SCALING_FORMAT=MLN","FA_ADJUSTED=Adjusted","Sort=A","Dates=H","DateFormat=P","Fill=—","Direction=H","UseDPDF=Y")</f>
        <v>94.668000000000006</v>
      </c>
      <c r="D12" s="19">
        <f>_xll.BDH("SRPT US Equity","SALES_REV_TURN","FQ3 2019","FQ3 2019","Currency=USD","Period=FQ","BEST_FPERIOD_OVERRIDE=FQ","FILING_STATUS=MR","SCALING_FORMAT=MLN","FA_ADJUSTED=Adjusted","Sort=A","Dates=H","DateFormat=P","Fill=—","Direction=H","UseDPDF=Y")</f>
        <v>99.040999999999997</v>
      </c>
      <c r="E12" s="19">
        <f>_xll.BDH("SRPT US Equity","SALES_REV_TURN","FQ4 2019","FQ4 2019","Currency=USD","Period=FQ","BEST_FPERIOD_OVERRIDE=FQ","FILING_STATUS=MR","SCALING_FORMAT=MLN","FA_ADJUSTED=Adjusted","Sort=A","Dates=H","DateFormat=P","Fill=—","Direction=H","UseDPDF=Y")</f>
        <v>100.113</v>
      </c>
      <c r="F12" s="19">
        <f>_xll.BDH("SRPT US Equity","SALES_REV_TURN","FQ1 2020","FQ1 2020","Currency=USD","Period=FQ","BEST_FPERIOD_OVERRIDE=FQ","FILING_STATUS=MR","SCALING_FORMAT=MLN","FA_ADJUSTED=Adjusted","Sort=A","Dates=H","DateFormat=P","Fill=—","Direction=H","UseDPDF=Y")</f>
        <v>113.67400000000001</v>
      </c>
      <c r="G12" s="19">
        <f>_xll.BDH("SRPT US Equity","SALES_REV_TURN","FQ2 2020","FQ2 2020","Currency=USD","Period=FQ","BEST_FPERIOD_OVERRIDE=FQ","FILING_STATUS=MR","SCALING_FORMAT=MLN","FA_ADJUSTED=Adjusted","Sort=A","Dates=H","DateFormat=P","Fill=—","Direction=H","UseDPDF=Y")</f>
        <v>137.363</v>
      </c>
      <c r="H12" s="19">
        <f>_xll.BDH("SRPT US Equity","SALES_REV_TURN","FQ3 2020","FQ3 2020","Currency=USD","Period=FQ","BEST_FPERIOD_OVERRIDE=FQ","FILING_STATUS=MR","SCALING_FORMAT=MLN","FA_ADJUSTED=Adjusted","Sort=A","Dates=H","DateFormat=P","Fill=—","Direction=H","UseDPDF=Y")</f>
        <v>143.92400000000001</v>
      </c>
      <c r="I12" s="19">
        <f>_xll.BDH("SRPT US Equity","SALES_REV_TURN","FQ4 2020","FQ4 2020","Currency=USD","Period=FQ","BEST_FPERIOD_OVERRIDE=FQ","FILING_STATUS=MR","SCALING_FORMAT=MLN","FA_ADJUSTED=Adjusted","Sort=A","Dates=H","DateFormat=P","Fill=—","Direction=H","UseDPDF=Y")</f>
        <v>145.13800000000001</v>
      </c>
      <c r="J12" s="19">
        <f>_xll.BDH("SRPT US Equity","SALES_REV_TURN","FQ1 2021","FQ1 2021","Currency=USD","Period=FQ","BEST_FPERIOD_OVERRIDE=FQ","FILING_STATUS=MR","SCALING_FORMAT=MLN","FA_ADJUSTED=Adjusted","Sort=A","Dates=H","DateFormat=P","Fill=—","Direction=H","UseDPDF=Y")</f>
        <v>146.93100000000001</v>
      </c>
      <c r="K12" s="19">
        <f>_xll.BDH("SRPT US Equity","SALES_REV_TURN","FQ2 2021","FQ2 2021","Currency=USD","Period=FQ","BEST_FPERIOD_OVERRIDE=FQ","FILING_STATUS=MR","SCALING_FORMAT=MLN","FA_ADJUSTED=Adjusted","Sort=A","Dates=H","DateFormat=P","Fill=—","Direction=H","UseDPDF=Y")</f>
        <v>164.089</v>
      </c>
      <c r="L12" s="19">
        <f>_xll.BDH("SRPT US Equity","SALES_REV_TURN","FQ3 2021","FQ3 2021","Currency=USD","Period=FQ","BEST_FPERIOD_OVERRIDE=FQ","FILING_STATUS=MR","SCALING_FORMAT=MLN","FA_ADJUSTED=Adjusted","Sort=A","Dates=H","DateFormat=P","Fill=—","Direction=H","UseDPDF=Y")</f>
        <v>189.40600000000001</v>
      </c>
      <c r="M12" s="19">
        <f>_xll.BDH("SRPT US Equity","SALES_REV_TURN","FQ4 2021","FQ4 2021","Currency=USD","Period=FQ","BEST_FPERIOD_OVERRIDE=FQ","FILING_STATUS=MR","SCALING_FORMAT=MLN","FA_ADJUSTED=Adjusted","Sort=A","Dates=H","DateFormat=P","Fill=—","Direction=H","UseDPDF=Y")</f>
        <v>201.46100000000001</v>
      </c>
      <c r="N12" s="19">
        <f>_xll.BDH("SRPT US Equity","SALES_REV_TURN","FQ1 2022","FQ1 2022","Currency=USD","Period=FQ","BEST_FPERIOD_OVERRIDE=FQ","FILING_STATUS=MR","SCALING_FORMAT=MLN","FA_ADJUSTED=Adjusted","Sort=A","Dates=H","DateFormat=P","Fill=—","Direction=H","UseDPDF=Y")</f>
        <v>210.83</v>
      </c>
      <c r="O12" s="19">
        <f>_xll.BDH("SRPT US Equity","SALES_REV_TURN","FQ2 2022","FQ2 2022","Currency=USD","Period=FQ","BEST_FPERIOD_OVERRIDE=FQ","FILING_STATUS=MR","SCALING_FORMAT=MLN","FA_ADJUSTED=Adjusted","Sort=A","Dates=H","DateFormat=P","Fill=—","Direction=H","UseDPDF=Y")</f>
        <v>233.48699999999999</v>
      </c>
      <c r="P12" s="19">
        <f>_xll.BDH("SRPT US Equity","SALES_REV_TURN","FQ3 2022","FQ3 2022","Currency=USD","Period=FQ","BEST_FPERIOD_OVERRIDE=FQ","FILING_STATUS=MR","SCALING_FORMAT=MLN","FA_ADJUSTED=Adjusted","Sort=A","Dates=H","DateFormat=P","Fill=—","Direction=H","UseDPDF=Y")</f>
        <v>230.26900000000001</v>
      </c>
      <c r="Q12" s="19">
        <f>_xll.BDH("SRPT US Equity","SALES_REV_TURN","FQ4 2022","FQ4 2022","Currency=USD","Period=FQ","BEST_FPERIOD_OVERRIDE=FQ","FILING_STATUS=MR","SCALING_FORMAT=MLN","FA_ADJUSTED=Adjusted","Sort=A","Dates=H","DateFormat=P","Fill=—","Direction=H","UseDPDF=Y")</f>
        <v>258.42700000000002</v>
      </c>
      <c r="R12" s="19">
        <f>_xll.BDH("SRPT US Equity","SALES_REV_TURN","FQ1 2023","FQ1 2023","Currency=USD","Period=FQ","BEST_FPERIOD_OVERRIDE=FQ","FILING_STATUS=MR","SCALING_FORMAT=MLN","FA_ADJUSTED=Adjusted","Sort=A","Dates=H","DateFormat=P","Fill=—","Direction=H","UseDPDF=Y")</f>
        <v>253.5</v>
      </c>
      <c r="S12" s="19">
        <f>_xll.BDH("SRPT US Equity","SALES_REV_TURN","FQ2 2023","FQ2 2023","Currency=USD","Period=FQ","BEST_FPERIOD_OVERRIDE=FQ","FILING_STATUS=MR","SCALING_FORMAT=MLN","FA_ADJUSTED=Adjusted","Sort=A","Dates=H","DateFormat=P","Fill=—","Direction=H","UseDPDF=Y")</f>
        <v>261.238</v>
      </c>
      <c r="T12" s="19">
        <f>_xll.BDH("SRPT US Equity","SALES_REV_TURN","FQ3 2023","FQ3 2023","Currency=USD","Period=FQ","BEST_FPERIOD_OVERRIDE=FQ","FILING_STATUS=MR","SCALING_FORMAT=MLN","FA_ADJUSTED=Adjusted","Sort=A","Dates=H","DateFormat=P","Fill=—","Direction=H","UseDPDF=Y")</f>
        <v>331.81700000000001</v>
      </c>
      <c r="U12" s="19">
        <f>_xll.BDH("SRPT US Equity","SALES_REV_TURN","FQ4 2023","FQ4 2023","Currency=USD","Period=FQ","BEST_FPERIOD_OVERRIDE=FQ","FILING_STATUS=MR","SCALING_FORMAT=MLN","FA_ADJUSTED=Adjusted","Sort=A","Dates=H","DateFormat=P","Fill=—","Direction=H","UseDPDF=Y")</f>
        <v>396.78100000000001</v>
      </c>
      <c r="V12" s="19">
        <f>_xll.BDH("SRPT US Equity","SALES_REV_TURN","FQ1 2024","FQ1 2024","Currency=USD","Period=FQ","BEST_FPERIOD_OVERRIDE=FQ","FILING_STATUS=MR","SCALING_FORMAT=MLN","FA_ADJUSTED=Adjusted","Sort=A","Dates=H","DateFormat=P","Fill=—","Direction=H","UseDPDF=Y")</f>
        <v>413.464</v>
      </c>
      <c r="W12" s="19">
        <f>_xll.BDH("SRPT US Equity","SALES_REV_TURN","FQ2 2024","FQ2 2024","Currency=USD","Period=FQ","BEST_FPERIOD_OVERRIDE=FQ","FILING_STATUS=MR","SCALING_FORMAT=MLN","FA_ADJUSTED=Adjusted","Sort=A","Dates=H","DateFormat=P","Fill=—","Direction=H","UseDPDF=Y")</f>
        <v>362.93099999999998</v>
      </c>
      <c r="X12" s="19">
        <f>_xll.BDH("SRPT US Equity","SALES_REV_TURN","FQ3 2024","FQ3 2024","Currency=USD","Period=FQ","BEST_FPERIOD_OVERRIDE=FQ","FILING_STATUS=MR","SCALING_FORMAT=MLN","FA_ADJUSTED=Adjusted","Sort=A","Dates=H","DateFormat=P","Fill=—","Direction=H","UseDPDF=Y")</f>
        <v>467.17200000000003</v>
      </c>
      <c r="Y12" s="19">
        <f>_xll.BDH("SRPT US Equity","SALES_REV_TURN","FQ4 2024","FQ4 2024","Currency=USD","Period=FQ","BEST_FPERIOD_OVERRIDE=FQ","FILING_STATUS=MR","SCALING_FORMAT=MLN","FA_ADJUSTED=Adjusted","Sort=A","Dates=H","DateFormat=P","Fill=—","Direction=H","UseDPDF=Y")</f>
        <v>658.41200000000003</v>
      </c>
      <c r="Z12" s="19">
        <v>694.9</v>
      </c>
      <c r="AA12" s="19">
        <v>760.1</v>
      </c>
    </row>
    <row r="13" spans="1:27" x14ac:dyDescent="0.25">
      <c r="A13" s="11" t="s">
        <v>72</v>
      </c>
      <c r="B13" s="11" t="s">
        <v>73</v>
      </c>
      <c r="C13" s="25">
        <f>_xll.BDH("SRPT US Equity","SALES_GROWTH","FQ2 2019","FQ2 2019","Currency=USD","Period=FQ","BEST_FPERIOD_OVERRIDE=FQ","FILING_STATUS=MR","FA_ADJUSTED=Adjusted","Sort=A","Dates=H","DateFormat=P","Fill=—","Direction=H","UseDPDF=Y")</f>
        <v>28.749199999999998</v>
      </c>
      <c r="D13" s="25">
        <f>_xll.BDH("SRPT US Equity","SALES_GROWTH","FQ3 2019","FQ3 2019","Currency=USD","Period=FQ","BEST_FPERIOD_OVERRIDE=FQ","FILING_STATUS=MR","FA_ADJUSTED=Adjusted","Sort=A","Dates=H","DateFormat=P","Fill=—","Direction=H","UseDPDF=Y")</f>
        <v>26.189399999999999</v>
      </c>
      <c r="E13" s="25">
        <f>_xll.BDH("SRPT US Equity","SALES_GROWTH","FQ4 2019","FQ4 2019","Currency=USD","Period=FQ","BEST_FPERIOD_OVERRIDE=FQ","FILING_STATUS=MR","FA_ADJUSTED=Adjusted","Sort=A","Dates=H","DateFormat=P","Fill=—","Direction=H","UseDPDF=Y")</f>
        <v>18.5962</v>
      </c>
      <c r="F13" s="25">
        <f>_xll.BDH("SRPT US Equity","SALES_GROWTH","FQ1 2020","FQ1 2020","Currency=USD","Period=FQ","BEST_FPERIOD_OVERRIDE=FQ","FILING_STATUS=MR","FA_ADJUSTED=Adjusted","Sort=A","Dates=H","DateFormat=P","Fill=—","Direction=H","UseDPDF=Y")</f>
        <v>30.6433</v>
      </c>
      <c r="G13" s="25">
        <f>_xll.BDH("SRPT US Equity","SALES_GROWTH","FQ2 2020","FQ2 2020","Currency=USD","Period=FQ","BEST_FPERIOD_OVERRIDE=FQ","FILING_STATUS=MR","FA_ADJUSTED=Adjusted","Sort=A","Dates=H","DateFormat=P","Fill=—","Direction=H","UseDPDF=Y")</f>
        <v>45.099699999999999</v>
      </c>
      <c r="H13" s="25">
        <f>_xll.BDH("SRPT US Equity","SALES_GROWTH","FQ3 2020","FQ3 2020","Currency=USD","Period=FQ","BEST_FPERIOD_OVERRIDE=FQ","FILING_STATUS=MR","FA_ADJUSTED=Adjusted","Sort=A","Dates=H","DateFormat=P","Fill=—","Direction=H","UseDPDF=Y")</f>
        <v>45.317599999999999</v>
      </c>
      <c r="I13" s="25">
        <f>_xll.BDH("SRPT US Equity","SALES_GROWTH","FQ4 2020","FQ4 2020","Currency=USD","Period=FQ","BEST_FPERIOD_OVERRIDE=FQ","FILING_STATUS=MR","FA_ADJUSTED=Adjusted","Sort=A","Dates=H","DateFormat=P","Fill=—","Direction=H","UseDPDF=Y")</f>
        <v>44.974200000000003</v>
      </c>
      <c r="J13" s="25">
        <f>_xll.BDH("SRPT US Equity","SALES_GROWTH","FQ1 2021","FQ1 2021","Currency=USD","Period=FQ","BEST_FPERIOD_OVERRIDE=FQ","FILING_STATUS=MR","FA_ADJUSTED=Adjusted","Sort=A","Dates=H","DateFormat=P","Fill=—","Direction=H","UseDPDF=Y")</f>
        <v>29.256499999999999</v>
      </c>
      <c r="K13" s="25">
        <f>_xll.BDH("SRPT US Equity","SALES_GROWTH","FQ2 2021","FQ2 2021","Currency=USD","Period=FQ","BEST_FPERIOD_OVERRIDE=FQ","FILING_STATUS=MR","FA_ADJUSTED=Adjusted","Sort=A","Dates=H","DateFormat=P","Fill=—","Direction=H","UseDPDF=Y")</f>
        <v>19.456499999999998</v>
      </c>
      <c r="L13" s="25">
        <f>_xll.BDH("SRPT US Equity","SALES_GROWTH","FQ3 2021","FQ3 2021","Currency=USD","Period=FQ","BEST_FPERIOD_OVERRIDE=FQ","FILING_STATUS=MR","FA_ADJUSTED=Adjusted","Sort=A","Dates=H","DateFormat=P","Fill=—","Direction=H","UseDPDF=Y")</f>
        <v>31.601400000000002</v>
      </c>
      <c r="M13" s="25">
        <f>_xll.BDH("SRPT US Equity","SALES_GROWTH","FQ4 2021","FQ4 2021","Currency=USD","Period=FQ","BEST_FPERIOD_OVERRIDE=FQ","FILING_STATUS=MR","FA_ADJUSTED=Adjusted","Sort=A","Dates=H","DateFormat=P","Fill=—","Direction=H","UseDPDF=Y")</f>
        <v>38.8065</v>
      </c>
      <c r="N13" s="25">
        <f>_xll.BDH("SRPT US Equity","SALES_GROWTH","FQ1 2022","FQ1 2022","Currency=USD","Period=FQ","BEST_FPERIOD_OVERRIDE=FQ","FILING_STATUS=MR","FA_ADJUSTED=Adjusted","Sort=A","Dates=H","DateFormat=P","Fill=—","Direction=H","UseDPDF=Y")</f>
        <v>43.489100000000001</v>
      </c>
      <c r="O13" s="25">
        <f>_xll.BDH("SRPT US Equity","SALES_GROWTH","FQ2 2022","FQ2 2022","Currency=USD","Period=FQ","BEST_FPERIOD_OVERRIDE=FQ","FILING_STATUS=MR","FA_ADJUSTED=Adjusted","Sort=A","Dates=H","DateFormat=P","Fill=—","Direction=H","UseDPDF=Y")</f>
        <v>42.292900000000003</v>
      </c>
      <c r="P13" s="25">
        <f>_xll.BDH("SRPT US Equity","SALES_GROWTH","FQ3 2022","FQ3 2022","Currency=USD","Period=FQ","BEST_FPERIOD_OVERRIDE=FQ","FILING_STATUS=MR","FA_ADJUSTED=Adjusted","Sort=A","Dates=H","DateFormat=P","Fill=—","Direction=H","UseDPDF=Y")</f>
        <v>21.574300000000001</v>
      </c>
      <c r="Q13" s="25">
        <f>_xll.BDH("SRPT US Equity","SALES_GROWTH","FQ4 2022","FQ4 2022","Currency=USD","Period=FQ","BEST_FPERIOD_OVERRIDE=FQ","FILING_STATUS=MR","FA_ADJUSTED=Adjusted","Sort=A","Dates=H","DateFormat=P","Fill=—","Direction=H","UseDPDF=Y")</f>
        <v>28.276399999999999</v>
      </c>
      <c r="R13" s="25">
        <f>_xll.BDH("SRPT US Equity","SALES_GROWTH","FQ1 2023","FQ1 2023","Currency=USD","Period=FQ","BEST_FPERIOD_OVERRIDE=FQ","FILING_STATUS=MR","FA_ADJUSTED=Adjusted","Sort=A","Dates=H","DateFormat=P","Fill=—","Direction=H","UseDPDF=Y")</f>
        <v>20.239100000000001</v>
      </c>
      <c r="S13" s="25">
        <f>_xll.BDH("SRPT US Equity","SALES_GROWTH","FQ2 2023","FQ2 2023","Currency=USD","Period=FQ","BEST_FPERIOD_OVERRIDE=FQ","FILING_STATUS=MR","FA_ADJUSTED=Adjusted","Sort=A","Dates=H","DateFormat=P","Fill=—","Direction=H","UseDPDF=Y")</f>
        <v>11.8855</v>
      </c>
      <c r="T13" s="25">
        <f>_xll.BDH("SRPT US Equity","SALES_GROWTH","FQ3 2023","FQ3 2023","Currency=USD","Period=FQ","BEST_FPERIOD_OVERRIDE=FQ","FILING_STATUS=MR","FA_ADJUSTED=Adjusted","Sort=A","Dates=H","DateFormat=P","Fill=—","Direction=H","UseDPDF=Y")</f>
        <v>44.099699999999999</v>
      </c>
      <c r="U13" s="25">
        <f>_xll.BDH("SRPT US Equity","SALES_GROWTH","FQ4 2023","FQ4 2023","Currency=USD","Period=FQ","BEST_FPERIOD_OVERRIDE=FQ","FILING_STATUS=MR","FA_ADJUSTED=Adjusted","Sort=A","Dates=H","DateFormat=P","Fill=—","Direction=H","UseDPDF=Y")</f>
        <v>53.536999999999999</v>
      </c>
      <c r="V13" s="25">
        <f>_xll.BDH("SRPT US Equity","SALES_GROWTH","FQ1 2024","FQ1 2024","Currency=USD","Period=FQ","BEST_FPERIOD_OVERRIDE=FQ","FILING_STATUS=MR","FA_ADJUSTED=Adjusted","Sort=A","Dates=H","DateFormat=P","Fill=—","Direction=H","UseDPDF=Y")</f>
        <v>63.102200000000003</v>
      </c>
      <c r="W13" s="25">
        <f>_xll.BDH("SRPT US Equity","SALES_GROWTH","FQ2 2024","FQ2 2024","Currency=USD","Period=FQ","BEST_FPERIOD_OVERRIDE=FQ","FILING_STATUS=MR","FA_ADJUSTED=Adjusted","Sort=A","Dates=H","DateFormat=P","Fill=—","Direction=H","UseDPDF=Y")</f>
        <v>38.927300000000002</v>
      </c>
      <c r="X13" s="25">
        <f>_xll.BDH("SRPT US Equity","SALES_GROWTH","FQ3 2024","FQ3 2024","Currency=USD","Period=FQ","BEST_FPERIOD_OVERRIDE=FQ","FILING_STATUS=MR","FA_ADJUSTED=Adjusted","Sort=A","Dates=H","DateFormat=P","Fill=—","Direction=H","UseDPDF=Y")</f>
        <v>40.792099999999998</v>
      </c>
      <c r="Y13" s="25">
        <f>_xll.BDH("SRPT US Equity","SALES_GROWTH","FQ4 2024","FQ4 2024","Currency=USD","Period=FQ","BEST_FPERIOD_OVERRIDE=FQ","FILING_STATUS=MR","FA_ADJUSTED=Adjusted","Sort=A","Dates=H","DateFormat=P","Fill=—","Direction=H","UseDPDF=Y")</f>
        <v>65.938400000000001</v>
      </c>
      <c r="Z13" s="25">
        <v>68.067836619391301</v>
      </c>
      <c r="AA13" s="25">
        <v>109.43374911484599</v>
      </c>
    </row>
    <row r="14" spans="1:27" x14ac:dyDescent="0.25">
      <c r="A14" s="6" t="s">
        <v>74</v>
      </c>
      <c r="B14" s="6" t="s">
        <v>75</v>
      </c>
      <c r="C14" s="19">
        <f>_xll.BDH("SRPT US Equity","GROSS_PROFIT","FQ2 2019","FQ2 2019","Currency=USD","Period=FQ","BEST_FPERIOD_OVERRIDE=FQ","FILING_STATUS=MR","SCALING_FORMAT=MLN","FA_ADJUSTED=Adjusted","Sort=A","Dates=H","DateFormat=P","Fill=—","Direction=H","UseDPDF=Y")</f>
        <v>78.748999999999995</v>
      </c>
      <c r="D14" s="19">
        <f>_xll.BDH("SRPT US Equity","GROSS_PROFIT","FQ3 2019","FQ3 2019","Currency=USD","Period=FQ","BEST_FPERIOD_OVERRIDE=FQ","FILING_STATUS=MR","SCALING_FORMAT=MLN","FA_ADJUSTED=Adjusted","Sort=A","Dates=H","DateFormat=P","Fill=—","Direction=H","UseDPDF=Y")</f>
        <v>86.004000000000005</v>
      </c>
      <c r="E14" s="19">
        <f>_xll.BDH("SRPT US Equity","GROSS_PROFIT","FQ4 2019","FQ4 2019","Currency=USD","Period=FQ","BEST_FPERIOD_OVERRIDE=FQ","FILING_STATUS=MR","SCALING_FORMAT=MLN","FA_ADJUSTED=Adjusted","Sort=A","Dates=H","DateFormat=P","Fill=—","Direction=H","UseDPDF=Y")</f>
        <v>84.546000000000006</v>
      </c>
      <c r="F14" s="19">
        <f>_xll.BDH("SRPT US Equity","GROSS_PROFIT","FQ1 2020","FQ1 2020","Currency=USD","Period=FQ","BEST_FPERIOD_OVERRIDE=FQ","FILING_STATUS=MR","SCALING_FORMAT=MLN","FA_ADJUSTED=Adjusted","Sort=A","Dates=H","DateFormat=P","Fill=—","Direction=H","UseDPDF=Y")</f>
        <v>101.05200000000001</v>
      </c>
      <c r="G14" s="19">
        <f>_xll.BDH("SRPT US Equity","GROSS_PROFIT","FQ2 2020","FQ2 2020","Currency=USD","Period=FQ","BEST_FPERIOD_OVERRIDE=FQ","FILING_STATUS=MR","SCALING_FORMAT=MLN","FA_ADJUSTED=Adjusted","Sort=A","Dates=H","DateFormat=P","Fill=—","Direction=H","UseDPDF=Y")</f>
        <v>124.02200000000001</v>
      </c>
      <c r="H14" s="19">
        <f>_xll.BDH("SRPT US Equity","GROSS_PROFIT","FQ3 2020","FQ3 2020","Currency=USD","Period=FQ","BEST_FPERIOD_OVERRIDE=FQ","FILING_STATUS=MR","SCALING_FORMAT=MLN","FA_ADJUSTED=Adjusted","Sort=A","Dates=H","DateFormat=P","Fill=—","Direction=H","UseDPDF=Y")</f>
        <v>128.90899999999999</v>
      </c>
      <c r="I14" s="19">
        <f>_xll.BDH("SRPT US Equity","GROSS_PROFIT","FQ4 2020","FQ4 2020","Currency=USD","Period=FQ","BEST_FPERIOD_OVERRIDE=FQ","FILING_STATUS=MR","SCALING_FORMAT=MLN","FA_ADJUSTED=Adjusted","Sort=A","Dates=H","DateFormat=P","Fill=—","Direction=H","UseDPDF=Y")</f>
        <v>122.73399999999999</v>
      </c>
      <c r="J14" s="19">
        <f>_xll.BDH("SRPT US Equity","GROSS_PROFIT","FQ1 2021","FQ1 2021","Currency=USD","Period=FQ","BEST_FPERIOD_OVERRIDE=FQ","FILING_STATUS=MR","SCALING_FORMAT=MLN","FA_ADJUSTED=Adjusted","Sort=A","Dates=H","DateFormat=P","Fill=—","Direction=H","UseDPDF=Y")</f>
        <v>124.58499999999999</v>
      </c>
      <c r="K14" s="19">
        <f>_xll.BDH("SRPT US Equity","GROSS_PROFIT","FQ2 2021","FQ2 2021","Currency=USD","Period=FQ","BEST_FPERIOD_OVERRIDE=FQ","FILING_STATUS=MR","SCALING_FORMAT=MLN","FA_ADJUSTED=Adjusted","Sort=A","Dates=H","DateFormat=P","Fill=—","Direction=H","UseDPDF=Y")</f>
        <v>144.57400000000001</v>
      </c>
      <c r="L14" s="19">
        <f>_xll.BDH("SRPT US Equity","GROSS_PROFIT","FQ3 2021","FQ3 2021","Currency=USD","Period=FQ","BEST_FPERIOD_OVERRIDE=FQ","FILING_STATUS=MR","SCALING_FORMAT=MLN","FA_ADJUSTED=Adjusted","Sort=A","Dates=H","DateFormat=P","Fill=—","Direction=H","UseDPDF=Y")</f>
        <v>165.96199999999999</v>
      </c>
      <c r="M14" s="19">
        <f>_xll.BDH("SRPT US Equity","GROSS_PROFIT","FQ4 2021","FQ4 2021","Currency=USD","Period=FQ","BEST_FPERIOD_OVERRIDE=FQ","FILING_STATUS=MR","SCALING_FORMAT=MLN","FA_ADJUSTED=Adjusted","Sort=A","Dates=H","DateFormat=P","Fill=—","Direction=H","UseDPDF=Y")</f>
        <v>169.71700000000001</v>
      </c>
      <c r="N14" s="19">
        <f>_xll.BDH("SRPT US Equity","GROSS_PROFIT","FQ1 2022","FQ1 2022","Currency=USD","Period=FQ","BEST_FPERIOD_OVERRIDE=FQ","FILING_STATUS=MR","SCALING_FORMAT=MLN","FA_ADJUSTED=Adjusted","Sort=A","Dates=H","DateFormat=P","Fill=—","Direction=H","UseDPDF=Y")</f>
        <v>179.387</v>
      </c>
      <c r="O14" s="19">
        <f>_xll.BDH("SRPT US Equity","GROSS_PROFIT","FQ2 2022","FQ2 2022","Currency=USD","Period=FQ","BEST_FPERIOD_OVERRIDE=FQ","FILING_STATUS=MR","SCALING_FORMAT=MLN","FA_ADJUSTED=Adjusted","Sort=A","Dates=H","DateFormat=P","Fill=—","Direction=H","UseDPDF=Y")</f>
        <v>195.69200000000001</v>
      </c>
      <c r="P14" s="19">
        <f>_xll.BDH("SRPT US Equity","GROSS_PROFIT","FQ3 2022","FQ3 2022","Currency=USD","Period=FQ","BEST_FPERIOD_OVERRIDE=FQ","FILING_STATUS=MR","SCALING_FORMAT=MLN","FA_ADJUSTED=Adjusted","Sort=A","Dates=H","DateFormat=P","Fill=—","Direction=H","UseDPDF=Y")</f>
        <v>190.31700000000001</v>
      </c>
      <c r="Q14" s="19">
        <f>_xll.BDH("SRPT US Equity","GROSS_PROFIT","FQ4 2022","FQ4 2022","Currency=USD","Period=FQ","BEST_FPERIOD_OVERRIDE=FQ","FILING_STATUS=MR","SCALING_FORMAT=MLN","FA_ADJUSTED=Adjusted","Sort=A","Dates=H","DateFormat=P","Fill=—","Direction=H","UseDPDF=Y")</f>
        <v>227.62799999999999</v>
      </c>
      <c r="R14" s="19">
        <f>_xll.BDH("SRPT US Equity","GROSS_PROFIT","FQ1 2023","FQ1 2023","Currency=USD","Period=FQ","BEST_FPERIOD_OVERRIDE=FQ","FILING_STATUS=MR","SCALING_FORMAT=MLN","FA_ADJUSTED=Adjusted","Sort=A","Dates=H","DateFormat=P","Fill=—","Direction=H","UseDPDF=Y")</f>
        <v>218.483</v>
      </c>
      <c r="S14" s="19">
        <f>_xll.BDH("SRPT US Equity","GROSS_PROFIT","FQ2 2023","FQ2 2023","Currency=USD","Period=FQ","BEST_FPERIOD_OVERRIDE=FQ","FILING_STATUS=MR","SCALING_FORMAT=MLN","FA_ADJUSTED=Adjusted","Sort=A","Dates=H","DateFormat=P","Fill=—","Direction=H","UseDPDF=Y")</f>
        <v>227.114</v>
      </c>
      <c r="T14" s="19">
        <f>_xll.BDH("SRPT US Equity","GROSS_PROFIT","FQ3 2023","FQ3 2023","Currency=USD","Period=FQ","BEST_FPERIOD_OVERRIDE=FQ","FILING_STATUS=MR","SCALING_FORMAT=MLN","FA_ADJUSTED=Adjusted","Sort=A","Dates=H","DateFormat=P","Fill=—","Direction=H","UseDPDF=Y")</f>
        <v>294.791</v>
      </c>
      <c r="U14" s="19">
        <f>_xll.BDH("SRPT US Equity","GROSS_PROFIT","FQ4 2023","FQ4 2023","Currency=USD","Period=FQ","BEST_FPERIOD_OVERRIDE=FQ","FILING_STATUS=MR","SCALING_FORMAT=MLN","FA_ADJUSTED=Adjusted","Sort=A","Dates=H","DateFormat=P","Fill=—","Direction=H","UseDPDF=Y")</f>
        <v>352.60500000000002</v>
      </c>
      <c r="V14" s="19">
        <f>_xll.BDH("SRPT US Equity","GROSS_PROFIT","FQ1 2024","FQ1 2024","Currency=USD","Period=FQ","BEST_FPERIOD_OVERRIDE=FQ","FILING_STATUS=MR","SCALING_FORMAT=MLN","FA_ADJUSTED=Adjusted","Sort=A","Dates=H","DateFormat=P","Fill=—","Direction=H","UseDPDF=Y")</f>
        <v>362.90499999999997</v>
      </c>
      <c r="W14" s="19">
        <f>_xll.BDH("SRPT US Equity","GROSS_PROFIT","FQ2 2024","FQ2 2024","Currency=USD","Period=FQ","BEST_FPERIOD_OVERRIDE=FQ","FILING_STATUS=MR","SCALING_FORMAT=MLN","FA_ADJUSTED=Adjusted","Sort=A","Dates=H","DateFormat=P","Fill=—","Direction=H","UseDPDF=Y")</f>
        <v>318.38600000000002</v>
      </c>
      <c r="X14" s="19">
        <f>_xll.BDH("SRPT US Equity","GROSS_PROFIT","FQ3 2024","FQ3 2024","Currency=USD","Period=FQ","BEST_FPERIOD_OVERRIDE=FQ","FILING_STATUS=MR","SCALING_FORMAT=MLN","FA_ADJUSTED=Adjusted","Sort=A","Dates=H","DateFormat=P","Fill=—","Direction=H","UseDPDF=Y")</f>
        <v>375.48099999999999</v>
      </c>
      <c r="Y14" s="19">
        <f>_xll.BDH("SRPT US Equity","GROSS_PROFIT","FQ4 2024","FQ4 2024","Currency=USD","Period=FQ","BEST_FPERIOD_OVERRIDE=FQ","FILING_STATUS=MR","SCALING_FORMAT=MLN","FA_ADJUSTED=Adjusted","Sort=A","Dates=H","DateFormat=P","Fill=—","Direction=H","UseDPDF=Y")</f>
        <v>526.10799999999995</v>
      </c>
      <c r="Z14" s="19">
        <v>576.99631699999998</v>
      </c>
      <c r="AA14" s="19">
        <v>633.55855199999996</v>
      </c>
    </row>
    <row r="15" spans="1:27" x14ac:dyDescent="0.25">
      <c r="A15" s="11" t="s">
        <v>76</v>
      </c>
      <c r="B15" s="11" t="s">
        <v>75</v>
      </c>
      <c r="C15" s="25">
        <v>83.184391769130002</v>
      </c>
      <c r="D15" s="25">
        <v>86.836764572247901</v>
      </c>
      <c r="E15" s="25">
        <v>84.4505708549339</v>
      </c>
      <c r="F15" s="25">
        <v>88.8963175396309</v>
      </c>
      <c r="G15" s="25">
        <v>90.287777640266995</v>
      </c>
      <c r="H15" s="25">
        <v>89.567410577804907</v>
      </c>
      <c r="I15" s="25">
        <v>84.563656657801502</v>
      </c>
      <c r="J15" s="25">
        <v>84.791500772471394</v>
      </c>
      <c r="K15" s="25">
        <v>88.107063849496299</v>
      </c>
      <c r="L15" s="25">
        <v>87.622356208356607</v>
      </c>
      <c r="M15" s="25">
        <v>84.243104124371499</v>
      </c>
      <c r="N15" s="25">
        <v>85.086088317601806</v>
      </c>
      <c r="O15" s="25">
        <v>83.812803282409703</v>
      </c>
      <c r="P15" s="25">
        <v>82.649857340762296</v>
      </c>
      <c r="Q15" s="25">
        <v>88.082127641461597</v>
      </c>
      <c r="R15" s="25">
        <v>86.186587771203193</v>
      </c>
      <c r="S15" s="25">
        <v>86.9375818219401</v>
      </c>
      <c r="T15" s="25">
        <v>88.841439709237306</v>
      </c>
      <c r="U15" s="25">
        <v>88.8664023730975</v>
      </c>
      <c r="V15" s="25">
        <v>87.771849544337599</v>
      </c>
      <c r="W15" s="25">
        <v>87.726317123640598</v>
      </c>
      <c r="X15" s="25">
        <v>80.373181611911704</v>
      </c>
      <c r="Y15" s="25">
        <v>79.905591028110095</v>
      </c>
      <c r="Z15" s="25">
        <v>83.033000000000001</v>
      </c>
      <c r="AA15" s="25">
        <v>83.352000000000004</v>
      </c>
    </row>
    <row r="16" spans="1:27" x14ac:dyDescent="0.25">
      <c r="A16" s="6" t="s">
        <v>77</v>
      </c>
      <c r="B16" s="6" t="s">
        <v>78</v>
      </c>
      <c r="C16" s="19">
        <f>_xll.BDH("SRPT US Equity","EBITDA","FQ2 2019","FQ2 2019","Currency=USD","Period=FQ","BEST_FPERIOD_OVERRIDE=FQ","FILING_STATUS=MR","SCALING_FORMAT=MLN","FA_ADJUSTED=Adjusted","Sort=A","Dates=H","DateFormat=P","Fill=—","Direction=H","UseDPDF=Y")</f>
        <v>-76.825000000000003</v>
      </c>
      <c r="D16" s="19">
        <f>_xll.BDH("SRPT US Equity","EBITDA","FQ3 2019","FQ3 2019","Currency=USD","Period=FQ","BEST_FPERIOD_OVERRIDE=FQ","FILING_STATUS=MR","SCALING_FORMAT=MLN","FA_ADJUSTED=Adjusted","Sort=A","Dates=H","DateFormat=P","Fill=—","Direction=H","UseDPDF=Y")</f>
        <v>-100.56100000000001</v>
      </c>
      <c r="E16" s="19">
        <f>_xll.BDH("SRPT US Equity","EBITDA","FQ4 2019","FQ4 2019","Currency=USD","Period=FQ","BEST_FPERIOD_OVERRIDE=FQ","FILING_STATUS=MR","SCALING_FORMAT=MLN","FA_ADJUSTED=Adjusted","Sort=A","Dates=H","DateFormat=P","Fill=—","Direction=H","UseDPDF=Y")</f>
        <v>-134.6</v>
      </c>
      <c r="F16" s="19">
        <f>_xll.BDH("SRPT US Equity","EBITDA","FQ1 2020","FQ1 2020","Currency=USD","Period=FQ","BEST_FPERIOD_OVERRIDE=FQ","FILING_STATUS=MR","SCALING_FORMAT=MLN","FA_ADJUSTED=Adjusted","Sort=A","Dates=H","DateFormat=P","Fill=—","Direction=H","UseDPDF=Y")</f>
        <v>-99.405000000000001</v>
      </c>
      <c r="G16" s="19">
        <f>_xll.BDH("SRPT US Equity","EBITDA","FQ2 2020","FQ2 2020","Currency=USD","Period=FQ","BEST_FPERIOD_OVERRIDE=FQ","FILING_STATUS=MR","SCALING_FORMAT=MLN","FA_ADJUSTED=Adjusted","Sort=A","Dates=H","DateFormat=P","Fill=—","Direction=H","UseDPDF=Y")</f>
        <v>-129.87799999999999</v>
      </c>
      <c r="H16" s="19">
        <f>_xll.BDH("SRPT US Equity","EBITDA","FQ3 2020","FQ3 2020","Currency=USD","Period=FQ","BEST_FPERIOD_OVERRIDE=FQ","FILING_STATUS=MR","SCALING_FORMAT=MLN","FA_ADJUSTED=Adjusted","Sort=A","Dates=H","DateFormat=P","Fill=—","Direction=H","UseDPDF=Y")</f>
        <v>-112.874</v>
      </c>
      <c r="I16" s="19">
        <f>_xll.BDH("SRPT US Equity","EBITDA","FQ4 2020","FQ4 2020","Currency=USD","Period=FQ","BEST_FPERIOD_OVERRIDE=FQ","FILING_STATUS=MR","SCALING_FORMAT=MLN","FA_ADJUSTED=Adjusted","Sort=A","Dates=H","DateFormat=P","Fill=—","Direction=H","UseDPDF=Y")</f>
        <v>-138.828</v>
      </c>
      <c r="J16" s="19">
        <f>_xll.BDH("SRPT US Equity","EBITDA","FQ1 2021","FQ1 2021","Currency=USD","Period=FQ","BEST_FPERIOD_OVERRIDE=FQ","FILING_STATUS=MR","SCALING_FORMAT=MLN","FA_ADJUSTED=Adjusted","Sort=A","Dates=H","DateFormat=P","Fill=—","Direction=H","UseDPDF=Y")</f>
        <v>-128.935</v>
      </c>
      <c r="K16" s="19">
        <f>_xll.BDH("SRPT US Equity","EBITDA","FQ2 2021","FQ2 2021","Currency=USD","Period=FQ","BEST_FPERIOD_OVERRIDE=FQ","FILING_STATUS=MR","SCALING_FORMAT=MLN","FA_ADJUSTED=Adjusted","Sort=A","Dates=H","DateFormat=P","Fill=—","Direction=H","UseDPDF=Y")</f>
        <v>-229.45</v>
      </c>
      <c r="L16" s="19">
        <f>_xll.BDH("SRPT US Equity","EBITDA","FQ3 2021","FQ3 2021","Currency=USD","Period=FQ","BEST_FPERIOD_OVERRIDE=FQ","FILING_STATUS=MR","SCALING_FORMAT=MLN","FA_ADJUSTED=Adjusted","Sort=A","Dates=H","DateFormat=P","Fill=—","Direction=H","UseDPDF=Y")</f>
        <v>-23.963000000000001</v>
      </c>
      <c r="M16" s="19">
        <f>_xll.BDH("SRPT US Equity","EBITDA","FQ4 2021","FQ4 2021","Currency=USD","Period=FQ","BEST_FPERIOD_OVERRIDE=FQ","FILING_STATUS=MR","SCALING_FORMAT=MLN","FA_ADJUSTED=Adjusted","Sort=A","Dates=H","DateFormat=P","Fill=—","Direction=H","UseDPDF=Y")</f>
        <v>-95.668000000000006</v>
      </c>
      <c r="N16" s="19">
        <f>_xll.BDH("SRPT US Equity","EBITDA","FQ1 2022","FQ1 2022","Currency=USD","Period=FQ","BEST_FPERIOD_OVERRIDE=FQ","FILING_STATUS=MR","SCALING_FORMAT=MLN","FA_ADJUSTED=Adjusted","Sort=A","Dates=H","DateFormat=P","Fill=—","Direction=H","UseDPDF=Y")</f>
        <v>-76.162000000000006</v>
      </c>
      <c r="O16" s="19">
        <f>_xll.BDH("SRPT US Equity","EBITDA","FQ2 2022","FQ2 2022","Currency=USD","Period=FQ","BEST_FPERIOD_OVERRIDE=FQ","FILING_STATUS=MR","SCALING_FORMAT=MLN","FA_ADJUSTED=Adjusted","Sort=A","Dates=H","DateFormat=P","Fill=—","Direction=H","UseDPDF=Y")</f>
        <v>-201.24299999999999</v>
      </c>
      <c r="P16" s="19">
        <f>_xll.BDH("SRPT US Equity","EBITDA","FQ3 2022","FQ3 2022","Currency=USD","Period=FQ","BEST_FPERIOD_OVERRIDE=FQ","FILING_STATUS=MR","SCALING_FORMAT=MLN","FA_ADJUSTED=Adjusted","Sort=A","Dates=H","DateFormat=P","Fill=—","Direction=H","UseDPDF=Y")</f>
        <v>-120.652</v>
      </c>
      <c r="Q16" s="19">
        <f>_xll.BDH("SRPT US Equity","EBITDA","FQ4 2022","FQ4 2022","Currency=USD","Period=FQ","BEST_FPERIOD_OVERRIDE=FQ","FILING_STATUS=MR","SCALING_FORMAT=MLN","FA_ADJUSTED=Adjusted","Sort=A","Dates=H","DateFormat=P","Fill=—","Direction=H","UseDPDF=Y")</f>
        <v>-96.28</v>
      </c>
      <c r="R16" s="19">
        <f>_xll.BDH("SRPT US Equity","EBITDA","FQ1 2023","FQ1 2023","Currency=USD","Period=FQ","BEST_FPERIOD_OVERRIDE=FQ","FILING_STATUS=MR","SCALING_FORMAT=MLN","FA_ADJUSTED=Adjusted","Sort=A","Dates=H","DateFormat=P","Fill=—","Direction=H","UseDPDF=Y")</f>
        <v>-126.783</v>
      </c>
      <c r="S16" s="19">
        <f>_xll.BDH("SRPT US Equity","EBITDA","FQ2 2023","FQ2 2023","Currency=USD","Period=FQ","BEST_FPERIOD_OVERRIDE=FQ","FILING_STATUS=MR","SCALING_FORMAT=MLN","FA_ADJUSTED=Adjusted","Sort=A","Dates=H","DateFormat=P","Fill=—","Direction=H","UseDPDF=Y")</f>
        <v>-122.727</v>
      </c>
      <c r="T16" s="19">
        <f>_xll.BDH("SRPT US Equity","EBITDA","FQ3 2023","FQ3 2023","Currency=USD","Period=FQ","BEST_FPERIOD_OVERRIDE=FQ","FILING_STATUS=MR","SCALING_FORMAT=MLN","FA_ADJUSTED=Adjusted","Sort=A","Dates=H","DateFormat=P","Fill=—","Direction=H","UseDPDF=Y")</f>
        <v>-9.9139999999999997</v>
      </c>
      <c r="U16" s="19">
        <f>_xll.BDH("SRPT US Equity","EBITDA","FQ4 2023","FQ4 2023","Currency=USD","Period=FQ","BEST_FPERIOD_OVERRIDE=FQ","FILING_STATUS=MR","SCALING_FORMAT=MLN","FA_ADJUSTED=Adjusted","Sort=A","Dates=H","DateFormat=P","Fill=—","Direction=H","UseDPDF=Y")</f>
        <v>35.997</v>
      </c>
      <c r="V16" s="19">
        <f>_xll.BDH("SRPT US Equity","EBITDA","FQ1 2024","FQ1 2024","Currency=USD","Period=FQ","BEST_FPERIOD_OVERRIDE=FQ","FILING_STATUS=MR","SCALING_FORMAT=MLN","FA_ADJUSTED=Adjusted","Sort=A","Dates=H","DateFormat=P","Fill=—","Direction=H","UseDPDF=Y")</f>
        <v>43.649000000000001</v>
      </c>
      <c r="W16" s="19">
        <f>_xll.BDH("SRPT US Equity","EBITDA","FQ2 2024","FQ2 2024","Currency=USD","Period=FQ","BEST_FPERIOD_OVERRIDE=FQ","FILING_STATUS=MR","SCALING_FORMAT=MLN","FA_ADJUSTED=Adjusted","Sort=A","Dates=H","DateFormat=P","Fill=—","Direction=H","UseDPDF=Y")</f>
        <v>8.0180000000000007</v>
      </c>
      <c r="X16" s="19">
        <f>_xll.BDH("SRPT US Equity","EBITDA","FQ3 2024","FQ3 2024","Currency=USD","Period=FQ","BEST_FPERIOD_OVERRIDE=FQ","FILING_STATUS=MR","SCALING_FORMAT=MLN","FA_ADJUSTED=Adjusted","Sort=A","Dates=H","DateFormat=P","Fill=—","Direction=H","UseDPDF=Y")</f>
        <v>32.002000000000002</v>
      </c>
      <c r="Y16" s="19">
        <f>_xll.BDH("SRPT US Equity","EBITDA","FQ4 2024","FQ4 2024","Currency=USD","Period=FQ","BEST_FPERIOD_OVERRIDE=FQ","FILING_STATUS=MR","SCALING_FORMAT=MLN","FA_ADJUSTED=Adjusted","Sort=A","Dates=H","DateFormat=P","Fill=—","Direction=H","UseDPDF=Y")</f>
        <v>172.136</v>
      </c>
      <c r="Z16" s="19">
        <v>18.2</v>
      </c>
      <c r="AA16" s="19">
        <v>276.2</v>
      </c>
    </row>
    <row r="17" spans="1:27" x14ac:dyDescent="0.25">
      <c r="A17" s="11" t="s">
        <v>76</v>
      </c>
      <c r="B17" s="11" t="s">
        <v>78</v>
      </c>
      <c r="C17" s="25">
        <v>-81.152026027802407</v>
      </c>
      <c r="D17" s="25">
        <v>-101.53471794509301</v>
      </c>
      <c r="E17" s="25">
        <v>-134.448073676745</v>
      </c>
      <c r="F17" s="25">
        <v>-87.447437408730195</v>
      </c>
      <c r="G17" s="25">
        <v>-94.550934385533196</v>
      </c>
      <c r="H17" s="25">
        <v>-78.426113782274001</v>
      </c>
      <c r="I17" s="25">
        <v>-95.652413565020893</v>
      </c>
      <c r="J17" s="25">
        <v>-87.752074102810198</v>
      </c>
      <c r="K17" s="25">
        <v>-139.832651792625</v>
      </c>
      <c r="L17" s="25">
        <v>-12.6516583423968</v>
      </c>
      <c r="M17" s="25">
        <v>-47.487106685661203</v>
      </c>
      <c r="N17" s="25">
        <v>-36.124839918417699</v>
      </c>
      <c r="O17" s="25">
        <v>-86.190237572113205</v>
      </c>
      <c r="P17" s="25">
        <v>-52.3961106358216</v>
      </c>
      <c r="Q17" s="25">
        <v>-37.256169053543204</v>
      </c>
      <c r="R17" s="25">
        <v>-50.013017751479303</v>
      </c>
      <c r="S17" s="25">
        <v>-46.9789999923441</v>
      </c>
      <c r="T17" s="25">
        <v>-2.9877914633668601</v>
      </c>
      <c r="U17" s="25">
        <v>9.0722590043374005</v>
      </c>
      <c r="V17" s="25">
        <v>10.556904591451699</v>
      </c>
      <c r="W17" s="25">
        <v>2.2092353642978999</v>
      </c>
      <c r="X17" s="25">
        <v>6.8501536907177698</v>
      </c>
      <c r="Y17" s="25">
        <v>26.1441164498824</v>
      </c>
      <c r="Z17" s="25">
        <v>2.61908188228522</v>
      </c>
      <c r="AA17" s="25">
        <v>36.337324036311003</v>
      </c>
    </row>
    <row r="18" spans="1:27" x14ac:dyDescent="0.25">
      <c r="A18" s="6" t="s">
        <v>79</v>
      </c>
      <c r="B18" s="6" t="s">
        <v>80</v>
      </c>
      <c r="C18" s="19">
        <f>_xll.BDH("SRPT US Equity","EARN_FOR_COMMON","FQ2 2019","FQ2 2019","Currency=USD","Period=FQ","BEST_FPERIOD_OVERRIDE=FQ","FILING_STATUS=MR","SCALING_FORMAT=MLN","FA_ADJUSTED=Adjusted","Sort=A","Dates=H","DateFormat=P","Fill=—","Direction=H","UseDPDF=Y")</f>
        <v>-88.084999999999994</v>
      </c>
      <c r="D18" s="19">
        <f>_xll.BDH("SRPT US Equity","EARN_FOR_COMMON","FQ3 2019","FQ3 2019","Currency=USD","Period=FQ","BEST_FPERIOD_OVERRIDE=FQ","FILING_STATUS=MR","SCALING_FORMAT=MLN","FA_ADJUSTED=Adjusted","Sort=A","Dates=H","DateFormat=P","Fill=—","Direction=H","UseDPDF=Y")</f>
        <v>-116.7307</v>
      </c>
      <c r="E18" s="19">
        <f>_xll.BDH("SRPT US Equity","EARN_FOR_COMMON","FQ4 2019","FQ4 2019","Currency=USD","Period=FQ","BEST_FPERIOD_OVERRIDE=FQ","FILING_STATUS=MR","SCALING_FORMAT=MLN","FA_ADJUSTED=Adjusted","Sort=A","Dates=H","DateFormat=P","Fill=—","Direction=H","UseDPDF=Y")</f>
        <v>-168.69839999999999</v>
      </c>
      <c r="F18" s="19">
        <f>_xll.BDH("SRPT US Equity","EARN_FOR_COMMON","FQ1 2020","FQ1 2020","Currency=USD","Period=FQ","BEST_FPERIOD_OVERRIDE=FQ","FILING_STATUS=MR","SCALING_FORMAT=MLN","FA_ADJUSTED=Adjusted","Sort=A","Dates=H","DateFormat=P","Fill=—","Direction=H","UseDPDF=Y")</f>
        <v>-114.0907</v>
      </c>
      <c r="G18" s="19">
        <f>_xll.BDH("SRPT US Equity","EARN_FOR_COMMON","FQ2 2020","FQ2 2020","Currency=USD","Period=FQ","BEST_FPERIOD_OVERRIDE=FQ","FILING_STATUS=MR","SCALING_FORMAT=MLN","FA_ADJUSTED=Adjusted","Sort=A","Dates=H","DateFormat=P","Fill=—","Direction=H","UseDPDF=Y")</f>
        <v>-150.82</v>
      </c>
      <c r="H18" s="19">
        <f>_xll.BDH("SRPT US Equity","EARN_FOR_COMMON","FQ3 2020","FQ3 2020","Currency=USD","Period=FQ","BEST_FPERIOD_OVERRIDE=FQ","FILING_STATUS=MR","SCALING_FORMAT=MLN","FA_ADJUSTED=Adjusted","Sort=A","Dates=H","DateFormat=P","Fill=—","Direction=H","UseDPDF=Y")</f>
        <v>-148.80279999999999</v>
      </c>
      <c r="I18" s="19">
        <f>_xll.BDH("SRPT US Equity","EARN_FOR_COMMON","FQ4 2020","FQ4 2020","Currency=USD","Period=FQ","BEST_FPERIOD_OVERRIDE=FQ","FILING_STATUS=MR","SCALING_FORMAT=MLN","FA_ADJUSTED=Adjusted","Sort=A","Dates=H","DateFormat=P","Fill=—","Direction=H","UseDPDF=Y")</f>
        <v>-180.9256</v>
      </c>
      <c r="J18" s="19">
        <f>_xll.BDH("SRPT US Equity","EARN_FOR_COMMON","FQ1 2021","FQ1 2021","Currency=USD","Period=FQ","BEST_FPERIOD_OVERRIDE=FQ","FILING_STATUS=MR","SCALING_FORMAT=MLN","FA_ADJUSTED=Adjusted","Sort=A","Dates=H","DateFormat=P","Fill=—","Direction=H","UseDPDF=Y")</f>
        <v>-153.2946</v>
      </c>
      <c r="K18" s="19">
        <f>_xll.BDH("SRPT US Equity","EARN_FOR_COMMON","FQ2 2021","FQ2 2021","Currency=USD","Period=FQ","BEST_FPERIOD_OVERRIDE=FQ","FILING_STATUS=MR","SCALING_FORMAT=MLN","FA_ADJUSTED=Adjusted","Sort=A","Dates=H","DateFormat=P","Fill=—","Direction=H","UseDPDF=Y")</f>
        <v>-151.72800000000001</v>
      </c>
      <c r="L18" s="19">
        <f>_xll.BDH("SRPT US Equity","EARN_FOR_COMMON","FQ3 2021","FQ3 2021","Currency=USD","Period=FQ","BEST_FPERIOD_OVERRIDE=FQ","FILING_STATUS=MR","SCALING_FORMAT=MLN","FA_ADJUSTED=Adjusted","Sort=A","Dates=H","DateFormat=P","Fill=—","Direction=H","UseDPDF=Y")</f>
        <v>-44.598500000000001</v>
      </c>
      <c r="M18" s="19">
        <f>_xll.BDH("SRPT US Equity","EARN_FOR_COMMON","FQ4 2021","FQ4 2021","Currency=USD","Period=FQ","BEST_FPERIOD_OVERRIDE=FQ","FILING_STATUS=MR","SCALING_FORMAT=MLN","FA_ADJUSTED=Adjusted","Sort=A","Dates=H","DateFormat=P","Fill=—","Direction=H","UseDPDF=Y")</f>
        <v>-121.98099999999999</v>
      </c>
      <c r="N18" s="19">
        <f>_xll.BDH("SRPT US Equity","EARN_FOR_COMMON","FQ1 2022","FQ1 2022","Currency=USD","Period=FQ","BEST_FPERIOD_OVERRIDE=FQ","FILING_STATUS=MR","SCALING_FORMAT=MLN","FA_ADJUSTED=Adjusted","Sort=A","Dates=H","DateFormat=P","Fill=—","Direction=H","UseDPDF=Y")</f>
        <v>-105.02500000000001</v>
      </c>
      <c r="O18" s="19">
        <f>_xll.BDH("SRPT US Equity","EARN_FOR_COMMON","FQ2 2022","FQ2 2022","Currency=USD","Period=FQ","BEST_FPERIOD_OVERRIDE=FQ","FILING_STATUS=MR","SCALING_FORMAT=MLN","FA_ADJUSTED=Adjusted","Sort=A","Dates=H","DateFormat=P","Fill=—","Direction=H","UseDPDF=Y")</f>
        <v>-231.48099999999999</v>
      </c>
      <c r="P18" s="19">
        <f>_xll.BDH("SRPT US Equity","EARN_FOR_COMMON","FQ3 2022","FQ3 2022","Currency=USD","Period=FQ","BEST_FPERIOD_OVERRIDE=FQ","FILING_STATUS=MR","SCALING_FORMAT=MLN","FA_ADJUSTED=Adjusted","Sort=A","Dates=H","DateFormat=P","Fill=—","Direction=H","UseDPDF=Y")</f>
        <v>-163.93260000000001</v>
      </c>
      <c r="Q18" s="19">
        <f>_xll.BDH("SRPT US Equity","EARN_FOR_COMMON","FQ4 2022","FQ4 2022","Currency=USD","Period=FQ","BEST_FPERIOD_OVERRIDE=FQ","FILING_STATUS=MR","SCALING_FORMAT=MLN","FA_ADJUSTED=Adjusted","Sort=A","Dates=H","DateFormat=P","Fill=—","Direction=H","UseDPDF=Y")</f>
        <v>-107.2098</v>
      </c>
      <c r="R18" s="19">
        <f>_xll.BDH("SRPT US Equity","EARN_FOR_COMMON","FQ1 2023","FQ1 2023","Currency=USD","Period=FQ","BEST_FPERIOD_OVERRIDE=FQ","FILING_STATUS=MR","SCALING_FORMAT=MLN","FA_ADJUSTED=Adjusted","Sort=A","Dates=H","DateFormat=P","Fill=—","Direction=H","UseDPDF=Y")</f>
        <v>-210.76509999999999</v>
      </c>
      <c r="S18" s="19">
        <f>_xll.BDH("SRPT US Equity","EARN_FOR_COMMON","FQ2 2023","FQ2 2023","Currency=USD","Period=FQ","BEST_FPERIOD_OVERRIDE=FQ","FILING_STATUS=MR","SCALING_FORMAT=MLN","FA_ADJUSTED=Adjusted","Sort=A","Dates=H","DateFormat=P","Fill=—","Direction=H","UseDPDF=Y")</f>
        <v>-105.152</v>
      </c>
      <c r="T18" s="19">
        <f>_xll.BDH("SRPT US Equity","EARN_FOR_COMMON","FQ3 2023","FQ3 2023","Currency=USD","Period=FQ","BEST_FPERIOD_OVERRIDE=FQ","FILING_STATUS=MR","SCALING_FORMAT=MLN","FA_ADJUSTED=Adjusted","Sort=A","Dates=H","DateFormat=P","Fill=—","Direction=H","UseDPDF=Y")</f>
        <v>-39.356999999999999</v>
      </c>
      <c r="U18" s="19">
        <f>_xll.BDH("SRPT US Equity","EARN_FOR_COMMON","FQ4 2023","FQ4 2023","Currency=USD","Period=FQ","BEST_FPERIOD_OVERRIDE=FQ","FILING_STATUS=MR","SCALING_FORMAT=MLN","FA_ADJUSTED=Adjusted","Sort=A","Dates=H","DateFormat=P","Fill=—","Direction=H","UseDPDF=Y")</f>
        <v>45.655000000000001</v>
      </c>
      <c r="V18" s="19">
        <f>_xll.BDH("SRPT US Equity","EARN_FOR_COMMON","FQ1 2024","FQ1 2024","Currency=USD","Period=FQ","BEST_FPERIOD_OVERRIDE=FQ","FILING_STATUS=MR","SCALING_FORMAT=MLN","FA_ADJUSTED=Adjusted","Sort=A","Dates=H","DateFormat=P","Fill=—","Direction=H","UseDPDF=Y")</f>
        <v>45.906999999999996</v>
      </c>
      <c r="W18" s="19">
        <f>_xll.BDH("SRPT US Equity","EARN_FOR_COMMON","FQ2 2024","FQ2 2024","Currency=USD","Period=FQ","BEST_FPERIOD_OVERRIDE=FQ","FILING_STATUS=MR","SCALING_FORMAT=MLN","FA_ADJUSTED=Adjusted","Sort=A","Dates=H","DateFormat=P","Fill=—","Direction=H","UseDPDF=Y")</f>
        <v>6.46</v>
      </c>
      <c r="X18" s="19">
        <f>_xll.BDH("SRPT US Equity","EARN_FOR_COMMON","FQ3 2024","FQ3 2024","Currency=USD","Period=FQ","BEST_FPERIOD_OVERRIDE=FQ","FILING_STATUS=MR","SCALING_FORMAT=MLN","FA_ADJUSTED=Adjusted","Sort=A","Dates=H","DateFormat=P","Fill=—","Direction=H","UseDPDF=Y")</f>
        <v>32.251100000000001</v>
      </c>
      <c r="Y18" s="19">
        <f>_xll.BDH("SRPT US Equity","EARN_FOR_COMMON","FQ4 2024","FQ4 2024","Currency=USD","Period=FQ","BEST_FPERIOD_OVERRIDE=FQ","FILING_STATUS=MR","SCALING_FORMAT=MLN","FA_ADJUSTED=Adjusted","Sort=A","Dates=H","DateFormat=P","Fill=—","Direction=H","UseDPDF=Y")</f>
        <v>158.33850000000001</v>
      </c>
      <c r="Z18" s="19">
        <v>97.182000000000002</v>
      </c>
      <c r="AA18" s="19">
        <v>292.846</v>
      </c>
    </row>
    <row r="19" spans="1:27" x14ac:dyDescent="0.25">
      <c r="A19" s="11" t="s">
        <v>76</v>
      </c>
      <c r="B19" s="11" t="s">
        <v>80</v>
      </c>
      <c r="C19" s="25">
        <v>-93.046224701060495</v>
      </c>
      <c r="D19" s="25">
        <v>-117.860946476712</v>
      </c>
      <c r="E19" s="25">
        <v>-168.507946020996</v>
      </c>
      <c r="F19" s="25">
        <v>-100.366538522441</v>
      </c>
      <c r="G19" s="25">
        <v>-109.79667013679099</v>
      </c>
      <c r="H19" s="25">
        <v>-103.389809899669</v>
      </c>
      <c r="I19" s="25">
        <v>-124.657649960727</v>
      </c>
      <c r="J19" s="25">
        <v>-104.331011835487</v>
      </c>
      <c r="K19" s="25">
        <v>-92.466892966621799</v>
      </c>
      <c r="L19" s="25">
        <v>-23.5464979990074</v>
      </c>
      <c r="M19" s="25">
        <v>-60.548195432366597</v>
      </c>
      <c r="N19" s="25">
        <v>-49.815016838210902</v>
      </c>
      <c r="O19" s="25">
        <v>-99.140851524924301</v>
      </c>
      <c r="P19" s="25">
        <v>-71.191784391298896</v>
      </c>
      <c r="Q19" s="25">
        <v>-41.4855065453687</v>
      </c>
      <c r="R19" s="25">
        <v>-83.1420473372781</v>
      </c>
      <c r="S19" s="25">
        <v>-40.251418246962501</v>
      </c>
      <c r="T19" s="25">
        <v>-11.8610559434869</v>
      </c>
      <c r="U19" s="25">
        <v>11.506347330139301</v>
      </c>
      <c r="V19" s="25">
        <v>11.1030273494186</v>
      </c>
      <c r="W19" s="25">
        <v>1.7799526631784</v>
      </c>
      <c r="X19" s="25">
        <v>6.9034661751988597</v>
      </c>
      <c r="Y19" s="25">
        <v>24.048547414081199</v>
      </c>
      <c r="Z19" s="25">
        <v>13.9850338178155</v>
      </c>
      <c r="AA19" s="25">
        <v>38.527299039600102</v>
      </c>
    </row>
    <row r="20" spans="1:27" x14ac:dyDescent="0.25">
      <c r="A20" s="6" t="s">
        <v>81</v>
      </c>
      <c r="B20" s="6" t="s">
        <v>82</v>
      </c>
      <c r="C20" s="20">
        <f>_xll.BDH("SRPT US Equity","IS_DIL_EPS_CONT_OPS","FQ2 2019","FQ2 2019","Currency=USD","Period=FQ","BEST_FPERIOD_OVERRIDE=FQ","FILING_STATUS=MR","Sort=A","Dates=H","DateFormat=P","Fill=—","Direction=H","UseDPDF=Y")</f>
        <v>-1.1937</v>
      </c>
      <c r="D20" s="20">
        <f>_xll.BDH("SRPT US Equity","IS_DIL_EPS_CONT_OPS","FQ3 2019","FQ3 2019","Currency=USD","Period=FQ","BEST_FPERIOD_OVERRIDE=FQ","FILING_STATUS=MR","Sort=A","Dates=H","DateFormat=P","Fill=—","Direction=H","UseDPDF=Y")</f>
        <v>-1.5737000000000001</v>
      </c>
      <c r="E20" s="20">
        <f>_xll.BDH("SRPT US Equity","IS_DIL_EPS_CONT_OPS","FQ4 2019","FQ4 2019","Currency=USD","Period=FQ","BEST_FPERIOD_OVERRIDE=FQ","FILING_STATUS=MR","Sort=A","Dates=H","DateFormat=P","Fill=—","Direction=H","UseDPDF=Y")</f>
        <v>-2.2627000000000002</v>
      </c>
      <c r="F20" s="20">
        <f>_xll.BDH("SRPT US Equity","IS_DIL_EPS_CONT_OPS","FQ1 2020","FQ1 2020","Currency=USD","Period=FQ","BEST_FPERIOD_OVERRIDE=FQ","FILING_STATUS=MR","Sort=A","Dates=H","DateFormat=P","Fill=—","Direction=H","UseDPDF=Y")</f>
        <v>-1.4939</v>
      </c>
      <c r="G20" s="20">
        <f>_xll.BDH("SRPT US Equity","IS_DIL_EPS_CONT_OPS","FQ2 2020","FQ2 2020","Currency=USD","Period=FQ","BEST_FPERIOD_OVERRIDE=FQ","FILING_STATUS=MR","Sort=A","Dates=H","DateFormat=P","Fill=—","Direction=H","UseDPDF=Y")</f>
        <v>-1.93</v>
      </c>
      <c r="H20" s="20">
        <f>_xll.BDH("SRPT US Equity","IS_DIL_EPS_CONT_OPS","FQ3 2020","FQ3 2020","Currency=USD","Period=FQ","BEST_FPERIOD_OVERRIDE=FQ","FILING_STATUS=MR","Sort=A","Dates=H","DateFormat=P","Fill=—","Direction=H","UseDPDF=Y")</f>
        <v>-1.8956</v>
      </c>
      <c r="I20" s="20">
        <f>_xll.BDH("SRPT US Equity","IS_DIL_EPS_CONT_OPS","FQ4 2020","FQ4 2020","Currency=USD","Period=FQ","BEST_FPERIOD_OVERRIDE=FQ","FILING_STATUS=MR","Sort=A","Dates=H","DateFormat=P","Fill=—","Direction=H","UseDPDF=Y")</f>
        <v>-2.2936999999999999</v>
      </c>
      <c r="J20" s="20">
        <f>_xll.BDH("SRPT US Equity","IS_DIL_EPS_CONT_OPS","FQ1 2021","FQ1 2021","Currency=USD","Period=FQ","BEST_FPERIOD_OVERRIDE=FQ","FILING_STATUS=MR","Sort=A","Dates=H","DateFormat=P","Fill=—","Direction=H","UseDPDF=Y")</f>
        <v>-1.9294</v>
      </c>
      <c r="K20" s="20">
        <f>_xll.BDH("SRPT US Equity","IS_DIL_EPS_CONT_OPS","FQ2 2021","FQ2 2021","Currency=USD","Period=FQ","BEST_FPERIOD_OVERRIDE=FQ","FILING_STATUS=MR","Sort=A","Dates=H","DateFormat=P","Fill=—","Direction=H","UseDPDF=Y")</f>
        <v>-1.9026000000000001</v>
      </c>
      <c r="L20" s="20">
        <f>_xll.BDH("SRPT US Equity","IS_DIL_EPS_CONT_OPS","FQ3 2021","FQ3 2021","Currency=USD","Period=FQ","BEST_FPERIOD_OVERRIDE=FQ","FILING_STATUS=MR","Sort=A","Dates=H","DateFormat=P","Fill=—","Direction=H","UseDPDF=Y")</f>
        <v>-0.55830000000000002</v>
      </c>
      <c r="M20" s="20">
        <f>_xll.BDH("SRPT US Equity","IS_DIL_EPS_CONT_OPS","FQ4 2021","FQ4 2021","Currency=USD","Period=FQ","BEST_FPERIOD_OVERRIDE=FQ","FILING_STATUS=MR","Sort=A","Dates=H","DateFormat=P","Fill=—","Direction=H","UseDPDF=Y")</f>
        <v>-1.42</v>
      </c>
      <c r="N20" s="20">
        <f>_xll.BDH("SRPT US Equity","IS_DIL_EPS_CONT_OPS","FQ1 2022","FQ1 2022","Currency=USD","Period=FQ","BEST_FPERIOD_OVERRIDE=FQ","FILING_STATUS=MR","Sort=A","Dates=H","DateFormat=P","Fill=—","Direction=H","UseDPDF=Y")</f>
        <v>-1.2</v>
      </c>
      <c r="O20" s="20">
        <f>_xll.BDH("SRPT US Equity","IS_DIL_EPS_CONT_OPS","FQ2 2022","FQ2 2022","Currency=USD","Period=FQ","BEST_FPERIOD_OVERRIDE=FQ","FILING_STATUS=MR","Sort=A","Dates=H","DateFormat=P","Fill=—","Direction=H","UseDPDF=Y")</f>
        <v>-2.65</v>
      </c>
      <c r="P20" s="20">
        <f>_xll.BDH("SRPT US Equity","IS_DIL_EPS_CONT_OPS","FQ3 2022","FQ3 2022","Currency=USD","Period=FQ","BEST_FPERIOD_OVERRIDE=FQ","FILING_STATUS=MR","Sort=A","Dates=H","DateFormat=P","Fill=—","Direction=H","UseDPDF=Y")</f>
        <v>-1.8708</v>
      </c>
      <c r="Q20" s="20">
        <f>_xll.BDH("SRPT US Equity","IS_DIL_EPS_CONT_OPS","FQ4 2022","FQ4 2022","Currency=USD","Period=FQ","BEST_FPERIOD_OVERRIDE=FQ","FILING_STATUS=MR","Sort=A","Dates=H","DateFormat=P","Fill=—","Direction=H","UseDPDF=Y")</f>
        <v>-1.2204999999999999</v>
      </c>
      <c r="R20" s="20">
        <f>_xll.BDH("SRPT US Equity","IS_DIL_EPS_CONT_OPS","FQ1 2023","FQ1 2023","Currency=USD","Period=FQ","BEST_FPERIOD_OVERRIDE=FQ","FILING_STATUS=MR","Sort=A","Dates=H","DateFormat=P","Fill=—","Direction=H","UseDPDF=Y")</f>
        <v>-2.3902000000000001</v>
      </c>
      <c r="S20" s="20">
        <f>_xll.BDH("SRPT US Equity","IS_DIL_EPS_CONT_OPS","FQ2 2023","FQ2 2023","Currency=USD","Period=FQ","BEST_FPERIOD_OVERRIDE=FQ","FILING_STATUS=MR","Sort=A","Dates=H","DateFormat=P","Fill=—","Direction=H","UseDPDF=Y")</f>
        <v>-1.1851</v>
      </c>
      <c r="T20" s="20">
        <f>_xll.BDH("SRPT US Equity","IS_DIL_EPS_CONT_OPS","FQ3 2023","FQ3 2023","Currency=USD","Period=FQ","BEST_FPERIOD_OVERRIDE=FQ","FILING_STATUS=MR","Sort=A","Dates=H","DateFormat=P","Fill=—","Direction=H","UseDPDF=Y")</f>
        <v>-0.44280000000000003</v>
      </c>
      <c r="U20" s="20">
        <f>_xll.BDH("SRPT US Equity","IS_DIL_EPS_CONT_OPS","FQ4 2023","FQ4 2023","Currency=USD","Period=FQ","BEST_FPERIOD_OVERRIDE=FQ","FILING_STATUS=MR","Sort=A","Dates=H","DateFormat=P","Fill=—","Direction=H","UseDPDF=Y")</f>
        <v>0.47</v>
      </c>
      <c r="V20" s="20">
        <f>_xll.BDH("SRPT US Equity","IS_DIL_EPS_CONT_OPS","FQ1 2024","FQ1 2024","Currency=USD","Period=FQ","BEST_FPERIOD_OVERRIDE=FQ","FILING_STATUS=MR","Sort=A","Dates=H","DateFormat=P","Fill=—","Direction=H","UseDPDF=Y")</f>
        <v>0.46879999999999999</v>
      </c>
      <c r="W20" s="20">
        <f>_xll.BDH("SRPT US Equity","IS_DIL_EPS_CONT_OPS","FQ2 2024","FQ2 2024","Currency=USD","Period=FQ","BEST_FPERIOD_OVERRIDE=FQ","FILING_STATUS=MR","Sort=A","Dates=H","DateFormat=P","Fill=—","Direction=H","UseDPDF=Y")</f>
        <v>7.0000000000000007E-2</v>
      </c>
      <c r="X20" s="20">
        <f>_xll.BDH("SRPT US Equity","IS_DIL_EPS_CONT_OPS","FQ3 2024","FQ3 2024","Currency=USD","Period=FQ","BEST_FPERIOD_OVERRIDE=FQ","FILING_STATUS=MR","Sort=A","Dates=H","DateFormat=P","Fill=—","Direction=H","UseDPDF=Y")</f>
        <v>0.32650000000000001</v>
      </c>
      <c r="Y20" s="20">
        <f>_xll.BDH("SRPT US Equity","IS_DIL_EPS_CONT_OPS","FQ4 2024","FQ4 2024","Currency=USD","Period=FQ","BEST_FPERIOD_OVERRIDE=FQ","FILING_STATUS=MR","Sort=A","Dates=H","DateFormat=P","Fill=—","Direction=H","UseDPDF=Y")</f>
        <v>1.4935</v>
      </c>
      <c r="Z20" s="20">
        <v>1.4410000000000001</v>
      </c>
      <c r="AA20" s="20">
        <v>2.8010000000000002</v>
      </c>
    </row>
    <row r="21" spans="1:27" x14ac:dyDescent="0.25">
      <c r="A21" s="11" t="s">
        <v>72</v>
      </c>
      <c r="B21" s="11" t="s">
        <v>83</v>
      </c>
      <c r="C21" s="26">
        <f>_xll.BDH("SRPT US Equity","DILUTED_EPS_AFT_XO_ITEMS_GROWTH","FQ2 2019","FQ2 2019","Currency=USD","Period=FQ","BEST_FPERIOD_OVERRIDE=FQ","FILING_STATUS=MR","FA_ADJUSTED=Adjusted","Sort=A","Dates=H","DateFormat=P","Fill=—","Direction=H","UseDPDF=Y")</f>
        <v>-22.729600000000001</v>
      </c>
      <c r="D21" s="26">
        <f>_xll.BDH("SRPT US Equity","DILUTED_EPS_AFT_XO_ITEMS_GROWTH","FQ3 2019","FQ3 2019","Currency=USD","Period=FQ","BEST_FPERIOD_OVERRIDE=FQ","FILING_STATUS=MR","FA_ADJUSTED=Adjusted","Sort=A","Dates=H","DateFormat=P","Fill=—","Direction=H","UseDPDF=Y")</f>
        <v>-83.381</v>
      </c>
      <c r="E21" s="26">
        <f>_xll.BDH("SRPT US Equity","DILUTED_EPS_AFT_XO_ITEMS_GROWTH","FQ4 2019","FQ4 2019","Currency=USD","Period=FQ","BEST_FPERIOD_OVERRIDE=FQ","FILING_STATUS=MR","FA_ADJUSTED=Adjusted","Sort=A","Dates=H","DateFormat=P","Fill=—","Direction=H","UseDPDF=Y")</f>
        <v>-12.6806</v>
      </c>
      <c r="F21" s="26">
        <f>_xll.BDH("SRPT US Equity","DILUTED_EPS_AFT_XO_ITEMS_GROWTH","FQ1 2020","FQ1 2020","Currency=USD","Period=FQ","BEST_FPERIOD_OVERRIDE=FQ","FILING_STATUS=MR","FA_ADJUSTED=Adjusted","Sort=A","Dates=H","DateFormat=P","Fill=—","Direction=H","UseDPDF=Y")</f>
        <v>-41.372900000000001</v>
      </c>
      <c r="G21" s="26">
        <f>_xll.BDH("SRPT US Equity","DILUTED_EPS_AFT_XO_ITEMS_GROWTH","FQ2 2020","FQ2 2020","Currency=USD","Period=FQ","BEST_FPERIOD_OVERRIDE=FQ","FILING_STATUS=MR","FA_ADJUSTED=Adjusted","Sort=A","Dates=H","DateFormat=P","Fill=—","Direction=H","UseDPDF=Y")</f>
        <v>-61.679900000000004</v>
      </c>
      <c r="H21" s="26">
        <f>_xll.BDH("SRPT US Equity","DILUTED_EPS_AFT_XO_ITEMS_GROWTH","FQ3 2020","FQ3 2020","Currency=USD","Period=FQ","BEST_FPERIOD_OVERRIDE=FQ","FILING_STATUS=MR","FA_ADJUSTED=Adjusted","Sort=A","Dates=H","DateFormat=P","Fill=—","Direction=H","UseDPDF=Y")</f>
        <v>-20.453700000000001</v>
      </c>
      <c r="I21" s="26">
        <f>_xll.BDH("SRPT US Equity","DILUTED_EPS_AFT_XO_ITEMS_GROWTH","FQ4 2020","FQ4 2020","Currency=USD","Period=FQ","BEST_FPERIOD_OVERRIDE=FQ","FILING_STATUS=MR","FA_ADJUSTED=Adjusted","Sort=A","Dates=H","DateFormat=P","Fill=—","Direction=H","UseDPDF=Y")</f>
        <v>-1.369</v>
      </c>
      <c r="J21" s="26">
        <f>_xll.BDH("SRPT US Equity","DILUTED_EPS_AFT_XO_ITEMS_GROWTH","FQ1 2021","FQ1 2021","Currency=USD","Period=FQ","BEST_FPERIOD_OVERRIDE=FQ","FILING_STATUS=MR","FA_ADJUSTED=Adjusted","Sort=A","Dates=H","DateFormat=P","Fill=—","Direction=H","UseDPDF=Y")</f>
        <v>-29.152799999999999</v>
      </c>
      <c r="K21" s="26">
        <f>_xll.BDH("SRPT US Equity","DILUTED_EPS_AFT_XO_ITEMS_GROWTH","FQ2 2021","FQ2 2021","Currency=USD","Period=FQ","BEST_FPERIOD_OVERRIDE=FQ","FILING_STATUS=MR","FA_ADJUSTED=Adjusted","Sort=A","Dates=H","DateFormat=P","Fill=—","Direction=H","UseDPDF=Y")</f>
        <v>1.4176</v>
      </c>
      <c r="L21" s="26">
        <f>_xll.BDH("SRPT US Equity","DILUTED_EPS_AFT_XO_ITEMS_GROWTH","FQ3 2021","FQ3 2021","Currency=USD","Period=FQ","BEST_FPERIOD_OVERRIDE=FQ","FILING_STATUS=MR","FA_ADJUSTED=Adjusted","Sort=A","Dates=H","DateFormat=P","Fill=—","Direction=H","UseDPDF=Y")</f>
        <v>70.545900000000003</v>
      </c>
      <c r="M21" s="26">
        <f>_xll.BDH("SRPT US Equity","DILUTED_EPS_AFT_XO_ITEMS_GROWTH","FQ4 2021","FQ4 2021","Currency=USD","Period=FQ","BEST_FPERIOD_OVERRIDE=FQ","FILING_STATUS=MR","FA_ADJUSTED=Adjusted","Sort=A","Dates=H","DateFormat=P","Fill=—","Direction=H","UseDPDF=Y")</f>
        <v>38.090000000000003</v>
      </c>
      <c r="N21" s="26">
        <f>_xll.BDH("SRPT US Equity","DILUTED_EPS_AFT_XO_ITEMS_GROWTH","FQ1 2022","FQ1 2022","Currency=USD","Period=FQ","BEST_FPERIOD_OVERRIDE=FQ","FILING_STATUS=MR","FA_ADJUSTED=Adjusted","Sort=A","Dates=H","DateFormat=P","Fill=—","Direction=H","UseDPDF=Y")</f>
        <v>37.802900000000001</v>
      </c>
      <c r="O21" s="26">
        <f>_xll.BDH("SRPT US Equity","DILUTED_EPS_AFT_XO_ITEMS_GROWTH","FQ2 2022","FQ2 2022","Currency=USD","Period=FQ","BEST_FPERIOD_OVERRIDE=FQ","FILING_STATUS=MR","FA_ADJUSTED=Adjusted","Sort=A","Dates=H","DateFormat=P","Fill=—","Direction=H","UseDPDF=Y")</f>
        <v>-39.280099999999997</v>
      </c>
      <c r="P21" s="26">
        <f>_xll.BDH("SRPT US Equity","DILUTED_EPS_AFT_XO_ITEMS_GROWTH","FQ3 2022","FQ3 2022","Currency=USD","Period=FQ","BEST_FPERIOD_OVERRIDE=FQ","FILING_STATUS=MR","FA_ADJUSTED=Adjusted","Sort=A","Dates=H","DateFormat=P","Fill=—","Direction=H","UseDPDF=Y")</f>
        <v>-235.07409999999999</v>
      </c>
      <c r="Q21" s="26">
        <f>_xll.BDH("SRPT US Equity","DILUTED_EPS_AFT_XO_ITEMS_GROWTH","FQ4 2022","FQ4 2022","Currency=USD","Period=FQ","BEST_FPERIOD_OVERRIDE=FQ","FILING_STATUS=MR","FA_ADJUSTED=Adjusted","Sort=A","Dates=H","DateFormat=P","Fill=—","Direction=H","UseDPDF=Y")</f>
        <v>14.0465</v>
      </c>
      <c r="R21" s="26">
        <f>_xll.BDH("SRPT US Equity","DILUTED_EPS_AFT_XO_ITEMS_GROWTH","FQ1 2023","FQ1 2023","Currency=USD","Period=FQ","BEST_FPERIOD_OVERRIDE=FQ","FILING_STATUS=MR","FA_ADJUSTED=Adjusted","Sort=A","Dates=H","DateFormat=P","Fill=—","Direction=H","UseDPDF=Y")</f>
        <v>-99.181299999999993</v>
      </c>
      <c r="S21" s="26">
        <f>_xll.BDH("SRPT US Equity","DILUTED_EPS_AFT_XO_ITEMS_GROWTH","FQ2 2023","FQ2 2023","Currency=USD","Period=FQ","BEST_FPERIOD_OVERRIDE=FQ","FILING_STATUS=MR","FA_ADJUSTED=Adjusted","Sort=A","Dates=H","DateFormat=P","Fill=—","Direction=H","UseDPDF=Y")</f>
        <v>55.277799999999999</v>
      </c>
      <c r="T21" s="26">
        <f>_xll.BDH("SRPT US Equity","DILUTED_EPS_AFT_XO_ITEMS_GROWTH","FQ3 2023","FQ3 2023","Currency=USD","Period=FQ","BEST_FPERIOD_OVERRIDE=FQ","FILING_STATUS=MR","FA_ADJUSTED=Adjusted","Sort=A","Dates=H","DateFormat=P","Fill=—","Direction=H","UseDPDF=Y")</f>
        <v>76.332499999999996</v>
      </c>
      <c r="U21" s="26" t="str">
        <f>_xll.BDH("SRPT US Equity","DILUTED_EPS_AFT_XO_ITEMS_GROWTH","FQ4 2023","FQ4 2023","Currency=USD","Period=FQ","BEST_FPERIOD_OVERRIDE=FQ","FILING_STATUS=MR","FA_ADJUSTED=Adjusted","Sort=A","Dates=H","DateFormat=P","Fill=—","Direction=H","UseDPDF=Y")</f>
        <v>—</v>
      </c>
      <c r="V21" s="26" t="str">
        <f>_xll.BDH("SRPT US Equity","DILUTED_EPS_AFT_XO_ITEMS_GROWTH","FQ1 2024","FQ1 2024","Currency=USD","Period=FQ","BEST_FPERIOD_OVERRIDE=FQ","FILING_STATUS=MR","FA_ADJUSTED=Adjusted","Sort=A","Dates=H","DateFormat=P","Fill=—","Direction=H","UseDPDF=Y")</f>
        <v>—</v>
      </c>
      <c r="W21" s="26" t="str">
        <f>_xll.BDH("SRPT US Equity","DILUTED_EPS_AFT_XO_ITEMS_GROWTH","FQ2 2024","FQ2 2024","Currency=USD","Period=FQ","BEST_FPERIOD_OVERRIDE=FQ","FILING_STATUS=MR","FA_ADJUSTED=Adjusted","Sort=A","Dates=H","DateFormat=P","Fill=—","Direction=H","UseDPDF=Y")</f>
        <v>—</v>
      </c>
      <c r="X21" s="26" t="str">
        <f>_xll.BDH("SRPT US Equity","DILUTED_EPS_AFT_XO_ITEMS_GROWTH","FQ3 2024","FQ3 2024","Currency=USD","Period=FQ","BEST_FPERIOD_OVERRIDE=FQ","FILING_STATUS=MR","FA_ADJUSTED=Adjusted","Sort=A","Dates=H","DateFormat=P","Fill=—","Direction=H","UseDPDF=Y")</f>
        <v>—</v>
      </c>
      <c r="Y21" s="26">
        <f>_xll.BDH("SRPT US Equity","DILUTED_EPS_AFT_XO_ITEMS_GROWTH","FQ4 2024","FQ4 2024","Currency=USD","Period=FQ","BEST_FPERIOD_OVERRIDE=FQ","FILING_STATUS=MR","FA_ADJUSTED=Adjusted","Sort=A","Dates=H","DateFormat=P","Fill=—","Direction=H","UseDPDF=Y")</f>
        <v>217.75530000000001</v>
      </c>
      <c r="Z21" s="26">
        <v>207.41005429275401</v>
      </c>
      <c r="AA21" s="26">
        <v>3901.4285714285702</v>
      </c>
    </row>
    <row r="22" spans="1:27" x14ac:dyDescent="0.25">
      <c r="A22" s="6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x14ac:dyDescent="0.25">
      <c r="A23" s="6" t="s">
        <v>84</v>
      </c>
      <c r="B23" s="6" t="s">
        <v>85</v>
      </c>
      <c r="C23" s="19">
        <f>_xll.BDH("SRPT US Equity","CF_CASH_FROM_OPER","FQ2 2019","FQ2 2019","Currency=USD","Period=FQ","BEST_FPERIOD_OVERRIDE=FQ","FILING_STATUS=MR","SCALING_FORMAT=MLN","Sort=A","Dates=H","DateFormat=P","Fill=—","Direction=H","UseDPDF=Y")</f>
        <v>-79.004000000000005</v>
      </c>
      <c r="D23" s="19">
        <f>_xll.BDH("SRPT US Equity","CF_CASH_FROM_OPER","FQ3 2019","FQ3 2019","Currency=USD","Period=FQ","BEST_FPERIOD_OVERRIDE=FQ","FILING_STATUS=MR","SCALING_FORMAT=MLN","Sort=A","Dates=H","DateFormat=P","Fill=—","Direction=H","UseDPDF=Y")</f>
        <v>-67.430999999999997</v>
      </c>
      <c r="E23" s="19">
        <f>_xll.BDH("SRPT US Equity","CF_CASH_FROM_OPER","FQ4 2019","FQ4 2019","Currency=USD","Period=FQ","BEST_FPERIOD_OVERRIDE=FQ","FILING_STATUS=MR","SCALING_FORMAT=MLN","Sort=A","Dates=H","DateFormat=P","Fill=—","Direction=H","UseDPDF=Y")</f>
        <v>-163.79499999999999</v>
      </c>
      <c r="F23" s="19">
        <f>_xll.BDH("SRPT US Equity","CF_CASH_FROM_OPER","FQ1 2020","FQ1 2020","Currency=USD","Period=FQ","BEST_FPERIOD_OVERRIDE=FQ","FILING_STATUS=MR","SCALING_FORMAT=MLN","Sort=A","Dates=H","DateFormat=P","Fill=—","Direction=H","UseDPDF=Y")</f>
        <v>627.79</v>
      </c>
      <c r="G23" s="19">
        <f>_xll.BDH("SRPT US Equity","CF_CASH_FROM_OPER","FQ2 2020","FQ2 2020","Currency=USD","Period=FQ","BEST_FPERIOD_OVERRIDE=FQ","FILING_STATUS=MR","SCALING_FORMAT=MLN","Sort=A","Dates=H","DateFormat=P","Fill=—","Direction=H","UseDPDF=Y")</f>
        <v>-107.60299999999999</v>
      </c>
      <c r="H23" s="19">
        <f>_xll.BDH("SRPT US Equity","CF_CASH_FROM_OPER","FQ3 2020","FQ3 2020","Currency=USD","Period=FQ","BEST_FPERIOD_OVERRIDE=FQ","FILING_STATUS=MR","SCALING_FORMAT=MLN","Sort=A","Dates=H","DateFormat=P","Fill=—","Direction=H","UseDPDF=Y")</f>
        <v>-238.18600000000001</v>
      </c>
      <c r="I23" s="19">
        <f>_xll.BDH("SRPT US Equity","CF_CASH_FROM_OPER","FQ4 2020","FQ4 2020","Currency=USD","Period=FQ","BEST_FPERIOD_OVERRIDE=FQ","FILING_STATUS=MR","SCALING_FORMAT=MLN","Sort=A","Dates=H","DateFormat=P","Fill=—","Direction=H","UseDPDF=Y")</f>
        <v>-174.535</v>
      </c>
      <c r="J23" s="19">
        <f>_xll.BDH("SRPT US Equity","CF_CASH_FROM_OPER","FQ1 2021","FQ1 2021","Currency=USD","Period=FQ","BEST_FPERIOD_OVERRIDE=FQ","FILING_STATUS=MR","SCALING_FORMAT=MLN","Sort=A","Dates=H","DateFormat=P","Fill=—","Direction=H","UseDPDF=Y")</f>
        <v>-180.37100000000001</v>
      </c>
      <c r="K23" s="19">
        <f>_xll.BDH("SRPT US Equity","CF_CASH_FROM_OPER","FQ2 2021","FQ2 2021","Currency=USD","Period=FQ","BEST_FPERIOD_OVERRIDE=FQ","FILING_STATUS=MR","SCALING_FORMAT=MLN","Sort=A","Dates=H","DateFormat=P","Fill=—","Direction=H","UseDPDF=Y")</f>
        <v>-109.146</v>
      </c>
      <c r="L23" s="19">
        <f>_xll.BDH("SRPT US Equity","CF_CASH_FROM_OPER","FQ3 2021","FQ3 2021","Currency=USD","Period=FQ","BEST_FPERIOD_OVERRIDE=FQ","FILING_STATUS=MR","SCALING_FORMAT=MLN","Sort=A","Dates=H","DateFormat=P","Fill=—","Direction=H","UseDPDF=Y")</f>
        <v>-124.32899999999999</v>
      </c>
      <c r="M23" s="19">
        <f>_xll.BDH("SRPT US Equity","CF_CASH_FROM_OPER","FQ4 2021","FQ4 2021","Currency=USD","Period=FQ","BEST_FPERIOD_OVERRIDE=FQ","FILING_STATUS=MR","SCALING_FORMAT=MLN","Sort=A","Dates=H","DateFormat=P","Fill=—","Direction=H","UseDPDF=Y")</f>
        <v>-29.326000000000001</v>
      </c>
      <c r="N23" s="19">
        <f>_xll.BDH("SRPT US Equity","CF_CASH_FROM_OPER","FQ1 2022","FQ1 2022","Currency=USD","Period=FQ","BEST_FPERIOD_OVERRIDE=FQ","FILING_STATUS=MR","SCALING_FORMAT=MLN","Sort=A","Dates=H","DateFormat=P","Fill=—","Direction=H","UseDPDF=Y")</f>
        <v>-101.175</v>
      </c>
      <c r="O23" s="19">
        <f>_xll.BDH("SRPT US Equity","CF_CASH_FROM_OPER","FQ2 2022","FQ2 2022","Currency=USD","Period=FQ","BEST_FPERIOD_OVERRIDE=FQ","FILING_STATUS=MR","SCALING_FORMAT=MLN","Sort=A","Dates=H","DateFormat=P","Fill=—","Direction=H","UseDPDF=Y")</f>
        <v>-66.814999999999998</v>
      </c>
      <c r="P23" s="19">
        <f>_xll.BDH("SRPT US Equity","CF_CASH_FROM_OPER","FQ3 2022","FQ3 2022","Currency=USD","Period=FQ","BEST_FPERIOD_OVERRIDE=FQ","FILING_STATUS=MR","SCALING_FORMAT=MLN","Sort=A","Dates=H","DateFormat=P","Fill=—","Direction=H","UseDPDF=Y")</f>
        <v>-64.963999999999999</v>
      </c>
      <c r="Q23" s="19">
        <f>_xll.BDH("SRPT US Equity","CF_CASH_FROM_OPER","FQ4 2022","FQ4 2022","Currency=USD","Period=FQ","BEST_FPERIOD_OVERRIDE=FQ","FILING_STATUS=MR","SCALING_FORMAT=MLN","Sort=A","Dates=H","DateFormat=P","Fill=—","Direction=H","UseDPDF=Y")</f>
        <v>-92.391999999999996</v>
      </c>
      <c r="R23" s="19">
        <f>_xll.BDH("SRPT US Equity","CF_CASH_FROM_OPER","FQ1 2023","FQ1 2023","Currency=USD","Period=FQ","BEST_FPERIOD_OVERRIDE=FQ","FILING_STATUS=MR","SCALING_FORMAT=MLN","Sort=A","Dates=H","DateFormat=P","Fill=—","Direction=H","UseDPDF=Y")</f>
        <v>-209.39599999999999</v>
      </c>
      <c r="S23" s="19">
        <f>_xll.BDH("SRPT US Equity","CF_CASH_FROM_OPER","FQ2 2023","FQ2 2023","Currency=USD","Period=FQ","BEST_FPERIOD_OVERRIDE=FQ","FILING_STATUS=MR","SCALING_FORMAT=MLN","Sort=A","Dates=H","DateFormat=P","Fill=—","Direction=H","UseDPDF=Y")</f>
        <v>-122.23399999999999</v>
      </c>
      <c r="T23" s="19">
        <f>_xll.BDH("SRPT US Equity","CF_CASH_FROM_OPER","FQ3 2023","FQ3 2023","Currency=USD","Period=FQ","BEST_FPERIOD_OVERRIDE=FQ","FILING_STATUS=MR","SCALING_FORMAT=MLN","Sort=A","Dates=H","DateFormat=P","Fill=—","Direction=H","UseDPDF=Y")</f>
        <v>-114.706</v>
      </c>
      <c r="U23" s="19">
        <f>_xll.BDH("SRPT US Equity","CF_CASH_FROM_OPER","FQ4 2023","FQ4 2023","Currency=USD","Period=FQ","BEST_FPERIOD_OVERRIDE=FQ","FILING_STATUS=MR","SCALING_FORMAT=MLN","Sort=A","Dates=H","DateFormat=P","Fill=—","Direction=H","UseDPDF=Y")</f>
        <v>-54.656999999999996</v>
      </c>
      <c r="V23" s="19">
        <f>_xll.BDH("SRPT US Equity","CF_CASH_FROM_OPER","FQ1 2024","FQ1 2024","Currency=USD","Period=FQ","BEST_FPERIOD_OVERRIDE=FQ","FILING_STATUS=MR","SCALING_FORMAT=MLN","Sort=A","Dates=H","DateFormat=P","Fill=—","Direction=H","UseDPDF=Y")</f>
        <v>-242.07599999999999</v>
      </c>
      <c r="W23" s="19">
        <f>_xll.BDH("SRPT US Equity","CF_CASH_FROM_OPER","FQ2 2024","FQ2 2024","Currency=USD","Period=FQ","BEST_FPERIOD_OVERRIDE=FQ","FILING_STATUS=MR","SCALING_FORMAT=MLN","Sort=A","Dates=H","DateFormat=P","Fill=—","Direction=H","UseDPDF=Y")</f>
        <v>14.942</v>
      </c>
      <c r="X23" s="19">
        <f>_xll.BDH("SRPT US Equity","CF_CASH_FROM_OPER","FQ3 2024","FQ3 2024","Currency=USD","Period=FQ","BEST_FPERIOD_OVERRIDE=FQ","FILING_STATUS=MR","SCALING_FORMAT=MLN","Sort=A","Dates=H","DateFormat=P","Fill=—","Direction=H","UseDPDF=Y")</f>
        <v>-70.698999999999998</v>
      </c>
      <c r="Y23" s="19">
        <f>_xll.BDH("SRPT US Equity","CF_CASH_FROM_OPER","FQ4 2024","FQ4 2024","Currency=USD","Period=FQ","BEST_FPERIOD_OVERRIDE=FQ","FILING_STATUS=MR","SCALING_FORMAT=MLN","Sort=A","Dates=H","DateFormat=P","Fill=—","Direction=H","UseDPDF=Y")</f>
        <v>92.046000000000006</v>
      </c>
      <c r="Z23" s="19"/>
      <c r="AA23" s="19"/>
    </row>
    <row r="24" spans="1:27" x14ac:dyDescent="0.25">
      <c r="A24" s="6" t="s">
        <v>86</v>
      </c>
      <c r="B24" s="6" t="s">
        <v>87</v>
      </c>
      <c r="C24" s="19">
        <f>_xll.BDH("SRPT US Equity","CAPITAL_EXPEND","FQ2 2019","FQ2 2019","Currency=USD","Period=FQ","BEST_FPERIOD_OVERRIDE=FQ","FILING_STATUS=MR","SCALING_FORMAT=MLN","Sort=A","Dates=H","DateFormat=P","Fill=—","Direction=H","UseDPDF=Y")</f>
        <v>-16.681999999999999</v>
      </c>
      <c r="D24" s="19">
        <f>_xll.BDH("SRPT US Equity","CAPITAL_EXPEND","FQ3 2019","FQ3 2019","Currency=USD","Period=FQ","BEST_FPERIOD_OVERRIDE=FQ","FILING_STATUS=MR","SCALING_FORMAT=MLN","Sort=A","Dates=H","DateFormat=P","Fill=—","Direction=H","UseDPDF=Y")</f>
        <v>-9.4290000000000003</v>
      </c>
      <c r="E24" s="19">
        <f>_xll.BDH("SRPT US Equity","CAPITAL_EXPEND","FQ4 2019","FQ4 2019","Currency=USD","Period=FQ","BEST_FPERIOD_OVERRIDE=FQ","FILING_STATUS=MR","SCALING_FORMAT=MLN","Sort=A","Dates=H","DateFormat=P","Fill=—","Direction=H","UseDPDF=Y")</f>
        <v>-17.257000000000001</v>
      </c>
      <c r="F24" s="19">
        <f>_xll.BDH("SRPT US Equity","CAPITAL_EXPEND","FQ1 2020","FQ1 2020","Currency=USD","Period=FQ","BEST_FPERIOD_OVERRIDE=FQ","FILING_STATUS=MR","SCALING_FORMAT=MLN","Sort=A","Dates=H","DateFormat=P","Fill=—","Direction=H","UseDPDF=Y")</f>
        <v>-9.1199999999999992</v>
      </c>
      <c r="G24" s="19">
        <f>_xll.BDH("SRPT US Equity","CAPITAL_EXPEND","FQ2 2020","FQ2 2020","Currency=USD","Period=FQ","BEST_FPERIOD_OVERRIDE=FQ","FILING_STATUS=MR","SCALING_FORMAT=MLN","Sort=A","Dates=H","DateFormat=P","Fill=—","Direction=H","UseDPDF=Y")</f>
        <v>-19.169</v>
      </c>
      <c r="H24" s="19">
        <f>_xll.BDH("SRPT US Equity","CAPITAL_EXPEND","FQ3 2020","FQ3 2020","Currency=USD","Period=FQ","BEST_FPERIOD_OVERRIDE=FQ","FILING_STATUS=MR","SCALING_FORMAT=MLN","Sort=A","Dates=H","DateFormat=P","Fill=—","Direction=H","UseDPDF=Y")</f>
        <v>-25.303000000000001</v>
      </c>
      <c r="I24" s="19">
        <f>_xll.BDH("SRPT US Equity","CAPITAL_EXPEND","FQ4 2020","FQ4 2020","Currency=USD","Period=FQ","BEST_FPERIOD_OVERRIDE=FQ","FILING_STATUS=MR","SCALING_FORMAT=MLN","Sort=A","Dates=H","DateFormat=P","Fill=—","Direction=H","UseDPDF=Y")</f>
        <v>-26.013999999999999</v>
      </c>
      <c r="J24" s="19">
        <f>_xll.BDH("SRPT US Equity","CAPITAL_EXPEND","FQ1 2021","FQ1 2021","Currency=USD","Period=FQ","BEST_FPERIOD_OVERRIDE=FQ","FILING_STATUS=MR","SCALING_FORMAT=MLN","Sort=A","Dates=H","DateFormat=P","Fill=—","Direction=H","UseDPDF=Y")</f>
        <v>-21.149000000000001</v>
      </c>
      <c r="K24" s="19">
        <f>_xll.BDH("SRPT US Equity","CAPITAL_EXPEND","FQ2 2021","FQ2 2021","Currency=USD","Period=FQ","BEST_FPERIOD_OVERRIDE=FQ","FILING_STATUS=MR","SCALING_FORMAT=MLN","Sort=A","Dates=H","DateFormat=P","Fill=—","Direction=H","UseDPDF=Y")</f>
        <v>-5.8940000000000001</v>
      </c>
      <c r="L24" s="19">
        <f>_xll.BDH("SRPT US Equity","CAPITAL_EXPEND","FQ3 2021","FQ3 2021","Currency=USD","Period=FQ","BEST_FPERIOD_OVERRIDE=FQ","FILING_STATUS=MR","SCALING_FORMAT=MLN","Sort=A","Dates=H","DateFormat=P","Fill=—","Direction=H","UseDPDF=Y")</f>
        <v>-9.2409999999999997</v>
      </c>
      <c r="M24" s="19">
        <f>_xll.BDH("SRPT US Equity","CAPITAL_EXPEND","FQ4 2021","FQ4 2021","Currency=USD","Period=FQ","BEST_FPERIOD_OVERRIDE=FQ","FILING_STATUS=MR","SCALING_FORMAT=MLN","Sort=A","Dates=H","DateFormat=P","Fill=—","Direction=H","UseDPDF=Y")</f>
        <v>-2.206</v>
      </c>
      <c r="N24" s="19">
        <f>_xll.BDH("SRPT US Equity","CAPITAL_EXPEND","FQ1 2022","FQ1 2022","Currency=USD","Period=FQ","BEST_FPERIOD_OVERRIDE=FQ","FILING_STATUS=MR","SCALING_FORMAT=MLN","Sort=A","Dates=H","DateFormat=P","Fill=—","Direction=H","UseDPDF=Y")</f>
        <v>-5.5510000000000002</v>
      </c>
      <c r="O24" s="19">
        <f>_xll.BDH("SRPT US Equity","CAPITAL_EXPEND","FQ2 2022","FQ2 2022","Currency=USD","Period=FQ","BEST_FPERIOD_OVERRIDE=FQ","FILING_STATUS=MR","SCALING_FORMAT=MLN","Sort=A","Dates=H","DateFormat=P","Fill=—","Direction=H","UseDPDF=Y")</f>
        <v>-9.0779999999999994</v>
      </c>
      <c r="P24" s="19">
        <f>_xll.BDH("SRPT US Equity","CAPITAL_EXPEND","FQ3 2022","FQ3 2022","Currency=USD","Period=FQ","BEST_FPERIOD_OVERRIDE=FQ","FILING_STATUS=MR","SCALING_FORMAT=MLN","Sort=A","Dates=H","DateFormat=P","Fill=—","Direction=H","UseDPDF=Y")</f>
        <v>-8.2309999999999999</v>
      </c>
      <c r="Q24" s="19">
        <f>_xll.BDH("SRPT US Equity","CAPITAL_EXPEND","FQ4 2022","FQ4 2022","Currency=USD","Period=FQ","BEST_FPERIOD_OVERRIDE=FQ","FILING_STATUS=MR","SCALING_FORMAT=MLN","Sort=A","Dates=H","DateFormat=P","Fill=—","Direction=H","UseDPDF=Y")</f>
        <v>-6.7389999999999999</v>
      </c>
      <c r="R24" s="19">
        <f>_xll.BDH("SRPT US Equity","CAPITAL_EXPEND","FQ1 2023","FQ1 2023","Currency=USD","Period=FQ","BEST_FPERIOD_OVERRIDE=FQ","FILING_STATUS=MR","SCALING_FORMAT=MLN","Sort=A","Dates=H","DateFormat=P","Fill=—","Direction=H","UseDPDF=Y")</f>
        <v>-9.4849999999999994</v>
      </c>
      <c r="S24" s="19">
        <f>_xll.BDH("SRPT US Equity","CAPITAL_EXPEND","FQ2 2023","FQ2 2023","Currency=USD","Period=FQ","BEST_FPERIOD_OVERRIDE=FQ","FILING_STATUS=MR","SCALING_FORMAT=MLN","Sort=A","Dates=H","DateFormat=P","Fill=—","Direction=H","UseDPDF=Y")</f>
        <v>-17.908999999999999</v>
      </c>
      <c r="T24" s="19">
        <f>_xll.BDH("SRPT US Equity","CAPITAL_EXPEND","FQ3 2023","FQ3 2023","Currency=USD","Period=FQ","BEST_FPERIOD_OVERRIDE=FQ","FILING_STATUS=MR","SCALING_FORMAT=MLN","Sort=A","Dates=H","DateFormat=P","Fill=—","Direction=H","UseDPDF=Y")</f>
        <v>-29.672999999999998</v>
      </c>
      <c r="U24" s="19">
        <f>_xll.BDH("SRPT US Equity","CAPITAL_EXPEND","FQ4 2023","FQ4 2023","Currency=USD","Period=FQ","BEST_FPERIOD_OVERRIDE=FQ","FILING_STATUS=MR","SCALING_FORMAT=MLN","Sort=A","Dates=H","DateFormat=P","Fill=—","Direction=H","UseDPDF=Y")</f>
        <v>-19.039000000000001</v>
      </c>
      <c r="V24" s="19">
        <f>_xll.BDH("SRPT US Equity","CAPITAL_EXPEND","FQ1 2024","FQ1 2024","Currency=USD","Period=FQ","BEST_FPERIOD_OVERRIDE=FQ","FILING_STATUS=MR","SCALING_FORMAT=MLN","Sort=A","Dates=H","DateFormat=P","Fill=—","Direction=H","UseDPDF=Y")</f>
        <v>-32.444000000000003</v>
      </c>
      <c r="W24" s="19">
        <f>_xll.BDH("SRPT US Equity","CAPITAL_EXPEND","FQ2 2024","FQ2 2024","Currency=USD","Period=FQ","BEST_FPERIOD_OVERRIDE=FQ","FILING_STATUS=MR","SCALING_FORMAT=MLN","Sort=A","Dates=H","DateFormat=P","Fill=—","Direction=H","UseDPDF=Y")</f>
        <v>-29.167000000000002</v>
      </c>
      <c r="X24" s="19">
        <f>_xll.BDH("SRPT US Equity","CAPITAL_EXPEND","FQ3 2024","FQ3 2024","Currency=USD","Period=FQ","BEST_FPERIOD_OVERRIDE=FQ","FILING_STATUS=MR","SCALING_FORMAT=MLN","Sort=A","Dates=H","DateFormat=P","Fill=—","Direction=H","UseDPDF=Y")</f>
        <v>-37.262999999999998</v>
      </c>
      <c r="Y24" s="19">
        <f>_xll.BDH("SRPT US Equity","CAPITAL_EXPEND","FQ4 2024","FQ4 2024","Currency=USD","Period=FQ","BEST_FPERIOD_OVERRIDE=FQ","FILING_STATUS=MR","SCALING_FORMAT=MLN","Sort=A","Dates=H","DateFormat=P","Fill=—","Direction=H","UseDPDF=Y")</f>
        <v>-38.082000000000001</v>
      </c>
      <c r="Z24" s="19">
        <v>-17.716999999999999</v>
      </c>
      <c r="AA24" s="19">
        <v>-18.100000000000001</v>
      </c>
    </row>
    <row r="25" spans="1:27" x14ac:dyDescent="0.25">
      <c r="A25" s="6" t="s">
        <v>88</v>
      </c>
      <c r="B25" s="6" t="s">
        <v>89</v>
      </c>
      <c r="C25" s="19">
        <f>_xll.BDH("SRPT US Equity","CF_FREE_CASH_FLOW","FQ2 2019","FQ2 2019","Currency=USD","Period=FQ","BEST_FPERIOD_OVERRIDE=FQ","FILING_STATUS=MR","SCALING_FORMAT=MLN","Sort=A","Dates=H","DateFormat=P","Fill=—","Direction=H","UseDPDF=Y")</f>
        <v>-95.686000000000007</v>
      </c>
      <c r="D25" s="19">
        <f>_xll.BDH("SRPT US Equity","CF_FREE_CASH_FLOW","FQ3 2019","FQ3 2019","Currency=USD","Period=FQ","BEST_FPERIOD_OVERRIDE=FQ","FILING_STATUS=MR","SCALING_FORMAT=MLN","Sort=A","Dates=H","DateFormat=P","Fill=—","Direction=H","UseDPDF=Y")</f>
        <v>-76.86</v>
      </c>
      <c r="E25" s="19">
        <f>_xll.BDH("SRPT US Equity","CF_FREE_CASH_FLOW","FQ4 2019","FQ4 2019","Currency=USD","Period=FQ","BEST_FPERIOD_OVERRIDE=FQ","FILING_STATUS=MR","SCALING_FORMAT=MLN","Sort=A","Dates=H","DateFormat=P","Fill=—","Direction=H","UseDPDF=Y")</f>
        <v>-181.05199999999999</v>
      </c>
      <c r="F25" s="19">
        <f>_xll.BDH("SRPT US Equity","CF_FREE_CASH_FLOW","FQ1 2020","FQ1 2020","Currency=USD","Period=FQ","BEST_FPERIOD_OVERRIDE=FQ","FILING_STATUS=MR","SCALING_FORMAT=MLN","Sort=A","Dates=H","DateFormat=P","Fill=—","Direction=H","UseDPDF=Y")</f>
        <v>618.66999999999996</v>
      </c>
      <c r="G25" s="19">
        <f>_xll.BDH("SRPT US Equity","CF_FREE_CASH_FLOW","FQ2 2020","FQ2 2020","Currency=USD","Period=FQ","BEST_FPERIOD_OVERRIDE=FQ","FILING_STATUS=MR","SCALING_FORMAT=MLN","Sort=A","Dates=H","DateFormat=P","Fill=—","Direction=H","UseDPDF=Y")</f>
        <v>-126.77200000000001</v>
      </c>
      <c r="H25" s="19">
        <f>_xll.BDH("SRPT US Equity","CF_FREE_CASH_FLOW","FQ3 2020","FQ3 2020","Currency=USD","Period=FQ","BEST_FPERIOD_OVERRIDE=FQ","FILING_STATUS=MR","SCALING_FORMAT=MLN","Sort=A","Dates=H","DateFormat=P","Fill=—","Direction=H","UseDPDF=Y")</f>
        <v>-263.48899999999998</v>
      </c>
      <c r="I25" s="19">
        <f>_xll.BDH("SRPT US Equity","CF_FREE_CASH_FLOW","FQ4 2020","FQ4 2020","Currency=USD","Period=FQ","BEST_FPERIOD_OVERRIDE=FQ","FILING_STATUS=MR","SCALING_FORMAT=MLN","Sort=A","Dates=H","DateFormat=P","Fill=—","Direction=H","UseDPDF=Y")</f>
        <v>-200.54900000000001</v>
      </c>
      <c r="J25" s="19">
        <f>_xll.BDH("SRPT US Equity","CF_FREE_CASH_FLOW","FQ1 2021","FQ1 2021","Currency=USD","Period=FQ","BEST_FPERIOD_OVERRIDE=FQ","FILING_STATUS=MR","SCALING_FORMAT=MLN","Sort=A","Dates=H","DateFormat=P","Fill=—","Direction=H","UseDPDF=Y")</f>
        <v>-201.52</v>
      </c>
      <c r="K25" s="19">
        <f>_xll.BDH("SRPT US Equity","CF_FREE_CASH_FLOW","FQ2 2021","FQ2 2021","Currency=USD","Period=FQ","BEST_FPERIOD_OVERRIDE=FQ","FILING_STATUS=MR","SCALING_FORMAT=MLN","Sort=A","Dates=H","DateFormat=P","Fill=—","Direction=H","UseDPDF=Y")</f>
        <v>-115.04</v>
      </c>
      <c r="L25" s="19">
        <f>_xll.BDH("SRPT US Equity","CF_FREE_CASH_FLOW","FQ3 2021","FQ3 2021","Currency=USD","Period=FQ","BEST_FPERIOD_OVERRIDE=FQ","FILING_STATUS=MR","SCALING_FORMAT=MLN","Sort=A","Dates=H","DateFormat=P","Fill=—","Direction=H","UseDPDF=Y")</f>
        <v>-133.57</v>
      </c>
      <c r="M25" s="19">
        <f>_xll.BDH("SRPT US Equity","CF_FREE_CASH_FLOW","FQ4 2021","FQ4 2021","Currency=USD","Period=FQ","BEST_FPERIOD_OVERRIDE=FQ","FILING_STATUS=MR","SCALING_FORMAT=MLN","Sort=A","Dates=H","DateFormat=P","Fill=—","Direction=H","UseDPDF=Y")</f>
        <v>-31.532</v>
      </c>
      <c r="N25" s="19">
        <f>_xll.BDH("SRPT US Equity","CF_FREE_CASH_FLOW","FQ1 2022","FQ1 2022","Currency=USD","Period=FQ","BEST_FPERIOD_OVERRIDE=FQ","FILING_STATUS=MR","SCALING_FORMAT=MLN","Sort=A","Dates=H","DateFormat=P","Fill=—","Direction=H","UseDPDF=Y")</f>
        <v>-106.726</v>
      </c>
      <c r="O25" s="19">
        <f>_xll.BDH("SRPT US Equity","CF_FREE_CASH_FLOW","FQ2 2022","FQ2 2022","Currency=USD","Period=FQ","BEST_FPERIOD_OVERRIDE=FQ","FILING_STATUS=MR","SCALING_FORMAT=MLN","Sort=A","Dates=H","DateFormat=P","Fill=—","Direction=H","UseDPDF=Y")</f>
        <v>-75.893000000000001</v>
      </c>
      <c r="P25" s="19">
        <f>_xll.BDH("SRPT US Equity","CF_FREE_CASH_FLOW","FQ3 2022","FQ3 2022","Currency=USD","Period=FQ","BEST_FPERIOD_OVERRIDE=FQ","FILING_STATUS=MR","SCALING_FORMAT=MLN","Sort=A","Dates=H","DateFormat=P","Fill=—","Direction=H","UseDPDF=Y")</f>
        <v>-73.194999999999993</v>
      </c>
      <c r="Q25" s="19">
        <f>_xll.BDH("SRPT US Equity","CF_FREE_CASH_FLOW","FQ4 2022","FQ4 2022","Currency=USD","Period=FQ","BEST_FPERIOD_OVERRIDE=FQ","FILING_STATUS=MR","SCALING_FORMAT=MLN","Sort=A","Dates=H","DateFormat=P","Fill=—","Direction=H","UseDPDF=Y")</f>
        <v>-99.131</v>
      </c>
      <c r="R25" s="19">
        <f>_xll.BDH("SRPT US Equity","CF_FREE_CASH_FLOW","FQ1 2023","FQ1 2023","Currency=USD","Period=FQ","BEST_FPERIOD_OVERRIDE=FQ","FILING_STATUS=MR","SCALING_FORMAT=MLN","Sort=A","Dates=H","DateFormat=P","Fill=—","Direction=H","UseDPDF=Y")</f>
        <v>-218.881</v>
      </c>
      <c r="S25" s="19">
        <f>_xll.BDH("SRPT US Equity","CF_FREE_CASH_FLOW","FQ2 2023","FQ2 2023","Currency=USD","Period=FQ","BEST_FPERIOD_OVERRIDE=FQ","FILING_STATUS=MR","SCALING_FORMAT=MLN","Sort=A","Dates=H","DateFormat=P","Fill=—","Direction=H","UseDPDF=Y")</f>
        <v>-140.143</v>
      </c>
      <c r="T25" s="19">
        <f>_xll.BDH("SRPT US Equity","CF_FREE_CASH_FLOW","FQ3 2023","FQ3 2023","Currency=USD","Period=FQ","BEST_FPERIOD_OVERRIDE=FQ","FILING_STATUS=MR","SCALING_FORMAT=MLN","Sort=A","Dates=H","DateFormat=P","Fill=—","Direction=H","UseDPDF=Y")</f>
        <v>-144.37899999999999</v>
      </c>
      <c r="U25" s="19">
        <f>_xll.BDH("SRPT US Equity","CF_FREE_CASH_FLOW","FQ4 2023","FQ4 2023","Currency=USD","Period=FQ","BEST_FPERIOD_OVERRIDE=FQ","FILING_STATUS=MR","SCALING_FORMAT=MLN","Sort=A","Dates=H","DateFormat=P","Fill=—","Direction=H","UseDPDF=Y")</f>
        <v>-73.695999999999998</v>
      </c>
      <c r="V25" s="19">
        <f>_xll.BDH("SRPT US Equity","CF_FREE_CASH_FLOW","FQ1 2024","FQ1 2024","Currency=USD","Period=FQ","BEST_FPERIOD_OVERRIDE=FQ","FILING_STATUS=MR","SCALING_FORMAT=MLN","Sort=A","Dates=H","DateFormat=P","Fill=—","Direction=H","UseDPDF=Y")</f>
        <v>-274.52</v>
      </c>
      <c r="W25" s="19">
        <f>_xll.BDH("SRPT US Equity","CF_FREE_CASH_FLOW","FQ2 2024","FQ2 2024","Currency=USD","Period=FQ","BEST_FPERIOD_OVERRIDE=FQ","FILING_STATUS=MR","SCALING_FORMAT=MLN","Sort=A","Dates=H","DateFormat=P","Fill=—","Direction=H","UseDPDF=Y")</f>
        <v>-14.225</v>
      </c>
      <c r="X25" s="19">
        <f>_xll.BDH("SRPT US Equity","CF_FREE_CASH_FLOW","FQ3 2024","FQ3 2024","Currency=USD","Period=FQ","BEST_FPERIOD_OVERRIDE=FQ","FILING_STATUS=MR","SCALING_FORMAT=MLN","Sort=A","Dates=H","DateFormat=P","Fill=—","Direction=H","UseDPDF=Y")</f>
        <v>-107.962</v>
      </c>
      <c r="Y25" s="19">
        <f>_xll.BDH("SRPT US Equity","CF_FREE_CASH_FLOW","FQ4 2024","FQ4 2024","Currency=USD","Period=FQ","BEST_FPERIOD_OVERRIDE=FQ","FILING_STATUS=MR","SCALING_FORMAT=MLN","Sort=A","Dates=H","DateFormat=P","Fill=—","Direction=H","UseDPDF=Y")</f>
        <v>53.963999999999999</v>
      </c>
      <c r="Z25" s="19">
        <v>356.83800000000002</v>
      </c>
      <c r="AA25" s="19">
        <v>444.8</v>
      </c>
    </row>
    <row r="26" spans="1:27" x14ac:dyDescent="0.25">
      <c r="A26" s="7" t="s">
        <v>90</v>
      </c>
      <c r="B26" s="7"/>
      <c r="C26" s="7" t="s">
        <v>5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66"/>
  <sheetViews>
    <sheetView topLeftCell="F39"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415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31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</row>
    <row r="6" spans="1:27" x14ac:dyDescent="0.25">
      <c r="A6" s="6" t="s">
        <v>0</v>
      </c>
      <c r="B6" s="6" t="s">
        <v>71</v>
      </c>
      <c r="C6" s="19">
        <f>_xll.BDH("SRPT US Equity","SALES_REV_TURN","FQ2 2019","FQ2 2019","Currency=USD","Period=FQ","BEST_FPERIOD_OVERRIDE=FQ","FILING_STATUS=MR","SCALING_FORMAT=MLN","FA_ADJUSTED=GAAP","Sort=A","Dates=H","DateFormat=P","Fill=—","Direction=H","UseDPDF=Y")</f>
        <v>94.668000000000006</v>
      </c>
      <c r="D6" s="19">
        <f>_xll.BDH("SRPT US Equity","SALES_REV_TURN","FQ3 2019","FQ3 2019","Currency=USD","Period=FQ","BEST_FPERIOD_OVERRIDE=FQ","FILING_STATUS=MR","SCALING_FORMAT=MLN","FA_ADJUSTED=GAAP","Sort=A","Dates=H","DateFormat=P","Fill=—","Direction=H","UseDPDF=Y")</f>
        <v>99.040999999999997</v>
      </c>
      <c r="E6" s="19">
        <f>_xll.BDH("SRPT US Equity","SALES_REV_TURN","FQ4 2019","FQ4 2019","Currency=USD","Period=FQ","BEST_FPERIOD_OVERRIDE=FQ","FILING_STATUS=MR","SCALING_FORMAT=MLN","FA_ADJUSTED=GAAP","Sort=A","Dates=H","DateFormat=P","Fill=—","Direction=H","UseDPDF=Y")</f>
        <v>100.113</v>
      </c>
      <c r="F6" s="19">
        <f>_xll.BDH("SRPT US Equity","SALES_REV_TURN","FQ1 2020","FQ1 2020","Currency=USD","Period=FQ","BEST_FPERIOD_OVERRIDE=FQ","FILING_STATUS=MR","SCALING_FORMAT=MLN","FA_ADJUSTED=GAAP","Sort=A","Dates=H","DateFormat=P","Fill=—","Direction=H","UseDPDF=Y")</f>
        <v>113.67400000000001</v>
      </c>
      <c r="G6" s="19">
        <f>_xll.BDH("SRPT US Equity","SALES_REV_TURN","FQ2 2020","FQ2 2020","Currency=USD","Period=FQ","BEST_FPERIOD_OVERRIDE=FQ","FILING_STATUS=MR","SCALING_FORMAT=MLN","FA_ADJUSTED=GAAP","Sort=A","Dates=H","DateFormat=P","Fill=—","Direction=H","UseDPDF=Y")</f>
        <v>137.363</v>
      </c>
      <c r="H6" s="19">
        <f>_xll.BDH("SRPT US Equity","SALES_REV_TURN","FQ3 2020","FQ3 2020","Currency=USD","Period=FQ","BEST_FPERIOD_OVERRIDE=FQ","FILING_STATUS=MR","SCALING_FORMAT=MLN","FA_ADJUSTED=GAAP","Sort=A","Dates=H","DateFormat=P","Fill=—","Direction=H","UseDPDF=Y")</f>
        <v>143.92400000000001</v>
      </c>
      <c r="I6" s="19">
        <f>_xll.BDH("SRPT US Equity","SALES_REV_TURN","FQ4 2020","FQ4 2020","Currency=USD","Period=FQ","BEST_FPERIOD_OVERRIDE=FQ","FILING_STATUS=MR","SCALING_FORMAT=MLN","FA_ADJUSTED=GAAP","Sort=A","Dates=H","DateFormat=P","Fill=—","Direction=H","UseDPDF=Y")</f>
        <v>145.13800000000001</v>
      </c>
      <c r="J6" s="19">
        <f>_xll.BDH("SRPT US Equity","SALES_REV_TURN","FQ1 2021","FQ1 2021","Currency=USD","Period=FQ","BEST_FPERIOD_OVERRIDE=FQ","FILING_STATUS=MR","SCALING_FORMAT=MLN","FA_ADJUSTED=GAAP","Sort=A","Dates=H","DateFormat=P","Fill=—","Direction=H","UseDPDF=Y")</f>
        <v>146.93100000000001</v>
      </c>
      <c r="K6" s="19">
        <f>_xll.BDH("SRPT US Equity","SALES_REV_TURN","FQ2 2021","FQ2 2021","Currency=USD","Period=FQ","BEST_FPERIOD_OVERRIDE=FQ","FILING_STATUS=MR","SCALING_FORMAT=MLN","FA_ADJUSTED=GAAP","Sort=A","Dates=H","DateFormat=P","Fill=—","Direction=H","UseDPDF=Y")</f>
        <v>164.089</v>
      </c>
      <c r="L6" s="19">
        <f>_xll.BDH("SRPT US Equity","SALES_REV_TURN","FQ3 2021","FQ3 2021","Currency=USD","Period=FQ","BEST_FPERIOD_OVERRIDE=FQ","FILING_STATUS=MR","SCALING_FORMAT=MLN","FA_ADJUSTED=GAAP","Sort=A","Dates=H","DateFormat=P","Fill=—","Direction=H","UseDPDF=Y")</f>
        <v>189.40600000000001</v>
      </c>
      <c r="M6" s="19">
        <f>_xll.BDH("SRPT US Equity","SALES_REV_TURN","FQ4 2021","FQ4 2021","Currency=USD","Period=FQ","BEST_FPERIOD_OVERRIDE=FQ","FILING_STATUS=MR","SCALING_FORMAT=MLN","FA_ADJUSTED=GAAP","Sort=A","Dates=H","DateFormat=P","Fill=—","Direction=H","UseDPDF=Y")</f>
        <v>201.46100000000001</v>
      </c>
      <c r="N6" s="19">
        <f>_xll.BDH("SRPT US Equity","SALES_REV_TURN","FQ1 2022","FQ1 2022","Currency=USD","Period=FQ","BEST_FPERIOD_OVERRIDE=FQ","FILING_STATUS=MR","SCALING_FORMAT=MLN","FA_ADJUSTED=GAAP","Sort=A","Dates=H","DateFormat=P","Fill=—","Direction=H","UseDPDF=Y")</f>
        <v>210.83</v>
      </c>
      <c r="O6" s="19">
        <f>_xll.BDH("SRPT US Equity","SALES_REV_TURN","FQ2 2022","FQ2 2022","Currency=USD","Period=FQ","BEST_FPERIOD_OVERRIDE=FQ","FILING_STATUS=MR","SCALING_FORMAT=MLN","FA_ADJUSTED=GAAP","Sort=A","Dates=H","DateFormat=P","Fill=—","Direction=H","UseDPDF=Y")</f>
        <v>233.48699999999999</v>
      </c>
      <c r="P6" s="19">
        <f>_xll.BDH("SRPT US Equity","SALES_REV_TURN","FQ3 2022","FQ3 2022","Currency=USD","Period=FQ","BEST_FPERIOD_OVERRIDE=FQ","FILING_STATUS=MR","SCALING_FORMAT=MLN","FA_ADJUSTED=GAAP","Sort=A","Dates=H","DateFormat=P","Fill=—","Direction=H","UseDPDF=Y")</f>
        <v>230.26900000000001</v>
      </c>
      <c r="Q6" s="19">
        <f>_xll.BDH("SRPT US Equity","SALES_REV_TURN","FQ4 2022","FQ4 2022","Currency=USD","Period=FQ","BEST_FPERIOD_OVERRIDE=FQ","FILING_STATUS=MR","SCALING_FORMAT=MLN","FA_ADJUSTED=GAAP","Sort=A","Dates=H","DateFormat=P","Fill=—","Direction=H","UseDPDF=Y")</f>
        <v>258.42700000000002</v>
      </c>
      <c r="R6" s="19">
        <f>_xll.BDH("SRPT US Equity","SALES_REV_TURN","FQ1 2023","FQ1 2023","Currency=USD","Period=FQ","BEST_FPERIOD_OVERRIDE=FQ","FILING_STATUS=MR","SCALING_FORMAT=MLN","FA_ADJUSTED=GAAP","Sort=A","Dates=H","DateFormat=P","Fill=—","Direction=H","UseDPDF=Y")</f>
        <v>253.5</v>
      </c>
      <c r="S6" s="19">
        <f>_xll.BDH("SRPT US Equity","SALES_REV_TURN","FQ2 2023","FQ2 2023","Currency=USD","Period=FQ","BEST_FPERIOD_OVERRIDE=FQ","FILING_STATUS=MR","SCALING_FORMAT=MLN","FA_ADJUSTED=GAAP","Sort=A","Dates=H","DateFormat=P","Fill=—","Direction=H","UseDPDF=Y")</f>
        <v>261.238</v>
      </c>
      <c r="T6" s="19">
        <f>_xll.BDH("SRPT US Equity","SALES_REV_TURN","FQ3 2023","FQ3 2023","Currency=USD","Period=FQ","BEST_FPERIOD_OVERRIDE=FQ","FILING_STATUS=MR","SCALING_FORMAT=MLN","FA_ADJUSTED=GAAP","Sort=A","Dates=H","DateFormat=P","Fill=—","Direction=H","UseDPDF=Y")</f>
        <v>331.81700000000001</v>
      </c>
      <c r="U6" s="19">
        <f>_xll.BDH("SRPT US Equity","SALES_REV_TURN","FQ4 2023","FQ4 2023","Currency=USD","Period=FQ","BEST_FPERIOD_OVERRIDE=FQ","FILING_STATUS=MR","SCALING_FORMAT=MLN","FA_ADJUSTED=GAAP","Sort=A","Dates=H","DateFormat=P","Fill=—","Direction=H","UseDPDF=Y")</f>
        <v>396.78100000000001</v>
      </c>
      <c r="V6" s="19">
        <f>_xll.BDH("SRPT US Equity","SALES_REV_TURN","FQ1 2024","FQ1 2024","Currency=USD","Period=FQ","BEST_FPERIOD_OVERRIDE=FQ","FILING_STATUS=MR","SCALING_FORMAT=MLN","FA_ADJUSTED=GAAP","Sort=A","Dates=H","DateFormat=P","Fill=—","Direction=H","UseDPDF=Y")</f>
        <v>413.464</v>
      </c>
      <c r="W6" s="19">
        <f>_xll.BDH("SRPT US Equity","SALES_REV_TURN","FQ2 2024","FQ2 2024","Currency=USD","Period=FQ","BEST_FPERIOD_OVERRIDE=FQ","FILING_STATUS=MR","SCALING_FORMAT=MLN","FA_ADJUSTED=GAAP","Sort=A","Dates=H","DateFormat=P","Fill=—","Direction=H","UseDPDF=Y")</f>
        <v>362.93099999999998</v>
      </c>
      <c r="X6" s="19">
        <f>_xll.BDH("SRPT US Equity","SALES_REV_TURN","FQ3 2024","FQ3 2024","Currency=USD","Period=FQ","BEST_FPERIOD_OVERRIDE=FQ","FILING_STATUS=MR","SCALING_FORMAT=MLN","FA_ADJUSTED=GAAP","Sort=A","Dates=H","DateFormat=P","Fill=—","Direction=H","UseDPDF=Y")</f>
        <v>467.17200000000003</v>
      </c>
      <c r="Y6" s="19">
        <f>_xll.BDH("SRPT US Equity","SALES_REV_TURN","FQ4 2024","FQ4 2024","Currency=USD","Period=FQ","BEST_FPERIOD_OVERRIDE=FQ","FILING_STATUS=MR","SCALING_FORMAT=MLN","FA_ADJUSTED=GAAP","Sort=A","Dates=H","DateFormat=P","Fill=—","Direction=H","UseDPDF=Y")</f>
        <v>658.41200000000003</v>
      </c>
      <c r="Z6" s="19">
        <v>694.9</v>
      </c>
      <c r="AA6" s="19">
        <v>760.1</v>
      </c>
    </row>
    <row r="7" spans="1:27" x14ac:dyDescent="0.25">
      <c r="A7" s="10" t="s">
        <v>311</v>
      </c>
      <c r="B7" s="10" t="s">
        <v>312</v>
      </c>
      <c r="C7" s="13">
        <f>_xll.BDH("SRPT US Equity","IS_SALES_AND_SERVICES_REVENUES","FQ2 2019","FQ2 2019","Currency=USD","Period=FQ","BEST_FPERIOD_OVERRIDE=FQ","FILING_STATUS=MR","SCALING_FORMAT=MLN","FA_ADJUSTED=GAAP","Sort=A","Dates=H","DateFormat=P","Fill=—","Direction=H","UseDPDF=Y")</f>
        <v>94.668000000000006</v>
      </c>
      <c r="D7" s="13">
        <f>_xll.BDH("SRPT US Equity","IS_SALES_AND_SERVICES_REVENUES","FQ3 2019","FQ3 2019","Currency=USD","Period=FQ","BEST_FPERIOD_OVERRIDE=FQ","FILING_STATUS=MR","SCALING_FORMAT=MLN","FA_ADJUSTED=GAAP","Sort=A","Dates=H","DateFormat=P","Fill=—","Direction=H","UseDPDF=Y")</f>
        <v>99.040999999999997</v>
      </c>
      <c r="E7" s="13">
        <f>_xll.BDH("SRPT US Equity","IS_SALES_AND_SERVICES_REVENUES","FQ4 2019","FQ4 2019","Currency=USD","Period=FQ","BEST_FPERIOD_OVERRIDE=FQ","FILING_STATUS=MR","SCALING_FORMAT=MLN","FA_ADJUSTED=GAAP","Sort=A","Dates=H","DateFormat=P","Fill=—","Direction=H","UseDPDF=Y")</f>
        <v>100.113</v>
      </c>
      <c r="F7" s="13">
        <f>_xll.BDH("SRPT US Equity","IS_SALES_AND_SERVICES_REVENUES","FQ1 2020","FQ1 2020","Currency=USD","Period=FQ","BEST_FPERIOD_OVERRIDE=FQ","FILING_STATUS=MR","SCALING_FORMAT=MLN","FA_ADJUSTED=GAAP","Sort=A","Dates=H","DateFormat=P","Fill=—","Direction=H","UseDPDF=Y")</f>
        <v>100.44799999999999</v>
      </c>
      <c r="G7" s="13">
        <f>_xll.BDH("SRPT US Equity","IS_SALES_AND_SERVICES_REVENUES","FQ2 2020","FQ2 2020","Currency=USD","Period=FQ","BEST_FPERIOD_OVERRIDE=FQ","FILING_STATUS=MR","SCALING_FORMAT=MLN","FA_ADJUSTED=GAAP","Sort=A","Dates=H","DateFormat=P","Fill=—","Direction=H","UseDPDF=Y")</f>
        <v>111.34399999999999</v>
      </c>
      <c r="H7" s="13">
        <f>_xll.BDH("SRPT US Equity","IS_SALES_AND_SERVICES_REVENUES","FQ3 2020","FQ3 2020","Currency=USD","Period=FQ","BEST_FPERIOD_OVERRIDE=FQ","FILING_STATUS=MR","SCALING_FORMAT=MLN","FA_ADJUSTED=GAAP","Sort=A","Dates=H","DateFormat=P","Fill=—","Direction=H","UseDPDF=Y")</f>
        <v>121.429</v>
      </c>
      <c r="I7" s="13">
        <f>_xll.BDH("SRPT US Equity","IS_SALES_AND_SERVICES_REVENUES","FQ4 2020","FQ4 2020","Currency=USD","Period=FQ","BEST_FPERIOD_OVERRIDE=FQ","FILING_STATUS=MR","SCALING_FORMAT=MLN","FA_ADJUSTED=GAAP","Sort=A","Dates=H","DateFormat=P","Fill=—","Direction=H","UseDPDF=Y")</f>
        <v>122.64400000000001</v>
      </c>
      <c r="J7" s="13">
        <f>_xll.BDH("SRPT US Equity","IS_SALES_AND_SERVICES_REVENUES","FQ1 2021","FQ1 2021","Currency=USD","Period=FQ","BEST_FPERIOD_OVERRIDE=FQ","FILING_STATUS=MR","SCALING_FORMAT=MLN","FA_ADJUSTED=GAAP","Sort=A","Dates=H","DateFormat=P","Fill=—","Direction=H","UseDPDF=Y")</f>
        <v>124.926</v>
      </c>
      <c r="K7" s="13">
        <f>_xll.BDH("SRPT US Equity","IS_SALES_AND_SERVICES_REVENUES","FQ2 2021","FQ2 2021","Currency=USD","Period=FQ","BEST_FPERIOD_OVERRIDE=FQ","FILING_STATUS=MR","SCALING_FORMAT=MLN","FA_ADJUSTED=GAAP","Sort=A","Dates=H","DateFormat=P","Fill=—","Direction=H","UseDPDF=Y")</f>
        <v>141.839</v>
      </c>
      <c r="L7" s="13">
        <f>_xll.BDH("SRPT US Equity","IS_SALES_AND_SERVICES_REVENUES","FQ3 2021","FQ3 2021","Currency=USD","Period=FQ","BEST_FPERIOD_OVERRIDE=FQ","FILING_STATUS=MR","SCALING_FORMAT=MLN","FA_ADJUSTED=GAAP","Sort=A","Dates=H","DateFormat=P","Fill=—","Direction=H","UseDPDF=Y")</f>
        <v>166.911</v>
      </c>
      <c r="M7" s="13">
        <f>_xll.BDH("SRPT US Equity","IS_SALES_AND_SERVICES_REVENUES","FQ4 2021","FQ4 2021","Currency=USD","Period=FQ","BEST_FPERIOD_OVERRIDE=FQ","FILING_STATUS=MR","SCALING_FORMAT=MLN","FA_ADJUSTED=GAAP","Sort=A","Dates=H","DateFormat=P","Fill=—","Direction=H","UseDPDF=Y")</f>
        <v>178.72499999999999</v>
      </c>
      <c r="N7" s="13">
        <f>_xll.BDH("SRPT US Equity","IS_SALES_AND_SERVICES_REVENUES","FQ1 2022","FQ1 2022","Currency=USD","Period=FQ","BEST_FPERIOD_OVERRIDE=FQ","FILING_STATUS=MR","SCALING_FORMAT=MLN","FA_ADJUSTED=GAAP","Sort=A","Dates=H","DateFormat=P","Fill=—","Direction=H","UseDPDF=Y")</f>
        <v>188.82499999999999</v>
      </c>
      <c r="O7" s="13">
        <f>_xll.BDH("SRPT US Equity","IS_SALES_AND_SERVICES_REVENUES","FQ2 2022","FQ2 2022","Currency=USD","Period=FQ","BEST_FPERIOD_OVERRIDE=FQ","FILING_STATUS=MR","SCALING_FORMAT=MLN","FA_ADJUSTED=GAAP","Sort=A","Dates=H","DateFormat=P","Fill=—","Direction=H","UseDPDF=Y")</f>
        <v>211.23699999999999</v>
      </c>
      <c r="P7" s="13">
        <f>_xll.BDH("SRPT US Equity","IS_SALES_AND_SERVICES_REVENUES","FQ3 2022","FQ3 2022","Currency=USD","Period=FQ","BEST_FPERIOD_OVERRIDE=FQ","FILING_STATUS=MR","SCALING_FORMAT=MLN","FA_ADJUSTED=GAAP","Sort=A","Dates=H","DateFormat=P","Fill=—","Direction=H","UseDPDF=Y")</f>
        <v>207.774</v>
      </c>
      <c r="Q7" s="13">
        <f>_xll.BDH("SRPT US Equity","IS_SALES_AND_SERVICES_REVENUES","FQ4 2022","FQ4 2022","Currency=USD","Period=FQ","BEST_FPERIOD_OVERRIDE=FQ","FILING_STATUS=MR","SCALING_FORMAT=MLN","FA_ADJUSTED=GAAP","Sort=A","Dates=H","DateFormat=P","Fill=—","Direction=H","UseDPDF=Y")</f>
        <v>235.93299999999999</v>
      </c>
      <c r="R7" s="13">
        <f>_xll.BDH("SRPT US Equity","IS_SALES_AND_SERVICES_REVENUES","FQ1 2023","FQ1 2023","Currency=USD","Period=FQ","BEST_FPERIOD_OVERRIDE=FQ","FILING_STATUS=MR","SCALING_FORMAT=MLN","FA_ADJUSTED=GAAP","Sort=A","Dates=H","DateFormat=P","Fill=—","Direction=H","UseDPDF=Y")</f>
        <v>231.495</v>
      </c>
      <c r="S7" s="13">
        <f>_xll.BDH("SRPT US Equity","IS_SALES_AND_SERVICES_REVENUES","FQ2 2023","FQ2 2023","Currency=USD","Period=FQ","BEST_FPERIOD_OVERRIDE=FQ","FILING_STATUS=MR","SCALING_FORMAT=MLN","FA_ADJUSTED=GAAP","Sort=A","Dates=H","DateFormat=P","Fill=—","Direction=H","UseDPDF=Y")</f>
        <v>238.988</v>
      </c>
      <c r="T7" s="13">
        <f>_xll.BDH("SRPT US Equity","IS_SALES_AND_SERVICES_REVENUES","FQ3 2023","FQ3 2023","Currency=USD","Period=FQ","BEST_FPERIOD_OVERRIDE=FQ","FILING_STATUS=MR","SCALING_FORMAT=MLN","FA_ADJUSTED=GAAP","Sort=A","Dates=H","DateFormat=P","Fill=—","Direction=H","UseDPDF=Y")</f>
        <v>309.322</v>
      </c>
      <c r="U7" s="13">
        <f>_xll.BDH("SRPT US Equity","IS_SALES_AND_SERVICES_REVENUES","FQ4 2023","FQ4 2023","Currency=USD","Period=FQ","BEST_FPERIOD_OVERRIDE=FQ","FILING_STATUS=MR","SCALING_FORMAT=MLN","FA_ADJUSTED=GAAP","Sort=A","Dates=H","DateFormat=P","Fill=—","Direction=H","UseDPDF=Y")</f>
        <v>365.07100000000003</v>
      </c>
      <c r="V7" s="13">
        <f>_xll.BDH("SRPT US Equity","IS_SALES_AND_SERVICES_REVENUES","FQ1 2024","FQ1 2024","Currency=USD","Period=FQ","BEST_FPERIOD_OVERRIDE=FQ","FILING_STATUS=MR","SCALING_FORMAT=MLN","FA_ADJUSTED=GAAP","Sort=A","Dates=H","DateFormat=P","Fill=—","Direction=H","UseDPDF=Y")</f>
        <v>359.48399999999998</v>
      </c>
      <c r="W7" s="13">
        <f>_xll.BDH("SRPT US Equity","IS_SALES_AND_SERVICES_REVENUES","FQ2 2024","FQ2 2024","Currency=USD","Period=FQ","BEST_FPERIOD_OVERRIDE=FQ","FILING_STATUS=MR","SCALING_FORMAT=MLN","FA_ADJUSTED=GAAP","Sort=A","Dates=H","DateFormat=P","Fill=—","Direction=H","UseDPDF=Y")</f>
        <v>360.548</v>
      </c>
      <c r="X7" s="13">
        <f>_xll.BDH("SRPT US Equity","IS_SALES_AND_SERVICES_REVENUES","FQ3 2024","FQ3 2024","Currency=USD","Period=FQ","BEST_FPERIOD_OVERRIDE=FQ","FILING_STATUS=MR","SCALING_FORMAT=MLN","FA_ADJUSTED=GAAP","Sort=A","Dates=H","DateFormat=P","Fill=—","Direction=H","UseDPDF=Y")</f>
        <v>429.77100000000002</v>
      </c>
      <c r="Y7" s="13">
        <f>_xll.BDH("SRPT US Equity","IS_SALES_AND_SERVICES_REVENUES","FQ4 2024","FQ4 2024","Currency=USD","Period=FQ","BEST_FPERIOD_OVERRIDE=FQ","FILING_STATUS=MR","SCALING_FORMAT=MLN","FA_ADJUSTED=GAAP","Sort=A","Dates=H","DateFormat=P","Fill=—","Direction=H","UseDPDF=Y")</f>
        <v>638.15700000000004</v>
      </c>
      <c r="Z7" s="13"/>
      <c r="AA7" s="13"/>
    </row>
    <row r="8" spans="1:27" x14ac:dyDescent="0.25">
      <c r="A8" s="10" t="s">
        <v>313</v>
      </c>
      <c r="B8" s="10" t="s">
        <v>314</v>
      </c>
      <c r="C8" s="13" t="str">
        <f>_xll.BDH("SRPT US Equity","IS_OTHER_REVENUE","FQ2 2019","FQ2 2019","Currency=USD","Period=FQ","BEST_FPERIOD_OVERRIDE=FQ","FILING_STATUS=MR","SCALING_FORMAT=MLN","FA_ADJUSTED=GAAP","Sort=A","Dates=H","DateFormat=P","Fill=—","Direction=H","UseDPDF=Y")</f>
        <v>—</v>
      </c>
      <c r="D8" s="13" t="str">
        <f>_xll.BDH("SRPT US Equity","IS_OTHER_REVENUE","FQ3 2019","FQ3 2019","Currency=USD","Period=FQ","BEST_FPERIOD_OVERRIDE=FQ","FILING_STATUS=MR","SCALING_FORMAT=MLN","FA_ADJUSTED=GAAP","Sort=A","Dates=H","DateFormat=P","Fill=—","Direction=H","UseDPDF=Y")</f>
        <v>—</v>
      </c>
      <c r="E8" s="13" t="str">
        <f>_xll.BDH("SRPT US Equity","IS_OTHER_REVENUE","FQ4 2019","FQ4 2019","Currency=USD","Period=FQ","BEST_FPERIOD_OVERRIDE=FQ","FILING_STATUS=MR","SCALING_FORMAT=MLN","FA_ADJUSTED=GAAP","Sort=A","Dates=H","DateFormat=P","Fill=—","Direction=H","UseDPDF=Y")</f>
        <v>—</v>
      </c>
      <c r="F8" s="13">
        <f>_xll.BDH("SRPT US Equity","IS_OTHER_REVENUE","FQ1 2020","FQ1 2020","Currency=USD","Period=FQ","BEST_FPERIOD_OVERRIDE=FQ","FILING_STATUS=MR","SCALING_FORMAT=MLN","FA_ADJUSTED=GAAP","Sort=A","Dates=H","DateFormat=P","Fill=—","Direction=H","UseDPDF=Y")</f>
        <v>13.226000000000001</v>
      </c>
      <c r="G8" s="13">
        <f>_xll.BDH("SRPT US Equity","IS_OTHER_REVENUE","FQ2 2020","FQ2 2020","Currency=USD","Period=FQ","BEST_FPERIOD_OVERRIDE=FQ","FILING_STATUS=MR","SCALING_FORMAT=MLN","FA_ADJUSTED=GAAP","Sort=A","Dates=H","DateFormat=P","Fill=—","Direction=H","UseDPDF=Y")</f>
        <v>26.018999999999998</v>
      </c>
      <c r="H8" s="13">
        <f>_xll.BDH("SRPT US Equity","IS_OTHER_REVENUE","FQ3 2020","FQ3 2020","Currency=USD","Period=FQ","BEST_FPERIOD_OVERRIDE=FQ","FILING_STATUS=MR","SCALING_FORMAT=MLN","FA_ADJUSTED=GAAP","Sort=A","Dates=H","DateFormat=P","Fill=—","Direction=H","UseDPDF=Y")</f>
        <v>22.495000000000001</v>
      </c>
      <c r="I8" s="13">
        <f>_xll.BDH("SRPT US Equity","IS_OTHER_REVENUE","FQ4 2020","FQ4 2020","Currency=USD","Period=FQ","BEST_FPERIOD_OVERRIDE=FQ","FILING_STATUS=MR","SCALING_FORMAT=MLN","FA_ADJUSTED=GAAP","Sort=A","Dates=H","DateFormat=P","Fill=—","Direction=H","UseDPDF=Y")</f>
        <v>22.494</v>
      </c>
      <c r="J8" s="13">
        <f>_xll.BDH("SRPT US Equity","IS_OTHER_REVENUE","FQ1 2021","FQ1 2021","Currency=USD","Period=FQ","BEST_FPERIOD_OVERRIDE=FQ","FILING_STATUS=MR","SCALING_FORMAT=MLN","FA_ADJUSTED=GAAP","Sort=A","Dates=H","DateFormat=P","Fill=—","Direction=H","UseDPDF=Y")</f>
        <v>22.004999999999999</v>
      </c>
      <c r="K8" s="13">
        <f>_xll.BDH("SRPT US Equity","IS_OTHER_REVENUE","FQ2 2021","FQ2 2021","Currency=USD","Period=FQ","BEST_FPERIOD_OVERRIDE=FQ","FILING_STATUS=MR","SCALING_FORMAT=MLN","FA_ADJUSTED=GAAP","Sort=A","Dates=H","DateFormat=P","Fill=—","Direction=H","UseDPDF=Y")</f>
        <v>22.25</v>
      </c>
      <c r="L8" s="13">
        <f>_xll.BDH("SRPT US Equity","IS_OTHER_REVENUE","FQ3 2021","FQ3 2021","Currency=USD","Period=FQ","BEST_FPERIOD_OVERRIDE=FQ","FILING_STATUS=MR","SCALING_FORMAT=MLN","FA_ADJUSTED=GAAP","Sort=A","Dates=H","DateFormat=P","Fill=—","Direction=H","UseDPDF=Y")</f>
        <v>22.495000000000001</v>
      </c>
      <c r="M8" s="13">
        <f>_xll.BDH("SRPT US Equity","IS_OTHER_REVENUE","FQ4 2021","FQ4 2021","Currency=USD","Period=FQ","BEST_FPERIOD_OVERRIDE=FQ","FILING_STATUS=MR","SCALING_FORMAT=MLN","FA_ADJUSTED=GAAP","Sort=A","Dates=H","DateFormat=P","Fill=—","Direction=H","UseDPDF=Y")</f>
        <v>22.736000000000001</v>
      </c>
      <c r="N8" s="13">
        <f>_xll.BDH("SRPT US Equity","IS_OTHER_REVENUE","FQ1 2022","FQ1 2022","Currency=USD","Period=FQ","BEST_FPERIOD_OVERRIDE=FQ","FILING_STATUS=MR","SCALING_FORMAT=MLN","FA_ADJUSTED=GAAP","Sort=A","Dates=H","DateFormat=P","Fill=—","Direction=H","UseDPDF=Y")</f>
        <v>22.004999999999999</v>
      </c>
      <c r="O8" s="13">
        <f>_xll.BDH("SRPT US Equity","IS_OTHER_REVENUE","FQ2 2022","FQ2 2022","Currency=USD","Period=FQ","BEST_FPERIOD_OVERRIDE=FQ","FILING_STATUS=MR","SCALING_FORMAT=MLN","FA_ADJUSTED=GAAP","Sort=A","Dates=H","DateFormat=P","Fill=—","Direction=H","UseDPDF=Y")</f>
        <v>22.25</v>
      </c>
      <c r="P8" s="13">
        <f>_xll.BDH("SRPT US Equity","IS_OTHER_REVENUE","FQ3 2022","FQ3 2022","Currency=USD","Period=FQ","BEST_FPERIOD_OVERRIDE=FQ","FILING_STATUS=MR","SCALING_FORMAT=MLN","FA_ADJUSTED=GAAP","Sort=A","Dates=H","DateFormat=P","Fill=—","Direction=H","UseDPDF=Y")</f>
        <v>22.495000000000001</v>
      </c>
      <c r="Q8" s="13">
        <f>_xll.BDH("SRPT US Equity","IS_OTHER_REVENUE","FQ4 2022","FQ4 2022","Currency=USD","Period=FQ","BEST_FPERIOD_OVERRIDE=FQ","FILING_STATUS=MR","SCALING_FORMAT=MLN","FA_ADJUSTED=GAAP","Sort=A","Dates=H","DateFormat=P","Fill=—","Direction=H","UseDPDF=Y")</f>
        <v>22.494</v>
      </c>
      <c r="R8" s="13">
        <f>_xll.BDH("SRPT US Equity","IS_OTHER_REVENUE","FQ1 2023","FQ1 2023","Currency=USD","Period=FQ","BEST_FPERIOD_OVERRIDE=FQ","FILING_STATUS=MR","SCALING_FORMAT=MLN","FA_ADJUSTED=GAAP","Sort=A","Dates=H","DateFormat=P","Fill=—","Direction=H","UseDPDF=Y")</f>
        <v>22.004999999999999</v>
      </c>
      <c r="S8" s="13">
        <f>_xll.BDH("SRPT US Equity","IS_OTHER_REVENUE","FQ2 2023","FQ2 2023","Currency=USD","Period=FQ","BEST_FPERIOD_OVERRIDE=FQ","FILING_STATUS=MR","SCALING_FORMAT=MLN","FA_ADJUSTED=GAAP","Sort=A","Dates=H","DateFormat=P","Fill=—","Direction=H","UseDPDF=Y")</f>
        <v>22.25</v>
      </c>
      <c r="T8" s="13">
        <f>_xll.BDH("SRPT US Equity","IS_OTHER_REVENUE","FQ3 2023","FQ3 2023","Currency=USD","Period=FQ","BEST_FPERIOD_OVERRIDE=FQ","FILING_STATUS=MR","SCALING_FORMAT=MLN","FA_ADJUSTED=GAAP","Sort=A","Dates=H","DateFormat=P","Fill=—","Direction=H","UseDPDF=Y")</f>
        <v>22.495000000000001</v>
      </c>
      <c r="U8" s="13">
        <f>_xll.BDH("SRPT US Equity","IS_OTHER_REVENUE","FQ4 2023","FQ4 2023","Currency=USD","Period=FQ","BEST_FPERIOD_OVERRIDE=FQ","FILING_STATUS=MR","SCALING_FORMAT=MLN","FA_ADJUSTED=GAAP","Sort=A","Dates=H","DateFormat=P","Fill=—","Direction=H","UseDPDF=Y")</f>
        <v>31.71</v>
      </c>
      <c r="V8" s="13">
        <f>_xll.BDH("SRPT US Equity","IS_OTHER_REVENUE","FQ1 2024","FQ1 2024","Currency=USD","Period=FQ","BEST_FPERIOD_OVERRIDE=FQ","FILING_STATUS=MR","SCALING_FORMAT=MLN","FA_ADJUSTED=GAAP","Sort=A","Dates=H","DateFormat=P","Fill=—","Direction=H","UseDPDF=Y")</f>
        <v>53.98</v>
      </c>
      <c r="W8" s="13">
        <f>_xll.BDH("SRPT US Equity","IS_OTHER_REVENUE","FQ2 2024","FQ2 2024","Currency=USD","Period=FQ","BEST_FPERIOD_OVERRIDE=FQ","FILING_STATUS=MR","SCALING_FORMAT=MLN","FA_ADJUSTED=GAAP","Sort=A","Dates=H","DateFormat=P","Fill=—","Direction=H","UseDPDF=Y")</f>
        <v>2.383</v>
      </c>
      <c r="X8" s="13">
        <f>_xll.BDH("SRPT US Equity","IS_OTHER_REVENUE","FQ3 2024","FQ3 2024","Currency=USD","Period=FQ","BEST_FPERIOD_OVERRIDE=FQ","FILING_STATUS=MR","SCALING_FORMAT=MLN","FA_ADJUSTED=GAAP","Sort=A","Dates=H","DateFormat=P","Fill=—","Direction=H","UseDPDF=Y")</f>
        <v>37.401000000000003</v>
      </c>
      <c r="Y8" s="13">
        <f>_xll.BDH("SRPT US Equity","IS_OTHER_REVENUE","FQ4 2024","FQ4 2024","Currency=USD","Period=FQ","BEST_FPERIOD_OVERRIDE=FQ","FILING_STATUS=MR","SCALING_FORMAT=MLN","FA_ADJUSTED=GAAP","Sort=A","Dates=H","DateFormat=P","Fill=—","Direction=H","UseDPDF=Y")</f>
        <v>20.254999999999999</v>
      </c>
      <c r="Z8" s="13"/>
      <c r="AA8" s="13"/>
    </row>
    <row r="9" spans="1:27" x14ac:dyDescent="0.25">
      <c r="A9" s="10" t="s">
        <v>315</v>
      </c>
      <c r="B9" s="10" t="s">
        <v>316</v>
      </c>
      <c r="C9" s="13">
        <f>_xll.BDH("SRPT US Equity","IS_COGS_TO_FE_AND_PP_AND_G","FQ2 2019","FQ2 2019","Currency=USD","Period=FQ","BEST_FPERIOD_OVERRIDE=FQ","FILING_STATUS=MR","SCALING_FORMAT=MLN","FA_ADJUSTED=GAAP","Sort=A","Dates=H","DateFormat=P","Fill=—","Direction=H","UseDPDF=Y")</f>
        <v>15.919</v>
      </c>
      <c r="D9" s="13">
        <f>_xll.BDH("SRPT US Equity","IS_COGS_TO_FE_AND_PP_AND_G","FQ3 2019","FQ3 2019","Currency=USD","Period=FQ","BEST_FPERIOD_OVERRIDE=FQ","FILING_STATUS=MR","SCALING_FORMAT=MLN","FA_ADJUSTED=GAAP","Sort=A","Dates=H","DateFormat=P","Fill=—","Direction=H","UseDPDF=Y")</f>
        <v>13.037000000000001</v>
      </c>
      <c r="E9" s="13">
        <f>_xll.BDH("SRPT US Equity","IS_COGS_TO_FE_AND_PP_AND_G","FQ4 2019","FQ4 2019","Currency=USD","Period=FQ","BEST_FPERIOD_OVERRIDE=FQ","FILING_STATUS=MR","SCALING_FORMAT=MLN","FA_ADJUSTED=GAAP","Sort=A","Dates=H","DateFormat=P","Fill=—","Direction=H","UseDPDF=Y")</f>
        <v>15.567</v>
      </c>
      <c r="F9" s="13">
        <f>_xll.BDH("SRPT US Equity","IS_COGS_TO_FE_AND_PP_AND_G","FQ1 2020","FQ1 2020","Currency=USD","Period=FQ","BEST_FPERIOD_OVERRIDE=FQ","FILING_STATUS=MR","SCALING_FORMAT=MLN","FA_ADJUSTED=GAAP","Sort=A","Dates=H","DateFormat=P","Fill=—","Direction=H","UseDPDF=Y")</f>
        <v>12.622</v>
      </c>
      <c r="G9" s="13">
        <f>_xll.BDH("SRPT US Equity","IS_COGS_TO_FE_AND_PP_AND_G","FQ2 2020","FQ2 2020","Currency=USD","Period=FQ","BEST_FPERIOD_OVERRIDE=FQ","FILING_STATUS=MR","SCALING_FORMAT=MLN","FA_ADJUSTED=GAAP","Sort=A","Dates=H","DateFormat=P","Fill=—","Direction=H","UseDPDF=Y")</f>
        <v>13.340999999999999</v>
      </c>
      <c r="H9" s="13">
        <f>_xll.BDH("SRPT US Equity","IS_COGS_TO_FE_AND_PP_AND_G","FQ3 2020","FQ3 2020","Currency=USD","Period=FQ","BEST_FPERIOD_OVERRIDE=FQ","FILING_STATUS=MR","SCALING_FORMAT=MLN","FA_ADJUSTED=GAAP","Sort=A","Dates=H","DateFormat=P","Fill=—","Direction=H","UseDPDF=Y")</f>
        <v>15.015000000000001</v>
      </c>
      <c r="I9" s="13">
        <f>_xll.BDH("SRPT US Equity","IS_COGS_TO_FE_AND_PP_AND_G","FQ4 2020","FQ4 2020","Currency=USD","Period=FQ","BEST_FPERIOD_OVERRIDE=FQ","FILING_STATUS=MR","SCALING_FORMAT=MLN","FA_ADJUSTED=GAAP","Sort=A","Dates=H","DateFormat=P","Fill=—","Direction=H","UseDPDF=Y")</f>
        <v>22.404</v>
      </c>
      <c r="J9" s="13">
        <f>_xll.BDH("SRPT US Equity","IS_COGS_TO_FE_AND_PP_AND_G","FQ1 2021","FQ1 2021","Currency=USD","Period=FQ","BEST_FPERIOD_OVERRIDE=FQ","FILING_STATUS=MR","SCALING_FORMAT=MLN","FA_ADJUSTED=GAAP","Sort=A","Dates=H","DateFormat=P","Fill=—","Direction=H","UseDPDF=Y")</f>
        <v>22.346</v>
      </c>
      <c r="K9" s="13">
        <f>_xll.BDH("SRPT US Equity","IS_COGS_TO_FE_AND_PP_AND_G","FQ2 2021","FQ2 2021","Currency=USD","Period=FQ","BEST_FPERIOD_OVERRIDE=FQ","FILING_STATUS=MR","SCALING_FORMAT=MLN","FA_ADJUSTED=GAAP","Sort=A","Dates=H","DateFormat=P","Fill=—","Direction=H","UseDPDF=Y")</f>
        <v>19.515000000000001</v>
      </c>
      <c r="L9" s="13">
        <f>_xll.BDH("SRPT US Equity","IS_COGS_TO_FE_AND_PP_AND_G","FQ3 2021","FQ3 2021","Currency=USD","Period=FQ","BEST_FPERIOD_OVERRIDE=FQ","FILING_STATUS=MR","SCALING_FORMAT=MLN","FA_ADJUSTED=GAAP","Sort=A","Dates=H","DateFormat=P","Fill=—","Direction=H","UseDPDF=Y")</f>
        <v>23.443999999999999</v>
      </c>
      <c r="M9" s="13">
        <f>_xll.BDH("SRPT US Equity","IS_COGS_TO_FE_AND_PP_AND_G","FQ4 2021","FQ4 2021","Currency=USD","Period=FQ","BEST_FPERIOD_OVERRIDE=FQ","FILING_STATUS=MR","SCALING_FORMAT=MLN","FA_ADJUSTED=GAAP","Sort=A","Dates=H","DateFormat=P","Fill=—","Direction=H","UseDPDF=Y")</f>
        <v>31.744</v>
      </c>
      <c r="N9" s="13">
        <f>_xll.BDH("SRPT US Equity","IS_COGS_TO_FE_AND_PP_AND_G","FQ1 2022","FQ1 2022","Currency=USD","Period=FQ","BEST_FPERIOD_OVERRIDE=FQ","FILING_STATUS=MR","SCALING_FORMAT=MLN","FA_ADJUSTED=GAAP","Sort=A","Dates=H","DateFormat=P","Fill=—","Direction=H","UseDPDF=Y")</f>
        <v>31.443000000000001</v>
      </c>
      <c r="O9" s="13">
        <f>_xll.BDH("SRPT US Equity","IS_COGS_TO_FE_AND_PP_AND_G","FQ2 2022","FQ2 2022","Currency=USD","Period=FQ","BEST_FPERIOD_OVERRIDE=FQ","FILING_STATUS=MR","SCALING_FORMAT=MLN","FA_ADJUSTED=GAAP","Sort=A","Dates=H","DateFormat=P","Fill=—","Direction=H","UseDPDF=Y")</f>
        <v>37.795000000000002</v>
      </c>
      <c r="P9" s="13">
        <f>_xll.BDH("SRPT US Equity","IS_COGS_TO_FE_AND_PP_AND_G","FQ3 2022","FQ3 2022","Currency=USD","Period=FQ","BEST_FPERIOD_OVERRIDE=FQ","FILING_STATUS=MR","SCALING_FORMAT=MLN","FA_ADJUSTED=GAAP","Sort=A","Dates=H","DateFormat=P","Fill=—","Direction=H","UseDPDF=Y")</f>
        <v>39.951999999999998</v>
      </c>
      <c r="Q9" s="13">
        <f>_xll.BDH("SRPT US Equity","IS_COGS_TO_FE_AND_PP_AND_G","FQ4 2022","FQ4 2022","Currency=USD","Period=FQ","BEST_FPERIOD_OVERRIDE=FQ","FILING_STATUS=MR","SCALING_FORMAT=MLN","FA_ADJUSTED=GAAP","Sort=A","Dates=H","DateFormat=P","Fill=—","Direction=H","UseDPDF=Y")</f>
        <v>30.798999999999999</v>
      </c>
      <c r="R9" s="13">
        <f>_xll.BDH("SRPT US Equity","IS_COGS_TO_FE_AND_PP_AND_G","FQ1 2023","FQ1 2023","Currency=USD","Period=FQ","BEST_FPERIOD_OVERRIDE=FQ","FILING_STATUS=MR","SCALING_FORMAT=MLN","FA_ADJUSTED=GAAP","Sort=A","Dates=H","DateFormat=P","Fill=—","Direction=H","UseDPDF=Y")</f>
        <v>35.017000000000003</v>
      </c>
      <c r="S9" s="13">
        <f>_xll.BDH("SRPT US Equity","IS_COGS_TO_FE_AND_PP_AND_G","FQ2 2023","FQ2 2023","Currency=USD","Period=FQ","BEST_FPERIOD_OVERRIDE=FQ","FILING_STATUS=MR","SCALING_FORMAT=MLN","FA_ADJUSTED=GAAP","Sort=A","Dates=H","DateFormat=P","Fill=—","Direction=H","UseDPDF=Y")</f>
        <v>34.124000000000002</v>
      </c>
      <c r="T9" s="13">
        <f>_xll.BDH("SRPT US Equity","IS_COGS_TO_FE_AND_PP_AND_G","FQ3 2023","FQ3 2023","Currency=USD","Period=FQ","BEST_FPERIOD_OVERRIDE=FQ","FILING_STATUS=MR","SCALING_FORMAT=MLN","FA_ADJUSTED=GAAP","Sort=A","Dates=H","DateFormat=P","Fill=—","Direction=H","UseDPDF=Y")</f>
        <v>37.026000000000003</v>
      </c>
      <c r="U9" s="13">
        <f>_xll.BDH("SRPT US Equity","IS_COGS_TO_FE_AND_PP_AND_G","FQ4 2023","FQ4 2023","Currency=USD","Period=FQ","BEST_FPERIOD_OVERRIDE=FQ","FILING_STATUS=MR","SCALING_FORMAT=MLN","FA_ADJUSTED=GAAP","Sort=A","Dates=H","DateFormat=P","Fill=—","Direction=H","UseDPDF=Y")</f>
        <v>44.176000000000002</v>
      </c>
      <c r="V9" s="13">
        <f>_xll.BDH("SRPT US Equity","IS_COGS_TO_FE_AND_PP_AND_G","FQ1 2024","FQ1 2024","Currency=USD","Period=FQ","BEST_FPERIOD_OVERRIDE=FQ","FILING_STATUS=MR","SCALING_FORMAT=MLN","FA_ADJUSTED=GAAP","Sort=A","Dates=H","DateFormat=P","Fill=—","Direction=H","UseDPDF=Y")</f>
        <v>50.558999999999997</v>
      </c>
      <c r="W9" s="13">
        <f>_xll.BDH("SRPT US Equity","IS_COGS_TO_FE_AND_PP_AND_G","FQ2 2024","FQ2 2024","Currency=USD","Period=FQ","BEST_FPERIOD_OVERRIDE=FQ","FILING_STATUS=MR","SCALING_FORMAT=MLN","FA_ADJUSTED=GAAP","Sort=A","Dates=H","DateFormat=P","Fill=—","Direction=H","UseDPDF=Y")</f>
        <v>44.545000000000002</v>
      </c>
      <c r="X9" s="13">
        <f>_xll.BDH("SRPT US Equity","IS_COGS_TO_FE_AND_PP_AND_G","FQ3 2024","FQ3 2024","Currency=USD","Period=FQ","BEST_FPERIOD_OVERRIDE=FQ","FILING_STATUS=MR","SCALING_FORMAT=MLN","FA_ADJUSTED=GAAP","Sort=A","Dates=H","DateFormat=P","Fill=—","Direction=H","UseDPDF=Y")</f>
        <v>91.691000000000003</v>
      </c>
      <c r="Y9" s="13">
        <f>_xll.BDH("SRPT US Equity","IS_COGS_TO_FE_AND_PP_AND_G","FQ4 2024","FQ4 2024","Currency=USD","Period=FQ","BEST_FPERIOD_OVERRIDE=FQ","FILING_STATUS=MR","SCALING_FORMAT=MLN","FA_ADJUSTED=GAAP","Sort=A","Dates=H","DateFormat=P","Fill=—","Direction=H","UseDPDF=Y")</f>
        <v>132.304</v>
      </c>
      <c r="Z9" s="13"/>
      <c r="AA9" s="13"/>
    </row>
    <row r="10" spans="1:27" x14ac:dyDescent="0.25">
      <c r="A10" s="10" t="s">
        <v>317</v>
      </c>
      <c r="B10" s="10" t="s">
        <v>318</v>
      </c>
      <c r="C10" s="13">
        <f>_xll.BDH("SRPT US Equity","IS_COG_AND_SERVICES_SOLD","FQ2 2019","FQ2 2019","Currency=USD","Period=FQ","BEST_FPERIOD_OVERRIDE=FQ","FILING_STATUS=MR","SCALING_FORMAT=MLN","FA_ADJUSTED=GAAP","Sort=A","Dates=H","DateFormat=P","Fill=—","Direction=H","UseDPDF=Y")</f>
        <v>15.919</v>
      </c>
      <c r="D10" s="13">
        <f>_xll.BDH("SRPT US Equity","IS_COG_AND_SERVICES_SOLD","FQ3 2019","FQ3 2019","Currency=USD","Period=FQ","BEST_FPERIOD_OVERRIDE=FQ","FILING_STATUS=MR","SCALING_FORMAT=MLN","FA_ADJUSTED=GAAP","Sort=A","Dates=H","DateFormat=P","Fill=—","Direction=H","UseDPDF=Y")</f>
        <v>13.037000000000001</v>
      </c>
      <c r="E10" s="13">
        <f>_xll.BDH("SRPT US Equity","IS_COG_AND_SERVICES_SOLD","FQ4 2019","FQ4 2019","Currency=USD","Period=FQ","BEST_FPERIOD_OVERRIDE=FQ","FILING_STATUS=MR","SCALING_FORMAT=MLN","FA_ADJUSTED=GAAP","Sort=A","Dates=H","DateFormat=P","Fill=—","Direction=H","UseDPDF=Y")</f>
        <v>15.567</v>
      </c>
      <c r="F10" s="13">
        <f>_xll.BDH("SRPT US Equity","IS_COG_AND_SERVICES_SOLD","FQ1 2020","FQ1 2020","Currency=USD","Period=FQ","BEST_FPERIOD_OVERRIDE=FQ","FILING_STATUS=MR","SCALING_FORMAT=MLN","FA_ADJUSTED=GAAP","Sort=A","Dates=H","DateFormat=P","Fill=—","Direction=H","UseDPDF=Y")</f>
        <v>12.622</v>
      </c>
      <c r="G10" s="13">
        <f>_xll.BDH("SRPT US Equity","IS_COG_AND_SERVICES_SOLD","FQ2 2020","FQ2 2020","Currency=USD","Period=FQ","BEST_FPERIOD_OVERRIDE=FQ","FILING_STATUS=MR","SCALING_FORMAT=MLN","FA_ADJUSTED=GAAP","Sort=A","Dates=H","DateFormat=P","Fill=—","Direction=H","UseDPDF=Y")</f>
        <v>13.340999999999999</v>
      </c>
      <c r="H10" s="13">
        <f>_xll.BDH("SRPT US Equity","IS_COG_AND_SERVICES_SOLD","FQ3 2020","FQ3 2020","Currency=USD","Period=FQ","BEST_FPERIOD_OVERRIDE=FQ","FILING_STATUS=MR","SCALING_FORMAT=MLN","FA_ADJUSTED=GAAP","Sort=A","Dates=H","DateFormat=P","Fill=—","Direction=H","UseDPDF=Y")</f>
        <v>15.015000000000001</v>
      </c>
      <c r="I10" s="13">
        <f>_xll.BDH("SRPT US Equity","IS_COG_AND_SERVICES_SOLD","FQ4 2020","FQ4 2020","Currency=USD","Period=FQ","BEST_FPERIOD_OVERRIDE=FQ","FILING_STATUS=MR","SCALING_FORMAT=MLN","FA_ADJUSTED=GAAP","Sort=A","Dates=H","DateFormat=P","Fill=—","Direction=H","UseDPDF=Y")</f>
        <v>22.404</v>
      </c>
      <c r="J10" s="13">
        <f>_xll.BDH("SRPT US Equity","IS_COG_AND_SERVICES_SOLD","FQ1 2021","FQ1 2021","Currency=USD","Period=FQ","BEST_FPERIOD_OVERRIDE=FQ","FILING_STATUS=MR","SCALING_FORMAT=MLN","FA_ADJUSTED=GAAP","Sort=A","Dates=H","DateFormat=P","Fill=—","Direction=H","UseDPDF=Y")</f>
        <v>22.346</v>
      </c>
      <c r="K10" s="13">
        <f>_xll.BDH("SRPT US Equity","IS_COG_AND_SERVICES_SOLD","FQ2 2021","FQ2 2021","Currency=USD","Period=FQ","BEST_FPERIOD_OVERRIDE=FQ","FILING_STATUS=MR","SCALING_FORMAT=MLN","FA_ADJUSTED=GAAP","Sort=A","Dates=H","DateFormat=P","Fill=—","Direction=H","UseDPDF=Y")</f>
        <v>19.515000000000001</v>
      </c>
      <c r="L10" s="13">
        <f>_xll.BDH("SRPT US Equity","IS_COG_AND_SERVICES_SOLD","FQ3 2021","FQ3 2021","Currency=USD","Period=FQ","BEST_FPERIOD_OVERRIDE=FQ","FILING_STATUS=MR","SCALING_FORMAT=MLN","FA_ADJUSTED=GAAP","Sort=A","Dates=H","DateFormat=P","Fill=—","Direction=H","UseDPDF=Y")</f>
        <v>23.443999999999999</v>
      </c>
      <c r="M10" s="13">
        <f>_xll.BDH("SRPT US Equity","IS_COG_AND_SERVICES_SOLD","FQ4 2021","FQ4 2021","Currency=USD","Period=FQ","BEST_FPERIOD_OVERRIDE=FQ","FILING_STATUS=MR","SCALING_FORMAT=MLN","FA_ADJUSTED=GAAP","Sort=A","Dates=H","DateFormat=P","Fill=—","Direction=H","UseDPDF=Y")</f>
        <v>31.744</v>
      </c>
      <c r="N10" s="13">
        <f>_xll.BDH("SRPT US Equity","IS_COG_AND_SERVICES_SOLD","FQ1 2022","FQ1 2022","Currency=USD","Period=FQ","BEST_FPERIOD_OVERRIDE=FQ","FILING_STATUS=MR","SCALING_FORMAT=MLN","FA_ADJUSTED=GAAP","Sort=A","Dates=H","DateFormat=P","Fill=—","Direction=H","UseDPDF=Y")</f>
        <v>31.443000000000001</v>
      </c>
      <c r="O10" s="13">
        <f>_xll.BDH("SRPT US Equity","IS_COG_AND_SERVICES_SOLD","FQ2 2022","FQ2 2022","Currency=USD","Period=FQ","BEST_FPERIOD_OVERRIDE=FQ","FILING_STATUS=MR","SCALING_FORMAT=MLN","FA_ADJUSTED=GAAP","Sort=A","Dates=H","DateFormat=P","Fill=—","Direction=H","UseDPDF=Y")</f>
        <v>37.795000000000002</v>
      </c>
      <c r="P10" s="13">
        <f>_xll.BDH("SRPT US Equity","IS_COG_AND_SERVICES_SOLD","FQ3 2022","FQ3 2022","Currency=USD","Period=FQ","BEST_FPERIOD_OVERRIDE=FQ","FILING_STATUS=MR","SCALING_FORMAT=MLN","FA_ADJUSTED=GAAP","Sort=A","Dates=H","DateFormat=P","Fill=—","Direction=H","UseDPDF=Y")</f>
        <v>39.951999999999998</v>
      </c>
      <c r="Q10" s="13">
        <f>_xll.BDH("SRPT US Equity","IS_COG_AND_SERVICES_SOLD","FQ4 2022","FQ4 2022","Currency=USD","Period=FQ","BEST_FPERIOD_OVERRIDE=FQ","FILING_STATUS=MR","SCALING_FORMAT=MLN","FA_ADJUSTED=GAAP","Sort=A","Dates=H","DateFormat=P","Fill=—","Direction=H","UseDPDF=Y")</f>
        <v>30.798999999999999</v>
      </c>
      <c r="R10" s="13">
        <f>_xll.BDH("SRPT US Equity","IS_COG_AND_SERVICES_SOLD","FQ1 2023","FQ1 2023","Currency=USD","Period=FQ","BEST_FPERIOD_OVERRIDE=FQ","FILING_STATUS=MR","SCALING_FORMAT=MLN","FA_ADJUSTED=GAAP","Sort=A","Dates=H","DateFormat=P","Fill=—","Direction=H","UseDPDF=Y")</f>
        <v>35.017000000000003</v>
      </c>
      <c r="S10" s="13">
        <f>_xll.BDH("SRPT US Equity","IS_COG_AND_SERVICES_SOLD","FQ2 2023","FQ2 2023","Currency=USD","Period=FQ","BEST_FPERIOD_OVERRIDE=FQ","FILING_STATUS=MR","SCALING_FORMAT=MLN","FA_ADJUSTED=GAAP","Sort=A","Dates=H","DateFormat=P","Fill=—","Direction=H","UseDPDF=Y")</f>
        <v>34.124000000000002</v>
      </c>
      <c r="T10" s="13">
        <f>_xll.BDH("SRPT US Equity","IS_COG_AND_SERVICES_SOLD","FQ3 2023","FQ3 2023","Currency=USD","Period=FQ","BEST_FPERIOD_OVERRIDE=FQ","FILING_STATUS=MR","SCALING_FORMAT=MLN","FA_ADJUSTED=GAAP","Sort=A","Dates=H","DateFormat=P","Fill=—","Direction=H","UseDPDF=Y")</f>
        <v>37.026000000000003</v>
      </c>
      <c r="U10" s="13">
        <f>_xll.BDH("SRPT US Equity","IS_COG_AND_SERVICES_SOLD","FQ4 2023","FQ4 2023","Currency=USD","Period=FQ","BEST_FPERIOD_OVERRIDE=FQ","FILING_STATUS=MR","SCALING_FORMAT=MLN","FA_ADJUSTED=GAAP","Sort=A","Dates=H","DateFormat=P","Fill=—","Direction=H","UseDPDF=Y")</f>
        <v>44.176000000000002</v>
      </c>
      <c r="V10" s="13">
        <f>_xll.BDH("SRPT US Equity","IS_COG_AND_SERVICES_SOLD","FQ1 2024","FQ1 2024","Currency=USD","Period=FQ","BEST_FPERIOD_OVERRIDE=FQ","FILING_STATUS=MR","SCALING_FORMAT=MLN","FA_ADJUSTED=GAAP","Sort=A","Dates=H","DateFormat=P","Fill=—","Direction=H","UseDPDF=Y")</f>
        <v>50.558999999999997</v>
      </c>
      <c r="W10" s="13">
        <f>_xll.BDH("SRPT US Equity","IS_COG_AND_SERVICES_SOLD","FQ2 2024","FQ2 2024","Currency=USD","Period=FQ","BEST_FPERIOD_OVERRIDE=FQ","FILING_STATUS=MR","SCALING_FORMAT=MLN","FA_ADJUSTED=GAAP","Sort=A","Dates=H","DateFormat=P","Fill=—","Direction=H","UseDPDF=Y")</f>
        <v>44.545000000000002</v>
      </c>
      <c r="X10" s="13">
        <f>_xll.BDH("SRPT US Equity","IS_COG_AND_SERVICES_SOLD","FQ3 2024","FQ3 2024","Currency=USD","Period=FQ","BEST_FPERIOD_OVERRIDE=FQ","FILING_STATUS=MR","SCALING_FORMAT=MLN","FA_ADJUSTED=GAAP","Sort=A","Dates=H","DateFormat=P","Fill=—","Direction=H","UseDPDF=Y")</f>
        <v>91.691000000000003</v>
      </c>
      <c r="Y10" s="13">
        <f>_xll.BDH("SRPT US Equity","IS_COG_AND_SERVICES_SOLD","FQ4 2024","FQ4 2024","Currency=USD","Period=FQ","BEST_FPERIOD_OVERRIDE=FQ","FILING_STATUS=MR","SCALING_FORMAT=MLN","FA_ADJUSTED=GAAP","Sort=A","Dates=H","DateFormat=P","Fill=—","Direction=H","UseDPDF=Y")</f>
        <v>132.304</v>
      </c>
      <c r="Z10" s="13"/>
      <c r="AA10" s="13"/>
    </row>
    <row r="11" spans="1:27" x14ac:dyDescent="0.25">
      <c r="A11" s="6" t="s">
        <v>2</v>
      </c>
      <c r="B11" s="6" t="s">
        <v>75</v>
      </c>
      <c r="C11" s="19">
        <f>_xll.BDH("SRPT US Equity","GROSS_PROFIT","FQ2 2019","FQ2 2019","Currency=USD","Period=FQ","BEST_FPERIOD_OVERRIDE=FQ","FILING_STATUS=MR","SCALING_FORMAT=MLN","FA_ADJUSTED=GAAP","Sort=A","Dates=H","DateFormat=P","Fill=—","Direction=H","UseDPDF=Y")</f>
        <v>78.748999999999995</v>
      </c>
      <c r="D11" s="19">
        <f>_xll.BDH("SRPT US Equity","GROSS_PROFIT","FQ3 2019","FQ3 2019","Currency=USD","Period=FQ","BEST_FPERIOD_OVERRIDE=FQ","FILING_STATUS=MR","SCALING_FORMAT=MLN","FA_ADJUSTED=GAAP","Sort=A","Dates=H","DateFormat=P","Fill=—","Direction=H","UseDPDF=Y")</f>
        <v>86.004000000000005</v>
      </c>
      <c r="E11" s="19">
        <f>_xll.BDH("SRPT US Equity","GROSS_PROFIT","FQ4 2019","FQ4 2019","Currency=USD","Period=FQ","BEST_FPERIOD_OVERRIDE=FQ","FILING_STATUS=MR","SCALING_FORMAT=MLN","FA_ADJUSTED=GAAP","Sort=A","Dates=H","DateFormat=P","Fill=—","Direction=H","UseDPDF=Y")</f>
        <v>84.546000000000006</v>
      </c>
      <c r="F11" s="19">
        <f>_xll.BDH("SRPT US Equity","GROSS_PROFIT","FQ1 2020","FQ1 2020","Currency=USD","Period=FQ","BEST_FPERIOD_OVERRIDE=FQ","FILING_STATUS=MR","SCALING_FORMAT=MLN","FA_ADJUSTED=GAAP","Sort=A","Dates=H","DateFormat=P","Fill=—","Direction=H","UseDPDF=Y")</f>
        <v>101.05200000000001</v>
      </c>
      <c r="G11" s="19">
        <f>_xll.BDH("SRPT US Equity","GROSS_PROFIT","FQ2 2020","FQ2 2020","Currency=USD","Period=FQ","BEST_FPERIOD_OVERRIDE=FQ","FILING_STATUS=MR","SCALING_FORMAT=MLN","FA_ADJUSTED=GAAP","Sort=A","Dates=H","DateFormat=P","Fill=—","Direction=H","UseDPDF=Y")</f>
        <v>124.02200000000001</v>
      </c>
      <c r="H11" s="19">
        <f>_xll.BDH("SRPT US Equity","GROSS_PROFIT","FQ3 2020","FQ3 2020","Currency=USD","Period=FQ","BEST_FPERIOD_OVERRIDE=FQ","FILING_STATUS=MR","SCALING_FORMAT=MLN","FA_ADJUSTED=GAAP","Sort=A","Dates=H","DateFormat=P","Fill=—","Direction=H","UseDPDF=Y")</f>
        <v>128.90899999999999</v>
      </c>
      <c r="I11" s="19">
        <f>_xll.BDH("SRPT US Equity","GROSS_PROFIT","FQ4 2020","FQ4 2020","Currency=USD","Period=FQ","BEST_FPERIOD_OVERRIDE=FQ","FILING_STATUS=MR","SCALING_FORMAT=MLN","FA_ADJUSTED=GAAP","Sort=A","Dates=H","DateFormat=P","Fill=—","Direction=H","UseDPDF=Y")</f>
        <v>122.73399999999999</v>
      </c>
      <c r="J11" s="19">
        <f>_xll.BDH("SRPT US Equity","GROSS_PROFIT","FQ1 2021","FQ1 2021","Currency=USD","Period=FQ","BEST_FPERIOD_OVERRIDE=FQ","FILING_STATUS=MR","SCALING_FORMAT=MLN","FA_ADJUSTED=GAAP","Sort=A","Dates=H","DateFormat=P","Fill=—","Direction=H","UseDPDF=Y")</f>
        <v>124.58499999999999</v>
      </c>
      <c r="K11" s="19">
        <f>_xll.BDH("SRPT US Equity","GROSS_PROFIT","FQ2 2021","FQ2 2021","Currency=USD","Period=FQ","BEST_FPERIOD_OVERRIDE=FQ","FILING_STATUS=MR","SCALING_FORMAT=MLN","FA_ADJUSTED=GAAP","Sort=A","Dates=H","DateFormat=P","Fill=—","Direction=H","UseDPDF=Y")</f>
        <v>144.57400000000001</v>
      </c>
      <c r="L11" s="19">
        <f>_xll.BDH("SRPT US Equity","GROSS_PROFIT","FQ3 2021","FQ3 2021","Currency=USD","Period=FQ","BEST_FPERIOD_OVERRIDE=FQ","FILING_STATUS=MR","SCALING_FORMAT=MLN","FA_ADJUSTED=GAAP","Sort=A","Dates=H","DateFormat=P","Fill=—","Direction=H","UseDPDF=Y")</f>
        <v>165.96199999999999</v>
      </c>
      <c r="M11" s="19">
        <f>_xll.BDH("SRPT US Equity","GROSS_PROFIT","FQ4 2021","FQ4 2021","Currency=USD","Period=FQ","BEST_FPERIOD_OVERRIDE=FQ","FILING_STATUS=MR","SCALING_FORMAT=MLN","FA_ADJUSTED=GAAP","Sort=A","Dates=H","DateFormat=P","Fill=—","Direction=H","UseDPDF=Y")</f>
        <v>169.71700000000001</v>
      </c>
      <c r="N11" s="19">
        <f>_xll.BDH("SRPT US Equity","GROSS_PROFIT","FQ1 2022","FQ1 2022","Currency=USD","Period=FQ","BEST_FPERIOD_OVERRIDE=FQ","FILING_STATUS=MR","SCALING_FORMAT=MLN","FA_ADJUSTED=GAAP","Sort=A","Dates=H","DateFormat=P","Fill=—","Direction=H","UseDPDF=Y")</f>
        <v>179.387</v>
      </c>
      <c r="O11" s="19">
        <f>_xll.BDH("SRPT US Equity","GROSS_PROFIT","FQ2 2022","FQ2 2022","Currency=USD","Period=FQ","BEST_FPERIOD_OVERRIDE=FQ","FILING_STATUS=MR","SCALING_FORMAT=MLN","FA_ADJUSTED=GAAP","Sort=A","Dates=H","DateFormat=P","Fill=—","Direction=H","UseDPDF=Y")</f>
        <v>195.69200000000001</v>
      </c>
      <c r="P11" s="19">
        <f>_xll.BDH("SRPT US Equity","GROSS_PROFIT","FQ3 2022","FQ3 2022","Currency=USD","Period=FQ","BEST_FPERIOD_OVERRIDE=FQ","FILING_STATUS=MR","SCALING_FORMAT=MLN","FA_ADJUSTED=GAAP","Sort=A","Dates=H","DateFormat=P","Fill=—","Direction=H","UseDPDF=Y")</f>
        <v>190.31700000000001</v>
      </c>
      <c r="Q11" s="19">
        <f>_xll.BDH("SRPT US Equity","GROSS_PROFIT","FQ4 2022","FQ4 2022","Currency=USD","Period=FQ","BEST_FPERIOD_OVERRIDE=FQ","FILING_STATUS=MR","SCALING_FORMAT=MLN","FA_ADJUSTED=GAAP","Sort=A","Dates=H","DateFormat=P","Fill=—","Direction=H","UseDPDF=Y")</f>
        <v>227.62799999999999</v>
      </c>
      <c r="R11" s="19">
        <f>_xll.BDH("SRPT US Equity","GROSS_PROFIT","FQ1 2023","FQ1 2023","Currency=USD","Period=FQ","BEST_FPERIOD_OVERRIDE=FQ","FILING_STATUS=MR","SCALING_FORMAT=MLN","FA_ADJUSTED=GAAP","Sort=A","Dates=H","DateFormat=P","Fill=—","Direction=H","UseDPDF=Y")</f>
        <v>218.483</v>
      </c>
      <c r="S11" s="19">
        <f>_xll.BDH("SRPT US Equity","GROSS_PROFIT","FQ2 2023","FQ2 2023","Currency=USD","Period=FQ","BEST_FPERIOD_OVERRIDE=FQ","FILING_STATUS=MR","SCALING_FORMAT=MLN","FA_ADJUSTED=GAAP","Sort=A","Dates=H","DateFormat=P","Fill=—","Direction=H","UseDPDF=Y")</f>
        <v>227.114</v>
      </c>
      <c r="T11" s="19">
        <f>_xll.BDH("SRPT US Equity","GROSS_PROFIT","FQ3 2023","FQ3 2023","Currency=USD","Period=FQ","BEST_FPERIOD_OVERRIDE=FQ","FILING_STATUS=MR","SCALING_FORMAT=MLN","FA_ADJUSTED=GAAP","Sort=A","Dates=H","DateFormat=P","Fill=—","Direction=H","UseDPDF=Y")</f>
        <v>294.791</v>
      </c>
      <c r="U11" s="19">
        <f>_xll.BDH("SRPT US Equity","GROSS_PROFIT","FQ4 2023","FQ4 2023","Currency=USD","Period=FQ","BEST_FPERIOD_OVERRIDE=FQ","FILING_STATUS=MR","SCALING_FORMAT=MLN","FA_ADJUSTED=GAAP","Sort=A","Dates=H","DateFormat=P","Fill=—","Direction=H","UseDPDF=Y")</f>
        <v>352.60500000000002</v>
      </c>
      <c r="V11" s="19">
        <f>_xll.BDH("SRPT US Equity","GROSS_PROFIT","FQ1 2024","FQ1 2024","Currency=USD","Period=FQ","BEST_FPERIOD_OVERRIDE=FQ","FILING_STATUS=MR","SCALING_FORMAT=MLN","FA_ADJUSTED=GAAP","Sort=A","Dates=H","DateFormat=P","Fill=—","Direction=H","UseDPDF=Y")</f>
        <v>362.90499999999997</v>
      </c>
      <c r="W11" s="19">
        <f>_xll.BDH("SRPT US Equity","GROSS_PROFIT","FQ2 2024","FQ2 2024","Currency=USD","Period=FQ","BEST_FPERIOD_OVERRIDE=FQ","FILING_STATUS=MR","SCALING_FORMAT=MLN","FA_ADJUSTED=GAAP","Sort=A","Dates=H","DateFormat=P","Fill=—","Direction=H","UseDPDF=Y")</f>
        <v>318.38600000000002</v>
      </c>
      <c r="X11" s="19">
        <f>_xll.BDH("SRPT US Equity","GROSS_PROFIT","FQ3 2024","FQ3 2024","Currency=USD","Period=FQ","BEST_FPERIOD_OVERRIDE=FQ","FILING_STATUS=MR","SCALING_FORMAT=MLN","FA_ADJUSTED=GAAP","Sort=A","Dates=H","DateFormat=P","Fill=—","Direction=H","UseDPDF=Y")</f>
        <v>375.48099999999999</v>
      </c>
      <c r="Y11" s="19">
        <f>_xll.BDH("SRPT US Equity","GROSS_PROFIT","FQ4 2024","FQ4 2024","Currency=USD","Period=FQ","BEST_FPERIOD_OVERRIDE=FQ","FILING_STATUS=MR","SCALING_FORMAT=MLN","FA_ADJUSTED=GAAP","Sort=A","Dates=H","DateFormat=P","Fill=—","Direction=H","UseDPDF=Y")</f>
        <v>526.10799999999995</v>
      </c>
      <c r="Z11" s="19">
        <v>576.99631699999998</v>
      </c>
      <c r="AA11" s="19">
        <v>633.55855199999996</v>
      </c>
    </row>
    <row r="12" spans="1:27" x14ac:dyDescent="0.25">
      <c r="A12" s="10" t="s">
        <v>319</v>
      </c>
      <c r="B12" s="10" t="s">
        <v>320</v>
      </c>
      <c r="C12" s="13">
        <f>_xll.BDH("SRPT US Equity","IS_OTHER_OPER_INC","FQ2 2019","FQ2 2019","Currency=USD","Period=FQ","BEST_FPERIOD_OVERRIDE=FQ","FILING_STATUS=MR","SCALING_FORMAT=MLN","FA_ADJUSTED=GAAP","Sort=A","Dates=H","DateFormat=P","Fill=—","Direction=H","UseDPDF=Y")</f>
        <v>0</v>
      </c>
      <c r="D12" s="13">
        <f>_xll.BDH("SRPT US Equity","IS_OTHER_OPER_INC","FQ3 2019","FQ3 2019","Currency=USD","Period=FQ","BEST_FPERIOD_OVERRIDE=FQ","FILING_STATUS=MR","SCALING_FORMAT=MLN","FA_ADJUSTED=GAAP","Sort=A","Dates=H","DateFormat=P","Fill=—","Direction=H","UseDPDF=Y")</f>
        <v>0</v>
      </c>
      <c r="E12" s="13">
        <f>_xll.BDH("SRPT US Equity","IS_OTHER_OPER_INC","FQ4 2019","FQ4 2019","Currency=USD","Period=FQ","BEST_FPERIOD_OVERRIDE=FQ","FILING_STATUS=MR","SCALING_FORMAT=MLN","FA_ADJUSTED=GAAP","Sort=A","Dates=H","DateFormat=P","Fill=—","Direction=H","UseDPDF=Y")</f>
        <v>0</v>
      </c>
      <c r="F12" s="13">
        <f>_xll.BDH("SRPT US Equity","IS_OTHER_OPER_INC","FQ1 2020","FQ1 2020","Currency=USD","Period=FQ","BEST_FPERIOD_OVERRIDE=FQ","FILING_STATUS=MR","SCALING_FORMAT=MLN","FA_ADJUSTED=GAAP","Sort=A","Dates=H","DateFormat=P","Fill=—","Direction=H","UseDPDF=Y")</f>
        <v>0</v>
      </c>
      <c r="G12" s="13">
        <f>_xll.BDH("SRPT US Equity","IS_OTHER_OPER_INC","FQ2 2020","FQ2 2020","Currency=USD","Period=FQ","BEST_FPERIOD_OVERRIDE=FQ","FILING_STATUS=MR","SCALING_FORMAT=MLN","FA_ADJUSTED=GAAP","Sort=A","Dates=H","DateFormat=P","Fill=—","Direction=H","UseDPDF=Y")</f>
        <v>0</v>
      </c>
      <c r="H12" s="13">
        <f>_xll.BDH("SRPT US Equity","IS_OTHER_OPER_INC","FQ3 2020","FQ3 2020","Currency=USD","Period=FQ","BEST_FPERIOD_OVERRIDE=FQ","FILING_STATUS=MR","SCALING_FORMAT=MLN","FA_ADJUSTED=GAAP","Sort=A","Dates=H","DateFormat=P","Fill=—","Direction=H","UseDPDF=Y")</f>
        <v>0</v>
      </c>
      <c r="I12" s="13">
        <f>_xll.BDH("SRPT US Equity","IS_OTHER_OPER_INC","FQ4 2020","FQ4 2020","Currency=USD","Period=FQ","BEST_FPERIOD_OVERRIDE=FQ","FILING_STATUS=MR","SCALING_FORMAT=MLN","FA_ADJUSTED=GAAP","Sort=A","Dates=H","DateFormat=P","Fill=—","Direction=H","UseDPDF=Y")</f>
        <v>0</v>
      </c>
      <c r="J12" s="13">
        <f>_xll.BDH("SRPT US Equity","IS_OTHER_OPER_INC","FQ1 2021","FQ1 2021","Currency=USD","Period=FQ","BEST_FPERIOD_OVERRIDE=FQ","FILING_STATUS=MR","SCALING_FORMAT=MLN","FA_ADJUSTED=GAAP","Sort=A","Dates=H","DateFormat=P","Fill=—","Direction=H","UseDPDF=Y")</f>
        <v>0</v>
      </c>
      <c r="K12" s="13">
        <f>_xll.BDH("SRPT US Equity","IS_OTHER_OPER_INC","FQ2 2021","FQ2 2021","Currency=USD","Period=FQ","BEST_FPERIOD_OVERRIDE=FQ","FILING_STATUS=MR","SCALING_FORMAT=MLN","FA_ADJUSTED=GAAP","Sort=A","Dates=H","DateFormat=P","Fill=—","Direction=H","UseDPDF=Y")</f>
        <v>0</v>
      </c>
      <c r="L12" s="13">
        <f>_xll.BDH("SRPT US Equity","IS_OTHER_OPER_INC","FQ3 2021","FQ3 2021","Currency=USD","Period=FQ","BEST_FPERIOD_OVERRIDE=FQ","FILING_STATUS=MR","SCALING_FORMAT=MLN","FA_ADJUSTED=GAAP","Sort=A","Dates=H","DateFormat=P","Fill=—","Direction=H","UseDPDF=Y")</f>
        <v>0</v>
      </c>
      <c r="M12" s="13">
        <f>_xll.BDH("SRPT US Equity","IS_OTHER_OPER_INC","FQ4 2021","FQ4 2021","Currency=USD","Period=FQ","BEST_FPERIOD_OVERRIDE=FQ","FILING_STATUS=MR","SCALING_FORMAT=MLN","FA_ADJUSTED=GAAP","Sort=A","Dates=H","DateFormat=P","Fill=—","Direction=H","UseDPDF=Y")</f>
        <v>0</v>
      </c>
      <c r="N12" s="13">
        <f>_xll.BDH("SRPT US Equity","IS_OTHER_OPER_INC","FQ1 2022","FQ1 2022","Currency=USD","Period=FQ","BEST_FPERIOD_OVERRIDE=FQ","FILING_STATUS=MR","SCALING_FORMAT=MLN","FA_ADJUSTED=GAAP","Sort=A","Dates=H","DateFormat=P","Fill=—","Direction=H","UseDPDF=Y")</f>
        <v>0</v>
      </c>
      <c r="O12" s="13">
        <f>_xll.BDH("SRPT US Equity","IS_OTHER_OPER_INC","FQ2 2022","FQ2 2022","Currency=USD","Period=FQ","BEST_FPERIOD_OVERRIDE=FQ","FILING_STATUS=MR","SCALING_FORMAT=MLN","FA_ADJUSTED=GAAP","Sort=A","Dates=H","DateFormat=P","Fill=—","Direction=H","UseDPDF=Y")</f>
        <v>0</v>
      </c>
      <c r="P12" s="13">
        <f>_xll.BDH("SRPT US Equity","IS_OTHER_OPER_INC","FQ3 2022","FQ3 2022","Currency=USD","Period=FQ","BEST_FPERIOD_OVERRIDE=FQ","FILING_STATUS=MR","SCALING_FORMAT=MLN","FA_ADJUSTED=GAAP","Sort=A","Dates=H","DateFormat=P","Fill=—","Direction=H","UseDPDF=Y")</f>
        <v>0</v>
      </c>
      <c r="Q12" s="13">
        <f>_xll.BDH("SRPT US Equity","IS_OTHER_OPER_INC","FQ4 2022","FQ4 2022","Currency=USD","Period=FQ","BEST_FPERIOD_OVERRIDE=FQ","FILING_STATUS=MR","SCALING_FORMAT=MLN","FA_ADJUSTED=GAAP","Sort=A","Dates=H","DateFormat=P","Fill=—","Direction=H","UseDPDF=Y")</f>
        <v>0</v>
      </c>
      <c r="R12" s="13">
        <f>_xll.BDH("SRPT US Equity","IS_OTHER_OPER_INC","FQ1 2023","FQ1 2023","Currency=USD","Period=FQ","BEST_FPERIOD_OVERRIDE=FQ","FILING_STATUS=MR","SCALING_FORMAT=MLN","FA_ADJUSTED=GAAP","Sort=A","Dates=H","DateFormat=P","Fill=—","Direction=H","UseDPDF=Y")</f>
        <v>0</v>
      </c>
      <c r="S12" s="13">
        <f>_xll.BDH("SRPT US Equity","IS_OTHER_OPER_INC","FQ2 2023","FQ2 2023","Currency=USD","Period=FQ","BEST_FPERIOD_OVERRIDE=FQ","FILING_STATUS=MR","SCALING_FORMAT=MLN","FA_ADJUSTED=GAAP","Sort=A","Dates=H","DateFormat=P","Fill=—","Direction=H","UseDPDF=Y")</f>
        <v>0</v>
      </c>
      <c r="T12" s="13">
        <f>_xll.BDH("SRPT US Equity","IS_OTHER_OPER_INC","FQ3 2023","FQ3 2023","Currency=USD","Period=FQ","BEST_FPERIOD_OVERRIDE=FQ","FILING_STATUS=MR","SCALING_FORMAT=MLN","FA_ADJUSTED=GAAP","Sort=A","Dates=H","DateFormat=P","Fill=—","Direction=H","UseDPDF=Y")</f>
        <v>0</v>
      </c>
      <c r="U12" s="13">
        <f>_xll.BDH("SRPT US Equity","IS_OTHER_OPER_INC","FQ4 2023","FQ4 2023","Currency=USD","Period=FQ","BEST_FPERIOD_OVERRIDE=FQ","FILING_STATUS=MR","SCALING_FORMAT=MLN","FA_ADJUSTED=GAAP","Sort=A","Dates=H","DateFormat=P","Fill=—","Direction=H","UseDPDF=Y")</f>
        <v>0</v>
      </c>
      <c r="V12" s="13">
        <f>_xll.BDH("SRPT US Equity","IS_OTHER_OPER_INC","FQ1 2024","FQ1 2024","Currency=USD","Period=FQ","BEST_FPERIOD_OVERRIDE=FQ","FILING_STATUS=MR","SCALING_FORMAT=MLN","FA_ADJUSTED=GAAP","Sort=A","Dates=H","DateFormat=P","Fill=—","Direction=H","UseDPDF=Y")</f>
        <v>0</v>
      </c>
      <c r="W12" s="13">
        <f>_xll.BDH("SRPT US Equity","IS_OTHER_OPER_INC","FQ2 2024","FQ2 2024","Currency=USD","Period=FQ","BEST_FPERIOD_OVERRIDE=FQ","FILING_STATUS=MR","SCALING_FORMAT=MLN","FA_ADJUSTED=GAAP","Sort=A","Dates=H","DateFormat=P","Fill=—","Direction=H","UseDPDF=Y")</f>
        <v>0</v>
      </c>
      <c r="X12" s="13">
        <f>_xll.BDH("SRPT US Equity","IS_OTHER_OPER_INC","FQ3 2024","FQ3 2024","Currency=USD","Period=FQ","BEST_FPERIOD_OVERRIDE=FQ","FILING_STATUS=MR","SCALING_FORMAT=MLN","FA_ADJUSTED=GAAP","Sort=A","Dates=H","DateFormat=P","Fill=—","Direction=H","UseDPDF=Y")</f>
        <v>0</v>
      </c>
      <c r="Y12" s="13">
        <f>_xll.BDH("SRPT US Equity","IS_OTHER_OPER_INC","FQ4 2024","FQ4 2024","Currency=USD","Period=FQ","BEST_FPERIOD_OVERRIDE=FQ","FILING_STATUS=MR","SCALING_FORMAT=MLN","FA_ADJUSTED=GAAP","Sort=A","Dates=H","DateFormat=P","Fill=—","Direction=H","UseDPDF=Y")</f>
        <v>0</v>
      </c>
      <c r="Z12" s="13"/>
      <c r="AA12" s="13"/>
    </row>
    <row r="13" spans="1:27" x14ac:dyDescent="0.25">
      <c r="A13" s="10" t="s">
        <v>321</v>
      </c>
      <c r="B13" s="10" t="s">
        <v>322</v>
      </c>
      <c r="C13" s="13">
        <f>_xll.BDH("SRPT US Equity","IS_OPERATING_EXPN","FQ2 2019","FQ2 2019","Currency=USD","Period=FQ","BEST_FPERIOD_OVERRIDE=FQ","FILING_STATUS=MR","SCALING_FORMAT=MLN","FA_ADJUSTED=GAAP","Sort=A","Dates=H","DateFormat=P","Fill=—","Direction=H","UseDPDF=Y")</f>
        <v>354.11599999999999</v>
      </c>
      <c r="D13" s="13">
        <f>_xll.BDH("SRPT US Equity","IS_OPERATING_EXPN","FQ3 2019","FQ3 2019","Currency=USD","Period=FQ","BEST_FPERIOD_OVERRIDE=FQ","FILING_STATUS=MR","SCALING_FORMAT=MLN","FA_ADJUSTED=GAAP","Sort=A","Dates=H","DateFormat=P","Fill=—","Direction=H","UseDPDF=Y")</f>
        <v>209.59399999999999</v>
      </c>
      <c r="E13" s="13">
        <f>_xll.BDH("SRPT US Equity","IS_OPERATING_EXPN","FQ4 2019","FQ4 2019","Currency=USD","Period=FQ","BEST_FPERIOD_OVERRIDE=FQ","FILING_STATUS=MR","SCALING_FORMAT=MLN","FA_ADJUSTED=GAAP","Sort=A","Dates=H","DateFormat=P","Fill=—","Direction=H","UseDPDF=Y")</f>
        <v>314.76499999999999</v>
      </c>
      <c r="F13" s="13">
        <f>_xll.BDH("SRPT US Equity","IS_OPERATING_EXPN","FQ1 2020","FQ1 2020","Currency=USD","Period=FQ","BEST_FPERIOD_OVERRIDE=FQ","FILING_STATUS=MR","SCALING_FORMAT=MLN","FA_ADJUSTED=GAAP","Sort=A","Dates=H","DateFormat=P","Fill=—","Direction=H","UseDPDF=Y")</f>
        <v>219.078</v>
      </c>
      <c r="G13" s="13">
        <f>_xll.BDH("SRPT US Equity","IS_OPERATING_EXPN","FQ2 2020","FQ2 2020","Currency=USD","Period=FQ","BEST_FPERIOD_OVERRIDE=FQ","FILING_STATUS=MR","SCALING_FORMAT=MLN","FA_ADJUSTED=GAAP","Sort=A","Dates=H","DateFormat=P","Fill=—","Direction=H","UseDPDF=Y")</f>
        <v>262.375</v>
      </c>
      <c r="H13" s="13">
        <f>_xll.BDH("SRPT US Equity","IS_OPERATING_EXPN","FQ3 2020","FQ3 2020","Currency=USD","Period=FQ","BEST_FPERIOD_OVERRIDE=FQ","FILING_STATUS=MR","SCALING_FORMAT=MLN","FA_ADJUSTED=GAAP","Sort=A","Dates=H","DateFormat=P","Fill=—","Direction=H","UseDPDF=Y")</f>
        <v>265.97699999999998</v>
      </c>
      <c r="I13" s="13">
        <f>_xll.BDH("SRPT US Equity","IS_OPERATING_EXPN","FQ4 2020","FQ4 2020","Currency=USD","Period=FQ","BEST_FPERIOD_OVERRIDE=FQ","FILING_STATUS=MR","SCALING_FORMAT=MLN","FA_ADJUSTED=GAAP","Sort=A","Dates=H","DateFormat=P","Fill=—","Direction=H","UseDPDF=Y")</f>
        <v>293.45</v>
      </c>
      <c r="J13" s="13">
        <f>_xll.BDH("SRPT US Equity","IS_OPERATING_EXPN","FQ1 2021","FQ1 2021","Currency=USD","Period=FQ","BEST_FPERIOD_OVERRIDE=FQ","FILING_STATUS=MR","SCALING_FORMAT=MLN","FA_ADJUSTED=GAAP","Sort=A","Dates=H","DateFormat=P","Fill=—","Direction=H","UseDPDF=Y")</f>
        <v>276.45</v>
      </c>
      <c r="K13" s="13">
        <f>_xll.BDH("SRPT US Equity","IS_OPERATING_EXPN","FQ2 2021","FQ2 2021","Currency=USD","Period=FQ","BEST_FPERIOD_OVERRIDE=FQ","FILING_STATUS=MR","SCALING_FORMAT=MLN","FA_ADJUSTED=GAAP","Sort=A","Dates=H","DateFormat=P","Fill=—","Direction=H","UseDPDF=Y")</f>
        <v>312.14800000000002</v>
      </c>
      <c r="L13" s="13">
        <f>_xll.BDH("SRPT US Equity","IS_OPERATING_EXPN","FQ3 2021","FQ3 2021","Currency=USD","Period=FQ","BEST_FPERIOD_OVERRIDE=FQ","FILING_STATUS=MR","SCALING_FORMAT=MLN","FA_ADJUSTED=GAAP","Sort=A","Dates=H","DateFormat=P","Fill=—","Direction=H","UseDPDF=Y")</f>
        <v>200.42</v>
      </c>
      <c r="M13" s="13">
        <f>_xll.BDH("SRPT US Equity","IS_OPERATING_EXPN","FQ4 2021","FQ4 2021","Currency=USD","Period=FQ","BEST_FPERIOD_OVERRIDE=FQ","FILING_STATUS=MR","SCALING_FORMAT=MLN","FA_ADJUSTED=GAAP","Sort=A","Dates=H","DateFormat=P","Fill=—","Direction=H","UseDPDF=Y")</f>
        <v>275.52999999999997</v>
      </c>
      <c r="N13" s="13">
        <f>_xll.BDH("SRPT US Equity","IS_OPERATING_EXPN","FQ1 2022","FQ1 2022","Currency=USD","Period=FQ","BEST_FPERIOD_OVERRIDE=FQ","FILING_STATUS=MR","SCALING_FORMAT=MLN","FA_ADJUSTED=GAAP","Sort=A","Dates=H","DateFormat=P","Fill=—","Direction=H","UseDPDF=Y")</f>
        <v>266.26799999999997</v>
      </c>
      <c r="O13" s="13">
        <f>_xll.BDH("SRPT US Equity","IS_OPERATING_EXPN","FQ2 2022","FQ2 2022","Currency=USD","Period=FQ","BEST_FPERIOD_OVERRIDE=FQ","FILING_STATUS=MR","SCALING_FORMAT=MLN","FA_ADJUSTED=GAAP","Sort=A","Dates=H","DateFormat=P","Fill=—","Direction=H","UseDPDF=Y")</f>
        <v>406.82400000000001</v>
      </c>
      <c r="P13" s="13">
        <f>_xll.BDH("SRPT US Equity","IS_OPERATING_EXPN","FQ3 2022","FQ3 2022","Currency=USD","Period=FQ","BEST_FPERIOD_OVERRIDE=FQ","FILING_STATUS=MR","SCALING_FORMAT=MLN","FA_ADJUSTED=GAAP","Sort=A","Dates=H","DateFormat=P","Fill=—","Direction=H","UseDPDF=Y")</f>
        <v>321.67200000000003</v>
      </c>
      <c r="Q13" s="13">
        <f>_xll.BDH("SRPT US Equity","IS_OPERATING_EXPN","FQ4 2022","FQ4 2022","Currency=USD","Period=FQ","BEST_FPERIOD_OVERRIDE=FQ","FILING_STATUS=MR","SCALING_FORMAT=MLN","FA_ADJUSTED=GAAP","Sort=A","Dates=H","DateFormat=P","Fill=—","Direction=H","UseDPDF=Y")</f>
        <v>334.46100000000001</v>
      </c>
      <c r="R13" s="13">
        <f>_xll.BDH("SRPT US Equity","IS_OPERATING_EXPN","FQ1 2023","FQ1 2023","Currency=USD","Period=FQ","BEST_FPERIOD_OVERRIDE=FQ","FILING_STATUS=MR","SCALING_FORMAT=MLN","FA_ADJUSTED=GAAP","Sort=A","Dates=H","DateFormat=P","Fill=—","Direction=H","UseDPDF=Y")</f>
        <v>356.57100000000003</v>
      </c>
      <c r="S13" s="13">
        <f>_xll.BDH("SRPT US Equity","IS_OPERATING_EXPN","FQ2 2023","FQ2 2023","Currency=USD","Period=FQ","BEST_FPERIOD_OVERRIDE=FQ","FILING_STATUS=MR","SCALING_FORMAT=MLN","FA_ADJUSTED=GAAP","Sort=A","Dates=H","DateFormat=P","Fill=—","Direction=H","UseDPDF=Y")</f>
        <v>360.63299999999998</v>
      </c>
      <c r="T13" s="13">
        <f>_xll.BDH("SRPT US Equity","IS_OPERATING_EXPN","FQ3 2023","FQ3 2023","Currency=USD","Period=FQ","BEST_FPERIOD_OVERRIDE=FQ","FILING_STATUS=MR","SCALING_FORMAT=MLN","FA_ADJUSTED=GAAP","Sort=A","Dates=H","DateFormat=P","Fill=—","Direction=H","UseDPDF=Y")</f>
        <v>315.63299999999998</v>
      </c>
      <c r="U13" s="13">
        <f>_xll.BDH("SRPT US Equity","IS_OPERATING_EXPN","FQ4 2023","FQ4 2023","Currency=USD","Period=FQ","BEST_FPERIOD_OVERRIDE=FQ","FILING_STATUS=MR","SCALING_FORMAT=MLN","FA_ADJUSTED=GAAP","Sort=A","Dates=H","DateFormat=P","Fill=—","Direction=H","UseDPDF=Y")</f>
        <v>327.98</v>
      </c>
      <c r="V13" s="13">
        <f>_xll.BDH("SRPT US Equity","IS_OPERATING_EXPN","FQ1 2024","FQ1 2024","Currency=USD","Period=FQ","BEST_FPERIOD_OVERRIDE=FQ","FILING_STATUS=MR","SCALING_FORMAT=MLN","FA_ADJUSTED=GAAP","Sort=A","Dates=H","DateFormat=P","Fill=—","Direction=H","UseDPDF=Y")</f>
        <v>328</v>
      </c>
      <c r="W13" s="13">
        <f>_xll.BDH("SRPT US Equity","IS_OPERATING_EXPN","FQ2 2024","FQ2 2024","Currency=USD","Period=FQ","BEST_FPERIOD_OVERRIDE=FQ","FILING_STATUS=MR","SCALING_FORMAT=MLN","FA_ADJUSTED=GAAP","Sort=A","Dates=H","DateFormat=P","Fill=—","Direction=H","UseDPDF=Y")</f>
        <v>319.08699999999999</v>
      </c>
      <c r="X13" s="13">
        <f>_xll.BDH("SRPT US Equity","IS_OPERATING_EXPN","FQ3 2024","FQ3 2024","Currency=USD","Period=FQ","BEST_FPERIOD_OVERRIDE=FQ","FILING_STATUS=MR","SCALING_FORMAT=MLN","FA_ADJUSTED=GAAP","Sort=A","Dates=H","DateFormat=P","Fill=—","Direction=H","UseDPDF=Y")</f>
        <v>353.28500000000003</v>
      </c>
      <c r="Y13" s="13">
        <f>_xll.BDH("SRPT US Equity","IS_OPERATING_EXPN","FQ4 2024","FQ4 2024","Currency=USD","Period=FQ","BEST_FPERIOD_OVERRIDE=FQ","FILING_STATUS=MR","SCALING_FORMAT=MLN","FA_ADJUSTED=GAAP","Sort=A","Dates=H","DateFormat=P","Fill=—","Direction=H","UseDPDF=Y")</f>
        <v>364.42700000000002</v>
      </c>
      <c r="Z13" s="13"/>
      <c r="AA13" s="13"/>
    </row>
    <row r="14" spans="1:27" x14ac:dyDescent="0.25">
      <c r="A14" s="10" t="s">
        <v>323</v>
      </c>
      <c r="B14" s="10" t="s">
        <v>324</v>
      </c>
      <c r="C14" s="13">
        <f>_xll.BDH("SRPT US Equity","IS_SGA_EXPENSE","FQ2 2019","FQ2 2019","Currency=USD","Period=FQ","BEST_FPERIOD_OVERRIDE=FQ","FILING_STATUS=MR","SCALING_FORMAT=MLN","FA_ADJUSTED=GAAP","Sort=A","Dates=H","DateFormat=P","Fill=—","Direction=H","UseDPDF=Y")</f>
        <v>67.393000000000001</v>
      </c>
      <c r="D14" s="13">
        <f>_xll.BDH("SRPT US Equity","IS_SGA_EXPENSE","FQ3 2019","FQ3 2019","Currency=USD","Period=FQ","BEST_FPERIOD_OVERRIDE=FQ","FILING_STATUS=MR","SCALING_FORMAT=MLN","FA_ADJUSTED=GAAP","Sort=A","Dates=H","DateFormat=P","Fill=—","Direction=H","UseDPDF=Y")</f>
        <v>75.429000000000002</v>
      </c>
      <c r="E14" s="13">
        <f>_xll.BDH("SRPT US Equity","IS_SGA_EXPENSE","FQ4 2019","FQ4 2019","Currency=USD","Period=FQ","BEST_FPERIOD_OVERRIDE=FQ","FILING_STATUS=MR","SCALING_FORMAT=MLN","FA_ADJUSTED=GAAP","Sort=A","Dates=H","DateFormat=P","Fill=—","Direction=H","UseDPDF=Y")</f>
        <v>81.424000000000007</v>
      </c>
      <c r="F14" s="13">
        <f>_xll.BDH("SRPT US Equity","IS_SGA_EXPENSE","FQ1 2020","FQ1 2020","Currency=USD","Period=FQ","BEST_FPERIOD_OVERRIDE=FQ","FILING_STATUS=MR","SCALING_FORMAT=MLN","FA_ADJUSTED=GAAP","Sort=A","Dates=H","DateFormat=P","Fill=—","Direction=H","UseDPDF=Y")</f>
        <v>82.768000000000001</v>
      </c>
      <c r="G14" s="13">
        <f>_xll.BDH("SRPT US Equity","IS_SGA_EXPENSE","FQ2 2020","FQ2 2020","Currency=USD","Period=FQ","BEST_FPERIOD_OVERRIDE=FQ","FILING_STATUS=MR","SCALING_FORMAT=MLN","FA_ADJUSTED=GAAP","Sort=A","Dates=H","DateFormat=P","Fill=—","Direction=H","UseDPDF=Y")</f>
        <v>73.688000000000002</v>
      </c>
      <c r="H14" s="13">
        <f>_xll.BDH("SRPT US Equity","IS_SGA_EXPENSE","FQ3 2020","FQ3 2020","Currency=USD","Period=FQ","BEST_FPERIOD_OVERRIDE=FQ","FILING_STATUS=MR","SCALING_FORMAT=MLN","FA_ADJUSTED=GAAP","Sort=A","Dates=H","DateFormat=P","Fill=—","Direction=H","UseDPDF=Y")</f>
        <v>75.373000000000005</v>
      </c>
      <c r="I14" s="13">
        <f>_xll.BDH("SRPT US Equity","IS_SGA_EXPENSE","FQ4 2020","FQ4 2020","Currency=USD","Period=FQ","BEST_FPERIOD_OVERRIDE=FQ","FILING_STATUS=MR","SCALING_FORMAT=MLN","FA_ADJUSTED=GAAP","Sort=A","Dates=H","DateFormat=P","Fill=—","Direction=H","UseDPDF=Y")</f>
        <v>86.046000000000006</v>
      </c>
      <c r="J14" s="13">
        <f>_xll.BDH("SRPT US Equity","IS_SGA_EXPENSE","FQ1 2021","FQ1 2021","Currency=USD","Period=FQ","BEST_FPERIOD_OVERRIDE=FQ","FILING_STATUS=MR","SCALING_FORMAT=MLN","FA_ADJUSTED=GAAP","Sort=A","Dates=H","DateFormat=P","Fill=—","Direction=H","UseDPDF=Y")</f>
        <v>71.131</v>
      </c>
      <c r="K14" s="13">
        <f>_xll.BDH("SRPT US Equity","IS_SGA_EXPENSE","FQ2 2021","FQ2 2021","Currency=USD","Period=FQ","BEST_FPERIOD_OVERRIDE=FQ","FILING_STATUS=MR","SCALING_FORMAT=MLN","FA_ADJUSTED=GAAP","Sort=A","Dates=H","DateFormat=P","Fill=—","Direction=H","UseDPDF=Y")</f>
        <v>72.346999999999994</v>
      </c>
      <c r="L14" s="13">
        <f>_xll.BDH("SRPT US Equity","IS_SGA_EXPENSE","FQ3 2021","FQ3 2021","Currency=USD","Period=FQ","BEST_FPERIOD_OVERRIDE=FQ","FILING_STATUS=MR","SCALING_FORMAT=MLN","FA_ADJUSTED=GAAP","Sort=A","Dates=H","DateFormat=P","Fill=—","Direction=H","UseDPDF=Y")</f>
        <v>61.127000000000002</v>
      </c>
      <c r="M14" s="13">
        <f>_xll.BDH("SRPT US Equity","IS_SGA_EXPENSE","FQ4 2021","FQ4 2021","Currency=USD","Period=FQ","BEST_FPERIOD_OVERRIDE=FQ","FILING_STATUS=MR","SCALING_FORMAT=MLN","FA_ADJUSTED=GAAP","Sort=A","Dates=H","DateFormat=P","Fill=—","Direction=H","UseDPDF=Y")</f>
        <v>78.055000000000007</v>
      </c>
      <c r="N14" s="13">
        <f>_xll.BDH("SRPT US Equity","IS_SGA_EXPENSE","FQ1 2022","FQ1 2022","Currency=USD","Period=FQ","BEST_FPERIOD_OVERRIDE=FQ","FILING_STATUS=MR","SCALING_FORMAT=MLN","FA_ADJUSTED=GAAP","Sort=A","Dates=H","DateFormat=P","Fill=—","Direction=H","UseDPDF=Y")</f>
        <v>71.84</v>
      </c>
      <c r="O14" s="13">
        <f>_xll.BDH("SRPT US Equity","IS_SGA_EXPENSE","FQ2 2022","FQ2 2022","Currency=USD","Period=FQ","BEST_FPERIOD_OVERRIDE=FQ","FILING_STATUS=MR","SCALING_FORMAT=MLN","FA_ADJUSTED=GAAP","Sort=A","Dates=H","DateFormat=P","Fill=—","Direction=H","UseDPDF=Y")</f>
        <v>154.316</v>
      </c>
      <c r="P14" s="13">
        <f>_xll.BDH("SRPT US Equity","IS_SGA_EXPENSE","FQ3 2022","FQ3 2022","Currency=USD","Period=FQ","BEST_FPERIOD_OVERRIDE=FQ","FILING_STATUS=MR","SCALING_FORMAT=MLN","FA_ADJUSTED=GAAP","Sort=A","Dates=H","DateFormat=P","Fill=—","Direction=H","UseDPDF=Y")</f>
        <v>104.78700000000001</v>
      </c>
      <c r="Q14" s="13">
        <f>_xll.BDH("SRPT US Equity","IS_SGA_EXPENSE","FQ4 2022","FQ4 2022","Currency=USD","Period=FQ","BEST_FPERIOD_OVERRIDE=FQ","FILING_STATUS=MR","SCALING_FORMAT=MLN","FA_ADJUSTED=GAAP","Sort=A","Dates=H","DateFormat=P","Fill=—","Direction=H","UseDPDF=Y")</f>
        <v>120.47799999999999</v>
      </c>
      <c r="R14" s="13">
        <f>_xll.BDH("SRPT US Equity","IS_SGA_EXPENSE","FQ1 2023","FQ1 2023","Currency=USD","Period=FQ","BEST_FPERIOD_OVERRIDE=FQ","FILING_STATUS=MR","SCALING_FORMAT=MLN","FA_ADJUSTED=GAAP","Sort=A","Dates=H","DateFormat=P","Fill=—","Direction=H","UseDPDF=Y")</f>
        <v>110.714</v>
      </c>
      <c r="S14" s="13">
        <f>_xll.BDH("SRPT US Equity","IS_SGA_EXPENSE","FQ2 2023","FQ2 2023","Currency=USD","Period=FQ","BEST_FPERIOD_OVERRIDE=FQ","FILING_STATUS=MR","SCALING_FORMAT=MLN","FA_ADJUSTED=GAAP","Sort=A","Dates=H","DateFormat=P","Fill=—","Direction=H","UseDPDF=Y")</f>
        <v>118.56399999999999</v>
      </c>
      <c r="T14" s="13">
        <f>_xll.BDH("SRPT US Equity","IS_SGA_EXPENSE","FQ3 2023","FQ3 2023","Currency=USD","Period=FQ","BEST_FPERIOD_OVERRIDE=FQ","FILING_STATUS=MR","SCALING_FORMAT=MLN","FA_ADJUSTED=GAAP","Sort=A","Dates=H","DateFormat=P","Fill=—","Direction=H","UseDPDF=Y")</f>
        <v>120.893</v>
      </c>
      <c r="U14" s="13">
        <f>_xll.BDH("SRPT US Equity","IS_SGA_EXPENSE","FQ4 2023","FQ4 2023","Currency=USD","Period=FQ","BEST_FPERIOD_OVERRIDE=FQ","FILING_STATUS=MR","SCALING_FORMAT=MLN","FA_ADJUSTED=GAAP","Sort=A","Dates=H","DateFormat=P","Fill=—","Direction=H","UseDPDF=Y")</f>
        <v>131.69999999999999</v>
      </c>
      <c r="V14" s="13">
        <f>_xll.BDH("SRPT US Equity","IS_SGA_EXPENSE","FQ1 2024","FQ1 2024","Currency=USD","Period=FQ","BEST_FPERIOD_OVERRIDE=FQ","FILING_STATUS=MR","SCALING_FORMAT=MLN","FA_ADJUSTED=GAAP","Sort=A","Dates=H","DateFormat=P","Fill=—","Direction=H","UseDPDF=Y")</f>
        <v>127.003</v>
      </c>
      <c r="W14" s="13">
        <f>_xll.BDH("SRPT US Equity","IS_SGA_EXPENSE","FQ2 2024","FQ2 2024","Currency=USD","Period=FQ","BEST_FPERIOD_OVERRIDE=FQ","FILING_STATUS=MR","SCALING_FORMAT=MLN","FA_ADJUSTED=GAAP","Sort=A","Dates=H","DateFormat=P","Fill=—","Direction=H","UseDPDF=Y")</f>
        <v>138.79599999999999</v>
      </c>
      <c r="X14" s="13">
        <f>_xll.BDH("SRPT US Equity","IS_SGA_EXPENSE","FQ3 2024","FQ3 2024","Currency=USD","Period=FQ","BEST_FPERIOD_OVERRIDE=FQ","FILING_STATUS=MR","SCALING_FORMAT=MLN","FA_ADJUSTED=GAAP","Sort=A","Dates=H","DateFormat=P","Fill=—","Direction=H","UseDPDF=Y")</f>
        <v>128.19999999999999</v>
      </c>
      <c r="Y14" s="13">
        <f>_xll.BDH("SRPT US Equity","IS_SGA_EXPENSE","FQ4 2024","FQ4 2024","Currency=USD","Period=FQ","BEST_FPERIOD_OVERRIDE=FQ","FILING_STATUS=MR","SCALING_FORMAT=MLN","FA_ADJUSTED=GAAP","Sort=A","Dates=H","DateFormat=P","Fill=—","Direction=H","UseDPDF=Y")</f>
        <v>163.87299999999999</v>
      </c>
      <c r="Z14" s="13"/>
      <c r="AA14" s="13"/>
    </row>
    <row r="15" spans="1:27" x14ac:dyDescent="0.25">
      <c r="A15" s="10" t="s">
        <v>325</v>
      </c>
      <c r="B15" s="10" t="s">
        <v>416</v>
      </c>
      <c r="C15" s="13">
        <f>_xll.BDH("SRPT US Equity","IS_OPER_EXPENSES_RD_GAAP","FQ2 2019","FQ2 2019","Currency=USD","Period=FQ","BEST_FPERIOD_OVERRIDE=FQ","FILING_STATUS=MR","SCALING_FORMAT=MLN","FA_ADJUSTED=GAAP","Sort=A","Dates=H","DateFormat=P","Fill=—","Direction=H","UseDPDF=Y")</f>
        <v>113.26600000000001</v>
      </c>
      <c r="D15" s="13">
        <f>_xll.BDH("SRPT US Equity","IS_OPER_EXPENSES_RD_GAAP","FQ3 2019","FQ3 2019","Currency=USD","Period=FQ","BEST_FPERIOD_OVERRIDE=FQ","FILING_STATUS=MR","SCALING_FORMAT=MLN","FA_ADJUSTED=GAAP","Sort=A","Dates=H","DateFormat=P","Fill=—","Direction=H","UseDPDF=Y")</f>
        <v>133.94900000000001</v>
      </c>
      <c r="E15" s="13">
        <f>_xll.BDH("SRPT US Equity","IS_OPER_EXPENSES_RD_GAAP","FQ4 2019","FQ4 2019","Currency=USD","Period=FQ","BEST_FPERIOD_OVERRIDE=FQ","FILING_STATUS=MR","SCALING_FORMAT=MLN","FA_ADJUSTED=GAAP","Sort=A","Dates=H","DateFormat=P","Fill=—","Direction=H","UseDPDF=Y")</f>
        <v>223.14099999999999</v>
      </c>
      <c r="F15" s="13">
        <f>_xll.BDH("SRPT US Equity","IS_OPER_EXPENSES_RD_GAAP","FQ1 2020","FQ1 2020","Currency=USD","Period=FQ","BEST_FPERIOD_OVERRIDE=FQ","FILING_STATUS=MR","SCALING_FORMAT=MLN","FA_ADJUSTED=GAAP","Sort=A","Dates=H","DateFormat=P","Fill=—","Direction=H","UseDPDF=Y")</f>
        <v>136.14400000000001</v>
      </c>
      <c r="G15" s="13">
        <f>_xll.BDH("SRPT US Equity","IS_OPER_EXPENSES_RD_GAAP","FQ2 2020","FQ2 2020","Currency=USD","Period=FQ","BEST_FPERIOD_OVERRIDE=FQ","FILING_STATUS=MR","SCALING_FORMAT=MLN","FA_ADJUSTED=GAAP","Sort=A","Dates=H","DateFormat=P","Fill=—","Direction=H","UseDPDF=Y")</f>
        <v>188.52199999999999</v>
      </c>
      <c r="H15" s="13">
        <f>_xll.BDH("SRPT US Equity","IS_OPER_EXPENSES_RD_GAAP","FQ3 2020","FQ3 2020","Currency=USD","Period=FQ","BEST_FPERIOD_OVERRIDE=FQ","FILING_STATUS=MR","SCALING_FORMAT=MLN","FA_ADJUSTED=GAAP","Sort=A","Dates=H","DateFormat=P","Fill=—","Direction=H","UseDPDF=Y")</f>
        <v>190.43799999999999</v>
      </c>
      <c r="I15" s="13">
        <f>_xll.BDH("SRPT US Equity","IS_OPER_EXPENSES_RD_GAAP","FQ4 2020","FQ4 2020","Currency=USD","Period=FQ","BEST_FPERIOD_OVERRIDE=FQ","FILING_STATUS=MR","SCALING_FORMAT=MLN","FA_ADJUSTED=GAAP","Sort=A","Dates=H","DateFormat=P","Fill=—","Direction=H","UseDPDF=Y")</f>
        <v>207.239</v>
      </c>
      <c r="J15" s="13">
        <f>_xll.BDH("SRPT US Equity","IS_OPER_EXPENSES_RD_GAAP","FQ1 2021","FQ1 2021","Currency=USD","Period=FQ","BEST_FPERIOD_OVERRIDE=FQ","FILING_STATUS=MR","SCALING_FORMAT=MLN","FA_ADJUSTED=GAAP","Sort=A","Dates=H","DateFormat=P","Fill=—","Direction=H","UseDPDF=Y")</f>
        <v>195.149</v>
      </c>
      <c r="K15" s="13">
        <f>_xll.BDH("SRPT US Equity","IS_OPER_EXPENSES_RD_GAAP","FQ2 2021","FQ2 2021","Currency=USD","Period=FQ","BEST_FPERIOD_OVERRIDE=FQ","FILING_STATUS=MR","SCALING_FORMAT=MLN","FA_ADJUSTED=GAAP","Sort=A","Dates=H","DateFormat=P","Fill=—","Direction=H","UseDPDF=Y")</f>
        <v>239.62200000000001</v>
      </c>
      <c r="L15" s="13">
        <f>_xll.BDH("SRPT US Equity","IS_OPER_EXPENSES_RD_GAAP","FQ3 2021","FQ3 2021","Currency=USD","Period=FQ","BEST_FPERIOD_OVERRIDE=FQ","FILING_STATUS=MR","SCALING_FORMAT=MLN","FA_ADJUSTED=GAAP","Sort=A","Dates=H","DateFormat=P","Fill=—","Direction=H","UseDPDF=Y")</f>
        <v>139.11500000000001</v>
      </c>
      <c r="M15" s="13">
        <f>_xll.BDH("SRPT US Equity","IS_OPER_EXPENSES_RD_GAAP","FQ4 2021","FQ4 2021","Currency=USD","Period=FQ","BEST_FPERIOD_OVERRIDE=FQ","FILING_STATUS=MR","SCALING_FORMAT=MLN","FA_ADJUSTED=GAAP","Sort=A","Dates=H","DateFormat=P","Fill=—","Direction=H","UseDPDF=Y")</f>
        <v>197.29599999999999</v>
      </c>
      <c r="N15" s="13">
        <f>_xll.BDH("SRPT US Equity","IS_OPER_EXPENSES_RD_GAAP","FQ1 2022","FQ1 2022","Currency=USD","Period=FQ","BEST_FPERIOD_OVERRIDE=FQ","FILING_STATUS=MR","SCALING_FORMAT=MLN","FA_ADJUSTED=GAAP","Sort=A","Dates=H","DateFormat=P","Fill=—","Direction=H","UseDPDF=Y")</f>
        <v>194.25</v>
      </c>
      <c r="O15" s="13">
        <f>_xll.BDH("SRPT US Equity","IS_OPER_EXPENSES_RD_GAAP","FQ2 2022","FQ2 2022","Currency=USD","Period=FQ","BEST_FPERIOD_OVERRIDE=FQ","FILING_STATUS=MR","SCALING_FORMAT=MLN","FA_ADJUSTED=GAAP","Sort=A","Dates=H","DateFormat=P","Fill=—","Direction=H","UseDPDF=Y")</f>
        <v>252.32900000000001</v>
      </c>
      <c r="P15" s="13">
        <f>_xll.BDH("SRPT US Equity","IS_OPER_EXPENSES_RD_GAAP","FQ3 2022","FQ3 2022","Currency=USD","Period=FQ","BEST_FPERIOD_OVERRIDE=FQ","FILING_STATUS=MR","SCALING_FORMAT=MLN","FA_ADJUSTED=GAAP","Sort=A","Dates=H","DateFormat=P","Fill=—","Direction=H","UseDPDF=Y")</f>
        <v>216.70699999999999</v>
      </c>
      <c r="Q15" s="13">
        <f>_xll.BDH("SRPT US Equity","IS_OPER_EXPENSES_RD_GAAP","FQ4 2022","FQ4 2022","Currency=USD","Period=FQ","BEST_FPERIOD_OVERRIDE=FQ","FILING_STATUS=MR","SCALING_FORMAT=MLN","FA_ADJUSTED=GAAP","Sort=A","Dates=H","DateFormat=P","Fill=—","Direction=H","UseDPDF=Y")</f>
        <v>213.804</v>
      </c>
      <c r="R15" s="13">
        <f>_xll.BDH("SRPT US Equity","IS_OPER_EXPENSES_RD_GAAP","FQ1 2023","FQ1 2023","Currency=USD","Period=FQ","BEST_FPERIOD_OVERRIDE=FQ","FILING_STATUS=MR","SCALING_FORMAT=MLN","FA_ADJUSTED=GAAP","Sort=A","Dates=H","DateFormat=P","Fill=—","Direction=H","UseDPDF=Y")</f>
        <v>245.679</v>
      </c>
      <c r="S15" s="13">
        <f>_xll.BDH("SRPT US Equity","IS_OPER_EXPENSES_RD_GAAP","FQ2 2023","FQ2 2023","Currency=USD","Period=FQ","BEST_FPERIOD_OVERRIDE=FQ","FILING_STATUS=MR","SCALING_FORMAT=MLN","FA_ADJUSTED=GAAP","Sort=A","Dates=H","DateFormat=P","Fill=—","Direction=H","UseDPDF=Y")</f>
        <v>241.89</v>
      </c>
      <c r="T15" s="13">
        <f>_xll.BDH("SRPT US Equity","IS_OPER_EXPENSES_RD_GAAP","FQ3 2023","FQ3 2023","Currency=USD","Period=FQ","BEST_FPERIOD_OVERRIDE=FQ","FILING_STATUS=MR","SCALING_FORMAT=MLN","FA_ADJUSTED=GAAP","Sort=A","Dates=H","DateFormat=P","Fill=—","Direction=H","UseDPDF=Y")</f>
        <v>194.30099999999999</v>
      </c>
      <c r="U15" s="13">
        <f>_xll.BDH("SRPT US Equity","IS_OPER_EXPENSES_RD_GAAP","FQ4 2023","FQ4 2023","Currency=USD","Period=FQ","BEST_FPERIOD_OVERRIDE=FQ","FILING_STATUS=MR","SCALING_FORMAT=MLN","FA_ADJUSTED=GAAP","Sort=A","Dates=H","DateFormat=P","Fill=—","Direction=H","UseDPDF=Y")</f>
        <v>195.517</v>
      </c>
      <c r="V15" s="13">
        <f>_xll.BDH("SRPT US Equity","IS_OPER_EXPENSES_RD_GAAP","FQ1 2024","FQ1 2024","Currency=USD","Period=FQ","BEST_FPERIOD_OVERRIDE=FQ","FILING_STATUS=MR","SCALING_FORMAT=MLN","FA_ADJUSTED=GAAP","Sort=A","Dates=H","DateFormat=P","Fill=—","Direction=H","UseDPDF=Y")</f>
        <v>200.39599999999999</v>
      </c>
      <c r="W15" s="13">
        <f>_xll.BDH("SRPT US Equity","IS_OPER_EXPENSES_RD_GAAP","FQ2 2024","FQ2 2024","Currency=USD","Period=FQ","BEST_FPERIOD_OVERRIDE=FQ","FILING_STATUS=MR","SCALING_FORMAT=MLN","FA_ADJUSTED=GAAP","Sort=A","Dates=H","DateFormat=P","Fill=—","Direction=H","UseDPDF=Y")</f>
        <v>179.69</v>
      </c>
      <c r="X15" s="13">
        <f>_xll.BDH("SRPT US Equity","IS_OPER_EXPENSES_RD_GAAP","FQ3 2024","FQ3 2024","Currency=USD","Period=FQ","BEST_FPERIOD_OVERRIDE=FQ","FILING_STATUS=MR","SCALING_FORMAT=MLN","FA_ADJUSTED=GAAP","Sort=A","Dates=H","DateFormat=P","Fill=—","Direction=H","UseDPDF=Y")</f>
        <v>224.483</v>
      </c>
      <c r="Y15" s="13">
        <f>_xll.BDH("SRPT US Equity","IS_OPER_EXPENSES_RD_GAAP","FQ4 2024","FQ4 2024","Currency=USD","Period=FQ","BEST_FPERIOD_OVERRIDE=FQ","FILING_STATUS=MR","SCALING_FORMAT=MLN","FA_ADJUSTED=GAAP","Sort=A","Dates=H","DateFormat=P","Fill=—","Direction=H","UseDPDF=Y")</f>
        <v>199.953</v>
      </c>
      <c r="Z15" s="13"/>
      <c r="AA15" s="13"/>
    </row>
    <row r="16" spans="1:27" x14ac:dyDescent="0.25">
      <c r="A16" s="10" t="s">
        <v>327</v>
      </c>
      <c r="B16" s="10" t="s">
        <v>417</v>
      </c>
      <c r="C16" s="13">
        <f>_xll.BDH("SRPT US Equity","OTHER_OPERATING_EXPENSES_RATIO","FQ2 2019","FQ2 2019","Currency=USD","Period=FQ","BEST_FPERIOD_OVERRIDE=FQ","FILING_STATUS=MR","SCALING_FORMAT=MLN","FA_ADJUSTED=GAAP","Sort=A","Dates=H","DateFormat=P","Fill=—","Direction=H","UseDPDF=Y")</f>
        <v>173.45699999999999</v>
      </c>
      <c r="D16" s="13">
        <f>_xll.BDH("SRPT US Equity","OTHER_OPERATING_EXPENSES_RATIO","FQ3 2019","FQ3 2019","Currency=USD","Period=FQ","BEST_FPERIOD_OVERRIDE=FQ","FILING_STATUS=MR","SCALING_FORMAT=MLN","FA_ADJUSTED=GAAP","Sort=A","Dates=H","DateFormat=P","Fill=—","Direction=H","UseDPDF=Y")</f>
        <v>0.216</v>
      </c>
      <c r="E16" s="13">
        <f>_xll.BDH("SRPT US Equity","OTHER_OPERATING_EXPENSES_RATIO","FQ4 2019","FQ4 2019","Currency=USD","Period=FQ","BEST_FPERIOD_OVERRIDE=FQ","FILING_STATUS=MR","SCALING_FORMAT=MLN","FA_ADJUSTED=GAAP","Sort=A","Dates=H","DateFormat=P","Fill=—","Direction=H","UseDPDF=Y")</f>
        <v>10.199999999999999</v>
      </c>
      <c r="F16" s="13">
        <f>_xll.BDH("SRPT US Equity","OTHER_OPERATING_EXPENSES_RATIO","FQ1 2020","FQ1 2020","Currency=USD","Period=FQ","BEST_FPERIOD_OVERRIDE=FQ","FILING_STATUS=MR","SCALING_FORMAT=MLN","FA_ADJUSTED=GAAP","Sort=A","Dates=H","DateFormat=P","Fill=—","Direction=H","UseDPDF=Y")</f>
        <v>0.16600000000000001</v>
      </c>
      <c r="G16" s="13">
        <f>_xll.BDH("SRPT US Equity","OTHER_OPERATING_EXPENSES_RATIO","FQ2 2020","FQ2 2020","Currency=USD","Period=FQ","BEST_FPERIOD_OVERRIDE=FQ","FILING_STATUS=MR","SCALING_FORMAT=MLN","FA_ADJUSTED=GAAP","Sort=A","Dates=H","DateFormat=P","Fill=—","Direction=H","UseDPDF=Y")</f>
        <v>0.16500000000000001</v>
      </c>
      <c r="H16" s="13">
        <f>_xll.BDH("SRPT US Equity","OTHER_OPERATING_EXPENSES_RATIO","FQ3 2020","FQ3 2020","Currency=USD","Period=FQ","BEST_FPERIOD_OVERRIDE=FQ","FILING_STATUS=MR","SCALING_FORMAT=MLN","FA_ADJUSTED=GAAP","Sort=A","Dates=H","DateFormat=P","Fill=—","Direction=H","UseDPDF=Y")</f>
        <v>0.16600000000000001</v>
      </c>
      <c r="I16" s="13">
        <f>_xll.BDH("SRPT US Equity","OTHER_OPERATING_EXPENSES_RATIO","FQ4 2020","FQ4 2020","Currency=USD","Period=FQ","BEST_FPERIOD_OVERRIDE=FQ","FILING_STATUS=MR","SCALING_FORMAT=MLN","FA_ADJUSTED=GAAP","Sort=A","Dates=H","DateFormat=P","Fill=—","Direction=H","UseDPDF=Y")</f>
        <v>0.16500000000000001</v>
      </c>
      <c r="J16" s="13">
        <f>_xll.BDH("SRPT US Equity","OTHER_OPERATING_EXPENSES_RATIO","FQ1 2021","FQ1 2021","Currency=USD","Period=FQ","BEST_FPERIOD_OVERRIDE=FQ","FILING_STATUS=MR","SCALING_FORMAT=MLN","FA_ADJUSTED=GAAP","Sort=A","Dates=H","DateFormat=P","Fill=—","Direction=H","UseDPDF=Y")</f>
        <v>10.17</v>
      </c>
      <c r="K16" s="13">
        <f>_xll.BDH("SRPT US Equity","OTHER_OPERATING_EXPENSES_RATIO","FQ2 2021","FQ2 2021","Currency=USD","Period=FQ","BEST_FPERIOD_OVERRIDE=FQ","FILING_STATUS=MR","SCALING_FORMAT=MLN","FA_ADJUSTED=GAAP","Sort=A","Dates=H","DateFormat=P","Fill=—","Direction=H","UseDPDF=Y")</f>
        <v>0.17899999999999999</v>
      </c>
      <c r="L16" s="13">
        <f>_xll.BDH("SRPT US Equity","OTHER_OPERATING_EXPENSES_RATIO","FQ3 2021","FQ3 2021","Currency=USD","Period=FQ","BEST_FPERIOD_OVERRIDE=FQ","FILING_STATUS=MR","SCALING_FORMAT=MLN","FA_ADJUSTED=GAAP","Sort=A","Dates=H","DateFormat=P","Fill=—","Direction=H","UseDPDF=Y")</f>
        <v>0.17799999999999999</v>
      </c>
      <c r="M16" s="13">
        <f>_xll.BDH("SRPT US Equity","OTHER_OPERATING_EXPENSES_RATIO","FQ4 2021","FQ4 2021","Currency=USD","Period=FQ","BEST_FPERIOD_OVERRIDE=FQ","FILING_STATUS=MR","SCALING_FORMAT=MLN","FA_ADJUSTED=GAAP","Sort=A","Dates=H","DateFormat=P","Fill=—","Direction=H","UseDPDF=Y")</f>
        <v>0.17899999999999999</v>
      </c>
      <c r="N16" s="13">
        <f>_xll.BDH("SRPT US Equity","OTHER_OPERATING_EXPENSES_RATIO","FQ1 2022","FQ1 2022","Currency=USD","Period=FQ","BEST_FPERIOD_OVERRIDE=FQ","FILING_STATUS=MR","SCALING_FORMAT=MLN","FA_ADJUSTED=GAAP","Sort=A","Dates=H","DateFormat=P","Fill=—","Direction=H","UseDPDF=Y")</f>
        <v>0.17799999999999999</v>
      </c>
      <c r="O16" s="13">
        <f>_xll.BDH("SRPT US Equity","OTHER_OPERATING_EXPENSES_RATIO","FQ2 2022","FQ2 2022","Currency=USD","Period=FQ","BEST_FPERIOD_OVERRIDE=FQ","FILING_STATUS=MR","SCALING_FORMAT=MLN","FA_ADJUSTED=GAAP","Sort=A","Dates=H","DateFormat=P","Fill=—","Direction=H","UseDPDF=Y")</f>
        <v>0.17899999999999999</v>
      </c>
      <c r="P16" s="13">
        <f>_xll.BDH("SRPT US Equity","OTHER_OPERATING_EXPENSES_RATIO","FQ3 2022","FQ3 2022","Currency=USD","Period=FQ","BEST_FPERIOD_OVERRIDE=FQ","FILING_STATUS=MR","SCALING_FORMAT=MLN","FA_ADJUSTED=GAAP","Sort=A","Dates=H","DateFormat=P","Fill=—","Direction=H","UseDPDF=Y")</f>
        <v>0.17799999999999999</v>
      </c>
      <c r="Q16" s="13">
        <f>_xll.BDH("SRPT US Equity","OTHER_OPERATING_EXPENSES_RATIO","FQ4 2022","FQ4 2022","Currency=USD","Period=FQ","BEST_FPERIOD_OVERRIDE=FQ","FILING_STATUS=MR","SCALING_FORMAT=MLN","FA_ADJUSTED=GAAP","Sort=A","Dates=H","DateFormat=P","Fill=—","Direction=H","UseDPDF=Y")</f>
        <v>0.17899999999999999</v>
      </c>
      <c r="R16" s="13">
        <f>_xll.BDH("SRPT US Equity","OTHER_OPERATING_EXPENSES_RATIO","FQ1 2023","FQ1 2023","Currency=USD","Period=FQ","BEST_FPERIOD_OVERRIDE=FQ","FILING_STATUS=MR","SCALING_FORMAT=MLN","FA_ADJUSTED=GAAP","Sort=A","Dates=H","DateFormat=P","Fill=—","Direction=H","UseDPDF=Y")</f>
        <v>0.17799999999999999</v>
      </c>
      <c r="S16" s="13">
        <f>_xll.BDH("SRPT US Equity","OTHER_OPERATING_EXPENSES_RATIO","FQ2 2023","FQ2 2023","Currency=USD","Period=FQ","BEST_FPERIOD_OVERRIDE=FQ","FILING_STATUS=MR","SCALING_FORMAT=MLN","FA_ADJUSTED=GAAP","Sort=A","Dates=H","DateFormat=P","Fill=—","Direction=H","UseDPDF=Y")</f>
        <v>0.17899999999999999</v>
      </c>
      <c r="T16" s="13">
        <f>_xll.BDH("SRPT US Equity","OTHER_OPERATING_EXPENSES_RATIO","FQ3 2023","FQ3 2023","Currency=USD","Period=FQ","BEST_FPERIOD_OVERRIDE=FQ","FILING_STATUS=MR","SCALING_FORMAT=MLN","FA_ADJUSTED=GAAP","Sort=A","Dates=H","DateFormat=P","Fill=—","Direction=H","UseDPDF=Y")</f>
        <v>0.439</v>
      </c>
      <c r="U16" s="13">
        <f>_xll.BDH("SRPT US Equity","OTHER_OPERATING_EXPENSES_RATIO","FQ4 2023","FQ4 2023","Currency=USD","Period=FQ","BEST_FPERIOD_OVERRIDE=FQ","FILING_STATUS=MR","SCALING_FORMAT=MLN","FA_ADJUSTED=GAAP","Sort=A","Dates=H","DateFormat=P","Fill=—","Direction=H","UseDPDF=Y")</f>
        <v>0.76300000000000001</v>
      </c>
      <c r="V16" s="13">
        <f>_xll.BDH("SRPT US Equity","OTHER_OPERATING_EXPENSES_RATIO","FQ1 2024","FQ1 2024","Currency=USD","Period=FQ","BEST_FPERIOD_OVERRIDE=FQ","FILING_STATUS=MR","SCALING_FORMAT=MLN","FA_ADJUSTED=GAAP","Sort=A","Dates=H","DateFormat=P","Fill=—","Direction=H","UseDPDF=Y")</f>
        <v>0.60099999999999998</v>
      </c>
      <c r="W16" s="13">
        <f>_xll.BDH("SRPT US Equity","OTHER_OPERATING_EXPENSES_RATIO","FQ2 2024","FQ2 2024","Currency=USD","Period=FQ","BEST_FPERIOD_OVERRIDE=FQ","FILING_STATUS=MR","SCALING_FORMAT=MLN","FA_ADJUSTED=GAAP","Sort=A","Dates=H","DateFormat=P","Fill=—","Direction=H","UseDPDF=Y")</f>
        <v>0.60099999999999998</v>
      </c>
      <c r="X16" s="13">
        <f>_xll.BDH("SRPT US Equity","OTHER_OPERATING_EXPENSES_RATIO","FQ3 2024","FQ3 2024","Currency=USD","Period=FQ","BEST_FPERIOD_OVERRIDE=FQ","FILING_STATUS=MR","SCALING_FORMAT=MLN","FA_ADJUSTED=GAAP","Sort=A","Dates=H","DateFormat=P","Fill=—","Direction=H","UseDPDF=Y")</f>
        <v>0.60199999999999998</v>
      </c>
      <c r="Y16" s="13">
        <f>_xll.BDH("SRPT US Equity","OTHER_OPERATING_EXPENSES_RATIO","FQ4 2024","FQ4 2024","Currency=USD","Period=FQ","BEST_FPERIOD_OVERRIDE=FQ","FILING_STATUS=MR","SCALING_FORMAT=MLN","FA_ADJUSTED=GAAP","Sort=A","Dates=H","DateFormat=P","Fill=—","Direction=H","UseDPDF=Y")</f>
        <v>0.60099999999999998</v>
      </c>
      <c r="Z16" s="13"/>
      <c r="AA16" s="13"/>
    </row>
    <row r="17" spans="1:27" x14ac:dyDescent="0.25">
      <c r="A17" s="6" t="s">
        <v>329</v>
      </c>
      <c r="B17" s="6" t="s">
        <v>99</v>
      </c>
      <c r="C17" s="19">
        <f>_xll.BDH("SRPT US Equity","IS_OPER_INC","FQ2 2019","FQ2 2019","Currency=USD","Period=FQ","BEST_FPERIOD_OVERRIDE=FQ","FILING_STATUS=MR","SCALING_FORMAT=MLN","FA_ADJUSTED=GAAP","Sort=A","Dates=H","DateFormat=P","Fill=—","Direction=H","UseDPDF=Y")</f>
        <v>-275.36700000000002</v>
      </c>
      <c r="D17" s="19">
        <f>_xll.BDH("SRPT US Equity","IS_OPER_INC","FQ3 2019","FQ3 2019","Currency=USD","Period=FQ","BEST_FPERIOD_OVERRIDE=FQ","FILING_STATUS=MR","SCALING_FORMAT=MLN","FA_ADJUSTED=GAAP","Sort=A","Dates=H","DateFormat=P","Fill=—","Direction=H","UseDPDF=Y")</f>
        <v>-123.59</v>
      </c>
      <c r="E17" s="19">
        <f>_xll.BDH("SRPT US Equity","IS_OPER_INC","FQ4 2019","FQ4 2019","Currency=USD","Period=FQ","BEST_FPERIOD_OVERRIDE=FQ","FILING_STATUS=MR","SCALING_FORMAT=MLN","FA_ADJUSTED=GAAP","Sort=A","Dates=H","DateFormat=P","Fill=—","Direction=H","UseDPDF=Y")</f>
        <v>-230.21899999999999</v>
      </c>
      <c r="F17" s="19">
        <f>_xll.BDH("SRPT US Equity","IS_OPER_INC","FQ1 2020","FQ1 2020","Currency=USD","Period=FQ","BEST_FPERIOD_OVERRIDE=FQ","FILING_STATUS=MR","SCALING_FORMAT=MLN","FA_ADJUSTED=GAAP","Sort=A","Dates=H","DateFormat=P","Fill=—","Direction=H","UseDPDF=Y")</f>
        <v>-118.026</v>
      </c>
      <c r="G17" s="19">
        <f>_xll.BDH("SRPT US Equity","IS_OPER_INC","FQ2 2020","FQ2 2020","Currency=USD","Period=FQ","BEST_FPERIOD_OVERRIDE=FQ","FILING_STATUS=MR","SCALING_FORMAT=MLN","FA_ADJUSTED=GAAP","Sort=A","Dates=H","DateFormat=P","Fill=—","Direction=H","UseDPDF=Y")</f>
        <v>-138.35300000000001</v>
      </c>
      <c r="H17" s="19">
        <f>_xll.BDH("SRPT US Equity","IS_OPER_INC","FQ3 2020","FQ3 2020","Currency=USD","Period=FQ","BEST_FPERIOD_OVERRIDE=FQ","FILING_STATUS=MR","SCALING_FORMAT=MLN","FA_ADJUSTED=GAAP","Sort=A","Dates=H","DateFormat=P","Fill=—","Direction=H","UseDPDF=Y")</f>
        <v>-137.06800000000001</v>
      </c>
      <c r="I17" s="19">
        <f>_xll.BDH("SRPT US Equity","IS_OPER_INC","FQ4 2020","FQ4 2020","Currency=USD","Period=FQ","BEST_FPERIOD_OVERRIDE=FQ","FILING_STATUS=MR","SCALING_FORMAT=MLN","FA_ADJUSTED=GAAP","Sort=A","Dates=H","DateFormat=P","Fill=—","Direction=H","UseDPDF=Y")</f>
        <v>-170.71600000000001</v>
      </c>
      <c r="J17" s="19">
        <f>_xll.BDH("SRPT US Equity","IS_OPER_INC","FQ1 2021","FQ1 2021","Currency=USD","Period=FQ","BEST_FPERIOD_OVERRIDE=FQ","FILING_STATUS=MR","SCALING_FORMAT=MLN","FA_ADJUSTED=GAAP","Sort=A","Dates=H","DateFormat=P","Fill=—","Direction=H","UseDPDF=Y")</f>
        <v>-151.86500000000001</v>
      </c>
      <c r="K17" s="19">
        <f>_xll.BDH("SRPT US Equity","IS_OPER_INC","FQ2 2021","FQ2 2021","Currency=USD","Period=FQ","BEST_FPERIOD_OVERRIDE=FQ","FILING_STATUS=MR","SCALING_FORMAT=MLN","FA_ADJUSTED=GAAP","Sort=A","Dates=H","DateFormat=P","Fill=—","Direction=H","UseDPDF=Y")</f>
        <v>-167.57400000000001</v>
      </c>
      <c r="L17" s="19">
        <f>_xll.BDH("SRPT US Equity","IS_OPER_INC","FQ3 2021","FQ3 2021","Currency=USD","Period=FQ","BEST_FPERIOD_OVERRIDE=FQ","FILING_STATUS=MR","SCALING_FORMAT=MLN","FA_ADJUSTED=GAAP","Sort=A","Dates=H","DateFormat=P","Fill=—","Direction=H","UseDPDF=Y")</f>
        <v>-34.457999999999998</v>
      </c>
      <c r="M17" s="19">
        <f>_xll.BDH("SRPT US Equity","IS_OPER_INC","FQ4 2021","FQ4 2021","Currency=USD","Period=FQ","BEST_FPERIOD_OVERRIDE=FQ","FILING_STATUS=MR","SCALING_FORMAT=MLN","FA_ADJUSTED=GAAP","Sort=A","Dates=H","DateFormat=P","Fill=—","Direction=H","UseDPDF=Y")</f>
        <v>-105.813</v>
      </c>
      <c r="N17" s="19">
        <f>_xll.BDH("SRPT US Equity","IS_OPER_INC","FQ1 2022","FQ1 2022","Currency=USD","Period=FQ","BEST_FPERIOD_OVERRIDE=FQ","FILING_STATUS=MR","SCALING_FORMAT=MLN","FA_ADJUSTED=GAAP","Sort=A","Dates=H","DateFormat=P","Fill=—","Direction=H","UseDPDF=Y")</f>
        <v>-86.881</v>
      </c>
      <c r="O17" s="19">
        <f>_xll.BDH("SRPT US Equity","IS_OPER_INC","FQ2 2022","FQ2 2022","Currency=USD","Period=FQ","BEST_FPERIOD_OVERRIDE=FQ","FILING_STATUS=MR","SCALING_FORMAT=MLN","FA_ADJUSTED=GAAP","Sort=A","Dates=H","DateFormat=P","Fill=—","Direction=H","UseDPDF=Y")</f>
        <v>-211.13200000000001</v>
      </c>
      <c r="P17" s="19">
        <f>_xll.BDH("SRPT US Equity","IS_OPER_INC","FQ3 2022","FQ3 2022","Currency=USD","Period=FQ","BEST_FPERIOD_OVERRIDE=FQ","FILING_STATUS=MR","SCALING_FORMAT=MLN","FA_ADJUSTED=GAAP","Sort=A","Dates=H","DateFormat=P","Fill=—","Direction=H","UseDPDF=Y")</f>
        <v>-131.35499999999999</v>
      </c>
      <c r="Q17" s="19">
        <f>_xll.BDH("SRPT US Equity","IS_OPER_INC","FQ4 2022","FQ4 2022","Currency=USD","Period=FQ","BEST_FPERIOD_OVERRIDE=FQ","FILING_STATUS=MR","SCALING_FORMAT=MLN","FA_ADJUSTED=GAAP","Sort=A","Dates=H","DateFormat=P","Fill=—","Direction=H","UseDPDF=Y")</f>
        <v>-106.833</v>
      </c>
      <c r="R17" s="19">
        <f>_xll.BDH("SRPT US Equity","IS_OPER_INC","FQ1 2023","FQ1 2023","Currency=USD","Period=FQ","BEST_FPERIOD_OVERRIDE=FQ","FILING_STATUS=MR","SCALING_FORMAT=MLN","FA_ADJUSTED=GAAP","Sort=A","Dates=H","DateFormat=P","Fill=—","Direction=H","UseDPDF=Y")</f>
        <v>-138.08799999999999</v>
      </c>
      <c r="S17" s="19">
        <f>_xll.BDH("SRPT US Equity","IS_OPER_INC","FQ2 2023","FQ2 2023","Currency=USD","Period=FQ","BEST_FPERIOD_OVERRIDE=FQ","FILING_STATUS=MR","SCALING_FORMAT=MLN","FA_ADJUSTED=GAAP","Sort=A","Dates=H","DateFormat=P","Fill=—","Direction=H","UseDPDF=Y")</f>
        <v>-133.51900000000001</v>
      </c>
      <c r="T17" s="19">
        <f>_xll.BDH("SRPT US Equity","IS_OPER_INC","FQ3 2023","FQ3 2023","Currency=USD","Period=FQ","BEST_FPERIOD_OVERRIDE=FQ","FILING_STATUS=MR","SCALING_FORMAT=MLN","FA_ADJUSTED=GAAP","Sort=A","Dates=H","DateFormat=P","Fill=—","Direction=H","UseDPDF=Y")</f>
        <v>-20.841999999999999</v>
      </c>
      <c r="U17" s="19">
        <f>_xll.BDH("SRPT US Equity","IS_OPER_INC","FQ4 2023","FQ4 2023","Currency=USD","Period=FQ","BEST_FPERIOD_OVERRIDE=FQ","FILING_STATUS=MR","SCALING_FORMAT=MLN","FA_ADJUSTED=GAAP","Sort=A","Dates=H","DateFormat=P","Fill=—","Direction=H","UseDPDF=Y")</f>
        <v>24.625</v>
      </c>
      <c r="V17" s="19">
        <f>_xll.BDH("SRPT US Equity","IS_OPER_INC","FQ1 2024","FQ1 2024","Currency=USD","Period=FQ","BEST_FPERIOD_OVERRIDE=FQ","FILING_STATUS=MR","SCALING_FORMAT=MLN","FA_ADJUSTED=GAAP","Sort=A","Dates=H","DateFormat=P","Fill=—","Direction=H","UseDPDF=Y")</f>
        <v>34.905000000000001</v>
      </c>
      <c r="W17" s="19">
        <f>_xll.BDH("SRPT US Equity","IS_OPER_INC","FQ2 2024","FQ2 2024","Currency=USD","Period=FQ","BEST_FPERIOD_OVERRIDE=FQ","FILING_STATUS=MR","SCALING_FORMAT=MLN","FA_ADJUSTED=GAAP","Sort=A","Dates=H","DateFormat=P","Fill=—","Direction=H","UseDPDF=Y")</f>
        <v>-0.70099999999999996</v>
      </c>
      <c r="X17" s="19">
        <f>_xll.BDH("SRPT US Equity","IS_OPER_INC","FQ3 2024","FQ3 2024","Currency=USD","Period=FQ","BEST_FPERIOD_OVERRIDE=FQ","FILING_STATUS=MR","SCALING_FORMAT=MLN","FA_ADJUSTED=GAAP","Sort=A","Dates=H","DateFormat=P","Fill=—","Direction=H","UseDPDF=Y")</f>
        <v>22.196000000000002</v>
      </c>
      <c r="Y17" s="19">
        <f>_xll.BDH("SRPT US Equity","IS_OPER_INC","FQ4 2024","FQ4 2024","Currency=USD","Period=FQ","BEST_FPERIOD_OVERRIDE=FQ","FILING_STATUS=MR","SCALING_FORMAT=MLN","FA_ADJUSTED=GAAP","Sort=A","Dates=H","DateFormat=P","Fill=—","Direction=H","UseDPDF=Y")</f>
        <v>161.68100000000001</v>
      </c>
      <c r="Z17" s="19">
        <v>126.176</v>
      </c>
      <c r="AA17" s="19">
        <v>256.053</v>
      </c>
    </row>
    <row r="18" spans="1:27" x14ac:dyDescent="0.25">
      <c r="A18" s="10" t="s">
        <v>330</v>
      </c>
      <c r="B18" s="10" t="s">
        <v>418</v>
      </c>
      <c r="C18" s="13">
        <f>_xll.BDH("SRPT US Equity","NONOP_INCOME_LOSS","FQ2 2019","FQ2 2019","Currency=USD","Period=FQ","BEST_FPERIOD_OVERRIDE=FQ","FILING_STATUS=MR","SCALING_FORMAT=MLN","FA_ADJUSTED=GAAP","Sort=A","Dates=H","DateFormat=P","Fill=—","Direction=H","UseDPDF=Y")</f>
        <v>0.86199999999999999</v>
      </c>
      <c r="D18" s="13">
        <f>_xll.BDH("SRPT US Equity","NONOP_INCOME_LOSS","FQ3 2019","FQ3 2019","Currency=USD","Period=FQ","BEST_FPERIOD_OVERRIDE=FQ","FILING_STATUS=MR","SCALING_FORMAT=MLN","FA_ADJUSTED=GAAP","Sort=A","Dates=H","DateFormat=P","Fill=—","Direction=H","UseDPDF=Y")</f>
        <v>2.5099999999999998</v>
      </c>
      <c r="E18" s="13">
        <f>_xll.BDH("SRPT US Equity","NONOP_INCOME_LOSS","FQ4 2019","FQ4 2019","Currency=USD","Period=FQ","BEST_FPERIOD_OVERRIDE=FQ","FILING_STATUS=MR","SCALING_FORMAT=MLN","FA_ADJUSTED=GAAP","Sort=A","Dates=H","DateFormat=P","Fill=—","Direction=H","UseDPDF=Y")</f>
        <v>4.7729999999999997</v>
      </c>
      <c r="F18" s="13">
        <f>_xll.BDH("SRPT US Equity","NONOP_INCOME_LOSS","FQ1 2020","FQ1 2020","Currency=USD","Period=FQ","BEST_FPERIOD_OVERRIDE=FQ","FILING_STATUS=MR","SCALING_FORMAT=MLN","FA_ADJUSTED=GAAP","Sort=A","Dates=H","DateFormat=P","Fill=—","Direction=H","UseDPDF=Y")</f>
        <v>-100.649</v>
      </c>
      <c r="G18" s="13">
        <f>_xll.BDH("SRPT US Equity","NONOP_INCOME_LOSS","FQ2 2020","FQ2 2020","Currency=USD","Period=FQ","BEST_FPERIOD_OVERRIDE=FQ","FILING_STATUS=MR","SCALING_FORMAT=MLN","FA_ADJUSTED=GAAP","Sort=A","Dates=H","DateFormat=P","Fill=—","Direction=H","UseDPDF=Y")</f>
        <v>12.446999999999999</v>
      </c>
      <c r="H18" s="13">
        <f>_xll.BDH("SRPT US Equity","NONOP_INCOME_LOSS","FQ3 2020","FQ3 2020","Currency=USD","Period=FQ","BEST_FPERIOD_OVERRIDE=FQ","FILING_STATUS=MR","SCALING_FORMAT=MLN","FA_ADJUSTED=GAAP","Sort=A","Dates=H","DateFormat=P","Fill=—","Direction=H","UseDPDF=Y")</f>
        <v>59.335000000000001</v>
      </c>
      <c r="I18" s="13">
        <f>_xll.BDH("SRPT US Equity","NONOP_INCOME_LOSS","FQ4 2020","FQ4 2020","Currency=USD","Period=FQ","BEST_FPERIOD_OVERRIDE=FQ","FILING_STATUS=MR","SCALING_FORMAT=MLN","FA_ADJUSTED=GAAP","Sort=A","Dates=H","DateFormat=P","Fill=—","Direction=H","UseDPDF=Y")</f>
        <v>17.768999999999998</v>
      </c>
      <c r="J18" s="13">
        <f>_xll.BDH("SRPT US Equity","NONOP_INCOME_LOSS","FQ1 2021","FQ1 2021","Currency=USD","Period=FQ","BEST_FPERIOD_OVERRIDE=FQ","FILING_STATUS=MR","SCALING_FORMAT=MLN","FA_ADJUSTED=GAAP","Sort=A","Dates=H","DateFormat=P","Fill=—","Direction=H","UseDPDF=Y")</f>
        <v>15.528</v>
      </c>
      <c r="K18" s="13">
        <f>_xll.BDH("SRPT US Equity","NONOP_INCOME_LOSS","FQ2 2021","FQ2 2021","Currency=USD","Period=FQ","BEST_FPERIOD_OVERRIDE=FQ","FILING_STATUS=MR","SCALING_FORMAT=MLN","FA_ADJUSTED=GAAP","Sort=A","Dates=H","DateFormat=P","Fill=—","Direction=H","UseDPDF=Y")</f>
        <v>-85.814999999999998</v>
      </c>
      <c r="L18" s="13">
        <f>_xll.BDH("SRPT US Equity","NONOP_INCOME_LOSS","FQ3 2021","FQ3 2021","Currency=USD","Period=FQ","BEST_FPERIOD_OVERRIDE=FQ","FILING_STATUS=MR","SCALING_FORMAT=MLN","FA_ADJUSTED=GAAP","Sort=A","Dates=H","DateFormat=P","Fill=—","Direction=H","UseDPDF=Y")</f>
        <v>13.449</v>
      </c>
      <c r="M18" s="13">
        <f>_xll.BDH("SRPT US Equity","NONOP_INCOME_LOSS","FQ4 2021","FQ4 2021","Currency=USD","Period=FQ","BEST_FPERIOD_OVERRIDE=FQ","FILING_STATUS=MR","SCALING_FORMAT=MLN","FA_ADJUSTED=GAAP","Sort=A","Dates=H","DateFormat=P","Fill=—","Direction=H","UseDPDF=Y")</f>
        <v>16.076000000000001</v>
      </c>
      <c r="N18" s="13">
        <f>_xll.BDH("SRPT US Equity","NONOP_INCOME_LOSS","FQ1 2022","FQ1 2022","Currency=USD","Period=FQ","BEST_FPERIOD_OVERRIDE=FQ","FILING_STATUS=MR","SCALING_FORMAT=MLN","FA_ADJUSTED=GAAP","Sort=A","Dates=H","DateFormat=P","Fill=—","Direction=H","UseDPDF=Y")</f>
        <v>17.265000000000001</v>
      </c>
      <c r="O18" s="13">
        <f>_xll.BDH("SRPT US Equity","NONOP_INCOME_LOSS","FQ2 2022","FQ2 2022","Currency=USD","Period=FQ","BEST_FPERIOD_OVERRIDE=FQ","FILING_STATUS=MR","SCALING_FORMAT=MLN","FA_ADJUSTED=GAAP","Sort=A","Dates=H","DateFormat=P","Fill=—","Direction=H","UseDPDF=Y")</f>
        <v>16.960999999999999</v>
      </c>
      <c r="P18" s="13">
        <f>_xll.BDH("SRPT US Equity","NONOP_INCOME_LOSS","FQ3 2022","FQ3 2022","Currency=USD","Period=FQ","BEST_FPERIOD_OVERRIDE=FQ","FILING_STATUS=MR","SCALING_FORMAT=MLN","FA_ADJUSTED=GAAP","Sort=A","Dates=H","DateFormat=P","Fill=—","Direction=H","UseDPDF=Y")</f>
        <v>125.063</v>
      </c>
      <c r="Q18" s="13">
        <f>_xll.BDH("SRPT US Equity","NONOP_INCOME_LOSS","FQ4 2022","FQ4 2022","Currency=USD","Period=FQ","BEST_FPERIOD_OVERRIDE=FQ","FILING_STATUS=MR","SCALING_FORMAT=MLN","FA_ADJUSTED=GAAP","Sort=A","Dates=H","DateFormat=P","Fill=—","Direction=H","UseDPDF=Y")</f>
        <v>-5.5270000000000001</v>
      </c>
      <c r="R18" s="13">
        <f>_xll.BDH("SRPT US Equity","NONOP_INCOME_LOSS","FQ1 2023","FQ1 2023","Currency=USD","Period=FQ","BEST_FPERIOD_OVERRIDE=FQ","FILING_STATUS=MR","SCALING_FORMAT=MLN","FA_ADJUSTED=GAAP","Sort=A","Dates=H","DateFormat=P","Fill=—","Direction=H","UseDPDF=Y")</f>
        <v>374.62200000000001</v>
      </c>
      <c r="S18" s="13">
        <f>_xll.BDH("SRPT US Equity","NONOP_INCOME_LOSS","FQ2 2023","FQ2 2023","Currency=USD","Period=FQ","BEST_FPERIOD_OVERRIDE=FQ","FILING_STATUS=MR","SCALING_FORMAT=MLN","FA_ADJUSTED=GAAP","Sort=A","Dates=H","DateFormat=P","Fill=—","Direction=H","UseDPDF=Y")</f>
        <v>-118.934</v>
      </c>
      <c r="T18" s="13">
        <f>_xll.BDH("SRPT US Equity","NONOP_INCOME_LOSS","FQ3 2023","FQ3 2023","Currency=USD","Period=FQ","BEST_FPERIOD_OVERRIDE=FQ","FILING_STATUS=MR","SCALING_FORMAT=MLN","FA_ADJUSTED=GAAP","Sort=A","Dates=H","DateFormat=P","Fill=—","Direction=H","UseDPDF=Y")</f>
        <v>12.332000000000001</v>
      </c>
      <c r="U18" s="13">
        <f>_xll.BDH("SRPT US Equity","NONOP_INCOME_LOSS","FQ4 2023","FQ4 2023","Currency=USD","Period=FQ","BEST_FPERIOD_OVERRIDE=FQ","FILING_STATUS=MR","SCALING_FORMAT=MLN","FA_ADJUSTED=GAAP","Sort=A","Dates=H","DateFormat=P","Fill=—","Direction=H","UseDPDF=Y")</f>
        <v>-15.746</v>
      </c>
      <c r="V18" s="13">
        <f>_xll.BDH("SRPT US Equity","NONOP_INCOME_LOSS","FQ1 2024","FQ1 2024","Currency=USD","Period=FQ","BEST_FPERIOD_OVERRIDE=FQ","FILING_STATUS=MR","SCALING_FORMAT=MLN","FA_ADJUSTED=GAAP","Sort=A","Dates=H","DateFormat=P","Fill=—","Direction=H","UseDPDF=Y")</f>
        <v>-6.5430000000000001</v>
      </c>
      <c r="W18" s="13">
        <f>_xll.BDH("SRPT US Equity","NONOP_INCOME_LOSS","FQ2 2024","FQ2 2024","Currency=USD","Period=FQ","BEST_FPERIOD_OVERRIDE=FQ","FILING_STATUS=MR","SCALING_FORMAT=MLN","FA_ADJUSTED=GAAP","Sort=A","Dates=H","DateFormat=P","Fill=—","Direction=H","UseDPDF=Y")</f>
        <v>-14.278</v>
      </c>
      <c r="X18" s="13">
        <f>_xll.BDH("SRPT US Equity","NONOP_INCOME_LOSS","FQ3 2024","FQ3 2024","Currency=USD","Period=FQ","BEST_FPERIOD_OVERRIDE=FQ","FILING_STATUS=MR","SCALING_FORMAT=MLN","FA_ADJUSTED=GAAP","Sort=A","Dates=H","DateFormat=P","Fill=—","Direction=H","UseDPDF=Y")</f>
        <v>-11.81</v>
      </c>
      <c r="Y18" s="13">
        <f>_xll.BDH("SRPT US Equity","NONOP_INCOME_LOSS","FQ4 2024","FQ4 2024","Currency=USD","Period=FQ","BEST_FPERIOD_OVERRIDE=FQ","FILING_STATUS=MR","SCALING_FORMAT=MLN","FA_ADJUSTED=GAAP","Sort=A","Dates=H","DateFormat=P","Fill=—","Direction=H","UseDPDF=Y")</f>
        <v>-10.061999999999999</v>
      </c>
      <c r="Z18" s="13"/>
      <c r="AA18" s="13"/>
    </row>
    <row r="19" spans="1:27" x14ac:dyDescent="0.25">
      <c r="A19" s="10" t="s">
        <v>332</v>
      </c>
      <c r="B19" s="10" t="s">
        <v>333</v>
      </c>
      <c r="C19" s="13" t="str">
        <f>_xll.BDH("SRPT US Equity","IS_NET_INTEREST_EXPENSE","FQ2 2019","FQ2 2019","Currency=USD","Period=FQ","BEST_FPERIOD_OVERRIDE=FQ","FILING_STATUS=MR","SCALING_FORMAT=MLN","FA_ADJUSTED=GAAP","Sort=A","Dates=H","DateFormat=P","Fill=—","Direction=H","UseDPDF=Y")</f>
        <v>—</v>
      </c>
      <c r="D19" s="13">
        <f>_xll.BDH("SRPT US Equity","IS_NET_INTEREST_EXPENSE","FQ3 2019","FQ3 2019","Currency=USD","Period=FQ","BEST_FPERIOD_OVERRIDE=FQ","FILING_STATUS=MR","SCALING_FORMAT=MLN","FA_ADJUSTED=GAAP","Sort=A","Dates=H","DateFormat=P","Fill=—","Direction=H","UseDPDF=Y")</f>
        <v>2.1360000000000001</v>
      </c>
      <c r="E19" s="13">
        <f>_xll.BDH("SRPT US Equity","IS_NET_INTEREST_EXPENSE","FQ4 2019","FQ4 2019","Currency=USD","Period=FQ","BEST_FPERIOD_OVERRIDE=FQ","FILING_STATUS=MR","SCALING_FORMAT=MLN","FA_ADJUSTED=GAAP","Sort=A","Dates=H","DateFormat=P","Fill=—","Direction=H","UseDPDF=Y")</f>
        <v>4.5620000000000003</v>
      </c>
      <c r="F19" s="13">
        <f>_xll.BDH("SRPT US Equity","IS_NET_INTEREST_EXPENSE","FQ1 2020","FQ1 2020","Currency=USD","Period=FQ","BEST_FPERIOD_OVERRIDE=FQ","FILING_STATUS=MR","SCALING_FORMAT=MLN","FA_ADJUSTED=GAAP","Sort=A","Dates=H","DateFormat=P","Fill=—","Direction=H","UseDPDF=Y")</f>
        <v>8.5120000000000005</v>
      </c>
      <c r="G19" s="13">
        <f>_xll.BDH("SRPT US Equity","IS_NET_INTEREST_EXPENSE","FQ2 2020","FQ2 2020","Currency=USD","Period=FQ","BEST_FPERIOD_OVERRIDE=FQ","FILING_STATUS=MR","SCALING_FORMAT=MLN","FA_ADJUSTED=GAAP","Sort=A","Dates=H","DateFormat=P","Fill=—","Direction=H","UseDPDF=Y")</f>
        <v>12.076000000000001</v>
      </c>
      <c r="H19" s="13">
        <f>_xll.BDH("SRPT US Equity","IS_NET_INTEREST_EXPENSE","FQ3 2020","FQ3 2020","Currency=USD","Period=FQ","BEST_FPERIOD_OVERRIDE=FQ","FILING_STATUS=MR","SCALING_FORMAT=MLN","FA_ADJUSTED=GAAP","Sort=A","Dates=H","DateFormat=P","Fill=—","Direction=H","UseDPDF=Y")</f>
        <v>13.454000000000001</v>
      </c>
      <c r="I19" s="13">
        <f>_xll.BDH("SRPT US Equity","IS_NET_INTEREST_EXPENSE","FQ4 2020","FQ4 2020","Currency=USD","Period=FQ","BEST_FPERIOD_OVERRIDE=FQ","FILING_STATUS=MR","SCALING_FORMAT=MLN","FA_ADJUSTED=GAAP","Sort=A","Dates=H","DateFormat=P","Fill=—","Direction=H","UseDPDF=Y")</f>
        <v>18.446000000000002</v>
      </c>
      <c r="J19" s="13">
        <f>_xll.BDH("SRPT US Equity","IS_NET_INTEREST_EXPENSE","FQ1 2021","FQ1 2021","Currency=USD","Period=FQ","BEST_FPERIOD_OVERRIDE=FQ","FILING_STATUS=MR","SCALING_FORMAT=MLN","FA_ADJUSTED=GAAP","Sort=A","Dates=H","DateFormat=P","Fill=—","Direction=H","UseDPDF=Y")</f>
        <v>15.456</v>
      </c>
      <c r="K19" s="13">
        <f>_xll.BDH("SRPT US Equity","IS_NET_INTEREST_EXPENSE","FQ2 2021","FQ2 2021","Currency=USD","Period=FQ","BEST_FPERIOD_OVERRIDE=FQ","FILING_STATUS=MR","SCALING_FORMAT=MLN","FA_ADJUSTED=GAAP","Sort=A","Dates=H","DateFormat=P","Fill=—","Direction=H","UseDPDF=Y")</f>
        <v>15.757999999999999</v>
      </c>
      <c r="L19" s="13">
        <f>_xll.BDH("SRPT US Equity","IS_NET_INTEREST_EXPENSE","FQ3 2021","FQ3 2021","Currency=USD","Period=FQ","BEST_FPERIOD_OVERRIDE=FQ","FILING_STATUS=MR","SCALING_FORMAT=MLN","FA_ADJUSTED=GAAP","Sort=A","Dates=H","DateFormat=P","Fill=—","Direction=H","UseDPDF=Y")</f>
        <v>15.847</v>
      </c>
      <c r="M19" s="13">
        <f>_xll.BDH("SRPT US Equity","IS_NET_INTEREST_EXPENSE","FQ4 2021","FQ4 2021","Currency=USD","Period=FQ","BEST_FPERIOD_OVERRIDE=FQ","FILING_STATUS=MR","SCALING_FORMAT=MLN","FA_ADJUSTED=GAAP","Sort=A","Dates=H","DateFormat=P","Fill=—","Direction=H","UseDPDF=Y")</f>
        <v>15.952999999999999</v>
      </c>
      <c r="N19" s="13">
        <f>_xll.BDH("SRPT US Equity","IS_NET_INTEREST_EXPENSE","FQ1 2022","FQ1 2022","Currency=USD","Period=FQ","BEST_FPERIOD_OVERRIDE=FQ","FILING_STATUS=MR","SCALING_FORMAT=MLN","FA_ADJUSTED=GAAP","Sort=A","Dates=H","DateFormat=P","Fill=—","Direction=H","UseDPDF=Y")</f>
        <v>15.622999999999999</v>
      </c>
      <c r="O19" s="13">
        <f>_xll.BDH("SRPT US Equity","IS_NET_INTEREST_EXPENSE","FQ2 2022","FQ2 2022","Currency=USD","Period=FQ","BEST_FPERIOD_OVERRIDE=FQ","FILING_STATUS=MR","SCALING_FORMAT=MLN","FA_ADJUSTED=GAAP","Sort=A","Dates=H","DateFormat=P","Fill=—","Direction=H","UseDPDF=Y")</f>
        <v>12.288</v>
      </c>
      <c r="P19" s="13">
        <f>_xll.BDH("SRPT US Equity","IS_NET_INTEREST_EXPENSE","FQ3 2022","FQ3 2022","Currency=USD","Period=FQ","BEST_FPERIOD_OVERRIDE=FQ","FILING_STATUS=MR","SCALING_FORMAT=MLN","FA_ADJUSTED=GAAP","Sort=A","Dates=H","DateFormat=P","Fill=—","Direction=H","UseDPDF=Y")</f>
        <v>6.5209999999999999</v>
      </c>
      <c r="Q19" s="13">
        <f>_xll.BDH("SRPT US Equity","IS_NET_INTEREST_EXPENSE","FQ4 2022","FQ4 2022","Currency=USD","Period=FQ","BEST_FPERIOD_OVERRIDE=FQ","FILING_STATUS=MR","SCALING_FORMAT=MLN","FA_ADJUSTED=GAAP","Sort=A","Dates=H","DateFormat=P","Fill=—","Direction=H","UseDPDF=Y")</f>
        <v>-8.8650000000000002</v>
      </c>
      <c r="R19" s="13">
        <f>_xll.BDH("SRPT US Equity","IS_NET_INTEREST_EXPENSE","FQ1 2023","FQ1 2023","Currency=USD","Period=FQ","BEST_FPERIOD_OVERRIDE=FQ","FILING_STATUS=MR","SCALING_FORMAT=MLN","FA_ADJUSTED=GAAP","Sort=A","Dates=H","DateFormat=P","Fill=—","Direction=H","UseDPDF=Y")</f>
        <v>-2.9529999999999998</v>
      </c>
      <c r="S19" s="13">
        <f>_xll.BDH("SRPT US Equity","IS_NET_INTEREST_EXPENSE","FQ2 2023","FQ2 2023","Currency=USD","Period=FQ","BEST_FPERIOD_OVERRIDE=FQ","FILING_STATUS=MR","SCALING_FORMAT=MLN","FA_ADJUSTED=GAAP","Sort=A","Dates=H","DateFormat=P","Fill=—","Direction=H","UseDPDF=Y")</f>
        <v>-3.194</v>
      </c>
      <c r="T19" s="13">
        <f>_xll.BDH("SRPT US Equity","IS_NET_INTEREST_EXPENSE","FQ3 2023","FQ3 2023","Currency=USD","Period=FQ","BEST_FPERIOD_OVERRIDE=FQ","FILING_STATUS=MR","SCALING_FORMAT=MLN","FA_ADJUSTED=GAAP","Sort=A","Dates=H","DateFormat=P","Fill=—","Direction=H","UseDPDF=Y")</f>
        <v>-4.609</v>
      </c>
      <c r="U19" s="13">
        <f>_xll.BDH("SRPT US Equity","IS_NET_INTEREST_EXPENSE","FQ4 2023","FQ4 2023","Currency=USD","Period=FQ","BEST_FPERIOD_OVERRIDE=FQ","FILING_STATUS=MR","SCALING_FORMAT=MLN","FA_ADJUSTED=GAAP","Sort=A","Dates=H","DateFormat=P","Fill=—","Direction=H","UseDPDF=Y")</f>
        <v>-3.4910000000000001</v>
      </c>
      <c r="V19" s="13">
        <f>_xll.BDH("SRPT US Equity","IS_NET_INTEREST_EXPENSE","FQ1 2024","FQ1 2024","Currency=USD","Period=FQ","BEST_FPERIOD_OVERRIDE=FQ","FILING_STATUS=MR","SCALING_FORMAT=MLN","FA_ADJUSTED=GAAP","Sort=A","Dates=H","DateFormat=P","Fill=—","Direction=H","UseDPDF=Y")</f>
        <v>-2.927</v>
      </c>
      <c r="W19" s="13">
        <f>_xll.BDH("SRPT US Equity","IS_NET_INTEREST_EXPENSE","FQ2 2024","FQ2 2024","Currency=USD","Period=FQ","BEST_FPERIOD_OVERRIDE=FQ","FILING_STATUS=MR","SCALING_FORMAT=MLN","FA_ADJUSTED=GAAP","Sort=A","Dates=H","DateFormat=P","Fill=—","Direction=H","UseDPDF=Y")</f>
        <v>-3.2440000000000002</v>
      </c>
      <c r="X19" s="13">
        <f>_xll.BDH("SRPT US Equity","IS_NET_INTEREST_EXPENSE","FQ3 2024","FQ3 2024","Currency=USD","Period=FQ","BEST_FPERIOD_OVERRIDE=FQ","FILING_STATUS=MR","SCALING_FORMAT=MLN","FA_ADJUSTED=GAAP","Sort=A","Dates=H","DateFormat=P","Fill=—","Direction=H","UseDPDF=Y")</f>
        <v>-2.6659999999999999</v>
      </c>
      <c r="Y19" s="13">
        <f>_xll.BDH("SRPT US Equity","IS_NET_INTEREST_EXPENSE","FQ4 2024","FQ4 2024","Currency=USD","Period=FQ","BEST_FPERIOD_OVERRIDE=FQ","FILING_STATUS=MR","SCALING_FORMAT=MLN","FA_ADJUSTED=GAAP","Sort=A","Dates=H","DateFormat=P","Fill=—","Direction=H","UseDPDF=Y")</f>
        <v>-3.407</v>
      </c>
      <c r="Z19" s="13"/>
      <c r="AA19" s="13"/>
    </row>
    <row r="20" spans="1:27" x14ac:dyDescent="0.25">
      <c r="A20" s="11" t="s">
        <v>334</v>
      </c>
      <c r="B20" s="11" t="s">
        <v>335</v>
      </c>
      <c r="C20" s="25" t="str">
        <f>_xll.BDH("SRPT US Equity","IS_INT_EXPENSE","FQ2 2019","FQ2 2019","Currency=USD","Period=FQ","BEST_FPERIOD_OVERRIDE=FQ","FILING_STATUS=MR","SCALING_FORMAT=MLN","FA_ADJUSTED=GAAP","Sort=A","Dates=H","DateFormat=P","Fill=—","Direction=H","UseDPDF=Y")</f>
        <v>—</v>
      </c>
      <c r="D20" s="25">
        <f>_xll.BDH("SRPT US Equity","IS_INT_EXPENSE","FQ3 2019","FQ3 2019","Currency=USD","Period=FQ","BEST_FPERIOD_OVERRIDE=FQ","FILING_STATUS=MR","SCALING_FORMAT=MLN","FA_ADJUSTED=GAAP","Sort=A","Dates=H","DateFormat=P","Fill=—","Direction=H","UseDPDF=Y")</f>
        <v>3.4289999999999998</v>
      </c>
      <c r="E20" s="25">
        <f>_xll.BDH("SRPT US Equity","IS_INT_EXPENSE","FQ4 2019","FQ4 2019","Currency=USD","Period=FQ","BEST_FPERIOD_OVERRIDE=FQ","FILING_STATUS=MR","SCALING_FORMAT=MLN","FA_ADJUSTED=GAAP","Sort=A","Dates=H","DateFormat=P","Fill=—","Direction=H","UseDPDF=Y")</f>
        <v>6.0419999999999998</v>
      </c>
      <c r="F20" s="25">
        <f>_xll.BDH("SRPT US Equity","IS_INT_EXPENSE","FQ1 2020","FQ1 2020","Currency=USD","Period=FQ","BEST_FPERIOD_OVERRIDE=FQ","FILING_STATUS=MR","SCALING_FORMAT=MLN","FA_ADJUSTED=GAAP","Sort=A","Dates=H","DateFormat=P","Fill=—","Direction=H","UseDPDF=Y")</f>
        <v>10.651</v>
      </c>
      <c r="G20" s="25">
        <f>_xll.BDH("SRPT US Equity","IS_INT_EXPENSE","FQ2 2020","FQ2 2020","Currency=USD","Period=FQ","BEST_FPERIOD_OVERRIDE=FQ","FILING_STATUS=MR","SCALING_FORMAT=MLN","FA_ADJUSTED=GAAP","Sort=A","Dates=H","DateFormat=P","Fill=—","Direction=H","UseDPDF=Y")</f>
        <v>12.714</v>
      </c>
      <c r="H20" s="25">
        <f>_xll.BDH("SRPT US Equity","IS_INT_EXPENSE","FQ3 2020","FQ3 2020","Currency=USD","Period=FQ","BEST_FPERIOD_OVERRIDE=FQ","FILING_STATUS=MR","SCALING_FORMAT=MLN","FA_ADJUSTED=GAAP","Sort=A","Dates=H","DateFormat=P","Fill=—","Direction=H","UseDPDF=Y")</f>
        <v>13.576000000000001</v>
      </c>
      <c r="I20" s="25">
        <f>_xll.BDH("SRPT US Equity","IS_INT_EXPENSE","FQ4 2020","FQ4 2020","Currency=USD","Period=FQ","BEST_FPERIOD_OVERRIDE=FQ","FILING_STATUS=MR","SCALING_FORMAT=MLN","FA_ADJUSTED=GAAP","Sort=A","Dates=H","DateFormat=P","Fill=—","Direction=H","UseDPDF=Y")</f>
        <v>18.516999999999999</v>
      </c>
      <c r="J20" s="25">
        <f>_xll.BDH("SRPT US Equity","IS_INT_EXPENSE","FQ1 2021","FQ1 2021","Currency=USD","Period=FQ","BEST_FPERIOD_OVERRIDE=FQ","FILING_STATUS=MR","SCALING_FORMAT=MLN","FA_ADJUSTED=GAAP","Sort=A","Dates=H","DateFormat=P","Fill=—","Direction=H","UseDPDF=Y")</f>
        <v>15.515000000000001</v>
      </c>
      <c r="K20" s="25">
        <f>_xll.BDH("SRPT US Equity","IS_INT_EXPENSE","FQ2 2021","FQ2 2021","Currency=USD","Period=FQ","BEST_FPERIOD_OVERRIDE=FQ","FILING_STATUS=MR","SCALING_FORMAT=MLN","FA_ADJUSTED=GAAP","Sort=A","Dates=H","DateFormat=P","Fill=—","Direction=H","UseDPDF=Y")</f>
        <v>15.81</v>
      </c>
      <c r="L20" s="25">
        <f>_xll.BDH("SRPT US Equity","IS_INT_EXPENSE","FQ3 2021","FQ3 2021","Currency=USD","Period=FQ","BEST_FPERIOD_OVERRIDE=FQ","FILING_STATUS=MR","SCALING_FORMAT=MLN","FA_ADJUSTED=GAAP","Sort=A","Dates=H","DateFormat=P","Fill=—","Direction=H","UseDPDF=Y")</f>
        <v>15.994999999999999</v>
      </c>
      <c r="M20" s="25">
        <f>_xll.BDH("SRPT US Equity","IS_INT_EXPENSE","FQ4 2021","FQ4 2021","Currency=USD","Period=FQ","BEST_FPERIOD_OVERRIDE=FQ","FILING_STATUS=MR","SCALING_FORMAT=MLN","FA_ADJUSTED=GAAP","Sort=A","Dates=H","DateFormat=P","Fill=—","Direction=H","UseDPDF=Y")</f>
        <v>16.047999999999998</v>
      </c>
      <c r="N20" s="25">
        <f>_xll.BDH("SRPT US Equity","IS_INT_EXPENSE","FQ1 2022","FQ1 2022","Currency=USD","Period=FQ","BEST_FPERIOD_OVERRIDE=FQ","FILING_STATUS=MR","SCALING_FORMAT=MLN","FA_ADJUSTED=GAAP","Sort=A","Dates=H","DateFormat=P","Fill=—","Direction=H","UseDPDF=Y")</f>
        <v>15.795999999999999</v>
      </c>
      <c r="O20" s="25">
        <f>_xll.BDH("SRPT US Equity","IS_INT_EXPENSE","FQ2 2022","FQ2 2022","Currency=USD","Period=FQ","BEST_FPERIOD_OVERRIDE=FQ","FILING_STATUS=MR","SCALING_FORMAT=MLN","FA_ADJUSTED=GAAP","Sort=A","Dates=H","DateFormat=P","Fill=—","Direction=H","UseDPDF=Y")</f>
        <v>14.696999999999999</v>
      </c>
      <c r="P20" s="25">
        <f>_xll.BDH("SRPT US Equity","IS_INT_EXPENSE","FQ3 2022","FQ3 2022","Currency=USD","Period=FQ","BEST_FPERIOD_OVERRIDE=FQ","FILING_STATUS=MR","SCALING_FORMAT=MLN","FA_ADJUSTED=GAAP","Sort=A","Dates=H","DateFormat=P","Fill=—","Direction=H","UseDPDF=Y")</f>
        <v>11.301</v>
      </c>
      <c r="Q20" s="25">
        <f>_xll.BDH("SRPT US Equity","IS_INT_EXPENSE","FQ4 2022","FQ4 2022","Currency=USD","Period=FQ","BEST_FPERIOD_OVERRIDE=FQ","FILING_STATUS=MR","SCALING_FORMAT=MLN","FA_ADJUSTED=GAAP","Sort=A","Dates=H","DateFormat=P","Fill=—","Direction=H","UseDPDF=Y")</f>
        <v>0.26100000000000001</v>
      </c>
      <c r="R20" s="25">
        <f>_xll.BDH("SRPT US Equity","IS_INT_EXPENSE","FQ1 2023","FQ1 2023","Currency=USD","Period=FQ","BEST_FPERIOD_OVERRIDE=FQ","FILING_STATUS=MR","SCALING_FORMAT=MLN","FA_ADJUSTED=GAAP","Sort=A","Dates=H","DateFormat=P","Fill=—","Direction=H","UseDPDF=Y")</f>
        <v>6.3230000000000004</v>
      </c>
      <c r="S20" s="25">
        <f>_xll.BDH("SRPT US Equity","IS_INT_EXPENSE","FQ2 2023","FQ2 2023","Currency=USD","Period=FQ","BEST_FPERIOD_OVERRIDE=FQ","FILING_STATUS=MR","SCALING_FORMAT=MLN","FA_ADJUSTED=GAAP","Sort=A","Dates=H","DateFormat=P","Fill=—","Direction=H","UseDPDF=Y")</f>
        <v>5.2240000000000002</v>
      </c>
      <c r="T20" s="25">
        <f>_xll.BDH("SRPT US Equity","IS_INT_EXPENSE","FQ3 2023","FQ3 2023","Currency=USD","Period=FQ","BEST_FPERIOD_OVERRIDE=FQ","FILING_STATUS=MR","SCALING_FORMAT=MLN","FA_ADJUSTED=GAAP","Sort=A","Dates=H","DateFormat=P","Fill=—","Direction=H","UseDPDF=Y")</f>
        <v>5.2290000000000001</v>
      </c>
      <c r="U20" s="25">
        <f>_xll.BDH("SRPT US Equity","IS_INT_EXPENSE","FQ4 2023","FQ4 2023","Currency=USD","Period=FQ","BEST_FPERIOD_OVERRIDE=FQ","FILING_STATUS=MR","SCALING_FORMAT=MLN","FA_ADJUSTED=GAAP","Sort=A","Dates=H","DateFormat=P","Fill=—","Direction=H","UseDPDF=Y")</f>
        <v>5.234</v>
      </c>
      <c r="V20" s="25">
        <f>_xll.BDH("SRPT US Equity","IS_INT_EXPENSE","FQ1 2024","FQ1 2024","Currency=USD","Period=FQ","BEST_FPERIOD_OVERRIDE=FQ","FILING_STATUS=MR","SCALING_FORMAT=MLN","FA_ADJUSTED=GAAP","Sort=A","Dates=H","DateFormat=P","Fill=—","Direction=H","UseDPDF=Y")</f>
        <v>4.1660000000000004</v>
      </c>
      <c r="W20" s="25">
        <f>_xll.BDH("SRPT US Equity","IS_INT_EXPENSE","FQ2 2024","FQ2 2024","Currency=USD","Period=FQ","BEST_FPERIOD_OVERRIDE=FQ","FILING_STATUS=MR","SCALING_FORMAT=MLN","FA_ADJUSTED=GAAP","Sort=A","Dates=H","DateFormat=P","Fill=—","Direction=H","UseDPDF=Y")</f>
        <v>4.8319999999999999</v>
      </c>
      <c r="X20" s="25">
        <f>_xll.BDH("SRPT US Equity","IS_INT_EXPENSE","FQ3 2024","FQ3 2024","Currency=USD","Period=FQ","BEST_FPERIOD_OVERRIDE=FQ","FILING_STATUS=MR","SCALING_FORMAT=MLN","FA_ADJUSTED=GAAP","Sort=A","Dates=H","DateFormat=P","Fill=—","Direction=H","UseDPDF=Y")</f>
        <v>4.9180000000000001</v>
      </c>
      <c r="Y20" s="25">
        <f>_xll.BDH("SRPT US Equity","IS_INT_EXPENSE","FQ4 2024","FQ4 2024","Currency=USD","Period=FQ","BEST_FPERIOD_OVERRIDE=FQ","FILING_STATUS=MR","SCALING_FORMAT=MLN","FA_ADJUSTED=GAAP","Sort=A","Dates=H","DateFormat=P","Fill=—","Direction=H","UseDPDF=Y")</f>
        <v>4.4749999999999996</v>
      </c>
      <c r="Z20" s="25"/>
      <c r="AA20" s="25"/>
    </row>
    <row r="21" spans="1:27" x14ac:dyDescent="0.25">
      <c r="A21" s="11" t="s">
        <v>336</v>
      </c>
      <c r="B21" s="11" t="s">
        <v>337</v>
      </c>
      <c r="C21" s="25" t="str">
        <f>_xll.BDH("SRPT US Equity","IS_INT_INC","FQ2 2019","FQ2 2019","Currency=USD","Period=FQ","BEST_FPERIOD_OVERRIDE=FQ","FILING_STATUS=MR","SCALING_FORMAT=MLN","FA_ADJUSTED=GAAP","Sort=A","Dates=H","DateFormat=P","Fill=—","Direction=H","UseDPDF=Y")</f>
        <v>—</v>
      </c>
      <c r="D21" s="25">
        <f>_xll.BDH("SRPT US Equity","IS_INT_INC","FQ3 2019","FQ3 2019","Currency=USD","Period=FQ","BEST_FPERIOD_OVERRIDE=FQ","FILING_STATUS=MR","SCALING_FORMAT=MLN","FA_ADJUSTED=GAAP","Sort=A","Dates=H","DateFormat=P","Fill=—","Direction=H","UseDPDF=Y")</f>
        <v>1.2929999999999999</v>
      </c>
      <c r="E21" s="25">
        <f>_xll.BDH("SRPT US Equity","IS_INT_INC","FQ4 2019","FQ4 2019","Currency=USD","Period=FQ","BEST_FPERIOD_OVERRIDE=FQ","FILING_STATUS=MR","SCALING_FORMAT=MLN","FA_ADJUSTED=GAAP","Sort=A","Dates=H","DateFormat=P","Fill=—","Direction=H","UseDPDF=Y")</f>
        <v>1.48</v>
      </c>
      <c r="F21" s="25">
        <f>_xll.BDH("SRPT US Equity","IS_INT_INC","FQ1 2020","FQ1 2020","Currency=USD","Period=FQ","BEST_FPERIOD_OVERRIDE=FQ","FILING_STATUS=MR","SCALING_FORMAT=MLN","FA_ADJUSTED=GAAP","Sort=A","Dates=H","DateFormat=P","Fill=—","Direction=H","UseDPDF=Y")</f>
        <v>2.1389999999999998</v>
      </c>
      <c r="G21" s="25">
        <f>_xll.BDH("SRPT US Equity","IS_INT_INC","FQ2 2020","FQ2 2020","Currency=USD","Period=FQ","BEST_FPERIOD_OVERRIDE=FQ","FILING_STATUS=MR","SCALING_FORMAT=MLN","FA_ADJUSTED=GAAP","Sort=A","Dates=H","DateFormat=P","Fill=—","Direction=H","UseDPDF=Y")</f>
        <v>0.63800000000000001</v>
      </c>
      <c r="H21" s="25">
        <f>_xll.BDH("SRPT US Equity","IS_INT_INC","FQ3 2020","FQ3 2020","Currency=USD","Period=FQ","BEST_FPERIOD_OVERRIDE=FQ","FILING_STATUS=MR","SCALING_FORMAT=MLN","FA_ADJUSTED=GAAP","Sort=A","Dates=H","DateFormat=P","Fill=—","Direction=H","UseDPDF=Y")</f>
        <v>0.122</v>
      </c>
      <c r="I21" s="25">
        <f>_xll.BDH("SRPT US Equity","IS_INT_INC","FQ4 2020","FQ4 2020","Currency=USD","Period=FQ","BEST_FPERIOD_OVERRIDE=FQ","FILING_STATUS=MR","SCALING_FORMAT=MLN","FA_ADJUSTED=GAAP","Sort=A","Dates=H","DateFormat=P","Fill=—","Direction=H","UseDPDF=Y")</f>
        <v>7.0999999999999994E-2</v>
      </c>
      <c r="J21" s="25">
        <f>_xll.BDH("SRPT US Equity","IS_INT_INC","FQ1 2021","FQ1 2021","Currency=USD","Period=FQ","BEST_FPERIOD_OVERRIDE=FQ","FILING_STATUS=MR","SCALING_FORMAT=MLN","FA_ADJUSTED=GAAP","Sort=A","Dates=H","DateFormat=P","Fill=—","Direction=H","UseDPDF=Y")</f>
        <v>5.8999999999999997E-2</v>
      </c>
      <c r="K21" s="25">
        <f>_xll.BDH("SRPT US Equity","IS_INT_INC","FQ2 2021","FQ2 2021","Currency=USD","Period=FQ","BEST_FPERIOD_OVERRIDE=FQ","FILING_STATUS=MR","SCALING_FORMAT=MLN","FA_ADJUSTED=GAAP","Sort=A","Dates=H","DateFormat=P","Fill=—","Direction=H","UseDPDF=Y")</f>
        <v>5.1999999999999998E-2</v>
      </c>
      <c r="L21" s="25">
        <f>_xll.BDH("SRPT US Equity","IS_INT_INC","FQ3 2021","FQ3 2021","Currency=USD","Period=FQ","BEST_FPERIOD_OVERRIDE=FQ","FILING_STATUS=MR","SCALING_FORMAT=MLN","FA_ADJUSTED=GAAP","Sort=A","Dates=H","DateFormat=P","Fill=—","Direction=H","UseDPDF=Y")</f>
        <v>0.14799999999999999</v>
      </c>
      <c r="M21" s="25">
        <f>_xll.BDH("SRPT US Equity","IS_INT_INC","FQ4 2021","FQ4 2021","Currency=USD","Period=FQ","BEST_FPERIOD_OVERRIDE=FQ","FILING_STATUS=MR","SCALING_FORMAT=MLN","FA_ADJUSTED=GAAP","Sort=A","Dates=H","DateFormat=P","Fill=—","Direction=H","UseDPDF=Y")</f>
        <v>9.5000000000000001E-2</v>
      </c>
      <c r="N21" s="25">
        <f>_xll.BDH("SRPT US Equity","IS_INT_INC","FQ1 2022","FQ1 2022","Currency=USD","Period=FQ","BEST_FPERIOD_OVERRIDE=FQ","FILING_STATUS=MR","SCALING_FORMAT=MLN","FA_ADJUSTED=GAAP","Sort=A","Dates=H","DateFormat=P","Fill=—","Direction=H","UseDPDF=Y")</f>
        <v>0.17299999999999999</v>
      </c>
      <c r="O21" s="25">
        <f>_xll.BDH("SRPT US Equity","IS_INT_INC","FQ2 2022","FQ2 2022","Currency=USD","Period=FQ","BEST_FPERIOD_OVERRIDE=FQ","FILING_STATUS=MR","SCALING_FORMAT=MLN","FA_ADJUSTED=GAAP","Sort=A","Dates=H","DateFormat=P","Fill=—","Direction=H","UseDPDF=Y")</f>
        <v>2.4089999999999998</v>
      </c>
      <c r="P21" s="25">
        <f>_xll.BDH("SRPT US Equity","IS_INT_INC","FQ3 2022","FQ3 2022","Currency=USD","Period=FQ","BEST_FPERIOD_OVERRIDE=FQ","FILING_STATUS=MR","SCALING_FORMAT=MLN","FA_ADJUSTED=GAAP","Sort=A","Dates=H","DateFormat=P","Fill=—","Direction=H","UseDPDF=Y")</f>
        <v>4.78</v>
      </c>
      <c r="Q21" s="25">
        <f>_xll.BDH("SRPT US Equity","IS_INT_INC","FQ4 2022","FQ4 2022","Currency=USD","Period=FQ","BEST_FPERIOD_OVERRIDE=FQ","FILING_STATUS=MR","SCALING_FORMAT=MLN","FA_ADJUSTED=GAAP","Sort=A","Dates=H","DateFormat=P","Fill=—","Direction=H","UseDPDF=Y")</f>
        <v>9.1259999999999994</v>
      </c>
      <c r="R21" s="25">
        <f>_xll.BDH("SRPT US Equity","IS_INT_INC","FQ1 2023","FQ1 2023","Currency=USD","Period=FQ","BEST_FPERIOD_OVERRIDE=FQ","FILING_STATUS=MR","SCALING_FORMAT=MLN","FA_ADJUSTED=GAAP","Sort=A","Dates=H","DateFormat=P","Fill=—","Direction=H","UseDPDF=Y")</f>
        <v>9.2759999999999998</v>
      </c>
      <c r="S21" s="25">
        <f>_xll.BDH("SRPT US Equity","IS_INT_INC","FQ2 2023","FQ2 2023","Currency=USD","Period=FQ","BEST_FPERIOD_OVERRIDE=FQ","FILING_STATUS=MR","SCALING_FORMAT=MLN","FA_ADJUSTED=GAAP","Sort=A","Dates=H","DateFormat=P","Fill=—","Direction=H","UseDPDF=Y")</f>
        <v>8.4179999999999993</v>
      </c>
      <c r="T21" s="25">
        <f>_xll.BDH("SRPT US Equity","IS_INT_INC","FQ3 2023","FQ3 2023","Currency=USD","Period=FQ","BEST_FPERIOD_OVERRIDE=FQ","FILING_STATUS=MR","SCALING_FORMAT=MLN","FA_ADJUSTED=GAAP","Sort=A","Dates=H","DateFormat=P","Fill=—","Direction=H","UseDPDF=Y")</f>
        <v>9.8379999999999992</v>
      </c>
      <c r="U21" s="25">
        <f>_xll.BDH("SRPT US Equity","IS_INT_INC","FQ4 2023","FQ4 2023","Currency=USD","Period=FQ","BEST_FPERIOD_OVERRIDE=FQ","FILING_STATUS=MR","SCALING_FORMAT=MLN","FA_ADJUSTED=GAAP","Sort=A","Dates=H","DateFormat=P","Fill=—","Direction=H","UseDPDF=Y")</f>
        <v>8.7249999999999996</v>
      </c>
      <c r="V21" s="25">
        <f>_xll.BDH("SRPT US Equity","IS_INT_INC","FQ1 2024","FQ1 2024","Currency=USD","Period=FQ","BEST_FPERIOD_OVERRIDE=FQ","FILING_STATUS=MR","SCALING_FORMAT=MLN","FA_ADJUSTED=GAAP","Sort=A","Dates=H","DateFormat=P","Fill=—","Direction=H","UseDPDF=Y")</f>
        <v>7.093</v>
      </c>
      <c r="W21" s="25">
        <f>_xll.BDH("SRPT US Equity","IS_INT_INC","FQ2 2024","FQ2 2024","Currency=USD","Period=FQ","BEST_FPERIOD_OVERRIDE=FQ","FILING_STATUS=MR","SCALING_FORMAT=MLN","FA_ADJUSTED=GAAP","Sort=A","Dates=H","DateFormat=P","Fill=—","Direction=H","UseDPDF=Y")</f>
        <v>8.0760000000000005</v>
      </c>
      <c r="X21" s="25">
        <f>_xll.BDH("SRPT US Equity","IS_INT_INC","FQ3 2024","FQ3 2024","Currency=USD","Period=FQ","BEST_FPERIOD_OVERRIDE=FQ","FILING_STATUS=MR","SCALING_FORMAT=MLN","FA_ADJUSTED=GAAP","Sort=A","Dates=H","DateFormat=P","Fill=—","Direction=H","UseDPDF=Y")</f>
        <v>7.5839999999999996</v>
      </c>
      <c r="Y21" s="25">
        <f>_xll.BDH("SRPT US Equity","IS_INT_INC","FQ4 2024","FQ4 2024","Currency=USD","Period=FQ","BEST_FPERIOD_OVERRIDE=FQ","FILING_STATUS=MR","SCALING_FORMAT=MLN","FA_ADJUSTED=GAAP","Sort=A","Dates=H","DateFormat=P","Fill=—","Direction=H","UseDPDF=Y")</f>
        <v>7.8819999999999997</v>
      </c>
      <c r="Z21" s="25"/>
      <c r="AA21" s="25"/>
    </row>
    <row r="22" spans="1:27" x14ac:dyDescent="0.25">
      <c r="A22" s="10" t="s">
        <v>338</v>
      </c>
      <c r="B22" s="10" t="s">
        <v>419</v>
      </c>
      <c r="C22" s="13">
        <f>_xll.BDH("SRPT US Equity","OTHER_NONOP_INCOME_LOSS","FQ2 2019","FQ2 2019","Currency=USD","Period=FQ","BEST_FPERIOD_OVERRIDE=FQ","FILING_STATUS=MR","SCALING_FORMAT=MLN","FA_ADJUSTED=GAAP","Sort=A","Dates=H","DateFormat=P","Fill=—","Direction=H","UseDPDF=Y")</f>
        <v>0.86199999999999999</v>
      </c>
      <c r="D22" s="13">
        <f>_xll.BDH("SRPT US Equity","OTHER_NONOP_INCOME_LOSS","FQ3 2019","FQ3 2019","Currency=USD","Period=FQ","BEST_FPERIOD_OVERRIDE=FQ","FILING_STATUS=MR","SCALING_FORMAT=MLN","FA_ADJUSTED=GAAP","Sort=A","Dates=H","DateFormat=P","Fill=—","Direction=H","UseDPDF=Y")</f>
        <v>0.374</v>
      </c>
      <c r="E22" s="13">
        <f>_xll.BDH("SRPT US Equity","OTHER_NONOP_INCOME_LOSS","FQ4 2019","FQ4 2019","Currency=USD","Period=FQ","BEST_FPERIOD_OVERRIDE=FQ","FILING_STATUS=MR","SCALING_FORMAT=MLN","FA_ADJUSTED=GAAP","Sort=A","Dates=H","DateFormat=P","Fill=—","Direction=H","UseDPDF=Y")</f>
        <v>0.21099999999999999</v>
      </c>
      <c r="F22" s="13">
        <f>_xll.BDH("SRPT US Equity","OTHER_NONOP_INCOME_LOSS","FQ1 2020","FQ1 2020","Currency=USD","Period=FQ","BEST_FPERIOD_OVERRIDE=FQ","FILING_STATUS=MR","SCALING_FORMAT=MLN","FA_ADJUSTED=GAAP","Sort=A","Dates=H","DateFormat=P","Fill=—","Direction=H","UseDPDF=Y")</f>
        <v>-109.161</v>
      </c>
      <c r="G22" s="13">
        <f>_xll.BDH("SRPT US Equity","OTHER_NONOP_INCOME_LOSS","FQ2 2020","FQ2 2020","Currency=USD","Period=FQ","BEST_FPERIOD_OVERRIDE=FQ","FILING_STATUS=MR","SCALING_FORMAT=MLN","FA_ADJUSTED=GAAP","Sort=A","Dates=H","DateFormat=P","Fill=—","Direction=H","UseDPDF=Y")</f>
        <v>0.371</v>
      </c>
      <c r="H22" s="13">
        <f>_xll.BDH("SRPT US Equity","OTHER_NONOP_INCOME_LOSS","FQ3 2020","FQ3 2020","Currency=USD","Period=FQ","BEST_FPERIOD_OVERRIDE=FQ","FILING_STATUS=MR","SCALING_FORMAT=MLN","FA_ADJUSTED=GAAP","Sort=A","Dates=H","DateFormat=P","Fill=—","Direction=H","UseDPDF=Y")</f>
        <v>45.881</v>
      </c>
      <c r="I22" s="13">
        <f>_xll.BDH("SRPT US Equity","OTHER_NONOP_INCOME_LOSS","FQ4 2020","FQ4 2020","Currency=USD","Period=FQ","BEST_FPERIOD_OVERRIDE=FQ","FILING_STATUS=MR","SCALING_FORMAT=MLN","FA_ADJUSTED=GAAP","Sort=A","Dates=H","DateFormat=P","Fill=—","Direction=H","UseDPDF=Y")</f>
        <v>-0.67700000000000005</v>
      </c>
      <c r="J22" s="13">
        <f>_xll.BDH("SRPT US Equity","OTHER_NONOP_INCOME_LOSS","FQ1 2021","FQ1 2021","Currency=USD","Period=FQ","BEST_FPERIOD_OVERRIDE=FQ","FILING_STATUS=MR","SCALING_FORMAT=MLN","FA_ADJUSTED=GAAP","Sort=A","Dates=H","DateFormat=P","Fill=—","Direction=H","UseDPDF=Y")</f>
        <v>7.1999999999999995E-2</v>
      </c>
      <c r="K22" s="13">
        <f>_xll.BDH("SRPT US Equity","OTHER_NONOP_INCOME_LOSS","FQ2 2021","FQ2 2021","Currency=USD","Period=FQ","BEST_FPERIOD_OVERRIDE=FQ","FILING_STATUS=MR","SCALING_FORMAT=MLN","FA_ADJUSTED=GAAP","Sort=A","Dates=H","DateFormat=P","Fill=—","Direction=H","UseDPDF=Y")</f>
        <v>-101.57299999999999</v>
      </c>
      <c r="L22" s="13">
        <f>_xll.BDH("SRPT US Equity","OTHER_NONOP_INCOME_LOSS","FQ3 2021","FQ3 2021","Currency=USD","Period=FQ","BEST_FPERIOD_OVERRIDE=FQ","FILING_STATUS=MR","SCALING_FORMAT=MLN","FA_ADJUSTED=GAAP","Sort=A","Dates=H","DateFormat=P","Fill=—","Direction=H","UseDPDF=Y")</f>
        <v>-2.3980000000000001</v>
      </c>
      <c r="M22" s="13">
        <f>_xll.BDH("SRPT US Equity","OTHER_NONOP_INCOME_LOSS","FQ4 2021","FQ4 2021","Currency=USD","Period=FQ","BEST_FPERIOD_OVERRIDE=FQ","FILING_STATUS=MR","SCALING_FORMAT=MLN","FA_ADJUSTED=GAAP","Sort=A","Dates=H","DateFormat=P","Fill=—","Direction=H","UseDPDF=Y")</f>
        <v>0.123</v>
      </c>
      <c r="N22" s="13">
        <f>_xll.BDH("SRPT US Equity","OTHER_NONOP_INCOME_LOSS","FQ1 2022","FQ1 2022","Currency=USD","Period=FQ","BEST_FPERIOD_OVERRIDE=FQ","FILING_STATUS=MR","SCALING_FORMAT=MLN","FA_ADJUSTED=GAAP","Sort=A","Dates=H","DateFormat=P","Fill=—","Direction=H","UseDPDF=Y")</f>
        <v>1.6419999999999999</v>
      </c>
      <c r="O22" s="13">
        <f>_xll.BDH("SRPT US Equity","OTHER_NONOP_INCOME_LOSS","FQ2 2022","FQ2 2022","Currency=USD","Period=FQ","BEST_FPERIOD_OVERRIDE=FQ","FILING_STATUS=MR","SCALING_FORMAT=MLN","FA_ADJUSTED=GAAP","Sort=A","Dates=H","DateFormat=P","Fill=—","Direction=H","UseDPDF=Y")</f>
        <v>4.673</v>
      </c>
      <c r="P22" s="13">
        <f>_xll.BDH("SRPT US Equity","OTHER_NONOP_INCOME_LOSS","FQ3 2022","FQ3 2022","Currency=USD","Period=FQ","BEST_FPERIOD_OVERRIDE=FQ","FILING_STATUS=MR","SCALING_FORMAT=MLN","FA_ADJUSTED=GAAP","Sort=A","Dates=H","DateFormat=P","Fill=—","Direction=H","UseDPDF=Y")</f>
        <v>118.542</v>
      </c>
      <c r="Q22" s="13">
        <f>_xll.BDH("SRPT US Equity","OTHER_NONOP_INCOME_LOSS","FQ4 2022","FQ4 2022","Currency=USD","Period=FQ","BEST_FPERIOD_OVERRIDE=FQ","FILING_STATUS=MR","SCALING_FORMAT=MLN","FA_ADJUSTED=GAAP","Sort=A","Dates=H","DateFormat=P","Fill=—","Direction=H","UseDPDF=Y")</f>
        <v>3.3380000000000001</v>
      </c>
      <c r="R22" s="13">
        <f>_xll.BDH("SRPT US Equity","OTHER_NONOP_INCOME_LOSS","FQ1 2023","FQ1 2023","Currency=USD","Period=FQ","BEST_FPERIOD_OVERRIDE=FQ","FILING_STATUS=MR","SCALING_FORMAT=MLN","FA_ADJUSTED=GAAP","Sort=A","Dates=H","DateFormat=P","Fill=—","Direction=H","UseDPDF=Y")</f>
        <v>377.57499999999999</v>
      </c>
      <c r="S22" s="13">
        <f>_xll.BDH("SRPT US Equity","OTHER_NONOP_INCOME_LOSS","FQ2 2023","FQ2 2023","Currency=USD","Period=FQ","BEST_FPERIOD_OVERRIDE=FQ","FILING_STATUS=MR","SCALING_FORMAT=MLN","FA_ADJUSTED=GAAP","Sort=A","Dates=H","DateFormat=P","Fill=—","Direction=H","UseDPDF=Y")</f>
        <v>-115.74</v>
      </c>
      <c r="T22" s="13">
        <f>_xll.BDH("SRPT US Equity","OTHER_NONOP_INCOME_LOSS","FQ3 2023","FQ3 2023","Currency=USD","Period=FQ","BEST_FPERIOD_OVERRIDE=FQ","FILING_STATUS=MR","SCALING_FORMAT=MLN","FA_ADJUSTED=GAAP","Sort=A","Dates=H","DateFormat=P","Fill=—","Direction=H","UseDPDF=Y")</f>
        <v>16.940999999999999</v>
      </c>
      <c r="U22" s="13">
        <f>_xll.BDH("SRPT US Equity","OTHER_NONOP_INCOME_LOSS","FQ4 2023","FQ4 2023","Currency=USD","Period=FQ","BEST_FPERIOD_OVERRIDE=FQ","FILING_STATUS=MR","SCALING_FORMAT=MLN","FA_ADJUSTED=GAAP","Sort=A","Dates=H","DateFormat=P","Fill=—","Direction=H","UseDPDF=Y")</f>
        <v>-12.255000000000001</v>
      </c>
      <c r="V22" s="13">
        <f>_xll.BDH("SRPT US Equity","OTHER_NONOP_INCOME_LOSS","FQ1 2024","FQ1 2024","Currency=USD","Period=FQ","BEST_FPERIOD_OVERRIDE=FQ","FILING_STATUS=MR","SCALING_FORMAT=MLN","FA_ADJUSTED=GAAP","Sort=A","Dates=H","DateFormat=P","Fill=—","Direction=H","UseDPDF=Y")</f>
        <v>-3.6160000000000001</v>
      </c>
      <c r="W22" s="13">
        <f>_xll.BDH("SRPT US Equity","OTHER_NONOP_INCOME_LOSS","FQ2 2024","FQ2 2024","Currency=USD","Period=FQ","BEST_FPERIOD_OVERRIDE=FQ","FILING_STATUS=MR","SCALING_FORMAT=MLN","FA_ADJUSTED=GAAP","Sort=A","Dates=H","DateFormat=P","Fill=—","Direction=H","UseDPDF=Y")</f>
        <v>-11.034000000000001</v>
      </c>
      <c r="X22" s="13">
        <f>_xll.BDH("SRPT US Equity","OTHER_NONOP_INCOME_LOSS","FQ3 2024","FQ3 2024","Currency=USD","Period=FQ","BEST_FPERIOD_OVERRIDE=FQ","FILING_STATUS=MR","SCALING_FORMAT=MLN","FA_ADJUSTED=GAAP","Sort=A","Dates=H","DateFormat=P","Fill=—","Direction=H","UseDPDF=Y")</f>
        <v>-9.1440000000000001</v>
      </c>
      <c r="Y22" s="13">
        <f>_xll.BDH("SRPT US Equity","OTHER_NONOP_INCOME_LOSS","FQ4 2024","FQ4 2024","Currency=USD","Period=FQ","BEST_FPERIOD_OVERRIDE=FQ","FILING_STATUS=MR","SCALING_FORMAT=MLN","FA_ADJUSTED=GAAP","Sort=A","Dates=H","DateFormat=P","Fill=—","Direction=H","UseDPDF=Y")</f>
        <v>-6.6550000000000002</v>
      </c>
      <c r="Z22" s="13"/>
      <c r="AA22" s="13"/>
    </row>
    <row r="23" spans="1:27" x14ac:dyDescent="0.25">
      <c r="A23" s="6" t="s">
        <v>420</v>
      </c>
      <c r="B23" s="6" t="s">
        <v>158</v>
      </c>
      <c r="C23" s="19">
        <f>_xll.BDH("SRPT US Equity","PRETAX_INC","FQ2 2019","FQ2 2019","Currency=USD","Period=FQ","BEST_FPERIOD_OVERRIDE=FQ","FILING_STATUS=MR","SCALING_FORMAT=MLN","FA_ADJUSTED=GAAP","Sort=A","Dates=H","DateFormat=P","Fill=—","Direction=H","UseDPDF=Y")</f>
        <v>-276.22899999999998</v>
      </c>
      <c r="D23" s="19">
        <f>_xll.BDH("SRPT US Equity","PRETAX_INC","FQ3 2019","FQ3 2019","Currency=USD","Period=FQ","BEST_FPERIOD_OVERRIDE=FQ","FILING_STATUS=MR","SCALING_FORMAT=MLN","FA_ADJUSTED=GAAP","Sort=A","Dates=H","DateFormat=P","Fill=—","Direction=H","UseDPDF=Y")</f>
        <v>-126.1</v>
      </c>
      <c r="E23" s="19">
        <f>_xll.BDH("SRPT US Equity","PRETAX_INC","FQ4 2019","FQ4 2019","Currency=USD","Period=FQ","BEST_FPERIOD_OVERRIDE=FQ","FILING_STATUS=MR","SCALING_FORMAT=MLN","FA_ADJUSTED=GAAP","Sort=A","Dates=H","DateFormat=P","Fill=—","Direction=H","UseDPDF=Y")</f>
        <v>-234.99199999999999</v>
      </c>
      <c r="F23" s="19">
        <f>_xll.BDH("SRPT US Equity","PRETAX_INC","FQ1 2020","FQ1 2020","Currency=USD","Period=FQ","BEST_FPERIOD_OVERRIDE=FQ","FILING_STATUS=MR","SCALING_FORMAT=MLN","FA_ADJUSTED=GAAP","Sort=A","Dates=H","DateFormat=P","Fill=—","Direction=H","UseDPDF=Y")</f>
        <v>-17.376999999999999</v>
      </c>
      <c r="G23" s="19">
        <f>_xll.BDH("SRPT US Equity","PRETAX_INC","FQ2 2020","FQ2 2020","Currency=USD","Period=FQ","BEST_FPERIOD_OVERRIDE=FQ","FILING_STATUS=MR","SCALING_FORMAT=MLN","FA_ADJUSTED=GAAP","Sort=A","Dates=H","DateFormat=P","Fill=—","Direction=H","UseDPDF=Y")</f>
        <v>-150.80000000000001</v>
      </c>
      <c r="H23" s="19">
        <f>_xll.BDH("SRPT US Equity","PRETAX_INC","FQ3 2020","FQ3 2020","Currency=USD","Period=FQ","BEST_FPERIOD_OVERRIDE=FQ","FILING_STATUS=MR","SCALING_FORMAT=MLN","FA_ADJUSTED=GAAP","Sort=A","Dates=H","DateFormat=P","Fill=—","Direction=H","UseDPDF=Y")</f>
        <v>-196.40299999999999</v>
      </c>
      <c r="I23" s="19">
        <f>_xll.BDH("SRPT US Equity","PRETAX_INC","FQ4 2020","FQ4 2020","Currency=USD","Period=FQ","BEST_FPERIOD_OVERRIDE=FQ","FILING_STATUS=MR","SCALING_FORMAT=MLN","FA_ADJUSTED=GAAP","Sort=A","Dates=H","DateFormat=P","Fill=—","Direction=H","UseDPDF=Y")</f>
        <v>-188.48500000000001</v>
      </c>
      <c r="J23" s="19">
        <f>_xll.BDH("SRPT US Equity","PRETAX_INC","FQ1 2021","FQ1 2021","Currency=USD","Period=FQ","BEST_FPERIOD_OVERRIDE=FQ","FILING_STATUS=MR","SCALING_FORMAT=MLN","FA_ADJUSTED=GAAP","Sort=A","Dates=H","DateFormat=P","Fill=—","Direction=H","UseDPDF=Y")</f>
        <v>-167.393</v>
      </c>
      <c r="K23" s="19">
        <f>_xll.BDH("SRPT US Equity","PRETAX_INC","FQ2 2021","FQ2 2021","Currency=USD","Period=FQ","BEST_FPERIOD_OVERRIDE=FQ","FILING_STATUS=MR","SCALING_FORMAT=MLN","FA_ADJUSTED=GAAP","Sort=A","Dates=H","DateFormat=P","Fill=—","Direction=H","UseDPDF=Y")</f>
        <v>-81.759</v>
      </c>
      <c r="L23" s="19">
        <f>_xll.BDH("SRPT US Equity","PRETAX_INC","FQ3 2021","FQ3 2021","Currency=USD","Period=FQ","BEST_FPERIOD_OVERRIDE=FQ","FILING_STATUS=MR","SCALING_FORMAT=MLN","FA_ADJUSTED=GAAP","Sort=A","Dates=H","DateFormat=P","Fill=—","Direction=H","UseDPDF=Y")</f>
        <v>-47.906999999999996</v>
      </c>
      <c r="M23" s="19">
        <f>_xll.BDH("SRPT US Equity","PRETAX_INC","FQ4 2021","FQ4 2021","Currency=USD","Period=FQ","BEST_FPERIOD_OVERRIDE=FQ","FILING_STATUS=MR","SCALING_FORMAT=MLN","FA_ADJUSTED=GAAP","Sort=A","Dates=H","DateFormat=P","Fill=—","Direction=H","UseDPDF=Y")</f>
        <v>-121.889</v>
      </c>
      <c r="N23" s="19">
        <f>_xll.BDH("SRPT US Equity","PRETAX_INC","FQ1 2022","FQ1 2022","Currency=USD","Period=FQ","BEST_FPERIOD_OVERRIDE=FQ","FILING_STATUS=MR","SCALING_FORMAT=MLN","FA_ADJUSTED=GAAP","Sort=A","Dates=H","DateFormat=P","Fill=—","Direction=H","UseDPDF=Y")</f>
        <v>-104.146</v>
      </c>
      <c r="O23" s="19">
        <f>_xll.BDH("SRPT US Equity","PRETAX_INC","FQ2 2022","FQ2 2022","Currency=USD","Period=FQ","BEST_FPERIOD_OVERRIDE=FQ","FILING_STATUS=MR","SCALING_FORMAT=MLN","FA_ADJUSTED=GAAP","Sort=A","Dates=H","DateFormat=P","Fill=—","Direction=H","UseDPDF=Y")</f>
        <v>-228.09299999999999</v>
      </c>
      <c r="P23" s="19">
        <f>_xll.BDH("SRPT US Equity","PRETAX_INC","FQ3 2022","FQ3 2022","Currency=USD","Period=FQ","BEST_FPERIOD_OVERRIDE=FQ","FILING_STATUS=MR","SCALING_FORMAT=MLN","FA_ADJUSTED=GAAP","Sort=A","Dates=H","DateFormat=P","Fill=—","Direction=H","UseDPDF=Y")</f>
        <v>-256.41800000000001</v>
      </c>
      <c r="Q23" s="19">
        <f>_xll.BDH("SRPT US Equity","PRETAX_INC","FQ4 2022","FQ4 2022","Currency=USD","Period=FQ","BEST_FPERIOD_OVERRIDE=FQ","FILING_STATUS=MR","SCALING_FORMAT=MLN","FA_ADJUSTED=GAAP","Sort=A","Dates=H","DateFormat=P","Fill=—","Direction=H","UseDPDF=Y")</f>
        <v>-101.306</v>
      </c>
      <c r="R23" s="19">
        <f>_xll.BDH("SRPT US Equity","PRETAX_INC","FQ1 2023","FQ1 2023","Currency=USD","Period=FQ","BEST_FPERIOD_OVERRIDE=FQ","FILING_STATUS=MR","SCALING_FORMAT=MLN","FA_ADJUSTED=GAAP","Sort=A","Dates=H","DateFormat=P","Fill=—","Direction=H","UseDPDF=Y")</f>
        <v>-512.71</v>
      </c>
      <c r="S23" s="19">
        <f>_xll.BDH("SRPT US Equity","PRETAX_INC","FQ2 2023","FQ2 2023","Currency=USD","Period=FQ","BEST_FPERIOD_OVERRIDE=FQ","FILING_STATUS=MR","SCALING_FORMAT=MLN","FA_ADJUSTED=GAAP","Sort=A","Dates=H","DateFormat=P","Fill=—","Direction=H","UseDPDF=Y")</f>
        <v>-14.585000000000001</v>
      </c>
      <c r="T23" s="19">
        <f>_xll.BDH("SRPT US Equity","PRETAX_INC","FQ3 2023","FQ3 2023","Currency=USD","Period=FQ","BEST_FPERIOD_OVERRIDE=FQ","FILING_STATUS=MR","SCALING_FORMAT=MLN","FA_ADJUSTED=GAAP","Sort=A","Dates=H","DateFormat=P","Fill=—","Direction=H","UseDPDF=Y")</f>
        <v>-33.173999999999999</v>
      </c>
      <c r="U23" s="19">
        <f>_xll.BDH("SRPT US Equity","PRETAX_INC","FQ4 2023","FQ4 2023","Currency=USD","Period=FQ","BEST_FPERIOD_OVERRIDE=FQ","FILING_STATUS=MR","SCALING_FORMAT=MLN","FA_ADJUSTED=GAAP","Sort=A","Dates=H","DateFormat=P","Fill=—","Direction=H","UseDPDF=Y")</f>
        <v>40.371000000000002</v>
      </c>
      <c r="V23" s="19">
        <f>_xll.BDH("SRPT US Equity","PRETAX_INC","FQ1 2024","FQ1 2024","Currency=USD","Period=FQ","BEST_FPERIOD_OVERRIDE=FQ","FILING_STATUS=MR","SCALING_FORMAT=MLN","FA_ADJUSTED=GAAP","Sort=A","Dates=H","DateFormat=P","Fill=—","Direction=H","UseDPDF=Y")</f>
        <v>41.448</v>
      </c>
      <c r="W23" s="19">
        <f>_xll.BDH("SRPT US Equity","PRETAX_INC","FQ2 2024","FQ2 2024","Currency=USD","Period=FQ","BEST_FPERIOD_OVERRIDE=FQ","FILING_STATUS=MR","SCALING_FORMAT=MLN","FA_ADJUSTED=GAAP","Sort=A","Dates=H","DateFormat=P","Fill=—","Direction=H","UseDPDF=Y")</f>
        <v>13.577</v>
      </c>
      <c r="X23" s="19">
        <f>_xll.BDH("SRPT US Equity","PRETAX_INC","FQ3 2024","FQ3 2024","Currency=USD","Period=FQ","BEST_FPERIOD_OVERRIDE=FQ","FILING_STATUS=MR","SCALING_FORMAT=MLN","FA_ADJUSTED=GAAP","Sort=A","Dates=H","DateFormat=P","Fill=—","Direction=H","UseDPDF=Y")</f>
        <v>34.006</v>
      </c>
      <c r="Y23" s="19">
        <f>_xll.BDH("SRPT US Equity","PRETAX_INC","FQ4 2024","FQ4 2024","Currency=USD","Period=FQ","BEST_FPERIOD_OVERRIDE=FQ","FILING_STATUS=MR","SCALING_FORMAT=MLN","FA_ADJUSTED=GAAP","Sort=A","Dates=H","DateFormat=P","Fill=—","Direction=H","UseDPDF=Y")</f>
        <v>171.74299999999999</v>
      </c>
      <c r="Z23" s="19">
        <v>196.2</v>
      </c>
      <c r="AA23" s="19">
        <v>273.88200000000001</v>
      </c>
    </row>
    <row r="24" spans="1:27" x14ac:dyDescent="0.25">
      <c r="A24" s="10" t="s">
        <v>362</v>
      </c>
      <c r="B24" s="10" t="s">
        <v>363</v>
      </c>
      <c r="C24" s="13">
        <f>_xll.BDH("SRPT US Equity","IS_INC_TAX_EXP","FQ2 2019","FQ2 2019","Currency=USD","Period=FQ","BEST_FPERIOD_OVERRIDE=FQ","FILING_STATUS=MR","SCALING_FORMAT=MLN","FA_ADJUSTED=GAAP","Sort=A","Dates=H","DateFormat=P","Fill=—","Direction=H","UseDPDF=Y")</f>
        <v>0.17399999999999999</v>
      </c>
      <c r="D24" s="13">
        <f>_xll.BDH("SRPT US Equity","IS_INC_TAX_EXP","FQ3 2019","FQ3 2019","Currency=USD","Period=FQ","BEST_FPERIOD_OVERRIDE=FQ","FILING_STATUS=MR","SCALING_FORMAT=MLN","FA_ADJUSTED=GAAP","Sort=A","Dates=H","DateFormat=P","Fill=—","Direction=H","UseDPDF=Y")</f>
        <v>0.22600000000000001</v>
      </c>
      <c r="E24" s="13">
        <f>_xll.BDH("SRPT US Equity","IS_INC_TAX_EXP","FQ4 2019","FQ4 2019","Currency=USD","Period=FQ","BEST_FPERIOD_OVERRIDE=FQ","FILING_STATUS=MR","SCALING_FORMAT=MLN","FA_ADJUSTED=GAAP","Sort=A","Dates=H","DateFormat=P","Fill=—","Direction=H","UseDPDF=Y")</f>
        <v>0.71099999999999997</v>
      </c>
      <c r="F24" s="13">
        <f>_xll.BDH("SRPT US Equity","IS_INC_TAX_EXP","FQ1 2020","FQ1 2020","Currency=USD","Period=FQ","BEST_FPERIOD_OVERRIDE=FQ","FILING_STATUS=MR","SCALING_FORMAT=MLN","FA_ADJUSTED=GAAP","Sort=A","Dates=H","DateFormat=P","Fill=—","Direction=H","UseDPDF=Y")</f>
        <v>0.115</v>
      </c>
      <c r="G24" s="13">
        <f>_xll.BDH("SRPT US Equity","IS_INC_TAX_EXP","FQ2 2020","FQ2 2020","Currency=USD","Period=FQ","BEST_FPERIOD_OVERRIDE=FQ","FILING_STATUS=MR","SCALING_FORMAT=MLN","FA_ADJUSTED=GAAP","Sort=A","Dates=H","DateFormat=P","Fill=—","Direction=H","UseDPDF=Y")</f>
        <v>0.02</v>
      </c>
      <c r="H24" s="13">
        <f>_xll.BDH("SRPT US Equity","IS_INC_TAX_EXP","FQ3 2020","FQ3 2020","Currency=USD","Period=FQ","BEST_FPERIOD_OVERRIDE=FQ","FILING_STATUS=MR","SCALING_FORMAT=MLN","FA_ADJUSTED=GAAP","Sort=A","Dates=H","DateFormat=P","Fill=—","Direction=H","UseDPDF=Y")</f>
        <v>9.6000000000000002E-2</v>
      </c>
      <c r="I24" s="13">
        <f>_xll.BDH("SRPT US Equity","IS_INC_TAX_EXP","FQ4 2020","FQ4 2020","Currency=USD","Period=FQ","BEST_FPERIOD_OVERRIDE=FQ","FILING_STATUS=MR","SCALING_FORMAT=MLN","FA_ADJUSTED=GAAP","Sort=A","Dates=H","DateFormat=P","Fill=—","Direction=H","UseDPDF=Y")</f>
        <v>0.83199999999999996</v>
      </c>
      <c r="J24" s="13">
        <f>_xll.BDH("SRPT US Equity","IS_INC_TAX_EXP","FQ1 2021","FQ1 2021","Currency=USD","Period=FQ","BEST_FPERIOD_OVERRIDE=FQ","FILING_STATUS=MR","SCALING_FORMAT=MLN","FA_ADJUSTED=GAAP","Sort=A","Dates=H","DateFormat=P","Fill=—","Direction=H","UseDPDF=Y")</f>
        <v>-0.14299999999999999</v>
      </c>
      <c r="K24" s="13">
        <f>_xll.BDH("SRPT US Equity","IS_INC_TAX_EXP","FQ2 2021","FQ2 2021","Currency=USD","Period=FQ","BEST_FPERIOD_OVERRIDE=FQ","FILING_STATUS=MR","SCALING_FORMAT=MLN","FA_ADJUSTED=GAAP","Sort=A","Dates=H","DateFormat=P","Fill=—","Direction=H","UseDPDF=Y")</f>
        <v>-0.35399999999999998</v>
      </c>
      <c r="L24" s="13">
        <f>_xll.BDH("SRPT US Equity","IS_INC_TAX_EXP","FQ3 2021","FQ3 2021","Currency=USD","Period=FQ","BEST_FPERIOD_OVERRIDE=FQ","FILING_STATUS=MR","SCALING_FORMAT=MLN","FA_ADJUSTED=GAAP","Sort=A","Dates=H","DateFormat=P","Fill=—","Direction=H","UseDPDF=Y")</f>
        <v>0.23699999999999999</v>
      </c>
      <c r="M24" s="13">
        <f>_xll.BDH("SRPT US Equity","IS_INC_TAX_EXP","FQ4 2021","FQ4 2021","Currency=USD","Period=FQ","BEST_FPERIOD_OVERRIDE=FQ","FILING_STATUS=MR","SCALING_FORMAT=MLN","FA_ADJUSTED=GAAP","Sort=A","Dates=H","DateFormat=P","Fill=—","Direction=H","UseDPDF=Y")</f>
        <v>9.1999999999999998E-2</v>
      </c>
      <c r="N24" s="13">
        <f>_xll.BDH("SRPT US Equity","IS_INC_TAX_EXP","FQ1 2022","FQ1 2022","Currency=USD","Period=FQ","BEST_FPERIOD_OVERRIDE=FQ","FILING_STATUS=MR","SCALING_FORMAT=MLN","FA_ADJUSTED=GAAP","Sort=A","Dates=H","DateFormat=P","Fill=—","Direction=H","UseDPDF=Y")</f>
        <v>0.879</v>
      </c>
      <c r="O24" s="13">
        <f>_xll.BDH("SRPT US Equity","IS_INC_TAX_EXP","FQ2 2022","FQ2 2022","Currency=USD","Period=FQ","BEST_FPERIOD_OVERRIDE=FQ","FILING_STATUS=MR","SCALING_FORMAT=MLN","FA_ADJUSTED=GAAP","Sort=A","Dates=H","DateFormat=P","Fill=—","Direction=H","UseDPDF=Y")</f>
        <v>3.3879999999999999</v>
      </c>
      <c r="P24" s="13">
        <f>_xll.BDH("SRPT US Equity","IS_INC_TAX_EXP","FQ3 2022","FQ3 2022","Currency=USD","Period=FQ","BEST_FPERIOD_OVERRIDE=FQ","FILING_STATUS=MR","SCALING_FORMAT=MLN","FA_ADJUSTED=GAAP","Sort=A","Dates=H","DateFormat=P","Fill=—","Direction=H","UseDPDF=Y")</f>
        <v>1.32</v>
      </c>
      <c r="Q24" s="13">
        <f>_xll.BDH("SRPT US Equity","IS_INC_TAX_EXP","FQ4 2022","FQ4 2022","Currency=USD","Period=FQ","BEST_FPERIOD_OVERRIDE=FQ","FILING_STATUS=MR","SCALING_FORMAT=MLN","FA_ADJUSTED=GAAP","Sort=A","Dates=H","DateFormat=P","Fill=—","Direction=H","UseDPDF=Y")</f>
        <v>7.9379999999999997</v>
      </c>
      <c r="R24" s="13">
        <f>_xll.BDH("SRPT US Equity","IS_INC_TAX_EXP","FQ1 2023","FQ1 2023","Currency=USD","Period=FQ","BEST_FPERIOD_OVERRIDE=FQ","FILING_STATUS=MR","SCALING_FORMAT=MLN","FA_ADJUSTED=GAAP","Sort=A","Dates=H","DateFormat=P","Fill=—","Direction=H","UseDPDF=Y")</f>
        <v>4.0449999999999999</v>
      </c>
      <c r="S24" s="13">
        <f>_xll.BDH("SRPT US Equity","IS_INC_TAX_EXP","FQ2 2023","FQ2 2023","Currency=USD","Period=FQ","BEST_FPERIOD_OVERRIDE=FQ","FILING_STATUS=MR","SCALING_FORMAT=MLN","FA_ADJUSTED=GAAP","Sort=A","Dates=H","DateFormat=P","Fill=—","Direction=H","UseDPDF=Y")</f>
        <v>9.3550000000000004</v>
      </c>
      <c r="T24" s="13">
        <f>_xll.BDH("SRPT US Equity","IS_INC_TAX_EXP","FQ3 2023","FQ3 2023","Currency=USD","Period=FQ","BEST_FPERIOD_OVERRIDE=FQ","FILING_STATUS=MR","SCALING_FORMAT=MLN","FA_ADJUSTED=GAAP","Sort=A","Dates=H","DateFormat=P","Fill=—","Direction=H","UseDPDF=Y")</f>
        <v>7.7629999999999999</v>
      </c>
      <c r="U24" s="13">
        <f>_xll.BDH("SRPT US Equity","IS_INC_TAX_EXP","FQ4 2023","FQ4 2023","Currency=USD","Period=FQ","BEST_FPERIOD_OVERRIDE=FQ","FILING_STATUS=MR","SCALING_FORMAT=MLN","FA_ADJUSTED=GAAP","Sort=A","Dates=H","DateFormat=P","Fill=—","Direction=H","UseDPDF=Y")</f>
        <v>-5.2839999999999998</v>
      </c>
      <c r="V24" s="13">
        <f>_xll.BDH("SRPT US Equity","IS_INC_TAX_EXP","FQ1 2024","FQ1 2024","Currency=USD","Period=FQ","BEST_FPERIOD_OVERRIDE=FQ","FILING_STATUS=MR","SCALING_FORMAT=MLN","FA_ADJUSTED=GAAP","Sort=A","Dates=H","DateFormat=P","Fill=—","Direction=H","UseDPDF=Y")</f>
        <v>5.3289999999999997</v>
      </c>
      <c r="W24" s="13">
        <f>_xll.BDH("SRPT US Equity","IS_INC_TAX_EXP","FQ2 2024","FQ2 2024","Currency=USD","Period=FQ","BEST_FPERIOD_OVERRIDE=FQ","FILING_STATUS=MR","SCALING_FORMAT=MLN","FA_ADJUSTED=GAAP","Sort=A","Dates=H","DateFormat=P","Fill=—","Direction=H","UseDPDF=Y")</f>
        <v>7.117</v>
      </c>
      <c r="X24" s="13">
        <f>_xll.BDH("SRPT US Equity","IS_INC_TAX_EXP","FQ3 2024","FQ3 2024","Currency=USD","Period=FQ","BEST_FPERIOD_OVERRIDE=FQ","FILING_STATUS=MR","SCALING_FORMAT=MLN","FA_ADJUSTED=GAAP","Sort=A","Dates=H","DateFormat=P","Fill=—","Direction=H","UseDPDF=Y")</f>
        <v>0.39500000000000002</v>
      </c>
      <c r="Y24" s="13">
        <f>_xll.BDH("SRPT US Equity","IS_INC_TAX_EXP","FQ4 2024","FQ4 2024","Currency=USD","Period=FQ","BEST_FPERIOD_OVERRIDE=FQ","FILING_STATUS=MR","SCALING_FORMAT=MLN","FA_ADJUSTED=GAAP","Sort=A","Dates=H","DateFormat=P","Fill=—","Direction=H","UseDPDF=Y")</f>
        <v>12.694000000000001</v>
      </c>
      <c r="Z24" s="13"/>
      <c r="AA24" s="13"/>
    </row>
    <row r="25" spans="1:27" x14ac:dyDescent="0.25">
      <c r="A25" s="10" t="s">
        <v>364</v>
      </c>
      <c r="B25" s="10" t="s">
        <v>365</v>
      </c>
      <c r="C25" s="13" t="str">
        <f>_xll.BDH("SRPT US Equity","IS_CURRENT_INCOME_TAX_BENEFIT","FQ2 2019","FQ2 2019","Currency=USD","Period=FQ","BEST_FPERIOD_OVERRIDE=FQ","FILING_STATUS=MR","SCALING_FORMAT=MLN","Sort=A","Dates=H","DateFormat=P","Fill=—","Direction=H","UseDPDF=Y")</f>
        <v>—</v>
      </c>
      <c r="D25" s="13" t="str">
        <f>_xll.BDH("SRPT US Equity","IS_CURRENT_INCOME_TAX_BENEFIT","FQ3 2019","FQ3 2019","Currency=USD","Period=FQ","BEST_FPERIOD_OVERRIDE=FQ","FILING_STATUS=MR","SCALING_FORMAT=MLN","Sort=A","Dates=H","DateFormat=P","Fill=—","Direction=H","UseDPDF=Y")</f>
        <v>—</v>
      </c>
      <c r="E25" s="13" t="str">
        <f>_xll.BDH("SRPT US Equity","IS_CURRENT_INCOME_TAX_BENEFIT","FQ4 2019","FQ4 2019","Currency=USD","Period=FQ","BEST_FPERIOD_OVERRIDE=FQ","FILING_STATUS=MR","SCALING_FORMAT=MLN","Sort=A","Dates=H","DateFormat=P","Fill=—","Direction=H","UseDPDF=Y")</f>
        <v>—</v>
      </c>
      <c r="F25" s="13" t="str">
        <f>_xll.BDH("SRPT US Equity","IS_CURRENT_INCOME_TAX_BENEFIT","FQ1 2020","FQ1 2020","Currency=USD","Period=FQ","BEST_FPERIOD_OVERRIDE=FQ","FILING_STATUS=MR","SCALING_FORMAT=MLN","Sort=A","Dates=H","DateFormat=P","Fill=—","Direction=H","UseDPDF=Y")</f>
        <v>—</v>
      </c>
      <c r="G25" s="13" t="str">
        <f>_xll.BDH("SRPT US Equity","IS_CURRENT_INCOME_TAX_BENEFIT","FQ2 2020","FQ2 2020","Currency=USD","Period=FQ","BEST_FPERIOD_OVERRIDE=FQ","FILING_STATUS=MR","SCALING_FORMAT=MLN","Sort=A","Dates=H","DateFormat=P","Fill=—","Direction=H","UseDPDF=Y")</f>
        <v>—</v>
      </c>
      <c r="H25" s="13" t="str">
        <f>_xll.BDH("SRPT US Equity","IS_CURRENT_INCOME_TAX_BENEFIT","FQ3 2020","FQ3 2020","Currency=USD","Period=FQ","BEST_FPERIOD_OVERRIDE=FQ","FILING_STATUS=MR","SCALING_FORMAT=MLN","Sort=A","Dates=H","DateFormat=P","Fill=—","Direction=H","UseDPDF=Y")</f>
        <v>—</v>
      </c>
      <c r="I25" s="13" t="str">
        <f>_xll.BDH("SRPT US Equity","IS_CURRENT_INCOME_TAX_BENEFIT","FQ4 2020","FQ4 2020","Currency=USD","Period=FQ","BEST_FPERIOD_OVERRIDE=FQ","FILING_STATUS=MR","SCALING_FORMAT=MLN","Sort=A","Dates=H","DateFormat=P","Fill=—","Direction=H","UseDPDF=Y")</f>
        <v>—</v>
      </c>
      <c r="J25" s="13" t="str">
        <f>_xll.BDH("SRPT US Equity","IS_CURRENT_INCOME_TAX_BENEFIT","FQ1 2021","FQ1 2021","Currency=USD","Period=FQ","BEST_FPERIOD_OVERRIDE=FQ","FILING_STATUS=MR","SCALING_FORMAT=MLN","Sort=A","Dates=H","DateFormat=P","Fill=—","Direction=H","UseDPDF=Y")</f>
        <v>—</v>
      </c>
      <c r="K25" s="13" t="str">
        <f>_xll.BDH("SRPT US Equity","IS_CURRENT_INCOME_TAX_BENEFIT","FQ2 2021","FQ2 2021","Currency=USD","Period=FQ","BEST_FPERIOD_OVERRIDE=FQ","FILING_STATUS=MR","SCALING_FORMAT=MLN","Sort=A","Dates=H","DateFormat=P","Fill=—","Direction=H","UseDPDF=Y")</f>
        <v>—</v>
      </c>
      <c r="L25" s="13" t="str">
        <f>_xll.BDH("SRPT US Equity","IS_CURRENT_INCOME_TAX_BENEFIT","FQ3 2021","FQ3 2021","Currency=USD","Period=FQ","BEST_FPERIOD_OVERRIDE=FQ","FILING_STATUS=MR","SCALING_FORMAT=MLN","Sort=A","Dates=H","DateFormat=P","Fill=—","Direction=H","UseDPDF=Y")</f>
        <v>—</v>
      </c>
      <c r="M25" s="13" t="str">
        <f>_xll.BDH("SRPT US Equity","IS_CURRENT_INCOME_TAX_BENEFIT","FQ4 2021","FQ4 2021","Currency=USD","Period=FQ","BEST_FPERIOD_OVERRIDE=FQ","FILING_STATUS=MR","SCALING_FORMAT=MLN","Sort=A","Dates=H","DateFormat=P","Fill=—","Direction=H","UseDPDF=Y")</f>
        <v>—</v>
      </c>
      <c r="N25" s="13" t="str">
        <f>_xll.BDH("SRPT US Equity","IS_CURRENT_INCOME_TAX_BENEFIT","FQ1 2022","FQ1 2022","Currency=USD","Period=FQ","BEST_FPERIOD_OVERRIDE=FQ","FILING_STATUS=MR","SCALING_FORMAT=MLN","Sort=A","Dates=H","DateFormat=P","Fill=—","Direction=H","UseDPDF=Y")</f>
        <v>—</v>
      </c>
      <c r="O25" s="13" t="str">
        <f>_xll.BDH("SRPT US Equity","IS_CURRENT_INCOME_TAX_BENEFIT","FQ2 2022","FQ2 2022","Currency=USD","Period=FQ","BEST_FPERIOD_OVERRIDE=FQ","FILING_STATUS=MR","SCALING_FORMAT=MLN","Sort=A","Dates=H","DateFormat=P","Fill=—","Direction=H","UseDPDF=Y")</f>
        <v>—</v>
      </c>
      <c r="P25" s="13" t="str">
        <f>_xll.BDH("SRPT US Equity","IS_CURRENT_INCOME_TAX_BENEFIT","FQ3 2022","FQ3 2022","Currency=USD","Period=FQ","BEST_FPERIOD_OVERRIDE=FQ","FILING_STATUS=MR","SCALING_FORMAT=MLN","Sort=A","Dates=H","DateFormat=P","Fill=—","Direction=H","UseDPDF=Y")</f>
        <v>—</v>
      </c>
      <c r="Q25" s="13" t="str">
        <f>_xll.BDH("SRPT US Equity","IS_CURRENT_INCOME_TAX_BENEFIT","FQ4 2022","FQ4 2022","Currency=USD","Period=FQ","BEST_FPERIOD_OVERRIDE=FQ","FILING_STATUS=MR","SCALING_FORMAT=MLN","Sort=A","Dates=H","DateFormat=P","Fill=—","Direction=H","UseDPDF=Y")</f>
        <v>—</v>
      </c>
      <c r="R25" s="13" t="str">
        <f>_xll.BDH("SRPT US Equity","IS_CURRENT_INCOME_TAX_BENEFIT","FQ1 2023","FQ1 2023","Currency=USD","Period=FQ","BEST_FPERIOD_OVERRIDE=FQ","FILING_STATUS=MR","SCALING_FORMAT=MLN","Sort=A","Dates=H","DateFormat=P","Fill=—","Direction=H","UseDPDF=Y")</f>
        <v>—</v>
      </c>
      <c r="S25" s="13" t="str">
        <f>_xll.BDH("SRPT US Equity","IS_CURRENT_INCOME_TAX_BENEFIT","FQ2 2023","FQ2 2023","Currency=USD","Period=FQ","BEST_FPERIOD_OVERRIDE=FQ","FILING_STATUS=MR","SCALING_FORMAT=MLN","Sort=A","Dates=H","DateFormat=P","Fill=—","Direction=H","UseDPDF=Y")</f>
        <v>—</v>
      </c>
      <c r="T25" s="13" t="str">
        <f>_xll.BDH("SRPT US Equity","IS_CURRENT_INCOME_TAX_BENEFIT","FQ3 2023","FQ3 2023","Currency=USD","Period=FQ","BEST_FPERIOD_OVERRIDE=FQ","FILING_STATUS=MR","SCALING_FORMAT=MLN","Sort=A","Dates=H","DateFormat=P","Fill=—","Direction=H","UseDPDF=Y")</f>
        <v>—</v>
      </c>
      <c r="U25" s="13" t="str">
        <f>_xll.BDH("SRPT US Equity","IS_CURRENT_INCOME_TAX_BENEFIT","FQ4 2023","FQ4 2023","Currency=USD","Period=FQ","BEST_FPERIOD_OVERRIDE=FQ","FILING_STATUS=MR","SCALING_FORMAT=MLN","Sort=A","Dates=H","DateFormat=P","Fill=—","Direction=H","UseDPDF=Y")</f>
        <v>—</v>
      </c>
      <c r="V25" s="13" t="str">
        <f>_xll.BDH("SRPT US Equity","IS_CURRENT_INCOME_TAX_BENEFIT","FQ1 2024","FQ1 2024","Currency=USD","Period=FQ","BEST_FPERIOD_OVERRIDE=FQ","FILING_STATUS=MR","SCALING_FORMAT=MLN","Sort=A","Dates=H","DateFormat=P","Fill=—","Direction=H","UseDPDF=Y")</f>
        <v>—</v>
      </c>
      <c r="W25" s="13" t="str">
        <f>_xll.BDH("SRPT US Equity","IS_CURRENT_INCOME_TAX_BENEFIT","FQ2 2024","FQ2 2024","Currency=USD","Period=FQ","BEST_FPERIOD_OVERRIDE=FQ","FILING_STATUS=MR","SCALING_FORMAT=MLN","Sort=A","Dates=H","DateFormat=P","Fill=—","Direction=H","UseDPDF=Y")</f>
        <v>—</v>
      </c>
      <c r="X25" s="13" t="str">
        <f>_xll.BDH("SRPT US Equity","IS_CURRENT_INCOME_TAX_BENEFIT","FQ3 2024","FQ3 2024","Currency=USD","Period=FQ","BEST_FPERIOD_OVERRIDE=FQ","FILING_STATUS=MR","SCALING_FORMAT=MLN","Sort=A","Dates=H","DateFormat=P","Fill=—","Direction=H","UseDPDF=Y")</f>
        <v>—</v>
      </c>
      <c r="Y25" s="13" t="str">
        <f>_xll.BDH("SRPT US Equity","IS_CURRENT_INCOME_TAX_BENEFIT","FQ4 2024","FQ4 2024","Currency=USD","Period=FQ","BEST_FPERIOD_OVERRIDE=FQ","FILING_STATUS=MR","SCALING_FORMAT=MLN","Sort=A","Dates=H","DateFormat=P","Fill=—","Direction=H","UseDPDF=Y")</f>
        <v>—</v>
      </c>
      <c r="Z25" s="13"/>
      <c r="AA25" s="13"/>
    </row>
    <row r="26" spans="1:27" x14ac:dyDescent="0.25">
      <c r="A26" s="10" t="s">
        <v>366</v>
      </c>
      <c r="B26" s="10" t="s">
        <v>367</v>
      </c>
      <c r="C26" s="13" t="str">
        <f>_xll.BDH("SRPT US Equity","IS_DEFERRED_INCOME_TAX_BENEFIT","FQ2 2019","FQ2 2019","Currency=USD","Period=FQ","BEST_FPERIOD_OVERRIDE=FQ","FILING_STATUS=MR","SCALING_FORMAT=MLN","Sort=A","Dates=H","DateFormat=P","Fill=—","Direction=H","UseDPDF=Y")</f>
        <v>—</v>
      </c>
      <c r="D26" s="13" t="str">
        <f>_xll.BDH("SRPT US Equity","IS_DEFERRED_INCOME_TAX_BENEFIT","FQ3 2019","FQ3 2019","Currency=USD","Period=FQ","BEST_FPERIOD_OVERRIDE=FQ","FILING_STATUS=MR","SCALING_FORMAT=MLN","Sort=A","Dates=H","DateFormat=P","Fill=—","Direction=H","UseDPDF=Y")</f>
        <v>—</v>
      </c>
      <c r="E26" s="13" t="str">
        <f>_xll.BDH("SRPT US Equity","IS_DEFERRED_INCOME_TAX_BENEFIT","FQ4 2019","FQ4 2019","Currency=USD","Period=FQ","BEST_FPERIOD_OVERRIDE=FQ","FILING_STATUS=MR","SCALING_FORMAT=MLN","Sort=A","Dates=H","DateFormat=P","Fill=—","Direction=H","UseDPDF=Y")</f>
        <v>—</v>
      </c>
      <c r="F26" s="13" t="str">
        <f>_xll.BDH("SRPT US Equity","IS_DEFERRED_INCOME_TAX_BENEFIT","FQ1 2020","FQ1 2020","Currency=USD","Period=FQ","BEST_FPERIOD_OVERRIDE=FQ","FILING_STATUS=MR","SCALING_FORMAT=MLN","Sort=A","Dates=H","DateFormat=P","Fill=—","Direction=H","UseDPDF=Y")</f>
        <v>—</v>
      </c>
      <c r="G26" s="13" t="str">
        <f>_xll.BDH("SRPT US Equity","IS_DEFERRED_INCOME_TAX_BENEFIT","FQ2 2020","FQ2 2020","Currency=USD","Period=FQ","BEST_FPERIOD_OVERRIDE=FQ","FILING_STATUS=MR","SCALING_FORMAT=MLN","Sort=A","Dates=H","DateFormat=P","Fill=—","Direction=H","UseDPDF=Y")</f>
        <v>—</v>
      </c>
      <c r="H26" s="13" t="str">
        <f>_xll.BDH("SRPT US Equity","IS_DEFERRED_INCOME_TAX_BENEFIT","FQ3 2020","FQ3 2020","Currency=USD","Period=FQ","BEST_FPERIOD_OVERRIDE=FQ","FILING_STATUS=MR","SCALING_FORMAT=MLN","Sort=A","Dates=H","DateFormat=P","Fill=—","Direction=H","UseDPDF=Y")</f>
        <v>—</v>
      </c>
      <c r="I26" s="13" t="str">
        <f>_xll.BDH("SRPT US Equity","IS_DEFERRED_INCOME_TAX_BENEFIT","FQ4 2020","FQ4 2020","Currency=USD","Period=FQ","BEST_FPERIOD_OVERRIDE=FQ","FILING_STATUS=MR","SCALING_FORMAT=MLN","Sort=A","Dates=H","DateFormat=P","Fill=—","Direction=H","UseDPDF=Y")</f>
        <v>—</v>
      </c>
      <c r="J26" s="13" t="str">
        <f>_xll.BDH("SRPT US Equity","IS_DEFERRED_INCOME_TAX_BENEFIT","FQ1 2021","FQ1 2021","Currency=USD","Period=FQ","BEST_FPERIOD_OVERRIDE=FQ","FILING_STATUS=MR","SCALING_FORMAT=MLN","Sort=A","Dates=H","DateFormat=P","Fill=—","Direction=H","UseDPDF=Y")</f>
        <v>—</v>
      </c>
      <c r="K26" s="13" t="str">
        <f>_xll.BDH("SRPT US Equity","IS_DEFERRED_INCOME_TAX_BENEFIT","FQ2 2021","FQ2 2021","Currency=USD","Period=FQ","BEST_FPERIOD_OVERRIDE=FQ","FILING_STATUS=MR","SCALING_FORMAT=MLN","Sort=A","Dates=H","DateFormat=P","Fill=—","Direction=H","UseDPDF=Y")</f>
        <v>—</v>
      </c>
      <c r="L26" s="13" t="str">
        <f>_xll.BDH("SRPT US Equity","IS_DEFERRED_INCOME_TAX_BENEFIT","FQ3 2021","FQ3 2021","Currency=USD","Period=FQ","BEST_FPERIOD_OVERRIDE=FQ","FILING_STATUS=MR","SCALING_FORMAT=MLN","Sort=A","Dates=H","DateFormat=P","Fill=—","Direction=H","UseDPDF=Y")</f>
        <v>—</v>
      </c>
      <c r="M26" s="13" t="str">
        <f>_xll.BDH("SRPT US Equity","IS_DEFERRED_INCOME_TAX_BENEFIT","FQ4 2021","FQ4 2021","Currency=USD","Period=FQ","BEST_FPERIOD_OVERRIDE=FQ","FILING_STATUS=MR","SCALING_FORMAT=MLN","Sort=A","Dates=H","DateFormat=P","Fill=—","Direction=H","UseDPDF=Y")</f>
        <v>—</v>
      </c>
      <c r="N26" s="13" t="str">
        <f>_xll.BDH("SRPT US Equity","IS_DEFERRED_INCOME_TAX_BENEFIT","FQ1 2022","FQ1 2022","Currency=USD","Period=FQ","BEST_FPERIOD_OVERRIDE=FQ","FILING_STATUS=MR","SCALING_FORMAT=MLN","Sort=A","Dates=H","DateFormat=P","Fill=—","Direction=H","UseDPDF=Y")</f>
        <v>—</v>
      </c>
      <c r="O26" s="13" t="str">
        <f>_xll.BDH("SRPT US Equity","IS_DEFERRED_INCOME_TAX_BENEFIT","FQ2 2022","FQ2 2022","Currency=USD","Period=FQ","BEST_FPERIOD_OVERRIDE=FQ","FILING_STATUS=MR","SCALING_FORMAT=MLN","Sort=A","Dates=H","DateFormat=P","Fill=—","Direction=H","UseDPDF=Y")</f>
        <v>—</v>
      </c>
      <c r="P26" s="13" t="str">
        <f>_xll.BDH("SRPT US Equity","IS_DEFERRED_INCOME_TAX_BENEFIT","FQ3 2022","FQ3 2022","Currency=USD","Period=FQ","BEST_FPERIOD_OVERRIDE=FQ","FILING_STATUS=MR","SCALING_FORMAT=MLN","Sort=A","Dates=H","DateFormat=P","Fill=—","Direction=H","UseDPDF=Y")</f>
        <v>—</v>
      </c>
      <c r="Q26" s="13" t="str">
        <f>_xll.BDH("SRPT US Equity","IS_DEFERRED_INCOME_TAX_BENEFIT","FQ4 2022","FQ4 2022","Currency=USD","Period=FQ","BEST_FPERIOD_OVERRIDE=FQ","FILING_STATUS=MR","SCALING_FORMAT=MLN","Sort=A","Dates=H","DateFormat=P","Fill=—","Direction=H","UseDPDF=Y")</f>
        <v>—</v>
      </c>
      <c r="R26" s="13" t="str">
        <f>_xll.BDH("SRPT US Equity","IS_DEFERRED_INCOME_TAX_BENEFIT","FQ1 2023","FQ1 2023","Currency=USD","Period=FQ","BEST_FPERIOD_OVERRIDE=FQ","FILING_STATUS=MR","SCALING_FORMAT=MLN","Sort=A","Dates=H","DateFormat=P","Fill=—","Direction=H","UseDPDF=Y")</f>
        <v>—</v>
      </c>
      <c r="S26" s="13" t="str">
        <f>_xll.BDH("SRPT US Equity","IS_DEFERRED_INCOME_TAX_BENEFIT","FQ2 2023","FQ2 2023","Currency=USD","Period=FQ","BEST_FPERIOD_OVERRIDE=FQ","FILING_STATUS=MR","SCALING_FORMAT=MLN","Sort=A","Dates=H","DateFormat=P","Fill=—","Direction=H","UseDPDF=Y")</f>
        <v>—</v>
      </c>
      <c r="T26" s="13" t="str">
        <f>_xll.BDH("SRPT US Equity","IS_DEFERRED_INCOME_TAX_BENEFIT","FQ3 2023","FQ3 2023","Currency=USD","Period=FQ","BEST_FPERIOD_OVERRIDE=FQ","FILING_STATUS=MR","SCALING_FORMAT=MLN","Sort=A","Dates=H","DateFormat=P","Fill=—","Direction=H","UseDPDF=Y")</f>
        <v>—</v>
      </c>
      <c r="U26" s="13" t="str">
        <f>_xll.BDH("SRPT US Equity","IS_DEFERRED_INCOME_TAX_BENEFIT","FQ4 2023","FQ4 2023","Currency=USD","Period=FQ","BEST_FPERIOD_OVERRIDE=FQ","FILING_STATUS=MR","SCALING_FORMAT=MLN","Sort=A","Dates=H","DateFormat=P","Fill=—","Direction=H","UseDPDF=Y")</f>
        <v>—</v>
      </c>
      <c r="V26" s="13" t="str">
        <f>_xll.BDH("SRPT US Equity","IS_DEFERRED_INCOME_TAX_BENEFIT","FQ1 2024","FQ1 2024","Currency=USD","Period=FQ","BEST_FPERIOD_OVERRIDE=FQ","FILING_STATUS=MR","SCALING_FORMAT=MLN","Sort=A","Dates=H","DateFormat=P","Fill=—","Direction=H","UseDPDF=Y")</f>
        <v>—</v>
      </c>
      <c r="W26" s="13" t="str">
        <f>_xll.BDH("SRPT US Equity","IS_DEFERRED_INCOME_TAX_BENEFIT","FQ2 2024","FQ2 2024","Currency=USD","Period=FQ","BEST_FPERIOD_OVERRIDE=FQ","FILING_STATUS=MR","SCALING_FORMAT=MLN","Sort=A","Dates=H","DateFormat=P","Fill=—","Direction=H","UseDPDF=Y")</f>
        <v>—</v>
      </c>
      <c r="X26" s="13" t="str">
        <f>_xll.BDH("SRPT US Equity","IS_DEFERRED_INCOME_TAX_BENEFIT","FQ3 2024","FQ3 2024","Currency=USD","Period=FQ","BEST_FPERIOD_OVERRIDE=FQ","FILING_STATUS=MR","SCALING_FORMAT=MLN","Sort=A","Dates=H","DateFormat=P","Fill=—","Direction=H","UseDPDF=Y")</f>
        <v>—</v>
      </c>
      <c r="Y26" s="13" t="str">
        <f>_xll.BDH("SRPT US Equity","IS_DEFERRED_INCOME_TAX_BENEFIT","FQ4 2024","FQ4 2024","Currency=USD","Period=FQ","BEST_FPERIOD_OVERRIDE=FQ","FILING_STATUS=MR","SCALING_FORMAT=MLN","Sort=A","Dates=H","DateFormat=P","Fill=—","Direction=H","UseDPDF=Y")</f>
        <v>—</v>
      </c>
      <c r="Z26" s="13"/>
      <c r="AA26" s="13"/>
    </row>
    <row r="27" spans="1:27" x14ac:dyDescent="0.25">
      <c r="A27" s="6" t="s">
        <v>368</v>
      </c>
      <c r="B27" s="6" t="s">
        <v>369</v>
      </c>
      <c r="C27" s="19">
        <f>_xll.BDH("SRPT US Equity","IS_INC_BEF_XO_ITEM","FQ2 2019","FQ2 2019","Currency=USD","Period=FQ","BEST_FPERIOD_OVERRIDE=FQ","FILING_STATUS=MR","SCALING_FORMAT=MLN","Sort=A","Dates=H","DateFormat=P","Fill=—","Direction=H","UseDPDF=Y")</f>
        <v>-276.40300000000002</v>
      </c>
      <c r="D27" s="19">
        <f>_xll.BDH("SRPT US Equity","IS_INC_BEF_XO_ITEM","FQ3 2019","FQ3 2019","Currency=USD","Period=FQ","BEST_FPERIOD_OVERRIDE=FQ","FILING_STATUS=MR","SCALING_FORMAT=MLN","Sort=A","Dates=H","DateFormat=P","Fill=—","Direction=H","UseDPDF=Y")</f>
        <v>-126.32599999999999</v>
      </c>
      <c r="E27" s="19">
        <f>_xll.BDH("SRPT US Equity","IS_INC_BEF_XO_ITEM","FQ4 2019","FQ4 2019","Currency=USD","Period=FQ","BEST_FPERIOD_OVERRIDE=FQ","FILING_STATUS=MR","SCALING_FORMAT=MLN","Sort=A","Dates=H","DateFormat=P","Fill=—","Direction=H","UseDPDF=Y")</f>
        <v>-235.703</v>
      </c>
      <c r="F27" s="19">
        <f>_xll.BDH("SRPT US Equity","IS_INC_BEF_XO_ITEM","FQ1 2020","FQ1 2020","Currency=USD","Period=FQ","BEST_FPERIOD_OVERRIDE=FQ","FILING_STATUS=MR","SCALING_FORMAT=MLN","Sort=A","Dates=H","DateFormat=P","Fill=—","Direction=H","UseDPDF=Y")</f>
        <v>-17.492000000000001</v>
      </c>
      <c r="G27" s="19">
        <f>_xll.BDH("SRPT US Equity","IS_INC_BEF_XO_ITEM","FQ2 2020","FQ2 2020","Currency=USD","Period=FQ","BEST_FPERIOD_OVERRIDE=FQ","FILING_STATUS=MR","SCALING_FORMAT=MLN","Sort=A","Dates=H","DateFormat=P","Fill=—","Direction=H","UseDPDF=Y")</f>
        <v>-150.82</v>
      </c>
      <c r="H27" s="19">
        <f>_xll.BDH("SRPT US Equity","IS_INC_BEF_XO_ITEM","FQ3 2020","FQ3 2020","Currency=USD","Period=FQ","BEST_FPERIOD_OVERRIDE=FQ","FILING_STATUS=MR","SCALING_FORMAT=MLN","Sort=A","Dates=H","DateFormat=P","Fill=—","Direction=H","UseDPDF=Y")</f>
        <v>-196.499</v>
      </c>
      <c r="I27" s="19">
        <f>_xll.BDH("SRPT US Equity","IS_INC_BEF_XO_ITEM","FQ4 2020","FQ4 2020","Currency=USD","Period=FQ","BEST_FPERIOD_OVERRIDE=FQ","FILING_STATUS=MR","SCALING_FORMAT=MLN","Sort=A","Dates=H","DateFormat=P","Fill=—","Direction=H","UseDPDF=Y")</f>
        <v>-189.31700000000001</v>
      </c>
      <c r="J27" s="19">
        <f>_xll.BDH("SRPT US Equity","IS_INC_BEF_XO_ITEM","FQ1 2021","FQ1 2021","Currency=USD","Period=FQ","BEST_FPERIOD_OVERRIDE=FQ","FILING_STATUS=MR","SCALING_FORMAT=MLN","Sort=A","Dates=H","DateFormat=P","Fill=—","Direction=H","UseDPDF=Y")</f>
        <v>-167.25</v>
      </c>
      <c r="K27" s="19">
        <f>_xll.BDH("SRPT US Equity","IS_INC_BEF_XO_ITEM","FQ2 2021","FQ2 2021","Currency=USD","Period=FQ","BEST_FPERIOD_OVERRIDE=FQ","FILING_STATUS=MR","SCALING_FORMAT=MLN","Sort=A","Dates=H","DateFormat=P","Fill=—","Direction=H","UseDPDF=Y")</f>
        <v>-81.405000000000001</v>
      </c>
      <c r="L27" s="19">
        <f>_xll.BDH("SRPT US Equity","IS_INC_BEF_XO_ITEM","FQ3 2021","FQ3 2021","Currency=USD","Period=FQ","BEST_FPERIOD_OVERRIDE=FQ","FILING_STATUS=MR","SCALING_FORMAT=MLN","Sort=A","Dates=H","DateFormat=P","Fill=—","Direction=H","UseDPDF=Y")</f>
        <v>-48.143999999999998</v>
      </c>
      <c r="M27" s="19">
        <f>_xll.BDH("SRPT US Equity","IS_INC_BEF_XO_ITEM","FQ4 2021","FQ4 2021","Currency=USD","Period=FQ","BEST_FPERIOD_OVERRIDE=FQ","FILING_STATUS=MR","SCALING_FORMAT=MLN","Sort=A","Dates=H","DateFormat=P","Fill=—","Direction=H","UseDPDF=Y")</f>
        <v>-121.98099999999999</v>
      </c>
      <c r="N27" s="19">
        <f>_xll.BDH("SRPT US Equity","IS_INC_BEF_XO_ITEM","FQ1 2022","FQ1 2022","Currency=USD","Period=FQ","BEST_FPERIOD_OVERRIDE=FQ","FILING_STATUS=MR","SCALING_FORMAT=MLN","Sort=A","Dates=H","DateFormat=P","Fill=—","Direction=H","UseDPDF=Y")</f>
        <v>-105.02500000000001</v>
      </c>
      <c r="O27" s="19">
        <f>_xll.BDH("SRPT US Equity","IS_INC_BEF_XO_ITEM","FQ2 2022","FQ2 2022","Currency=USD","Period=FQ","BEST_FPERIOD_OVERRIDE=FQ","FILING_STATUS=MR","SCALING_FORMAT=MLN","Sort=A","Dates=H","DateFormat=P","Fill=—","Direction=H","UseDPDF=Y")</f>
        <v>-231.48099999999999</v>
      </c>
      <c r="P27" s="19">
        <f>_xll.BDH("SRPT US Equity","IS_INC_BEF_XO_ITEM","FQ3 2022","FQ3 2022","Currency=USD","Period=FQ","BEST_FPERIOD_OVERRIDE=FQ","FILING_STATUS=MR","SCALING_FORMAT=MLN","Sort=A","Dates=H","DateFormat=P","Fill=—","Direction=H","UseDPDF=Y")</f>
        <v>-257.738</v>
      </c>
      <c r="Q27" s="19">
        <f>_xll.BDH("SRPT US Equity","IS_INC_BEF_XO_ITEM","FQ4 2022","FQ4 2022","Currency=USD","Period=FQ","BEST_FPERIOD_OVERRIDE=FQ","FILING_STATUS=MR","SCALING_FORMAT=MLN","Sort=A","Dates=H","DateFormat=P","Fill=—","Direction=H","UseDPDF=Y")</f>
        <v>-109.244</v>
      </c>
      <c r="R27" s="19">
        <f>_xll.BDH("SRPT US Equity","IS_INC_BEF_XO_ITEM","FQ1 2023","FQ1 2023","Currency=USD","Period=FQ","BEST_FPERIOD_OVERRIDE=FQ","FILING_STATUS=MR","SCALING_FORMAT=MLN","Sort=A","Dates=H","DateFormat=P","Fill=—","Direction=H","UseDPDF=Y")</f>
        <v>-516.755</v>
      </c>
      <c r="S27" s="19">
        <f>_xll.BDH("SRPT US Equity","IS_INC_BEF_XO_ITEM","FQ2 2023","FQ2 2023","Currency=USD","Period=FQ","BEST_FPERIOD_OVERRIDE=FQ","FILING_STATUS=MR","SCALING_FORMAT=MLN","Sort=A","Dates=H","DateFormat=P","Fill=—","Direction=H","UseDPDF=Y")</f>
        <v>-23.94</v>
      </c>
      <c r="T27" s="19">
        <f>_xll.BDH("SRPT US Equity","IS_INC_BEF_XO_ITEM","FQ3 2023","FQ3 2023","Currency=USD","Period=FQ","BEST_FPERIOD_OVERRIDE=FQ","FILING_STATUS=MR","SCALING_FORMAT=MLN","Sort=A","Dates=H","DateFormat=P","Fill=—","Direction=H","UseDPDF=Y")</f>
        <v>-40.936999999999998</v>
      </c>
      <c r="U27" s="19">
        <f>_xll.BDH("SRPT US Equity","IS_INC_BEF_XO_ITEM","FQ4 2023","FQ4 2023","Currency=USD","Period=FQ","BEST_FPERIOD_OVERRIDE=FQ","FILING_STATUS=MR","SCALING_FORMAT=MLN","Sort=A","Dates=H","DateFormat=P","Fill=—","Direction=H","UseDPDF=Y")</f>
        <v>45.655000000000001</v>
      </c>
      <c r="V27" s="19">
        <f>_xll.BDH("SRPT US Equity","IS_INC_BEF_XO_ITEM","FQ1 2024","FQ1 2024","Currency=USD","Period=FQ","BEST_FPERIOD_OVERRIDE=FQ","FILING_STATUS=MR","SCALING_FORMAT=MLN","Sort=A","Dates=H","DateFormat=P","Fill=—","Direction=H","UseDPDF=Y")</f>
        <v>36.119</v>
      </c>
      <c r="W27" s="19">
        <f>_xll.BDH("SRPT US Equity","IS_INC_BEF_XO_ITEM","FQ2 2024","FQ2 2024","Currency=USD","Period=FQ","BEST_FPERIOD_OVERRIDE=FQ","FILING_STATUS=MR","SCALING_FORMAT=MLN","Sort=A","Dates=H","DateFormat=P","Fill=—","Direction=H","UseDPDF=Y")</f>
        <v>6.46</v>
      </c>
      <c r="X27" s="19">
        <f>_xll.BDH("SRPT US Equity","IS_INC_BEF_XO_ITEM","FQ3 2024","FQ3 2024","Currency=USD","Period=FQ","BEST_FPERIOD_OVERRIDE=FQ","FILING_STATUS=MR","SCALING_FORMAT=MLN","Sort=A","Dates=H","DateFormat=P","Fill=—","Direction=H","UseDPDF=Y")</f>
        <v>33.610999999999997</v>
      </c>
      <c r="Y27" s="19">
        <f>_xll.BDH("SRPT US Equity","IS_INC_BEF_XO_ITEM","FQ4 2024","FQ4 2024","Currency=USD","Period=FQ","BEST_FPERIOD_OVERRIDE=FQ","FILING_STATUS=MR","SCALING_FORMAT=MLN","Sort=A","Dates=H","DateFormat=P","Fill=—","Direction=H","UseDPDF=Y")</f>
        <v>159.04900000000001</v>
      </c>
      <c r="Z27" s="19">
        <v>107.06699999999999</v>
      </c>
      <c r="AA27" s="19">
        <v>262.16699999999997</v>
      </c>
    </row>
    <row r="28" spans="1:27" x14ac:dyDescent="0.25">
      <c r="A28" s="10" t="s">
        <v>370</v>
      </c>
      <c r="B28" s="10" t="s">
        <v>371</v>
      </c>
      <c r="C28" s="13">
        <f>_xll.BDH("SRPT US Equity","XO_GL_NET_OF_TAX","FQ2 2019","FQ2 2019","Currency=USD","Period=FQ","BEST_FPERIOD_OVERRIDE=FQ","FILING_STATUS=MR","SCALING_FORMAT=MLN","Sort=A","Dates=H","DateFormat=P","Fill=—","Direction=H","UseDPDF=Y")</f>
        <v>0</v>
      </c>
      <c r="D28" s="13">
        <f>_xll.BDH("SRPT US Equity","XO_GL_NET_OF_TAX","FQ3 2019","FQ3 2019","Currency=USD","Period=FQ","BEST_FPERIOD_OVERRIDE=FQ","FILING_STATUS=MR","SCALING_FORMAT=MLN","Sort=A","Dates=H","DateFormat=P","Fill=—","Direction=H","UseDPDF=Y")</f>
        <v>0</v>
      </c>
      <c r="E28" s="13">
        <f>_xll.BDH("SRPT US Equity","XO_GL_NET_OF_TAX","FQ4 2019","FQ4 2019","Currency=USD","Period=FQ","BEST_FPERIOD_OVERRIDE=FQ","FILING_STATUS=MR","SCALING_FORMAT=MLN","Sort=A","Dates=H","DateFormat=P","Fill=—","Direction=H","UseDPDF=Y")</f>
        <v>0</v>
      </c>
      <c r="F28" s="13">
        <f>_xll.BDH("SRPT US Equity","XO_GL_NET_OF_TAX","FQ1 2020","FQ1 2020","Currency=USD","Period=FQ","BEST_FPERIOD_OVERRIDE=FQ","FILING_STATUS=MR","SCALING_FORMAT=MLN","Sort=A","Dates=H","DateFormat=P","Fill=—","Direction=H","UseDPDF=Y")</f>
        <v>0</v>
      </c>
      <c r="G28" s="13">
        <f>_xll.BDH("SRPT US Equity","XO_GL_NET_OF_TAX","FQ2 2020","FQ2 2020","Currency=USD","Period=FQ","BEST_FPERIOD_OVERRIDE=FQ","FILING_STATUS=MR","SCALING_FORMAT=MLN","Sort=A","Dates=H","DateFormat=P","Fill=—","Direction=H","UseDPDF=Y")</f>
        <v>0</v>
      </c>
      <c r="H28" s="13">
        <f>_xll.BDH("SRPT US Equity","XO_GL_NET_OF_TAX","FQ3 2020","FQ3 2020","Currency=USD","Period=FQ","BEST_FPERIOD_OVERRIDE=FQ","FILING_STATUS=MR","SCALING_FORMAT=MLN","Sort=A","Dates=H","DateFormat=P","Fill=—","Direction=H","UseDPDF=Y")</f>
        <v>0</v>
      </c>
      <c r="I28" s="13">
        <f>_xll.BDH("SRPT US Equity","XO_GL_NET_OF_TAX","FQ4 2020","FQ4 2020","Currency=USD","Period=FQ","BEST_FPERIOD_OVERRIDE=FQ","FILING_STATUS=MR","SCALING_FORMAT=MLN","Sort=A","Dates=H","DateFormat=P","Fill=—","Direction=H","UseDPDF=Y")</f>
        <v>0</v>
      </c>
      <c r="J28" s="13">
        <f>_xll.BDH("SRPT US Equity","XO_GL_NET_OF_TAX","FQ1 2021","FQ1 2021","Currency=USD","Period=FQ","BEST_FPERIOD_OVERRIDE=FQ","FILING_STATUS=MR","SCALING_FORMAT=MLN","Sort=A","Dates=H","DateFormat=P","Fill=—","Direction=H","UseDPDF=Y")</f>
        <v>0</v>
      </c>
      <c r="K28" s="13">
        <f>_xll.BDH("SRPT US Equity","XO_GL_NET_OF_TAX","FQ2 2021","FQ2 2021","Currency=USD","Period=FQ","BEST_FPERIOD_OVERRIDE=FQ","FILING_STATUS=MR","SCALING_FORMAT=MLN","Sort=A","Dates=H","DateFormat=P","Fill=—","Direction=H","UseDPDF=Y")</f>
        <v>0</v>
      </c>
      <c r="L28" s="13">
        <f>_xll.BDH("SRPT US Equity","XO_GL_NET_OF_TAX","FQ3 2021","FQ3 2021","Currency=USD","Period=FQ","BEST_FPERIOD_OVERRIDE=FQ","FILING_STATUS=MR","SCALING_FORMAT=MLN","Sort=A","Dates=H","DateFormat=P","Fill=—","Direction=H","UseDPDF=Y")</f>
        <v>0</v>
      </c>
      <c r="M28" s="13">
        <f>_xll.BDH("SRPT US Equity","XO_GL_NET_OF_TAX","FQ4 2021","FQ4 2021","Currency=USD","Period=FQ","BEST_FPERIOD_OVERRIDE=FQ","FILING_STATUS=MR","SCALING_FORMAT=MLN","Sort=A","Dates=H","DateFormat=P","Fill=—","Direction=H","UseDPDF=Y")</f>
        <v>0</v>
      </c>
      <c r="N28" s="13">
        <f>_xll.BDH("SRPT US Equity","XO_GL_NET_OF_TAX","FQ1 2022","FQ1 2022","Currency=USD","Period=FQ","BEST_FPERIOD_OVERRIDE=FQ","FILING_STATUS=MR","SCALING_FORMAT=MLN","Sort=A","Dates=H","DateFormat=P","Fill=—","Direction=H","UseDPDF=Y")</f>
        <v>0</v>
      </c>
      <c r="O28" s="13">
        <f>_xll.BDH("SRPT US Equity","XO_GL_NET_OF_TAX","FQ2 2022","FQ2 2022","Currency=USD","Period=FQ","BEST_FPERIOD_OVERRIDE=FQ","FILING_STATUS=MR","SCALING_FORMAT=MLN","Sort=A","Dates=H","DateFormat=P","Fill=—","Direction=H","UseDPDF=Y")</f>
        <v>0</v>
      </c>
      <c r="P28" s="13">
        <f>_xll.BDH("SRPT US Equity","XO_GL_NET_OF_TAX","FQ3 2022","FQ3 2022","Currency=USD","Period=FQ","BEST_FPERIOD_OVERRIDE=FQ","FILING_STATUS=MR","SCALING_FORMAT=MLN","Sort=A","Dates=H","DateFormat=P","Fill=—","Direction=H","UseDPDF=Y")</f>
        <v>0</v>
      </c>
      <c r="Q28" s="13">
        <f>_xll.BDH("SRPT US Equity","XO_GL_NET_OF_TAX","FQ4 2022","FQ4 2022","Currency=USD","Period=FQ","BEST_FPERIOD_OVERRIDE=FQ","FILING_STATUS=MR","SCALING_FORMAT=MLN","Sort=A","Dates=H","DateFormat=P","Fill=—","Direction=H","UseDPDF=Y")</f>
        <v>0</v>
      </c>
      <c r="R28" s="13">
        <f>_xll.BDH("SRPT US Equity","XO_GL_NET_OF_TAX","FQ1 2023","FQ1 2023","Currency=USD","Period=FQ","BEST_FPERIOD_OVERRIDE=FQ","FILING_STATUS=MR","SCALING_FORMAT=MLN","Sort=A","Dates=H","DateFormat=P","Fill=—","Direction=H","UseDPDF=Y")</f>
        <v>0</v>
      </c>
      <c r="S28" s="13">
        <f>_xll.BDH("SRPT US Equity","XO_GL_NET_OF_TAX","FQ2 2023","FQ2 2023","Currency=USD","Period=FQ","BEST_FPERIOD_OVERRIDE=FQ","FILING_STATUS=MR","SCALING_FORMAT=MLN","Sort=A","Dates=H","DateFormat=P","Fill=—","Direction=H","UseDPDF=Y")</f>
        <v>0</v>
      </c>
      <c r="T28" s="13">
        <f>_xll.BDH("SRPT US Equity","XO_GL_NET_OF_TAX","FQ3 2023","FQ3 2023","Currency=USD","Period=FQ","BEST_FPERIOD_OVERRIDE=FQ","FILING_STATUS=MR","SCALING_FORMAT=MLN","Sort=A","Dates=H","DateFormat=P","Fill=—","Direction=H","UseDPDF=Y")</f>
        <v>0</v>
      </c>
      <c r="U28" s="13">
        <f>_xll.BDH("SRPT US Equity","XO_GL_NET_OF_TAX","FQ4 2023","FQ4 2023","Currency=USD","Period=FQ","BEST_FPERIOD_OVERRIDE=FQ","FILING_STATUS=MR","SCALING_FORMAT=MLN","Sort=A","Dates=H","DateFormat=P","Fill=—","Direction=H","UseDPDF=Y")</f>
        <v>0</v>
      </c>
      <c r="V28" s="13">
        <f>_xll.BDH("SRPT US Equity","XO_GL_NET_OF_TAX","FQ1 2024","FQ1 2024","Currency=USD","Period=FQ","BEST_FPERIOD_OVERRIDE=FQ","FILING_STATUS=MR","SCALING_FORMAT=MLN","Sort=A","Dates=H","DateFormat=P","Fill=—","Direction=H","UseDPDF=Y")</f>
        <v>0</v>
      </c>
      <c r="W28" s="13">
        <f>_xll.BDH("SRPT US Equity","XO_GL_NET_OF_TAX","FQ2 2024","FQ2 2024","Currency=USD","Period=FQ","BEST_FPERIOD_OVERRIDE=FQ","FILING_STATUS=MR","SCALING_FORMAT=MLN","Sort=A","Dates=H","DateFormat=P","Fill=—","Direction=H","UseDPDF=Y")</f>
        <v>0</v>
      </c>
      <c r="X28" s="13">
        <f>_xll.BDH("SRPT US Equity","XO_GL_NET_OF_TAX","FQ3 2024","FQ3 2024","Currency=USD","Period=FQ","BEST_FPERIOD_OVERRIDE=FQ","FILING_STATUS=MR","SCALING_FORMAT=MLN","Sort=A","Dates=H","DateFormat=P","Fill=—","Direction=H","UseDPDF=Y")</f>
        <v>0</v>
      </c>
      <c r="Y28" s="13">
        <f>_xll.BDH("SRPT US Equity","XO_GL_NET_OF_TAX","FQ4 2024","FQ4 2024","Currency=USD","Period=FQ","BEST_FPERIOD_OVERRIDE=FQ","FILING_STATUS=MR","SCALING_FORMAT=MLN","Sort=A","Dates=H","DateFormat=P","Fill=—","Direction=H","UseDPDF=Y")</f>
        <v>0</v>
      </c>
      <c r="Z28" s="13"/>
      <c r="AA28" s="13"/>
    </row>
    <row r="29" spans="1:27" x14ac:dyDescent="0.25">
      <c r="A29" s="10" t="s">
        <v>372</v>
      </c>
      <c r="B29" s="10" t="s">
        <v>373</v>
      </c>
      <c r="C29" s="13">
        <f>_xll.BDH("SRPT US Equity","IS_DISCONTINUED_OPERATIONS","FQ2 2019","FQ2 2019","Currency=USD","Period=FQ","BEST_FPERIOD_OVERRIDE=FQ","FILING_STATUS=MR","SCALING_FORMAT=MLN","Sort=A","Dates=H","DateFormat=P","Fill=—","Direction=H","UseDPDF=Y")</f>
        <v>0</v>
      </c>
      <c r="D29" s="13">
        <f>_xll.BDH("SRPT US Equity","IS_DISCONTINUED_OPERATIONS","FQ3 2019","FQ3 2019","Currency=USD","Period=FQ","BEST_FPERIOD_OVERRIDE=FQ","FILING_STATUS=MR","SCALING_FORMAT=MLN","Sort=A","Dates=H","DateFormat=P","Fill=—","Direction=H","UseDPDF=Y")</f>
        <v>0</v>
      </c>
      <c r="E29" s="13">
        <f>_xll.BDH("SRPT US Equity","IS_DISCONTINUED_OPERATIONS","FQ4 2019","FQ4 2019","Currency=USD","Period=FQ","BEST_FPERIOD_OVERRIDE=FQ","FILING_STATUS=MR","SCALING_FORMAT=MLN","Sort=A","Dates=H","DateFormat=P","Fill=—","Direction=H","UseDPDF=Y")</f>
        <v>0</v>
      </c>
      <c r="F29" s="13">
        <f>_xll.BDH("SRPT US Equity","IS_DISCONTINUED_OPERATIONS","FQ1 2020","FQ1 2020","Currency=USD","Period=FQ","BEST_FPERIOD_OVERRIDE=FQ","FILING_STATUS=MR","SCALING_FORMAT=MLN","Sort=A","Dates=H","DateFormat=P","Fill=—","Direction=H","UseDPDF=Y")</f>
        <v>0</v>
      </c>
      <c r="G29" s="13">
        <f>_xll.BDH("SRPT US Equity","IS_DISCONTINUED_OPERATIONS","FQ2 2020","FQ2 2020","Currency=USD","Period=FQ","BEST_FPERIOD_OVERRIDE=FQ","FILING_STATUS=MR","SCALING_FORMAT=MLN","Sort=A","Dates=H","DateFormat=P","Fill=—","Direction=H","UseDPDF=Y")</f>
        <v>0</v>
      </c>
      <c r="H29" s="13">
        <f>_xll.BDH("SRPT US Equity","IS_DISCONTINUED_OPERATIONS","FQ3 2020","FQ3 2020","Currency=USD","Period=FQ","BEST_FPERIOD_OVERRIDE=FQ","FILING_STATUS=MR","SCALING_FORMAT=MLN","Sort=A","Dates=H","DateFormat=P","Fill=—","Direction=H","UseDPDF=Y")</f>
        <v>0</v>
      </c>
      <c r="I29" s="13">
        <f>_xll.BDH("SRPT US Equity","IS_DISCONTINUED_OPERATIONS","FQ4 2020","FQ4 2020","Currency=USD","Period=FQ","BEST_FPERIOD_OVERRIDE=FQ","FILING_STATUS=MR","SCALING_FORMAT=MLN","Sort=A","Dates=H","DateFormat=P","Fill=—","Direction=H","UseDPDF=Y")</f>
        <v>0</v>
      </c>
      <c r="J29" s="13">
        <f>_xll.BDH("SRPT US Equity","IS_DISCONTINUED_OPERATIONS","FQ1 2021","FQ1 2021","Currency=USD","Period=FQ","BEST_FPERIOD_OVERRIDE=FQ","FILING_STATUS=MR","SCALING_FORMAT=MLN","Sort=A","Dates=H","DateFormat=P","Fill=—","Direction=H","UseDPDF=Y")</f>
        <v>0</v>
      </c>
      <c r="K29" s="13">
        <f>_xll.BDH("SRPT US Equity","IS_DISCONTINUED_OPERATIONS","FQ2 2021","FQ2 2021","Currency=USD","Period=FQ","BEST_FPERIOD_OVERRIDE=FQ","FILING_STATUS=MR","SCALING_FORMAT=MLN","Sort=A","Dates=H","DateFormat=P","Fill=—","Direction=H","UseDPDF=Y")</f>
        <v>0</v>
      </c>
      <c r="L29" s="13">
        <f>_xll.BDH("SRPT US Equity","IS_DISCONTINUED_OPERATIONS","FQ3 2021","FQ3 2021","Currency=USD","Period=FQ","BEST_FPERIOD_OVERRIDE=FQ","FILING_STATUS=MR","SCALING_FORMAT=MLN","Sort=A","Dates=H","DateFormat=P","Fill=—","Direction=H","UseDPDF=Y")</f>
        <v>0</v>
      </c>
      <c r="M29" s="13">
        <f>_xll.BDH("SRPT US Equity","IS_DISCONTINUED_OPERATIONS","FQ4 2021","FQ4 2021","Currency=USD","Period=FQ","BEST_FPERIOD_OVERRIDE=FQ","FILING_STATUS=MR","SCALING_FORMAT=MLN","Sort=A","Dates=H","DateFormat=P","Fill=—","Direction=H","UseDPDF=Y")</f>
        <v>0</v>
      </c>
      <c r="N29" s="13">
        <f>_xll.BDH("SRPT US Equity","IS_DISCONTINUED_OPERATIONS","FQ1 2022","FQ1 2022","Currency=USD","Period=FQ","BEST_FPERIOD_OVERRIDE=FQ","FILING_STATUS=MR","SCALING_FORMAT=MLN","Sort=A","Dates=H","DateFormat=P","Fill=—","Direction=H","UseDPDF=Y")</f>
        <v>0</v>
      </c>
      <c r="O29" s="13">
        <f>_xll.BDH("SRPT US Equity","IS_DISCONTINUED_OPERATIONS","FQ2 2022","FQ2 2022","Currency=USD","Period=FQ","BEST_FPERIOD_OVERRIDE=FQ","FILING_STATUS=MR","SCALING_FORMAT=MLN","Sort=A","Dates=H","DateFormat=P","Fill=—","Direction=H","UseDPDF=Y")</f>
        <v>0</v>
      </c>
      <c r="P29" s="13">
        <f>_xll.BDH("SRPT US Equity","IS_DISCONTINUED_OPERATIONS","FQ3 2022","FQ3 2022","Currency=USD","Period=FQ","BEST_FPERIOD_OVERRIDE=FQ","FILING_STATUS=MR","SCALING_FORMAT=MLN","Sort=A","Dates=H","DateFormat=P","Fill=—","Direction=H","UseDPDF=Y")</f>
        <v>0</v>
      </c>
      <c r="Q29" s="13">
        <f>_xll.BDH("SRPT US Equity","IS_DISCONTINUED_OPERATIONS","FQ4 2022","FQ4 2022","Currency=USD","Period=FQ","BEST_FPERIOD_OVERRIDE=FQ","FILING_STATUS=MR","SCALING_FORMAT=MLN","Sort=A","Dates=H","DateFormat=P","Fill=—","Direction=H","UseDPDF=Y")</f>
        <v>0</v>
      </c>
      <c r="R29" s="13">
        <f>_xll.BDH("SRPT US Equity","IS_DISCONTINUED_OPERATIONS","FQ1 2023","FQ1 2023","Currency=USD","Period=FQ","BEST_FPERIOD_OVERRIDE=FQ","FILING_STATUS=MR","SCALING_FORMAT=MLN","Sort=A","Dates=H","DateFormat=P","Fill=—","Direction=H","UseDPDF=Y")</f>
        <v>0</v>
      </c>
      <c r="S29" s="13">
        <f>_xll.BDH("SRPT US Equity","IS_DISCONTINUED_OPERATIONS","FQ2 2023","FQ2 2023","Currency=USD","Period=FQ","BEST_FPERIOD_OVERRIDE=FQ","FILING_STATUS=MR","SCALING_FORMAT=MLN","Sort=A","Dates=H","DateFormat=P","Fill=—","Direction=H","UseDPDF=Y")</f>
        <v>0</v>
      </c>
      <c r="T29" s="13">
        <f>_xll.BDH("SRPT US Equity","IS_DISCONTINUED_OPERATIONS","FQ3 2023","FQ3 2023","Currency=USD","Period=FQ","BEST_FPERIOD_OVERRIDE=FQ","FILING_STATUS=MR","SCALING_FORMAT=MLN","Sort=A","Dates=H","DateFormat=P","Fill=—","Direction=H","UseDPDF=Y")</f>
        <v>0</v>
      </c>
      <c r="U29" s="13">
        <f>_xll.BDH("SRPT US Equity","IS_DISCONTINUED_OPERATIONS","FQ4 2023","FQ4 2023","Currency=USD","Period=FQ","BEST_FPERIOD_OVERRIDE=FQ","FILING_STATUS=MR","SCALING_FORMAT=MLN","Sort=A","Dates=H","DateFormat=P","Fill=—","Direction=H","UseDPDF=Y")</f>
        <v>0</v>
      </c>
      <c r="V29" s="13">
        <f>_xll.BDH("SRPT US Equity","IS_DISCONTINUED_OPERATIONS","FQ1 2024","FQ1 2024","Currency=USD","Period=FQ","BEST_FPERIOD_OVERRIDE=FQ","FILING_STATUS=MR","SCALING_FORMAT=MLN","Sort=A","Dates=H","DateFormat=P","Fill=—","Direction=H","UseDPDF=Y")</f>
        <v>0</v>
      </c>
      <c r="W29" s="13">
        <f>_xll.BDH("SRPT US Equity","IS_DISCONTINUED_OPERATIONS","FQ2 2024","FQ2 2024","Currency=USD","Period=FQ","BEST_FPERIOD_OVERRIDE=FQ","FILING_STATUS=MR","SCALING_FORMAT=MLN","Sort=A","Dates=H","DateFormat=P","Fill=—","Direction=H","UseDPDF=Y")</f>
        <v>0</v>
      </c>
      <c r="X29" s="13">
        <f>_xll.BDH("SRPT US Equity","IS_DISCONTINUED_OPERATIONS","FQ3 2024","FQ3 2024","Currency=USD","Period=FQ","BEST_FPERIOD_OVERRIDE=FQ","FILING_STATUS=MR","SCALING_FORMAT=MLN","Sort=A","Dates=H","DateFormat=P","Fill=—","Direction=H","UseDPDF=Y")</f>
        <v>0</v>
      </c>
      <c r="Y29" s="13">
        <f>_xll.BDH("SRPT US Equity","IS_DISCONTINUED_OPERATIONS","FQ4 2024","FQ4 2024","Currency=USD","Period=FQ","BEST_FPERIOD_OVERRIDE=FQ","FILING_STATUS=MR","SCALING_FORMAT=MLN","Sort=A","Dates=H","DateFormat=P","Fill=—","Direction=H","UseDPDF=Y")</f>
        <v>0</v>
      </c>
      <c r="Z29" s="13"/>
      <c r="AA29" s="13"/>
    </row>
    <row r="30" spans="1:27" x14ac:dyDescent="0.25">
      <c r="A30" s="10" t="s">
        <v>374</v>
      </c>
      <c r="B30" s="10" t="s">
        <v>375</v>
      </c>
      <c r="C30" s="13">
        <f>_xll.BDH("SRPT US Equity","EXTRAORD_ITEMS_ACCOUNTING_CHANGS","FQ2 2019","FQ2 2019","Currency=USD","Period=FQ","BEST_FPERIOD_OVERRIDE=FQ","FILING_STATUS=MR","SCALING_FORMAT=MLN","Sort=A","Dates=H","DateFormat=P","Fill=—","Direction=H","UseDPDF=Y")</f>
        <v>0</v>
      </c>
      <c r="D30" s="13">
        <f>_xll.BDH("SRPT US Equity","EXTRAORD_ITEMS_ACCOUNTING_CHANGS","FQ3 2019","FQ3 2019","Currency=USD","Period=FQ","BEST_FPERIOD_OVERRIDE=FQ","FILING_STATUS=MR","SCALING_FORMAT=MLN","Sort=A","Dates=H","DateFormat=P","Fill=—","Direction=H","UseDPDF=Y")</f>
        <v>0</v>
      </c>
      <c r="E30" s="13">
        <f>_xll.BDH("SRPT US Equity","EXTRAORD_ITEMS_ACCOUNTING_CHANGS","FQ4 2019","FQ4 2019","Currency=USD","Period=FQ","BEST_FPERIOD_OVERRIDE=FQ","FILING_STATUS=MR","SCALING_FORMAT=MLN","Sort=A","Dates=H","DateFormat=P","Fill=—","Direction=H","UseDPDF=Y")</f>
        <v>0</v>
      </c>
      <c r="F30" s="13">
        <f>_xll.BDH("SRPT US Equity","EXTRAORD_ITEMS_ACCOUNTING_CHANGS","FQ1 2020","FQ1 2020","Currency=USD","Period=FQ","BEST_FPERIOD_OVERRIDE=FQ","FILING_STATUS=MR","SCALING_FORMAT=MLN","Sort=A","Dates=H","DateFormat=P","Fill=—","Direction=H","UseDPDF=Y")</f>
        <v>0</v>
      </c>
      <c r="G30" s="13">
        <f>_xll.BDH("SRPT US Equity","EXTRAORD_ITEMS_ACCOUNTING_CHANGS","FQ2 2020","FQ2 2020","Currency=USD","Period=FQ","BEST_FPERIOD_OVERRIDE=FQ","FILING_STATUS=MR","SCALING_FORMAT=MLN","Sort=A","Dates=H","DateFormat=P","Fill=—","Direction=H","UseDPDF=Y")</f>
        <v>0</v>
      </c>
      <c r="H30" s="13">
        <f>_xll.BDH("SRPT US Equity","EXTRAORD_ITEMS_ACCOUNTING_CHANGS","FQ3 2020","FQ3 2020","Currency=USD","Period=FQ","BEST_FPERIOD_OVERRIDE=FQ","FILING_STATUS=MR","SCALING_FORMAT=MLN","Sort=A","Dates=H","DateFormat=P","Fill=—","Direction=H","UseDPDF=Y")</f>
        <v>0</v>
      </c>
      <c r="I30" s="13">
        <f>_xll.BDH("SRPT US Equity","EXTRAORD_ITEMS_ACCOUNTING_CHANGS","FQ4 2020","FQ4 2020","Currency=USD","Period=FQ","BEST_FPERIOD_OVERRIDE=FQ","FILING_STATUS=MR","SCALING_FORMAT=MLN","Sort=A","Dates=H","DateFormat=P","Fill=—","Direction=H","UseDPDF=Y")</f>
        <v>0</v>
      </c>
      <c r="J30" s="13">
        <f>_xll.BDH("SRPT US Equity","EXTRAORD_ITEMS_ACCOUNTING_CHANGS","FQ1 2021","FQ1 2021","Currency=USD","Period=FQ","BEST_FPERIOD_OVERRIDE=FQ","FILING_STATUS=MR","SCALING_FORMAT=MLN","Sort=A","Dates=H","DateFormat=P","Fill=—","Direction=H","UseDPDF=Y")</f>
        <v>0</v>
      </c>
      <c r="K30" s="13">
        <f>_xll.BDH("SRPT US Equity","EXTRAORD_ITEMS_ACCOUNTING_CHANGS","FQ2 2021","FQ2 2021","Currency=USD","Period=FQ","BEST_FPERIOD_OVERRIDE=FQ","FILING_STATUS=MR","SCALING_FORMAT=MLN","Sort=A","Dates=H","DateFormat=P","Fill=—","Direction=H","UseDPDF=Y")</f>
        <v>0</v>
      </c>
      <c r="L30" s="13">
        <f>_xll.BDH("SRPT US Equity","EXTRAORD_ITEMS_ACCOUNTING_CHANGS","FQ3 2021","FQ3 2021","Currency=USD","Period=FQ","BEST_FPERIOD_OVERRIDE=FQ","FILING_STATUS=MR","SCALING_FORMAT=MLN","Sort=A","Dates=H","DateFormat=P","Fill=—","Direction=H","UseDPDF=Y")</f>
        <v>0</v>
      </c>
      <c r="M30" s="13">
        <f>_xll.BDH("SRPT US Equity","EXTRAORD_ITEMS_ACCOUNTING_CHANGS","FQ4 2021","FQ4 2021","Currency=USD","Period=FQ","BEST_FPERIOD_OVERRIDE=FQ","FILING_STATUS=MR","SCALING_FORMAT=MLN","Sort=A","Dates=H","DateFormat=P","Fill=—","Direction=H","UseDPDF=Y")</f>
        <v>0</v>
      </c>
      <c r="N30" s="13">
        <f>_xll.BDH("SRPT US Equity","EXTRAORD_ITEMS_ACCOUNTING_CHANGS","FQ1 2022","FQ1 2022","Currency=USD","Period=FQ","BEST_FPERIOD_OVERRIDE=FQ","FILING_STATUS=MR","SCALING_FORMAT=MLN","Sort=A","Dates=H","DateFormat=P","Fill=—","Direction=H","UseDPDF=Y")</f>
        <v>0</v>
      </c>
      <c r="O30" s="13">
        <f>_xll.BDH("SRPT US Equity","EXTRAORD_ITEMS_ACCOUNTING_CHANGS","FQ2 2022","FQ2 2022","Currency=USD","Period=FQ","BEST_FPERIOD_OVERRIDE=FQ","FILING_STATUS=MR","SCALING_FORMAT=MLN","Sort=A","Dates=H","DateFormat=P","Fill=—","Direction=H","UseDPDF=Y")</f>
        <v>0</v>
      </c>
      <c r="P30" s="13">
        <f>_xll.BDH("SRPT US Equity","EXTRAORD_ITEMS_ACCOUNTING_CHANGS","FQ3 2022","FQ3 2022","Currency=USD","Period=FQ","BEST_FPERIOD_OVERRIDE=FQ","FILING_STATUS=MR","SCALING_FORMAT=MLN","Sort=A","Dates=H","DateFormat=P","Fill=—","Direction=H","UseDPDF=Y")</f>
        <v>0</v>
      </c>
      <c r="Q30" s="13">
        <f>_xll.BDH("SRPT US Equity","EXTRAORD_ITEMS_ACCOUNTING_CHANGS","FQ4 2022","FQ4 2022","Currency=USD","Period=FQ","BEST_FPERIOD_OVERRIDE=FQ","FILING_STATUS=MR","SCALING_FORMAT=MLN","Sort=A","Dates=H","DateFormat=P","Fill=—","Direction=H","UseDPDF=Y")</f>
        <v>0</v>
      </c>
      <c r="R30" s="13">
        <f>_xll.BDH("SRPT US Equity","EXTRAORD_ITEMS_ACCOUNTING_CHANGS","FQ1 2023","FQ1 2023","Currency=USD","Period=FQ","BEST_FPERIOD_OVERRIDE=FQ","FILING_STATUS=MR","SCALING_FORMAT=MLN","Sort=A","Dates=H","DateFormat=P","Fill=—","Direction=H","UseDPDF=Y")</f>
        <v>0</v>
      </c>
      <c r="S30" s="13">
        <f>_xll.BDH("SRPT US Equity","EXTRAORD_ITEMS_ACCOUNTING_CHANGS","FQ2 2023","FQ2 2023","Currency=USD","Period=FQ","BEST_FPERIOD_OVERRIDE=FQ","FILING_STATUS=MR","SCALING_FORMAT=MLN","Sort=A","Dates=H","DateFormat=P","Fill=—","Direction=H","UseDPDF=Y")</f>
        <v>0</v>
      </c>
      <c r="T30" s="13">
        <f>_xll.BDH("SRPT US Equity","EXTRAORD_ITEMS_ACCOUNTING_CHANGS","FQ3 2023","FQ3 2023","Currency=USD","Period=FQ","BEST_FPERIOD_OVERRIDE=FQ","FILING_STATUS=MR","SCALING_FORMAT=MLN","Sort=A","Dates=H","DateFormat=P","Fill=—","Direction=H","UseDPDF=Y")</f>
        <v>0</v>
      </c>
      <c r="U30" s="13">
        <f>_xll.BDH("SRPT US Equity","EXTRAORD_ITEMS_ACCOUNTING_CHANGS","FQ4 2023","FQ4 2023","Currency=USD","Period=FQ","BEST_FPERIOD_OVERRIDE=FQ","FILING_STATUS=MR","SCALING_FORMAT=MLN","Sort=A","Dates=H","DateFormat=P","Fill=—","Direction=H","UseDPDF=Y")</f>
        <v>0</v>
      </c>
      <c r="V30" s="13">
        <f>_xll.BDH("SRPT US Equity","EXTRAORD_ITEMS_ACCOUNTING_CHANGS","FQ1 2024","FQ1 2024","Currency=USD","Period=FQ","BEST_FPERIOD_OVERRIDE=FQ","FILING_STATUS=MR","SCALING_FORMAT=MLN","Sort=A","Dates=H","DateFormat=P","Fill=—","Direction=H","UseDPDF=Y")</f>
        <v>0</v>
      </c>
      <c r="W30" s="13">
        <f>_xll.BDH("SRPT US Equity","EXTRAORD_ITEMS_ACCOUNTING_CHANGS","FQ2 2024","FQ2 2024","Currency=USD","Period=FQ","BEST_FPERIOD_OVERRIDE=FQ","FILING_STATUS=MR","SCALING_FORMAT=MLN","Sort=A","Dates=H","DateFormat=P","Fill=—","Direction=H","UseDPDF=Y")</f>
        <v>0</v>
      </c>
      <c r="X30" s="13">
        <f>_xll.BDH("SRPT US Equity","EXTRAORD_ITEMS_ACCOUNTING_CHANGS","FQ3 2024","FQ3 2024","Currency=USD","Period=FQ","BEST_FPERIOD_OVERRIDE=FQ","FILING_STATUS=MR","SCALING_FORMAT=MLN","Sort=A","Dates=H","DateFormat=P","Fill=—","Direction=H","UseDPDF=Y")</f>
        <v>0</v>
      </c>
      <c r="Y30" s="13">
        <f>_xll.BDH("SRPT US Equity","EXTRAORD_ITEMS_ACCOUNTING_CHANGS","FQ4 2024","FQ4 2024","Currency=USD","Period=FQ","BEST_FPERIOD_OVERRIDE=FQ","FILING_STATUS=MR","SCALING_FORMAT=MLN","Sort=A","Dates=H","DateFormat=P","Fill=—","Direction=H","UseDPDF=Y")</f>
        <v>0</v>
      </c>
      <c r="Z30" s="13"/>
      <c r="AA30" s="13"/>
    </row>
    <row r="31" spans="1:27" x14ac:dyDescent="0.25">
      <c r="A31" s="6" t="s">
        <v>376</v>
      </c>
      <c r="B31" s="6" t="s">
        <v>377</v>
      </c>
      <c r="C31" s="19">
        <f>_xll.BDH("SRPT US Equity","NI_INCLUDING_MINORITY_INT_RATIO","FQ2 2019","FQ2 2019","Currency=USD","Period=FQ","BEST_FPERIOD_OVERRIDE=FQ","FILING_STATUS=MR","SCALING_FORMAT=MLN","FA_ADJUSTED=GAAP","Sort=A","Dates=H","DateFormat=P","Fill=—","Direction=H","UseDPDF=Y")</f>
        <v>-276.40300000000002</v>
      </c>
      <c r="D31" s="19">
        <f>_xll.BDH("SRPT US Equity","NI_INCLUDING_MINORITY_INT_RATIO","FQ3 2019","FQ3 2019","Currency=USD","Period=FQ","BEST_FPERIOD_OVERRIDE=FQ","FILING_STATUS=MR","SCALING_FORMAT=MLN","FA_ADJUSTED=GAAP","Sort=A","Dates=H","DateFormat=P","Fill=—","Direction=H","UseDPDF=Y")</f>
        <v>-126.32599999999999</v>
      </c>
      <c r="E31" s="19">
        <f>_xll.BDH("SRPT US Equity","NI_INCLUDING_MINORITY_INT_RATIO","FQ4 2019","FQ4 2019","Currency=USD","Period=FQ","BEST_FPERIOD_OVERRIDE=FQ","FILING_STATUS=MR","SCALING_FORMAT=MLN","FA_ADJUSTED=GAAP","Sort=A","Dates=H","DateFormat=P","Fill=—","Direction=H","UseDPDF=Y")</f>
        <v>-235.703</v>
      </c>
      <c r="F31" s="19">
        <f>_xll.BDH("SRPT US Equity","NI_INCLUDING_MINORITY_INT_RATIO","FQ1 2020","FQ1 2020","Currency=USD","Period=FQ","BEST_FPERIOD_OVERRIDE=FQ","FILING_STATUS=MR","SCALING_FORMAT=MLN","FA_ADJUSTED=GAAP","Sort=A","Dates=H","DateFormat=P","Fill=—","Direction=H","UseDPDF=Y")</f>
        <v>-17.492000000000001</v>
      </c>
      <c r="G31" s="19">
        <f>_xll.BDH("SRPT US Equity","NI_INCLUDING_MINORITY_INT_RATIO","FQ2 2020","FQ2 2020","Currency=USD","Period=FQ","BEST_FPERIOD_OVERRIDE=FQ","FILING_STATUS=MR","SCALING_FORMAT=MLN","FA_ADJUSTED=GAAP","Sort=A","Dates=H","DateFormat=P","Fill=—","Direction=H","UseDPDF=Y")</f>
        <v>-150.82</v>
      </c>
      <c r="H31" s="19">
        <f>_xll.BDH("SRPT US Equity","NI_INCLUDING_MINORITY_INT_RATIO","FQ3 2020","FQ3 2020","Currency=USD","Period=FQ","BEST_FPERIOD_OVERRIDE=FQ","FILING_STATUS=MR","SCALING_FORMAT=MLN","FA_ADJUSTED=GAAP","Sort=A","Dates=H","DateFormat=P","Fill=—","Direction=H","UseDPDF=Y")</f>
        <v>-196.499</v>
      </c>
      <c r="I31" s="19">
        <f>_xll.BDH("SRPT US Equity","NI_INCLUDING_MINORITY_INT_RATIO","FQ4 2020","FQ4 2020","Currency=USD","Period=FQ","BEST_FPERIOD_OVERRIDE=FQ","FILING_STATUS=MR","SCALING_FORMAT=MLN","FA_ADJUSTED=GAAP","Sort=A","Dates=H","DateFormat=P","Fill=—","Direction=H","UseDPDF=Y")</f>
        <v>-189.31700000000001</v>
      </c>
      <c r="J31" s="19">
        <f>_xll.BDH("SRPT US Equity","NI_INCLUDING_MINORITY_INT_RATIO","FQ1 2021","FQ1 2021","Currency=USD","Period=FQ","BEST_FPERIOD_OVERRIDE=FQ","FILING_STATUS=MR","SCALING_FORMAT=MLN","FA_ADJUSTED=GAAP","Sort=A","Dates=H","DateFormat=P","Fill=—","Direction=H","UseDPDF=Y")</f>
        <v>-167.25</v>
      </c>
      <c r="K31" s="19">
        <f>_xll.BDH("SRPT US Equity","NI_INCLUDING_MINORITY_INT_RATIO","FQ2 2021","FQ2 2021","Currency=USD","Period=FQ","BEST_FPERIOD_OVERRIDE=FQ","FILING_STATUS=MR","SCALING_FORMAT=MLN","FA_ADJUSTED=GAAP","Sort=A","Dates=H","DateFormat=P","Fill=—","Direction=H","UseDPDF=Y")</f>
        <v>-81.405000000000001</v>
      </c>
      <c r="L31" s="19">
        <f>_xll.BDH("SRPT US Equity","NI_INCLUDING_MINORITY_INT_RATIO","FQ3 2021","FQ3 2021","Currency=USD","Period=FQ","BEST_FPERIOD_OVERRIDE=FQ","FILING_STATUS=MR","SCALING_FORMAT=MLN","FA_ADJUSTED=GAAP","Sort=A","Dates=H","DateFormat=P","Fill=—","Direction=H","UseDPDF=Y")</f>
        <v>-48.143999999999998</v>
      </c>
      <c r="M31" s="19">
        <f>_xll.BDH("SRPT US Equity","NI_INCLUDING_MINORITY_INT_RATIO","FQ4 2021","FQ4 2021","Currency=USD","Period=FQ","BEST_FPERIOD_OVERRIDE=FQ","FILING_STATUS=MR","SCALING_FORMAT=MLN","FA_ADJUSTED=GAAP","Sort=A","Dates=H","DateFormat=P","Fill=—","Direction=H","UseDPDF=Y")</f>
        <v>-121.98099999999999</v>
      </c>
      <c r="N31" s="19">
        <f>_xll.BDH("SRPT US Equity","NI_INCLUDING_MINORITY_INT_RATIO","FQ1 2022","FQ1 2022","Currency=USD","Period=FQ","BEST_FPERIOD_OVERRIDE=FQ","FILING_STATUS=MR","SCALING_FORMAT=MLN","FA_ADJUSTED=GAAP","Sort=A","Dates=H","DateFormat=P","Fill=—","Direction=H","UseDPDF=Y")</f>
        <v>-105.02500000000001</v>
      </c>
      <c r="O31" s="19">
        <f>_xll.BDH("SRPT US Equity","NI_INCLUDING_MINORITY_INT_RATIO","FQ2 2022","FQ2 2022","Currency=USD","Period=FQ","BEST_FPERIOD_OVERRIDE=FQ","FILING_STATUS=MR","SCALING_FORMAT=MLN","FA_ADJUSTED=GAAP","Sort=A","Dates=H","DateFormat=P","Fill=—","Direction=H","UseDPDF=Y")</f>
        <v>-231.48099999999999</v>
      </c>
      <c r="P31" s="19">
        <f>_xll.BDH("SRPT US Equity","NI_INCLUDING_MINORITY_INT_RATIO","FQ3 2022","FQ3 2022","Currency=USD","Period=FQ","BEST_FPERIOD_OVERRIDE=FQ","FILING_STATUS=MR","SCALING_FORMAT=MLN","FA_ADJUSTED=GAAP","Sort=A","Dates=H","DateFormat=P","Fill=—","Direction=H","UseDPDF=Y")</f>
        <v>-257.738</v>
      </c>
      <c r="Q31" s="19">
        <f>_xll.BDH("SRPT US Equity","NI_INCLUDING_MINORITY_INT_RATIO","FQ4 2022","FQ4 2022","Currency=USD","Period=FQ","BEST_FPERIOD_OVERRIDE=FQ","FILING_STATUS=MR","SCALING_FORMAT=MLN","FA_ADJUSTED=GAAP","Sort=A","Dates=H","DateFormat=P","Fill=—","Direction=H","UseDPDF=Y")</f>
        <v>-109.244</v>
      </c>
      <c r="R31" s="19">
        <f>_xll.BDH("SRPT US Equity","NI_INCLUDING_MINORITY_INT_RATIO","FQ1 2023","FQ1 2023","Currency=USD","Period=FQ","BEST_FPERIOD_OVERRIDE=FQ","FILING_STATUS=MR","SCALING_FORMAT=MLN","FA_ADJUSTED=GAAP","Sort=A","Dates=H","DateFormat=P","Fill=—","Direction=H","UseDPDF=Y")</f>
        <v>-516.755</v>
      </c>
      <c r="S31" s="19">
        <f>_xll.BDH("SRPT US Equity","NI_INCLUDING_MINORITY_INT_RATIO","FQ2 2023","FQ2 2023","Currency=USD","Period=FQ","BEST_FPERIOD_OVERRIDE=FQ","FILING_STATUS=MR","SCALING_FORMAT=MLN","FA_ADJUSTED=GAAP","Sort=A","Dates=H","DateFormat=P","Fill=—","Direction=H","UseDPDF=Y")</f>
        <v>-23.94</v>
      </c>
      <c r="T31" s="19">
        <f>_xll.BDH("SRPT US Equity","NI_INCLUDING_MINORITY_INT_RATIO","FQ3 2023","FQ3 2023","Currency=USD","Period=FQ","BEST_FPERIOD_OVERRIDE=FQ","FILING_STATUS=MR","SCALING_FORMAT=MLN","FA_ADJUSTED=GAAP","Sort=A","Dates=H","DateFormat=P","Fill=—","Direction=H","UseDPDF=Y")</f>
        <v>-40.936999999999998</v>
      </c>
      <c r="U31" s="19">
        <f>_xll.BDH("SRPT US Equity","NI_INCLUDING_MINORITY_INT_RATIO","FQ4 2023","FQ4 2023","Currency=USD","Period=FQ","BEST_FPERIOD_OVERRIDE=FQ","FILING_STATUS=MR","SCALING_FORMAT=MLN","FA_ADJUSTED=GAAP","Sort=A","Dates=H","DateFormat=P","Fill=—","Direction=H","UseDPDF=Y")</f>
        <v>45.655000000000001</v>
      </c>
      <c r="V31" s="19">
        <f>_xll.BDH("SRPT US Equity","NI_INCLUDING_MINORITY_INT_RATIO","FQ1 2024","FQ1 2024","Currency=USD","Period=FQ","BEST_FPERIOD_OVERRIDE=FQ","FILING_STATUS=MR","SCALING_FORMAT=MLN","FA_ADJUSTED=GAAP","Sort=A","Dates=H","DateFormat=P","Fill=—","Direction=H","UseDPDF=Y")</f>
        <v>36.119</v>
      </c>
      <c r="W31" s="19">
        <f>_xll.BDH("SRPT US Equity","NI_INCLUDING_MINORITY_INT_RATIO","FQ2 2024","FQ2 2024","Currency=USD","Period=FQ","BEST_FPERIOD_OVERRIDE=FQ","FILING_STATUS=MR","SCALING_FORMAT=MLN","FA_ADJUSTED=GAAP","Sort=A","Dates=H","DateFormat=P","Fill=—","Direction=H","UseDPDF=Y")</f>
        <v>6.46</v>
      </c>
      <c r="X31" s="19">
        <f>_xll.BDH("SRPT US Equity","NI_INCLUDING_MINORITY_INT_RATIO","FQ3 2024","FQ3 2024","Currency=USD","Period=FQ","BEST_FPERIOD_OVERRIDE=FQ","FILING_STATUS=MR","SCALING_FORMAT=MLN","FA_ADJUSTED=GAAP","Sort=A","Dates=H","DateFormat=P","Fill=—","Direction=H","UseDPDF=Y")</f>
        <v>33.610999999999997</v>
      </c>
      <c r="Y31" s="19">
        <f>_xll.BDH("SRPT US Equity","NI_INCLUDING_MINORITY_INT_RATIO","FQ4 2024","FQ4 2024","Currency=USD","Period=FQ","BEST_FPERIOD_OVERRIDE=FQ","FILING_STATUS=MR","SCALING_FORMAT=MLN","FA_ADJUSTED=GAAP","Sort=A","Dates=H","DateFormat=P","Fill=—","Direction=H","UseDPDF=Y")</f>
        <v>159.04900000000001</v>
      </c>
      <c r="Z31" s="19"/>
      <c r="AA31" s="19"/>
    </row>
    <row r="32" spans="1:27" x14ac:dyDescent="0.25">
      <c r="A32" s="10" t="s">
        <v>378</v>
      </c>
      <c r="B32" s="10" t="s">
        <v>379</v>
      </c>
      <c r="C32" s="13">
        <f>_xll.BDH("SRPT US Equity","MIN_NONCONTROL_INTEREST_CREDITS","FQ2 2019","FQ2 2019","Currency=USD","Period=FQ","BEST_FPERIOD_OVERRIDE=FQ","FILING_STATUS=MR","SCALING_FORMAT=MLN","FA_ADJUSTED=GAAP","Sort=A","Dates=H","DateFormat=P","Fill=—","Direction=H","UseDPDF=Y")</f>
        <v>0</v>
      </c>
      <c r="D32" s="13">
        <f>_xll.BDH("SRPT US Equity","MIN_NONCONTROL_INTEREST_CREDITS","FQ3 2019","FQ3 2019","Currency=USD","Period=FQ","BEST_FPERIOD_OVERRIDE=FQ","FILING_STATUS=MR","SCALING_FORMAT=MLN","FA_ADJUSTED=GAAP","Sort=A","Dates=H","DateFormat=P","Fill=—","Direction=H","UseDPDF=Y")</f>
        <v>0</v>
      </c>
      <c r="E32" s="13">
        <f>_xll.BDH("SRPT US Equity","MIN_NONCONTROL_INTEREST_CREDITS","FQ4 2019","FQ4 2019","Currency=USD","Period=FQ","BEST_FPERIOD_OVERRIDE=FQ","FILING_STATUS=MR","SCALING_FORMAT=MLN","FA_ADJUSTED=GAAP","Sort=A","Dates=H","DateFormat=P","Fill=—","Direction=H","UseDPDF=Y")</f>
        <v>0</v>
      </c>
      <c r="F32" s="13">
        <f>_xll.BDH("SRPT US Equity","MIN_NONCONTROL_INTEREST_CREDITS","FQ1 2020","FQ1 2020","Currency=USD","Period=FQ","BEST_FPERIOD_OVERRIDE=FQ","FILING_STATUS=MR","SCALING_FORMAT=MLN","FA_ADJUSTED=GAAP","Sort=A","Dates=H","DateFormat=P","Fill=—","Direction=H","UseDPDF=Y")</f>
        <v>0</v>
      </c>
      <c r="G32" s="13">
        <f>_xll.BDH("SRPT US Equity","MIN_NONCONTROL_INTEREST_CREDITS","FQ2 2020","FQ2 2020","Currency=USD","Period=FQ","BEST_FPERIOD_OVERRIDE=FQ","FILING_STATUS=MR","SCALING_FORMAT=MLN","FA_ADJUSTED=GAAP","Sort=A","Dates=H","DateFormat=P","Fill=—","Direction=H","UseDPDF=Y")</f>
        <v>0</v>
      </c>
      <c r="H32" s="13">
        <f>_xll.BDH("SRPT US Equity","MIN_NONCONTROL_INTEREST_CREDITS","FQ3 2020","FQ3 2020","Currency=USD","Period=FQ","BEST_FPERIOD_OVERRIDE=FQ","FILING_STATUS=MR","SCALING_FORMAT=MLN","FA_ADJUSTED=GAAP","Sort=A","Dates=H","DateFormat=P","Fill=—","Direction=H","UseDPDF=Y")</f>
        <v>0</v>
      </c>
      <c r="I32" s="13">
        <f>_xll.BDH("SRPT US Equity","MIN_NONCONTROL_INTEREST_CREDITS","FQ4 2020","FQ4 2020","Currency=USD","Period=FQ","BEST_FPERIOD_OVERRIDE=FQ","FILING_STATUS=MR","SCALING_FORMAT=MLN","FA_ADJUSTED=GAAP","Sort=A","Dates=H","DateFormat=P","Fill=—","Direction=H","UseDPDF=Y")</f>
        <v>0</v>
      </c>
      <c r="J32" s="13">
        <f>_xll.BDH("SRPT US Equity","MIN_NONCONTROL_INTEREST_CREDITS","FQ1 2021","FQ1 2021","Currency=USD","Period=FQ","BEST_FPERIOD_OVERRIDE=FQ","FILING_STATUS=MR","SCALING_FORMAT=MLN","FA_ADJUSTED=GAAP","Sort=A","Dates=H","DateFormat=P","Fill=—","Direction=H","UseDPDF=Y")</f>
        <v>0</v>
      </c>
      <c r="K32" s="13">
        <f>_xll.BDH("SRPT US Equity","MIN_NONCONTROL_INTEREST_CREDITS","FQ2 2021","FQ2 2021","Currency=USD","Period=FQ","BEST_FPERIOD_OVERRIDE=FQ","FILING_STATUS=MR","SCALING_FORMAT=MLN","FA_ADJUSTED=GAAP","Sort=A","Dates=H","DateFormat=P","Fill=—","Direction=H","UseDPDF=Y")</f>
        <v>0</v>
      </c>
      <c r="L32" s="13">
        <f>_xll.BDH("SRPT US Equity","MIN_NONCONTROL_INTEREST_CREDITS","FQ3 2021","FQ3 2021","Currency=USD","Period=FQ","BEST_FPERIOD_OVERRIDE=FQ","FILING_STATUS=MR","SCALING_FORMAT=MLN","FA_ADJUSTED=GAAP","Sort=A","Dates=H","DateFormat=P","Fill=—","Direction=H","UseDPDF=Y")</f>
        <v>0</v>
      </c>
      <c r="M32" s="13">
        <f>_xll.BDH("SRPT US Equity","MIN_NONCONTROL_INTEREST_CREDITS","FQ4 2021","FQ4 2021","Currency=USD","Period=FQ","BEST_FPERIOD_OVERRIDE=FQ","FILING_STATUS=MR","SCALING_FORMAT=MLN","FA_ADJUSTED=GAAP","Sort=A","Dates=H","DateFormat=P","Fill=—","Direction=H","UseDPDF=Y")</f>
        <v>0</v>
      </c>
      <c r="N32" s="13">
        <f>_xll.BDH("SRPT US Equity","MIN_NONCONTROL_INTEREST_CREDITS","FQ1 2022","FQ1 2022","Currency=USD","Period=FQ","BEST_FPERIOD_OVERRIDE=FQ","FILING_STATUS=MR","SCALING_FORMAT=MLN","FA_ADJUSTED=GAAP","Sort=A","Dates=H","DateFormat=P","Fill=—","Direction=H","UseDPDF=Y")</f>
        <v>0</v>
      </c>
      <c r="O32" s="13">
        <f>_xll.BDH("SRPT US Equity","MIN_NONCONTROL_INTEREST_CREDITS","FQ2 2022","FQ2 2022","Currency=USD","Period=FQ","BEST_FPERIOD_OVERRIDE=FQ","FILING_STATUS=MR","SCALING_FORMAT=MLN","FA_ADJUSTED=GAAP","Sort=A","Dates=H","DateFormat=P","Fill=—","Direction=H","UseDPDF=Y")</f>
        <v>0</v>
      </c>
      <c r="P32" s="13">
        <f>_xll.BDH("SRPT US Equity","MIN_NONCONTROL_INTEREST_CREDITS","FQ3 2022","FQ3 2022","Currency=USD","Period=FQ","BEST_FPERIOD_OVERRIDE=FQ","FILING_STATUS=MR","SCALING_FORMAT=MLN","FA_ADJUSTED=GAAP","Sort=A","Dates=H","DateFormat=P","Fill=—","Direction=H","UseDPDF=Y")</f>
        <v>0</v>
      </c>
      <c r="Q32" s="13">
        <f>_xll.BDH("SRPT US Equity","MIN_NONCONTROL_INTEREST_CREDITS","FQ4 2022","FQ4 2022","Currency=USD","Period=FQ","BEST_FPERIOD_OVERRIDE=FQ","FILING_STATUS=MR","SCALING_FORMAT=MLN","FA_ADJUSTED=GAAP","Sort=A","Dates=H","DateFormat=P","Fill=—","Direction=H","UseDPDF=Y")</f>
        <v>0</v>
      </c>
      <c r="R32" s="13">
        <f>_xll.BDH("SRPT US Equity","MIN_NONCONTROL_INTEREST_CREDITS","FQ1 2023","FQ1 2023","Currency=USD","Period=FQ","BEST_FPERIOD_OVERRIDE=FQ","FILING_STATUS=MR","SCALING_FORMAT=MLN","FA_ADJUSTED=GAAP","Sort=A","Dates=H","DateFormat=P","Fill=—","Direction=H","UseDPDF=Y")</f>
        <v>0</v>
      </c>
      <c r="S32" s="13">
        <f>_xll.BDH("SRPT US Equity","MIN_NONCONTROL_INTEREST_CREDITS","FQ2 2023","FQ2 2023","Currency=USD","Period=FQ","BEST_FPERIOD_OVERRIDE=FQ","FILING_STATUS=MR","SCALING_FORMAT=MLN","FA_ADJUSTED=GAAP","Sort=A","Dates=H","DateFormat=P","Fill=—","Direction=H","UseDPDF=Y")</f>
        <v>0</v>
      </c>
      <c r="T32" s="13">
        <f>_xll.BDH("SRPT US Equity","MIN_NONCONTROL_INTEREST_CREDITS","FQ3 2023","FQ3 2023","Currency=USD","Period=FQ","BEST_FPERIOD_OVERRIDE=FQ","FILING_STATUS=MR","SCALING_FORMAT=MLN","FA_ADJUSTED=GAAP","Sort=A","Dates=H","DateFormat=P","Fill=—","Direction=H","UseDPDF=Y")</f>
        <v>0</v>
      </c>
      <c r="U32" s="13">
        <f>_xll.BDH("SRPT US Equity","MIN_NONCONTROL_INTEREST_CREDITS","FQ4 2023","FQ4 2023","Currency=USD","Period=FQ","BEST_FPERIOD_OVERRIDE=FQ","FILING_STATUS=MR","SCALING_FORMAT=MLN","FA_ADJUSTED=GAAP","Sort=A","Dates=H","DateFormat=P","Fill=—","Direction=H","UseDPDF=Y")</f>
        <v>0</v>
      </c>
      <c r="V32" s="13">
        <f>_xll.BDH("SRPT US Equity","MIN_NONCONTROL_INTEREST_CREDITS","FQ1 2024","FQ1 2024","Currency=USD","Period=FQ","BEST_FPERIOD_OVERRIDE=FQ","FILING_STATUS=MR","SCALING_FORMAT=MLN","FA_ADJUSTED=GAAP","Sort=A","Dates=H","DateFormat=P","Fill=—","Direction=H","UseDPDF=Y")</f>
        <v>0</v>
      </c>
      <c r="W32" s="13">
        <f>_xll.BDH("SRPT US Equity","MIN_NONCONTROL_INTEREST_CREDITS","FQ2 2024","FQ2 2024","Currency=USD","Period=FQ","BEST_FPERIOD_OVERRIDE=FQ","FILING_STATUS=MR","SCALING_FORMAT=MLN","FA_ADJUSTED=GAAP","Sort=A","Dates=H","DateFormat=P","Fill=—","Direction=H","UseDPDF=Y")</f>
        <v>0</v>
      </c>
      <c r="X32" s="13">
        <f>_xll.BDH("SRPT US Equity","MIN_NONCONTROL_INTEREST_CREDITS","FQ3 2024","FQ3 2024","Currency=USD","Period=FQ","BEST_FPERIOD_OVERRIDE=FQ","FILING_STATUS=MR","SCALING_FORMAT=MLN","FA_ADJUSTED=GAAP","Sort=A","Dates=H","DateFormat=P","Fill=—","Direction=H","UseDPDF=Y")</f>
        <v>0</v>
      </c>
      <c r="Y32" s="13">
        <f>_xll.BDH("SRPT US Equity","MIN_NONCONTROL_INTEREST_CREDITS","FQ4 2024","FQ4 2024","Currency=USD","Period=FQ","BEST_FPERIOD_OVERRIDE=FQ","FILING_STATUS=MR","SCALING_FORMAT=MLN","FA_ADJUSTED=GAAP","Sort=A","Dates=H","DateFormat=P","Fill=—","Direction=H","UseDPDF=Y")</f>
        <v>0</v>
      </c>
      <c r="Z32" s="13"/>
      <c r="AA32" s="13"/>
    </row>
    <row r="33" spans="1:27" x14ac:dyDescent="0.25">
      <c r="A33" s="6" t="s">
        <v>380</v>
      </c>
      <c r="B33" s="6" t="s">
        <v>381</v>
      </c>
      <c r="C33" s="19">
        <f>_xll.BDH("SRPT US Equity","NET_INCOME","FQ2 2019","FQ2 2019","Currency=USD","Period=FQ","BEST_FPERIOD_OVERRIDE=FQ","FILING_STATUS=MR","SCALING_FORMAT=MLN","FA_ADJUSTED=GAAP","Sort=A","Dates=H","DateFormat=P","Fill=—","Direction=H","UseDPDF=Y")</f>
        <v>-276.40300000000002</v>
      </c>
      <c r="D33" s="19">
        <f>_xll.BDH("SRPT US Equity","NET_INCOME","FQ3 2019","FQ3 2019","Currency=USD","Period=FQ","BEST_FPERIOD_OVERRIDE=FQ","FILING_STATUS=MR","SCALING_FORMAT=MLN","FA_ADJUSTED=GAAP","Sort=A","Dates=H","DateFormat=P","Fill=—","Direction=H","UseDPDF=Y")</f>
        <v>-126.32599999999999</v>
      </c>
      <c r="E33" s="19">
        <f>_xll.BDH("SRPT US Equity","NET_INCOME","FQ4 2019","FQ4 2019","Currency=USD","Period=FQ","BEST_FPERIOD_OVERRIDE=FQ","FILING_STATUS=MR","SCALING_FORMAT=MLN","FA_ADJUSTED=GAAP","Sort=A","Dates=H","DateFormat=P","Fill=—","Direction=H","UseDPDF=Y")</f>
        <v>-235.703</v>
      </c>
      <c r="F33" s="19">
        <f>_xll.BDH("SRPT US Equity","NET_INCOME","FQ1 2020","FQ1 2020","Currency=USD","Period=FQ","BEST_FPERIOD_OVERRIDE=FQ","FILING_STATUS=MR","SCALING_FORMAT=MLN","FA_ADJUSTED=GAAP","Sort=A","Dates=H","DateFormat=P","Fill=—","Direction=H","UseDPDF=Y")</f>
        <v>-17.492000000000001</v>
      </c>
      <c r="G33" s="19">
        <f>_xll.BDH("SRPT US Equity","NET_INCOME","FQ2 2020","FQ2 2020","Currency=USD","Period=FQ","BEST_FPERIOD_OVERRIDE=FQ","FILING_STATUS=MR","SCALING_FORMAT=MLN","FA_ADJUSTED=GAAP","Sort=A","Dates=H","DateFormat=P","Fill=—","Direction=H","UseDPDF=Y")</f>
        <v>-150.82</v>
      </c>
      <c r="H33" s="19">
        <f>_xll.BDH("SRPT US Equity","NET_INCOME","FQ3 2020","FQ3 2020","Currency=USD","Period=FQ","BEST_FPERIOD_OVERRIDE=FQ","FILING_STATUS=MR","SCALING_FORMAT=MLN","FA_ADJUSTED=GAAP","Sort=A","Dates=H","DateFormat=P","Fill=—","Direction=H","UseDPDF=Y")</f>
        <v>-196.499</v>
      </c>
      <c r="I33" s="19">
        <f>_xll.BDH("SRPT US Equity","NET_INCOME","FQ4 2020","FQ4 2020","Currency=USD","Period=FQ","BEST_FPERIOD_OVERRIDE=FQ","FILING_STATUS=MR","SCALING_FORMAT=MLN","FA_ADJUSTED=GAAP","Sort=A","Dates=H","DateFormat=P","Fill=—","Direction=H","UseDPDF=Y")</f>
        <v>-189.31700000000001</v>
      </c>
      <c r="J33" s="19">
        <f>_xll.BDH("SRPT US Equity","NET_INCOME","FQ1 2021","FQ1 2021","Currency=USD","Period=FQ","BEST_FPERIOD_OVERRIDE=FQ","FILING_STATUS=MR","SCALING_FORMAT=MLN","FA_ADJUSTED=GAAP","Sort=A","Dates=H","DateFormat=P","Fill=—","Direction=H","UseDPDF=Y")</f>
        <v>-167.25</v>
      </c>
      <c r="K33" s="19">
        <f>_xll.BDH("SRPT US Equity","NET_INCOME","FQ2 2021","FQ2 2021","Currency=USD","Period=FQ","BEST_FPERIOD_OVERRIDE=FQ","FILING_STATUS=MR","SCALING_FORMAT=MLN","FA_ADJUSTED=GAAP","Sort=A","Dates=H","DateFormat=P","Fill=—","Direction=H","UseDPDF=Y")</f>
        <v>-81.405000000000001</v>
      </c>
      <c r="L33" s="19">
        <f>_xll.BDH("SRPT US Equity","NET_INCOME","FQ3 2021","FQ3 2021","Currency=USD","Period=FQ","BEST_FPERIOD_OVERRIDE=FQ","FILING_STATUS=MR","SCALING_FORMAT=MLN","FA_ADJUSTED=GAAP","Sort=A","Dates=H","DateFormat=P","Fill=—","Direction=H","UseDPDF=Y")</f>
        <v>-48.143999999999998</v>
      </c>
      <c r="M33" s="19">
        <f>_xll.BDH("SRPT US Equity","NET_INCOME","FQ4 2021","FQ4 2021","Currency=USD","Period=FQ","BEST_FPERIOD_OVERRIDE=FQ","FILING_STATUS=MR","SCALING_FORMAT=MLN","FA_ADJUSTED=GAAP","Sort=A","Dates=H","DateFormat=P","Fill=—","Direction=H","UseDPDF=Y")</f>
        <v>-121.98099999999999</v>
      </c>
      <c r="N33" s="19">
        <f>_xll.BDH("SRPT US Equity","NET_INCOME","FQ1 2022","FQ1 2022","Currency=USD","Period=FQ","BEST_FPERIOD_OVERRIDE=FQ","FILING_STATUS=MR","SCALING_FORMAT=MLN","FA_ADJUSTED=GAAP","Sort=A","Dates=H","DateFormat=P","Fill=—","Direction=H","UseDPDF=Y")</f>
        <v>-105.02500000000001</v>
      </c>
      <c r="O33" s="19">
        <f>_xll.BDH("SRPT US Equity","NET_INCOME","FQ2 2022","FQ2 2022","Currency=USD","Period=FQ","BEST_FPERIOD_OVERRIDE=FQ","FILING_STATUS=MR","SCALING_FORMAT=MLN","FA_ADJUSTED=GAAP","Sort=A","Dates=H","DateFormat=P","Fill=—","Direction=H","UseDPDF=Y")</f>
        <v>-231.48099999999999</v>
      </c>
      <c r="P33" s="19">
        <f>_xll.BDH("SRPT US Equity","NET_INCOME","FQ3 2022","FQ3 2022","Currency=USD","Period=FQ","BEST_FPERIOD_OVERRIDE=FQ","FILING_STATUS=MR","SCALING_FORMAT=MLN","FA_ADJUSTED=GAAP","Sort=A","Dates=H","DateFormat=P","Fill=—","Direction=H","UseDPDF=Y")</f>
        <v>-257.738</v>
      </c>
      <c r="Q33" s="19">
        <f>_xll.BDH("SRPT US Equity","NET_INCOME","FQ4 2022","FQ4 2022","Currency=USD","Period=FQ","BEST_FPERIOD_OVERRIDE=FQ","FILING_STATUS=MR","SCALING_FORMAT=MLN","FA_ADJUSTED=GAAP","Sort=A","Dates=H","DateFormat=P","Fill=—","Direction=H","UseDPDF=Y")</f>
        <v>-109.244</v>
      </c>
      <c r="R33" s="19">
        <f>_xll.BDH("SRPT US Equity","NET_INCOME","FQ1 2023","FQ1 2023","Currency=USD","Period=FQ","BEST_FPERIOD_OVERRIDE=FQ","FILING_STATUS=MR","SCALING_FORMAT=MLN","FA_ADJUSTED=GAAP","Sort=A","Dates=H","DateFormat=P","Fill=—","Direction=H","UseDPDF=Y")</f>
        <v>-516.755</v>
      </c>
      <c r="S33" s="19">
        <f>_xll.BDH("SRPT US Equity","NET_INCOME","FQ2 2023","FQ2 2023","Currency=USD","Period=FQ","BEST_FPERIOD_OVERRIDE=FQ","FILING_STATUS=MR","SCALING_FORMAT=MLN","FA_ADJUSTED=GAAP","Sort=A","Dates=H","DateFormat=P","Fill=—","Direction=H","UseDPDF=Y")</f>
        <v>-23.94</v>
      </c>
      <c r="T33" s="19">
        <f>_xll.BDH("SRPT US Equity","NET_INCOME","FQ3 2023","FQ3 2023","Currency=USD","Period=FQ","BEST_FPERIOD_OVERRIDE=FQ","FILING_STATUS=MR","SCALING_FORMAT=MLN","FA_ADJUSTED=GAAP","Sort=A","Dates=H","DateFormat=P","Fill=—","Direction=H","UseDPDF=Y")</f>
        <v>-40.936999999999998</v>
      </c>
      <c r="U33" s="19">
        <f>_xll.BDH("SRPT US Equity","NET_INCOME","FQ4 2023","FQ4 2023","Currency=USD","Period=FQ","BEST_FPERIOD_OVERRIDE=FQ","FILING_STATUS=MR","SCALING_FORMAT=MLN","FA_ADJUSTED=GAAP","Sort=A","Dates=H","DateFormat=P","Fill=—","Direction=H","UseDPDF=Y")</f>
        <v>45.655000000000001</v>
      </c>
      <c r="V33" s="19">
        <f>_xll.BDH("SRPT US Equity","NET_INCOME","FQ1 2024","FQ1 2024","Currency=USD","Period=FQ","BEST_FPERIOD_OVERRIDE=FQ","FILING_STATUS=MR","SCALING_FORMAT=MLN","FA_ADJUSTED=GAAP","Sort=A","Dates=H","DateFormat=P","Fill=—","Direction=H","UseDPDF=Y")</f>
        <v>36.119</v>
      </c>
      <c r="W33" s="19">
        <f>_xll.BDH("SRPT US Equity","NET_INCOME","FQ2 2024","FQ2 2024","Currency=USD","Period=FQ","BEST_FPERIOD_OVERRIDE=FQ","FILING_STATUS=MR","SCALING_FORMAT=MLN","FA_ADJUSTED=GAAP","Sort=A","Dates=H","DateFormat=P","Fill=—","Direction=H","UseDPDF=Y")</f>
        <v>6.46</v>
      </c>
      <c r="X33" s="19">
        <f>_xll.BDH("SRPT US Equity","NET_INCOME","FQ3 2024","FQ3 2024","Currency=USD","Period=FQ","BEST_FPERIOD_OVERRIDE=FQ","FILING_STATUS=MR","SCALING_FORMAT=MLN","FA_ADJUSTED=GAAP","Sort=A","Dates=H","DateFormat=P","Fill=—","Direction=H","UseDPDF=Y")</f>
        <v>33.610999999999997</v>
      </c>
      <c r="Y33" s="19">
        <f>_xll.BDH("SRPT US Equity","NET_INCOME","FQ4 2024","FQ4 2024","Currency=USD","Period=FQ","BEST_FPERIOD_OVERRIDE=FQ","FILING_STATUS=MR","SCALING_FORMAT=MLN","FA_ADJUSTED=GAAP","Sort=A","Dates=H","DateFormat=P","Fill=—","Direction=H","UseDPDF=Y")</f>
        <v>159.04900000000001</v>
      </c>
      <c r="Z33" s="19">
        <v>107.06699999999999</v>
      </c>
      <c r="AA33" s="19">
        <v>262.16699999999997</v>
      </c>
    </row>
    <row r="34" spans="1:27" x14ac:dyDescent="0.25">
      <c r="A34" s="10" t="s">
        <v>382</v>
      </c>
      <c r="B34" s="10" t="s">
        <v>383</v>
      </c>
      <c r="C34" s="13">
        <f>_xll.BDH("SRPT US Equity","IS_TOT_CASH_PFD_DVD","FQ2 2019","FQ2 2019","Currency=USD","Period=FQ","BEST_FPERIOD_OVERRIDE=FQ","FILING_STATUS=MR","SCALING_FORMAT=MLN","Sort=A","Dates=H","DateFormat=P","Fill=—","Direction=H","UseDPDF=Y")</f>
        <v>0</v>
      </c>
      <c r="D34" s="13">
        <f>_xll.BDH("SRPT US Equity","IS_TOT_CASH_PFD_DVD","FQ3 2019","FQ3 2019","Currency=USD","Period=FQ","BEST_FPERIOD_OVERRIDE=FQ","FILING_STATUS=MR","SCALING_FORMAT=MLN","Sort=A","Dates=H","DateFormat=P","Fill=—","Direction=H","UseDPDF=Y")</f>
        <v>0</v>
      </c>
      <c r="E34" s="13">
        <f>_xll.BDH("SRPT US Equity","IS_TOT_CASH_PFD_DVD","FQ4 2019","FQ4 2019","Currency=USD","Period=FQ","BEST_FPERIOD_OVERRIDE=FQ","FILING_STATUS=MR","SCALING_FORMAT=MLN","Sort=A","Dates=H","DateFormat=P","Fill=—","Direction=H","UseDPDF=Y")</f>
        <v>0</v>
      </c>
      <c r="F34" s="13">
        <f>_xll.BDH("SRPT US Equity","IS_TOT_CASH_PFD_DVD","FQ1 2020","FQ1 2020","Currency=USD","Period=FQ","BEST_FPERIOD_OVERRIDE=FQ","FILING_STATUS=MR","SCALING_FORMAT=MLN","Sort=A","Dates=H","DateFormat=P","Fill=—","Direction=H","UseDPDF=Y")</f>
        <v>0</v>
      </c>
      <c r="G34" s="13">
        <f>_xll.BDH("SRPT US Equity","IS_TOT_CASH_PFD_DVD","FQ2 2020","FQ2 2020","Currency=USD","Period=FQ","BEST_FPERIOD_OVERRIDE=FQ","FILING_STATUS=MR","SCALING_FORMAT=MLN","Sort=A","Dates=H","DateFormat=P","Fill=—","Direction=H","UseDPDF=Y")</f>
        <v>0</v>
      </c>
      <c r="H34" s="13">
        <f>_xll.BDH("SRPT US Equity","IS_TOT_CASH_PFD_DVD","FQ3 2020","FQ3 2020","Currency=USD","Period=FQ","BEST_FPERIOD_OVERRIDE=FQ","FILING_STATUS=MR","SCALING_FORMAT=MLN","Sort=A","Dates=H","DateFormat=P","Fill=—","Direction=H","UseDPDF=Y")</f>
        <v>0</v>
      </c>
      <c r="I34" s="13">
        <f>_xll.BDH("SRPT US Equity","IS_TOT_CASH_PFD_DVD","FQ4 2020","FQ4 2020","Currency=USD","Period=FQ","BEST_FPERIOD_OVERRIDE=FQ","FILING_STATUS=MR","SCALING_FORMAT=MLN","Sort=A","Dates=H","DateFormat=P","Fill=—","Direction=H","UseDPDF=Y")</f>
        <v>0</v>
      </c>
      <c r="J34" s="13">
        <f>_xll.BDH("SRPT US Equity","IS_TOT_CASH_PFD_DVD","FQ1 2021","FQ1 2021","Currency=USD","Period=FQ","BEST_FPERIOD_OVERRIDE=FQ","FILING_STATUS=MR","SCALING_FORMAT=MLN","Sort=A","Dates=H","DateFormat=P","Fill=—","Direction=H","UseDPDF=Y")</f>
        <v>0</v>
      </c>
      <c r="K34" s="13">
        <f>_xll.BDH("SRPT US Equity","IS_TOT_CASH_PFD_DVD","FQ2 2021","FQ2 2021","Currency=USD","Period=FQ","BEST_FPERIOD_OVERRIDE=FQ","FILING_STATUS=MR","SCALING_FORMAT=MLN","Sort=A","Dates=H","DateFormat=P","Fill=—","Direction=H","UseDPDF=Y")</f>
        <v>0</v>
      </c>
      <c r="L34" s="13">
        <f>_xll.BDH("SRPT US Equity","IS_TOT_CASH_PFD_DVD","FQ3 2021","FQ3 2021","Currency=USD","Period=FQ","BEST_FPERIOD_OVERRIDE=FQ","FILING_STATUS=MR","SCALING_FORMAT=MLN","Sort=A","Dates=H","DateFormat=P","Fill=—","Direction=H","UseDPDF=Y")</f>
        <v>0</v>
      </c>
      <c r="M34" s="13">
        <f>_xll.BDH("SRPT US Equity","IS_TOT_CASH_PFD_DVD","FQ4 2021","FQ4 2021","Currency=USD","Period=FQ","BEST_FPERIOD_OVERRIDE=FQ","FILING_STATUS=MR","SCALING_FORMAT=MLN","Sort=A","Dates=H","DateFormat=P","Fill=—","Direction=H","UseDPDF=Y")</f>
        <v>0</v>
      </c>
      <c r="N34" s="13">
        <f>_xll.BDH("SRPT US Equity","IS_TOT_CASH_PFD_DVD","FQ1 2022","FQ1 2022","Currency=USD","Period=FQ","BEST_FPERIOD_OVERRIDE=FQ","FILING_STATUS=MR","SCALING_FORMAT=MLN","Sort=A","Dates=H","DateFormat=P","Fill=—","Direction=H","UseDPDF=Y")</f>
        <v>0</v>
      </c>
      <c r="O34" s="13">
        <f>_xll.BDH("SRPT US Equity","IS_TOT_CASH_PFD_DVD","FQ2 2022","FQ2 2022","Currency=USD","Period=FQ","BEST_FPERIOD_OVERRIDE=FQ","FILING_STATUS=MR","SCALING_FORMAT=MLN","Sort=A","Dates=H","DateFormat=P","Fill=—","Direction=H","UseDPDF=Y")</f>
        <v>0</v>
      </c>
      <c r="P34" s="13">
        <f>_xll.BDH("SRPT US Equity","IS_TOT_CASH_PFD_DVD","FQ3 2022","FQ3 2022","Currency=USD","Period=FQ","BEST_FPERIOD_OVERRIDE=FQ","FILING_STATUS=MR","SCALING_FORMAT=MLN","Sort=A","Dates=H","DateFormat=P","Fill=—","Direction=H","UseDPDF=Y")</f>
        <v>0</v>
      </c>
      <c r="Q34" s="13">
        <f>_xll.BDH("SRPT US Equity","IS_TOT_CASH_PFD_DVD","FQ4 2022","FQ4 2022","Currency=USD","Period=FQ","BEST_FPERIOD_OVERRIDE=FQ","FILING_STATUS=MR","SCALING_FORMAT=MLN","Sort=A","Dates=H","DateFormat=P","Fill=—","Direction=H","UseDPDF=Y")</f>
        <v>0</v>
      </c>
      <c r="R34" s="13">
        <f>_xll.BDH("SRPT US Equity","IS_TOT_CASH_PFD_DVD","FQ1 2023","FQ1 2023","Currency=USD","Period=FQ","BEST_FPERIOD_OVERRIDE=FQ","FILING_STATUS=MR","SCALING_FORMAT=MLN","Sort=A","Dates=H","DateFormat=P","Fill=—","Direction=H","UseDPDF=Y")</f>
        <v>0</v>
      </c>
      <c r="S34" s="13">
        <f>_xll.BDH("SRPT US Equity","IS_TOT_CASH_PFD_DVD","FQ2 2023","FQ2 2023","Currency=USD","Period=FQ","BEST_FPERIOD_OVERRIDE=FQ","FILING_STATUS=MR","SCALING_FORMAT=MLN","Sort=A","Dates=H","DateFormat=P","Fill=—","Direction=H","UseDPDF=Y")</f>
        <v>0</v>
      </c>
      <c r="T34" s="13">
        <f>_xll.BDH("SRPT US Equity","IS_TOT_CASH_PFD_DVD","FQ3 2023","FQ3 2023","Currency=USD","Period=FQ","BEST_FPERIOD_OVERRIDE=FQ","FILING_STATUS=MR","SCALING_FORMAT=MLN","Sort=A","Dates=H","DateFormat=P","Fill=—","Direction=H","UseDPDF=Y")</f>
        <v>0</v>
      </c>
      <c r="U34" s="13">
        <f>_xll.BDH("SRPT US Equity","IS_TOT_CASH_PFD_DVD","FQ4 2023","FQ4 2023","Currency=USD","Period=FQ","BEST_FPERIOD_OVERRIDE=FQ","FILING_STATUS=MR","SCALING_FORMAT=MLN","Sort=A","Dates=H","DateFormat=P","Fill=—","Direction=H","UseDPDF=Y")</f>
        <v>0</v>
      </c>
      <c r="V34" s="13">
        <f>_xll.BDH("SRPT US Equity","IS_TOT_CASH_PFD_DVD","FQ1 2024","FQ1 2024","Currency=USD","Period=FQ","BEST_FPERIOD_OVERRIDE=FQ","FILING_STATUS=MR","SCALING_FORMAT=MLN","Sort=A","Dates=H","DateFormat=P","Fill=—","Direction=H","UseDPDF=Y")</f>
        <v>0</v>
      </c>
      <c r="W34" s="13">
        <f>_xll.BDH("SRPT US Equity","IS_TOT_CASH_PFD_DVD","FQ2 2024","FQ2 2024","Currency=USD","Period=FQ","BEST_FPERIOD_OVERRIDE=FQ","FILING_STATUS=MR","SCALING_FORMAT=MLN","Sort=A","Dates=H","DateFormat=P","Fill=—","Direction=H","UseDPDF=Y")</f>
        <v>0</v>
      </c>
      <c r="X34" s="13">
        <f>_xll.BDH("SRPT US Equity","IS_TOT_CASH_PFD_DVD","FQ3 2024","FQ3 2024","Currency=USD","Period=FQ","BEST_FPERIOD_OVERRIDE=FQ","FILING_STATUS=MR","SCALING_FORMAT=MLN","Sort=A","Dates=H","DateFormat=P","Fill=—","Direction=H","UseDPDF=Y")</f>
        <v>0</v>
      </c>
      <c r="Y34" s="13">
        <f>_xll.BDH("SRPT US Equity","IS_TOT_CASH_PFD_DVD","FQ4 2024","FQ4 2024","Currency=USD","Period=FQ","BEST_FPERIOD_OVERRIDE=FQ","FILING_STATUS=MR","SCALING_FORMAT=MLN","Sort=A","Dates=H","DateFormat=P","Fill=—","Direction=H","UseDPDF=Y")</f>
        <v>0</v>
      </c>
      <c r="Z34" s="13"/>
      <c r="AA34" s="13"/>
    </row>
    <row r="35" spans="1:27" x14ac:dyDescent="0.25">
      <c r="A35" s="10" t="s">
        <v>384</v>
      </c>
      <c r="B35" s="10" t="s">
        <v>385</v>
      </c>
      <c r="C35" s="13">
        <f>_xll.BDH("SRPT US Equity","OTHER_ADJUSTMENTS","FQ2 2019","FQ2 2019","Currency=USD","Period=FQ","BEST_FPERIOD_OVERRIDE=FQ","FILING_STATUS=MR","SCALING_FORMAT=MLN","Sort=A","Dates=H","DateFormat=P","Fill=—","Direction=H","UseDPDF=Y")</f>
        <v>0</v>
      </c>
      <c r="D35" s="13">
        <f>_xll.BDH("SRPT US Equity","OTHER_ADJUSTMENTS","FQ3 2019","FQ3 2019","Currency=USD","Period=FQ","BEST_FPERIOD_OVERRIDE=FQ","FILING_STATUS=MR","SCALING_FORMAT=MLN","Sort=A","Dates=H","DateFormat=P","Fill=—","Direction=H","UseDPDF=Y")</f>
        <v>0</v>
      </c>
      <c r="E35" s="13">
        <f>_xll.BDH("SRPT US Equity","OTHER_ADJUSTMENTS","FQ4 2019","FQ4 2019","Currency=USD","Period=FQ","BEST_FPERIOD_OVERRIDE=FQ","FILING_STATUS=MR","SCALING_FORMAT=MLN","Sort=A","Dates=H","DateFormat=P","Fill=—","Direction=H","UseDPDF=Y")</f>
        <v>0</v>
      </c>
      <c r="F35" s="13">
        <f>_xll.BDH("SRPT US Equity","OTHER_ADJUSTMENTS","FQ1 2020","FQ1 2020","Currency=USD","Period=FQ","BEST_FPERIOD_OVERRIDE=FQ","FILING_STATUS=MR","SCALING_FORMAT=MLN","Sort=A","Dates=H","DateFormat=P","Fill=—","Direction=H","UseDPDF=Y")</f>
        <v>0</v>
      </c>
      <c r="G35" s="13">
        <f>_xll.BDH("SRPT US Equity","OTHER_ADJUSTMENTS","FQ2 2020","FQ2 2020","Currency=USD","Period=FQ","BEST_FPERIOD_OVERRIDE=FQ","FILING_STATUS=MR","SCALING_FORMAT=MLN","Sort=A","Dates=H","DateFormat=P","Fill=—","Direction=H","UseDPDF=Y")</f>
        <v>0</v>
      </c>
      <c r="H35" s="13">
        <f>_xll.BDH("SRPT US Equity","OTHER_ADJUSTMENTS","FQ3 2020","FQ3 2020","Currency=USD","Period=FQ","BEST_FPERIOD_OVERRIDE=FQ","FILING_STATUS=MR","SCALING_FORMAT=MLN","Sort=A","Dates=H","DateFormat=P","Fill=—","Direction=H","UseDPDF=Y")</f>
        <v>0</v>
      </c>
      <c r="I35" s="13">
        <f>_xll.BDH("SRPT US Equity","OTHER_ADJUSTMENTS","FQ4 2020","FQ4 2020","Currency=USD","Period=FQ","BEST_FPERIOD_OVERRIDE=FQ","FILING_STATUS=MR","SCALING_FORMAT=MLN","Sort=A","Dates=H","DateFormat=P","Fill=—","Direction=H","UseDPDF=Y")</f>
        <v>0</v>
      </c>
      <c r="J35" s="13">
        <f>_xll.BDH("SRPT US Equity","OTHER_ADJUSTMENTS","FQ1 2021","FQ1 2021","Currency=USD","Period=FQ","BEST_FPERIOD_OVERRIDE=FQ","FILING_STATUS=MR","SCALING_FORMAT=MLN","Sort=A","Dates=H","DateFormat=P","Fill=—","Direction=H","UseDPDF=Y")</f>
        <v>0</v>
      </c>
      <c r="K35" s="13">
        <f>_xll.BDH("SRPT US Equity","OTHER_ADJUSTMENTS","FQ2 2021","FQ2 2021","Currency=USD","Period=FQ","BEST_FPERIOD_OVERRIDE=FQ","FILING_STATUS=MR","SCALING_FORMAT=MLN","Sort=A","Dates=H","DateFormat=P","Fill=—","Direction=H","UseDPDF=Y")</f>
        <v>0</v>
      </c>
      <c r="L35" s="13">
        <f>_xll.BDH("SRPT US Equity","OTHER_ADJUSTMENTS","FQ3 2021","FQ3 2021","Currency=USD","Period=FQ","BEST_FPERIOD_OVERRIDE=FQ","FILING_STATUS=MR","SCALING_FORMAT=MLN","Sort=A","Dates=H","DateFormat=P","Fill=—","Direction=H","UseDPDF=Y")</f>
        <v>0</v>
      </c>
      <c r="M35" s="13">
        <f>_xll.BDH("SRPT US Equity","OTHER_ADJUSTMENTS","FQ4 2021","FQ4 2021","Currency=USD","Period=FQ","BEST_FPERIOD_OVERRIDE=FQ","FILING_STATUS=MR","SCALING_FORMAT=MLN","Sort=A","Dates=H","DateFormat=P","Fill=—","Direction=H","UseDPDF=Y")</f>
        <v>0</v>
      </c>
      <c r="N35" s="13">
        <f>_xll.BDH("SRPT US Equity","OTHER_ADJUSTMENTS","FQ1 2022","FQ1 2022","Currency=USD","Period=FQ","BEST_FPERIOD_OVERRIDE=FQ","FILING_STATUS=MR","SCALING_FORMAT=MLN","Sort=A","Dates=H","DateFormat=P","Fill=—","Direction=H","UseDPDF=Y")</f>
        <v>0</v>
      </c>
      <c r="O35" s="13">
        <f>_xll.BDH("SRPT US Equity","OTHER_ADJUSTMENTS","FQ2 2022","FQ2 2022","Currency=USD","Period=FQ","BEST_FPERIOD_OVERRIDE=FQ","FILING_STATUS=MR","SCALING_FORMAT=MLN","Sort=A","Dates=H","DateFormat=P","Fill=—","Direction=H","UseDPDF=Y")</f>
        <v>0</v>
      </c>
      <c r="P35" s="13">
        <f>_xll.BDH("SRPT US Equity","OTHER_ADJUSTMENTS","FQ3 2022","FQ3 2022","Currency=USD","Period=FQ","BEST_FPERIOD_OVERRIDE=FQ","FILING_STATUS=MR","SCALING_FORMAT=MLN","Sort=A","Dates=H","DateFormat=P","Fill=—","Direction=H","UseDPDF=Y")</f>
        <v>0</v>
      </c>
      <c r="Q35" s="13">
        <f>_xll.BDH("SRPT US Equity","OTHER_ADJUSTMENTS","FQ4 2022","FQ4 2022","Currency=USD","Period=FQ","BEST_FPERIOD_OVERRIDE=FQ","FILING_STATUS=MR","SCALING_FORMAT=MLN","Sort=A","Dates=H","DateFormat=P","Fill=—","Direction=H","UseDPDF=Y")</f>
        <v>0</v>
      </c>
      <c r="R35" s="13">
        <f>_xll.BDH("SRPT US Equity","OTHER_ADJUSTMENTS","FQ1 2023","FQ1 2023","Currency=USD","Period=FQ","BEST_FPERIOD_OVERRIDE=FQ","FILING_STATUS=MR","SCALING_FORMAT=MLN","Sort=A","Dates=H","DateFormat=P","Fill=—","Direction=H","UseDPDF=Y")</f>
        <v>0</v>
      </c>
      <c r="S35" s="13">
        <f>_xll.BDH("SRPT US Equity","OTHER_ADJUSTMENTS","FQ2 2023","FQ2 2023","Currency=USD","Period=FQ","BEST_FPERIOD_OVERRIDE=FQ","FILING_STATUS=MR","SCALING_FORMAT=MLN","Sort=A","Dates=H","DateFormat=P","Fill=—","Direction=H","UseDPDF=Y")</f>
        <v>0</v>
      </c>
      <c r="T35" s="13">
        <f>_xll.BDH("SRPT US Equity","OTHER_ADJUSTMENTS","FQ3 2023","FQ3 2023","Currency=USD","Period=FQ","BEST_FPERIOD_OVERRIDE=FQ","FILING_STATUS=MR","SCALING_FORMAT=MLN","Sort=A","Dates=H","DateFormat=P","Fill=—","Direction=H","UseDPDF=Y")</f>
        <v>0</v>
      </c>
      <c r="U35" s="13">
        <f>_xll.BDH("SRPT US Equity","OTHER_ADJUSTMENTS","FQ4 2023","FQ4 2023","Currency=USD","Period=FQ","BEST_FPERIOD_OVERRIDE=FQ","FILING_STATUS=MR","SCALING_FORMAT=MLN","Sort=A","Dates=H","DateFormat=P","Fill=—","Direction=H","UseDPDF=Y")</f>
        <v>0</v>
      </c>
      <c r="V35" s="13">
        <f>_xll.BDH("SRPT US Equity","OTHER_ADJUSTMENTS","FQ1 2024","FQ1 2024","Currency=USD","Period=FQ","BEST_FPERIOD_OVERRIDE=FQ","FILING_STATUS=MR","SCALING_FORMAT=MLN","Sort=A","Dates=H","DateFormat=P","Fill=—","Direction=H","UseDPDF=Y")</f>
        <v>0</v>
      </c>
      <c r="W35" s="13">
        <f>_xll.BDH("SRPT US Equity","OTHER_ADJUSTMENTS","FQ2 2024","FQ2 2024","Currency=USD","Period=FQ","BEST_FPERIOD_OVERRIDE=FQ","FILING_STATUS=MR","SCALING_FORMAT=MLN","Sort=A","Dates=H","DateFormat=P","Fill=—","Direction=H","UseDPDF=Y")</f>
        <v>0</v>
      </c>
      <c r="X35" s="13">
        <f>_xll.BDH("SRPT US Equity","OTHER_ADJUSTMENTS","FQ3 2024","FQ3 2024","Currency=USD","Period=FQ","BEST_FPERIOD_OVERRIDE=FQ","FILING_STATUS=MR","SCALING_FORMAT=MLN","Sort=A","Dates=H","DateFormat=P","Fill=—","Direction=H","UseDPDF=Y")</f>
        <v>0</v>
      </c>
      <c r="Y35" s="13">
        <f>_xll.BDH("SRPT US Equity","OTHER_ADJUSTMENTS","FQ4 2024","FQ4 2024","Currency=USD","Period=FQ","BEST_FPERIOD_OVERRIDE=FQ","FILING_STATUS=MR","SCALING_FORMAT=MLN","Sort=A","Dates=H","DateFormat=P","Fill=—","Direction=H","UseDPDF=Y")</f>
        <v>0</v>
      </c>
      <c r="Z35" s="13"/>
      <c r="AA35" s="13"/>
    </row>
    <row r="36" spans="1:27" x14ac:dyDescent="0.25">
      <c r="A36" s="6" t="s">
        <v>386</v>
      </c>
      <c r="B36" s="6" t="s">
        <v>80</v>
      </c>
      <c r="C36" s="19">
        <f>_xll.BDH("SRPT US Equity","EARN_FOR_COMMON","FQ2 2019","FQ2 2019","Currency=USD","Period=FQ","BEST_FPERIOD_OVERRIDE=FQ","FILING_STATUS=MR","SCALING_FORMAT=MLN","FA_ADJUSTED=GAAP","Sort=A","Dates=H","DateFormat=P","Fill=—","Direction=H","UseDPDF=Y")</f>
        <v>-276.40300000000002</v>
      </c>
      <c r="D36" s="19">
        <f>_xll.BDH("SRPT US Equity","EARN_FOR_COMMON","FQ3 2019","FQ3 2019","Currency=USD","Period=FQ","BEST_FPERIOD_OVERRIDE=FQ","FILING_STATUS=MR","SCALING_FORMAT=MLN","FA_ADJUSTED=GAAP","Sort=A","Dates=H","DateFormat=P","Fill=—","Direction=H","UseDPDF=Y")</f>
        <v>-126.32599999999999</v>
      </c>
      <c r="E36" s="19">
        <f>_xll.BDH("SRPT US Equity","EARN_FOR_COMMON","FQ4 2019","FQ4 2019","Currency=USD","Period=FQ","BEST_FPERIOD_OVERRIDE=FQ","FILING_STATUS=MR","SCALING_FORMAT=MLN","FA_ADJUSTED=GAAP","Sort=A","Dates=H","DateFormat=P","Fill=—","Direction=H","UseDPDF=Y")</f>
        <v>-235.703</v>
      </c>
      <c r="F36" s="19">
        <f>_xll.BDH("SRPT US Equity","EARN_FOR_COMMON","FQ1 2020","FQ1 2020","Currency=USD","Period=FQ","BEST_FPERIOD_OVERRIDE=FQ","FILING_STATUS=MR","SCALING_FORMAT=MLN","FA_ADJUSTED=GAAP","Sort=A","Dates=H","DateFormat=P","Fill=—","Direction=H","UseDPDF=Y")</f>
        <v>-17.492000000000001</v>
      </c>
      <c r="G36" s="19">
        <f>_xll.BDH("SRPT US Equity","EARN_FOR_COMMON","FQ2 2020","FQ2 2020","Currency=USD","Period=FQ","BEST_FPERIOD_OVERRIDE=FQ","FILING_STATUS=MR","SCALING_FORMAT=MLN","FA_ADJUSTED=GAAP","Sort=A","Dates=H","DateFormat=P","Fill=—","Direction=H","UseDPDF=Y")</f>
        <v>-150.82</v>
      </c>
      <c r="H36" s="19">
        <f>_xll.BDH("SRPT US Equity","EARN_FOR_COMMON","FQ3 2020","FQ3 2020","Currency=USD","Period=FQ","BEST_FPERIOD_OVERRIDE=FQ","FILING_STATUS=MR","SCALING_FORMAT=MLN","FA_ADJUSTED=GAAP","Sort=A","Dates=H","DateFormat=P","Fill=—","Direction=H","UseDPDF=Y")</f>
        <v>-196.499</v>
      </c>
      <c r="I36" s="19">
        <f>_xll.BDH("SRPT US Equity","EARN_FOR_COMMON","FQ4 2020","FQ4 2020","Currency=USD","Period=FQ","BEST_FPERIOD_OVERRIDE=FQ","FILING_STATUS=MR","SCALING_FORMAT=MLN","FA_ADJUSTED=GAAP","Sort=A","Dates=H","DateFormat=P","Fill=—","Direction=H","UseDPDF=Y")</f>
        <v>-189.31700000000001</v>
      </c>
      <c r="J36" s="19">
        <f>_xll.BDH("SRPT US Equity","EARN_FOR_COMMON","FQ1 2021","FQ1 2021","Currency=USD","Period=FQ","BEST_FPERIOD_OVERRIDE=FQ","FILING_STATUS=MR","SCALING_FORMAT=MLN","FA_ADJUSTED=GAAP","Sort=A","Dates=H","DateFormat=P","Fill=—","Direction=H","UseDPDF=Y")</f>
        <v>-167.25</v>
      </c>
      <c r="K36" s="19">
        <f>_xll.BDH("SRPT US Equity","EARN_FOR_COMMON","FQ2 2021","FQ2 2021","Currency=USD","Period=FQ","BEST_FPERIOD_OVERRIDE=FQ","FILING_STATUS=MR","SCALING_FORMAT=MLN","FA_ADJUSTED=GAAP","Sort=A","Dates=H","DateFormat=P","Fill=—","Direction=H","UseDPDF=Y")</f>
        <v>-81.405000000000001</v>
      </c>
      <c r="L36" s="19">
        <f>_xll.BDH("SRPT US Equity","EARN_FOR_COMMON","FQ3 2021","FQ3 2021","Currency=USD","Period=FQ","BEST_FPERIOD_OVERRIDE=FQ","FILING_STATUS=MR","SCALING_FORMAT=MLN","FA_ADJUSTED=GAAP","Sort=A","Dates=H","DateFormat=P","Fill=—","Direction=H","UseDPDF=Y")</f>
        <v>-48.143999999999998</v>
      </c>
      <c r="M36" s="19">
        <f>_xll.BDH("SRPT US Equity","EARN_FOR_COMMON","FQ4 2021","FQ4 2021","Currency=USD","Period=FQ","BEST_FPERIOD_OVERRIDE=FQ","FILING_STATUS=MR","SCALING_FORMAT=MLN","FA_ADJUSTED=GAAP","Sort=A","Dates=H","DateFormat=P","Fill=—","Direction=H","UseDPDF=Y")</f>
        <v>-121.98099999999999</v>
      </c>
      <c r="N36" s="19">
        <f>_xll.BDH("SRPT US Equity","EARN_FOR_COMMON","FQ1 2022","FQ1 2022","Currency=USD","Period=FQ","BEST_FPERIOD_OVERRIDE=FQ","FILING_STATUS=MR","SCALING_FORMAT=MLN","FA_ADJUSTED=GAAP","Sort=A","Dates=H","DateFormat=P","Fill=—","Direction=H","UseDPDF=Y")</f>
        <v>-105.02500000000001</v>
      </c>
      <c r="O36" s="19">
        <f>_xll.BDH("SRPT US Equity","EARN_FOR_COMMON","FQ2 2022","FQ2 2022","Currency=USD","Period=FQ","BEST_FPERIOD_OVERRIDE=FQ","FILING_STATUS=MR","SCALING_FORMAT=MLN","FA_ADJUSTED=GAAP","Sort=A","Dates=H","DateFormat=P","Fill=—","Direction=H","UseDPDF=Y")</f>
        <v>-231.48099999999999</v>
      </c>
      <c r="P36" s="19">
        <f>_xll.BDH("SRPT US Equity","EARN_FOR_COMMON","FQ3 2022","FQ3 2022","Currency=USD","Period=FQ","BEST_FPERIOD_OVERRIDE=FQ","FILING_STATUS=MR","SCALING_FORMAT=MLN","FA_ADJUSTED=GAAP","Sort=A","Dates=H","DateFormat=P","Fill=—","Direction=H","UseDPDF=Y")</f>
        <v>-257.738</v>
      </c>
      <c r="Q36" s="19">
        <f>_xll.BDH("SRPT US Equity","EARN_FOR_COMMON","FQ4 2022","FQ4 2022","Currency=USD","Period=FQ","BEST_FPERIOD_OVERRIDE=FQ","FILING_STATUS=MR","SCALING_FORMAT=MLN","FA_ADJUSTED=GAAP","Sort=A","Dates=H","DateFormat=P","Fill=—","Direction=H","UseDPDF=Y")</f>
        <v>-109.244</v>
      </c>
      <c r="R36" s="19">
        <f>_xll.BDH("SRPT US Equity","EARN_FOR_COMMON","FQ1 2023","FQ1 2023","Currency=USD","Period=FQ","BEST_FPERIOD_OVERRIDE=FQ","FILING_STATUS=MR","SCALING_FORMAT=MLN","FA_ADJUSTED=GAAP","Sort=A","Dates=H","DateFormat=P","Fill=—","Direction=H","UseDPDF=Y")</f>
        <v>-516.755</v>
      </c>
      <c r="S36" s="19">
        <f>_xll.BDH("SRPT US Equity","EARN_FOR_COMMON","FQ2 2023","FQ2 2023","Currency=USD","Period=FQ","BEST_FPERIOD_OVERRIDE=FQ","FILING_STATUS=MR","SCALING_FORMAT=MLN","FA_ADJUSTED=GAAP","Sort=A","Dates=H","DateFormat=P","Fill=—","Direction=H","UseDPDF=Y")</f>
        <v>-23.94</v>
      </c>
      <c r="T36" s="19">
        <f>_xll.BDH("SRPT US Equity","EARN_FOR_COMMON","FQ3 2023","FQ3 2023","Currency=USD","Period=FQ","BEST_FPERIOD_OVERRIDE=FQ","FILING_STATUS=MR","SCALING_FORMAT=MLN","FA_ADJUSTED=GAAP","Sort=A","Dates=H","DateFormat=P","Fill=—","Direction=H","UseDPDF=Y")</f>
        <v>-40.936999999999998</v>
      </c>
      <c r="U36" s="19">
        <f>_xll.BDH("SRPT US Equity","EARN_FOR_COMMON","FQ4 2023","FQ4 2023","Currency=USD","Period=FQ","BEST_FPERIOD_OVERRIDE=FQ","FILING_STATUS=MR","SCALING_FORMAT=MLN","FA_ADJUSTED=GAAP","Sort=A","Dates=H","DateFormat=P","Fill=—","Direction=H","UseDPDF=Y")</f>
        <v>45.655000000000001</v>
      </c>
      <c r="V36" s="19">
        <f>_xll.BDH("SRPT US Equity","EARN_FOR_COMMON","FQ1 2024","FQ1 2024","Currency=USD","Period=FQ","BEST_FPERIOD_OVERRIDE=FQ","FILING_STATUS=MR","SCALING_FORMAT=MLN","FA_ADJUSTED=GAAP","Sort=A","Dates=H","DateFormat=P","Fill=—","Direction=H","UseDPDF=Y")</f>
        <v>36.119</v>
      </c>
      <c r="W36" s="19">
        <f>_xll.BDH("SRPT US Equity","EARN_FOR_COMMON","FQ2 2024","FQ2 2024","Currency=USD","Period=FQ","BEST_FPERIOD_OVERRIDE=FQ","FILING_STATUS=MR","SCALING_FORMAT=MLN","FA_ADJUSTED=GAAP","Sort=A","Dates=H","DateFormat=P","Fill=—","Direction=H","UseDPDF=Y")</f>
        <v>6.46</v>
      </c>
      <c r="X36" s="19">
        <f>_xll.BDH("SRPT US Equity","EARN_FOR_COMMON","FQ3 2024","FQ3 2024","Currency=USD","Period=FQ","BEST_FPERIOD_OVERRIDE=FQ","FILING_STATUS=MR","SCALING_FORMAT=MLN","FA_ADJUSTED=GAAP","Sort=A","Dates=H","DateFormat=P","Fill=—","Direction=H","UseDPDF=Y")</f>
        <v>33.610999999999997</v>
      </c>
      <c r="Y36" s="19">
        <f>_xll.BDH("SRPT US Equity","EARN_FOR_COMMON","FQ4 2024","FQ4 2024","Currency=USD","Period=FQ","BEST_FPERIOD_OVERRIDE=FQ","FILING_STATUS=MR","SCALING_FORMAT=MLN","FA_ADJUSTED=GAAP","Sort=A","Dates=H","DateFormat=P","Fill=—","Direction=H","UseDPDF=Y")</f>
        <v>159.04900000000001</v>
      </c>
      <c r="Z36" s="19">
        <v>107.06699999999999</v>
      </c>
      <c r="AA36" s="19">
        <v>262.16699999999997</v>
      </c>
    </row>
    <row r="37" spans="1:27" x14ac:dyDescent="0.25">
      <c r="A37" s="6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x14ac:dyDescent="0.25">
      <c r="A38" s="6" t="s">
        <v>387</v>
      </c>
      <c r="B38" s="6" t="s">
        <v>80</v>
      </c>
      <c r="C38" s="19">
        <f>_xll.BDH("SRPT US Equity","EARN_FOR_COMMON","FQ2 2019","FQ2 2019","Currency=USD","Period=FQ","BEST_FPERIOD_OVERRIDE=FQ","FILING_STATUS=MR","SCALING_FORMAT=MLN","FA_ADJUSTED=Adjusted","Sort=A","Dates=H","DateFormat=P","Fill=—","Direction=H","UseDPDF=Y")</f>
        <v>-88.084999999999994</v>
      </c>
      <c r="D38" s="19">
        <f>_xll.BDH("SRPT US Equity","EARN_FOR_COMMON","FQ3 2019","FQ3 2019","Currency=USD","Period=FQ","BEST_FPERIOD_OVERRIDE=FQ","FILING_STATUS=MR","SCALING_FORMAT=MLN","FA_ADJUSTED=Adjusted","Sort=A","Dates=H","DateFormat=P","Fill=—","Direction=H","UseDPDF=Y")</f>
        <v>-116.7307</v>
      </c>
      <c r="E38" s="19">
        <f>_xll.BDH("SRPT US Equity","EARN_FOR_COMMON","FQ4 2019","FQ4 2019","Currency=USD","Period=FQ","BEST_FPERIOD_OVERRIDE=FQ","FILING_STATUS=MR","SCALING_FORMAT=MLN","FA_ADJUSTED=Adjusted","Sort=A","Dates=H","DateFormat=P","Fill=—","Direction=H","UseDPDF=Y")</f>
        <v>-168.69839999999999</v>
      </c>
      <c r="F38" s="19">
        <f>_xll.BDH("SRPT US Equity","EARN_FOR_COMMON","FQ1 2020","FQ1 2020","Currency=USD","Period=FQ","BEST_FPERIOD_OVERRIDE=FQ","FILING_STATUS=MR","SCALING_FORMAT=MLN","FA_ADJUSTED=Adjusted","Sort=A","Dates=H","DateFormat=P","Fill=—","Direction=H","UseDPDF=Y")</f>
        <v>-114.0907</v>
      </c>
      <c r="G38" s="19">
        <f>_xll.BDH("SRPT US Equity","EARN_FOR_COMMON","FQ2 2020","FQ2 2020","Currency=USD","Period=FQ","BEST_FPERIOD_OVERRIDE=FQ","FILING_STATUS=MR","SCALING_FORMAT=MLN","FA_ADJUSTED=Adjusted","Sort=A","Dates=H","DateFormat=P","Fill=—","Direction=H","UseDPDF=Y")</f>
        <v>-150.82</v>
      </c>
      <c r="H38" s="19">
        <f>_xll.BDH("SRPT US Equity","EARN_FOR_COMMON","FQ3 2020","FQ3 2020","Currency=USD","Period=FQ","BEST_FPERIOD_OVERRIDE=FQ","FILING_STATUS=MR","SCALING_FORMAT=MLN","FA_ADJUSTED=Adjusted","Sort=A","Dates=H","DateFormat=P","Fill=—","Direction=H","UseDPDF=Y")</f>
        <v>-148.80279999999999</v>
      </c>
      <c r="I38" s="19">
        <f>_xll.BDH("SRPT US Equity","EARN_FOR_COMMON","FQ4 2020","FQ4 2020","Currency=USD","Period=FQ","BEST_FPERIOD_OVERRIDE=FQ","FILING_STATUS=MR","SCALING_FORMAT=MLN","FA_ADJUSTED=Adjusted","Sort=A","Dates=H","DateFormat=P","Fill=—","Direction=H","UseDPDF=Y")</f>
        <v>-180.9256</v>
      </c>
      <c r="J38" s="19">
        <f>_xll.BDH("SRPT US Equity","EARN_FOR_COMMON","FQ1 2021","FQ1 2021","Currency=USD","Period=FQ","BEST_FPERIOD_OVERRIDE=FQ","FILING_STATUS=MR","SCALING_FORMAT=MLN","FA_ADJUSTED=Adjusted","Sort=A","Dates=H","DateFormat=P","Fill=—","Direction=H","UseDPDF=Y")</f>
        <v>-153.2946</v>
      </c>
      <c r="K38" s="19">
        <f>_xll.BDH("SRPT US Equity","EARN_FOR_COMMON","FQ2 2021","FQ2 2021","Currency=USD","Period=FQ","BEST_FPERIOD_OVERRIDE=FQ","FILING_STATUS=MR","SCALING_FORMAT=MLN","FA_ADJUSTED=Adjusted","Sort=A","Dates=H","DateFormat=P","Fill=—","Direction=H","UseDPDF=Y")</f>
        <v>-151.72800000000001</v>
      </c>
      <c r="L38" s="19">
        <f>_xll.BDH("SRPT US Equity","EARN_FOR_COMMON","FQ3 2021","FQ3 2021","Currency=USD","Period=FQ","BEST_FPERIOD_OVERRIDE=FQ","FILING_STATUS=MR","SCALING_FORMAT=MLN","FA_ADJUSTED=Adjusted","Sort=A","Dates=H","DateFormat=P","Fill=—","Direction=H","UseDPDF=Y")</f>
        <v>-44.598500000000001</v>
      </c>
      <c r="M38" s="19">
        <f>_xll.BDH("SRPT US Equity","EARN_FOR_COMMON","FQ4 2021","FQ4 2021","Currency=USD","Period=FQ","BEST_FPERIOD_OVERRIDE=FQ","FILING_STATUS=MR","SCALING_FORMAT=MLN","FA_ADJUSTED=Adjusted","Sort=A","Dates=H","DateFormat=P","Fill=—","Direction=H","UseDPDF=Y")</f>
        <v>-121.98099999999999</v>
      </c>
      <c r="N38" s="19">
        <f>_xll.BDH("SRPT US Equity","EARN_FOR_COMMON","FQ1 2022","FQ1 2022","Currency=USD","Period=FQ","BEST_FPERIOD_OVERRIDE=FQ","FILING_STATUS=MR","SCALING_FORMAT=MLN","FA_ADJUSTED=Adjusted","Sort=A","Dates=H","DateFormat=P","Fill=—","Direction=H","UseDPDF=Y")</f>
        <v>-105.02500000000001</v>
      </c>
      <c r="O38" s="19">
        <f>_xll.BDH("SRPT US Equity","EARN_FOR_COMMON","FQ2 2022","FQ2 2022","Currency=USD","Period=FQ","BEST_FPERIOD_OVERRIDE=FQ","FILING_STATUS=MR","SCALING_FORMAT=MLN","FA_ADJUSTED=Adjusted","Sort=A","Dates=H","DateFormat=P","Fill=—","Direction=H","UseDPDF=Y")</f>
        <v>-231.48099999999999</v>
      </c>
      <c r="P38" s="19">
        <f>_xll.BDH("SRPT US Equity","EARN_FOR_COMMON","FQ3 2022","FQ3 2022","Currency=USD","Period=FQ","BEST_FPERIOD_OVERRIDE=FQ","FILING_STATUS=MR","SCALING_FORMAT=MLN","FA_ADJUSTED=Adjusted","Sort=A","Dates=H","DateFormat=P","Fill=—","Direction=H","UseDPDF=Y")</f>
        <v>-163.93260000000001</v>
      </c>
      <c r="Q38" s="19">
        <f>_xll.BDH("SRPT US Equity","EARN_FOR_COMMON","FQ4 2022","FQ4 2022","Currency=USD","Period=FQ","BEST_FPERIOD_OVERRIDE=FQ","FILING_STATUS=MR","SCALING_FORMAT=MLN","FA_ADJUSTED=Adjusted","Sort=A","Dates=H","DateFormat=P","Fill=—","Direction=H","UseDPDF=Y")</f>
        <v>-107.2098</v>
      </c>
      <c r="R38" s="19">
        <f>_xll.BDH("SRPT US Equity","EARN_FOR_COMMON","FQ1 2023","FQ1 2023","Currency=USD","Period=FQ","BEST_FPERIOD_OVERRIDE=FQ","FILING_STATUS=MR","SCALING_FORMAT=MLN","FA_ADJUSTED=Adjusted","Sort=A","Dates=H","DateFormat=P","Fill=—","Direction=H","UseDPDF=Y")</f>
        <v>-210.76509999999999</v>
      </c>
      <c r="S38" s="19">
        <f>_xll.BDH("SRPT US Equity","EARN_FOR_COMMON","FQ2 2023","FQ2 2023","Currency=USD","Period=FQ","BEST_FPERIOD_OVERRIDE=FQ","FILING_STATUS=MR","SCALING_FORMAT=MLN","FA_ADJUSTED=Adjusted","Sort=A","Dates=H","DateFormat=P","Fill=—","Direction=H","UseDPDF=Y")</f>
        <v>-105.152</v>
      </c>
      <c r="T38" s="19">
        <f>_xll.BDH("SRPT US Equity","EARN_FOR_COMMON","FQ3 2023","FQ3 2023","Currency=USD","Period=FQ","BEST_FPERIOD_OVERRIDE=FQ","FILING_STATUS=MR","SCALING_FORMAT=MLN","FA_ADJUSTED=Adjusted","Sort=A","Dates=H","DateFormat=P","Fill=—","Direction=H","UseDPDF=Y")</f>
        <v>-39.356999999999999</v>
      </c>
      <c r="U38" s="19">
        <f>_xll.BDH("SRPT US Equity","EARN_FOR_COMMON","FQ4 2023","FQ4 2023","Currency=USD","Period=FQ","BEST_FPERIOD_OVERRIDE=FQ","FILING_STATUS=MR","SCALING_FORMAT=MLN","FA_ADJUSTED=Adjusted","Sort=A","Dates=H","DateFormat=P","Fill=—","Direction=H","UseDPDF=Y")</f>
        <v>45.655000000000001</v>
      </c>
      <c r="V38" s="19">
        <f>_xll.BDH("SRPT US Equity","EARN_FOR_COMMON","FQ1 2024","FQ1 2024","Currency=USD","Period=FQ","BEST_FPERIOD_OVERRIDE=FQ","FILING_STATUS=MR","SCALING_FORMAT=MLN","FA_ADJUSTED=Adjusted","Sort=A","Dates=H","DateFormat=P","Fill=—","Direction=H","UseDPDF=Y")</f>
        <v>45.906999999999996</v>
      </c>
      <c r="W38" s="19">
        <f>_xll.BDH("SRPT US Equity","EARN_FOR_COMMON","FQ2 2024","FQ2 2024","Currency=USD","Period=FQ","BEST_FPERIOD_OVERRIDE=FQ","FILING_STATUS=MR","SCALING_FORMAT=MLN","FA_ADJUSTED=Adjusted","Sort=A","Dates=H","DateFormat=P","Fill=—","Direction=H","UseDPDF=Y")</f>
        <v>6.46</v>
      </c>
      <c r="X38" s="19">
        <f>_xll.BDH("SRPT US Equity","EARN_FOR_COMMON","FQ3 2024","FQ3 2024","Currency=USD","Period=FQ","BEST_FPERIOD_OVERRIDE=FQ","FILING_STATUS=MR","SCALING_FORMAT=MLN","FA_ADJUSTED=Adjusted","Sort=A","Dates=H","DateFormat=P","Fill=—","Direction=H","UseDPDF=Y")</f>
        <v>32.251100000000001</v>
      </c>
      <c r="Y38" s="19">
        <f>_xll.BDH("SRPT US Equity","EARN_FOR_COMMON","FQ4 2024","FQ4 2024","Currency=USD","Period=FQ","BEST_FPERIOD_OVERRIDE=FQ","FILING_STATUS=MR","SCALING_FORMAT=MLN","FA_ADJUSTED=Adjusted","Sort=A","Dates=H","DateFormat=P","Fill=—","Direction=H","UseDPDF=Y")</f>
        <v>158.33850000000001</v>
      </c>
      <c r="Z38" s="19">
        <v>97.182000000000002</v>
      </c>
      <c r="AA38" s="19">
        <v>292.846</v>
      </c>
    </row>
    <row r="39" spans="1:27" x14ac:dyDescent="0.25">
      <c r="A39" s="10" t="s">
        <v>388</v>
      </c>
      <c r="B39" s="10" t="s">
        <v>389</v>
      </c>
      <c r="C39" s="13">
        <f>_xll.BDH("SRPT US Equity","IS_NET_ABNORMAL_ITEMS","FQ2 2019","FQ2 2019","Currency=USD","Period=FQ","BEST_FPERIOD_OVERRIDE=FQ","FILING_STATUS=MR","SCALING_FORMAT=MLN","Sort=A","Dates=H","DateFormat=P","Fill=—","Direction=H","UseDPDF=Y")</f>
        <v>188.31800000000001</v>
      </c>
      <c r="D39" s="13">
        <f>_xll.BDH("SRPT US Equity","IS_NET_ABNORMAL_ITEMS","FQ3 2019","FQ3 2019","Currency=USD","Period=FQ","BEST_FPERIOD_OVERRIDE=FQ","FILING_STATUS=MR","SCALING_FORMAT=MLN","Sort=A","Dates=H","DateFormat=P","Fill=—","Direction=H","UseDPDF=Y")</f>
        <v>9.5952999999999999</v>
      </c>
      <c r="E39" s="13">
        <f>_xll.BDH("SRPT US Equity","IS_NET_ABNORMAL_ITEMS","FQ4 2019","FQ4 2019","Currency=USD","Period=FQ","BEST_FPERIOD_OVERRIDE=FQ","FILING_STATUS=MR","SCALING_FORMAT=MLN","Sort=A","Dates=H","DateFormat=P","Fill=—","Direction=H","UseDPDF=Y")</f>
        <v>67.004599999999996</v>
      </c>
      <c r="F39" s="13">
        <f>_xll.BDH("SRPT US Equity","IS_NET_ABNORMAL_ITEMS","FQ1 2020","FQ1 2020","Currency=USD","Period=FQ","BEST_FPERIOD_OVERRIDE=FQ","FILING_STATUS=MR","SCALING_FORMAT=MLN","Sort=A","Dates=H","DateFormat=P","Fill=—","Direction=H","UseDPDF=Y")</f>
        <v>-96.598699999999994</v>
      </c>
      <c r="G39" s="13">
        <f>_xll.BDH("SRPT US Equity","IS_NET_ABNORMAL_ITEMS","FQ2 2020","FQ2 2020","Currency=USD","Period=FQ","BEST_FPERIOD_OVERRIDE=FQ","FILING_STATUS=MR","SCALING_FORMAT=MLN","Sort=A","Dates=H","DateFormat=P","Fill=—","Direction=H","UseDPDF=Y")</f>
        <v>0</v>
      </c>
      <c r="H39" s="13">
        <f>_xll.BDH("SRPT US Equity","IS_NET_ABNORMAL_ITEMS","FQ3 2020","FQ3 2020","Currency=USD","Period=FQ","BEST_FPERIOD_OVERRIDE=FQ","FILING_STATUS=MR","SCALING_FORMAT=MLN","Sort=A","Dates=H","DateFormat=P","Fill=—","Direction=H","UseDPDF=Y")</f>
        <v>47.696300000000001</v>
      </c>
      <c r="I39" s="13">
        <f>_xll.BDH("SRPT US Equity","IS_NET_ABNORMAL_ITEMS","FQ4 2020","FQ4 2020","Currency=USD","Period=FQ","BEST_FPERIOD_OVERRIDE=FQ","FILING_STATUS=MR","SCALING_FORMAT=MLN","Sort=A","Dates=H","DateFormat=P","Fill=—","Direction=H","UseDPDF=Y")</f>
        <v>8.3914000000000009</v>
      </c>
      <c r="J39" s="13">
        <f>_xll.BDH("SRPT US Equity","IS_NET_ABNORMAL_ITEMS","FQ1 2021","FQ1 2021","Currency=USD","Period=FQ","BEST_FPERIOD_OVERRIDE=FQ","FILING_STATUS=MR","SCALING_FORMAT=MLN","Sort=A","Dates=H","DateFormat=P","Fill=—","Direction=H","UseDPDF=Y")</f>
        <v>13.955399999999999</v>
      </c>
      <c r="K39" s="13">
        <f>_xll.BDH("SRPT US Equity","IS_NET_ABNORMAL_ITEMS","FQ2 2021","FQ2 2021","Currency=USD","Period=FQ","BEST_FPERIOD_OVERRIDE=FQ","FILING_STATUS=MR","SCALING_FORMAT=MLN","Sort=A","Dates=H","DateFormat=P","Fill=—","Direction=H","UseDPDF=Y")</f>
        <v>-70.322999999999993</v>
      </c>
      <c r="L39" s="13">
        <f>_xll.BDH("SRPT US Equity","IS_NET_ABNORMAL_ITEMS","FQ3 2021","FQ3 2021","Currency=USD","Period=FQ","BEST_FPERIOD_OVERRIDE=FQ","FILING_STATUS=MR","SCALING_FORMAT=MLN","Sort=A","Dates=H","DateFormat=P","Fill=—","Direction=H","UseDPDF=Y")</f>
        <v>3.5455000000000001</v>
      </c>
      <c r="M39" s="13">
        <f>_xll.BDH("SRPT US Equity","IS_NET_ABNORMAL_ITEMS","FQ4 2021","FQ4 2021","Currency=USD","Period=FQ","BEST_FPERIOD_OVERRIDE=FQ","FILING_STATUS=MR","SCALING_FORMAT=MLN","Sort=A","Dates=H","DateFormat=P","Fill=—","Direction=H","UseDPDF=Y")</f>
        <v>0</v>
      </c>
      <c r="N39" s="13">
        <f>_xll.BDH("SRPT US Equity","IS_NET_ABNORMAL_ITEMS","FQ1 2022","FQ1 2022","Currency=USD","Period=FQ","BEST_FPERIOD_OVERRIDE=FQ","FILING_STATUS=MR","SCALING_FORMAT=MLN","Sort=A","Dates=H","DateFormat=P","Fill=—","Direction=H","UseDPDF=Y")</f>
        <v>0</v>
      </c>
      <c r="O39" s="13">
        <f>_xll.BDH("SRPT US Equity","IS_NET_ABNORMAL_ITEMS","FQ2 2022","FQ2 2022","Currency=USD","Period=FQ","BEST_FPERIOD_OVERRIDE=FQ","FILING_STATUS=MR","SCALING_FORMAT=MLN","Sort=A","Dates=H","DateFormat=P","Fill=—","Direction=H","UseDPDF=Y")</f>
        <v>0</v>
      </c>
      <c r="P39" s="13">
        <f>_xll.BDH("SRPT US Equity","IS_NET_ABNORMAL_ITEMS","FQ3 2022","FQ3 2022","Currency=USD","Period=FQ","BEST_FPERIOD_OVERRIDE=FQ","FILING_STATUS=MR","SCALING_FORMAT=MLN","Sort=A","Dates=H","DateFormat=P","Fill=—","Direction=H","UseDPDF=Y")</f>
        <v>93.805400000000006</v>
      </c>
      <c r="Q39" s="13">
        <f>_xll.BDH("SRPT US Equity","IS_NET_ABNORMAL_ITEMS","FQ4 2022","FQ4 2022","Currency=USD","Period=FQ","BEST_FPERIOD_OVERRIDE=FQ","FILING_STATUS=MR","SCALING_FORMAT=MLN","Sort=A","Dates=H","DateFormat=P","Fill=—","Direction=H","UseDPDF=Y")</f>
        <v>2.0343</v>
      </c>
      <c r="R39" s="13">
        <f>_xll.BDH("SRPT US Equity","IS_NET_ABNORMAL_ITEMS","FQ1 2023","FQ1 2023","Currency=USD","Period=FQ","BEST_FPERIOD_OVERRIDE=FQ","FILING_STATUS=MR","SCALING_FORMAT=MLN","Sort=A","Dates=H","DateFormat=P","Fill=—","Direction=H","UseDPDF=Y")</f>
        <v>305.98989999999998</v>
      </c>
      <c r="S39" s="13">
        <f>_xll.BDH("SRPT US Equity","IS_NET_ABNORMAL_ITEMS","FQ2 2023","FQ2 2023","Currency=USD","Period=FQ","BEST_FPERIOD_OVERRIDE=FQ","FILING_STATUS=MR","SCALING_FORMAT=MLN","Sort=A","Dates=H","DateFormat=P","Fill=—","Direction=H","UseDPDF=Y")</f>
        <v>-81.212000000000003</v>
      </c>
      <c r="T39" s="13">
        <f>_xll.BDH("SRPT US Equity","IS_NET_ABNORMAL_ITEMS","FQ3 2023","FQ3 2023","Currency=USD","Period=FQ","BEST_FPERIOD_OVERRIDE=FQ","FILING_STATUS=MR","SCALING_FORMAT=MLN","Sort=A","Dates=H","DateFormat=P","Fill=—","Direction=H","UseDPDF=Y")</f>
        <v>1.58</v>
      </c>
      <c r="U39" s="13">
        <f>_xll.BDH("SRPT US Equity","IS_NET_ABNORMAL_ITEMS","FQ4 2023","FQ4 2023","Currency=USD","Period=FQ","BEST_FPERIOD_OVERRIDE=FQ","FILING_STATUS=MR","SCALING_FORMAT=MLN","Sort=A","Dates=H","DateFormat=P","Fill=—","Direction=H","UseDPDF=Y")</f>
        <v>0</v>
      </c>
      <c r="V39" s="13">
        <f>_xll.BDH("SRPT US Equity","IS_NET_ABNORMAL_ITEMS","FQ1 2024","FQ1 2024","Currency=USD","Period=FQ","BEST_FPERIOD_OVERRIDE=FQ","FILING_STATUS=MR","SCALING_FORMAT=MLN","Sort=A","Dates=H","DateFormat=P","Fill=—","Direction=H","UseDPDF=Y")</f>
        <v>9.7880000000000003</v>
      </c>
      <c r="W39" s="13">
        <f>_xll.BDH("SRPT US Equity","IS_NET_ABNORMAL_ITEMS","FQ2 2024","FQ2 2024","Currency=USD","Period=FQ","BEST_FPERIOD_OVERRIDE=FQ","FILING_STATUS=MR","SCALING_FORMAT=MLN","Sort=A","Dates=H","DateFormat=P","Fill=—","Direction=H","UseDPDF=Y")</f>
        <v>0</v>
      </c>
      <c r="X39" s="13">
        <f>_xll.BDH("SRPT US Equity","IS_NET_ABNORMAL_ITEMS","FQ3 2024","FQ3 2024","Currency=USD","Period=FQ","BEST_FPERIOD_OVERRIDE=FQ","FILING_STATUS=MR","SCALING_FORMAT=MLN","Sort=A","Dates=H","DateFormat=P","Fill=—","Direction=H","UseDPDF=Y")</f>
        <v>-1.3599000000000001</v>
      </c>
      <c r="Y39" s="13">
        <f>_xll.BDH("SRPT US Equity","IS_NET_ABNORMAL_ITEMS","FQ4 2024","FQ4 2024","Currency=USD","Period=FQ","BEST_FPERIOD_OVERRIDE=FQ","FILING_STATUS=MR","SCALING_FORMAT=MLN","Sort=A","Dates=H","DateFormat=P","Fill=—","Direction=H","UseDPDF=Y")</f>
        <v>-0.71050000000000002</v>
      </c>
      <c r="Z39" s="13"/>
      <c r="AA39" s="13"/>
    </row>
    <row r="40" spans="1:27" x14ac:dyDescent="0.25">
      <c r="A40" s="10" t="s">
        <v>390</v>
      </c>
      <c r="B40" s="10" t="s">
        <v>371</v>
      </c>
      <c r="C40" s="13">
        <f>_xll.BDH("SRPT US Equity","XO_GL_NET_OF_TAX","FQ2 2019","FQ2 2019","Currency=USD","Period=FQ","BEST_FPERIOD_OVERRIDE=FQ","FILING_STATUS=MR","SCALING_FORMAT=MLN","Sort=A","Dates=H","DateFormat=P","Fill=—","Direction=H","UseDPDF=Y")</f>
        <v>0</v>
      </c>
      <c r="D40" s="13">
        <f>_xll.BDH("SRPT US Equity","XO_GL_NET_OF_TAX","FQ3 2019","FQ3 2019","Currency=USD","Period=FQ","BEST_FPERIOD_OVERRIDE=FQ","FILING_STATUS=MR","SCALING_FORMAT=MLN","Sort=A","Dates=H","DateFormat=P","Fill=—","Direction=H","UseDPDF=Y")</f>
        <v>0</v>
      </c>
      <c r="E40" s="13">
        <f>_xll.BDH("SRPT US Equity","XO_GL_NET_OF_TAX","FQ4 2019","FQ4 2019","Currency=USD","Period=FQ","BEST_FPERIOD_OVERRIDE=FQ","FILING_STATUS=MR","SCALING_FORMAT=MLN","Sort=A","Dates=H","DateFormat=P","Fill=—","Direction=H","UseDPDF=Y")</f>
        <v>0</v>
      </c>
      <c r="F40" s="13">
        <f>_xll.BDH("SRPT US Equity","XO_GL_NET_OF_TAX","FQ1 2020","FQ1 2020","Currency=USD","Period=FQ","BEST_FPERIOD_OVERRIDE=FQ","FILING_STATUS=MR","SCALING_FORMAT=MLN","Sort=A","Dates=H","DateFormat=P","Fill=—","Direction=H","UseDPDF=Y")</f>
        <v>0</v>
      </c>
      <c r="G40" s="13">
        <f>_xll.BDH("SRPT US Equity","XO_GL_NET_OF_TAX","FQ2 2020","FQ2 2020","Currency=USD","Period=FQ","BEST_FPERIOD_OVERRIDE=FQ","FILING_STATUS=MR","SCALING_FORMAT=MLN","Sort=A","Dates=H","DateFormat=P","Fill=—","Direction=H","UseDPDF=Y")</f>
        <v>0</v>
      </c>
      <c r="H40" s="13">
        <f>_xll.BDH("SRPT US Equity","XO_GL_NET_OF_TAX","FQ3 2020","FQ3 2020","Currency=USD","Period=FQ","BEST_FPERIOD_OVERRIDE=FQ","FILING_STATUS=MR","SCALING_FORMAT=MLN","Sort=A","Dates=H","DateFormat=P","Fill=—","Direction=H","UseDPDF=Y")</f>
        <v>0</v>
      </c>
      <c r="I40" s="13">
        <f>_xll.BDH("SRPT US Equity","XO_GL_NET_OF_TAX","FQ4 2020","FQ4 2020","Currency=USD","Period=FQ","BEST_FPERIOD_OVERRIDE=FQ","FILING_STATUS=MR","SCALING_FORMAT=MLN","Sort=A","Dates=H","DateFormat=P","Fill=—","Direction=H","UseDPDF=Y")</f>
        <v>0</v>
      </c>
      <c r="J40" s="13">
        <f>_xll.BDH("SRPT US Equity","XO_GL_NET_OF_TAX","FQ1 2021","FQ1 2021","Currency=USD","Period=FQ","BEST_FPERIOD_OVERRIDE=FQ","FILING_STATUS=MR","SCALING_FORMAT=MLN","Sort=A","Dates=H","DateFormat=P","Fill=—","Direction=H","UseDPDF=Y")</f>
        <v>0</v>
      </c>
      <c r="K40" s="13">
        <f>_xll.BDH("SRPT US Equity","XO_GL_NET_OF_TAX","FQ2 2021","FQ2 2021","Currency=USD","Period=FQ","BEST_FPERIOD_OVERRIDE=FQ","FILING_STATUS=MR","SCALING_FORMAT=MLN","Sort=A","Dates=H","DateFormat=P","Fill=—","Direction=H","UseDPDF=Y")</f>
        <v>0</v>
      </c>
      <c r="L40" s="13">
        <f>_xll.BDH("SRPT US Equity","XO_GL_NET_OF_TAX","FQ3 2021","FQ3 2021","Currency=USD","Period=FQ","BEST_FPERIOD_OVERRIDE=FQ","FILING_STATUS=MR","SCALING_FORMAT=MLN","Sort=A","Dates=H","DateFormat=P","Fill=—","Direction=H","UseDPDF=Y")</f>
        <v>0</v>
      </c>
      <c r="M40" s="13">
        <f>_xll.BDH("SRPT US Equity","XO_GL_NET_OF_TAX","FQ4 2021","FQ4 2021","Currency=USD","Period=FQ","BEST_FPERIOD_OVERRIDE=FQ","FILING_STATUS=MR","SCALING_FORMAT=MLN","Sort=A","Dates=H","DateFormat=P","Fill=—","Direction=H","UseDPDF=Y")</f>
        <v>0</v>
      </c>
      <c r="N40" s="13">
        <f>_xll.BDH("SRPT US Equity","XO_GL_NET_OF_TAX","FQ1 2022","FQ1 2022","Currency=USD","Period=FQ","BEST_FPERIOD_OVERRIDE=FQ","FILING_STATUS=MR","SCALING_FORMAT=MLN","Sort=A","Dates=H","DateFormat=P","Fill=—","Direction=H","UseDPDF=Y")</f>
        <v>0</v>
      </c>
      <c r="O40" s="13">
        <f>_xll.BDH("SRPT US Equity","XO_GL_NET_OF_TAX","FQ2 2022","FQ2 2022","Currency=USD","Period=FQ","BEST_FPERIOD_OVERRIDE=FQ","FILING_STATUS=MR","SCALING_FORMAT=MLN","Sort=A","Dates=H","DateFormat=P","Fill=—","Direction=H","UseDPDF=Y")</f>
        <v>0</v>
      </c>
      <c r="P40" s="13">
        <f>_xll.BDH("SRPT US Equity","XO_GL_NET_OF_TAX","FQ3 2022","FQ3 2022","Currency=USD","Period=FQ","BEST_FPERIOD_OVERRIDE=FQ","FILING_STATUS=MR","SCALING_FORMAT=MLN","Sort=A","Dates=H","DateFormat=P","Fill=—","Direction=H","UseDPDF=Y")</f>
        <v>0</v>
      </c>
      <c r="Q40" s="13">
        <f>_xll.BDH("SRPT US Equity","XO_GL_NET_OF_TAX","FQ4 2022","FQ4 2022","Currency=USD","Period=FQ","BEST_FPERIOD_OVERRIDE=FQ","FILING_STATUS=MR","SCALING_FORMAT=MLN","Sort=A","Dates=H","DateFormat=P","Fill=—","Direction=H","UseDPDF=Y")</f>
        <v>0</v>
      </c>
      <c r="R40" s="13">
        <f>_xll.BDH("SRPT US Equity","XO_GL_NET_OF_TAX","FQ1 2023","FQ1 2023","Currency=USD","Period=FQ","BEST_FPERIOD_OVERRIDE=FQ","FILING_STATUS=MR","SCALING_FORMAT=MLN","Sort=A","Dates=H","DateFormat=P","Fill=—","Direction=H","UseDPDF=Y")</f>
        <v>0</v>
      </c>
      <c r="S40" s="13">
        <f>_xll.BDH("SRPT US Equity","XO_GL_NET_OF_TAX","FQ2 2023","FQ2 2023","Currency=USD","Period=FQ","BEST_FPERIOD_OVERRIDE=FQ","FILING_STATUS=MR","SCALING_FORMAT=MLN","Sort=A","Dates=H","DateFormat=P","Fill=—","Direction=H","UseDPDF=Y")</f>
        <v>0</v>
      </c>
      <c r="T40" s="13">
        <f>_xll.BDH("SRPT US Equity","XO_GL_NET_OF_TAX","FQ3 2023","FQ3 2023","Currency=USD","Period=FQ","BEST_FPERIOD_OVERRIDE=FQ","FILING_STATUS=MR","SCALING_FORMAT=MLN","Sort=A","Dates=H","DateFormat=P","Fill=—","Direction=H","UseDPDF=Y")</f>
        <v>0</v>
      </c>
      <c r="U40" s="13">
        <f>_xll.BDH("SRPT US Equity","XO_GL_NET_OF_TAX","FQ4 2023","FQ4 2023","Currency=USD","Period=FQ","BEST_FPERIOD_OVERRIDE=FQ","FILING_STATUS=MR","SCALING_FORMAT=MLN","Sort=A","Dates=H","DateFormat=P","Fill=—","Direction=H","UseDPDF=Y")</f>
        <v>0</v>
      </c>
      <c r="V40" s="13">
        <f>_xll.BDH("SRPT US Equity","XO_GL_NET_OF_TAX","FQ1 2024","FQ1 2024","Currency=USD","Period=FQ","BEST_FPERIOD_OVERRIDE=FQ","FILING_STATUS=MR","SCALING_FORMAT=MLN","Sort=A","Dates=H","DateFormat=P","Fill=—","Direction=H","UseDPDF=Y")</f>
        <v>0</v>
      </c>
      <c r="W40" s="13">
        <f>_xll.BDH("SRPT US Equity","XO_GL_NET_OF_TAX","FQ2 2024","FQ2 2024","Currency=USD","Period=FQ","BEST_FPERIOD_OVERRIDE=FQ","FILING_STATUS=MR","SCALING_FORMAT=MLN","Sort=A","Dates=H","DateFormat=P","Fill=—","Direction=H","UseDPDF=Y")</f>
        <v>0</v>
      </c>
      <c r="X40" s="13">
        <f>_xll.BDH("SRPT US Equity","XO_GL_NET_OF_TAX","FQ3 2024","FQ3 2024","Currency=USD","Period=FQ","BEST_FPERIOD_OVERRIDE=FQ","FILING_STATUS=MR","SCALING_FORMAT=MLN","Sort=A","Dates=H","DateFormat=P","Fill=—","Direction=H","UseDPDF=Y")</f>
        <v>0</v>
      </c>
      <c r="Y40" s="13">
        <f>_xll.BDH("SRPT US Equity","XO_GL_NET_OF_TAX","FQ4 2024","FQ4 2024","Currency=USD","Period=FQ","BEST_FPERIOD_OVERRIDE=FQ","FILING_STATUS=MR","SCALING_FORMAT=MLN","Sort=A","Dates=H","DateFormat=P","Fill=—","Direction=H","UseDPDF=Y")</f>
        <v>0</v>
      </c>
      <c r="Z40" s="13"/>
      <c r="AA40" s="13"/>
    </row>
    <row r="41" spans="1:27" x14ac:dyDescent="0.25">
      <c r="A41" s="6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x14ac:dyDescent="0.25">
      <c r="A42" s="10" t="s">
        <v>259</v>
      </c>
      <c r="B42" s="10" t="s">
        <v>106</v>
      </c>
      <c r="C42" s="13">
        <f>_xll.BDH("SRPT US Equity","IS_AVG_NUM_SH_FOR_EPS","FQ2 2019","FQ2 2019","Currency=USD","Period=FQ","BEST_FPERIOD_OVERRIDE=FQ","FILING_STATUS=MR","Sort=A","Dates=H","DateFormat=P","Fill=—","Direction=H","UseDPDF=Y")</f>
        <v>73.957999999999998</v>
      </c>
      <c r="D42" s="13">
        <f>_xll.BDH("SRPT US Equity","IS_AVG_NUM_SH_FOR_EPS","FQ3 2019","FQ3 2019","Currency=USD","Period=FQ","BEST_FPERIOD_OVERRIDE=FQ","FILING_STATUS=MR","Sort=A","Dates=H","DateFormat=P","Fill=—","Direction=H","UseDPDF=Y")</f>
        <v>74.177000000000007</v>
      </c>
      <c r="E42" s="13">
        <f>_xll.BDH("SRPT US Equity","IS_AVG_NUM_SH_FOR_EPS","FQ4 2019","FQ4 2019","Currency=USD","Period=FQ","BEST_FPERIOD_OVERRIDE=FQ","FILING_STATUS=MR","Sort=A","Dates=H","DateFormat=P","Fill=—","Direction=H","UseDPDF=Y")</f>
        <v>74.557000000000002</v>
      </c>
      <c r="F42" s="13">
        <f>_xll.BDH("SRPT US Equity","IS_AVG_NUM_SH_FOR_EPS","FQ1 2020","FQ1 2020","Currency=USD","Period=FQ","BEST_FPERIOD_OVERRIDE=FQ","FILING_STATUS=MR","Sort=A","Dates=H","DateFormat=P","Fill=—","Direction=H","UseDPDF=Y")</f>
        <v>76.432000000000002</v>
      </c>
      <c r="G42" s="13">
        <f>_xll.BDH("SRPT US Equity","IS_AVG_NUM_SH_FOR_EPS","FQ2 2020","FQ2 2020","Currency=USD","Period=FQ","BEST_FPERIOD_OVERRIDE=FQ","FILING_STATUS=MR","Sort=A","Dates=H","DateFormat=P","Fill=—","Direction=H","UseDPDF=Y")</f>
        <v>77.968000000000004</v>
      </c>
      <c r="H42" s="13">
        <f>_xll.BDH("SRPT US Equity","IS_AVG_NUM_SH_FOR_EPS","FQ3 2020","FQ3 2020","Currency=USD","Period=FQ","BEST_FPERIOD_OVERRIDE=FQ","FILING_STATUS=MR","Sort=A","Dates=H","DateFormat=P","Fill=—","Direction=H","UseDPDF=Y")</f>
        <v>78.501000000000005</v>
      </c>
      <c r="I42" s="13">
        <f>_xll.BDH("SRPT US Equity","IS_AVG_NUM_SH_FOR_EPS","FQ4 2020","FQ4 2020","Currency=USD","Period=FQ","BEST_FPERIOD_OVERRIDE=FQ","FILING_STATUS=MR","Sort=A","Dates=H","DateFormat=P","Fill=—","Direction=H","UseDPDF=Y")</f>
        <v>78.905000000000001</v>
      </c>
      <c r="J42" s="13">
        <f>_xll.BDH("SRPT US Equity","IS_AVG_NUM_SH_FOR_EPS","FQ1 2021","FQ1 2021","Currency=USD","Period=FQ","BEST_FPERIOD_OVERRIDE=FQ","FILING_STATUS=MR","Sort=A","Dates=H","DateFormat=P","Fill=—","Direction=H","UseDPDF=Y")</f>
        <v>79.453999999999994</v>
      </c>
      <c r="K42" s="13">
        <f>_xll.BDH("SRPT US Equity","IS_AVG_NUM_SH_FOR_EPS","FQ2 2021","FQ2 2021","Currency=USD","Period=FQ","BEST_FPERIOD_OVERRIDE=FQ","FILING_STATUS=MR","Sort=A","Dates=H","DateFormat=P","Fill=—","Direction=H","UseDPDF=Y")</f>
        <v>79.745999999999995</v>
      </c>
      <c r="L42" s="13">
        <f>_xll.BDH("SRPT US Equity","IS_AVG_NUM_SH_FOR_EPS","FQ3 2021","FQ3 2021","Currency=USD","Period=FQ","BEST_FPERIOD_OVERRIDE=FQ","FILING_STATUS=MR","Sort=A","Dates=H","DateFormat=P","Fill=—","Direction=H","UseDPDF=Y")</f>
        <v>79.88</v>
      </c>
      <c r="M42" s="13">
        <f>_xll.BDH("SRPT US Equity","IS_AVG_NUM_SH_FOR_EPS","FQ4 2021","FQ4 2021","Currency=USD","Period=FQ","BEST_FPERIOD_OVERRIDE=FQ","FILING_STATUS=MR","Sort=A","Dates=H","DateFormat=P","Fill=—","Direction=H","UseDPDF=Y")</f>
        <v>85.950999999999993</v>
      </c>
      <c r="N42" s="13">
        <f>_xll.BDH("SRPT US Equity","IS_AVG_NUM_SH_FOR_EPS","FQ1 2022","FQ1 2022","Currency=USD","Period=FQ","BEST_FPERIOD_OVERRIDE=FQ","FILING_STATUS=MR","Sort=A","Dates=H","DateFormat=P","Fill=—","Direction=H","UseDPDF=Y")</f>
        <v>87.253</v>
      </c>
      <c r="O42" s="13">
        <f>_xll.BDH("SRPT US Equity","IS_AVG_NUM_SH_FOR_EPS","FQ2 2022","FQ2 2022","Currency=USD","Period=FQ","BEST_FPERIOD_OVERRIDE=FQ","FILING_STATUS=MR","Sort=A","Dates=H","DateFormat=P","Fill=—","Direction=H","UseDPDF=Y")</f>
        <v>87.510999999999996</v>
      </c>
      <c r="P42" s="13">
        <f>_xll.BDH("SRPT US Equity","IS_AVG_NUM_SH_FOR_EPS","FQ3 2022","FQ3 2022","Currency=USD","Period=FQ","BEST_FPERIOD_OVERRIDE=FQ","FILING_STATUS=MR","Sort=A","Dates=H","DateFormat=P","Fill=—","Direction=H","UseDPDF=Y")</f>
        <v>87.628</v>
      </c>
      <c r="Q42" s="13">
        <f>_xll.BDH("SRPT US Equity","IS_AVG_NUM_SH_FOR_EPS","FQ4 2022","FQ4 2022","Currency=USD","Period=FQ","BEST_FPERIOD_OVERRIDE=FQ","FILING_STATUS=MR","Sort=A","Dates=H","DateFormat=P","Fill=—","Direction=H","UseDPDF=Y")</f>
        <v>87.837999999999994</v>
      </c>
      <c r="R42" s="13">
        <f>_xll.BDH("SRPT US Equity","IS_AVG_NUM_SH_FOR_EPS","FQ1 2023","FQ1 2023","Currency=USD","Period=FQ","BEST_FPERIOD_OVERRIDE=FQ","FILING_STATUS=MR","Sort=A","Dates=H","DateFormat=P","Fill=—","Direction=H","UseDPDF=Y")</f>
        <v>88.186000000000007</v>
      </c>
      <c r="S42" s="13">
        <f>_xll.BDH("SRPT US Equity","IS_AVG_NUM_SH_FOR_EPS","FQ2 2023","FQ2 2023","Currency=USD","Period=FQ","BEST_FPERIOD_OVERRIDE=FQ","FILING_STATUS=MR","Sort=A","Dates=H","DateFormat=P","Fill=—","Direction=H","UseDPDF=Y")</f>
        <v>88.742999999999995</v>
      </c>
      <c r="T42" s="13">
        <f>_xll.BDH("SRPT US Equity","IS_AVG_NUM_SH_FOR_EPS","FQ3 2023","FQ3 2023","Currency=USD","Period=FQ","BEST_FPERIOD_OVERRIDE=FQ","FILING_STATUS=MR","Sort=A","Dates=H","DateFormat=P","Fill=—","Direction=H","UseDPDF=Y")</f>
        <v>88.888999999999996</v>
      </c>
      <c r="U42" s="13">
        <f>_xll.BDH("SRPT US Equity","IS_AVG_NUM_SH_FOR_EPS","FQ4 2023","FQ4 2023","Currency=USD","Period=FQ","BEST_FPERIOD_OVERRIDE=FQ","FILING_STATUS=MR","Sort=A","Dates=H","DateFormat=P","Fill=—","Direction=H","UseDPDF=Y")</f>
        <v>93.617000000000004</v>
      </c>
      <c r="V42" s="13">
        <f>_xll.BDH("SRPT US Equity","IS_AVG_NUM_SH_FOR_EPS","FQ1 2024","FQ1 2024","Currency=USD","Period=FQ","BEST_FPERIOD_OVERRIDE=FQ","FILING_STATUS=MR","Sort=A","Dates=H","DateFormat=P","Fill=—","Direction=H","UseDPDF=Y")</f>
        <v>93.991</v>
      </c>
      <c r="W42" s="13">
        <f>_xll.BDH("SRPT US Equity","IS_AVG_NUM_SH_FOR_EPS","FQ2 2024","FQ2 2024","Currency=USD","Period=FQ","BEST_FPERIOD_OVERRIDE=FQ","FILING_STATUS=MR","Sort=A","Dates=H","DateFormat=P","Fill=—","Direction=H","UseDPDF=Y")</f>
        <v>94.617999999999995</v>
      </c>
      <c r="X42" s="13">
        <f>_xll.BDH("SRPT US Equity","IS_AVG_NUM_SH_FOR_EPS","FQ3 2024","FQ3 2024","Currency=USD","Period=FQ","BEST_FPERIOD_OVERRIDE=FQ","FILING_STATUS=MR","Sort=A","Dates=H","DateFormat=P","Fill=—","Direction=H","UseDPDF=Y")</f>
        <v>95.39</v>
      </c>
      <c r="Y42" s="13">
        <f>_xll.BDH("SRPT US Equity","IS_AVG_NUM_SH_FOR_EPS","FQ4 2024","FQ4 2024","Currency=USD","Period=FQ","BEST_FPERIOD_OVERRIDE=FQ","FILING_STATUS=MR","Sort=A","Dates=H","DateFormat=P","Fill=—","Direction=H","UseDPDF=Y")</f>
        <v>96.283000000000001</v>
      </c>
      <c r="Z42" s="13"/>
      <c r="AA42" s="13"/>
    </row>
    <row r="43" spans="1:27" x14ac:dyDescent="0.25">
      <c r="A43" s="6" t="s">
        <v>101</v>
      </c>
      <c r="B43" s="6" t="s">
        <v>102</v>
      </c>
      <c r="C43" s="20">
        <f>_xll.BDH("SRPT US Equity","IS_EPS","FQ2 2019","FQ2 2019","Currency=USD","Period=FQ","BEST_FPERIOD_OVERRIDE=FQ","FILING_STATUS=MR","FA_ADJUSTED=GAAP","Sort=A","Dates=H","DateFormat=P","Fill=—","Direction=H","UseDPDF=Y")</f>
        <v>-3.74</v>
      </c>
      <c r="D43" s="20">
        <f>_xll.BDH("SRPT US Equity","IS_EPS","FQ3 2019","FQ3 2019","Currency=USD","Period=FQ","BEST_FPERIOD_OVERRIDE=FQ","FILING_STATUS=MR","FA_ADJUSTED=GAAP","Sort=A","Dates=H","DateFormat=P","Fill=—","Direction=H","UseDPDF=Y")</f>
        <v>-1.7</v>
      </c>
      <c r="E43" s="20">
        <f>_xll.BDH("SRPT US Equity","IS_EPS","FQ4 2019","FQ4 2019","Currency=USD","Period=FQ","BEST_FPERIOD_OVERRIDE=FQ","FILING_STATUS=MR","FA_ADJUSTED=GAAP","Sort=A","Dates=H","DateFormat=P","Fill=—","Direction=H","UseDPDF=Y")</f>
        <v>-3.16</v>
      </c>
      <c r="F43" s="20">
        <f>_xll.BDH("SRPT US Equity","IS_EPS","FQ1 2020","FQ1 2020","Currency=USD","Period=FQ","BEST_FPERIOD_OVERRIDE=FQ","FILING_STATUS=MR","FA_ADJUSTED=GAAP","Sort=A","Dates=H","DateFormat=P","Fill=—","Direction=H","UseDPDF=Y")</f>
        <v>-0.23</v>
      </c>
      <c r="G43" s="20">
        <f>_xll.BDH("SRPT US Equity","IS_EPS","FQ2 2020","FQ2 2020","Currency=USD","Period=FQ","BEST_FPERIOD_OVERRIDE=FQ","FILING_STATUS=MR","FA_ADJUSTED=GAAP","Sort=A","Dates=H","DateFormat=P","Fill=—","Direction=H","UseDPDF=Y")</f>
        <v>-1.93</v>
      </c>
      <c r="H43" s="20">
        <f>_xll.BDH("SRPT US Equity","IS_EPS","FQ3 2020","FQ3 2020","Currency=USD","Period=FQ","BEST_FPERIOD_OVERRIDE=FQ","FILING_STATUS=MR","FA_ADJUSTED=GAAP","Sort=A","Dates=H","DateFormat=P","Fill=—","Direction=H","UseDPDF=Y")</f>
        <v>-2.5</v>
      </c>
      <c r="I43" s="20">
        <f>_xll.BDH("SRPT US Equity","IS_EPS","FQ4 2020","FQ4 2020","Currency=USD","Period=FQ","BEST_FPERIOD_OVERRIDE=FQ","FILING_STATUS=MR","FA_ADJUSTED=GAAP","Sort=A","Dates=H","DateFormat=P","Fill=—","Direction=H","UseDPDF=Y")</f>
        <v>-2.4</v>
      </c>
      <c r="J43" s="20">
        <f>_xll.BDH("SRPT US Equity","IS_EPS","FQ1 2021","FQ1 2021","Currency=USD","Period=FQ","BEST_FPERIOD_OVERRIDE=FQ","FILING_STATUS=MR","FA_ADJUSTED=GAAP","Sort=A","Dates=H","DateFormat=P","Fill=—","Direction=H","UseDPDF=Y")</f>
        <v>-2.1</v>
      </c>
      <c r="K43" s="20">
        <f>_xll.BDH("SRPT US Equity","IS_EPS","FQ2 2021","FQ2 2021","Currency=USD","Period=FQ","BEST_FPERIOD_OVERRIDE=FQ","FILING_STATUS=MR","FA_ADJUSTED=GAAP","Sort=A","Dates=H","DateFormat=P","Fill=—","Direction=H","UseDPDF=Y")</f>
        <v>-1.02</v>
      </c>
      <c r="L43" s="20">
        <f>_xll.BDH("SRPT US Equity","IS_EPS","FQ3 2021","FQ3 2021","Currency=USD","Period=FQ","BEST_FPERIOD_OVERRIDE=FQ","FILING_STATUS=MR","FA_ADJUSTED=GAAP","Sort=A","Dates=H","DateFormat=P","Fill=—","Direction=H","UseDPDF=Y")</f>
        <v>-0.6</v>
      </c>
      <c r="M43" s="20">
        <f>_xll.BDH("SRPT US Equity","IS_EPS","FQ4 2021","FQ4 2021","Currency=USD","Period=FQ","BEST_FPERIOD_OVERRIDE=FQ","FILING_STATUS=MR","FA_ADJUSTED=GAAP","Sort=A","Dates=H","DateFormat=P","Fill=—","Direction=H","UseDPDF=Y")</f>
        <v>-1.42</v>
      </c>
      <c r="N43" s="20">
        <f>_xll.BDH("SRPT US Equity","IS_EPS","FQ1 2022","FQ1 2022","Currency=USD","Period=FQ","BEST_FPERIOD_OVERRIDE=FQ","FILING_STATUS=MR","FA_ADJUSTED=GAAP","Sort=A","Dates=H","DateFormat=P","Fill=—","Direction=H","UseDPDF=Y")</f>
        <v>-1.2</v>
      </c>
      <c r="O43" s="20">
        <f>_xll.BDH("SRPT US Equity","IS_EPS","FQ2 2022","FQ2 2022","Currency=USD","Period=FQ","BEST_FPERIOD_OVERRIDE=FQ","FILING_STATUS=MR","FA_ADJUSTED=GAAP","Sort=A","Dates=H","DateFormat=P","Fill=—","Direction=H","UseDPDF=Y")</f>
        <v>-2.65</v>
      </c>
      <c r="P43" s="20">
        <f>_xll.BDH("SRPT US Equity","IS_EPS","FQ3 2022","FQ3 2022","Currency=USD","Period=FQ","BEST_FPERIOD_OVERRIDE=FQ","FILING_STATUS=MR","FA_ADJUSTED=GAAP","Sort=A","Dates=H","DateFormat=P","Fill=—","Direction=H","UseDPDF=Y")</f>
        <v>-2.94</v>
      </c>
      <c r="Q43" s="20">
        <f>_xll.BDH("SRPT US Equity","IS_EPS","FQ4 2022","FQ4 2022","Currency=USD","Period=FQ","BEST_FPERIOD_OVERRIDE=FQ","FILING_STATUS=MR","FA_ADJUSTED=GAAP","Sort=A","Dates=H","DateFormat=P","Fill=—","Direction=H","UseDPDF=Y")</f>
        <v>-1.24</v>
      </c>
      <c r="R43" s="20">
        <f>_xll.BDH("SRPT US Equity","IS_EPS","FQ1 2023","FQ1 2023","Currency=USD","Period=FQ","BEST_FPERIOD_OVERRIDE=FQ","FILING_STATUS=MR","FA_ADJUSTED=GAAP","Sort=A","Dates=H","DateFormat=P","Fill=—","Direction=H","UseDPDF=Y")</f>
        <v>-5.86</v>
      </c>
      <c r="S43" s="20">
        <f>_xll.BDH("SRPT US Equity","IS_EPS","FQ2 2023","FQ2 2023","Currency=USD","Period=FQ","BEST_FPERIOD_OVERRIDE=FQ","FILING_STATUS=MR","FA_ADJUSTED=GAAP","Sort=A","Dates=H","DateFormat=P","Fill=—","Direction=H","UseDPDF=Y")</f>
        <v>-0.27</v>
      </c>
      <c r="T43" s="20">
        <f>_xll.BDH("SRPT US Equity","IS_EPS","FQ3 2023","FQ3 2023","Currency=USD","Period=FQ","BEST_FPERIOD_OVERRIDE=FQ","FILING_STATUS=MR","FA_ADJUSTED=GAAP","Sort=A","Dates=H","DateFormat=P","Fill=—","Direction=H","UseDPDF=Y")</f>
        <v>-0.46</v>
      </c>
      <c r="U43" s="20">
        <f>_xll.BDH("SRPT US Equity","IS_EPS","FQ4 2023","FQ4 2023","Currency=USD","Period=FQ","BEST_FPERIOD_OVERRIDE=FQ","FILING_STATUS=MR","FA_ADJUSTED=GAAP","Sort=A","Dates=H","DateFormat=P","Fill=—","Direction=H","UseDPDF=Y")</f>
        <v>0.49</v>
      </c>
      <c r="V43" s="20">
        <f>_xll.BDH("SRPT US Equity","IS_EPS","FQ1 2024","FQ1 2024","Currency=USD","Period=FQ","BEST_FPERIOD_OVERRIDE=FQ","FILING_STATUS=MR","FA_ADJUSTED=GAAP","Sort=A","Dates=H","DateFormat=P","Fill=—","Direction=H","UseDPDF=Y")</f>
        <v>0.38</v>
      </c>
      <c r="W43" s="20">
        <f>_xll.BDH("SRPT US Equity","IS_EPS","FQ2 2024","FQ2 2024","Currency=USD","Period=FQ","BEST_FPERIOD_OVERRIDE=FQ","FILING_STATUS=MR","FA_ADJUSTED=GAAP","Sort=A","Dates=H","DateFormat=P","Fill=—","Direction=H","UseDPDF=Y")</f>
        <v>7.0000000000000007E-2</v>
      </c>
      <c r="X43" s="20">
        <f>_xll.BDH("SRPT US Equity","IS_EPS","FQ3 2024","FQ3 2024","Currency=USD","Period=FQ","BEST_FPERIOD_OVERRIDE=FQ","FILING_STATUS=MR","FA_ADJUSTED=GAAP","Sort=A","Dates=H","DateFormat=P","Fill=—","Direction=H","UseDPDF=Y")</f>
        <v>0.35</v>
      </c>
      <c r="Y43" s="20">
        <f>_xll.BDH("SRPT US Equity","IS_EPS","FQ4 2024","FQ4 2024","Currency=USD","Period=FQ","BEST_FPERIOD_OVERRIDE=FQ","FILING_STATUS=MR","FA_ADJUSTED=GAAP","Sort=A","Dates=H","DateFormat=P","Fill=—","Direction=H","UseDPDF=Y")</f>
        <v>1.65</v>
      </c>
      <c r="Z43" s="20">
        <v>0.59499999999999997</v>
      </c>
      <c r="AA43" s="20">
        <v>2.3820000000000001</v>
      </c>
    </row>
    <row r="44" spans="1:27" x14ac:dyDescent="0.25">
      <c r="A44" s="6" t="s">
        <v>391</v>
      </c>
      <c r="B44" s="6" t="s">
        <v>266</v>
      </c>
      <c r="C44" s="20">
        <f>_xll.BDH("SRPT US Equity","IS_EARN_BEF_XO_ITEMS_PER_SH","FQ2 2019","FQ2 2019","Currency=USD","Period=FQ","BEST_FPERIOD_OVERRIDE=FQ","FILING_STATUS=MR","Sort=A","Dates=H","DateFormat=P","Fill=—","Direction=H","UseDPDF=Y")</f>
        <v>-3.74</v>
      </c>
      <c r="D44" s="20">
        <f>_xll.BDH("SRPT US Equity","IS_EARN_BEF_XO_ITEMS_PER_SH","FQ3 2019","FQ3 2019","Currency=USD","Period=FQ","BEST_FPERIOD_OVERRIDE=FQ","FILING_STATUS=MR","Sort=A","Dates=H","DateFormat=P","Fill=—","Direction=H","UseDPDF=Y")</f>
        <v>-1.7</v>
      </c>
      <c r="E44" s="20">
        <f>_xll.BDH("SRPT US Equity","IS_EARN_BEF_XO_ITEMS_PER_SH","FQ4 2019","FQ4 2019","Currency=USD","Period=FQ","BEST_FPERIOD_OVERRIDE=FQ","FILING_STATUS=MR","Sort=A","Dates=H","DateFormat=P","Fill=—","Direction=H","UseDPDF=Y")</f>
        <v>-3.16</v>
      </c>
      <c r="F44" s="20">
        <f>_xll.BDH("SRPT US Equity","IS_EARN_BEF_XO_ITEMS_PER_SH","FQ1 2020","FQ1 2020","Currency=USD","Period=FQ","BEST_FPERIOD_OVERRIDE=FQ","FILING_STATUS=MR","Sort=A","Dates=H","DateFormat=P","Fill=—","Direction=H","UseDPDF=Y")</f>
        <v>-0.23</v>
      </c>
      <c r="G44" s="20">
        <f>_xll.BDH("SRPT US Equity","IS_EARN_BEF_XO_ITEMS_PER_SH","FQ2 2020","FQ2 2020","Currency=USD","Period=FQ","BEST_FPERIOD_OVERRIDE=FQ","FILING_STATUS=MR","Sort=A","Dates=H","DateFormat=P","Fill=—","Direction=H","UseDPDF=Y")</f>
        <v>-1.93</v>
      </c>
      <c r="H44" s="20">
        <f>_xll.BDH("SRPT US Equity","IS_EARN_BEF_XO_ITEMS_PER_SH","FQ3 2020","FQ3 2020","Currency=USD","Period=FQ","BEST_FPERIOD_OVERRIDE=FQ","FILING_STATUS=MR","Sort=A","Dates=H","DateFormat=P","Fill=—","Direction=H","UseDPDF=Y")</f>
        <v>-2.5</v>
      </c>
      <c r="I44" s="20">
        <f>_xll.BDH("SRPT US Equity","IS_EARN_BEF_XO_ITEMS_PER_SH","FQ4 2020","FQ4 2020","Currency=USD","Period=FQ","BEST_FPERIOD_OVERRIDE=FQ","FILING_STATUS=MR","Sort=A","Dates=H","DateFormat=P","Fill=—","Direction=H","UseDPDF=Y")</f>
        <v>-2.4</v>
      </c>
      <c r="J44" s="20">
        <f>_xll.BDH("SRPT US Equity","IS_EARN_BEF_XO_ITEMS_PER_SH","FQ1 2021","FQ1 2021","Currency=USD","Period=FQ","BEST_FPERIOD_OVERRIDE=FQ","FILING_STATUS=MR","Sort=A","Dates=H","DateFormat=P","Fill=—","Direction=H","UseDPDF=Y")</f>
        <v>-2.1</v>
      </c>
      <c r="K44" s="20">
        <f>_xll.BDH("SRPT US Equity","IS_EARN_BEF_XO_ITEMS_PER_SH","FQ2 2021","FQ2 2021","Currency=USD","Period=FQ","BEST_FPERIOD_OVERRIDE=FQ","FILING_STATUS=MR","Sort=A","Dates=H","DateFormat=P","Fill=—","Direction=H","UseDPDF=Y")</f>
        <v>-1.02</v>
      </c>
      <c r="L44" s="20">
        <f>_xll.BDH("SRPT US Equity","IS_EARN_BEF_XO_ITEMS_PER_SH","FQ3 2021","FQ3 2021","Currency=USD","Period=FQ","BEST_FPERIOD_OVERRIDE=FQ","FILING_STATUS=MR","Sort=A","Dates=H","DateFormat=P","Fill=—","Direction=H","UseDPDF=Y")</f>
        <v>-0.6</v>
      </c>
      <c r="M44" s="20">
        <f>_xll.BDH("SRPT US Equity","IS_EARN_BEF_XO_ITEMS_PER_SH","FQ4 2021","FQ4 2021","Currency=USD","Period=FQ","BEST_FPERIOD_OVERRIDE=FQ","FILING_STATUS=MR","Sort=A","Dates=H","DateFormat=P","Fill=—","Direction=H","UseDPDF=Y")</f>
        <v>-1.42</v>
      </c>
      <c r="N44" s="20">
        <f>_xll.BDH("SRPT US Equity","IS_EARN_BEF_XO_ITEMS_PER_SH","FQ1 2022","FQ1 2022","Currency=USD","Period=FQ","BEST_FPERIOD_OVERRIDE=FQ","FILING_STATUS=MR","Sort=A","Dates=H","DateFormat=P","Fill=—","Direction=H","UseDPDF=Y")</f>
        <v>-1.2</v>
      </c>
      <c r="O44" s="20">
        <f>_xll.BDH("SRPT US Equity","IS_EARN_BEF_XO_ITEMS_PER_SH","FQ2 2022","FQ2 2022","Currency=USD","Period=FQ","BEST_FPERIOD_OVERRIDE=FQ","FILING_STATUS=MR","Sort=A","Dates=H","DateFormat=P","Fill=—","Direction=H","UseDPDF=Y")</f>
        <v>-2.65</v>
      </c>
      <c r="P44" s="20">
        <f>_xll.BDH("SRPT US Equity","IS_EARN_BEF_XO_ITEMS_PER_SH","FQ3 2022","FQ3 2022","Currency=USD","Period=FQ","BEST_FPERIOD_OVERRIDE=FQ","FILING_STATUS=MR","Sort=A","Dates=H","DateFormat=P","Fill=—","Direction=H","UseDPDF=Y")</f>
        <v>-2.94</v>
      </c>
      <c r="Q44" s="20">
        <f>_xll.BDH("SRPT US Equity","IS_EARN_BEF_XO_ITEMS_PER_SH","FQ4 2022","FQ4 2022","Currency=USD","Period=FQ","BEST_FPERIOD_OVERRIDE=FQ","FILING_STATUS=MR","Sort=A","Dates=H","DateFormat=P","Fill=—","Direction=H","UseDPDF=Y")</f>
        <v>-1.24</v>
      </c>
      <c r="R44" s="20">
        <f>_xll.BDH("SRPT US Equity","IS_EARN_BEF_XO_ITEMS_PER_SH","FQ1 2023","FQ1 2023","Currency=USD","Period=FQ","BEST_FPERIOD_OVERRIDE=FQ","FILING_STATUS=MR","Sort=A","Dates=H","DateFormat=P","Fill=—","Direction=H","UseDPDF=Y")</f>
        <v>-5.86</v>
      </c>
      <c r="S44" s="20">
        <f>_xll.BDH("SRPT US Equity","IS_EARN_BEF_XO_ITEMS_PER_SH","FQ2 2023","FQ2 2023","Currency=USD","Period=FQ","BEST_FPERIOD_OVERRIDE=FQ","FILING_STATUS=MR","Sort=A","Dates=H","DateFormat=P","Fill=—","Direction=H","UseDPDF=Y")</f>
        <v>-0.27</v>
      </c>
      <c r="T44" s="20">
        <f>_xll.BDH("SRPT US Equity","IS_EARN_BEF_XO_ITEMS_PER_SH","FQ3 2023","FQ3 2023","Currency=USD","Period=FQ","BEST_FPERIOD_OVERRIDE=FQ","FILING_STATUS=MR","Sort=A","Dates=H","DateFormat=P","Fill=—","Direction=H","UseDPDF=Y")</f>
        <v>-0.46</v>
      </c>
      <c r="U44" s="20">
        <f>_xll.BDH("SRPT US Equity","IS_EARN_BEF_XO_ITEMS_PER_SH","FQ4 2023","FQ4 2023","Currency=USD","Period=FQ","BEST_FPERIOD_OVERRIDE=FQ","FILING_STATUS=MR","Sort=A","Dates=H","DateFormat=P","Fill=—","Direction=H","UseDPDF=Y")</f>
        <v>0.49</v>
      </c>
      <c r="V44" s="20">
        <f>_xll.BDH("SRPT US Equity","IS_EARN_BEF_XO_ITEMS_PER_SH","FQ1 2024","FQ1 2024","Currency=USD","Period=FQ","BEST_FPERIOD_OVERRIDE=FQ","FILING_STATUS=MR","Sort=A","Dates=H","DateFormat=P","Fill=—","Direction=H","UseDPDF=Y")</f>
        <v>0.38</v>
      </c>
      <c r="W44" s="20">
        <f>_xll.BDH("SRPT US Equity","IS_EARN_BEF_XO_ITEMS_PER_SH","FQ2 2024","FQ2 2024","Currency=USD","Period=FQ","BEST_FPERIOD_OVERRIDE=FQ","FILING_STATUS=MR","Sort=A","Dates=H","DateFormat=P","Fill=—","Direction=H","UseDPDF=Y")</f>
        <v>7.0000000000000007E-2</v>
      </c>
      <c r="X44" s="20">
        <f>_xll.BDH("SRPT US Equity","IS_EARN_BEF_XO_ITEMS_PER_SH","FQ3 2024","FQ3 2024","Currency=USD","Period=FQ","BEST_FPERIOD_OVERRIDE=FQ","FILING_STATUS=MR","Sort=A","Dates=H","DateFormat=P","Fill=—","Direction=H","UseDPDF=Y")</f>
        <v>0.35</v>
      </c>
      <c r="Y44" s="20">
        <f>_xll.BDH("SRPT US Equity","IS_EARN_BEF_XO_ITEMS_PER_SH","FQ4 2024","FQ4 2024","Currency=USD","Period=FQ","BEST_FPERIOD_OVERRIDE=FQ","FILING_STATUS=MR","Sort=A","Dates=H","DateFormat=P","Fill=—","Direction=H","UseDPDF=Y")</f>
        <v>1.65</v>
      </c>
      <c r="Z44" s="20">
        <v>0.59499999999999997</v>
      </c>
      <c r="AA44" s="20">
        <v>2.3820000000000001</v>
      </c>
    </row>
    <row r="45" spans="1:27" x14ac:dyDescent="0.25">
      <c r="A45" s="6" t="s">
        <v>392</v>
      </c>
      <c r="B45" s="6" t="s">
        <v>268</v>
      </c>
      <c r="C45" s="20">
        <f>_xll.BDH("SRPT US Equity","IS_BASIC_EPS_CONT_OPS","FQ2 2019","FQ2 2019","Currency=USD","Period=FQ","BEST_FPERIOD_OVERRIDE=FQ","FILING_STATUS=MR","Sort=A","Dates=H","DateFormat=P","Fill=—","Direction=H","UseDPDF=Y")</f>
        <v>-1.1910000000000001</v>
      </c>
      <c r="D45" s="20">
        <f>_xll.BDH("SRPT US Equity","IS_BASIC_EPS_CONT_OPS","FQ3 2019","FQ3 2019","Currency=USD","Period=FQ","BEST_FPERIOD_OVERRIDE=FQ","FILING_STATUS=MR","Sort=A","Dates=H","DateFormat=P","Fill=—","Direction=H","UseDPDF=Y")</f>
        <v>-1.5737000000000001</v>
      </c>
      <c r="E45" s="20">
        <f>_xll.BDH("SRPT US Equity","IS_BASIC_EPS_CONT_OPS","FQ4 2019","FQ4 2019","Currency=USD","Period=FQ","BEST_FPERIOD_OVERRIDE=FQ","FILING_STATUS=MR","Sort=A","Dates=H","DateFormat=P","Fill=—","Direction=H","UseDPDF=Y")</f>
        <v>-2.2627000000000002</v>
      </c>
      <c r="F45" s="20">
        <f>_xll.BDH("SRPT US Equity","IS_BASIC_EPS_CONT_OPS","FQ1 2020","FQ1 2020","Currency=USD","Period=FQ","BEST_FPERIOD_OVERRIDE=FQ","FILING_STATUS=MR","Sort=A","Dates=H","DateFormat=P","Fill=—","Direction=H","UseDPDF=Y")</f>
        <v>-1.4926999999999999</v>
      </c>
      <c r="G45" s="20">
        <f>_xll.BDH("SRPT US Equity","IS_BASIC_EPS_CONT_OPS","FQ2 2020","FQ2 2020","Currency=USD","Period=FQ","BEST_FPERIOD_OVERRIDE=FQ","FILING_STATUS=MR","Sort=A","Dates=H","DateFormat=P","Fill=—","Direction=H","UseDPDF=Y")</f>
        <v>-1.93</v>
      </c>
      <c r="H45" s="20">
        <f>_xll.BDH("SRPT US Equity","IS_BASIC_EPS_CONT_OPS","FQ3 2020","FQ3 2020","Currency=USD","Period=FQ","BEST_FPERIOD_OVERRIDE=FQ","FILING_STATUS=MR","Sort=A","Dates=H","DateFormat=P","Fill=—","Direction=H","UseDPDF=Y")</f>
        <v>-1.8956</v>
      </c>
      <c r="I45" s="20">
        <f>_xll.BDH("SRPT US Equity","IS_BASIC_EPS_CONT_OPS","FQ4 2020","FQ4 2020","Currency=USD","Period=FQ","BEST_FPERIOD_OVERRIDE=FQ","FILING_STATUS=MR","Sort=A","Dates=H","DateFormat=P","Fill=—","Direction=H","UseDPDF=Y")</f>
        <v>-2.2930000000000001</v>
      </c>
      <c r="J45" s="20">
        <f>_xll.BDH("SRPT US Equity","IS_BASIC_EPS_CONT_OPS","FQ1 2021","FQ1 2021","Currency=USD","Period=FQ","BEST_FPERIOD_OVERRIDE=FQ","FILING_STATUS=MR","Sort=A","Dates=H","DateFormat=P","Fill=—","Direction=H","UseDPDF=Y")</f>
        <v>-1.9294</v>
      </c>
      <c r="K45" s="20">
        <f>_xll.BDH("SRPT US Equity","IS_BASIC_EPS_CONT_OPS","FQ2 2021","FQ2 2021","Currency=USD","Period=FQ","BEST_FPERIOD_OVERRIDE=FQ","FILING_STATUS=MR","Sort=A","Dates=H","DateFormat=P","Fill=—","Direction=H","UseDPDF=Y")</f>
        <v>-1.9026000000000001</v>
      </c>
      <c r="L45" s="20">
        <f>_xll.BDH("SRPT US Equity","IS_BASIC_EPS_CONT_OPS","FQ3 2021","FQ3 2021","Currency=USD","Period=FQ","BEST_FPERIOD_OVERRIDE=FQ","FILING_STATUS=MR","Sort=A","Dates=H","DateFormat=P","Fill=—","Direction=H","UseDPDF=Y")</f>
        <v>-0.55830000000000002</v>
      </c>
      <c r="M45" s="20">
        <f>_xll.BDH("SRPT US Equity","IS_BASIC_EPS_CONT_OPS","FQ4 2021","FQ4 2021","Currency=USD","Period=FQ","BEST_FPERIOD_OVERRIDE=FQ","FILING_STATUS=MR","Sort=A","Dates=H","DateFormat=P","Fill=—","Direction=H","UseDPDF=Y")</f>
        <v>-1.42</v>
      </c>
      <c r="N45" s="20">
        <f>_xll.BDH("SRPT US Equity","IS_BASIC_EPS_CONT_OPS","FQ1 2022","FQ1 2022","Currency=USD","Period=FQ","BEST_FPERIOD_OVERRIDE=FQ","FILING_STATUS=MR","Sort=A","Dates=H","DateFormat=P","Fill=—","Direction=H","UseDPDF=Y")</f>
        <v>-1.2</v>
      </c>
      <c r="O45" s="20">
        <f>_xll.BDH("SRPT US Equity","IS_BASIC_EPS_CONT_OPS","FQ2 2022","FQ2 2022","Currency=USD","Period=FQ","BEST_FPERIOD_OVERRIDE=FQ","FILING_STATUS=MR","Sort=A","Dates=H","DateFormat=P","Fill=—","Direction=H","UseDPDF=Y")</f>
        <v>-2.65</v>
      </c>
      <c r="P45" s="20">
        <f>_xll.BDH("SRPT US Equity","IS_BASIC_EPS_CONT_OPS","FQ3 2022","FQ3 2022","Currency=USD","Period=FQ","BEST_FPERIOD_OVERRIDE=FQ","FILING_STATUS=MR","Sort=A","Dates=H","DateFormat=P","Fill=—","Direction=H","UseDPDF=Y")</f>
        <v>-1.8708</v>
      </c>
      <c r="Q45" s="20">
        <f>_xll.BDH("SRPT US Equity","IS_BASIC_EPS_CONT_OPS","FQ4 2022","FQ4 2022","Currency=USD","Period=FQ","BEST_FPERIOD_OVERRIDE=FQ","FILING_STATUS=MR","Sort=A","Dates=H","DateFormat=P","Fill=—","Direction=H","UseDPDF=Y")</f>
        <v>-1.2204999999999999</v>
      </c>
      <c r="R45" s="20">
        <f>_xll.BDH("SRPT US Equity","IS_BASIC_EPS_CONT_OPS","FQ1 2023","FQ1 2023","Currency=USD","Period=FQ","BEST_FPERIOD_OVERRIDE=FQ","FILING_STATUS=MR","Sort=A","Dates=H","DateFormat=P","Fill=—","Direction=H","UseDPDF=Y")</f>
        <v>-2.39</v>
      </c>
      <c r="S45" s="20">
        <f>_xll.BDH("SRPT US Equity","IS_BASIC_EPS_CONT_OPS","FQ2 2023","FQ2 2023","Currency=USD","Period=FQ","BEST_FPERIOD_OVERRIDE=FQ","FILING_STATUS=MR","Sort=A","Dates=H","DateFormat=P","Fill=—","Direction=H","UseDPDF=Y")</f>
        <v>-1.1849000000000001</v>
      </c>
      <c r="T45" s="20">
        <f>_xll.BDH("SRPT US Equity","IS_BASIC_EPS_CONT_OPS","FQ3 2023","FQ3 2023","Currency=USD","Period=FQ","BEST_FPERIOD_OVERRIDE=FQ","FILING_STATUS=MR","Sort=A","Dates=H","DateFormat=P","Fill=—","Direction=H","UseDPDF=Y")</f>
        <v>-0.44280000000000003</v>
      </c>
      <c r="U45" s="20">
        <f>_xll.BDH("SRPT US Equity","IS_BASIC_EPS_CONT_OPS","FQ4 2023","FQ4 2023","Currency=USD","Period=FQ","BEST_FPERIOD_OVERRIDE=FQ","FILING_STATUS=MR","Sort=A","Dates=H","DateFormat=P","Fill=—","Direction=H","UseDPDF=Y")</f>
        <v>0.49</v>
      </c>
      <c r="V45" s="20">
        <f>_xll.BDH("SRPT US Equity","IS_BASIC_EPS_CONT_OPS","FQ1 2024","FQ1 2024","Currency=USD","Period=FQ","BEST_FPERIOD_OVERRIDE=FQ","FILING_STATUS=MR","Sort=A","Dates=H","DateFormat=P","Fill=—","Direction=H","UseDPDF=Y")</f>
        <v>0.4884</v>
      </c>
      <c r="W45" s="20">
        <f>_xll.BDH("SRPT US Equity","IS_BASIC_EPS_CONT_OPS","FQ2 2024","FQ2 2024","Currency=USD","Period=FQ","BEST_FPERIOD_OVERRIDE=FQ","FILING_STATUS=MR","Sort=A","Dates=H","DateFormat=P","Fill=—","Direction=H","UseDPDF=Y")</f>
        <v>7.0000000000000007E-2</v>
      </c>
      <c r="X45" s="20">
        <f>_xll.BDH("SRPT US Equity","IS_BASIC_EPS_CONT_OPS","FQ3 2024","FQ3 2024","Currency=USD","Period=FQ","BEST_FPERIOD_OVERRIDE=FQ","FILING_STATUS=MR","Sort=A","Dates=H","DateFormat=P","Fill=—","Direction=H","UseDPDF=Y")</f>
        <v>0.33810000000000001</v>
      </c>
      <c r="Y45" s="20">
        <f>_xll.BDH("SRPT US Equity","IS_BASIC_EPS_CONT_OPS","FQ4 2024","FQ4 2024","Currency=USD","Period=FQ","BEST_FPERIOD_OVERRIDE=FQ","FILING_STATUS=MR","Sort=A","Dates=H","DateFormat=P","Fill=—","Direction=H","UseDPDF=Y")</f>
        <v>1.6445000000000001</v>
      </c>
      <c r="Z45" s="20">
        <v>1.4410000000000001</v>
      </c>
      <c r="AA45" s="20">
        <v>2.8010000000000002</v>
      </c>
    </row>
    <row r="46" spans="1:27" x14ac:dyDescent="0.25">
      <c r="A46" s="6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 x14ac:dyDescent="0.25">
      <c r="A47" s="10" t="s">
        <v>258</v>
      </c>
      <c r="B47" s="10" t="s">
        <v>108</v>
      </c>
      <c r="C47" s="13">
        <f>_xll.BDH("SRPT US Equity","IS_SH_FOR_DILUTED_EPS","FQ2 2019","FQ2 2019","Currency=USD","Period=FQ","BEST_FPERIOD_OVERRIDE=FQ","FILING_STATUS=MR","Sort=A","Dates=H","DateFormat=P","Fill=—","Direction=H","UseDPDF=Y")</f>
        <v>73.957999999999998</v>
      </c>
      <c r="D47" s="13">
        <f>_xll.BDH("SRPT US Equity","IS_SH_FOR_DILUTED_EPS","FQ3 2019","FQ3 2019","Currency=USD","Period=FQ","BEST_FPERIOD_OVERRIDE=FQ","FILING_STATUS=MR","Sort=A","Dates=H","DateFormat=P","Fill=—","Direction=H","UseDPDF=Y")</f>
        <v>74.177000000000007</v>
      </c>
      <c r="E47" s="13">
        <f>_xll.BDH("SRPT US Equity","IS_SH_FOR_DILUTED_EPS","FQ4 2019","FQ4 2019","Currency=USD","Period=FQ","BEST_FPERIOD_OVERRIDE=FQ","FILING_STATUS=MR","Sort=A","Dates=H","DateFormat=P","Fill=—","Direction=H","UseDPDF=Y")</f>
        <v>74.557000000000002</v>
      </c>
      <c r="F47" s="13">
        <f>_xll.BDH("SRPT US Equity","IS_SH_FOR_DILUTED_EPS","FQ1 2020","FQ1 2020","Currency=USD","Period=FQ","BEST_FPERIOD_OVERRIDE=FQ","FILING_STATUS=MR","Sort=A","Dates=H","DateFormat=P","Fill=—","Direction=H","UseDPDF=Y")</f>
        <v>76.432000000000002</v>
      </c>
      <c r="G47" s="13">
        <f>_xll.BDH("SRPT US Equity","IS_SH_FOR_DILUTED_EPS","FQ2 2020","FQ2 2020","Currency=USD","Period=FQ","BEST_FPERIOD_OVERRIDE=FQ","FILING_STATUS=MR","Sort=A","Dates=H","DateFormat=P","Fill=—","Direction=H","UseDPDF=Y")</f>
        <v>77.968000000000004</v>
      </c>
      <c r="H47" s="13">
        <f>_xll.BDH("SRPT US Equity","IS_SH_FOR_DILUTED_EPS","FQ3 2020","FQ3 2020","Currency=USD","Period=FQ","BEST_FPERIOD_OVERRIDE=FQ","FILING_STATUS=MR","Sort=A","Dates=H","DateFormat=P","Fill=—","Direction=H","UseDPDF=Y")</f>
        <v>78.501000000000005</v>
      </c>
      <c r="I47" s="13">
        <f>_xll.BDH("SRPT US Equity","IS_SH_FOR_DILUTED_EPS","FQ4 2020","FQ4 2020","Currency=USD","Period=FQ","BEST_FPERIOD_OVERRIDE=FQ","FILING_STATUS=MR","Sort=A","Dates=H","DateFormat=P","Fill=—","Direction=H","UseDPDF=Y")</f>
        <v>78.905000000000001</v>
      </c>
      <c r="J47" s="13">
        <f>_xll.BDH("SRPT US Equity","IS_SH_FOR_DILUTED_EPS","FQ1 2021","FQ1 2021","Currency=USD","Period=FQ","BEST_FPERIOD_OVERRIDE=FQ","FILING_STATUS=MR","Sort=A","Dates=H","DateFormat=P","Fill=—","Direction=H","UseDPDF=Y")</f>
        <v>79.453999999999994</v>
      </c>
      <c r="K47" s="13">
        <f>_xll.BDH("SRPT US Equity","IS_SH_FOR_DILUTED_EPS","FQ2 2021","FQ2 2021","Currency=USD","Period=FQ","BEST_FPERIOD_OVERRIDE=FQ","FILING_STATUS=MR","Sort=A","Dates=H","DateFormat=P","Fill=—","Direction=H","UseDPDF=Y")</f>
        <v>79.745999999999995</v>
      </c>
      <c r="L47" s="13">
        <f>_xll.BDH("SRPT US Equity","IS_SH_FOR_DILUTED_EPS","FQ3 2021","FQ3 2021","Currency=USD","Period=FQ","BEST_FPERIOD_OVERRIDE=FQ","FILING_STATUS=MR","Sort=A","Dates=H","DateFormat=P","Fill=—","Direction=H","UseDPDF=Y")</f>
        <v>79.88</v>
      </c>
      <c r="M47" s="13">
        <f>_xll.BDH("SRPT US Equity","IS_SH_FOR_DILUTED_EPS","FQ4 2021","FQ4 2021","Currency=USD","Period=FQ","BEST_FPERIOD_OVERRIDE=FQ","FILING_STATUS=MR","Sort=A","Dates=H","DateFormat=P","Fill=—","Direction=H","UseDPDF=Y")</f>
        <v>85.950999999999993</v>
      </c>
      <c r="N47" s="13">
        <f>_xll.BDH("SRPT US Equity","IS_SH_FOR_DILUTED_EPS","FQ1 2022","FQ1 2022","Currency=USD","Period=FQ","BEST_FPERIOD_OVERRIDE=FQ","FILING_STATUS=MR","Sort=A","Dates=H","DateFormat=P","Fill=—","Direction=H","UseDPDF=Y")</f>
        <v>87.253</v>
      </c>
      <c r="O47" s="13">
        <f>_xll.BDH("SRPT US Equity","IS_SH_FOR_DILUTED_EPS","FQ2 2022","FQ2 2022","Currency=USD","Period=FQ","BEST_FPERIOD_OVERRIDE=FQ","FILING_STATUS=MR","Sort=A","Dates=H","DateFormat=P","Fill=—","Direction=H","UseDPDF=Y")</f>
        <v>87.510999999999996</v>
      </c>
      <c r="P47" s="13">
        <f>_xll.BDH("SRPT US Equity","IS_SH_FOR_DILUTED_EPS","FQ3 2022","FQ3 2022","Currency=USD","Period=FQ","BEST_FPERIOD_OVERRIDE=FQ","FILING_STATUS=MR","Sort=A","Dates=H","DateFormat=P","Fill=—","Direction=H","UseDPDF=Y")</f>
        <v>87.628</v>
      </c>
      <c r="Q47" s="13">
        <f>_xll.BDH("SRPT US Equity","IS_SH_FOR_DILUTED_EPS","FQ4 2022","FQ4 2022","Currency=USD","Period=FQ","BEST_FPERIOD_OVERRIDE=FQ","FILING_STATUS=MR","Sort=A","Dates=H","DateFormat=P","Fill=—","Direction=H","UseDPDF=Y")</f>
        <v>87.837999999999994</v>
      </c>
      <c r="R47" s="13">
        <f>_xll.BDH("SRPT US Equity","IS_SH_FOR_DILUTED_EPS","FQ1 2023","FQ1 2023","Currency=USD","Period=FQ","BEST_FPERIOD_OVERRIDE=FQ","FILING_STATUS=MR","Sort=A","Dates=H","DateFormat=P","Fill=—","Direction=H","UseDPDF=Y")</f>
        <v>88.186000000000007</v>
      </c>
      <c r="S47" s="13">
        <f>_xll.BDH("SRPT US Equity","IS_SH_FOR_DILUTED_EPS","FQ2 2023","FQ2 2023","Currency=USD","Period=FQ","BEST_FPERIOD_OVERRIDE=FQ","FILING_STATUS=MR","Sort=A","Dates=H","DateFormat=P","Fill=—","Direction=H","UseDPDF=Y")</f>
        <v>88.742999999999995</v>
      </c>
      <c r="T47" s="13">
        <f>_xll.BDH("SRPT US Equity","IS_SH_FOR_DILUTED_EPS","FQ3 2023","FQ3 2023","Currency=USD","Period=FQ","BEST_FPERIOD_OVERRIDE=FQ","FILING_STATUS=MR","Sort=A","Dates=H","DateFormat=P","Fill=—","Direction=H","UseDPDF=Y")</f>
        <v>88.888999999999996</v>
      </c>
      <c r="U47" s="13">
        <f>_xll.BDH("SRPT US Equity","IS_SH_FOR_DILUTED_EPS","FQ4 2023","FQ4 2023","Currency=USD","Period=FQ","BEST_FPERIOD_OVERRIDE=FQ","FILING_STATUS=MR","Sort=A","Dates=H","DateFormat=P","Fill=—","Direction=H","UseDPDF=Y")</f>
        <v>105.59399999999999</v>
      </c>
      <c r="V47" s="13">
        <f>_xll.BDH("SRPT US Equity","IS_SH_FOR_DILUTED_EPS","FQ1 2024","FQ1 2024","Currency=USD","Period=FQ","BEST_FPERIOD_OVERRIDE=FQ","FILING_STATUS=MR","Sort=A","Dates=H","DateFormat=P","Fill=—","Direction=H","UseDPDF=Y")</f>
        <v>99.114000000000004</v>
      </c>
      <c r="W47" s="13">
        <f>_xll.BDH("SRPT US Equity","IS_SH_FOR_DILUTED_EPS","FQ2 2024","FQ2 2024","Currency=USD","Period=FQ","BEST_FPERIOD_OVERRIDE=FQ","FILING_STATUS=MR","Sort=A","Dates=H","DateFormat=P","Fill=—","Direction=H","UseDPDF=Y")</f>
        <v>99.144000000000005</v>
      </c>
      <c r="X47" s="13">
        <f>_xll.BDH("SRPT US Equity","IS_SH_FOR_DILUTED_EPS","FQ3 2024","FQ3 2024","Currency=USD","Period=FQ","BEST_FPERIOD_OVERRIDE=FQ","FILING_STATUS=MR","Sort=A","Dates=H","DateFormat=P","Fill=—","Direction=H","UseDPDF=Y")</f>
        <v>100.44799999999999</v>
      </c>
      <c r="Y47" s="13">
        <f>_xll.BDH("SRPT US Equity","IS_SH_FOR_DILUTED_EPS","FQ4 2024","FQ4 2024","Currency=USD","Period=FQ","BEST_FPERIOD_OVERRIDE=FQ","FILING_STATUS=MR","Sort=A","Dates=H","DateFormat=P","Fill=—","Direction=H","UseDPDF=Y")</f>
        <v>108.474</v>
      </c>
      <c r="Z47" s="13"/>
      <c r="AA47" s="13"/>
    </row>
    <row r="48" spans="1:27" x14ac:dyDescent="0.25">
      <c r="A48" s="6" t="s">
        <v>103</v>
      </c>
      <c r="B48" s="6" t="s">
        <v>104</v>
      </c>
      <c r="C48" s="20">
        <f>_xll.BDH("SRPT US Equity","IS_DILUTED_EPS","FQ2 2019","FQ2 2019","Currency=USD","Period=FQ","BEST_FPERIOD_OVERRIDE=FQ","FILING_STATUS=MR","FA_ADJUSTED=GAAP","Sort=A","Dates=H","DateFormat=P","Fill=—","Direction=H","UseDPDF=Y")</f>
        <v>-3.74</v>
      </c>
      <c r="D48" s="20">
        <f>_xll.BDH("SRPT US Equity","IS_DILUTED_EPS","FQ3 2019","FQ3 2019","Currency=USD","Period=FQ","BEST_FPERIOD_OVERRIDE=FQ","FILING_STATUS=MR","FA_ADJUSTED=GAAP","Sort=A","Dates=H","DateFormat=P","Fill=—","Direction=H","UseDPDF=Y")</f>
        <v>-1.7</v>
      </c>
      <c r="E48" s="20">
        <f>_xll.BDH("SRPT US Equity","IS_DILUTED_EPS","FQ4 2019","FQ4 2019","Currency=USD","Period=FQ","BEST_FPERIOD_OVERRIDE=FQ","FILING_STATUS=MR","FA_ADJUSTED=GAAP","Sort=A","Dates=H","DateFormat=P","Fill=—","Direction=H","UseDPDF=Y")</f>
        <v>-3.16</v>
      </c>
      <c r="F48" s="20">
        <f>_xll.BDH("SRPT US Equity","IS_DILUTED_EPS","FQ1 2020","FQ1 2020","Currency=USD","Period=FQ","BEST_FPERIOD_OVERRIDE=FQ","FILING_STATUS=MR","FA_ADJUSTED=GAAP","Sort=A","Dates=H","DateFormat=P","Fill=—","Direction=H","UseDPDF=Y")</f>
        <v>-0.23</v>
      </c>
      <c r="G48" s="20">
        <f>_xll.BDH("SRPT US Equity","IS_DILUTED_EPS","FQ2 2020","FQ2 2020","Currency=USD","Period=FQ","BEST_FPERIOD_OVERRIDE=FQ","FILING_STATUS=MR","FA_ADJUSTED=GAAP","Sort=A","Dates=H","DateFormat=P","Fill=—","Direction=H","UseDPDF=Y")</f>
        <v>-1.93</v>
      </c>
      <c r="H48" s="20">
        <f>_xll.BDH("SRPT US Equity","IS_DILUTED_EPS","FQ3 2020","FQ3 2020","Currency=USD","Period=FQ","BEST_FPERIOD_OVERRIDE=FQ","FILING_STATUS=MR","FA_ADJUSTED=GAAP","Sort=A","Dates=H","DateFormat=P","Fill=—","Direction=H","UseDPDF=Y")</f>
        <v>-2.5</v>
      </c>
      <c r="I48" s="20">
        <f>_xll.BDH("SRPT US Equity","IS_DILUTED_EPS","FQ4 2020","FQ4 2020","Currency=USD","Period=FQ","BEST_FPERIOD_OVERRIDE=FQ","FILING_STATUS=MR","FA_ADJUSTED=GAAP","Sort=A","Dates=H","DateFormat=P","Fill=—","Direction=H","UseDPDF=Y")</f>
        <v>-2.4</v>
      </c>
      <c r="J48" s="20">
        <f>_xll.BDH("SRPT US Equity","IS_DILUTED_EPS","FQ1 2021","FQ1 2021","Currency=USD","Period=FQ","BEST_FPERIOD_OVERRIDE=FQ","FILING_STATUS=MR","FA_ADJUSTED=GAAP","Sort=A","Dates=H","DateFormat=P","Fill=—","Direction=H","UseDPDF=Y")</f>
        <v>-2.1</v>
      </c>
      <c r="K48" s="20">
        <f>_xll.BDH("SRPT US Equity","IS_DILUTED_EPS","FQ2 2021","FQ2 2021","Currency=USD","Period=FQ","BEST_FPERIOD_OVERRIDE=FQ","FILING_STATUS=MR","FA_ADJUSTED=GAAP","Sort=A","Dates=H","DateFormat=P","Fill=—","Direction=H","UseDPDF=Y")</f>
        <v>-1.02</v>
      </c>
      <c r="L48" s="20">
        <f>_xll.BDH("SRPT US Equity","IS_DILUTED_EPS","FQ3 2021","FQ3 2021","Currency=USD","Period=FQ","BEST_FPERIOD_OVERRIDE=FQ","FILING_STATUS=MR","FA_ADJUSTED=GAAP","Sort=A","Dates=H","DateFormat=P","Fill=—","Direction=H","UseDPDF=Y")</f>
        <v>-0.6</v>
      </c>
      <c r="M48" s="20">
        <f>_xll.BDH("SRPT US Equity","IS_DILUTED_EPS","FQ4 2021","FQ4 2021","Currency=USD","Period=FQ","BEST_FPERIOD_OVERRIDE=FQ","FILING_STATUS=MR","FA_ADJUSTED=GAAP","Sort=A","Dates=H","DateFormat=P","Fill=—","Direction=H","UseDPDF=Y")</f>
        <v>-1.42</v>
      </c>
      <c r="N48" s="20">
        <f>_xll.BDH("SRPT US Equity","IS_DILUTED_EPS","FQ1 2022","FQ1 2022","Currency=USD","Period=FQ","BEST_FPERIOD_OVERRIDE=FQ","FILING_STATUS=MR","FA_ADJUSTED=GAAP","Sort=A","Dates=H","DateFormat=P","Fill=—","Direction=H","UseDPDF=Y")</f>
        <v>-1.2</v>
      </c>
      <c r="O48" s="20">
        <f>_xll.BDH("SRPT US Equity","IS_DILUTED_EPS","FQ2 2022","FQ2 2022","Currency=USD","Period=FQ","BEST_FPERIOD_OVERRIDE=FQ","FILING_STATUS=MR","FA_ADJUSTED=GAAP","Sort=A","Dates=H","DateFormat=P","Fill=—","Direction=H","UseDPDF=Y")</f>
        <v>-2.65</v>
      </c>
      <c r="P48" s="20">
        <f>_xll.BDH("SRPT US Equity","IS_DILUTED_EPS","FQ3 2022","FQ3 2022","Currency=USD","Period=FQ","BEST_FPERIOD_OVERRIDE=FQ","FILING_STATUS=MR","FA_ADJUSTED=GAAP","Sort=A","Dates=H","DateFormat=P","Fill=—","Direction=H","UseDPDF=Y")</f>
        <v>-2.94</v>
      </c>
      <c r="Q48" s="20">
        <f>_xll.BDH("SRPT US Equity","IS_DILUTED_EPS","FQ4 2022","FQ4 2022","Currency=USD","Period=FQ","BEST_FPERIOD_OVERRIDE=FQ","FILING_STATUS=MR","FA_ADJUSTED=GAAP","Sort=A","Dates=H","DateFormat=P","Fill=—","Direction=H","UseDPDF=Y")</f>
        <v>-1.24</v>
      </c>
      <c r="R48" s="20">
        <f>_xll.BDH("SRPT US Equity","IS_DILUTED_EPS","FQ1 2023","FQ1 2023","Currency=USD","Period=FQ","BEST_FPERIOD_OVERRIDE=FQ","FILING_STATUS=MR","FA_ADJUSTED=GAAP","Sort=A","Dates=H","DateFormat=P","Fill=—","Direction=H","UseDPDF=Y")</f>
        <v>-5.86</v>
      </c>
      <c r="S48" s="20">
        <f>_xll.BDH("SRPT US Equity","IS_DILUTED_EPS","FQ2 2023","FQ2 2023","Currency=USD","Period=FQ","BEST_FPERIOD_OVERRIDE=FQ","FILING_STATUS=MR","FA_ADJUSTED=GAAP","Sort=A","Dates=H","DateFormat=P","Fill=—","Direction=H","UseDPDF=Y")</f>
        <v>-0.27</v>
      </c>
      <c r="T48" s="20">
        <f>_xll.BDH("SRPT US Equity","IS_DILUTED_EPS","FQ3 2023","FQ3 2023","Currency=USD","Period=FQ","BEST_FPERIOD_OVERRIDE=FQ","FILING_STATUS=MR","FA_ADJUSTED=GAAP","Sort=A","Dates=H","DateFormat=P","Fill=—","Direction=H","UseDPDF=Y")</f>
        <v>-0.46</v>
      </c>
      <c r="U48" s="20">
        <f>_xll.BDH("SRPT US Equity","IS_DILUTED_EPS","FQ4 2023","FQ4 2023","Currency=USD","Period=FQ","BEST_FPERIOD_OVERRIDE=FQ","FILING_STATUS=MR","FA_ADJUSTED=GAAP","Sort=A","Dates=H","DateFormat=P","Fill=—","Direction=H","UseDPDF=Y")</f>
        <v>0.47</v>
      </c>
      <c r="V48" s="20">
        <f>_xll.BDH("SRPT US Equity","IS_DILUTED_EPS","FQ1 2024","FQ1 2024","Currency=USD","Period=FQ","BEST_FPERIOD_OVERRIDE=FQ","FILING_STATUS=MR","FA_ADJUSTED=GAAP","Sort=A","Dates=H","DateFormat=P","Fill=—","Direction=H","UseDPDF=Y")</f>
        <v>0.37</v>
      </c>
      <c r="W48" s="20">
        <f>_xll.BDH("SRPT US Equity","IS_DILUTED_EPS","FQ2 2024","FQ2 2024","Currency=USD","Period=FQ","BEST_FPERIOD_OVERRIDE=FQ","FILING_STATUS=MR","FA_ADJUSTED=GAAP","Sort=A","Dates=H","DateFormat=P","Fill=—","Direction=H","UseDPDF=Y")</f>
        <v>7.0000000000000007E-2</v>
      </c>
      <c r="X48" s="20">
        <f>_xll.BDH("SRPT US Equity","IS_DILUTED_EPS","FQ3 2024","FQ3 2024","Currency=USD","Period=FQ","BEST_FPERIOD_OVERRIDE=FQ","FILING_STATUS=MR","FA_ADJUSTED=GAAP","Sort=A","Dates=H","DateFormat=P","Fill=—","Direction=H","UseDPDF=Y")</f>
        <v>0.34</v>
      </c>
      <c r="Y48" s="20">
        <f>_xll.BDH("SRPT US Equity","IS_DILUTED_EPS","FQ4 2024","FQ4 2024","Currency=USD","Period=FQ","BEST_FPERIOD_OVERRIDE=FQ","FILING_STATUS=MR","FA_ADJUSTED=GAAP","Sort=A","Dates=H","DateFormat=P","Fill=—","Direction=H","UseDPDF=Y")</f>
        <v>1.5</v>
      </c>
      <c r="Z48" s="20">
        <v>0.59499999999999997</v>
      </c>
      <c r="AA48" s="20">
        <v>2.3820000000000001</v>
      </c>
    </row>
    <row r="49" spans="1:27" x14ac:dyDescent="0.25">
      <c r="A49" s="6" t="s">
        <v>393</v>
      </c>
      <c r="B49" s="6" t="s">
        <v>271</v>
      </c>
      <c r="C49" s="20">
        <f>_xll.BDH("SRPT US Equity","IS_DIL_EPS_BEF_XO","FQ2 2019","FQ2 2019","Currency=USD","Period=FQ","BEST_FPERIOD_OVERRIDE=FQ","FILING_STATUS=MR","Sort=A","Dates=H","DateFormat=P","Fill=—","Direction=H","UseDPDF=Y")</f>
        <v>-3.74</v>
      </c>
      <c r="D49" s="20">
        <f>_xll.BDH("SRPT US Equity","IS_DIL_EPS_BEF_XO","FQ3 2019","FQ3 2019","Currency=USD","Period=FQ","BEST_FPERIOD_OVERRIDE=FQ","FILING_STATUS=MR","Sort=A","Dates=H","DateFormat=P","Fill=—","Direction=H","UseDPDF=Y")</f>
        <v>-1.7</v>
      </c>
      <c r="E49" s="20">
        <f>_xll.BDH("SRPT US Equity","IS_DIL_EPS_BEF_XO","FQ4 2019","FQ4 2019","Currency=USD","Period=FQ","BEST_FPERIOD_OVERRIDE=FQ","FILING_STATUS=MR","Sort=A","Dates=H","DateFormat=P","Fill=—","Direction=H","UseDPDF=Y")</f>
        <v>-3.16</v>
      </c>
      <c r="F49" s="20">
        <f>_xll.BDH("SRPT US Equity","IS_DIL_EPS_BEF_XO","FQ1 2020","FQ1 2020","Currency=USD","Period=FQ","BEST_FPERIOD_OVERRIDE=FQ","FILING_STATUS=MR","Sort=A","Dates=H","DateFormat=P","Fill=—","Direction=H","UseDPDF=Y")</f>
        <v>-0.23</v>
      </c>
      <c r="G49" s="20">
        <f>_xll.BDH("SRPT US Equity","IS_DIL_EPS_BEF_XO","FQ2 2020","FQ2 2020","Currency=USD","Period=FQ","BEST_FPERIOD_OVERRIDE=FQ","FILING_STATUS=MR","Sort=A","Dates=H","DateFormat=P","Fill=—","Direction=H","UseDPDF=Y")</f>
        <v>-1.93</v>
      </c>
      <c r="H49" s="20">
        <f>_xll.BDH("SRPT US Equity","IS_DIL_EPS_BEF_XO","FQ3 2020","FQ3 2020","Currency=USD","Period=FQ","BEST_FPERIOD_OVERRIDE=FQ","FILING_STATUS=MR","Sort=A","Dates=H","DateFormat=P","Fill=—","Direction=H","UseDPDF=Y")</f>
        <v>-2.5</v>
      </c>
      <c r="I49" s="20">
        <f>_xll.BDH("SRPT US Equity","IS_DIL_EPS_BEF_XO","FQ4 2020","FQ4 2020","Currency=USD","Period=FQ","BEST_FPERIOD_OVERRIDE=FQ","FILING_STATUS=MR","Sort=A","Dates=H","DateFormat=P","Fill=—","Direction=H","UseDPDF=Y")</f>
        <v>-2.4</v>
      </c>
      <c r="J49" s="20">
        <f>_xll.BDH("SRPT US Equity","IS_DIL_EPS_BEF_XO","FQ1 2021","FQ1 2021","Currency=USD","Period=FQ","BEST_FPERIOD_OVERRIDE=FQ","FILING_STATUS=MR","Sort=A","Dates=H","DateFormat=P","Fill=—","Direction=H","UseDPDF=Y")</f>
        <v>-2.1</v>
      </c>
      <c r="K49" s="20">
        <f>_xll.BDH("SRPT US Equity","IS_DIL_EPS_BEF_XO","FQ2 2021","FQ2 2021","Currency=USD","Period=FQ","BEST_FPERIOD_OVERRIDE=FQ","FILING_STATUS=MR","Sort=A","Dates=H","DateFormat=P","Fill=—","Direction=H","UseDPDF=Y")</f>
        <v>-1.02</v>
      </c>
      <c r="L49" s="20">
        <f>_xll.BDH("SRPT US Equity","IS_DIL_EPS_BEF_XO","FQ3 2021","FQ3 2021","Currency=USD","Period=FQ","BEST_FPERIOD_OVERRIDE=FQ","FILING_STATUS=MR","Sort=A","Dates=H","DateFormat=P","Fill=—","Direction=H","UseDPDF=Y")</f>
        <v>-0.6</v>
      </c>
      <c r="M49" s="20">
        <f>_xll.BDH("SRPT US Equity","IS_DIL_EPS_BEF_XO","FQ4 2021","FQ4 2021","Currency=USD","Period=FQ","BEST_FPERIOD_OVERRIDE=FQ","FILING_STATUS=MR","Sort=A","Dates=H","DateFormat=P","Fill=—","Direction=H","UseDPDF=Y")</f>
        <v>-1.42</v>
      </c>
      <c r="N49" s="20">
        <f>_xll.BDH("SRPT US Equity","IS_DIL_EPS_BEF_XO","FQ1 2022","FQ1 2022","Currency=USD","Period=FQ","BEST_FPERIOD_OVERRIDE=FQ","FILING_STATUS=MR","Sort=A","Dates=H","DateFormat=P","Fill=—","Direction=H","UseDPDF=Y")</f>
        <v>-1.2</v>
      </c>
      <c r="O49" s="20">
        <f>_xll.BDH("SRPT US Equity","IS_DIL_EPS_BEF_XO","FQ2 2022","FQ2 2022","Currency=USD","Period=FQ","BEST_FPERIOD_OVERRIDE=FQ","FILING_STATUS=MR","Sort=A","Dates=H","DateFormat=P","Fill=—","Direction=H","UseDPDF=Y")</f>
        <v>-2.65</v>
      </c>
      <c r="P49" s="20">
        <f>_xll.BDH("SRPT US Equity","IS_DIL_EPS_BEF_XO","FQ3 2022","FQ3 2022","Currency=USD","Period=FQ","BEST_FPERIOD_OVERRIDE=FQ","FILING_STATUS=MR","Sort=A","Dates=H","DateFormat=P","Fill=—","Direction=H","UseDPDF=Y")</f>
        <v>-2.94</v>
      </c>
      <c r="Q49" s="20">
        <f>_xll.BDH("SRPT US Equity","IS_DIL_EPS_BEF_XO","FQ4 2022","FQ4 2022","Currency=USD","Period=FQ","BEST_FPERIOD_OVERRIDE=FQ","FILING_STATUS=MR","Sort=A","Dates=H","DateFormat=P","Fill=—","Direction=H","UseDPDF=Y")</f>
        <v>-1.24</v>
      </c>
      <c r="R49" s="20">
        <f>_xll.BDH("SRPT US Equity","IS_DIL_EPS_BEF_XO","FQ1 2023","FQ1 2023","Currency=USD","Period=FQ","BEST_FPERIOD_OVERRIDE=FQ","FILING_STATUS=MR","Sort=A","Dates=H","DateFormat=P","Fill=—","Direction=H","UseDPDF=Y")</f>
        <v>-5.86</v>
      </c>
      <c r="S49" s="20">
        <f>_xll.BDH("SRPT US Equity","IS_DIL_EPS_BEF_XO","FQ2 2023","FQ2 2023","Currency=USD","Period=FQ","BEST_FPERIOD_OVERRIDE=FQ","FILING_STATUS=MR","Sort=A","Dates=H","DateFormat=P","Fill=—","Direction=H","UseDPDF=Y")</f>
        <v>-0.27</v>
      </c>
      <c r="T49" s="20">
        <f>_xll.BDH("SRPT US Equity","IS_DIL_EPS_BEF_XO","FQ3 2023","FQ3 2023","Currency=USD","Period=FQ","BEST_FPERIOD_OVERRIDE=FQ","FILING_STATUS=MR","Sort=A","Dates=H","DateFormat=P","Fill=—","Direction=H","UseDPDF=Y")</f>
        <v>-0.46</v>
      </c>
      <c r="U49" s="20">
        <f>_xll.BDH("SRPT US Equity","IS_DIL_EPS_BEF_XO","FQ4 2023","FQ4 2023","Currency=USD","Period=FQ","BEST_FPERIOD_OVERRIDE=FQ","FILING_STATUS=MR","Sort=A","Dates=H","DateFormat=P","Fill=—","Direction=H","UseDPDF=Y")</f>
        <v>0.47</v>
      </c>
      <c r="V49" s="20">
        <f>_xll.BDH("SRPT US Equity","IS_DIL_EPS_BEF_XO","FQ1 2024","FQ1 2024","Currency=USD","Period=FQ","BEST_FPERIOD_OVERRIDE=FQ","FILING_STATUS=MR","Sort=A","Dates=H","DateFormat=P","Fill=—","Direction=H","UseDPDF=Y")</f>
        <v>0.37</v>
      </c>
      <c r="W49" s="20">
        <f>_xll.BDH("SRPT US Equity","IS_DIL_EPS_BEF_XO","FQ2 2024","FQ2 2024","Currency=USD","Period=FQ","BEST_FPERIOD_OVERRIDE=FQ","FILING_STATUS=MR","Sort=A","Dates=H","DateFormat=P","Fill=—","Direction=H","UseDPDF=Y")</f>
        <v>7.0000000000000007E-2</v>
      </c>
      <c r="X49" s="20">
        <f>_xll.BDH("SRPT US Equity","IS_DIL_EPS_BEF_XO","FQ3 2024","FQ3 2024","Currency=USD","Period=FQ","BEST_FPERIOD_OVERRIDE=FQ","FILING_STATUS=MR","Sort=A","Dates=H","DateFormat=P","Fill=—","Direction=H","UseDPDF=Y")</f>
        <v>0.34</v>
      </c>
      <c r="Y49" s="20">
        <f>_xll.BDH("SRPT US Equity","IS_DIL_EPS_BEF_XO","FQ4 2024","FQ4 2024","Currency=USD","Period=FQ","BEST_FPERIOD_OVERRIDE=FQ","FILING_STATUS=MR","Sort=A","Dates=H","DateFormat=P","Fill=—","Direction=H","UseDPDF=Y")</f>
        <v>1.5</v>
      </c>
      <c r="Z49" s="20">
        <v>0.59499999999999997</v>
      </c>
      <c r="AA49" s="20">
        <v>2.3820000000000001</v>
      </c>
    </row>
    <row r="50" spans="1:27" x14ac:dyDescent="0.25">
      <c r="A50" s="6" t="s">
        <v>394</v>
      </c>
      <c r="B50" s="6" t="s">
        <v>82</v>
      </c>
      <c r="C50" s="20">
        <f>_xll.BDH("SRPT US Equity","IS_DIL_EPS_CONT_OPS","FQ2 2019","FQ2 2019","Currency=USD","Period=FQ","BEST_FPERIOD_OVERRIDE=FQ","FILING_STATUS=MR","Sort=A","Dates=H","DateFormat=P","Fill=—","Direction=H","UseDPDF=Y")</f>
        <v>-1.1937</v>
      </c>
      <c r="D50" s="20">
        <f>_xll.BDH("SRPT US Equity","IS_DIL_EPS_CONT_OPS","FQ3 2019","FQ3 2019","Currency=USD","Period=FQ","BEST_FPERIOD_OVERRIDE=FQ","FILING_STATUS=MR","Sort=A","Dates=H","DateFormat=P","Fill=—","Direction=H","UseDPDF=Y")</f>
        <v>-1.5737000000000001</v>
      </c>
      <c r="E50" s="20">
        <f>_xll.BDH("SRPT US Equity","IS_DIL_EPS_CONT_OPS","FQ4 2019","FQ4 2019","Currency=USD","Period=FQ","BEST_FPERIOD_OVERRIDE=FQ","FILING_STATUS=MR","Sort=A","Dates=H","DateFormat=P","Fill=—","Direction=H","UseDPDF=Y")</f>
        <v>-2.2627000000000002</v>
      </c>
      <c r="F50" s="20">
        <f>_xll.BDH("SRPT US Equity","IS_DIL_EPS_CONT_OPS","FQ1 2020","FQ1 2020","Currency=USD","Period=FQ","BEST_FPERIOD_OVERRIDE=FQ","FILING_STATUS=MR","Sort=A","Dates=H","DateFormat=P","Fill=—","Direction=H","UseDPDF=Y")</f>
        <v>-1.4939</v>
      </c>
      <c r="G50" s="20">
        <f>_xll.BDH("SRPT US Equity","IS_DIL_EPS_CONT_OPS","FQ2 2020","FQ2 2020","Currency=USD","Period=FQ","BEST_FPERIOD_OVERRIDE=FQ","FILING_STATUS=MR","Sort=A","Dates=H","DateFormat=P","Fill=—","Direction=H","UseDPDF=Y")</f>
        <v>-1.93</v>
      </c>
      <c r="H50" s="20">
        <f>_xll.BDH("SRPT US Equity","IS_DIL_EPS_CONT_OPS","FQ3 2020","FQ3 2020","Currency=USD","Period=FQ","BEST_FPERIOD_OVERRIDE=FQ","FILING_STATUS=MR","Sort=A","Dates=H","DateFormat=P","Fill=—","Direction=H","UseDPDF=Y")</f>
        <v>-1.8956</v>
      </c>
      <c r="I50" s="20">
        <f>_xll.BDH("SRPT US Equity","IS_DIL_EPS_CONT_OPS","FQ4 2020","FQ4 2020","Currency=USD","Period=FQ","BEST_FPERIOD_OVERRIDE=FQ","FILING_STATUS=MR","Sort=A","Dates=H","DateFormat=P","Fill=—","Direction=H","UseDPDF=Y")</f>
        <v>-2.2936999999999999</v>
      </c>
      <c r="J50" s="20">
        <f>_xll.BDH("SRPT US Equity","IS_DIL_EPS_CONT_OPS","FQ1 2021","FQ1 2021","Currency=USD","Period=FQ","BEST_FPERIOD_OVERRIDE=FQ","FILING_STATUS=MR","Sort=A","Dates=H","DateFormat=P","Fill=—","Direction=H","UseDPDF=Y")</f>
        <v>-1.9294</v>
      </c>
      <c r="K50" s="20">
        <f>_xll.BDH("SRPT US Equity","IS_DIL_EPS_CONT_OPS","FQ2 2021","FQ2 2021","Currency=USD","Period=FQ","BEST_FPERIOD_OVERRIDE=FQ","FILING_STATUS=MR","Sort=A","Dates=H","DateFormat=P","Fill=—","Direction=H","UseDPDF=Y")</f>
        <v>-1.9026000000000001</v>
      </c>
      <c r="L50" s="20">
        <f>_xll.BDH("SRPT US Equity","IS_DIL_EPS_CONT_OPS","FQ3 2021","FQ3 2021","Currency=USD","Period=FQ","BEST_FPERIOD_OVERRIDE=FQ","FILING_STATUS=MR","Sort=A","Dates=H","DateFormat=P","Fill=—","Direction=H","UseDPDF=Y")</f>
        <v>-0.55830000000000002</v>
      </c>
      <c r="M50" s="20">
        <f>_xll.BDH("SRPT US Equity","IS_DIL_EPS_CONT_OPS","FQ4 2021","FQ4 2021","Currency=USD","Period=FQ","BEST_FPERIOD_OVERRIDE=FQ","FILING_STATUS=MR","Sort=A","Dates=H","DateFormat=P","Fill=—","Direction=H","UseDPDF=Y")</f>
        <v>-1.42</v>
      </c>
      <c r="N50" s="20">
        <f>_xll.BDH("SRPT US Equity","IS_DIL_EPS_CONT_OPS","FQ1 2022","FQ1 2022","Currency=USD","Period=FQ","BEST_FPERIOD_OVERRIDE=FQ","FILING_STATUS=MR","Sort=A","Dates=H","DateFormat=P","Fill=—","Direction=H","UseDPDF=Y")</f>
        <v>-1.2</v>
      </c>
      <c r="O50" s="20">
        <f>_xll.BDH("SRPT US Equity","IS_DIL_EPS_CONT_OPS","FQ2 2022","FQ2 2022","Currency=USD","Period=FQ","BEST_FPERIOD_OVERRIDE=FQ","FILING_STATUS=MR","Sort=A","Dates=H","DateFormat=P","Fill=—","Direction=H","UseDPDF=Y")</f>
        <v>-2.65</v>
      </c>
      <c r="P50" s="20">
        <f>_xll.BDH("SRPT US Equity","IS_DIL_EPS_CONT_OPS","FQ3 2022","FQ3 2022","Currency=USD","Period=FQ","BEST_FPERIOD_OVERRIDE=FQ","FILING_STATUS=MR","Sort=A","Dates=H","DateFormat=P","Fill=—","Direction=H","UseDPDF=Y")</f>
        <v>-1.8708</v>
      </c>
      <c r="Q50" s="20">
        <f>_xll.BDH("SRPT US Equity","IS_DIL_EPS_CONT_OPS","FQ4 2022","FQ4 2022","Currency=USD","Period=FQ","BEST_FPERIOD_OVERRIDE=FQ","FILING_STATUS=MR","Sort=A","Dates=H","DateFormat=P","Fill=—","Direction=H","UseDPDF=Y")</f>
        <v>-1.2204999999999999</v>
      </c>
      <c r="R50" s="20">
        <f>_xll.BDH("SRPT US Equity","IS_DIL_EPS_CONT_OPS","FQ1 2023","FQ1 2023","Currency=USD","Period=FQ","BEST_FPERIOD_OVERRIDE=FQ","FILING_STATUS=MR","Sort=A","Dates=H","DateFormat=P","Fill=—","Direction=H","UseDPDF=Y")</f>
        <v>-2.3902000000000001</v>
      </c>
      <c r="S50" s="20">
        <f>_xll.BDH("SRPT US Equity","IS_DIL_EPS_CONT_OPS","FQ2 2023","FQ2 2023","Currency=USD","Period=FQ","BEST_FPERIOD_OVERRIDE=FQ","FILING_STATUS=MR","Sort=A","Dates=H","DateFormat=P","Fill=—","Direction=H","UseDPDF=Y")</f>
        <v>-1.1851</v>
      </c>
      <c r="T50" s="20">
        <f>_xll.BDH("SRPT US Equity","IS_DIL_EPS_CONT_OPS","FQ3 2023","FQ3 2023","Currency=USD","Period=FQ","BEST_FPERIOD_OVERRIDE=FQ","FILING_STATUS=MR","Sort=A","Dates=H","DateFormat=P","Fill=—","Direction=H","UseDPDF=Y")</f>
        <v>-0.44280000000000003</v>
      </c>
      <c r="U50" s="20">
        <f>_xll.BDH("SRPT US Equity","IS_DIL_EPS_CONT_OPS","FQ4 2023","FQ4 2023","Currency=USD","Period=FQ","BEST_FPERIOD_OVERRIDE=FQ","FILING_STATUS=MR","Sort=A","Dates=H","DateFormat=P","Fill=—","Direction=H","UseDPDF=Y")</f>
        <v>0.47</v>
      </c>
      <c r="V50" s="20">
        <f>_xll.BDH("SRPT US Equity","IS_DIL_EPS_CONT_OPS","FQ1 2024","FQ1 2024","Currency=USD","Period=FQ","BEST_FPERIOD_OVERRIDE=FQ","FILING_STATUS=MR","Sort=A","Dates=H","DateFormat=P","Fill=—","Direction=H","UseDPDF=Y")</f>
        <v>0.46879999999999999</v>
      </c>
      <c r="W50" s="20">
        <f>_xll.BDH("SRPT US Equity","IS_DIL_EPS_CONT_OPS","FQ2 2024","FQ2 2024","Currency=USD","Period=FQ","BEST_FPERIOD_OVERRIDE=FQ","FILING_STATUS=MR","Sort=A","Dates=H","DateFormat=P","Fill=—","Direction=H","UseDPDF=Y")</f>
        <v>7.0000000000000007E-2</v>
      </c>
      <c r="X50" s="20">
        <f>_xll.BDH("SRPT US Equity","IS_DIL_EPS_CONT_OPS","FQ3 2024","FQ3 2024","Currency=USD","Period=FQ","BEST_FPERIOD_OVERRIDE=FQ","FILING_STATUS=MR","Sort=A","Dates=H","DateFormat=P","Fill=—","Direction=H","UseDPDF=Y")</f>
        <v>0.32650000000000001</v>
      </c>
      <c r="Y50" s="20">
        <f>_xll.BDH("SRPT US Equity","IS_DIL_EPS_CONT_OPS","FQ4 2024","FQ4 2024","Currency=USD","Period=FQ","BEST_FPERIOD_OVERRIDE=FQ","FILING_STATUS=MR","Sort=A","Dates=H","DateFormat=P","Fill=—","Direction=H","UseDPDF=Y")</f>
        <v>1.4935</v>
      </c>
      <c r="Z50" s="20">
        <v>1.4410000000000001</v>
      </c>
      <c r="AA50" s="20">
        <v>2.8010000000000002</v>
      </c>
    </row>
    <row r="51" spans="1:27" x14ac:dyDescent="0.25">
      <c r="A51" s="6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x14ac:dyDescent="0.25">
      <c r="A52" s="6" t="s">
        <v>4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x14ac:dyDescent="0.25">
      <c r="A53" s="10" t="s">
        <v>395</v>
      </c>
      <c r="B53" s="10" t="s">
        <v>396</v>
      </c>
      <c r="C53" s="12" t="s">
        <v>397</v>
      </c>
      <c r="D53" s="12" t="s">
        <v>397</v>
      </c>
      <c r="E53" s="12" t="s">
        <v>397</v>
      </c>
      <c r="F53" s="12" t="s">
        <v>397</v>
      </c>
      <c r="G53" s="12" t="s">
        <v>397</v>
      </c>
      <c r="H53" s="12" t="s">
        <v>397</v>
      </c>
      <c r="I53" s="12" t="s">
        <v>397</v>
      </c>
      <c r="J53" s="12" t="s">
        <v>397</v>
      </c>
      <c r="K53" s="12" t="s">
        <v>397</v>
      </c>
      <c r="L53" s="12" t="s">
        <v>397</v>
      </c>
      <c r="M53" s="12" t="s">
        <v>397</v>
      </c>
      <c r="N53" s="12" t="s">
        <v>397</v>
      </c>
      <c r="O53" s="12" t="s">
        <v>397</v>
      </c>
      <c r="P53" s="12" t="s">
        <v>397</v>
      </c>
      <c r="Q53" s="12" t="s">
        <v>397</v>
      </c>
      <c r="R53" s="12" t="s">
        <v>397</v>
      </c>
      <c r="S53" s="12" t="s">
        <v>397</v>
      </c>
      <c r="T53" s="12" t="s">
        <v>397</v>
      </c>
      <c r="U53" s="12" t="s">
        <v>397</v>
      </c>
      <c r="V53" s="12" t="s">
        <v>397</v>
      </c>
      <c r="W53" s="12" t="s">
        <v>397</v>
      </c>
      <c r="X53" s="12" t="s">
        <v>397</v>
      </c>
      <c r="Y53" s="12" t="s">
        <v>397</v>
      </c>
      <c r="Z53" s="12"/>
      <c r="AA53" s="12"/>
    </row>
    <row r="54" spans="1:27" x14ac:dyDescent="0.25">
      <c r="A54" s="10" t="s">
        <v>78</v>
      </c>
      <c r="B54" s="10" t="s">
        <v>78</v>
      </c>
      <c r="C54" s="13">
        <f>_xll.BDH("SRPT US Equity","EBITDA","FQ2 2019","FQ2 2019","Currency=USD","Period=FQ","BEST_FPERIOD_OVERRIDE=FQ","FILING_STATUS=MR","SCALING_FORMAT=MLN","FA_ADJUSTED=GAAP","Sort=A","Dates=H","DateFormat=P","Fill=—","Direction=H","UseDPDF=Y")</f>
        <v>-265.14299999999997</v>
      </c>
      <c r="D54" s="13">
        <f>_xll.BDH("SRPT US Equity","EBITDA","FQ3 2019","FQ3 2019","Currency=USD","Period=FQ","BEST_FPERIOD_OVERRIDE=FQ","FILING_STATUS=MR","SCALING_FORMAT=MLN","FA_ADJUSTED=GAAP","Sort=A","Dates=H","DateFormat=P","Fill=—","Direction=H","UseDPDF=Y")</f>
        <v>-112.70699999999999</v>
      </c>
      <c r="E54" s="13">
        <f>_xll.BDH("SRPT US Equity","EBITDA","FQ4 2019","FQ4 2019","Currency=USD","Period=FQ","BEST_FPERIOD_OVERRIDE=FQ","FILING_STATUS=MR","SCALING_FORMAT=MLN","FA_ADJUSTED=GAAP","Sort=A","Dates=H","DateFormat=P","Fill=—","Direction=H","UseDPDF=Y")</f>
        <v>-219.416</v>
      </c>
      <c r="F54" s="13">
        <f>_xll.BDH("SRPT US Equity","EBITDA","FQ1 2020","FQ1 2020","Currency=USD","Period=FQ","BEST_FPERIOD_OVERRIDE=FQ","FILING_STATUS=MR","SCALING_FORMAT=MLN","FA_ADJUSTED=GAAP","Sort=A","Dates=H","DateFormat=P","Fill=—","Direction=H","UseDPDF=Y")</f>
        <v>-110.697</v>
      </c>
      <c r="G54" s="13">
        <f>_xll.BDH("SRPT US Equity","EBITDA","FQ2 2020","FQ2 2020","Currency=USD","Period=FQ","BEST_FPERIOD_OVERRIDE=FQ","FILING_STATUS=MR","SCALING_FORMAT=MLN","FA_ADJUSTED=GAAP","Sort=A","Dates=H","DateFormat=P","Fill=—","Direction=H","UseDPDF=Y")</f>
        <v>-129.87799999999999</v>
      </c>
      <c r="H54" s="13">
        <f>_xll.BDH("SRPT US Equity","EBITDA","FQ3 2020","FQ3 2020","Currency=USD","Period=FQ","BEST_FPERIOD_OVERRIDE=FQ","FILING_STATUS=MR","SCALING_FORMAT=MLN","FA_ADJUSTED=GAAP","Sort=A","Dates=H","DateFormat=P","Fill=—","Direction=H","UseDPDF=Y")</f>
        <v>-128.249</v>
      </c>
      <c r="I54" s="13">
        <f>_xll.BDH("SRPT US Equity","EBITDA","FQ4 2020","FQ4 2020","Currency=USD","Period=FQ","BEST_FPERIOD_OVERRIDE=FQ","FILING_STATUS=MR","SCALING_FORMAT=MLN","FA_ADJUSTED=GAAP","Sort=A","Dates=H","DateFormat=P","Fill=—","Direction=H","UseDPDF=Y")</f>
        <v>-149.44999999999999</v>
      </c>
      <c r="J54" s="13">
        <f>_xll.BDH("SRPT US Equity","EBITDA","FQ1 2021","FQ1 2021","Currency=USD","Period=FQ","BEST_FPERIOD_OVERRIDE=FQ","FILING_STATUS=MR","SCALING_FORMAT=MLN","FA_ADJUSTED=GAAP","Sort=A","Dates=H","DateFormat=P","Fill=—","Direction=H","UseDPDF=Y")</f>
        <v>-142.935</v>
      </c>
      <c r="K54" s="13">
        <f>_xll.BDH("SRPT US Equity","EBITDA","FQ2 2021","FQ2 2021","Currency=USD","Period=FQ","BEST_FPERIOD_OVERRIDE=FQ","FILING_STATUS=MR","SCALING_FORMAT=MLN","FA_ADJUSTED=GAAP","Sort=A","Dates=H","DateFormat=P","Fill=—","Direction=H","UseDPDF=Y")</f>
        <v>-159.12700000000001</v>
      </c>
      <c r="L54" s="13">
        <f>_xll.BDH("SRPT US Equity","EBITDA","FQ3 2021","FQ3 2021","Currency=USD","Period=FQ","BEST_FPERIOD_OVERRIDE=FQ","FILING_STATUS=MR","SCALING_FORMAT=MLN","FA_ADJUSTED=GAAP","Sort=A","Dates=H","DateFormat=P","Fill=—","Direction=H","UseDPDF=Y")</f>
        <v>-23.963000000000001</v>
      </c>
      <c r="M54" s="13">
        <f>_xll.BDH("SRPT US Equity","EBITDA","FQ4 2021","FQ4 2021","Currency=USD","Period=FQ","BEST_FPERIOD_OVERRIDE=FQ","FILING_STATUS=MR","SCALING_FORMAT=MLN","FA_ADJUSTED=GAAP","Sort=A","Dates=H","DateFormat=P","Fill=—","Direction=H","UseDPDF=Y")</f>
        <v>-95.668000000000006</v>
      </c>
      <c r="N54" s="13">
        <f>_xll.BDH("SRPT US Equity","EBITDA","FQ1 2022","FQ1 2022","Currency=USD","Period=FQ","BEST_FPERIOD_OVERRIDE=FQ","FILING_STATUS=MR","SCALING_FORMAT=MLN","FA_ADJUSTED=GAAP","Sort=A","Dates=H","DateFormat=P","Fill=—","Direction=H","UseDPDF=Y")</f>
        <v>-76.162000000000006</v>
      </c>
      <c r="O54" s="13">
        <f>_xll.BDH("SRPT US Equity","EBITDA","FQ2 2022","FQ2 2022","Currency=USD","Period=FQ","BEST_FPERIOD_OVERRIDE=FQ","FILING_STATUS=MR","SCALING_FORMAT=MLN","FA_ADJUSTED=GAAP","Sort=A","Dates=H","DateFormat=P","Fill=—","Direction=H","UseDPDF=Y")</f>
        <v>-201.24299999999999</v>
      </c>
      <c r="P54" s="13">
        <f>_xll.BDH("SRPT US Equity","EBITDA","FQ3 2022","FQ3 2022","Currency=USD","Period=FQ","BEST_FPERIOD_OVERRIDE=FQ","FILING_STATUS=MR","SCALING_FORMAT=MLN","FA_ADJUSTED=GAAP","Sort=A","Dates=H","DateFormat=P","Fill=—","Direction=H","UseDPDF=Y")</f>
        <v>-120.652</v>
      </c>
      <c r="Q54" s="13">
        <f>_xll.BDH("SRPT US Equity","EBITDA","FQ4 2022","FQ4 2022","Currency=USD","Period=FQ","BEST_FPERIOD_OVERRIDE=FQ","FILING_STATUS=MR","SCALING_FORMAT=MLN","FA_ADJUSTED=GAAP","Sort=A","Dates=H","DateFormat=P","Fill=—","Direction=H","UseDPDF=Y")</f>
        <v>-96.28</v>
      </c>
      <c r="R54" s="13">
        <f>_xll.BDH("SRPT US Equity","EBITDA","FQ1 2023","FQ1 2023","Currency=USD","Period=FQ","BEST_FPERIOD_OVERRIDE=FQ","FILING_STATUS=MR","SCALING_FORMAT=MLN","FA_ADJUSTED=GAAP","Sort=A","Dates=H","DateFormat=P","Fill=—","Direction=H","UseDPDF=Y")</f>
        <v>-126.783</v>
      </c>
      <c r="S54" s="13">
        <f>_xll.BDH("SRPT US Equity","EBITDA","FQ2 2023","FQ2 2023","Currency=USD","Period=FQ","BEST_FPERIOD_OVERRIDE=FQ","FILING_STATUS=MR","SCALING_FORMAT=MLN","FA_ADJUSTED=GAAP","Sort=A","Dates=H","DateFormat=P","Fill=—","Direction=H","UseDPDF=Y")</f>
        <v>-122.727</v>
      </c>
      <c r="T54" s="13">
        <f>_xll.BDH("SRPT US Equity","EBITDA","FQ3 2023","FQ3 2023","Currency=USD","Period=FQ","BEST_FPERIOD_OVERRIDE=FQ","FILING_STATUS=MR","SCALING_FORMAT=MLN","FA_ADJUSTED=GAAP","Sort=A","Dates=H","DateFormat=P","Fill=—","Direction=H","UseDPDF=Y")</f>
        <v>-9.9139999999999997</v>
      </c>
      <c r="U54" s="13">
        <f>_xll.BDH("SRPT US Equity","EBITDA","FQ4 2023","FQ4 2023","Currency=USD","Period=FQ","BEST_FPERIOD_OVERRIDE=FQ","FILING_STATUS=MR","SCALING_FORMAT=MLN","FA_ADJUSTED=GAAP","Sort=A","Dates=H","DateFormat=P","Fill=—","Direction=H","UseDPDF=Y")</f>
        <v>35.997</v>
      </c>
      <c r="V54" s="13">
        <f>_xll.BDH("SRPT US Equity","EBITDA","FQ1 2024","FQ1 2024","Currency=USD","Period=FQ","BEST_FPERIOD_OVERRIDE=FQ","FILING_STATUS=MR","SCALING_FORMAT=MLN","FA_ADJUSTED=GAAP","Sort=A","Dates=H","DateFormat=P","Fill=—","Direction=H","UseDPDF=Y")</f>
        <v>43.649000000000001</v>
      </c>
      <c r="W54" s="13">
        <f>_xll.BDH("SRPT US Equity","EBITDA","FQ2 2024","FQ2 2024","Currency=USD","Period=FQ","BEST_FPERIOD_OVERRIDE=FQ","FILING_STATUS=MR","SCALING_FORMAT=MLN","FA_ADJUSTED=GAAP","Sort=A","Dates=H","DateFormat=P","Fill=—","Direction=H","UseDPDF=Y")</f>
        <v>8.0180000000000007</v>
      </c>
      <c r="X54" s="13">
        <f>_xll.BDH("SRPT US Equity","EBITDA","FQ3 2024","FQ3 2024","Currency=USD","Period=FQ","BEST_FPERIOD_OVERRIDE=FQ","FILING_STATUS=MR","SCALING_FORMAT=MLN","FA_ADJUSTED=GAAP","Sort=A","Dates=H","DateFormat=P","Fill=—","Direction=H","UseDPDF=Y")</f>
        <v>32.002000000000002</v>
      </c>
      <c r="Y54" s="13">
        <f>_xll.BDH("SRPT US Equity","EBITDA","FQ4 2024","FQ4 2024","Currency=USD","Period=FQ","BEST_FPERIOD_OVERRIDE=FQ","FILING_STATUS=MR","SCALING_FORMAT=MLN","FA_ADJUSTED=GAAP","Sort=A","Dates=H","DateFormat=P","Fill=—","Direction=H","UseDPDF=Y")</f>
        <v>172.136</v>
      </c>
      <c r="Z54" s="13">
        <v>18.2</v>
      </c>
      <c r="AA54" s="13">
        <v>276.2</v>
      </c>
    </row>
    <row r="55" spans="1:27" x14ac:dyDescent="0.25">
      <c r="A55" s="10" t="s">
        <v>398</v>
      </c>
      <c r="B55" s="10" t="s">
        <v>399</v>
      </c>
      <c r="C55" s="14">
        <f>_xll.BDH("SRPT US Equity","EBITDA_MARGIN","FQ2 2019","FQ2 2019","Currency=USD","Period=FQ","BEST_FPERIOD_OVERRIDE=FQ","FILING_STATUS=MR","FA_ADJUSTED=GAAP","Sort=A","Dates=H","DateFormat=P","Fill=—","Direction=H","UseDPDF=Y")</f>
        <v>-155.23249999999999</v>
      </c>
      <c r="D55" s="14">
        <f>_xll.BDH("SRPT US Equity","EBITDA_MARGIN","FQ3 2019","FQ3 2019","Currency=USD","Period=FQ","BEST_FPERIOD_OVERRIDE=FQ","FILING_STATUS=MR","FA_ADJUSTED=GAAP","Sort=A","Dates=H","DateFormat=P","Fill=—","Direction=H","UseDPDF=Y")</f>
        <v>-159.14689999999999</v>
      </c>
      <c r="E55" s="14">
        <f>_xll.BDH("SRPT US Equity","EBITDA_MARGIN","FQ4 2019","FQ4 2019","Currency=USD","Period=FQ","BEST_FPERIOD_OVERRIDE=FQ","FILING_STATUS=MR","FA_ADJUSTED=GAAP","Sort=A","Dates=H","DateFormat=P","Fill=—","Direction=H","UseDPDF=Y")</f>
        <v>-174.5335</v>
      </c>
      <c r="F55" s="14">
        <f>_xll.BDH("SRPT US Equity","EBITDA_MARGIN","FQ1 2020","FQ1 2020","Currency=USD","Period=FQ","BEST_FPERIOD_OVERRIDE=FQ","FILING_STATUS=MR","FA_ADJUSTED=GAAP","Sort=A","Dates=H","DateFormat=P","Fill=—","Direction=H","UseDPDF=Y")</f>
        <v>-173.73500000000001</v>
      </c>
      <c r="G55" s="14">
        <f>_xll.BDH("SRPT US Equity","EBITDA_MARGIN","FQ2 2020","FQ2 2020","Currency=USD","Period=FQ","BEST_FPERIOD_OVERRIDE=FQ","FILING_STATUS=MR","FA_ADJUSTED=GAAP","Sort=A","Dates=H","DateFormat=P","Fill=—","Direction=H","UseDPDF=Y")</f>
        <v>-127.2122</v>
      </c>
      <c r="H55" s="14">
        <f>_xll.BDH("SRPT US Equity","EBITDA_MARGIN","FQ3 2020","FQ3 2020","Currency=USD","Period=FQ","BEST_FPERIOD_OVERRIDE=FQ","FILING_STATUS=MR","FA_ADJUSTED=GAAP","Sort=A","Dates=H","DateFormat=P","Fill=—","Direction=H","UseDPDF=Y")</f>
        <v>-118.8186</v>
      </c>
      <c r="I55" s="14">
        <f>_xll.BDH("SRPT US Equity","EBITDA_MARGIN","FQ4 2020","FQ4 2020","Currency=USD","Period=FQ","BEST_FPERIOD_OVERRIDE=FQ","FILING_STATUS=MR","FA_ADJUSTED=GAAP","Sort=A","Dates=H","DateFormat=P","Fill=—","Direction=H","UseDPDF=Y")</f>
        <v>-95.959100000000007</v>
      </c>
      <c r="J55" s="14">
        <f>_xll.BDH("SRPT US Equity","EBITDA_MARGIN","FQ1 2021","FQ1 2021","Currency=USD","Period=FQ","BEST_FPERIOD_OVERRIDE=FQ","FILING_STATUS=MR","FA_ADJUSTED=GAAP","Sort=A","Dates=H","DateFormat=P","Fill=—","Direction=H","UseDPDF=Y")</f>
        <v>-96.015699999999995</v>
      </c>
      <c r="K55" s="14">
        <f>_xll.BDH("SRPT US Equity","EBITDA_MARGIN","FQ2 2021","FQ2 2021","Currency=USD","Period=FQ","BEST_FPERIOD_OVERRIDE=FQ","FILING_STATUS=MR","FA_ADJUSTED=GAAP","Sort=A","Dates=H","DateFormat=P","Fill=—","Direction=H","UseDPDF=Y")</f>
        <v>-96.613600000000005</v>
      </c>
      <c r="L55" s="14">
        <f>_xll.BDH("SRPT US Equity","EBITDA_MARGIN","FQ3 2021","FQ3 2021","Currency=USD","Period=FQ","BEST_FPERIOD_OVERRIDE=FQ","FILING_STATUS=MR","FA_ADJUSTED=GAAP","Sort=A","Dates=H","DateFormat=P","Fill=—","Direction=H","UseDPDF=Y")</f>
        <v>-73.652699999999996</v>
      </c>
      <c r="M55" s="14">
        <f>_xll.BDH("SRPT US Equity","EBITDA_MARGIN","FQ4 2021","FQ4 2021","Currency=USD","Period=FQ","BEST_FPERIOD_OVERRIDE=FQ","FILING_STATUS=MR","FA_ADJUSTED=GAAP","Sort=A","Dates=H","DateFormat=P","Fill=—","Direction=H","UseDPDF=Y")</f>
        <v>-60.079900000000002</v>
      </c>
      <c r="N55" s="14">
        <f>_xll.BDH("SRPT US Equity","EBITDA_MARGIN","FQ1 2022","FQ1 2022","Currency=USD","Period=FQ","BEST_FPERIOD_OVERRIDE=FQ","FILING_STATUS=MR","FA_ADJUSTED=GAAP","Sort=A","Dates=H","DateFormat=P","Fill=—","Direction=H","UseDPDF=Y")</f>
        <v>-46.347200000000001</v>
      </c>
      <c r="O55" s="14">
        <f>_xll.BDH("SRPT US Equity","EBITDA_MARGIN","FQ2 2022","FQ2 2022","Currency=USD","Period=FQ","BEST_FPERIOD_OVERRIDE=FQ","FILING_STATUS=MR","FA_ADJUSTED=GAAP","Sort=A","Dates=H","DateFormat=P","Fill=—","Direction=H","UseDPDF=Y")</f>
        <v>-47.538699999999999</v>
      </c>
      <c r="P55" s="14">
        <f>_xll.BDH("SRPT US Equity","EBITDA_MARGIN","FQ3 2022","FQ3 2022","Currency=USD","Period=FQ","BEST_FPERIOD_OVERRIDE=FQ","FILING_STATUS=MR","FA_ADJUSTED=GAAP","Sort=A","Dates=H","DateFormat=P","Fill=—","Direction=H","UseDPDF=Y")</f>
        <v>-56.3583</v>
      </c>
      <c r="Q55" s="14">
        <f>_xll.BDH("SRPT US Equity","EBITDA_MARGIN","FQ4 2022","FQ4 2022","Currency=USD","Period=FQ","BEST_FPERIOD_OVERRIDE=FQ","FILING_STATUS=MR","FA_ADJUSTED=GAAP","Sort=A","Dates=H","DateFormat=P","Fill=—","Direction=H","UseDPDF=Y")</f>
        <v>-52.982900000000001</v>
      </c>
      <c r="R55" s="14">
        <f>_xll.BDH("SRPT US Equity","EBITDA_MARGIN","FQ1 2023","FQ1 2023","Currency=USD","Period=FQ","BEST_FPERIOD_OVERRIDE=FQ","FILING_STATUS=MR","FA_ADJUSTED=GAAP","Sort=A","Dates=H","DateFormat=P","Fill=—","Direction=H","UseDPDF=Y")</f>
        <v>-55.853999999999999</v>
      </c>
      <c r="S55" s="14">
        <f>_xll.BDH("SRPT US Equity","EBITDA_MARGIN","FQ2 2023","FQ2 2023","Currency=USD","Period=FQ","BEST_FPERIOD_OVERRIDE=FQ","FILING_STATUS=MR","FA_ADJUSTED=GAAP","Sort=A","Dates=H","DateFormat=P","Fill=—","Direction=H","UseDPDF=Y")</f>
        <v>-46.4846</v>
      </c>
      <c r="T55" s="14">
        <f>_xll.BDH("SRPT US Equity","EBITDA_MARGIN","FQ3 2023","FQ3 2023","Currency=USD","Period=FQ","BEST_FPERIOD_OVERRIDE=FQ","FILING_STATUS=MR","FA_ADJUSTED=GAAP","Sort=A","Dates=H","DateFormat=P","Fill=—","Direction=H","UseDPDF=Y")</f>
        <v>-32.190899999999999</v>
      </c>
      <c r="U55" s="14">
        <f>_xll.BDH("SRPT US Equity","EBITDA_MARGIN","FQ4 2023","FQ4 2023","Currency=USD","Period=FQ","BEST_FPERIOD_OVERRIDE=FQ","FILING_STATUS=MR","FA_ADJUSTED=GAAP","Sort=A","Dates=H","DateFormat=P","Fill=—","Direction=H","UseDPDF=Y")</f>
        <v>-17.97</v>
      </c>
      <c r="V55" s="14">
        <f>_xll.BDH("SRPT US Equity","EBITDA_MARGIN","FQ1 2024","FQ1 2024","Currency=USD","Period=FQ","BEST_FPERIOD_OVERRIDE=FQ","FILING_STATUS=MR","FA_ADJUSTED=GAAP","Sort=A","Dates=H","DateFormat=P","Fill=—","Direction=H","UseDPDF=Y")</f>
        <v>-3.7765</v>
      </c>
      <c r="W55" s="14">
        <f>_xll.BDH("SRPT US Equity","EBITDA_MARGIN","FQ2 2024","FQ2 2024","Currency=USD","Period=FQ","BEST_FPERIOD_OVERRIDE=FQ","FILING_STATUS=MR","FA_ADJUSTED=GAAP","Sort=A","Dates=H","DateFormat=P","Fill=—","Direction=H","UseDPDF=Y")</f>
        <v>5.1661000000000001</v>
      </c>
      <c r="X55" s="14">
        <f>_xll.BDH("SRPT US Equity","EBITDA_MARGIN","FQ3 2024","FQ3 2024","Currency=USD","Period=FQ","BEST_FPERIOD_OVERRIDE=FQ","FILING_STATUS=MR","FA_ADJUSTED=GAAP","Sort=A","Dates=H","DateFormat=P","Fill=—","Direction=H","UseDPDF=Y")</f>
        <v>7.2952000000000004</v>
      </c>
      <c r="Y55" s="14">
        <f>_xll.BDH("SRPT US Equity","EBITDA_MARGIN","FQ4 2024","FQ4 2024","Currency=USD","Period=FQ","BEST_FPERIOD_OVERRIDE=FQ","FILING_STATUS=MR","FA_ADJUSTED=GAAP","Sort=A","Dates=H","DateFormat=P","Fill=—","Direction=H","UseDPDF=Y")</f>
        <v>13.449400000000001</v>
      </c>
      <c r="Z55" s="14">
        <v>28.911623788365102</v>
      </c>
      <c r="AA55" s="14"/>
    </row>
    <row r="56" spans="1:27" x14ac:dyDescent="0.25">
      <c r="A56" s="10" t="s">
        <v>400</v>
      </c>
      <c r="B56" s="10" t="s">
        <v>400</v>
      </c>
      <c r="C56" s="13">
        <f>_xll.BDH("SRPT US Equity","EBITA","FQ2 2019","FQ2 2019","Currency=USD","Period=FQ","BEST_FPERIOD_OVERRIDE=FQ","FILING_STATUS=MR","SCALING_FORMAT=MLN","FA_ADJUSTED=GAAP","Sort=A","Dates=H","DateFormat=P","Fill=—","Direction=H","UseDPDF=Y")</f>
        <v>-271.15899999999999</v>
      </c>
      <c r="D56" s="13">
        <f>_xll.BDH("SRPT US Equity","EBITA","FQ3 2019","FQ3 2019","Currency=USD","Period=FQ","BEST_FPERIOD_OVERRIDE=FQ","FILING_STATUS=MR","SCALING_FORMAT=MLN","FA_ADJUSTED=GAAP","Sort=A","Dates=H","DateFormat=P","Fill=—","Direction=H","UseDPDF=Y")</f>
        <v>-119.232</v>
      </c>
      <c r="E56" s="13">
        <f>_xll.BDH("SRPT US Equity","EBITA","FQ4 2019","FQ4 2019","Currency=USD","Period=FQ","BEST_FPERIOD_OVERRIDE=FQ","FILING_STATUS=MR","SCALING_FORMAT=MLN","FA_ADJUSTED=GAAP","Sort=A","Dates=H","DateFormat=P","Fill=—","Direction=H","UseDPDF=Y")</f>
        <v>-225.86199999999999</v>
      </c>
      <c r="F56" s="13">
        <f>_xll.BDH("SRPT US Equity","EBITA","FQ1 2020","FQ1 2020","Currency=USD","Period=FQ","BEST_FPERIOD_OVERRIDE=FQ","FILING_STATUS=MR","SCALING_FORMAT=MLN","FA_ADJUSTED=GAAP","Sort=A","Dates=H","DateFormat=P","Fill=—","Direction=H","UseDPDF=Y")</f>
        <v>-117.06</v>
      </c>
      <c r="G56" s="13">
        <f>_xll.BDH("SRPT US Equity","EBITA","FQ2 2020","FQ2 2020","Currency=USD","Period=FQ","BEST_FPERIOD_OVERRIDE=FQ","FILING_STATUS=MR","SCALING_FORMAT=MLN","FA_ADJUSTED=GAAP","Sort=A","Dates=H","DateFormat=P","Fill=—","Direction=H","UseDPDF=Y")</f>
        <v>-136.18799999999999</v>
      </c>
      <c r="H56" s="13">
        <f>_xll.BDH("SRPT US Equity","EBITA","FQ3 2020","FQ3 2020","Currency=USD","Period=FQ","BEST_FPERIOD_OVERRIDE=FQ","FILING_STATUS=MR","SCALING_FORMAT=MLN","FA_ADJUSTED=GAAP","Sort=A","Dates=H","DateFormat=P","Fill=—","Direction=H","UseDPDF=Y")</f>
        <v>-134.702</v>
      </c>
      <c r="I56" s="13">
        <f>_xll.BDH("SRPT US Equity","EBITA","FQ4 2020","FQ4 2020","Currency=USD","Period=FQ","BEST_FPERIOD_OVERRIDE=FQ","FILING_STATUS=MR","SCALING_FORMAT=MLN","FA_ADJUSTED=GAAP","Sort=A","Dates=H","DateFormat=P","Fill=—","Direction=H","UseDPDF=Y")</f>
        <v>-156.57300000000001</v>
      </c>
      <c r="J56" s="13">
        <f>_xll.BDH("SRPT US Equity","EBITA","FQ1 2021","FQ1 2021","Currency=USD","Period=FQ","BEST_FPERIOD_OVERRIDE=FQ","FILING_STATUS=MR","SCALING_FORMAT=MLN","FA_ADJUSTED=GAAP","Sort=A","Dates=H","DateFormat=P","Fill=—","Direction=H","UseDPDF=Y")</f>
        <v>-151.69499999999999</v>
      </c>
      <c r="K56" s="13">
        <f>_xll.BDH("SRPT US Equity","EBITA","FQ2 2021","FQ2 2021","Currency=USD","Period=FQ","BEST_FPERIOD_OVERRIDE=FQ","FILING_STATUS=MR","SCALING_FORMAT=MLN","FA_ADJUSTED=GAAP","Sort=A","Dates=H","DateFormat=P","Fill=—","Direction=H","UseDPDF=Y")</f>
        <v>-167.39500000000001</v>
      </c>
      <c r="L56" s="13">
        <f>_xll.BDH("SRPT US Equity","EBITA","FQ3 2021","FQ3 2021","Currency=USD","Period=FQ","BEST_FPERIOD_OVERRIDE=FQ","FILING_STATUS=MR","SCALING_FORMAT=MLN","FA_ADJUSTED=GAAP","Sort=A","Dates=H","DateFormat=P","Fill=—","Direction=H","UseDPDF=Y")</f>
        <v>-34.28</v>
      </c>
      <c r="M56" s="13">
        <f>_xll.BDH("SRPT US Equity","EBITA","FQ4 2021","FQ4 2021","Currency=USD","Period=FQ","BEST_FPERIOD_OVERRIDE=FQ","FILING_STATUS=MR","SCALING_FORMAT=MLN","FA_ADJUSTED=GAAP","Sort=A","Dates=H","DateFormat=P","Fill=—","Direction=H","UseDPDF=Y")</f>
        <v>-105.634</v>
      </c>
      <c r="N56" s="13">
        <f>_xll.BDH("SRPT US Equity","EBITA","FQ1 2022","FQ1 2022","Currency=USD","Period=FQ","BEST_FPERIOD_OVERRIDE=FQ","FILING_STATUS=MR","SCALING_FORMAT=MLN","FA_ADJUSTED=GAAP","Sort=A","Dates=H","DateFormat=P","Fill=—","Direction=H","UseDPDF=Y")</f>
        <v>-86.703000000000003</v>
      </c>
      <c r="O56" s="13">
        <f>_xll.BDH("SRPT US Equity","EBITA","FQ2 2022","FQ2 2022","Currency=USD","Period=FQ","BEST_FPERIOD_OVERRIDE=FQ","FILING_STATUS=MR","SCALING_FORMAT=MLN","FA_ADJUSTED=GAAP","Sort=A","Dates=H","DateFormat=P","Fill=—","Direction=H","UseDPDF=Y")</f>
        <v>-210.953</v>
      </c>
      <c r="P56" s="13">
        <f>_xll.BDH("SRPT US Equity","EBITA","FQ3 2022","FQ3 2022","Currency=USD","Period=FQ","BEST_FPERIOD_OVERRIDE=FQ","FILING_STATUS=MR","SCALING_FORMAT=MLN","FA_ADJUSTED=GAAP","Sort=A","Dates=H","DateFormat=P","Fill=—","Direction=H","UseDPDF=Y")</f>
        <v>-131.17699999999999</v>
      </c>
      <c r="Q56" s="13">
        <f>_xll.BDH("SRPT US Equity","EBITA","FQ4 2022","FQ4 2022","Currency=USD","Period=FQ","BEST_FPERIOD_OVERRIDE=FQ","FILING_STATUS=MR","SCALING_FORMAT=MLN","FA_ADJUSTED=GAAP","Sort=A","Dates=H","DateFormat=P","Fill=—","Direction=H","UseDPDF=Y")</f>
        <v>-106.654</v>
      </c>
      <c r="R56" s="13">
        <f>_xll.BDH("SRPT US Equity","EBITA","FQ1 2023","FQ1 2023","Currency=USD","Period=FQ","BEST_FPERIOD_OVERRIDE=FQ","FILING_STATUS=MR","SCALING_FORMAT=MLN","FA_ADJUSTED=GAAP","Sort=A","Dates=H","DateFormat=P","Fill=—","Direction=H","UseDPDF=Y")</f>
        <v>-137.91</v>
      </c>
      <c r="S56" s="13">
        <f>_xll.BDH("SRPT US Equity","EBITA","FQ2 2023","FQ2 2023","Currency=USD","Period=FQ","BEST_FPERIOD_OVERRIDE=FQ","FILING_STATUS=MR","SCALING_FORMAT=MLN","FA_ADJUSTED=GAAP","Sort=A","Dates=H","DateFormat=P","Fill=—","Direction=H","UseDPDF=Y")</f>
        <v>-133.34</v>
      </c>
      <c r="T56" s="13">
        <f>_xll.BDH("SRPT US Equity","EBITA","FQ3 2023","FQ3 2023","Currency=USD","Period=FQ","BEST_FPERIOD_OVERRIDE=FQ","FILING_STATUS=MR","SCALING_FORMAT=MLN","FA_ADJUSTED=GAAP","Sort=A","Dates=H","DateFormat=P","Fill=—","Direction=H","UseDPDF=Y")</f>
        <v>-20.402999999999999</v>
      </c>
      <c r="U56" s="13">
        <f>_xll.BDH("SRPT US Equity","EBITA","FQ4 2023","FQ4 2023","Currency=USD","Period=FQ","BEST_FPERIOD_OVERRIDE=FQ","FILING_STATUS=MR","SCALING_FORMAT=MLN","FA_ADJUSTED=GAAP","Sort=A","Dates=H","DateFormat=P","Fill=—","Direction=H","UseDPDF=Y")</f>
        <v>26.151</v>
      </c>
      <c r="V56" s="13">
        <f>_xll.BDH("SRPT US Equity","EBITA","FQ1 2024","FQ1 2024","Currency=USD","Period=FQ","BEST_FPERIOD_OVERRIDE=FQ","FILING_STATUS=MR","SCALING_FORMAT=MLN","FA_ADJUSTED=GAAP","Sort=A","Dates=H","DateFormat=P","Fill=—","Direction=H","UseDPDF=Y")</f>
        <v>35.506</v>
      </c>
      <c r="W56" s="13">
        <f>_xll.BDH("SRPT US Equity","EBITA","FQ2 2024","FQ2 2024","Currency=USD","Period=FQ","BEST_FPERIOD_OVERRIDE=FQ","FILING_STATUS=MR","SCALING_FORMAT=MLN","FA_ADJUSTED=GAAP","Sort=A","Dates=H","DateFormat=P","Fill=—","Direction=H","UseDPDF=Y")</f>
        <v>0.501</v>
      </c>
      <c r="X56" s="13">
        <f>_xll.BDH("SRPT US Equity","EBITA","FQ3 2024","FQ3 2024","Currency=USD","Period=FQ","BEST_FPERIOD_OVERRIDE=FQ","FILING_STATUS=MR","SCALING_FORMAT=MLN","FA_ADJUSTED=GAAP","Sort=A","Dates=H","DateFormat=P","Fill=—","Direction=H","UseDPDF=Y")</f>
        <v>23.4</v>
      </c>
      <c r="Y56" s="13">
        <f>_xll.BDH("SRPT US Equity","EBITA","FQ4 2024","FQ4 2024","Currency=USD","Period=FQ","BEST_FPERIOD_OVERRIDE=FQ","FILING_STATUS=MR","SCALING_FORMAT=MLN","FA_ADJUSTED=GAAP","Sort=A","Dates=H","DateFormat=P","Fill=—","Direction=H","UseDPDF=Y")</f>
        <v>162.88300000000001</v>
      </c>
      <c r="Z56" s="13"/>
      <c r="AA56" s="13"/>
    </row>
    <row r="57" spans="1:27" x14ac:dyDescent="0.25">
      <c r="A57" s="10" t="s">
        <v>142</v>
      </c>
      <c r="B57" s="10" t="s">
        <v>142</v>
      </c>
      <c r="C57" s="13">
        <f>_xll.BDH("SRPT US Equity","EBIT","FQ2 2019","FQ2 2019","Currency=USD","Period=FQ","BEST_FPERIOD_OVERRIDE=FQ","FILING_STATUS=MR","SCALING_FORMAT=MLN","FA_ADJUSTED=GAAP","Sort=A","Dates=H","DateFormat=P","Fill=—","Direction=H","UseDPDF=Y")</f>
        <v>-275.36700000000002</v>
      </c>
      <c r="D57" s="13">
        <f>_xll.BDH("SRPT US Equity","EBIT","FQ3 2019","FQ3 2019","Currency=USD","Period=FQ","BEST_FPERIOD_OVERRIDE=FQ","FILING_STATUS=MR","SCALING_FORMAT=MLN","FA_ADJUSTED=GAAP","Sort=A","Dates=H","DateFormat=P","Fill=—","Direction=H","UseDPDF=Y")</f>
        <v>-123.59</v>
      </c>
      <c r="E57" s="13">
        <f>_xll.BDH("SRPT US Equity","EBIT","FQ4 2019","FQ4 2019","Currency=USD","Period=FQ","BEST_FPERIOD_OVERRIDE=FQ","FILING_STATUS=MR","SCALING_FORMAT=MLN","FA_ADJUSTED=GAAP","Sort=A","Dates=H","DateFormat=P","Fill=—","Direction=H","UseDPDF=Y")</f>
        <v>-230.21899999999999</v>
      </c>
      <c r="F57" s="13">
        <f>_xll.BDH("SRPT US Equity","EBIT","FQ1 2020","FQ1 2020","Currency=USD","Period=FQ","BEST_FPERIOD_OVERRIDE=FQ","FILING_STATUS=MR","SCALING_FORMAT=MLN","FA_ADJUSTED=GAAP","Sort=A","Dates=H","DateFormat=P","Fill=—","Direction=H","UseDPDF=Y")</f>
        <v>-118.026</v>
      </c>
      <c r="G57" s="13">
        <f>_xll.BDH("SRPT US Equity","EBIT","FQ2 2020","FQ2 2020","Currency=USD","Period=FQ","BEST_FPERIOD_OVERRIDE=FQ","FILING_STATUS=MR","SCALING_FORMAT=MLN","FA_ADJUSTED=GAAP","Sort=A","Dates=H","DateFormat=P","Fill=—","Direction=H","UseDPDF=Y")</f>
        <v>-138.35300000000001</v>
      </c>
      <c r="H57" s="13">
        <f>_xll.BDH("SRPT US Equity","EBIT","FQ3 2020","FQ3 2020","Currency=USD","Period=FQ","BEST_FPERIOD_OVERRIDE=FQ","FILING_STATUS=MR","SCALING_FORMAT=MLN","FA_ADJUSTED=GAAP","Sort=A","Dates=H","DateFormat=P","Fill=—","Direction=H","UseDPDF=Y")</f>
        <v>-137.06800000000001</v>
      </c>
      <c r="I57" s="13">
        <f>_xll.BDH("SRPT US Equity","EBIT","FQ4 2020","FQ4 2020","Currency=USD","Period=FQ","BEST_FPERIOD_OVERRIDE=FQ","FILING_STATUS=MR","SCALING_FORMAT=MLN","FA_ADJUSTED=GAAP","Sort=A","Dates=H","DateFormat=P","Fill=—","Direction=H","UseDPDF=Y")</f>
        <v>-170.71600000000001</v>
      </c>
      <c r="J57" s="13">
        <f>_xll.BDH("SRPT US Equity","EBIT","FQ1 2021","FQ1 2021","Currency=USD","Period=FQ","BEST_FPERIOD_OVERRIDE=FQ","FILING_STATUS=MR","SCALING_FORMAT=MLN","FA_ADJUSTED=GAAP","Sort=A","Dates=H","DateFormat=P","Fill=—","Direction=H","UseDPDF=Y")</f>
        <v>-151.86500000000001</v>
      </c>
      <c r="K57" s="13">
        <f>_xll.BDH("SRPT US Equity","EBIT","FQ2 2021","FQ2 2021","Currency=USD","Period=FQ","BEST_FPERIOD_OVERRIDE=FQ","FILING_STATUS=MR","SCALING_FORMAT=MLN","FA_ADJUSTED=GAAP","Sort=A","Dates=H","DateFormat=P","Fill=—","Direction=H","UseDPDF=Y")</f>
        <v>-167.57400000000001</v>
      </c>
      <c r="L57" s="13">
        <f>_xll.BDH("SRPT US Equity","EBIT","FQ3 2021","FQ3 2021","Currency=USD","Period=FQ","BEST_FPERIOD_OVERRIDE=FQ","FILING_STATUS=MR","SCALING_FORMAT=MLN","FA_ADJUSTED=GAAP","Sort=A","Dates=H","DateFormat=P","Fill=—","Direction=H","UseDPDF=Y")</f>
        <v>-34.457999999999998</v>
      </c>
      <c r="M57" s="13">
        <f>_xll.BDH("SRPT US Equity","EBIT","FQ4 2021","FQ4 2021","Currency=USD","Period=FQ","BEST_FPERIOD_OVERRIDE=FQ","FILING_STATUS=MR","SCALING_FORMAT=MLN","FA_ADJUSTED=GAAP","Sort=A","Dates=H","DateFormat=P","Fill=—","Direction=H","UseDPDF=Y")</f>
        <v>-105.813</v>
      </c>
      <c r="N57" s="13">
        <f>_xll.BDH("SRPT US Equity","EBIT","FQ1 2022","FQ1 2022","Currency=USD","Period=FQ","BEST_FPERIOD_OVERRIDE=FQ","FILING_STATUS=MR","SCALING_FORMAT=MLN","FA_ADJUSTED=GAAP","Sort=A","Dates=H","DateFormat=P","Fill=—","Direction=H","UseDPDF=Y")</f>
        <v>-86.881</v>
      </c>
      <c r="O57" s="13">
        <f>_xll.BDH("SRPT US Equity","EBIT","FQ2 2022","FQ2 2022","Currency=USD","Period=FQ","BEST_FPERIOD_OVERRIDE=FQ","FILING_STATUS=MR","SCALING_FORMAT=MLN","FA_ADJUSTED=GAAP","Sort=A","Dates=H","DateFormat=P","Fill=—","Direction=H","UseDPDF=Y")</f>
        <v>-211.13200000000001</v>
      </c>
      <c r="P57" s="13">
        <f>_xll.BDH("SRPT US Equity","EBIT","FQ3 2022","FQ3 2022","Currency=USD","Period=FQ","BEST_FPERIOD_OVERRIDE=FQ","FILING_STATUS=MR","SCALING_FORMAT=MLN","FA_ADJUSTED=GAAP","Sort=A","Dates=H","DateFormat=P","Fill=—","Direction=H","UseDPDF=Y")</f>
        <v>-131.35499999999999</v>
      </c>
      <c r="Q57" s="13">
        <f>_xll.BDH("SRPT US Equity","EBIT","FQ4 2022","FQ4 2022","Currency=USD","Period=FQ","BEST_FPERIOD_OVERRIDE=FQ","FILING_STATUS=MR","SCALING_FORMAT=MLN","FA_ADJUSTED=GAAP","Sort=A","Dates=H","DateFormat=P","Fill=—","Direction=H","UseDPDF=Y")</f>
        <v>-106.833</v>
      </c>
      <c r="R57" s="13">
        <f>_xll.BDH("SRPT US Equity","EBIT","FQ1 2023","FQ1 2023","Currency=USD","Period=FQ","BEST_FPERIOD_OVERRIDE=FQ","FILING_STATUS=MR","SCALING_FORMAT=MLN","FA_ADJUSTED=GAAP","Sort=A","Dates=H","DateFormat=P","Fill=—","Direction=H","UseDPDF=Y")</f>
        <v>-138.08799999999999</v>
      </c>
      <c r="S57" s="13">
        <f>_xll.BDH("SRPT US Equity","EBIT","FQ2 2023","FQ2 2023","Currency=USD","Period=FQ","BEST_FPERIOD_OVERRIDE=FQ","FILING_STATUS=MR","SCALING_FORMAT=MLN","FA_ADJUSTED=GAAP","Sort=A","Dates=H","DateFormat=P","Fill=—","Direction=H","UseDPDF=Y")</f>
        <v>-133.51900000000001</v>
      </c>
      <c r="T57" s="13">
        <f>_xll.BDH("SRPT US Equity","EBIT","FQ3 2023","FQ3 2023","Currency=USD","Period=FQ","BEST_FPERIOD_OVERRIDE=FQ","FILING_STATUS=MR","SCALING_FORMAT=MLN","FA_ADJUSTED=GAAP","Sort=A","Dates=H","DateFormat=P","Fill=—","Direction=H","UseDPDF=Y")</f>
        <v>-20.841999999999999</v>
      </c>
      <c r="U57" s="13">
        <f>_xll.BDH("SRPT US Equity","EBIT","FQ4 2023","FQ4 2023","Currency=USD","Period=FQ","BEST_FPERIOD_OVERRIDE=FQ","FILING_STATUS=MR","SCALING_FORMAT=MLN","FA_ADJUSTED=GAAP","Sort=A","Dates=H","DateFormat=P","Fill=—","Direction=H","UseDPDF=Y")</f>
        <v>24.625</v>
      </c>
      <c r="V57" s="13">
        <f>_xll.BDH("SRPT US Equity","EBIT","FQ1 2024","FQ1 2024","Currency=USD","Period=FQ","BEST_FPERIOD_OVERRIDE=FQ","FILING_STATUS=MR","SCALING_FORMAT=MLN","FA_ADJUSTED=GAAP","Sort=A","Dates=H","DateFormat=P","Fill=—","Direction=H","UseDPDF=Y")</f>
        <v>34.905000000000001</v>
      </c>
      <c r="W57" s="13">
        <f>_xll.BDH("SRPT US Equity","EBIT","FQ2 2024","FQ2 2024","Currency=USD","Period=FQ","BEST_FPERIOD_OVERRIDE=FQ","FILING_STATUS=MR","SCALING_FORMAT=MLN","FA_ADJUSTED=GAAP","Sort=A","Dates=H","DateFormat=P","Fill=—","Direction=H","UseDPDF=Y")</f>
        <v>-0.70099999999999996</v>
      </c>
      <c r="X57" s="13">
        <f>_xll.BDH("SRPT US Equity","EBIT","FQ3 2024","FQ3 2024","Currency=USD","Period=FQ","BEST_FPERIOD_OVERRIDE=FQ","FILING_STATUS=MR","SCALING_FORMAT=MLN","FA_ADJUSTED=GAAP","Sort=A","Dates=H","DateFormat=P","Fill=—","Direction=H","UseDPDF=Y")</f>
        <v>22.196000000000002</v>
      </c>
      <c r="Y57" s="13">
        <f>_xll.BDH("SRPT US Equity","EBIT","FQ4 2024","FQ4 2024","Currency=USD","Period=FQ","BEST_FPERIOD_OVERRIDE=FQ","FILING_STATUS=MR","SCALING_FORMAT=MLN","FA_ADJUSTED=GAAP","Sort=A","Dates=H","DateFormat=P","Fill=—","Direction=H","UseDPDF=Y")</f>
        <v>161.68100000000001</v>
      </c>
      <c r="Z57" s="13">
        <v>126.176</v>
      </c>
      <c r="AA57" s="13">
        <v>256.053</v>
      </c>
    </row>
    <row r="58" spans="1:27" x14ac:dyDescent="0.25">
      <c r="A58" s="10" t="s">
        <v>401</v>
      </c>
      <c r="B58" s="10" t="s">
        <v>153</v>
      </c>
      <c r="C58" s="14">
        <f>_xll.BDH("SRPT US Equity","GROSS_MARGIN","FQ2 2019","FQ2 2019","Currency=USD","Period=FQ","BEST_FPERIOD_OVERRIDE=FQ","FILING_STATUS=MR","FA_ADJUSTED=GAAP","Sort=A","Dates=H","DateFormat=P","Fill=—","Direction=H","UseDPDF=Y")</f>
        <v>83.184399999999997</v>
      </c>
      <c r="D58" s="14">
        <f>_xll.BDH("SRPT US Equity","GROSS_MARGIN","FQ3 2019","FQ3 2019","Currency=USD","Period=FQ","BEST_FPERIOD_OVERRIDE=FQ","FILING_STATUS=MR","FA_ADJUSTED=GAAP","Sort=A","Dates=H","DateFormat=P","Fill=—","Direction=H","UseDPDF=Y")</f>
        <v>86.836799999999997</v>
      </c>
      <c r="E58" s="14">
        <f>_xll.BDH("SRPT US Equity","GROSS_MARGIN","FQ4 2019","FQ4 2019","Currency=USD","Period=FQ","BEST_FPERIOD_OVERRIDE=FQ","FILING_STATUS=MR","FA_ADJUSTED=GAAP","Sort=A","Dates=H","DateFormat=P","Fill=—","Direction=H","UseDPDF=Y")</f>
        <v>84.450599999999994</v>
      </c>
      <c r="F58" s="14">
        <f>_xll.BDH("SRPT US Equity","GROSS_MARGIN","FQ1 2020","FQ1 2020","Currency=USD","Period=FQ","BEST_FPERIOD_OVERRIDE=FQ","FILING_STATUS=MR","FA_ADJUSTED=GAAP","Sort=A","Dates=H","DateFormat=P","Fill=—","Direction=H","UseDPDF=Y")</f>
        <v>88.896299999999997</v>
      </c>
      <c r="G58" s="14">
        <f>_xll.BDH("SRPT US Equity","GROSS_MARGIN","FQ2 2020","FQ2 2020","Currency=USD","Period=FQ","BEST_FPERIOD_OVERRIDE=FQ","FILING_STATUS=MR","FA_ADJUSTED=GAAP","Sort=A","Dates=H","DateFormat=P","Fill=—","Direction=H","UseDPDF=Y")</f>
        <v>90.287800000000004</v>
      </c>
      <c r="H58" s="14">
        <f>_xll.BDH("SRPT US Equity","GROSS_MARGIN","FQ3 2020","FQ3 2020","Currency=USD","Period=FQ","BEST_FPERIOD_OVERRIDE=FQ","FILING_STATUS=MR","FA_ADJUSTED=GAAP","Sort=A","Dates=H","DateFormat=P","Fill=—","Direction=H","UseDPDF=Y")</f>
        <v>89.567400000000006</v>
      </c>
      <c r="I58" s="14">
        <f>_xll.BDH("SRPT US Equity","GROSS_MARGIN","FQ4 2020","FQ4 2020","Currency=USD","Period=FQ","BEST_FPERIOD_OVERRIDE=FQ","FILING_STATUS=MR","FA_ADJUSTED=GAAP","Sort=A","Dates=H","DateFormat=P","Fill=—","Direction=H","UseDPDF=Y")</f>
        <v>84.563699999999997</v>
      </c>
      <c r="J58" s="14">
        <f>_xll.BDH("SRPT US Equity","GROSS_MARGIN","FQ1 2021","FQ1 2021","Currency=USD","Period=FQ","BEST_FPERIOD_OVERRIDE=FQ","FILING_STATUS=MR","FA_ADJUSTED=GAAP","Sort=A","Dates=H","DateFormat=P","Fill=—","Direction=H","UseDPDF=Y")</f>
        <v>84.791499999999999</v>
      </c>
      <c r="K58" s="14">
        <f>_xll.BDH("SRPT US Equity","GROSS_MARGIN","FQ2 2021","FQ2 2021","Currency=USD","Period=FQ","BEST_FPERIOD_OVERRIDE=FQ","FILING_STATUS=MR","FA_ADJUSTED=GAAP","Sort=A","Dates=H","DateFormat=P","Fill=—","Direction=H","UseDPDF=Y")</f>
        <v>88.107100000000003</v>
      </c>
      <c r="L58" s="14">
        <f>_xll.BDH("SRPT US Equity","GROSS_MARGIN","FQ3 2021","FQ3 2021","Currency=USD","Period=FQ","BEST_FPERIOD_OVERRIDE=FQ","FILING_STATUS=MR","FA_ADJUSTED=GAAP","Sort=A","Dates=H","DateFormat=P","Fill=—","Direction=H","UseDPDF=Y")</f>
        <v>87.622399999999999</v>
      </c>
      <c r="M58" s="14">
        <f>_xll.BDH("SRPT US Equity","GROSS_MARGIN","FQ4 2021","FQ4 2021","Currency=USD","Period=FQ","BEST_FPERIOD_OVERRIDE=FQ","FILING_STATUS=MR","FA_ADJUSTED=GAAP","Sort=A","Dates=H","DateFormat=P","Fill=—","Direction=H","UseDPDF=Y")</f>
        <v>84.243099999999998</v>
      </c>
      <c r="N58" s="14">
        <f>_xll.BDH("SRPT US Equity","GROSS_MARGIN","FQ1 2022","FQ1 2022","Currency=USD","Period=FQ","BEST_FPERIOD_OVERRIDE=FQ","FILING_STATUS=MR","FA_ADJUSTED=GAAP","Sort=A","Dates=H","DateFormat=P","Fill=—","Direction=H","UseDPDF=Y")</f>
        <v>85.086100000000002</v>
      </c>
      <c r="O58" s="14">
        <f>_xll.BDH("SRPT US Equity","GROSS_MARGIN","FQ2 2022","FQ2 2022","Currency=USD","Period=FQ","BEST_FPERIOD_OVERRIDE=FQ","FILING_STATUS=MR","FA_ADJUSTED=GAAP","Sort=A","Dates=H","DateFormat=P","Fill=—","Direction=H","UseDPDF=Y")</f>
        <v>83.812799999999996</v>
      </c>
      <c r="P58" s="14">
        <f>_xll.BDH("SRPT US Equity","GROSS_MARGIN","FQ3 2022","FQ3 2022","Currency=USD","Period=FQ","BEST_FPERIOD_OVERRIDE=FQ","FILING_STATUS=MR","FA_ADJUSTED=GAAP","Sort=A","Dates=H","DateFormat=P","Fill=—","Direction=H","UseDPDF=Y")</f>
        <v>82.649900000000002</v>
      </c>
      <c r="Q58" s="14">
        <f>_xll.BDH("SRPT US Equity","GROSS_MARGIN","FQ4 2022","FQ4 2022","Currency=USD","Period=FQ","BEST_FPERIOD_OVERRIDE=FQ","FILING_STATUS=MR","FA_ADJUSTED=GAAP","Sort=A","Dates=H","DateFormat=P","Fill=—","Direction=H","UseDPDF=Y")</f>
        <v>88.082099999999997</v>
      </c>
      <c r="R58" s="14">
        <f>_xll.BDH("SRPT US Equity","GROSS_MARGIN","FQ1 2023","FQ1 2023","Currency=USD","Period=FQ","BEST_FPERIOD_OVERRIDE=FQ","FILING_STATUS=MR","FA_ADJUSTED=GAAP","Sort=A","Dates=H","DateFormat=P","Fill=—","Direction=H","UseDPDF=Y")</f>
        <v>86.186599999999999</v>
      </c>
      <c r="S58" s="14">
        <f>_xll.BDH("SRPT US Equity","GROSS_MARGIN","FQ2 2023","FQ2 2023","Currency=USD","Period=FQ","BEST_FPERIOD_OVERRIDE=FQ","FILING_STATUS=MR","FA_ADJUSTED=GAAP","Sort=A","Dates=H","DateFormat=P","Fill=—","Direction=H","UseDPDF=Y")</f>
        <v>86.937600000000003</v>
      </c>
      <c r="T58" s="14">
        <f>_xll.BDH("SRPT US Equity","GROSS_MARGIN","FQ3 2023","FQ3 2023","Currency=USD","Period=FQ","BEST_FPERIOD_OVERRIDE=FQ","FILING_STATUS=MR","FA_ADJUSTED=GAAP","Sort=A","Dates=H","DateFormat=P","Fill=—","Direction=H","UseDPDF=Y")</f>
        <v>88.841399999999993</v>
      </c>
      <c r="U58" s="14">
        <f>_xll.BDH("SRPT US Equity","GROSS_MARGIN","FQ4 2023","FQ4 2023","Currency=USD","Period=FQ","BEST_FPERIOD_OVERRIDE=FQ","FILING_STATUS=MR","FA_ADJUSTED=GAAP","Sort=A","Dates=H","DateFormat=P","Fill=—","Direction=H","UseDPDF=Y")</f>
        <v>88.866399999999999</v>
      </c>
      <c r="V58" s="14">
        <f>_xll.BDH("SRPT US Equity","GROSS_MARGIN","FQ1 2024","FQ1 2024","Currency=USD","Period=FQ","BEST_FPERIOD_OVERRIDE=FQ","FILING_STATUS=MR","FA_ADJUSTED=GAAP","Sort=A","Dates=H","DateFormat=P","Fill=—","Direction=H","UseDPDF=Y")</f>
        <v>87.771799999999999</v>
      </c>
      <c r="W58" s="14">
        <f>_xll.BDH("SRPT US Equity","GROSS_MARGIN","FQ2 2024","FQ2 2024","Currency=USD","Period=FQ","BEST_FPERIOD_OVERRIDE=FQ","FILING_STATUS=MR","FA_ADJUSTED=GAAP","Sort=A","Dates=H","DateFormat=P","Fill=—","Direction=H","UseDPDF=Y")</f>
        <v>87.726299999999995</v>
      </c>
      <c r="X58" s="14">
        <f>_xll.BDH("SRPT US Equity","GROSS_MARGIN","FQ3 2024","FQ3 2024","Currency=USD","Period=FQ","BEST_FPERIOD_OVERRIDE=FQ","FILING_STATUS=MR","FA_ADJUSTED=GAAP","Sort=A","Dates=H","DateFormat=P","Fill=—","Direction=H","UseDPDF=Y")</f>
        <v>80.373199999999997</v>
      </c>
      <c r="Y58" s="14">
        <f>_xll.BDH("SRPT US Equity","GROSS_MARGIN","FQ4 2024","FQ4 2024","Currency=USD","Period=FQ","BEST_FPERIOD_OVERRIDE=FQ","FILING_STATUS=MR","FA_ADJUSTED=GAAP","Sort=A","Dates=H","DateFormat=P","Fill=—","Direction=H","UseDPDF=Y")</f>
        <v>79.905600000000007</v>
      </c>
      <c r="Z58" s="14"/>
      <c r="AA58" s="14"/>
    </row>
    <row r="59" spans="1:27" x14ac:dyDescent="0.25">
      <c r="A59" s="10" t="s">
        <v>402</v>
      </c>
      <c r="B59" s="10" t="s">
        <v>403</v>
      </c>
      <c r="C59" s="14">
        <f>_xll.BDH("SRPT US Equity","OPER_MARGIN","FQ2 2019","FQ2 2019","Currency=USD","Period=FQ","BEST_FPERIOD_OVERRIDE=FQ","FILING_STATUS=MR","FA_ADJUSTED=GAAP","Sort=A","Dates=H","DateFormat=P","Fill=—","Direction=H","UseDPDF=Y")</f>
        <v>-290.87650000000002</v>
      </c>
      <c r="D59" s="14">
        <f>_xll.BDH("SRPT US Equity","OPER_MARGIN","FQ3 2019","FQ3 2019","Currency=USD","Period=FQ","BEST_FPERIOD_OVERRIDE=FQ","FILING_STATUS=MR","FA_ADJUSTED=GAAP","Sort=A","Dates=H","DateFormat=P","Fill=—","Direction=H","UseDPDF=Y")</f>
        <v>-124.7867</v>
      </c>
      <c r="E59" s="14">
        <f>_xll.BDH("SRPT US Equity","OPER_MARGIN","FQ4 2019","FQ4 2019","Currency=USD","Period=FQ","BEST_FPERIOD_OVERRIDE=FQ","FILING_STATUS=MR","FA_ADJUSTED=GAAP","Sort=A","Dates=H","DateFormat=P","Fill=—","Direction=H","UseDPDF=Y")</f>
        <v>-229.95910000000001</v>
      </c>
      <c r="F59" s="14">
        <f>_xll.BDH("SRPT US Equity","OPER_MARGIN","FQ1 2020","FQ1 2020","Currency=USD","Period=FQ","BEST_FPERIOD_OVERRIDE=FQ","FILING_STATUS=MR","FA_ADJUSTED=GAAP","Sort=A","Dates=H","DateFormat=P","Fill=—","Direction=H","UseDPDF=Y")</f>
        <v>-103.82850000000001</v>
      </c>
      <c r="G59" s="14">
        <f>_xll.BDH("SRPT US Equity","OPER_MARGIN","FQ2 2020","FQ2 2020","Currency=USD","Period=FQ","BEST_FPERIOD_OVERRIDE=FQ","FILING_STATUS=MR","FA_ADJUSTED=GAAP","Sort=A","Dates=H","DateFormat=P","Fill=—","Direction=H","UseDPDF=Y")</f>
        <v>-100.72069999999999</v>
      </c>
      <c r="H59" s="14">
        <f>_xll.BDH("SRPT US Equity","OPER_MARGIN","FQ3 2020","FQ3 2020","Currency=USD","Period=FQ","BEST_FPERIOD_OVERRIDE=FQ","FILING_STATUS=MR","FA_ADJUSTED=GAAP","Sort=A","Dates=H","DateFormat=P","Fill=—","Direction=H","UseDPDF=Y")</f>
        <v>-95.236400000000003</v>
      </c>
      <c r="I59" s="14">
        <f>_xll.BDH("SRPT US Equity","OPER_MARGIN","FQ4 2020","FQ4 2020","Currency=USD","Period=FQ","BEST_FPERIOD_OVERRIDE=FQ","FILING_STATUS=MR","FA_ADJUSTED=GAAP","Sort=A","Dates=H","DateFormat=P","Fill=—","Direction=H","UseDPDF=Y")</f>
        <v>-117.6232</v>
      </c>
      <c r="J59" s="14">
        <f>_xll.BDH("SRPT US Equity","OPER_MARGIN","FQ1 2021","FQ1 2021","Currency=USD","Period=FQ","BEST_FPERIOD_OVERRIDE=FQ","FILING_STATUS=MR","FA_ADJUSTED=GAAP","Sort=A","Dates=H","DateFormat=P","Fill=—","Direction=H","UseDPDF=Y")</f>
        <v>-103.358</v>
      </c>
      <c r="K59" s="14">
        <f>_xll.BDH("SRPT US Equity","OPER_MARGIN","FQ2 2021","FQ2 2021","Currency=USD","Period=FQ","BEST_FPERIOD_OVERRIDE=FQ","FILING_STATUS=MR","FA_ADJUSTED=GAAP","Sort=A","Dates=H","DateFormat=P","Fill=—","Direction=H","UseDPDF=Y")</f>
        <v>-102.1238</v>
      </c>
      <c r="L59" s="14">
        <f>_xll.BDH("SRPT US Equity","OPER_MARGIN","FQ3 2021","FQ3 2021","Currency=USD","Period=FQ","BEST_FPERIOD_OVERRIDE=FQ","FILING_STATUS=MR","FA_ADJUSTED=GAAP","Sort=A","Dates=H","DateFormat=P","Fill=—","Direction=H","UseDPDF=Y")</f>
        <v>-18.192699999999999</v>
      </c>
      <c r="M59" s="14">
        <f>_xll.BDH("SRPT US Equity","OPER_MARGIN","FQ4 2021","FQ4 2021","Currency=USD","Period=FQ","BEST_FPERIOD_OVERRIDE=FQ","FILING_STATUS=MR","FA_ADJUSTED=GAAP","Sort=A","Dates=H","DateFormat=P","Fill=—","Direction=H","UseDPDF=Y")</f>
        <v>-52.522799999999997</v>
      </c>
      <c r="N59" s="14">
        <f>_xll.BDH("SRPT US Equity","OPER_MARGIN","FQ1 2022","FQ1 2022","Currency=USD","Period=FQ","BEST_FPERIOD_OVERRIDE=FQ","FILING_STATUS=MR","FA_ADJUSTED=GAAP","Sort=A","Dates=H","DateFormat=P","Fill=—","Direction=H","UseDPDF=Y")</f>
        <v>-41.209000000000003</v>
      </c>
      <c r="O59" s="14">
        <f>_xll.BDH("SRPT US Equity","OPER_MARGIN","FQ2 2022","FQ2 2022","Currency=USD","Period=FQ","BEST_FPERIOD_OVERRIDE=FQ","FILING_STATUS=MR","FA_ADJUSTED=GAAP","Sort=A","Dates=H","DateFormat=P","Fill=—","Direction=H","UseDPDF=Y")</f>
        <v>-90.425600000000003</v>
      </c>
      <c r="P59" s="14">
        <f>_xll.BDH("SRPT US Equity","OPER_MARGIN","FQ3 2022","FQ3 2022","Currency=USD","Period=FQ","BEST_FPERIOD_OVERRIDE=FQ","FILING_STATUS=MR","FA_ADJUSTED=GAAP","Sort=A","Dates=H","DateFormat=P","Fill=—","Direction=H","UseDPDF=Y")</f>
        <v>-57.044199999999996</v>
      </c>
      <c r="Q59" s="14">
        <f>_xll.BDH("SRPT US Equity","OPER_MARGIN","FQ4 2022","FQ4 2022","Currency=USD","Period=FQ","BEST_FPERIOD_OVERRIDE=FQ","FILING_STATUS=MR","FA_ADJUSTED=GAAP","Sort=A","Dates=H","DateFormat=P","Fill=—","Direction=H","UseDPDF=Y")</f>
        <v>-41.339700000000001</v>
      </c>
      <c r="R59" s="14">
        <f>_xll.BDH("SRPT US Equity","OPER_MARGIN","FQ1 2023","FQ1 2023","Currency=USD","Period=FQ","BEST_FPERIOD_OVERRIDE=FQ","FILING_STATUS=MR","FA_ADJUSTED=GAAP","Sort=A","Dates=H","DateFormat=P","Fill=—","Direction=H","UseDPDF=Y")</f>
        <v>-54.4726</v>
      </c>
      <c r="S59" s="14">
        <f>_xll.BDH("SRPT US Equity","OPER_MARGIN","FQ2 2023","FQ2 2023","Currency=USD","Period=FQ","BEST_FPERIOD_OVERRIDE=FQ","FILING_STATUS=MR","FA_ADJUSTED=GAAP","Sort=A","Dates=H","DateFormat=P","Fill=—","Direction=H","UseDPDF=Y")</f>
        <v>-51.110100000000003</v>
      </c>
      <c r="T59" s="14">
        <f>_xll.BDH("SRPT US Equity","OPER_MARGIN","FQ3 2023","FQ3 2023","Currency=USD","Period=FQ","BEST_FPERIOD_OVERRIDE=FQ","FILING_STATUS=MR","FA_ADJUSTED=GAAP","Sort=A","Dates=H","DateFormat=P","Fill=—","Direction=H","UseDPDF=Y")</f>
        <v>-6.2812000000000001</v>
      </c>
      <c r="U59" s="14">
        <f>_xll.BDH("SRPT US Equity","OPER_MARGIN","FQ4 2023","FQ4 2023","Currency=USD","Period=FQ","BEST_FPERIOD_OVERRIDE=FQ","FILING_STATUS=MR","FA_ADJUSTED=GAAP","Sort=A","Dates=H","DateFormat=P","Fill=—","Direction=H","UseDPDF=Y")</f>
        <v>6.2061999999999999</v>
      </c>
      <c r="V59" s="14">
        <f>_xll.BDH("SRPT US Equity","OPER_MARGIN","FQ1 2024","FQ1 2024","Currency=USD","Period=FQ","BEST_FPERIOD_OVERRIDE=FQ","FILING_STATUS=MR","FA_ADJUSTED=GAAP","Sort=A","Dates=H","DateFormat=P","Fill=—","Direction=H","UseDPDF=Y")</f>
        <v>8.4420999999999999</v>
      </c>
      <c r="W59" s="14">
        <f>_xll.BDH("SRPT US Equity","OPER_MARGIN","FQ2 2024","FQ2 2024","Currency=USD","Period=FQ","BEST_FPERIOD_OVERRIDE=FQ","FILING_STATUS=MR","FA_ADJUSTED=GAAP","Sort=A","Dates=H","DateFormat=P","Fill=—","Direction=H","UseDPDF=Y")</f>
        <v>-0.19309999999999999</v>
      </c>
      <c r="X59" s="14">
        <f>_xll.BDH("SRPT US Equity","OPER_MARGIN","FQ3 2024","FQ3 2024","Currency=USD","Period=FQ","BEST_FPERIOD_OVERRIDE=FQ","FILING_STATUS=MR","FA_ADJUSTED=GAAP","Sort=A","Dates=H","DateFormat=P","Fill=—","Direction=H","UseDPDF=Y")</f>
        <v>4.7511000000000001</v>
      </c>
      <c r="Y59" s="14">
        <f>_xll.BDH("SRPT US Equity","OPER_MARGIN","FQ4 2024","FQ4 2024","Currency=USD","Period=FQ","BEST_FPERIOD_OVERRIDE=FQ","FILING_STATUS=MR","FA_ADJUSTED=GAAP","Sort=A","Dates=H","DateFormat=P","Fill=—","Direction=H","UseDPDF=Y")</f>
        <v>24.5562</v>
      </c>
      <c r="Z59" s="14">
        <v>18.157432724132999</v>
      </c>
      <c r="AA59" s="14">
        <v>33.686751743191699</v>
      </c>
    </row>
    <row r="60" spans="1:27" x14ac:dyDescent="0.25">
      <c r="A60" s="10" t="s">
        <v>404</v>
      </c>
      <c r="B60" s="10" t="s">
        <v>405</v>
      </c>
      <c r="C60" s="14">
        <f>_xll.BDH("SRPT US Equity","PROF_MARGIN","FQ2 2019","FQ2 2019","Currency=USD","Period=FQ","BEST_FPERIOD_OVERRIDE=FQ","FILING_STATUS=MR","FA_ADJUSTED=GAAP","Sort=A","Dates=H","DateFormat=P","Fill=—","Direction=H","UseDPDF=Y")</f>
        <v>-291.97089999999997</v>
      </c>
      <c r="D60" s="14">
        <f>_xll.BDH("SRPT US Equity","PROF_MARGIN","FQ3 2019","FQ3 2019","Currency=USD","Period=FQ","BEST_FPERIOD_OVERRIDE=FQ","FILING_STATUS=MR","FA_ADJUSTED=GAAP","Sort=A","Dates=H","DateFormat=P","Fill=—","Direction=H","UseDPDF=Y")</f>
        <v>-127.5492</v>
      </c>
      <c r="E60" s="14">
        <f>_xll.BDH("SRPT US Equity","PROF_MARGIN","FQ4 2019","FQ4 2019","Currency=USD","Period=FQ","BEST_FPERIOD_OVERRIDE=FQ","FILING_STATUS=MR","FA_ADJUSTED=GAAP","Sort=A","Dates=H","DateFormat=P","Fill=—","Direction=H","UseDPDF=Y")</f>
        <v>-235.43700000000001</v>
      </c>
      <c r="F60" s="14">
        <f>_xll.BDH("SRPT US Equity","PROF_MARGIN","FQ1 2020","FQ1 2020","Currency=USD","Period=FQ","BEST_FPERIOD_OVERRIDE=FQ","FILING_STATUS=MR","FA_ADJUSTED=GAAP","Sort=A","Dates=H","DateFormat=P","Fill=—","Direction=H","UseDPDF=Y")</f>
        <v>-15.3879</v>
      </c>
      <c r="G60" s="14">
        <f>_xll.BDH("SRPT US Equity","PROF_MARGIN","FQ2 2020","FQ2 2020","Currency=USD","Period=FQ","BEST_FPERIOD_OVERRIDE=FQ","FILING_STATUS=MR","FA_ADJUSTED=GAAP","Sort=A","Dates=H","DateFormat=P","Fill=—","Direction=H","UseDPDF=Y")</f>
        <v>-109.7967</v>
      </c>
      <c r="H60" s="14">
        <f>_xll.BDH("SRPT US Equity","PROF_MARGIN","FQ3 2020","FQ3 2020","Currency=USD","Period=FQ","BEST_FPERIOD_OVERRIDE=FQ","FILING_STATUS=MR","FA_ADJUSTED=GAAP","Sort=A","Dates=H","DateFormat=P","Fill=—","Direction=H","UseDPDF=Y")</f>
        <v>-136.52969999999999</v>
      </c>
      <c r="I60" s="14">
        <f>_xll.BDH("SRPT US Equity","PROF_MARGIN","FQ4 2020","FQ4 2020","Currency=USD","Period=FQ","BEST_FPERIOD_OVERRIDE=FQ","FILING_STATUS=MR","FA_ADJUSTED=GAAP","Sort=A","Dates=H","DateFormat=P","Fill=—","Direction=H","UseDPDF=Y")</f>
        <v>-130.4393</v>
      </c>
      <c r="J60" s="14">
        <f>_xll.BDH("SRPT US Equity","PROF_MARGIN","FQ1 2021","FQ1 2021","Currency=USD","Period=FQ","BEST_FPERIOD_OVERRIDE=FQ","FILING_STATUS=MR","FA_ADJUSTED=GAAP","Sort=A","Dates=H","DateFormat=P","Fill=—","Direction=H","UseDPDF=Y")</f>
        <v>-113.8289</v>
      </c>
      <c r="K60" s="14">
        <f>_xll.BDH("SRPT US Equity","PROF_MARGIN","FQ2 2021","FQ2 2021","Currency=USD","Period=FQ","BEST_FPERIOD_OVERRIDE=FQ","FILING_STATUS=MR","FA_ADJUSTED=GAAP","Sort=A","Dates=H","DateFormat=P","Fill=—","Direction=H","UseDPDF=Y")</f>
        <v>-49.610300000000002</v>
      </c>
      <c r="L60" s="14">
        <f>_xll.BDH("SRPT US Equity","PROF_MARGIN","FQ3 2021","FQ3 2021","Currency=USD","Period=FQ","BEST_FPERIOD_OVERRIDE=FQ","FILING_STATUS=MR","FA_ADJUSTED=GAAP","Sort=A","Dates=H","DateFormat=P","Fill=—","Direction=H","UseDPDF=Y")</f>
        <v>-25.418399999999998</v>
      </c>
      <c r="M60" s="14">
        <f>_xll.BDH("SRPT US Equity","PROF_MARGIN","FQ4 2021","FQ4 2021","Currency=USD","Period=FQ","BEST_FPERIOD_OVERRIDE=FQ","FILING_STATUS=MR","FA_ADJUSTED=GAAP","Sort=A","Dates=H","DateFormat=P","Fill=—","Direction=H","UseDPDF=Y")</f>
        <v>-60.548200000000001</v>
      </c>
      <c r="N60" s="14">
        <f>_xll.BDH("SRPT US Equity","PROF_MARGIN","FQ1 2022","FQ1 2022","Currency=USD","Period=FQ","BEST_FPERIOD_OVERRIDE=FQ","FILING_STATUS=MR","FA_ADJUSTED=GAAP","Sort=A","Dates=H","DateFormat=P","Fill=—","Direction=H","UseDPDF=Y")</f>
        <v>-49.814999999999998</v>
      </c>
      <c r="O60" s="14">
        <f>_xll.BDH("SRPT US Equity","PROF_MARGIN","FQ2 2022","FQ2 2022","Currency=USD","Period=FQ","BEST_FPERIOD_OVERRIDE=FQ","FILING_STATUS=MR","FA_ADJUSTED=GAAP","Sort=A","Dates=H","DateFormat=P","Fill=—","Direction=H","UseDPDF=Y")</f>
        <v>-99.140900000000002</v>
      </c>
      <c r="P60" s="14">
        <f>_xll.BDH("SRPT US Equity","PROF_MARGIN","FQ3 2022","FQ3 2022","Currency=USD","Period=FQ","BEST_FPERIOD_OVERRIDE=FQ","FILING_STATUS=MR","FA_ADJUSTED=GAAP","Sort=A","Dates=H","DateFormat=P","Fill=—","Direction=H","UseDPDF=Y")</f>
        <v>-111.92910000000001</v>
      </c>
      <c r="Q60" s="14">
        <f>_xll.BDH("SRPT US Equity","PROF_MARGIN","FQ4 2022","FQ4 2022","Currency=USD","Period=FQ","BEST_FPERIOD_OVERRIDE=FQ","FILING_STATUS=MR","FA_ADJUSTED=GAAP","Sort=A","Dates=H","DateFormat=P","Fill=—","Direction=H","UseDPDF=Y")</f>
        <v>-42.2727</v>
      </c>
      <c r="R60" s="14">
        <f>_xll.BDH("SRPT US Equity","PROF_MARGIN","FQ1 2023","FQ1 2023","Currency=USD","Period=FQ","BEST_FPERIOD_OVERRIDE=FQ","FILING_STATUS=MR","FA_ADJUSTED=GAAP","Sort=A","Dates=H","DateFormat=P","Fill=—","Direction=H","UseDPDF=Y")</f>
        <v>-203.84809999999999</v>
      </c>
      <c r="S60" s="14">
        <f>_xll.BDH("SRPT US Equity","PROF_MARGIN","FQ2 2023","FQ2 2023","Currency=USD","Period=FQ","BEST_FPERIOD_OVERRIDE=FQ","FILING_STATUS=MR","FA_ADJUSTED=GAAP","Sort=A","Dates=H","DateFormat=P","Fill=—","Direction=H","UseDPDF=Y")</f>
        <v>-9.1640999999999995</v>
      </c>
      <c r="T60" s="14">
        <f>_xll.BDH("SRPT US Equity","PROF_MARGIN","FQ3 2023","FQ3 2023","Currency=USD","Period=FQ","BEST_FPERIOD_OVERRIDE=FQ","FILING_STATUS=MR","FA_ADJUSTED=GAAP","Sort=A","Dates=H","DateFormat=P","Fill=—","Direction=H","UseDPDF=Y")</f>
        <v>-12.337199999999999</v>
      </c>
      <c r="U60" s="14">
        <f>_xll.BDH("SRPT US Equity","PROF_MARGIN","FQ4 2023","FQ4 2023","Currency=USD","Period=FQ","BEST_FPERIOD_OVERRIDE=FQ","FILING_STATUS=MR","FA_ADJUSTED=GAAP","Sort=A","Dates=H","DateFormat=P","Fill=—","Direction=H","UseDPDF=Y")</f>
        <v>11.5063</v>
      </c>
      <c r="V60" s="14">
        <f>_xll.BDH("SRPT US Equity","PROF_MARGIN","FQ1 2024","FQ1 2024","Currency=USD","Period=FQ","BEST_FPERIOD_OVERRIDE=FQ","FILING_STATUS=MR","FA_ADJUSTED=GAAP","Sort=A","Dates=H","DateFormat=P","Fill=—","Direction=H","UseDPDF=Y")</f>
        <v>8.7356999999999996</v>
      </c>
      <c r="W60" s="14">
        <f>_xll.BDH("SRPT US Equity","PROF_MARGIN","FQ2 2024","FQ2 2024","Currency=USD","Period=FQ","BEST_FPERIOD_OVERRIDE=FQ","FILING_STATUS=MR","FA_ADJUSTED=GAAP","Sort=A","Dates=H","DateFormat=P","Fill=—","Direction=H","UseDPDF=Y")</f>
        <v>1.78</v>
      </c>
      <c r="X60" s="14">
        <f>_xll.BDH("SRPT US Equity","PROF_MARGIN","FQ3 2024","FQ3 2024","Currency=USD","Period=FQ","BEST_FPERIOD_OVERRIDE=FQ","FILING_STATUS=MR","FA_ADJUSTED=GAAP","Sort=A","Dates=H","DateFormat=P","Fill=—","Direction=H","UseDPDF=Y")</f>
        <v>7.1946000000000003</v>
      </c>
      <c r="Y60" s="14">
        <f>_xll.BDH("SRPT US Equity","PROF_MARGIN","FQ4 2024","FQ4 2024","Currency=USD","Period=FQ","BEST_FPERIOD_OVERRIDE=FQ","FILING_STATUS=MR","FA_ADJUSTED=GAAP","Sort=A","Dates=H","DateFormat=P","Fill=—","Direction=H","UseDPDF=Y")</f>
        <v>24.156500000000001</v>
      </c>
      <c r="Z60" s="14">
        <v>13.9850338178155</v>
      </c>
      <c r="AA60" s="14">
        <v>38.527299039600102</v>
      </c>
    </row>
    <row r="61" spans="1:27" x14ac:dyDescent="0.25">
      <c r="A61" s="10" t="s">
        <v>406</v>
      </c>
      <c r="B61" s="10" t="s">
        <v>407</v>
      </c>
      <c r="C61" s="14" t="str">
        <f>_xll.BDH("SRPT US Equity","ACTUAL_SALES_PER_EMPL","FQ2 2019","FQ2 2019","Currency=USD","Period=FQ","BEST_FPERIOD_OVERRIDE=FQ","FILING_STATUS=MR","FA_ADJUSTED=GAAP","Sort=A","Dates=H","DateFormat=P","Fill=—","Direction=H","UseDPDF=Y")</f>
        <v>—</v>
      </c>
      <c r="D61" s="14" t="str">
        <f>_xll.BDH("SRPT US Equity","ACTUAL_SALES_PER_EMPL","FQ3 2019","FQ3 2019","Currency=USD","Period=FQ","BEST_FPERIOD_OVERRIDE=FQ","FILING_STATUS=MR","FA_ADJUSTED=GAAP","Sort=A","Dates=H","DateFormat=P","Fill=—","Direction=H","UseDPDF=Y")</f>
        <v>—</v>
      </c>
      <c r="E61" s="14">
        <f>_xll.BDH("SRPT US Equity","ACTUAL_SALES_PER_EMPL","FQ4 2019","FQ4 2019","Currency=USD","Period=FQ","BEST_FPERIOD_OVERRIDE=FQ","FILING_STATUS=MR","FA_ADJUSTED=GAAP","Sort=A","Dates=H","DateFormat=P","Fill=—","Direction=H","UseDPDF=Y")</f>
        <v>134741.5882</v>
      </c>
      <c r="F61" s="14" t="str">
        <f>_xll.BDH("SRPT US Equity","ACTUAL_SALES_PER_EMPL","FQ1 2020","FQ1 2020","Currency=USD","Period=FQ","BEST_FPERIOD_OVERRIDE=FQ","FILING_STATUS=MR","FA_ADJUSTED=GAAP","Sort=A","Dates=H","DateFormat=P","Fill=—","Direction=H","UseDPDF=Y")</f>
        <v>—</v>
      </c>
      <c r="G61" s="14" t="str">
        <f>_xll.BDH("SRPT US Equity","ACTUAL_SALES_PER_EMPL","FQ2 2020","FQ2 2020","Currency=USD","Period=FQ","BEST_FPERIOD_OVERRIDE=FQ","FILING_STATUS=MR","FA_ADJUSTED=GAAP","Sort=A","Dates=H","DateFormat=P","Fill=—","Direction=H","UseDPDF=Y")</f>
        <v>—</v>
      </c>
      <c r="H61" s="14" t="str">
        <f>_xll.BDH("SRPT US Equity","ACTUAL_SALES_PER_EMPL","FQ3 2020","FQ3 2020","Currency=USD","Period=FQ","BEST_FPERIOD_OVERRIDE=FQ","FILING_STATUS=MR","FA_ADJUSTED=GAAP","Sort=A","Dates=H","DateFormat=P","Fill=—","Direction=H","UseDPDF=Y")</f>
        <v>—</v>
      </c>
      <c r="I61" s="14">
        <f>_xll.BDH("SRPT US Equity","ACTUAL_SALES_PER_EMPL","FQ4 2020","FQ4 2020","Currency=USD","Period=FQ","BEST_FPERIOD_OVERRIDE=FQ","FILING_STATUS=MR","FA_ADJUSTED=GAAP","Sort=A","Dates=H","DateFormat=P","Fill=—","Direction=H","UseDPDF=Y")</f>
        <v>167595.84299999999</v>
      </c>
      <c r="J61" s="14" t="str">
        <f>_xll.BDH("SRPT US Equity","ACTUAL_SALES_PER_EMPL","FQ1 2021","FQ1 2021","Currency=USD","Period=FQ","BEST_FPERIOD_OVERRIDE=FQ","FILING_STATUS=MR","FA_ADJUSTED=GAAP","Sort=A","Dates=H","DateFormat=P","Fill=—","Direction=H","UseDPDF=Y")</f>
        <v>—</v>
      </c>
      <c r="K61" s="14" t="str">
        <f>_xll.BDH("SRPT US Equity","ACTUAL_SALES_PER_EMPL","FQ2 2021","FQ2 2021","Currency=USD","Period=FQ","BEST_FPERIOD_OVERRIDE=FQ","FILING_STATUS=MR","FA_ADJUSTED=GAAP","Sort=A","Dates=H","DateFormat=P","Fill=—","Direction=H","UseDPDF=Y")</f>
        <v>—</v>
      </c>
      <c r="L61" s="14" t="str">
        <f>_xll.BDH("SRPT US Equity","ACTUAL_SALES_PER_EMPL","FQ3 2021","FQ3 2021","Currency=USD","Period=FQ","BEST_FPERIOD_OVERRIDE=FQ","FILING_STATUS=MR","FA_ADJUSTED=GAAP","Sort=A","Dates=H","DateFormat=P","Fill=—","Direction=H","UseDPDF=Y")</f>
        <v>—</v>
      </c>
      <c r="M61" s="14">
        <f>_xll.BDH("SRPT US Equity","ACTUAL_SALES_PER_EMPL","FQ4 2021","FQ4 2021","Currency=USD","Period=FQ","BEST_FPERIOD_OVERRIDE=FQ","FILING_STATUS=MR","FA_ADJUSTED=GAAP","Sort=A","Dates=H","DateFormat=P","Fill=—","Direction=H","UseDPDF=Y")</f>
        <v>239834.5238</v>
      </c>
      <c r="N61" s="14" t="str">
        <f>_xll.BDH("SRPT US Equity","ACTUAL_SALES_PER_EMPL","FQ1 2022","FQ1 2022","Currency=USD","Period=FQ","BEST_FPERIOD_OVERRIDE=FQ","FILING_STATUS=MR","FA_ADJUSTED=GAAP","Sort=A","Dates=H","DateFormat=P","Fill=—","Direction=H","UseDPDF=Y")</f>
        <v>—</v>
      </c>
      <c r="O61" s="14" t="str">
        <f>_xll.BDH("SRPT US Equity","ACTUAL_SALES_PER_EMPL","FQ2 2022","FQ2 2022","Currency=USD","Period=FQ","BEST_FPERIOD_OVERRIDE=FQ","FILING_STATUS=MR","FA_ADJUSTED=GAAP","Sort=A","Dates=H","DateFormat=P","Fill=—","Direction=H","UseDPDF=Y")</f>
        <v>—</v>
      </c>
      <c r="P61" s="14" t="str">
        <f>_xll.BDH("SRPT US Equity","ACTUAL_SALES_PER_EMPL","FQ3 2022","FQ3 2022","Currency=USD","Period=FQ","BEST_FPERIOD_OVERRIDE=FQ","FILING_STATUS=MR","FA_ADJUSTED=GAAP","Sort=A","Dates=H","DateFormat=P","Fill=—","Direction=H","UseDPDF=Y")</f>
        <v>—</v>
      </c>
      <c r="Q61" s="14">
        <f>_xll.BDH("SRPT US Equity","ACTUAL_SALES_PER_EMPL","FQ4 2022","FQ4 2022","Currency=USD","Period=FQ","BEST_FPERIOD_OVERRIDE=FQ","FILING_STATUS=MR","FA_ADJUSTED=GAAP","Sort=A","Dates=H","DateFormat=P","Fill=—","Direction=H","UseDPDF=Y")</f>
        <v>222398.4509</v>
      </c>
      <c r="R61" s="14" t="str">
        <f>_xll.BDH("SRPT US Equity","ACTUAL_SALES_PER_EMPL","FQ1 2023","FQ1 2023","Currency=USD","Period=FQ","BEST_FPERIOD_OVERRIDE=FQ","FILING_STATUS=MR","FA_ADJUSTED=GAAP","Sort=A","Dates=H","DateFormat=P","Fill=—","Direction=H","UseDPDF=Y")</f>
        <v>—</v>
      </c>
      <c r="S61" s="14" t="str">
        <f>_xll.BDH("SRPT US Equity","ACTUAL_SALES_PER_EMPL","FQ2 2023","FQ2 2023","Currency=USD","Period=FQ","BEST_FPERIOD_OVERRIDE=FQ","FILING_STATUS=MR","FA_ADJUSTED=GAAP","Sort=A","Dates=H","DateFormat=P","Fill=—","Direction=H","UseDPDF=Y")</f>
        <v>—</v>
      </c>
      <c r="T61" s="14" t="str">
        <f>_xll.BDH("SRPT US Equity","ACTUAL_SALES_PER_EMPL","FQ3 2023","FQ3 2023","Currency=USD","Period=FQ","BEST_FPERIOD_OVERRIDE=FQ","FILING_STATUS=MR","FA_ADJUSTED=GAAP","Sort=A","Dates=H","DateFormat=P","Fill=—","Direction=H","UseDPDF=Y")</f>
        <v>—</v>
      </c>
      <c r="U61" s="14">
        <f>_xll.BDH("SRPT US Equity","ACTUAL_SALES_PER_EMPL","FQ4 2023","FQ4 2023","Currency=USD","Period=FQ","BEST_FPERIOD_OVERRIDE=FQ","FILING_STATUS=MR","FA_ADJUSTED=GAAP","Sort=A","Dates=H","DateFormat=P","Fill=—","Direction=H","UseDPDF=Y")</f>
        <v>301964.23139999999</v>
      </c>
      <c r="V61" s="14" t="str">
        <f>_xll.BDH("SRPT US Equity","ACTUAL_SALES_PER_EMPL","FQ1 2024","FQ1 2024","Currency=USD","Period=FQ","BEST_FPERIOD_OVERRIDE=FQ","FILING_STATUS=MR","FA_ADJUSTED=GAAP","Sort=A","Dates=H","DateFormat=P","Fill=—","Direction=H","UseDPDF=Y")</f>
        <v>—</v>
      </c>
      <c r="W61" s="14" t="str">
        <f>_xll.BDH("SRPT US Equity","ACTUAL_SALES_PER_EMPL","FQ2 2024","FQ2 2024","Currency=USD","Period=FQ","BEST_FPERIOD_OVERRIDE=FQ","FILING_STATUS=MR","FA_ADJUSTED=GAAP","Sort=A","Dates=H","DateFormat=P","Fill=—","Direction=H","UseDPDF=Y")</f>
        <v>—</v>
      </c>
      <c r="X61" s="14" t="str">
        <f>_xll.BDH("SRPT US Equity","ACTUAL_SALES_PER_EMPL","FQ3 2024","FQ3 2024","Currency=USD","Period=FQ","BEST_FPERIOD_OVERRIDE=FQ","FILING_STATUS=MR","FA_ADJUSTED=GAAP","Sort=A","Dates=H","DateFormat=P","Fill=—","Direction=H","UseDPDF=Y")</f>
        <v>—</v>
      </c>
      <c r="Y61" s="14">
        <f>_xll.BDH("SRPT US Equity","ACTUAL_SALES_PER_EMPL","FQ4 2024","FQ4 2024","Currency=USD","Period=FQ","BEST_FPERIOD_OVERRIDE=FQ","FILING_STATUS=MR","FA_ADJUSTED=GAAP","Sort=A","Dates=H","DateFormat=P","Fill=—","Direction=H","UseDPDF=Y")</f>
        <v>479892.12829999998</v>
      </c>
      <c r="Z61" s="14"/>
      <c r="AA61" s="14"/>
    </row>
    <row r="62" spans="1:27" x14ac:dyDescent="0.25">
      <c r="A62" s="10" t="s">
        <v>408</v>
      </c>
      <c r="B62" s="10" t="s">
        <v>274</v>
      </c>
      <c r="C62" s="14">
        <f>_xll.BDH("SRPT US Equity","EQY_DPS","FQ2 2019","FQ2 2019","Currency=USD","Period=FQ","BEST_FPERIOD_OVERRIDE=FQ","FILING_STATUS=MR","Sort=A","Dates=H","DateFormat=P","Fill=—","Direction=H","UseDPDF=Y")</f>
        <v>0</v>
      </c>
      <c r="D62" s="14">
        <f>_xll.BDH("SRPT US Equity","EQY_DPS","FQ3 2019","FQ3 2019","Currency=USD","Period=FQ","BEST_FPERIOD_OVERRIDE=FQ","FILING_STATUS=MR","Sort=A","Dates=H","DateFormat=P","Fill=—","Direction=H","UseDPDF=Y")</f>
        <v>0</v>
      </c>
      <c r="E62" s="14">
        <f>_xll.BDH("SRPT US Equity","EQY_DPS","FQ4 2019","FQ4 2019","Currency=USD","Period=FQ","BEST_FPERIOD_OVERRIDE=FQ","FILING_STATUS=MR","Sort=A","Dates=H","DateFormat=P","Fill=—","Direction=H","UseDPDF=Y")</f>
        <v>0</v>
      </c>
      <c r="F62" s="14">
        <f>_xll.BDH("SRPT US Equity","EQY_DPS","FQ1 2020","FQ1 2020","Currency=USD","Period=FQ","BEST_FPERIOD_OVERRIDE=FQ","FILING_STATUS=MR","Sort=A","Dates=H","DateFormat=P","Fill=—","Direction=H","UseDPDF=Y")</f>
        <v>0</v>
      </c>
      <c r="G62" s="14">
        <f>_xll.BDH("SRPT US Equity","EQY_DPS","FQ2 2020","FQ2 2020","Currency=USD","Period=FQ","BEST_FPERIOD_OVERRIDE=FQ","FILING_STATUS=MR","Sort=A","Dates=H","DateFormat=P","Fill=—","Direction=H","UseDPDF=Y")</f>
        <v>0</v>
      </c>
      <c r="H62" s="14">
        <f>_xll.BDH("SRPT US Equity","EQY_DPS","FQ3 2020","FQ3 2020","Currency=USD","Period=FQ","BEST_FPERIOD_OVERRIDE=FQ","FILING_STATUS=MR","Sort=A","Dates=H","DateFormat=P","Fill=—","Direction=H","UseDPDF=Y")</f>
        <v>0</v>
      </c>
      <c r="I62" s="14">
        <f>_xll.BDH("SRPT US Equity","EQY_DPS","FQ4 2020","FQ4 2020","Currency=USD","Period=FQ","BEST_FPERIOD_OVERRIDE=FQ","FILING_STATUS=MR","Sort=A","Dates=H","DateFormat=P","Fill=—","Direction=H","UseDPDF=Y")</f>
        <v>0</v>
      </c>
      <c r="J62" s="14">
        <f>_xll.BDH("SRPT US Equity","EQY_DPS","FQ1 2021","FQ1 2021","Currency=USD","Period=FQ","BEST_FPERIOD_OVERRIDE=FQ","FILING_STATUS=MR","Sort=A","Dates=H","DateFormat=P","Fill=—","Direction=H","UseDPDF=Y")</f>
        <v>0</v>
      </c>
      <c r="K62" s="14">
        <f>_xll.BDH("SRPT US Equity","EQY_DPS","FQ2 2021","FQ2 2021","Currency=USD","Period=FQ","BEST_FPERIOD_OVERRIDE=FQ","FILING_STATUS=MR","Sort=A","Dates=H","DateFormat=P","Fill=—","Direction=H","UseDPDF=Y")</f>
        <v>0</v>
      </c>
      <c r="L62" s="14">
        <f>_xll.BDH("SRPT US Equity","EQY_DPS","FQ3 2021","FQ3 2021","Currency=USD","Period=FQ","BEST_FPERIOD_OVERRIDE=FQ","FILING_STATUS=MR","Sort=A","Dates=H","DateFormat=P","Fill=—","Direction=H","UseDPDF=Y")</f>
        <v>0</v>
      </c>
      <c r="M62" s="14">
        <f>_xll.BDH("SRPT US Equity","EQY_DPS","FQ4 2021","FQ4 2021","Currency=USD","Period=FQ","BEST_FPERIOD_OVERRIDE=FQ","FILING_STATUS=MR","Sort=A","Dates=H","DateFormat=P","Fill=—","Direction=H","UseDPDF=Y")</f>
        <v>0</v>
      </c>
      <c r="N62" s="14">
        <f>_xll.BDH("SRPT US Equity","EQY_DPS","FQ1 2022","FQ1 2022","Currency=USD","Period=FQ","BEST_FPERIOD_OVERRIDE=FQ","FILING_STATUS=MR","Sort=A","Dates=H","DateFormat=P","Fill=—","Direction=H","UseDPDF=Y")</f>
        <v>0</v>
      </c>
      <c r="O62" s="14">
        <f>_xll.BDH("SRPT US Equity","EQY_DPS","FQ2 2022","FQ2 2022","Currency=USD","Period=FQ","BEST_FPERIOD_OVERRIDE=FQ","FILING_STATUS=MR","Sort=A","Dates=H","DateFormat=P","Fill=—","Direction=H","UseDPDF=Y")</f>
        <v>0</v>
      </c>
      <c r="P62" s="14">
        <f>_xll.BDH("SRPT US Equity","EQY_DPS","FQ3 2022","FQ3 2022","Currency=USD","Period=FQ","BEST_FPERIOD_OVERRIDE=FQ","FILING_STATUS=MR","Sort=A","Dates=H","DateFormat=P","Fill=—","Direction=H","UseDPDF=Y")</f>
        <v>0</v>
      </c>
      <c r="Q62" s="14">
        <f>_xll.BDH("SRPT US Equity","EQY_DPS","FQ4 2022","FQ4 2022","Currency=USD","Period=FQ","BEST_FPERIOD_OVERRIDE=FQ","FILING_STATUS=MR","Sort=A","Dates=H","DateFormat=P","Fill=—","Direction=H","UseDPDF=Y")</f>
        <v>0</v>
      </c>
      <c r="R62" s="14">
        <f>_xll.BDH("SRPT US Equity","EQY_DPS","FQ1 2023","FQ1 2023","Currency=USD","Period=FQ","BEST_FPERIOD_OVERRIDE=FQ","FILING_STATUS=MR","Sort=A","Dates=H","DateFormat=P","Fill=—","Direction=H","UseDPDF=Y")</f>
        <v>0</v>
      </c>
      <c r="S62" s="14">
        <f>_xll.BDH("SRPT US Equity","EQY_DPS","FQ2 2023","FQ2 2023","Currency=USD","Period=FQ","BEST_FPERIOD_OVERRIDE=FQ","FILING_STATUS=MR","Sort=A","Dates=H","DateFormat=P","Fill=—","Direction=H","UseDPDF=Y")</f>
        <v>0</v>
      </c>
      <c r="T62" s="14">
        <f>_xll.BDH("SRPT US Equity","EQY_DPS","FQ3 2023","FQ3 2023","Currency=USD","Period=FQ","BEST_FPERIOD_OVERRIDE=FQ","FILING_STATUS=MR","Sort=A","Dates=H","DateFormat=P","Fill=—","Direction=H","UseDPDF=Y")</f>
        <v>0</v>
      </c>
      <c r="U62" s="14">
        <f>_xll.BDH("SRPT US Equity","EQY_DPS","FQ4 2023","FQ4 2023","Currency=USD","Period=FQ","BEST_FPERIOD_OVERRIDE=FQ","FILING_STATUS=MR","Sort=A","Dates=H","DateFormat=P","Fill=—","Direction=H","UseDPDF=Y")</f>
        <v>0</v>
      </c>
      <c r="V62" s="14">
        <f>_xll.BDH("SRPT US Equity","EQY_DPS","FQ1 2024","FQ1 2024","Currency=USD","Period=FQ","BEST_FPERIOD_OVERRIDE=FQ","FILING_STATUS=MR","Sort=A","Dates=H","DateFormat=P","Fill=—","Direction=H","UseDPDF=Y")</f>
        <v>0</v>
      </c>
      <c r="W62" s="14">
        <f>_xll.BDH("SRPT US Equity","EQY_DPS","FQ2 2024","FQ2 2024","Currency=USD","Period=FQ","BEST_FPERIOD_OVERRIDE=FQ","FILING_STATUS=MR","Sort=A","Dates=H","DateFormat=P","Fill=—","Direction=H","UseDPDF=Y")</f>
        <v>0</v>
      </c>
      <c r="X62" s="14">
        <f>_xll.BDH("SRPT US Equity","EQY_DPS","FQ3 2024","FQ3 2024","Currency=USD","Period=FQ","BEST_FPERIOD_OVERRIDE=FQ","FILING_STATUS=MR","Sort=A","Dates=H","DateFormat=P","Fill=—","Direction=H","UseDPDF=Y")</f>
        <v>0</v>
      </c>
      <c r="Y62" s="14">
        <f>_xll.BDH("SRPT US Equity","EQY_DPS","FQ4 2024","FQ4 2024","Currency=USD","Period=FQ","BEST_FPERIOD_OVERRIDE=FQ","FILING_STATUS=MR","Sort=A","Dates=H","DateFormat=P","Fill=—","Direction=H","UseDPDF=Y")</f>
        <v>0</v>
      </c>
      <c r="Z62" s="14"/>
      <c r="AA62" s="14"/>
    </row>
    <row r="63" spans="1:27" x14ac:dyDescent="0.25">
      <c r="A63" s="10" t="s">
        <v>409</v>
      </c>
      <c r="B63" s="10" t="s">
        <v>410</v>
      </c>
      <c r="C63" s="13">
        <f>_xll.BDH("SRPT US Equity","IS_TOT_CASH_COM_DVD","FQ2 2019","FQ2 2019","Currency=USD","Period=FQ","BEST_FPERIOD_OVERRIDE=FQ","FILING_STATUS=MR","SCALING_FORMAT=MLN","Sort=A","Dates=H","DateFormat=P","Fill=—","Direction=H","UseDPDF=Y")</f>
        <v>0</v>
      </c>
      <c r="D63" s="13">
        <f>_xll.BDH("SRPT US Equity","IS_TOT_CASH_COM_DVD","FQ3 2019","FQ3 2019","Currency=USD","Period=FQ","BEST_FPERIOD_OVERRIDE=FQ","FILING_STATUS=MR","SCALING_FORMAT=MLN","Sort=A","Dates=H","DateFormat=P","Fill=—","Direction=H","UseDPDF=Y")</f>
        <v>0</v>
      </c>
      <c r="E63" s="13">
        <f>_xll.BDH("SRPT US Equity","IS_TOT_CASH_COM_DVD","FQ4 2019","FQ4 2019","Currency=USD","Period=FQ","BEST_FPERIOD_OVERRIDE=FQ","FILING_STATUS=MR","SCALING_FORMAT=MLN","Sort=A","Dates=H","DateFormat=P","Fill=—","Direction=H","UseDPDF=Y")</f>
        <v>0</v>
      </c>
      <c r="F63" s="13">
        <f>_xll.BDH("SRPT US Equity","IS_TOT_CASH_COM_DVD","FQ1 2020","FQ1 2020","Currency=USD","Period=FQ","BEST_FPERIOD_OVERRIDE=FQ","FILING_STATUS=MR","SCALING_FORMAT=MLN","Sort=A","Dates=H","DateFormat=P","Fill=—","Direction=H","UseDPDF=Y")</f>
        <v>0</v>
      </c>
      <c r="G63" s="13">
        <f>_xll.BDH("SRPT US Equity","IS_TOT_CASH_COM_DVD","FQ2 2020","FQ2 2020","Currency=USD","Period=FQ","BEST_FPERIOD_OVERRIDE=FQ","FILING_STATUS=MR","SCALING_FORMAT=MLN","Sort=A","Dates=H","DateFormat=P","Fill=—","Direction=H","UseDPDF=Y")</f>
        <v>0</v>
      </c>
      <c r="H63" s="13">
        <f>_xll.BDH("SRPT US Equity","IS_TOT_CASH_COM_DVD","FQ3 2020","FQ3 2020","Currency=USD","Period=FQ","BEST_FPERIOD_OVERRIDE=FQ","FILING_STATUS=MR","SCALING_FORMAT=MLN","Sort=A","Dates=H","DateFormat=P","Fill=—","Direction=H","UseDPDF=Y")</f>
        <v>0</v>
      </c>
      <c r="I63" s="13">
        <f>_xll.BDH("SRPT US Equity","IS_TOT_CASH_COM_DVD","FQ4 2020","FQ4 2020","Currency=USD","Period=FQ","BEST_FPERIOD_OVERRIDE=FQ","FILING_STATUS=MR","SCALING_FORMAT=MLN","Sort=A","Dates=H","DateFormat=P","Fill=—","Direction=H","UseDPDF=Y")</f>
        <v>0</v>
      </c>
      <c r="J63" s="13">
        <f>_xll.BDH("SRPT US Equity","IS_TOT_CASH_COM_DVD","FQ1 2021","FQ1 2021","Currency=USD","Period=FQ","BEST_FPERIOD_OVERRIDE=FQ","FILING_STATUS=MR","SCALING_FORMAT=MLN","Sort=A","Dates=H","DateFormat=P","Fill=—","Direction=H","UseDPDF=Y")</f>
        <v>0</v>
      </c>
      <c r="K63" s="13">
        <f>_xll.BDH("SRPT US Equity","IS_TOT_CASH_COM_DVD","FQ2 2021","FQ2 2021","Currency=USD","Period=FQ","BEST_FPERIOD_OVERRIDE=FQ","FILING_STATUS=MR","SCALING_FORMAT=MLN","Sort=A","Dates=H","DateFormat=P","Fill=—","Direction=H","UseDPDF=Y")</f>
        <v>0</v>
      </c>
      <c r="L63" s="13">
        <f>_xll.BDH("SRPT US Equity","IS_TOT_CASH_COM_DVD","FQ3 2021","FQ3 2021","Currency=USD","Period=FQ","BEST_FPERIOD_OVERRIDE=FQ","FILING_STATUS=MR","SCALING_FORMAT=MLN","Sort=A","Dates=H","DateFormat=P","Fill=—","Direction=H","UseDPDF=Y")</f>
        <v>0</v>
      </c>
      <c r="M63" s="13">
        <f>_xll.BDH("SRPT US Equity","IS_TOT_CASH_COM_DVD","FQ4 2021","FQ4 2021","Currency=USD","Period=FQ","BEST_FPERIOD_OVERRIDE=FQ","FILING_STATUS=MR","SCALING_FORMAT=MLN","Sort=A","Dates=H","DateFormat=P","Fill=—","Direction=H","UseDPDF=Y")</f>
        <v>0</v>
      </c>
      <c r="N63" s="13">
        <f>_xll.BDH("SRPT US Equity","IS_TOT_CASH_COM_DVD","FQ1 2022","FQ1 2022","Currency=USD","Period=FQ","BEST_FPERIOD_OVERRIDE=FQ","FILING_STATUS=MR","SCALING_FORMAT=MLN","Sort=A","Dates=H","DateFormat=P","Fill=—","Direction=H","UseDPDF=Y")</f>
        <v>0</v>
      </c>
      <c r="O63" s="13">
        <f>_xll.BDH("SRPT US Equity","IS_TOT_CASH_COM_DVD","FQ2 2022","FQ2 2022","Currency=USD","Period=FQ","BEST_FPERIOD_OVERRIDE=FQ","FILING_STATUS=MR","SCALING_FORMAT=MLN","Sort=A","Dates=H","DateFormat=P","Fill=—","Direction=H","UseDPDF=Y")</f>
        <v>0</v>
      </c>
      <c r="P63" s="13">
        <f>_xll.BDH("SRPT US Equity","IS_TOT_CASH_COM_DVD","FQ3 2022","FQ3 2022","Currency=USD","Period=FQ","BEST_FPERIOD_OVERRIDE=FQ","FILING_STATUS=MR","SCALING_FORMAT=MLN","Sort=A","Dates=H","DateFormat=P","Fill=—","Direction=H","UseDPDF=Y")</f>
        <v>0</v>
      </c>
      <c r="Q63" s="13">
        <f>_xll.BDH("SRPT US Equity","IS_TOT_CASH_COM_DVD","FQ4 2022","FQ4 2022","Currency=USD","Period=FQ","BEST_FPERIOD_OVERRIDE=FQ","FILING_STATUS=MR","SCALING_FORMAT=MLN","Sort=A","Dates=H","DateFormat=P","Fill=—","Direction=H","UseDPDF=Y")</f>
        <v>0</v>
      </c>
      <c r="R63" s="13">
        <f>_xll.BDH("SRPT US Equity","IS_TOT_CASH_COM_DVD","FQ1 2023","FQ1 2023","Currency=USD","Period=FQ","BEST_FPERIOD_OVERRIDE=FQ","FILING_STATUS=MR","SCALING_FORMAT=MLN","Sort=A","Dates=H","DateFormat=P","Fill=—","Direction=H","UseDPDF=Y")</f>
        <v>0</v>
      </c>
      <c r="S63" s="13">
        <f>_xll.BDH("SRPT US Equity","IS_TOT_CASH_COM_DVD","FQ2 2023","FQ2 2023","Currency=USD","Period=FQ","BEST_FPERIOD_OVERRIDE=FQ","FILING_STATUS=MR","SCALING_FORMAT=MLN","Sort=A","Dates=H","DateFormat=P","Fill=—","Direction=H","UseDPDF=Y")</f>
        <v>0</v>
      </c>
      <c r="T63" s="13">
        <f>_xll.BDH("SRPT US Equity","IS_TOT_CASH_COM_DVD","FQ3 2023","FQ3 2023","Currency=USD","Period=FQ","BEST_FPERIOD_OVERRIDE=FQ","FILING_STATUS=MR","SCALING_FORMAT=MLN","Sort=A","Dates=H","DateFormat=P","Fill=—","Direction=H","UseDPDF=Y")</f>
        <v>0</v>
      </c>
      <c r="U63" s="13">
        <f>_xll.BDH("SRPT US Equity","IS_TOT_CASH_COM_DVD","FQ4 2023","FQ4 2023","Currency=USD","Period=FQ","BEST_FPERIOD_OVERRIDE=FQ","FILING_STATUS=MR","SCALING_FORMAT=MLN","Sort=A","Dates=H","DateFormat=P","Fill=—","Direction=H","UseDPDF=Y")</f>
        <v>0</v>
      </c>
      <c r="V63" s="13">
        <f>_xll.BDH("SRPT US Equity","IS_TOT_CASH_COM_DVD","FQ1 2024","FQ1 2024","Currency=USD","Period=FQ","BEST_FPERIOD_OVERRIDE=FQ","FILING_STATUS=MR","SCALING_FORMAT=MLN","Sort=A","Dates=H","DateFormat=P","Fill=—","Direction=H","UseDPDF=Y")</f>
        <v>0</v>
      </c>
      <c r="W63" s="13">
        <f>_xll.BDH("SRPT US Equity","IS_TOT_CASH_COM_DVD","FQ2 2024","FQ2 2024","Currency=USD","Period=FQ","BEST_FPERIOD_OVERRIDE=FQ","FILING_STATUS=MR","SCALING_FORMAT=MLN","Sort=A","Dates=H","DateFormat=P","Fill=—","Direction=H","UseDPDF=Y")</f>
        <v>0</v>
      </c>
      <c r="X63" s="13">
        <f>_xll.BDH("SRPT US Equity","IS_TOT_CASH_COM_DVD","FQ3 2024","FQ3 2024","Currency=USD","Period=FQ","BEST_FPERIOD_OVERRIDE=FQ","FILING_STATUS=MR","SCALING_FORMAT=MLN","Sort=A","Dates=H","DateFormat=P","Fill=—","Direction=H","UseDPDF=Y")</f>
        <v>0</v>
      </c>
      <c r="Y63" s="13">
        <f>_xll.BDH("SRPT US Equity","IS_TOT_CASH_COM_DVD","FQ4 2024","FQ4 2024","Currency=USD","Period=FQ","BEST_FPERIOD_OVERRIDE=FQ","FILING_STATUS=MR","SCALING_FORMAT=MLN","Sort=A","Dates=H","DateFormat=P","Fill=—","Direction=H","UseDPDF=Y")</f>
        <v>0</v>
      </c>
      <c r="Z63" s="13"/>
      <c r="AA63" s="13"/>
    </row>
    <row r="64" spans="1:27" x14ac:dyDescent="0.25">
      <c r="A64" s="10" t="s">
        <v>411</v>
      </c>
      <c r="B64" s="10" t="s">
        <v>412</v>
      </c>
      <c r="C64" s="13">
        <f>_xll.BDH("SRPT US Equity","IS_DEPR_EXP","FQ2 2019","FQ2 2019","Currency=USD","Period=FQ","BEST_FPERIOD_OVERRIDE=FQ","FILING_STATUS=MR","SCALING_FORMAT=MLN","Sort=A","Dates=H","DateFormat=P","Fill=—","Direction=H","UseDPDF=Y")</f>
        <v>6.016</v>
      </c>
      <c r="D64" s="13">
        <f>_xll.BDH("SRPT US Equity","IS_DEPR_EXP","FQ3 2019","FQ3 2019","Currency=USD","Period=FQ","BEST_FPERIOD_OVERRIDE=FQ","FILING_STATUS=MR","SCALING_FORMAT=MLN","Sort=A","Dates=H","DateFormat=P","Fill=—","Direction=H","UseDPDF=Y")</f>
        <v>6.5250000000000004</v>
      </c>
      <c r="E64" s="13">
        <f>_xll.BDH("SRPT US Equity","IS_DEPR_EXP","FQ4 2019","FQ4 2019","Currency=USD","Period=FQ","BEST_FPERIOD_OVERRIDE=FQ","FILING_STATUS=MR","SCALING_FORMAT=MLN","Sort=A","Dates=H","DateFormat=P","Fill=—","Direction=H","UseDPDF=Y")</f>
        <v>6.4459999999999997</v>
      </c>
      <c r="F64" s="13">
        <f>_xll.BDH("SRPT US Equity","IS_DEPR_EXP","FQ1 2020","FQ1 2020","Currency=USD","Period=FQ","BEST_FPERIOD_OVERRIDE=FQ","FILING_STATUS=MR","SCALING_FORMAT=MLN","Sort=A","Dates=H","DateFormat=P","Fill=—","Direction=H","UseDPDF=Y")</f>
        <v>6.3630000000000004</v>
      </c>
      <c r="G64" s="13">
        <f>_xll.BDH("SRPT US Equity","IS_DEPR_EXP","FQ2 2020","FQ2 2020","Currency=USD","Period=FQ","BEST_FPERIOD_OVERRIDE=FQ","FILING_STATUS=MR","SCALING_FORMAT=MLN","Sort=A","Dates=H","DateFormat=P","Fill=—","Direction=H","UseDPDF=Y")</f>
        <v>6.31</v>
      </c>
      <c r="H64" s="13">
        <f>_xll.BDH("SRPT US Equity","IS_DEPR_EXP","FQ3 2020","FQ3 2020","Currency=USD","Period=FQ","BEST_FPERIOD_OVERRIDE=FQ","FILING_STATUS=MR","SCALING_FORMAT=MLN","Sort=A","Dates=H","DateFormat=P","Fill=—","Direction=H","UseDPDF=Y")</f>
        <v>6.4530000000000003</v>
      </c>
      <c r="I64" s="13">
        <f>_xll.BDH("SRPT US Equity","IS_DEPR_EXP","FQ4 2020","FQ4 2020","Currency=USD","Period=FQ","BEST_FPERIOD_OVERRIDE=FQ","FILING_STATUS=MR","SCALING_FORMAT=MLN","Sort=A","Dates=H","DateFormat=P","Fill=—","Direction=H","UseDPDF=Y")</f>
        <v>7.1230000000000002</v>
      </c>
      <c r="J64" s="13">
        <f>_xll.BDH("SRPT US Equity","IS_DEPR_EXP","FQ1 2021","FQ1 2021","Currency=USD","Period=FQ","BEST_FPERIOD_OVERRIDE=FQ","FILING_STATUS=MR","SCALING_FORMAT=MLN","Sort=A","Dates=H","DateFormat=P","Fill=—","Direction=H","UseDPDF=Y")</f>
        <v>8.76</v>
      </c>
      <c r="K64" s="13">
        <f>_xll.BDH("SRPT US Equity","IS_DEPR_EXP","FQ2 2021","FQ2 2021","Currency=USD","Period=FQ","BEST_FPERIOD_OVERRIDE=FQ","FILING_STATUS=MR","SCALING_FORMAT=MLN","Sort=A","Dates=H","DateFormat=P","Fill=—","Direction=H","UseDPDF=Y")</f>
        <v>8.2680000000000007</v>
      </c>
      <c r="L64" s="13">
        <f>_xll.BDH("SRPT US Equity","IS_DEPR_EXP","FQ3 2021","FQ3 2021","Currency=USD","Period=FQ","BEST_FPERIOD_OVERRIDE=FQ","FILING_STATUS=MR","SCALING_FORMAT=MLN","Sort=A","Dates=H","DateFormat=P","Fill=—","Direction=H","UseDPDF=Y")</f>
        <v>10.317</v>
      </c>
      <c r="M64" s="13">
        <f>_xll.BDH("SRPT US Equity","IS_DEPR_EXP","FQ4 2021","FQ4 2021","Currency=USD","Period=FQ","BEST_FPERIOD_OVERRIDE=FQ","FILING_STATUS=MR","SCALING_FORMAT=MLN","Sort=A","Dates=H","DateFormat=P","Fill=—","Direction=H","UseDPDF=Y")</f>
        <v>9.9659999999999993</v>
      </c>
      <c r="N64" s="13">
        <f>_xll.BDH("SRPT US Equity","IS_DEPR_EXP","FQ1 2022","FQ1 2022","Currency=USD","Period=FQ","BEST_FPERIOD_OVERRIDE=FQ","FILING_STATUS=MR","SCALING_FORMAT=MLN","Sort=A","Dates=H","DateFormat=P","Fill=—","Direction=H","UseDPDF=Y")</f>
        <v>10.541</v>
      </c>
      <c r="O64" s="13">
        <f>_xll.BDH("SRPT US Equity","IS_DEPR_EXP","FQ2 2022","FQ2 2022","Currency=USD","Period=FQ","BEST_FPERIOD_OVERRIDE=FQ","FILING_STATUS=MR","SCALING_FORMAT=MLN","Sort=A","Dates=H","DateFormat=P","Fill=—","Direction=H","UseDPDF=Y")</f>
        <v>9.7100000000000009</v>
      </c>
      <c r="P64" s="13">
        <f>_xll.BDH("SRPT US Equity","IS_DEPR_EXP","FQ3 2022","FQ3 2022","Currency=USD","Period=FQ","BEST_FPERIOD_OVERRIDE=FQ","FILING_STATUS=MR","SCALING_FORMAT=MLN","Sort=A","Dates=H","DateFormat=P","Fill=—","Direction=H","UseDPDF=Y")</f>
        <v>10.525</v>
      </c>
      <c r="Q64" s="13">
        <f>_xll.BDH("SRPT US Equity","IS_DEPR_EXP","FQ4 2022","FQ4 2022","Currency=USD","Period=FQ","BEST_FPERIOD_OVERRIDE=FQ","FILING_STATUS=MR","SCALING_FORMAT=MLN","Sort=A","Dates=H","DateFormat=P","Fill=—","Direction=H","UseDPDF=Y")</f>
        <v>10.374000000000001</v>
      </c>
      <c r="R64" s="13">
        <f>_xll.BDH("SRPT US Equity","IS_DEPR_EXP","FQ1 2023","FQ1 2023","Currency=USD","Period=FQ","BEST_FPERIOD_OVERRIDE=FQ","FILING_STATUS=MR","SCALING_FORMAT=MLN","Sort=A","Dates=H","DateFormat=P","Fill=—","Direction=H","UseDPDF=Y")</f>
        <v>11.127000000000001</v>
      </c>
      <c r="S64" s="13">
        <f>_xll.BDH("SRPT US Equity","IS_DEPR_EXP","FQ2 2023","FQ2 2023","Currency=USD","Period=FQ","BEST_FPERIOD_OVERRIDE=FQ","FILING_STATUS=MR","SCALING_FORMAT=MLN","Sort=A","Dates=H","DateFormat=P","Fill=—","Direction=H","UseDPDF=Y")</f>
        <v>10.613</v>
      </c>
      <c r="T64" s="13">
        <f>_xll.BDH("SRPT US Equity","IS_DEPR_EXP","FQ3 2023","FQ3 2023","Currency=USD","Period=FQ","BEST_FPERIOD_OVERRIDE=FQ","FILING_STATUS=MR","SCALING_FORMAT=MLN","Sort=A","Dates=H","DateFormat=P","Fill=—","Direction=H","UseDPDF=Y")</f>
        <v>10.489000000000001</v>
      </c>
      <c r="U64" s="13">
        <f>_xll.BDH("SRPT US Equity","IS_DEPR_EXP","FQ4 2023","FQ4 2023","Currency=USD","Period=FQ","BEST_FPERIOD_OVERRIDE=FQ","FILING_STATUS=MR","SCALING_FORMAT=MLN","Sort=A","Dates=H","DateFormat=P","Fill=—","Direction=H","UseDPDF=Y")</f>
        <v>9.8460000000000001</v>
      </c>
      <c r="V64" s="13">
        <f>_xll.BDH("SRPT US Equity","IS_DEPR_EXP","FQ1 2024","FQ1 2024","Currency=USD","Period=FQ","BEST_FPERIOD_OVERRIDE=FQ","FILING_STATUS=MR","SCALING_FORMAT=MLN","Sort=A","Dates=H","DateFormat=P","Fill=—","Direction=H","UseDPDF=Y")</f>
        <v>8.1430000000000007</v>
      </c>
      <c r="W64" s="13">
        <f>_xll.BDH("SRPT US Equity","IS_DEPR_EXP","FQ2 2024","FQ2 2024","Currency=USD","Period=FQ","BEST_FPERIOD_OVERRIDE=FQ","FILING_STATUS=MR","SCALING_FORMAT=MLN","Sort=A","Dates=H","DateFormat=P","Fill=—","Direction=H","UseDPDF=Y")</f>
        <v>7.5170000000000003</v>
      </c>
      <c r="X64" s="13">
        <f>_xll.BDH("SRPT US Equity","IS_DEPR_EXP","FQ3 2024","FQ3 2024","Currency=USD","Period=FQ","BEST_FPERIOD_OVERRIDE=FQ","FILING_STATUS=MR","SCALING_FORMAT=MLN","Sort=A","Dates=H","DateFormat=P","Fill=—","Direction=H","UseDPDF=Y")</f>
        <v>8.6020000000000003</v>
      </c>
      <c r="Y64" s="13">
        <f>_xll.BDH("SRPT US Equity","IS_DEPR_EXP","FQ4 2024","FQ4 2024","Currency=USD","Period=FQ","BEST_FPERIOD_OVERRIDE=FQ","FILING_STATUS=MR","SCALING_FORMAT=MLN","Sort=A","Dates=H","DateFormat=P","Fill=—","Direction=H","UseDPDF=Y")</f>
        <v>9.2530000000000001</v>
      </c>
      <c r="Z64" s="13"/>
      <c r="AA64" s="13"/>
    </row>
    <row r="65" spans="1:27" x14ac:dyDescent="0.25">
      <c r="A65" s="10" t="s">
        <v>413</v>
      </c>
      <c r="B65" s="10" t="s">
        <v>414</v>
      </c>
      <c r="C65" s="13">
        <f>_xll.BDH("SRPT US Equity","BS_CURR_RENTAL_EXPENSE","FQ2 2019","FQ2 2019","Currency=USD","Period=FQ","BEST_FPERIOD_OVERRIDE=FQ","FILING_STATUS=MR","SCALING_FORMAT=MLN","Sort=A","Dates=H","DateFormat=P","Fill=—","Direction=H","UseDPDF=Y")</f>
        <v>3.339</v>
      </c>
      <c r="D65" s="13">
        <f>_xll.BDH("SRPT US Equity","BS_CURR_RENTAL_EXPENSE","FQ3 2019","FQ3 2019","Currency=USD","Period=FQ","BEST_FPERIOD_OVERRIDE=FQ","FILING_STATUS=MR","SCALING_FORMAT=MLN","Sort=A","Dates=H","DateFormat=P","Fill=—","Direction=H","UseDPDF=Y")</f>
        <v>3.6139999999999999</v>
      </c>
      <c r="E65" s="13">
        <f>_xll.BDH("SRPT US Equity","BS_CURR_RENTAL_EXPENSE","FQ4 2019","FQ4 2019","Currency=USD","Period=FQ","BEST_FPERIOD_OVERRIDE=FQ","FILING_STATUS=MR","SCALING_FORMAT=MLN","Sort=A","Dates=H","DateFormat=P","Fill=—","Direction=H","UseDPDF=Y")</f>
        <v>3.6179999999999999</v>
      </c>
      <c r="F65" s="13">
        <f>_xll.BDH("SRPT US Equity","BS_CURR_RENTAL_EXPENSE","FQ1 2020","FQ1 2020","Currency=USD","Period=FQ","BEST_FPERIOD_OVERRIDE=FQ","FILING_STATUS=MR","SCALING_FORMAT=MLN","Sort=A","Dates=H","DateFormat=P","Fill=—","Direction=H","UseDPDF=Y")</f>
        <v>1.7</v>
      </c>
      <c r="G65" s="13">
        <f>_xll.BDH("SRPT US Equity","BS_CURR_RENTAL_EXPENSE","FQ2 2020","FQ2 2020","Currency=USD","Period=FQ","BEST_FPERIOD_OVERRIDE=FQ","FILING_STATUS=MR","SCALING_FORMAT=MLN","Sort=A","Dates=H","DateFormat=P","Fill=—","Direction=H","UseDPDF=Y")</f>
        <v>5.6</v>
      </c>
      <c r="H65" s="13">
        <f>_xll.BDH("SRPT US Equity","BS_CURR_RENTAL_EXPENSE","FQ3 2020","FQ3 2020","Currency=USD","Period=FQ","BEST_FPERIOD_OVERRIDE=FQ","FILING_STATUS=MR","SCALING_FORMAT=MLN","Sort=A","Dates=H","DateFormat=P","Fill=—","Direction=H","UseDPDF=Y")</f>
        <v>5.2</v>
      </c>
      <c r="I65" s="13">
        <f>_xll.BDH("SRPT US Equity","BS_CURR_RENTAL_EXPENSE","FQ4 2020","FQ4 2020","Currency=USD","Period=FQ","BEST_FPERIOD_OVERRIDE=FQ","FILING_STATUS=MR","SCALING_FORMAT=MLN","Sort=A","Dates=H","DateFormat=P","Fill=—","Direction=H","UseDPDF=Y")</f>
        <v>23.542999999999999</v>
      </c>
      <c r="J65" s="13" t="str">
        <f>_xll.BDH("SRPT US Equity","BS_CURR_RENTAL_EXPENSE","FQ1 2021","FQ1 2021","Currency=USD","Period=FQ","BEST_FPERIOD_OVERRIDE=FQ","FILING_STATUS=MR","SCALING_FORMAT=MLN","Sort=A","Dates=H","DateFormat=P","Fill=—","Direction=H","UseDPDF=Y")</f>
        <v>—</v>
      </c>
      <c r="K65" s="13" t="str">
        <f>_xll.BDH("SRPT US Equity","BS_CURR_RENTAL_EXPENSE","FQ2 2021","FQ2 2021","Currency=USD","Period=FQ","BEST_FPERIOD_OVERRIDE=FQ","FILING_STATUS=MR","SCALING_FORMAT=MLN","Sort=A","Dates=H","DateFormat=P","Fill=—","Direction=H","UseDPDF=Y")</f>
        <v>—</v>
      </c>
      <c r="L65" s="13" t="str">
        <f>_xll.BDH("SRPT US Equity","BS_CURR_RENTAL_EXPENSE","FQ3 2021","FQ3 2021","Currency=USD","Period=FQ","BEST_FPERIOD_OVERRIDE=FQ","FILING_STATUS=MR","SCALING_FORMAT=MLN","Sort=A","Dates=H","DateFormat=P","Fill=—","Direction=H","UseDPDF=Y")</f>
        <v>—</v>
      </c>
      <c r="M65" s="13" t="str">
        <f>_xll.BDH("SRPT US Equity","BS_CURR_RENTAL_EXPENSE","FQ4 2021","FQ4 2021","Currency=USD","Period=FQ","BEST_FPERIOD_OVERRIDE=FQ","FILING_STATUS=MR","SCALING_FORMAT=MLN","Sort=A","Dates=H","DateFormat=P","Fill=—","Direction=H","UseDPDF=Y")</f>
        <v>—</v>
      </c>
      <c r="N65" s="13" t="str">
        <f>_xll.BDH("SRPT US Equity","BS_CURR_RENTAL_EXPENSE","FQ1 2022","FQ1 2022","Currency=USD","Period=FQ","BEST_FPERIOD_OVERRIDE=FQ","FILING_STATUS=MR","SCALING_FORMAT=MLN","Sort=A","Dates=H","DateFormat=P","Fill=—","Direction=H","UseDPDF=Y")</f>
        <v>—</v>
      </c>
      <c r="O65" s="13" t="str">
        <f>_xll.BDH("SRPT US Equity","BS_CURR_RENTAL_EXPENSE","FQ2 2022","FQ2 2022","Currency=USD","Period=FQ","BEST_FPERIOD_OVERRIDE=FQ","FILING_STATUS=MR","SCALING_FORMAT=MLN","Sort=A","Dates=H","DateFormat=P","Fill=—","Direction=H","UseDPDF=Y")</f>
        <v>—</v>
      </c>
      <c r="P65" s="13" t="str">
        <f>_xll.BDH("SRPT US Equity","BS_CURR_RENTAL_EXPENSE","FQ3 2022","FQ3 2022","Currency=USD","Period=FQ","BEST_FPERIOD_OVERRIDE=FQ","FILING_STATUS=MR","SCALING_FORMAT=MLN","Sort=A","Dates=H","DateFormat=P","Fill=—","Direction=H","UseDPDF=Y")</f>
        <v>—</v>
      </c>
      <c r="Q65" s="13" t="str">
        <f>_xll.BDH("SRPT US Equity","BS_CURR_RENTAL_EXPENSE","FQ4 2022","FQ4 2022","Currency=USD","Period=FQ","BEST_FPERIOD_OVERRIDE=FQ","FILING_STATUS=MR","SCALING_FORMAT=MLN","Sort=A","Dates=H","DateFormat=P","Fill=—","Direction=H","UseDPDF=Y")</f>
        <v>—</v>
      </c>
      <c r="R65" s="13" t="str">
        <f>_xll.BDH("SRPT US Equity","BS_CURR_RENTAL_EXPENSE","FQ1 2023","FQ1 2023","Currency=USD","Period=FQ","BEST_FPERIOD_OVERRIDE=FQ","FILING_STATUS=MR","SCALING_FORMAT=MLN","Sort=A","Dates=H","DateFormat=P","Fill=—","Direction=H","UseDPDF=Y")</f>
        <v>—</v>
      </c>
      <c r="S65" s="13" t="str">
        <f>_xll.BDH("SRPT US Equity","BS_CURR_RENTAL_EXPENSE","FQ2 2023","FQ2 2023","Currency=USD","Period=FQ","BEST_FPERIOD_OVERRIDE=FQ","FILING_STATUS=MR","SCALING_FORMAT=MLN","Sort=A","Dates=H","DateFormat=P","Fill=—","Direction=H","UseDPDF=Y")</f>
        <v>—</v>
      </c>
      <c r="T65" s="13" t="str">
        <f>_xll.BDH("SRPT US Equity","BS_CURR_RENTAL_EXPENSE","FQ3 2023","FQ3 2023","Currency=USD","Period=FQ","BEST_FPERIOD_OVERRIDE=FQ","FILING_STATUS=MR","SCALING_FORMAT=MLN","Sort=A","Dates=H","DateFormat=P","Fill=—","Direction=H","UseDPDF=Y")</f>
        <v>—</v>
      </c>
      <c r="U65" s="13" t="str">
        <f>_xll.BDH("SRPT US Equity","BS_CURR_RENTAL_EXPENSE","FQ4 2023","FQ4 2023","Currency=USD","Period=FQ","BEST_FPERIOD_OVERRIDE=FQ","FILING_STATUS=MR","SCALING_FORMAT=MLN","Sort=A","Dates=H","DateFormat=P","Fill=—","Direction=H","UseDPDF=Y")</f>
        <v>—</v>
      </c>
      <c r="V65" s="13" t="str">
        <f>_xll.BDH("SRPT US Equity","BS_CURR_RENTAL_EXPENSE","FQ1 2024","FQ1 2024","Currency=USD","Period=FQ","BEST_FPERIOD_OVERRIDE=FQ","FILING_STATUS=MR","SCALING_FORMAT=MLN","Sort=A","Dates=H","DateFormat=P","Fill=—","Direction=H","UseDPDF=Y")</f>
        <v>—</v>
      </c>
      <c r="W65" s="13" t="str">
        <f>_xll.BDH("SRPT US Equity","BS_CURR_RENTAL_EXPENSE","FQ2 2024","FQ2 2024","Currency=USD","Period=FQ","BEST_FPERIOD_OVERRIDE=FQ","FILING_STATUS=MR","SCALING_FORMAT=MLN","Sort=A","Dates=H","DateFormat=P","Fill=—","Direction=H","UseDPDF=Y")</f>
        <v>—</v>
      </c>
      <c r="X65" s="13" t="str">
        <f>_xll.BDH("SRPT US Equity","BS_CURR_RENTAL_EXPENSE","FQ3 2024","FQ3 2024","Currency=USD","Period=FQ","BEST_FPERIOD_OVERRIDE=FQ","FILING_STATUS=MR","SCALING_FORMAT=MLN","Sort=A","Dates=H","DateFormat=P","Fill=—","Direction=H","UseDPDF=Y")</f>
        <v>—</v>
      </c>
      <c r="Y65" s="13" t="str">
        <f>_xll.BDH("SRPT US Equity","BS_CURR_RENTAL_EXPENSE","FQ4 2024","FQ4 2024","Currency=USD","Period=FQ","BEST_FPERIOD_OVERRIDE=FQ","FILING_STATUS=MR","SCALING_FORMAT=MLN","Sort=A","Dates=H","DateFormat=P","Fill=—","Direction=H","UseDPDF=Y")</f>
        <v>—</v>
      </c>
      <c r="Z65" s="13"/>
      <c r="AA65" s="13"/>
    </row>
    <row r="66" spans="1:27" x14ac:dyDescent="0.25">
      <c r="A66" s="7" t="s">
        <v>90</v>
      </c>
      <c r="B66" s="7"/>
      <c r="C66" s="7" t="s">
        <v>5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01"/>
  <sheetViews>
    <sheetView topLeftCell="F3"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421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422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423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424</v>
      </c>
      <c r="B8" s="10" t="s">
        <v>425</v>
      </c>
      <c r="C8" s="13" t="str">
        <f>_xll.BDH("SRPT US Equity","ARD_OTHER_REV","FQ4 2018","FQ4 2018","Currency=USD","Period=FQ","BEST_FPERIOD_OVERRIDE=FQ","FILING_STATUS=MR","SCALING_FORMAT=MLN","Sort=A","Dates=H","DateFormat=P","Fill=—","Direction=H","UseDPDF=Y")</f>
        <v>—</v>
      </c>
      <c r="D8" s="13" t="str">
        <f>_xll.BDH("SRPT US Equity","ARD_OTHER_REV","FQ1 2019","FQ1 2019","Currency=USD","Period=FQ","BEST_FPERIOD_OVERRIDE=FQ","FILING_STATUS=MR","SCALING_FORMAT=MLN","Sort=A","Dates=H","DateFormat=P","Fill=—","Direction=H","UseDPDF=Y")</f>
        <v>—</v>
      </c>
      <c r="E8" s="13" t="str">
        <f>_xll.BDH("SRPT US Equity","ARD_OTHER_REV","FQ2 2019","FQ2 2019","Currency=USD","Period=FQ","BEST_FPERIOD_OVERRIDE=FQ","FILING_STATUS=MR","SCALING_FORMAT=MLN","Sort=A","Dates=H","DateFormat=P","Fill=—","Direction=H","UseDPDF=Y")</f>
        <v>—</v>
      </c>
      <c r="F8" s="13" t="str">
        <f>_xll.BDH("SRPT US Equity","ARD_OTHER_REV","FQ3 2019","FQ3 2019","Currency=USD","Period=FQ","BEST_FPERIOD_OVERRIDE=FQ","FILING_STATUS=MR","SCALING_FORMAT=MLN","Sort=A","Dates=H","DateFormat=P","Fill=—","Direction=H","UseDPDF=Y")</f>
        <v>—</v>
      </c>
      <c r="G8" s="13" t="str">
        <f>_xll.BDH("SRPT US Equity","ARD_OTHER_REV","FQ4 2019","FQ4 2019","Currency=USD","Period=FQ","BEST_FPERIOD_OVERRIDE=FQ","FILING_STATUS=MR","SCALING_FORMAT=MLN","Sort=A","Dates=H","DateFormat=P","Fill=—","Direction=H","UseDPDF=Y")</f>
        <v>—</v>
      </c>
      <c r="H8" s="13">
        <f>_xll.BDH("SRPT US Equity","ARD_OTHER_REV","FQ1 2020","FQ1 2020","Currency=USD","Period=FQ","BEST_FPERIOD_OVERRIDE=FQ","FILING_STATUS=MR","SCALING_FORMAT=MLN","Sort=A","Dates=H","DateFormat=P","Fill=—","Direction=H","UseDPDF=Y")</f>
        <v>13.226000000000001</v>
      </c>
      <c r="I8" s="13">
        <f>_xll.BDH("SRPT US Equity","ARD_OTHER_REV","FQ2 2020","FQ2 2020","Currency=USD","Period=FQ","BEST_FPERIOD_OVERRIDE=FQ","FILING_STATUS=MR","SCALING_FORMAT=MLN","Sort=A","Dates=H","DateFormat=P","Fill=—","Direction=H","UseDPDF=Y")</f>
        <v>26.018999999999998</v>
      </c>
      <c r="J8" s="13">
        <f>_xll.BDH("SRPT US Equity","ARD_OTHER_REV","FQ3 2020","FQ3 2020","Currency=USD","Period=FQ","BEST_FPERIOD_OVERRIDE=FQ","FILING_STATUS=MR","SCALING_FORMAT=MLN","Sort=A","Dates=H","DateFormat=P","Fill=—","Direction=H","UseDPDF=Y")</f>
        <v>22.495000000000001</v>
      </c>
      <c r="K8" s="13">
        <f>_xll.BDH("SRPT US Equity","ARD_OTHER_REV","FQ4 2020","FQ4 2020","Currency=USD","Period=FQ","BEST_FPERIOD_OVERRIDE=FQ","FILING_STATUS=MR","SCALING_FORMAT=MLN","Sort=A","Dates=H","DateFormat=P","Fill=—","Direction=H","UseDPDF=Y")</f>
        <v>22.494</v>
      </c>
      <c r="L8" s="13">
        <f>_xll.BDH("SRPT US Equity","ARD_OTHER_REV","FQ1 2021","FQ1 2021","Currency=USD","Period=FQ","BEST_FPERIOD_OVERRIDE=FQ","FILING_STATUS=MR","SCALING_FORMAT=MLN","Sort=A","Dates=H","DateFormat=P","Fill=—","Direction=H","UseDPDF=Y")</f>
        <v>22.004999999999999</v>
      </c>
      <c r="M8" s="13">
        <f>_xll.BDH("SRPT US Equity","ARD_OTHER_REV","FQ2 2021","FQ2 2021","Currency=USD","Period=FQ","BEST_FPERIOD_OVERRIDE=FQ","FILING_STATUS=MR","SCALING_FORMAT=MLN","Sort=A","Dates=H","DateFormat=P","Fill=—","Direction=H","UseDPDF=Y")</f>
        <v>22.25</v>
      </c>
      <c r="N8" s="13">
        <f>_xll.BDH("SRPT US Equity","ARD_OTHER_REV","FQ3 2021","FQ3 2021","Currency=USD","Period=FQ","BEST_FPERIOD_OVERRIDE=FQ","FILING_STATUS=MR","SCALING_FORMAT=MLN","Sort=A","Dates=H","DateFormat=P","Fill=—","Direction=H","UseDPDF=Y")</f>
        <v>22.495000000000001</v>
      </c>
      <c r="O8" s="13">
        <f>_xll.BDH("SRPT US Equity","ARD_OTHER_REV","FQ4 2021","FQ4 2021","Currency=USD","Period=FQ","BEST_FPERIOD_OVERRIDE=FQ","FILING_STATUS=MR","SCALING_FORMAT=MLN","Sort=A","Dates=H","DateFormat=P","Fill=—","Direction=H","UseDPDF=Y")</f>
        <v>22.736000000000001</v>
      </c>
      <c r="P8" s="13">
        <f>_xll.BDH("SRPT US Equity","ARD_OTHER_REV","FQ1 2022","FQ1 2022","Currency=USD","Period=FQ","BEST_FPERIOD_OVERRIDE=FQ","FILING_STATUS=MR","SCALING_FORMAT=MLN","Sort=A","Dates=H","DateFormat=P","Fill=—","Direction=H","UseDPDF=Y")</f>
        <v>22.004999999999999</v>
      </c>
      <c r="Q8" s="13">
        <f>_xll.BDH("SRPT US Equity","ARD_OTHER_REV","FQ2 2022","FQ2 2022","Currency=USD","Period=FQ","BEST_FPERIOD_OVERRIDE=FQ","FILING_STATUS=MR","SCALING_FORMAT=MLN","Sort=A","Dates=H","DateFormat=P","Fill=—","Direction=H","UseDPDF=Y")</f>
        <v>22.25</v>
      </c>
      <c r="R8" s="13">
        <f>_xll.BDH("SRPT US Equity","ARD_OTHER_REV","FQ3 2022","FQ3 2022","Currency=USD","Period=FQ","BEST_FPERIOD_OVERRIDE=FQ","FILING_STATUS=MR","SCALING_FORMAT=MLN","Sort=A","Dates=H","DateFormat=P","Fill=—","Direction=H","UseDPDF=Y")</f>
        <v>22.495000000000001</v>
      </c>
      <c r="S8" s="13">
        <f>_xll.BDH("SRPT US Equity","ARD_OTHER_REV","FQ4 2022","FQ4 2022","Currency=USD","Period=FQ","BEST_FPERIOD_OVERRIDE=FQ","FILING_STATUS=MR","SCALING_FORMAT=MLN","Sort=A","Dates=H","DateFormat=P","Fill=—","Direction=H","UseDPDF=Y")</f>
        <v>22.494</v>
      </c>
      <c r="T8" s="13">
        <f>_xll.BDH("SRPT US Equity","ARD_OTHER_REV","FQ1 2023","FQ1 2023","Currency=USD","Period=FQ","BEST_FPERIOD_OVERRIDE=FQ","FILING_STATUS=MR","SCALING_FORMAT=MLN","Sort=A","Dates=H","DateFormat=P","Fill=—","Direction=H","UseDPDF=Y")</f>
        <v>22.004999999999999</v>
      </c>
      <c r="U8" s="13">
        <f>_xll.BDH("SRPT US Equity","ARD_OTHER_REV","FQ2 2023","FQ2 2023","Currency=USD","Period=FQ","BEST_FPERIOD_OVERRIDE=FQ","FILING_STATUS=MR","SCALING_FORMAT=MLN","Sort=A","Dates=H","DateFormat=P","Fill=—","Direction=H","UseDPDF=Y")</f>
        <v>22.25</v>
      </c>
      <c r="V8" s="13">
        <f>_xll.BDH("SRPT US Equity","ARD_OTHER_REV","FQ3 2023","FQ3 2023","Currency=USD","Period=FQ","BEST_FPERIOD_OVERRIDE=FQ","FILING_STATUS=MR","SCALING_FORMAT=MLN","Sort=A","Dates=H","DateFormat=P","Fill=—","Direction=H","UseDPDF=Y")</f>
        <v>22.495000000000001</v>
      </c>
      <c r="W8" s="13">
        <f>_xll.BDH("SRPT US Equity","ARD_OTHER_REV","FQ4 2023","FQ4 2023","Currency=USD","Period=FQ","BEST_FPERIOD_OVERRIDE=FQ","FILING_STATUS=MR","SCALING_FORMAT=MLN","Sort=A","Dates=H","DateFormat=P","Fill=—","Direction=H","UseDPDF=Y")</f>
        <v>31.71</v>
      </c>
      <c r="X8" s="13">
        <f>_xll.BDH("SRPT US Equity","ARD_OTHER_REV","FQ1 2024","FQ1 2024","Currency=USD","Period=FQ","BEST_FPERIOD_OVERRIDE=FQ","FILING_STATUS=MR","SCALING_FORMAT=MLN","Sort=A","Dates=H","DateFormat=P","Fill=—","Direction=H","UseDPDF=Y")</f>
        <v>53.98</v>
      </c>
      <c r="Y8" s="13">
        <f>_xll.BDH("SRPT US Equity","ARD_OTHER_REV","FQ2 2024","FQ2 2024","Currency=USD","Period=FQ","BEST_FPERIOD_OVERRIDE=FQ","FILING_STATUS=MR","SCALING_FORMAT=MLN","Sort=A","Dates=H","DateFormat=P","Fill=—","Direction=H","UseDPDF=Y")</f>
        <v>2.383</v>
      </c>
      <c r="Z8" s="13">
        <f>_xll.BDH("SRPT US Equity","ARD_OTHER_REV","FQ3 2024","FQ3 2024","Currency=USD","Period=FQ","BEST_FPERIOD_OVERRIDE=FQ","FILING_STATUS=MR","SCALING_FORMAT=MLN","Sort=A","Dates=H","DateFormat=P","Fill=—","Direction=H","UseDPDF=Y")</f>
        <v>37.401000000000003</v>
      </c>
      <c r="AA8" s="13">
        <f>_xll.BDH("SRPT US Equity","ARD_OTHER_REV","FQ4 2024","FQ4 2024","Currency=USD","Period=FQ","BEST_FPERIOD_OVERRIDE=FQ","FILING_STATUS=MR","SCALING_FORMAT=MLN","Sort=A","Dates=H","DateFormat=P","Fill=—","Direction=H","UseDPDF=Y")</f>
        <v>20.254999999999999</v>
      </c>
    </row>
    <row r="9" spans="1:27" x14ac:dyDescent="0.25">
      <c r="A9" s="10" t="s">
        <v>426</v>
      </c>
      <c r="B9" s="10" t="s">
        <v>427</v>
      </c>
      <c r="C9" s="13">
        <f>_xll.BDH("SRPT US Equity","ARD_PRODUCT_REVENUE","FQ4 2018","FQ4 2018","Currency=USD","Period=FQ","BEST_FPERIOD_OVERRIDE=FQ","FILING_STATUS=MR","SCALING_FORMAT=MLN","Sort=A","Dates=H","DateFormat=P","Fill=—","Direction=H","UseDPDF=Y")</f>
        <v>84.415000000000006</v>
      </c>
      <c r="D9" s="13">
        <f>_xll.BDH("SRPT US Equity","ARD_PRODUCT_REVENUE","FQ1 2019","FQ1 2019","Currency=USD","Period=FQ","BEST_FPERIOD_OVERRIDE=FQ","FILING_STATUS=MR","SCALING_FORMAT=MLN","Sort=A","Dates=H","DateFormat=P","Fill=—","Direction=H","UseDPDF=Y")</f>
        <v>87.010999999999996</v>
      </c>
      <c r="E9" s="13">
        <f>_xll.BDH("SRPT US Equity","ARD_PRODUCT_REVENUE","FQ2 2019","FQ2 2019","Currency=USD","Period=FQ","BEST_FPERIOD_OVERRIDE=FQ","FILING_STATUS=MR","SCALING_FORMAT=MLN","Sort=A","Dates=H","DateFormat=P","Fill=—","Direction=H","UseDPDF=Y")</f>
        <v>94.668000000000006</v>
      </c>
      <c r="F9" s="13">
        <f>_xll.BDH("SRPT US Equity","ARD_PRODUCT_REVENUE","FQ3 2019","FQ3 2019","Currency=USD","Period=FQ","BEST_FPERIOD_OVERRIDE=FQ","FILING_STATUS=MR","SCALING_FORMAT=MLN","Sort=A","Dates=H","DateFormat=P","Fill=—","Direction=H","UseDPDF=Y")</f>
        <v>99.040999999999997</v>
      </c>
      <c r="G9" s="13">
        <f>_xll.BDH("SRPT US Equity","ARD_PRODUCT_REVENUE","FQ4 2019","FQ4 2019","Currency=USD","Period=FQ","BEST_FPERIOD_OVERRIDE=FQ","FILING_STATUS=MR","SCALING_FORMAT=MLN","Sort=A","Dates=H","DateFormat=P","Fill=—","Direction=H","UseDPDF=Y")</f>
        <v>100.113</v>
      </c>
      <c r="H9" s="13">
        <f>_xll.BDH("SRPT US Equity","ARD_PRODUCT_REVENUE","FQ1 2020","FQ1 2020","Currency=USD","Period=FQ","BEST_FPERIOD_OVERRIDE=FQ","FILING_STATUS=MR","SCALING_FORMAT=MLN","Sort=A","Dates=H","DateFormat=P","Fill=—","Direction=H","UseDPDF=Y")</f>
        <v>100.44799999999999</v>
      </c>
      <c r="I9" s="13">
        <f>_xll.BDH("SRPT US Equity","ARD_PRODUCT_REVENUE","FQ2 2020","FQ2 2020","Currency=USD","Period=FQ","BEST_FPERIOD_OVERRIDE=FQ","FILING_STATUS=MR","SCALING_FORMAT=MLN","Sort=A","Dates=H","DateFormat=P","Fill=—","Direction=H","UseDPDF=Y")</f>
        <v>111.34399999999999</v>
      </c>
      <c r="J9" s="13">
        <f>_xll.BDH("SRPT US Equity","ARD_PRODUCT_REVENUE","FQ3 2020","FQ3 2020","Currency=USD","Period=FQ","BEST_FPERIOD_OVERRIDE=FQ","FILING_STATUS=MR","SCALING_FORMAT=MLN","Sort=A","Dates=H","DateFormat=P","Fill=—","Direction=H","UseDPDF=Y")</f>
        <v>121.429</v>
      </c>
      <c r="K9" s="13">
        <f>_xll.BDH("SRPT US Equity","ARD_PRODUCT_REVENUE","FQ4 2020","FQ4 2020","Currency=USD","Period=FQ","BEST_FPERIOD_OVERRIDE=FQ","FILING_STATUS=MR","SCALING_FORMAT=MLN","Sort=A","Dates=H","DateFormat=P","Fill=—","Direction=H","UseDPDF=Y")</f>
        <v>122.64400000000001</v>
      </c>
      <c r="L9" s="13">
        <f>_xll.BDH("SRPT US Equity","ARD_PRODUCT_REVENUE","FQ1 2021","FQ1 2021","Currency=USD","Period=FQ","BEST_FPERIOD_OVERRIDE=FQ","FILING_STATUS=MR","SCALING_FORMAT=MLN","Sort=A","Dates=H","DateFormat=P","Fill=—","Direction=H","UseDPDF=Y")</f>
        <v>124.926</v>
      </c>
      <c r="M9" s="13">
        <f>_xll.BDH("SRPT US Equity","ARD_PRODUCT_REVENUE","FQ2 2021","FQ2 2021","Currency=USD","Period=FQ","BEST_FPERIOD_OVERRIDE=FQ","FILING_STATUS=MR","SCALING_FORMAT=MLN","Sort=A","Dates=H","DateFormat=P","Fill=—","Direction=H","UseDPDF=Y")</f>
        <v>141.839</v>
      </c>
      <c r="N9" s="13">
        <f>_xll.BDH("SRPT US Equity","ARD_PRODUCT_REVENUE","FQ3 2021","FQ3 2021","Currency=USD","Period=FQ","BEST_FPERIOD_OVERRIDE=FQ","FILING_STATUS=MR","SCALING_FORMAT=MLN","Sort=A","Dates=H","DateFormat=P","Fill=—","Direction=H","UseDPDF=Y")</f>
        <v>166.911</v>
      </c>
      <c r="O9" s="13">
        <f>_xll.BDH("SRPT US Equity","ARD_PRODUCT_REVENUE","FQ4 2021","FQ4 2021","Currency=USD","Period=FQ","BEST_FPERIOD_OVERRIDE=FQ","FILING_STATUS=MR","SCALING_FORMAT=MLN","Sort=A","Dates=H","DateFormat=P","Fill=—","Direction=H","UseDPDF=Y")</f>
        <v>178.72499999999999</v>
      </c>
      <c r="P9" s="13">
        <f>_xll.BDH("SRPT US Equity","ARD_PRODUCT_REVENUE","FQ1 2022","FQ1 2022","Currency=USD","Period=FQ","BEST_FPERIOD_OVERRIDE=FQ","FILING_STATUS=MR","SCALING_FORMAT=MLN","Sort=A","Dates=H","DateFormat=P","Fill=—","Direction=H","UseDPDF=Y")</f>
        <v>188.82499999999999</v>
      </c>
      <c r="Q9" s="13">
        <f>_xll.BDH("SRPT US Equity","ARD_PRODUCT_REVENUE","FQ2 2022","FQ2 2022","Currency=USD","Period=FQ","BEST_FPERIOD_OVERRIDE=FQ","FILING_STATUS=MR","SCALING_FORMAT=MLN","Sort=A","Dates=H","DateFormat=P","Fill=—","Direction=H","UseDPDF=Y")</f>
        <v>211.23699999999999</v>
      </c>
      <c r="R9" s="13">
        <f>_xll.BDH("SRPT US Equity","ARD_PRODUCT_REVENUE","FQ3 2022","FQ3 2022","Currency=USD","Period=FQ","BEST_FPERIOD_OVERRIDE=FQ","FILING_STATUS=MR","SCALING_FORMAT=MLN","Sort=A","Dates=H","DateFormat=P","Fill=—","Direction=H","UseDPDF=Y")</f>
        <v>207.774</v>
      </c>
      <c r="S9" s="13">
        <f>_xll.BDH("SRPT US Equity","ARD_PRODUCT_REVENUE","FQ4 2022","FQ4 2022","Currency=USD","Period=FQ","BEST_FPERIOD_OVERRIDE=FQ","FILING_STATUS=MR","SCALING_FORMAT=MLN","Sort=A","Dates=H","DateFormat=P","Fill=—","Direction=H","UseDPDF=Y")</f>
        <v>235.93299999999999</v>
      </c>
      <c r="T9" s="13">
        <f>_xll.BDH("SRPT US Equity","ARD_PRODUCT_REVENUE","FQ1 2023","FQ1 2023","Currency=USD","Period=FQ","BEST_FPERIOD_OVERRIDE=FQ","FILING_STATUS=MR","SCALING_FORMAT=MLN","Sort=A","Dates=H","DateFormat=P","Fill=—","Direction=H","UseDPDF=Y")</f>
        <v>231.495</v>
      </c>
      <c r="U9" s="13">
        <f>_xll.BDH("SRPT US Equity","ARD_PRODUCT_REVENUE","FQ2 2023","FQ2 2023","Currency=USD","Period=FQ","BEST_FPERIOD_OVERRIDE=FQ","FILING_STATUS=MR","SCALING_FORMAT=MLN","Sort=A","Dates=H","DateFormat=P","Fill=—","Direction=H","UseDPDF=Y")</f>
        <v>238.988</v>
      </c>
      <c r="V9" s="13">
        <f>_xll.BDH("SRPT US Equity","ARD_PRODUCT_REVENUE","FQ3 2023","FQ3 2023","Currency=USD","Period=FQ","BEST_FPERIOD_OVERRIDE=FQ","FILING_STATUS=MR","SCALING_FORMAT=MLN","Sort=A","Dates=H","DateFormat=P","Fill=—","Direction=H","UseDPDF=Y")</f>
        <v>309.322</v>
      </c>
      <c r="W9" s="13">
        <f>_xll.BDH("SRPT US Equity","ARD_PRODUCT_REVENUE","FQ4 2023","FQ4 2023","Currency=USD","Period=FQ","BEST_FPERIOD_OVERRIDE=FQ","FILING_STATUS=MR","SCALING_FORMAT=MLN","Sort=A","Dates=H","DateFormat=P","Fill=—","Direction=H","UseDPDF=Y")</f>
        <v>365.07100000000003</v>
      </c>
      <c r="X9" s="13">
        <f>_xll.BDH("SRPT US Equity","ARD_PRODUCT_REVENUE","FQ1 2024","FQ1 2024","Currency=USD","Period=FQ","BEST_FPERIOD_OVERRIDE=FQ","FILING_STATUS=MR","SCALING_FORMAT=MLN","Sort=A","Dates=H","DateFormat=P","Fill=—","Direction=H","UseDPDF=Y")</f>
        <v>359.48399999999998</v>
      </c>
      <c r="Y9" s="13">
        <f>_xll.BDH("SRPT US Equity","ARD_PRODUCT_REVENUE","FQ2 2024","FQ2 2024","Currency=USD","Period=FQ","BEST_FPERIOD_OVERRIDE=FQ","FILING_STATUS=MR","SCALING_FORMAT=MLN","Sort=A","Dates=H","DateFormat=P","Fill=—","Direction=H","UseDPDF=Y")</f>
        <v>360.548</v>
      </c>
      <c r="Z9" s="13">
        <f>_xll.BDH("SRPT US Equity","ARD_PRODUCT_REVENUE","FQ3 2024","FQ3 2024","Currency=USD","Period=FQ","BEST_FPERIOD_OVERRIDE=FQ","FILING_STATUS=MR","SCALING_FORMAT=MLN","Sort=A","Dates=H","DateFormat=P","Fill=—","Direction=H","UseDPDF=Y")</f>
        <v>429.77100000000002</v>
      </c>
      <c r="AA9" s="13">
        <f>_xll.BDH("SRPT US Equity","ARD_PRODUCT_REVENUE","FQ4 2024","FQ4 2024","Currency=USD","Period=FQ","BEST_FPERIOD_OVERRIDE=FQ","FILING_STATUS=MR","SCALING_FORMAT=MLN","Sort=A","Dates=H","DateFormat=P","Fill=—","Direction=H","UseDPDF=Y")</f>
        <v>638.15700000000004</v>
      </c>
    </row>
    <row r="10" spans="1:27" x14ac:dyDescent="0.25">
      <c r="A10" s="6" t="s">
        <v>1</v>
      </c>
      <c r="B10" s="6" t="s">
        <v>428</v>
      </c>
      <c r="C10" s="19">
        <f>_xll.BDH("SRPT US Equity","ARD_TOTAL_REVENUES","FQ4 2018","FQ4 2018","Currency=USD","Period=FQ","BEST_FPERIOD_OVERRIDE=FQ","FILING_STATUS=MR","SCALING_FORMAT=MLN","Sort=A","Dates=H","DateFormat=P","Fill=—","Direction=H","UseDPDF=Y")</f>
        <v>84.415000000000006</v>
      </c>
      <c r="D10" s="19">
        <f>_xll.BDH("SRPT US Equity","ARD_TOTAL_REVENUES","FQ1 2019","FQ1 2019","Currency=USD","Period=FQ","BEST_FPERIOD_OVERRIDE=FQ","FILING_STATUS=MR","SCALING_FORMAT=MLN","Sort=A","Dates=H","DateFormat=P","Fill=—","Direction=H","UseDPDF=Y")</f>
        <v>87.010999999999996</v>
      </c>
      <c r="E10" s="19">
        <f>_xll.BDH("SRPT US Equity","ARD_TOTAL_REVENUES","FQ2 2019","FQ2 2019","Currency=USD","Period=FQ","BEST_FPERIOD_OVERRIDE=FQ","FILING_STATUS=MR","SCALING_FORMAT=MLN","Sort=A","Dates=H","DateFormat=P","Fill=—","Direction=H","UseDPDF=Y")</f>
        <v>94.668000000000006</v>
      </c>
      <c r="F10" s="19">
        <f>_xll.BDH("SRPT US Equity","ARD_TOTAL_REVENUES","FQ3 2019","FQ3 2019","Currency=USD","Period=FQ","BEST_FPERIOD_OVERRIDE=FQ","FILING_STATUS=MR","SCALING_FORMAT=MLN","Sort=A","Dates=H","DateFormat=P","Fill=—","Direction=H","UseDPDF=Y")</f>
        <v>99.040999999999997</v>
      </c>
      <c r="G10" s="19">
        <f>_xll.BDH("SRPT US Equity","ARD_TOTAL_REVENUES","FQ4 2019","FQ4 2019","Currency=USD","Period=FQ","BEST_FPERIOD_OVERRIDE=FQ","FILING_STATUS=MR","SCALING_FORMAT=MLN","Sort=A","Dates=H","DateFormat=P","Fill=—","Direction=H","UseDPDF=Y")</f>
        <v>100.113</v>
      </c>
      <c r="H10" s="19">
        <f>_xll.BDH("SRPT US Equity","ARD_TOTAL_REVENUES","FQ1 2020","FQ1 2020","Currency=USD","Period=FQ","BEST_FPERIOD_OVERRIDE=FQ","FILING_STATUS=MR","SCALING_FORMAT=MLN","Sort=A","Dates=H","DateFormat=P","Fill=—","Direction=H","UseDPDF=Y")</f>
        <v>113.67400000000001</v>
      </c>
      <c r="I10" s="19">
        <f>_xll.BDH("SRPT US Equity","ARD_TOTAL_REVENUES","FQ2 2020","FQ2 2020","Currency=USD","Period=FQ","BEST_FPERIOD_OVERRIDE=FQ","FILING_STATUS=MR","SCALING_FORMAT=MLN","Sort=A","Dates=H","DateFormat=P","Fill=—","Direction=H","UseDPDF=Y")</f>
        <v>137.363</v>
      </c>
      <c r="J10" s="19">
        <f>_xll.BDH("SRPT US Equity","ARD_TOTAL_REVENUES","FQ3 2020","FQ3 2020","Currency=USD","Period=FQ","BEST_FPERIOD_OVERRIDE=FQ","FILING_STATUS=MR","SCALING_FORMAT=MLN","Sort=A","Dates=H","DateFormat=P","Fill=—","Direction=H","UseDPDF=Y")</f>
        <v>143.92400000000001</v>
      </c>
      <c r="K10" s="19">
        <f>_xll.BDH("SRPT US Equity","ARD_TOTAL_REVENUES","FQ4 2020","FQ4 2020","Currency=USD","Period=FQ","BEST_FPERIOD_OVERRIDE=FQ","FILING_STATUS=MR","SCALING_FORMAT=MLN","Sort=A","Dates=H","DateFormat=P","Fill=—","Direction=H","UseDPDF=Y")</f>
        <v>145.13800000000001</v>
      </c>
      <c r="L10" s="19">
        <f>_xll.BDH("SRPT US Equity","ARD_TOTAL_REVENUES","FQ1 2021","FQ1 2021","Currency=USD","Period=FQ","BEST_FPERIOD_OVERRIDE=FQ","FILING_STATUS=MR","SCALING_FORMAT=MLN","Sort=A","Dates=H","DateFormat=P","Fill=—","Direction=H","UseDPDF=Y")</f>
        <v>146.93100000000001</v>
      </c>
      <c r="M10" s="19">
        <f>_xll.BDH("SRPT US Equity","ARD_TOTAL_REVENUES","FQ2 2021","FQ2 2021","Currency=USD","Period=FQ","BEST_FPERIOD_OVERRIDE=FQ","FILING_STATUS=MR","SCALING_FORMAT=MLN","Sort=A","Dates=H","DateFormat=P","Fill=—","Direction=H","UseDPDF=Y")</f>
        <v>164.089</v>
      </c>
      <c r="N10" s="19">
        <f>_xll.BDH("SRPT US Equity","ARD_TOTAL_REVENUES","FQ3 2021","FQ3 2021","Currency=USD","Period=FQ","BEST_FPERIOD_OVERRIDE=FQ","FILING_STATUS=MR","SCALING_FORMAT=MLN","Sort=A","Dates=H","DateFormat=P","Fill=—","Direction=H","UseDPDF=Y")</f>
        <v>189.40600000000001</v>
      </c>
      <c r="O10" s="19">
        <f>_xll.BDH("SRPT US Equity","ARD_TOTAL_REVENUES","FQ4 2021","FQ4 2021","Currency=USD","Period=FQ","BEST_FPERIOD_OVERRIDE=FQ","FILING_STATUS=MR","SCALING_FORMAT=MLN","Sort=A","Dates=H","DateFormat=P","Fill=—","Direction=H","UseDPDF=Y")</f>
        <v>201.46100000000001</v>
      </c>
      <c r="P10" s="19">
        <f>_xll.BDH("SRPT US Equity","ARD_TOTAL_REVENUES","FQ1 2022","FQ1 2022","Currency=USD","Period=FQ","BEST_FPERIOD_OVERRIDE=FQ","FILING_STATUS=MR","SCALING_FORMAT=MLN","Sort=A","Dates=H","DateFormat=P","Fill=—","Direction=H","UseDPDF=Y")</f>
        <v>210.83</v>
      </c>
      <c r="Q10" s="19">
        <f>_xll.BDH("SRPT US Equity","ARD_TOTAL_REVENUES","FQ2 2022","FQ2 2022","Currency=USD","Period=FQ","BEST_FPERIOD_OVERRIDE=FQ","FILING_STATUS=MR","SCALING_FORMAT=MLN","Sort=A","Dates=H","DateFormat=P","Fill=—","Direction=H","UseDPDF=Y")</f>
        <v>233.48699999999999</v>
      </c>
      <c r="R10" s="19">
        <f>_xll.BDH("SRPT US Equity","ARD_TOTAL_REVENUES","FQ3 2022","FQ3 2022","Currency=USD","Period=FQ","BEST_FPERIOD_OVERRIDE=FQ","FILING_STATUS=MR","SCALING_FORMAT=MLN","Sort=A","Dates=H","DateFormat=P","Fill=—","Direction=H","UseDPDF=Y")</f>
        <v>230.26900000000001</v>
      </c>
      <c r="S10" s="19">
        <f>_xll.BDH("SRPT US Equity","ARD_TOTAL_REVENUES","FQ4 2022","FQ4 2022","Currency=USD","Period=FQ","BEST_FPERIOD_OVERRIDE=FQ","FILING_STATUS=MR","SCALING_FORMAT=MLN","Sort=A","Dates=H","DateFormat=P","Fill=—","Direction=H","UseDPDF=Y")</f>
        <v>258.42700000000002</v>
      </c>
      <c r="T10" s="19">
        <f>_xll.BDH("SRPT US Equity","ARD_TOTAL_REVENUES","FQ1 2023","FQ1 2023","Currency=USD","Period=FQ","BEST_FPERIOD_OVERRIDE=FQ","FILING_STATUS=MR","SCALING_FORMAT=MLN","Sort=A","Dates=H","DateFormat=P","Fill=—","Direction=H","UseDPDF=Y")</f>
        <v>253.5</v>
      </c>
      <c r="U10" s="19">
        <f>_xll.BDH("SRPT US Equity","ARD_TOTAL_REVENUES","FQ2 2023","FQ2 2023","Currency=USD","Period=FQ","BEST_FPERIOD_OVERRIDE=FQ","FILING_STATUS=MR","SCALING_FORMAT=MLN","Sort=A","Dates=H","DateFormat=P","Fill=—","Direction=H","UseDPDF=Y")</f>
        <v>261.238</v>
      </c>
      <c r="V10" s="19">
        <f>_xll.BDH("SRPT US Equity","ARD_TOTAL_REVENUES","FQ3 2023","FQ3 2023","Currency=USD","Period=FQ","BEST_FPERIOD_OVERRIDE=FQ","FILING_STATUS=MR","SCALING_FORMAT=MLN","Sort=A","Dates=H","DateFormat=P","Fill=—","Direction=H","UseDPDF=Y")</f>
        <v>331.81700000000001</v>
      </c>
      <c r="W10" s="19">
        <f>_xll.BDH("SRPT US Equity","ARD_TOTAL_REVENUES","FQ4 2023","FQ4 2023","Currency=USD","Period=FQ","BEST_FPERIOD_OVERRIDE=FQ","FILING_STATUS=MR","SCALING_FORMAT=MLN","Sort=A","Dates=H","DateFormat=P","Fill=—","Direction=H","UseDPDF=Y")</f>
        <v>396.78100000000001</v>
      </c>
      <c r="X10" s="19">
        <f>_xll.BDH("SRPT US Equity","ARD_TOTAL_REVENUES","FQ1 2024","FQ1 2024","Currency=USD","Period=FQ","BEST_FPERIOD_OVERRIDE=FQ","FILING_STATUS=MR","SCALING_FORMAT=MLN","Sort=A","Dates=H","DateFormat=P","Fill=—","Direction=H","UseDPDF=Y")</f>
        <v>413.464</v>
      </c>
      <c r="Y10" s="19">
        <f>_xll.BDH("SRPT US Equity","ARD_TOTAL_REVENUES","FQ2 2024","FQ2 2024","Currency=USD","Period=FQ","BEST_FPERIOD_OVERRIDE=FQ","FILING_STATUS=MR","SCALING_FORMAT=MLN","Sort=A","Dates=H","DateFormat=P","Fill=—","Direction=H","UseDPDF=Y")</f>
        <v>362.93099999999998</v>
      </c>
      <c r="Z10" s="19">
        <f>_xll.BDH("SRPT US Equity","ARD_TOTAL_REVENUES","FQ3 2024","FQ3 2024","Currency=USD","Period=FQ","BEST_FPERIOD_OVERRIDE=FQ","FILING_STATUS=MR","SCALING_FORMAT=MLN","Sort=A","Dates=H","DateFormat=P","Fill=—","Direction=H","UseDPDF=Y")</f>
        <v>467.17200000000003</v>
      </c>
      <c r="AA10" s="19">
        <f>_xll.BDH("SRPT US Equity","ARD_TOTAL_REVENUES","FQ4 2024","FQ4 2024","Currency=USD","Period=FQ","BEST_FPERIOD_OVERRIDE=FQ","FILING_STATUS=MR","SCALING_FORMAT=MLN","Sort=A","Dates=H","DateFormat=P","Fill=—","Direction=H","UseDPDF=Y")</f>
        <v>658.41200000000003</v>
      </c>
    </row>
    <row r="11" spans="1:27" x14ac:dyDescent="0.25">
      <c r="A11" s="10" t="s">
        <v>429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10" t="s">
        <v>430</v>
      </c>
      <c r="B12" s="10" t="s">
        <v>431</v>
      </c>
      <c r="C12" s="13">
        <f>_xll.BDH("SRPT US Equity","ARD_TOTAL_OPERATING_EXPENSES","FQ4 2018","FQ4 2018","Currency=USD","Period=FQ","BEST_FPERIOD_OVERRIDE=FQ","FILING_STATUS=MR","SCALING_FORMAT=MLN","Sort=A","Dates=H","DateFormat=P","Fill=—","Direction=H","UseDPDF=Y")</f>
        <v>223.77799999999999</v>
      </c>
      <c r="D12" s="13">
        <f>_xll.BDH("SRPT US Equity","ARD_TOTAL_OPERATING_EXPENSES","FQ1 2019","FQ1 2019","Currency=USD","Period=FQ","BEST_FPERIOD_OVERRIDE=FQ","FILING_STATUS=MR","SCALING_FORMAT=MLN","Sort=A","Dates=H","DateFormat=P","Fill=—","Direction=H","UseDPDF=Y")</f>
        <v>163.398</v>
      </c>
      <c r="E12" s="13">
        <f>_xll.BDH("SRPT US Equity","ARD_TOTAL_OPERATING_EXPENSES","FQ2 2019","FQ2 2019","Currency=USD","Period=FQ","BEST_FPERIOD_OVERRIDE=FQ","FILING_STATUS=MR","SCALING_FORMAT=MLN","Sort=A","Dates=H","DateFormat=P","Fill=—","Direction=H","UseDPDF=Y")</f>
        <v>370.03500000000003</v>
      </c>
      <c r="F12" s="13">
        <f>_xll.BDH("SRPT US Equity","ARD_TOTAL_OPERATING_EXPENSES","FQ3 2019","FQ3 2019","Currency=USD","Period=FQ","BEST_FPERIOD_OVERRIDE=FQ","FILING_STATUS=MR","SCALING_FORMAT=MLN","Sort=A","Dates=H","DateFormat=P","Fill=—","Direction=H","UseDPDF=Y")</f>
        <v>222.631</v>
      </c>
      <c r="G12" s="13">
        <f>_xll.BDH("SRPT US Equity","ARD_TOTAL_OPERATING_EXPENSES","FQ4 2019","FQ4 2019","Currency=USD","Period=FQ","BEST_FPERIOD_OVERRIDE=FQ","FILING_STATUS=MR","SCALING_FORMAT=MLN","Sort=A","Dates=H","DateFormat=P","Fill=—","Direction=H","UseDPDF=Y")</f>
        <v>330.33199999999999</v>
      </c>
      <c r="H12" s="13">
        <f>_xll.BDH("SRPT US Equity","ARD_TOTAL_OPERATING_EXPENSES","FQ1 2020","FQ1 2020","Currency=USD","Period=FQ","BEST_FPERIOD_OVERRIDE=FQ","FILING_STATUS=MR","SCALING_FORMAT=MLN","Sort=A","Dates=H","DateFormat=P","Fill=—","Direction=H","UseDPDF=Y")</f>
        <v>231.7</v>
      </c>
      <c r="I12" s="13">
        <f>_xll.BDH("SRPT US Equity","ARD_TOTAL_OPERATING_EXPENSES","FQ2 2020","FQ2 2020","Currency=USD","Period=FQ","BEST_FPERIOD_OVERRIDE=FQ","FILING_STATUS=MR","SCALING_FORMAT=MLN","Sort=A","Dates=H","DateFormat=P","Fill=—","Direction=H","UseDPDF=Y")</f>
        <v>275.71600000000001</v>
      </c>
      <c r="J12" s="13">
        <f>_xll.BDH("SRPT US Equity","ARD_TOTAL_OPERATING_EXPENSES","FQ3 2020","FQ3 2020","Currency=USD","Period=FQ","BEST_FPERIOD_OVERRIDE=FQ","FILING_STATUS=MR","SCALING_FORMAT=MLN","Sort=A","Dates=H","DateFormat=P","Fill=—","Direction=H","UseDPDF=Y")</f>
        <v>280.99200000000002</v>
      </c>
      <c r="K12" s="13">
        <f>_xll.BDH("SRPT US Equity","ARD_TOTAL_OPERATING_EXPENSES","FQ4 2020","FQ4 2020","Currency=USD","Period=FQ","BEST_FPERIOD_OVERRIDE=FQ","FILING_STATUS=MR","SCALING_FORMAT=MLN","Sort=A","Dates=H","DateFormat=P","Fill=—","Direction=H","UseDPDF=Y")</f>
        <v>315.85399999999998</v>
      </c>
      <c r="L12" s="13">
        <f>_xll.BDH("SRPT US Equity","ARD_TOTAL_OPERATING_EXPENSES","FQ1 2021","FQ1 2021","Currency=USD","Period=FQ","BEST_FPERIOD_OVERRIDE=FQ","FILING_STATUS=MR","SCALING_FORMAT=MLN","Sort=A","Dates=H","DateFormat=P","Fill=—","Direction=H","UseDPDF=Y")</f>
        <v>298.79599999999999</v>
      </c>
      <c r="M12" s="13">
        <f>_xll.BDH("SRPT US Equity","ARD_TOTAL_OPERATING_EXPENSES","FQ2 2021","FQ2 2021","Currency=USD","Period=FQ","BEST_FPERIOD_OVERRIDE=FQ","FILING_STATUS=MR","SCALING_FORMAT=MLN","Sort=A","Dates=H","DateFormat=P","Fill=—","Direction=H","UseDPDF=Y")</f>
        <v>331.66300000000001</v>
      </c>
      <c r="N12" s="13">
        <f>_xll.BDH("SRPT US Equity","ARD_TOTAL_OPERATING_EXPENSES","FQ3 2021","FQ3 2021","Currency=USD","Period=FQ","BEST_FPERIOD_OVERRIDE=FQ","FILING_STATUS=MR","SCALING_FORMAT=MLN","Sort=A","Dates=H","DateFormat=P","Fill=—","Direction=H","UseDPDF=Y")</f>
        <v>223.864</v>
      </c>
      <c r="O12" s="13">
        <f>_xll.BDH("SRPT US Equity","ARD_TOTAL_OPERATING_EXPENSES","FQ4 2021","FQ4 2021","Currency=USD","Period=FQ","BEST_FPERIOD_OVERRIDE=FQ","FILING_STATUS=MR","SCALING_FORMAT=MLN","Sort=A","Dates=H","DateFormat=P","Fill=—","Direction=H","UseDPDF=Y")</f>
        <v>307.274</v>
      </c>
      <c r="P12" s="13">
        <f>_xll.BDH("SRPT US Equity","ARD_TOTAL_OPERATING_EXPENSES","FQ1 2022","FQ1 2022","Currency=USD","Period=FQ","BEST_FPERIOD_OVERRIDE=FQ","FILING_STATUS=MR","SCALING_FORMAT=MLN","Sort=A","Dates=H","DateFormat=P","Fill=—","Direction=H","UseDPDF=Y")</f>
        <v>297.71100000000001</v>
      </c>
      <c r="Q12" s="13">
        <f>_xll.BDH("SRPT US Equity","ARD_TOTAL_OPERATING_EXPENSES","FQ2 2022","FQ2 2022","Currency=USD","Period=FQ","BEST_FPERIOD_OVERRIDE=FQ","FILING_STATUS=MR","SCALING_FORMAT=MLN","Sort=A","Dates=H","DateFormat=P","Fill=—","Direction=H","UseDPDF=Y")</f>
        <v>444.61900000000003</v>
      </c>
      <c r="R12" s="13">
        <f>_xll.BDH("SRPT US Equity","ARD_TOTAL_OPERATING_EXPENSES","FQ3 2022","FQ3 2022","Currency=USD","Period=FQ","BEST_FPERIOD_OVERRIDE=FQ","FILING_STATUS=MR","SCALING_FORMAT=MLN","Sort=A","Dates=H","DateFormat=P","Fill=—","Direction=H","UseDPDF=Y")</f>
        <v>361.62400000000002</v>
      </c>
      <c r="S12" s="13">
        <f>_xll.BDH("SRPT US Equity","ARD_TOTAL_OPERATING_EXPENSES","FQ4 2022","FQ4 2022","Currency=USD","Period=FQ","BEST_FPERIOD_OVERRIDE=FQ","FILING_STATUS=MR","SCALING_FORMAT=MLN","Sort=A","Dates=H","DateFormat=P","Fill=—","Direction=H","UseDPDF=Y")</f>
        <v>365.26</v>
      </c>
      <c r="T12" s="13">
        <f>_xll.BDH("SRPT US Equity","ARD_TOTAL_OPERATING_EXPENSES","FQ1 2023","FQ1 2023","Currency=USD","Period=FQ","BEST_FPERIOD_OVERRIDE=FQ","FILING_STATUS=MR","SCALING_FORMAT=MLN","Sort=A","Dates=H","DateFormat=P","Fill=—","Direction=H","UseDPDF=Y")</f>
        <v>391.58800000000002</v>
      </c>
      <c r="U12" s="13">
        <f>_xll.BDH("SRPT US Equity","ARD_TOTAL_OPERATING_EXPENSES","FQ2 2023","FQ2 2023","Currency=USD","Period=FQ","BEST_FPERIOD_OVERRIDE=FQ","FILING_STATUS=MR","SCALING_FORMAT=MLN","Sort=A","Dates=H","DateFormat=P","Fill=—","Direction=H","UseDPDF=Y")</f>
        <v>394.75700000000001</v>
      </c>
      <c r="V12" s="13">
        <f>_xll.BDH("SRPT US Equity","ARD_TOTAL_OPERATING_EXPENSES","FQ3 2023","FQ3 2023","Currency=USD","Period=FQ","BEST_FPERIOD_OVERRIDE=FQ","FILING_STATUS=MR","SCALING_FORMAT=MLN","Sort=A","Dates=H","DateFormat=P","Fill=—","Direction=H","UseDPDF=Y")</f>
        <v>352.65899999999999</v>
      </c>
      <c r="W12" s="13">
        <f>_xll.BDH("SRPT US Equity","ARD_TOTAL_OPERATING_EXPENSES","FQ4 2023","FQ4 2023","Currency=USD","Period=FQ","BEST_FPERIOD_OVERRIDE=FQ","FILING_STATUS=MR","SCALING_FORMAT=MLN","Sort=A","Dates=H","DateFormat=P","Fill=—","Direction=H","UseDPDF=Y")</f>
        <v>372.15600000000001</v>
      </c>
      <c r="X12" s="13">
        <f>_xll.BDH("SRPT US Equity","ARD_TOTAL_OPERATING_EXPENSES","FQ1 2024","FQ1 2024","Currency=USD","Period=FQ","BEST_FPERIOD_OVERRIDE=FQ","FILING_STATUS=MR","SCALING_FORMAT=MLN","Sort=A","Dates=H","DateFormat=P","Fill=—","Direction=H","UseDPDF=Y")</f>
        <v>378.55900000000003</v>
      </c>
      <c r="Y12" s="13">
        <f>_xll.BDH("SRPT US Equity","ARD_TOTAL_OPERATING_EXPENSES","FQ2 2024","FQ2 2024","Currency=USD","Period=FQ","BEST_FPERIOD_OVERRIDE=FQ","FILING_STATUS=MR","SCALING_FORMAT=MLN","Sort=A","Dates=H","DateFormat=P","Fill=—","Direction=H","UseDPDF=Y")</f>
        <v>363.63200000000001</v>
      </c>
      <c r="Z12" s="13">
        <f>_xll.BDH("SRPT US Equity","ARD_TOTAL_OPERATING_EXPENSES","FQ3 2024","FQ3 2024","Currency=USD","Period=FQ","BEST_FPERIOD_OVERRIDE=FQ","FILING_STATUS=MR","SCALING_FORMAT=MLN","Sort=A","Dates=H","DateFormat=P","Fill=—","Direction=H","UseDPDF=Y")</f>
        <v>444.976</v>
      </c>
      <c r="AA12" s="13">
        <f>_xll.BDH("SRPT US Equity","ARD_TOTAL_OPERATING_EXPENSES","FQ4 2024","FQ4 2024","Currency=USD","Period=FQ","BEST_FPERIOD_OVERRIDE=FQ","FILING_STATUS=MR","SCALING_FORMAT=MLN","Sort=A","Dates=H","DateFormat=P","Fill=—","Direction=H","UseDPDF=Y")</f>
        <v>496.73099999999999</v>
      </c>
    </row>
    <row r="13" spans="1:27" x14ac:dyDescent="0.25">
      <c r="A13" s="10" t="s">
        <v>432</v>
      </c>
      <c r="B13" s="10" t="s">
        <v>433</v>
      </c>
      <c r="C13" s="13">
        <f>_xll.BDH("SRPT US Equity","ARD_COST_OF_GOODS_SOLD","FQ4 2018","FQ4 2018","Currency=USD","Period=FQ","BEST_FPERIOD_OVERRIDE=FQ","FILING_STATUS=MR","SCALING_FORMAT=MLN","Sort=A","Dates=H","DateFormat=P","Fill=—","Direction=H","UseDPDF=Y")</f>
        <v>13.135</v>
      </c>
      <c r="D13" s="13">
        <f>_xll.BDH("SRPT US Equity","ARD_COST_OF_GOODS_SOLD","FQ1 2019","FQ1 2019","Currency=USD","Period=FQ","BEST_FPERIOD_OVERRIDE=FQ","FILING_STATUS=MR","SCALING_FORMAT=MLN","Sort=A","Dates=H","DateFormat=P","Fill=—","Direction=H","UseDPDF=Y")</f>
        <v>12.063000000000001</v>
      </c>
      <c r="E13" s="13">
        <f>_xll.BDH("SRPT US Equity","ARD_COST_OF_GOODS_SOLD","FQ2 2019","FQ2 2019","Currency=USD","Period=FQ","BEST_FPERIOD_OVERRIDE=FQ","FILING_STATUS=MR","SCALING_FORMAT=MLN","Sort=A","Dates=H","DateFormat=P","Fill=—","Direction=H","UseDPDF=Y")</f>
        <v>15.919</v>
      </c>
      <c r="F13" s="13">
        <f>_xll.BDH("SRPT US Equity","ARD_COST_OF_GOODS_SOLD","FQ3 2019","FQ3 2019","Currency=USD","Period=FQ","BEST_FPERIOD_OVERRIDE=FQ","FILING_STATUS=MR","SCALING_FORMAT=MLN","Sort=A","Dates=H","DateFormat=P","Fill=—","Direction=H","UseDPDF=Y")</f>
        <v>13.037000000000001</v>
      </c>
      <c r="G13" s="13">
        <f>_xll.BDH("SRPT US Equity","ARD_COST_OF_GOODS_SOLD","FQ4 2019","FQ4 2019","Currency=USD","Period=FQ","BEST_FPERIOD_OVERRIDE=FQ","FILING_STATUS=MR","SCALING_FORMAT=MLN","Sort=A","Dates=H","DateFormat=P","Fill=—","Direction=H","UseDPDF=Y")</f>
        <v>15.567</v>
      </c>
      <c r="H13" s="13">
        <f>_xll.BDH("SRPT US Equity","ARD_COST_OF_GOODS_SOLD","FQ1 2020","FQ1 2020","Currency=USD","Period=FQ","BEST_FPERIOD_OVERRIDE=FQ","FILING_STATUS=MR","SCALING_FORMAT=MLN","Sort=A","Dates=H","DateFormat=P","Fill=—","Direction=H","UseDPDF=Y")</f>
        <v>12.622</v>
      </c>
      <c r="I13" s="13">
        <f>_xll.BDH("SRPT US Equity","ARD_COST_OF_GOODS_SOLD","FQ2 2020","FQ2 2020","Currency=USD","Period=FQ","BEST_FPERIOD_OVERRIDE=FQ","FILING_STATUS=MR","SCALING_FORMAT=MLN","Sort=A","Dates=H","DateFormat=P","Fill=—","Direction=H","UseDPDF=Y")</f>
        <v>13.340999999999999</v>
      </c>
      <c r="J13" s="13">
        <f>_xll.BDH("SRPT US Equity","ARD_COST_OF_GOODS_SOLD","FQ3 2020","FQ3 2020","Currency=USD","Period=FQ","BEST_FPERIOD_OVERRIDE=FQ","FILING_STATUS=MR","SCALING_FORMAT=MLN","Sort=A","Dates=H","DateFormat=P","Fill=—","Direction=H","UseDPDF=Y")</f>
        <v>15.015000000000001</v>
      </c>
      <c r="K13" s="13">
        <f>_xll.BDH("SRPT US Equity","ARD_COST_OF_GOODS_SOLD","FQ4 2020","FQ4 2020","Currency=USD","Period=FQ","BEST_FPERIOD_OVERRIDE=FQ","FILING_STATUS=MR","SCALING_FORMAT=MLN","Sort=A","Dates=H","DateFormat=P","Fill=—","Direction=H","UseDPDF=Y")</f>
        <v>22.404</v>
      </c>
      <c r="L13" s="13">
        <f>_xll.BDH("SRPT US Equity","ARD_COST_OF_GOODS_SOLD","FQ1 2021","FQ1 2021","Currency=USD","Period=FQ","BEST_FPERIOD_OVERRIDE=FQ","FILING_STATUS=MR","SCALING_FORMAT=MLN","Sort=A","Dates=H","DateFormat=P","Fill=—","Direction=H","UseDPDF=Y")</f>
        <v>22.346</v>
      </c>
      <c r="M13" s="13">
        <f>_xll.BDH("SRPT US Equity","ARD_COST_OF_GOODS_SOLD","FQ2 2021","FQ2 2021","Currency=USD","Period=FQ","BEST_FPERIOD_OVERRIDE=FQ","FILING_STATUS=MR","SCALING_FORMAT=MLN","Sort=A","Dates=H","DateFormat=P","Fill=—","Direction=H","UseDPDF=Y")</f>
        <v>19.515000000000001</v>
      </c>
      <c r="N13" s="13">
        <f>_xll.BDH("SRPT US Equity","ARD_COST_OF_GOODS_SOLD","FQ3 2021","FQ3 2021","Currency=USD","Period=FQ","BEST_FPERIOD_OVERRIDE=FQ","FILING_STATUS=MR","SCALING_FORMAT=MLN","Sort=A","Dates=H","DateFormat=P","Fill=—","Direction=H","UseDPDF=Y")</f>
        <v>23.443999999999999</v>
      </c>
      <c r="O13" s="13">
        <f>_xll.BDH("SRPT US Equity","ARD_COST_OF_GOODS_SOLD","FQ4 2021","FQ4 2021","Currency=USD","Period=FQ","BEST_FPERIOD_OVERRIDE=FQ","FILING_STATUS=MR","SCALING_FORMAT=MLN","Sort=A","Dates=H","DateFormat=P","Fill=—","Direction=H","UseDPDF=Y")</f>
        <v>31.744</v>
      </c>
      <c r="P13" s="13">
        <f>_xll.BDH("SRPT US Equity","ARD_COST_OF_GOODS_SOLD","FQ1 2022","FQ1 2022","Currency=USD","Period=FQ","BEST_FPERIOD_OVERRIDE=FQ","FILING_STATUS=MR","SCALING_FORMAT=MLN","Sort=A","Dates=H","DateFormat=P","Fill=—","Direction=H","UseDPDF=Y")</f>
        <v>31.443000000000001</v>
      </c>
      <c r="Q13" s="13">
        <f>_xll.BDH("SRPT US Equity","ARD_COST_OF_GOODS_SOLD","FQ2 2022","FQ2 2022","Currency=USD","Period=FQ","BEST_FPERIOD_OVERRIDE=FQ","FILING_STATUS=MR","SCALING_FORMAT=MLN","Sort=A","Dates=H","DateFormat=P","Fill=—","Direction=H","UseDPDF=Y")</f>
        <v>37.795000000000002</v>
      </c>
      <c r="R13" s="13">
        <f>_xll.BDH("SRPT US Equity","ARD_COST_OF_GOODS_SOLD","FQ3 2022","FQ3 2022","Currency=USD","Period=FQ","BEST_FPERIOD_OVERRIDE=FQ","FILING_STATUS=MR","SCALING_FORMAT=MLN","Sort=A","Dates=H","DateFormat=P","Fill=—","Direction=H","UseDPDF=Y")</f>
        <v>39.951999999999998</v>
      </c>
      <c r="S13" s="13">
        <f>_xll.BDH("SRPT US Equity","ARD_COST_OF_GOODS_SOLD","FQ4 2022","FQ4 2022","Currency=USD","Period=FQ","BEST_FPERIOD_OVERRIDE=FQ","FILING_STATUS=MR","SCALING_FORMAT=MLN","Sort=A","Dates=H","DateFormat=P","Fill=—","Direction=H","UseDPDF=Y")</f>
        <v>30.798999999999999</v>
      </c>
      <c r="T13" s="13">
        <f>_xll.BDH("SRPT US Equity","ARD_COST_OF_GOODS_SOLD","FQ1 2023","FQ1 2023","Currency=USD","Period=FQ","BEST_FPERIOD_OVERRIDE=FQ","FILING_STATUS=MR","SCALING_FORMAT=MLN","Sort=A","Dates=H","DateFormat=P","Fill=—","Direction=H","UseDPDF=Y")</f>
        <v>35.017000000000003</v>
      </c>
      <c r="U13" s="13">
        <f>_xll.BDH("SRPT US Equity","ARD_COST_OF_GOODS_SOLD","FQ2 2023","FQ2 2023","Currency=USD","Period=FQ","BEST_FPERIOD_OVERRIDE=FQ","FILING_STATUS=MR","SCALING_FORMAT=MLN","Sort=A","Dates=H","DateFormat=P","Fill=—","Direction=H","UseDPDF=Y")</f>
        <v>34.124000000000002</v>
      </c>
      <c r="V13" s="13">
        <f>_xll.BDH("SRPT US Equity","ARD_COST_OF_GOODS_SOLD","FQ3 2023","FQ3 2023","Currency=USD","Period=FQ","BEST_FPERIOD_OVERRIDE=FQ","FILING_STATUS=MR","SCALING_FORMAT=MLN","Sort=A","Dates=H","DateFormat=P","Fill=—","Direction=H","UseDPDF=Y")</f>
        <v>37.026000000000003</v>
      </c>
      <c r="W13" s="13">
        <f>_xll.BDH("SRPT US Equity","ARD_COST_OF_GOODS_SOLD","FQ4 2023","FQ4 2023","Currency=USD","Period=FQ","BEST_FPERIOD_OVERRIDE=FQ","FILING_STATUS=MR","SCALING_FORMAT=MLN","Sort=A","Dates=H","DateFormat=P","Fill=—","Direction=H","UseDPDF=Y")</f>
        <v>44.176000000000002</v>
      </c>
      <c r="X13" s="13">
        <f>_xll.BDH("SRPT US Equity","ARD_COST_OF_GOODS_SOLD","FQ1 2024","FQ1 2024","Currency=USD","Period=FQ","BEST_FPERIOD_OVERRIDE=FQ","FILING_STATUS=MR","SCALING_FORMAT=MLN","Sort=A","Dates=H","DateFormat=P","Fill=—","Direction=H","UseDPDF=Y")</f>
        <v>50.558999999999997</v>
      </c>
      <c r="Y13" s="13">
        <f>_xll.BDH("SRPT US Equity","ARD_COST_OF_GOODS_SOLD","FQ2 2024","FQ2 2024","Currency=USD","Period=FQ","BEST_FPERIOD_OVERRIDE=FQ","FILING_STATUS=MR","SCALING_FORMAT=MLN","Sort=A","Dates=H","DateFormat=P","Fill=—","Direction=H","UseDPDF=Y")</f>
        <v>44.545000000000002</v>
      </c>
      <c r="Z13" s="13">
        <f>_xll.BDH("SRPT US Equity","ARD_COST_OF_GOODS_SOLD","FQ3 2024","FQ3 2024","Currency=USD","Period=FQ","BEST_FPERIOD_OVERRIDE=FQ","FILING_STATUS=MR","SCALING_FORMAT=MLN","Sort=A","Dates=H","DateFormat=P","Fill=—","Direction=H","UseDPDF=Y")</f>
        <v>91.691000000000003</v>
      </c>
      <c r="AA13" s="13">
        <f>_xll.BDH("SRPT US Equity","ARD_COST_OF_GOODS_SOLD","FQ4 2024","FQ4 2024","Currency=USD","Period=FQ","BEST_FPERIOD_OVERRIDE=FQ","FILING_STATUS=MR","SCALING_FORMAT=MLN","Sort=A","Dates=H","DateFormat=P","Fill=—","Direction=H","UseDPDF=Y")</f>
        <v>132.304</v>
      </c>
    </row>
    <row r="14" spans="1:27" x14ac:dyDescent="0.25">
      <c r="A14" s="10" t="s">
        <v>434</v>
      </c>
      <c r="B14" s="10" t="s">
        <v>435</v>
      </c>
      <c r="C14" s="13">
        <f>_xll.BDH("SRPT US Equity","ARD_R&amp;D_EXPENDITURES","FQ4 2018","FQ4 2018","Currency=USD","Period=FQ","BEST_FPERIOD_OVERRIDE=FQ","FILING_STATUS=MR","SCALING_FORMAT=MLN","Sort=A","Dates=H","DateFormat=P","Fill=—","Direction=H","UseDPDF=Y")</f>
        <v>146.20699999999999</v>
      </c>
      <c r="D14" s="13">
        <f>_xll.BDH("SRPT US Equity","ARD_R&amp;D_EXPENDITURES","FQ1 2019","FQ1 2019","Currency=USD","Period=FQ","BEST_FPERIOD_OVERRIDE=FQ","FILING_STATUS=MR","SCALING_FORMAT=MLN","Sort=A","Dates=H","DateFormat=P","Fill=—","Direction=H","UseDPDF=Y")</f>
        <v>90.552999999999997</v>
      </c>
      <c r="E14" s="13">
        <f>_xll.BDH("SRPT US Equity","ARD_R&amp;D_EXPENDITURES","FQ2 2019","FQ2 2019","Currency=USD","Period=FQ","BEST_FPERIOD_OVERRIDE=FQ","FILING_STATUS=MR","SCALING_FORMAT=MLN","Sort=A","Dates=H","DateFormat=P","Fill=—","Direction=H","UseDPDF=Y")</f>
        <v>113.26600000000001</v>
      </c>
      <c r="F14" s="13">
        <f>_xll.BDH("SRPT US Equity","ARD_R&amp;D_EXPENDITURES","FQ3 2019","FQ3 2019","Currency=USD","Period=FQ","BEST_FPERIOD_OVERRIDE=FQ","FILING_STATUS=MR","SCALING_FORMAT=MLN","Sort=A","Dates=H","DateFormat=P","Fill=—","Direction=H","UseDPDF=Y")</f>
        <v>133.94900000000001</v>
      </c>
      <c r="G14" s="13">
        <f>_xll.BDH("SRPT US Equity","ARD_R&amp;D_EXPENDITURES","FQ4 2019","FQ4 2019","Currency=USD","Period=FQ","BEST_FPERIOD_OVERRIDE=FQ","FILING_STATUS=MR","SCALING_FORMAT=MLN","Sort=A","Dates=H","DateFormat=P","Fill=—","Direction=H","UseDPDF=Y")</f>
        <v>223.14099999999999</v>
      </c>
      <c r="H14" s="13">
        <f>_xll.BDH("SRPT US Equity","ARD_R&amp;D_EXPENDITURES","FQ1 2020","FQ1 2020","Currency=USD","Period=FQ","BEST_FPERIOD_OVERRIDE=FQ","FILING_STATUS=MR","SCALING_FORMAT=MLN","Sort=A","Dates=H","DateFormat=P","Fill=—","Direction=H","UseDPDF=Y")</f>
        <v>136.14400000000001</v>
      </c>
      <c r="I14" s="13">
        <f>_xll.BDH("SRPT US Equity","ARD_R&amp;D_EXPENDITURES","FQ2 2020","FQ2 2020","Currency=USD","Period=FQ","BEST_FPERIOD_OVERRIDE=FQ","FILING_STATUS=MR","SCALING_FORMAT=MLN","Sort=A","Dates=H","DateFormat=P","Fill=—","Direction=H","UseDPDF=Y")</f>
        <v>188.52199999999999</v>
      </c>
      <c r="J14" s="13">
        <f>_xll.BDH("SRPT US Equity","ARD_R&amp;D_EXPENDITURES","FQ3 2020","FQ3 2020","Currency=USD","Period=FQ","BEST_FPERIOD_OVERRIDE=FQ","FILING_STATUS=MR","SCALING_FORMAT=MLN","Sort=A","Dates=H","DateFormat=P","Fill=—","Direction=H","UseDPDF=Y")</f>
        <v>190.43799999999999</v>
      </c>
      <c r="K14" s="13">
        <f>_xll.BDH("SRPT US Equity","ARD_R&amp;D_EXPENDITURES","FQ4 2020","FQ4 2020","Currency=USD","Period=FQ","BEST_FPERIOD_OVERRIDE=FQ","FILING_STATUS=MR","SCALING_FORMAT=MLN","Sort=A","Dates=H","DateFormat=P","Fill=—","Direction=H","UseDPDF=Y")</f>
        <v>207.239</v>
      </c>
      <c r="L14" s="13">
        <f>_xll.BDH("SRPT US Equity","ARD_R&amp;D_EXPENDITURES","FQ1 2021","FQ1 2021","Currency=USD","Period=FQ","BEST_FPERIOD_OVERRIDE=FQ","FILING_STATUS=MR","SCALING_FORMAT=MLN","Sort=A","Dates=H","DateFormat=P","Fill=—","Direction=H","UseDPDF=Y")</f>
        <v>195.149</v>
      </c>
      <c r="M14" s="13">
        <f>_xll.BDH("SRPT US Equity","ARD_R&amp;D_EXPENDITURES","FQ2 2021","FQ2 2021","Currency=USD","Period=FQ","BEST_FPERIOD_OVERRIDE=FQ","FILING_STATUS=MR","SCALING_FORMAT=MLN","Sort=A","Dates=H","DateFormat=P","Fill=—","Direction=H","UseDPDF=Y")</f>
        <v>239.62200000000001</v>
      </c>
      <c r="N14" s="13">
        <f>_xll.BDH("SRPT US Equity","ARD_R&amp;D_EXPENDITURES","FQ3 2021","FQ3 2021","Currency=USD","Period=FQ","BEST_FPERIOD_OVERRIDE=FQ","FILING_STATUS=MR","SCALING_FORMAT=MLN","Sort=A","Dates=H","DateFormat=P","Fill=—","Direction=H","UseDPDF=Y")</f>
        <v>139.11500000000001</v>
      </c>
      <c r="O14" s="13">
        <f>_xll.BDH("SRPT US Equity","ARD_R&amp;D_EXPENDITURES","FQ4 2021","FQ4 2021","Currency=USD","Period=FQ","BEST_FPERIOD_OVERRIDE=FQ","FILING_STATUS=MR","SCALING_FORMAT=MLN","Sort=A","Dates=H","DateFormat=P","Fill=—","Direction=H","UseDPDF=Y")</f>
        <v>197.29599999999999</v>
      </c>
      <c r="P14" s="13">
        <f>_xll.BDH("SRPT US Equity","ARD_R&amp;D_EXPENDITURES","FQ1 2022","FQ1 2022","Currency=USD","Period=FQ","BEST_FPERIOD_OVERRIDE=FQ","FILING_STATUS=MR","SCALING_FORMAT=MLN","Sort=A","Dates=H","DateFormat=P","Fill=—","Direction=H","UseDPDF=Y")</f>
        <v>194.25</v>
      </c>
      <c r="Q14" s="13">
        <f>_xll.BDH("SRPT US Equity","ARD_R&amp;D_EXPENDITURES","FQ2 2022","FQ2 2022","Currency=USD","Period=FQ","BEST_FPERIOD_OVERRIDE=FQ","FILING_STATUS=MR","SCALING_FORMAT=MLN","Sort=A","Dates=H","DateFormat=P","Fill=—","Direction=H","UseDPDF=Y")</f>
        <v>252.32900000000001</v>
      </c>
      <c r="R14" s="13">
        <f>_xll.BDH("SRPT US Equity","ARD_R&amp;D_EXPENDITURES","FQ3 2022","FQ3 2022","Currency=USD","Period=FQ","BEST_FPERIOD_OVERRIDE=FQ","FILING_STATUS=MR","SCALING_FORMAT=MLN","Sort=A","Dates=H","DateFormat=P","Fill=—","Direction=H","UseDPDF=Y")</f>
        <v>216.70699999999999</v>
      </c>
      <c r="S14" s="13">
        <f>_xll.BDH("SRPT US Equity","ARD_R&amp;D_EXPENDITURES","FQ4 2022","FQ4 2022","Currency=USD","Period=FQ","BEST_FPERIOD_OVERRIDE=FQ","FILING_STATUS=MR","SCALING_FORMAT=MLN","Sort=A","Dates=H","DateFormat=P","Fill=—","Direction=H","UseDPDF=Y")</f>
        <v>213.804</v>
      </c>
      <c r="T14" s="13">
        <f>_xll.BDH("SRPT US Equity","ARD_R&amp;D_EXPENDITURES","FQ1 2023","FQ1 2023","Currency=USD","Period=FQ","BEST_FPERIOD_OVERRIDE=FQ","FILING_STATUS=MR","SCALING_FORMAT=MLN","Sort=A","Dates=H","DateFormat=P","Fill=—","Direction=H","UseDPDF=Y")</f>
        <v>245.679</v>
      </c>
      <c r="U14" s="13">
        <f>_xll.BDH("SRPT US Equity","ARD_R&amp;D_EXPENDITURES","FQ2 2023","FQ2 2023","Currency=USD","Period=FQ","BEST_FPERIOD_OVERRIDE=FQ","FILING_STATUS=MR","SCALING_FORMAT=MLN","Sort=A","Dates=H","DateFormat=P","Fill=—","Direction=H","UseDPDF=Y")</f>
        <v>241.89</v>
      </c>
      <c r="V14" s="13">
        <f>_xll.BDH("SRPT US Equity","ARD_R&amp;D_EXPENDITURES","FQ3 2023","FQ3 2023","Currency=USD","Period=FQ","BEST_FPERIOD_OVERRIDE=FQ","FILING_STATUS=MR","SCALING_FORMAT=MLN","Sort=A","Dates=H","DateFormat=P","Fill=—","Direction=H","UseDPDF=Y")</f>
        <v>194.30099999999999</v>
      </c>
      <c r="W14" s="13">
        <f>_xll.BDH("SRPT US Equity","ARD_R&amp;D_EXPENDITURES","FQ4 2023","FQ4 2023","Currency=USD","Period=FQ","BEST_FPERIOD_OVERRIDE=FQ","FILING_STATUS=MR","SCALING_FORMAT=MLN","Sort=A","Dates=H","DateFormat=P","Fill=—","Direction=H","UseDPDF=Y")</f>
        <v>195.517</v>
      </c>
      <c r="X14" s="13">
        <f>_xll.BDH("SRPT US Equity","ARD_R&amp;D_EXPENDITURES","FQ1 2024","FQ1 2024","Currency=USD","Period=FQ","BEST_FPERIOD_OVERRIDE=FQ","FILING_STATUS=MR","SCALING_FORMAT=MLN","Sort=A","Dates=H","DateFormat=P","Fill=—","Direction=H","UseDPDF=Y")</f>
        <v>200.39599999999999</v>
      </c>
      <c r="Y14" s="13">
        <f>_xll.BDH("SRPT US Equity","ARD_R&amp;D_EXPENDITURES","FQ2 2024","FQ2 2024","Currency=USD","Period=FQ","BEST_FPERIOD_OVERRIDE=FQ","FILING_STATUS=MR","SCALING_FORMAT=MLN","Sort=A","Dates=H","DateFormat=P","Fill=—","Direction=H","UseDPDF=Y")</f>
        <v>179.69</v>
      </c>
      <c r="Z14" s="13">
        <f>_xll.BDH("SRPT US Equity","ARD_R&amp;D_EXPENDITURES","FQ3 2024","FQ3 2024","Currency=USD","Period=FQ","BEST_FPERIOD_OVERRIDE=FQ","FILING_STATUS=MR","SCALING_FORMAT=MLN","Sort=A","Dates=H","DateFormat=P","Fill=—","Direction=H","UseDPDF=Y")</f>
        <v>224.483</v>
      </c>
      <c r="AA14" s="13">
        <f>_xll.BDH("SRPT US Equity","ARD_R&amp;D_EXPENDITURES","FQ4 2024","FQ4 2024","Currency=USD","Period=FQ","BEST_FPERIOD_OVERRIDE=FQ","FILING_STATUS=MR","SCALING_FORMAT=MLN","Sort=A","Dates=H","DateFormat=P","Fill=—","Direction=H","UseDPDF=Y")</f>
        <v>199.953</v>
      </c>
    </row>
    <row r="15" spans="1:27" x14ac:dyDescent="0.25">
      <c r="A15" s="10" t="s">
        <v>436</v>
      </c>
      <c r="B15" s="10" t="s">
        <v>437</v>
      </c>
      <c r="C15" s="13">
        <f>_xll.BDH("SRPT US Equity","ARD_SELLING_GENERAL_ADMIN_EXP","FQ4 2018","FQ4 2018","Currency=USD","Period=FQ","BEST_FPERIOD_OVERRIDE=FQ","FILING_STATUS=MR","SCALING_FORMAT=MLN","Sort=A","Dates=H","DateFormat=P","Fill=—","Direction=H","UseDPDF=Y")</f>
        <v>64.22</v>
      </c>
      <c r="D15" s="13">
        <f>_xll.BDH("SRPT US Equity","ARD_SELLING_GENERAL_ADMIN_EXP","FQ1 2019","FQ1 2019","Currency=USD","Period=FQ","BEST_FPERIOD_OVERRIDE=FQ","FILING_STATUS=MR","SCALING_FORMAT=MLN","Sort=A","Dates=H","DateFormat=P","Fill=—","Direction=H","UseDPDF=Y")</f>
        <v>60.566000000000003</v>
      </c>
      <c r="E15" s="13">
        <f>_xll.BDH("SRPT US Equity","ARD_SELLING_GENERAL_ADMIN_EXP","FQ2 2019","FQ2 2019","Currency=USD","Period=FQ","BEST_FPERIOD_OVERRIDE=FQ","FILING_STATUS=MR","SCALING_FORMAT=MLN","Sort=A","Dates=H","DateFormat=P","Fill=—","Direction=H","UseDPDF=Y")</f>
        <v>67.393000000000001</v>
      </c>
      <c r="F15" s="13">
        <f>_xll.BDH("SRPT US Equity","ARD_SELLING_GENERAL_ADMIN_EXP","FQ3 2019","FQ3 2019","Currency=USD","Period=FQ","BEST_FPERIOD_OVERRIDE=FQ","FILING_STATUS=MR","SCALING_FORMAT=MLN","Sort=A","Dates=H","DateFormat=P","Fill=—","Direction=H","UseDPDF=Y")</f>
        <v>75.429000000000002</v>
      </c>
      <c r="G15" s="13">
        <f>_xll.BDH("SRPT US Equity","ARD_SELLING_GENERAL_ADMIN_EXP","FQ4 2019","FQ4 2019","Currency=USD","Period=FQ","BEST_FPERIOD_OVERRIDE=FQ","FILING_STATUS=MR","SCALING_FORMAT=MLN","Sort=A","Dates=H","DateFormat=P","Fill=—","Direction=H","UseDPDF=Y")</f>
        <v>81.424000000000007</v>
      </c>
      <c r="H15" s="13">
        <f>_xll.BDH("SRPT US Equity","ARD_SELLING_GENERAL_ADMIN_EXP","FQ1 2020","FQ1 2020","Currency=USD","Period=FQ","BEST_FPERIOD_OVERRIDE=FQ","FILING_STATUS=MR","SCALING_FORMAT=MLN","Sort=A","Dates=H","DateFormat=P","Fill=—","Direction=H","UseDPDF=Y")</f>
        <v>82.768000000000001</v>
      </c>
      <c r="I15" s="13">
        <f>_xll.BDH("SRPT US Equity","ARD_SELLING_GENERAL_ADMIN_EXP","FQ2 2020","FQ2 2020","Currency=USD","Period=FQ","BEST_FPERIOD_OVERRIDE=FQ","FILING_STATUS=MR","SCALING_FORMAT=MLN","Sort=A","Dates=H","DateFormat=P","Fill=—","Direction=H","UseDPDF=Y")</f>
        <v>73.688000000000002</v>
      </c>
      <c r="J15" s="13">
        <f>_xll.BDH("SRPT US Equity","ARD_SELLING_GENERAL_ADMIN_EXP","FQ3 2020","FQ3 2020","Currency=USD","Period=FQ","BEST_FPERIOD_OVERRIDE=FQ","FILING_STATUS=MR","SCALING_FORMAT=MLN","Sort=A","Dates=H","DateFormat=P","Fill=—","Direction=H","UseDPDF=Y")</f>
        <v>75.373000000000005</v>
      </c>
      <c r="K15" s="13">
        <f>_xll.BDH("SRPT US Equity","ARD_SELLING_GENERAL_ADMIN_EXP","FQ4 2020","FQ4 2020","Currency=USD","Period=FQ","BEST_FPERIOD_OVERRIDE=FQ","FILING_STATUS=MR","SCALING_FORMAT=MLN","Sort=A","Dates=H","DateFormat=P","Fill=—","Direction=H","UseDPDF=Y")</f>
        <v>86.046000000000006</v>
      </c>
      <c r="L15" s="13">
        <f>_xll.BDH("SRPT US Equity","ARD_SELLING_GENERAL_ADMIN_EXP","FQ1 2021","FQ1 2021","Currency=USD","Period=FQ","BEST_FPERIOD_OVERRIDE=FQ","FILING_STATUS=MR","SCALING_FORMAT=MLN","Sort=A","Dates=H","DateFormat=P","Fill=—","Direction=H","UseDPDF=Y")</f>
        <v>71.131</v>
      </c>
      <c r="M15" s="13">
        <f>_xll.BDH("SRPT US Equity","ARD_SELLING_GENERAL_ADMIN_EXP","FQ2 2021","FQ2 2021","Currency=USD","Period=FQ","BEST_FPERIOD_OVERRIDE=FQ","FILING_STATUS=MR","SCALING_FORMAT=MLN","Sort=A","Dates=H","DateFormat=P","Fill=—","Direction=H","UseDPDF=Y")</f>
        <v>72.346999999999994</v>
      </c>
      <c r="N15" s="13">
        <f>_xll.BDH("SRPT US Equity","ARD_SELLING_GENERAL_ADMIN_EXP","FQ3 2021","FQ3 2021","Currency=USD","Period=FQ","BEST_FPERIOD_OVERRIDE=FQ","FILING_STATUS=MR","SCALING_FORMAT=MLN","Sort=A","Dates=H","DateFormat=P","Fill=—","Direction=H","UseDPDF=Y")</f>
        <v>61.127000000000002</v>
      </c>
      <c r="O15" s="13">
        <f>_xll.BDH("SRPT US Equity","ARD_SELLING_GENERAL_ADMIN_EXP","FQ4 2021","FQ4 2021","Currency=USD","Period=FQ","BEST_FPERIOD_OVERRIDE=FQ","FILING_STATUS=MR","SCALING_FORMAT=MLN","Sort=A","Dates=H","DateFormat=P","Fill=—","Direction=H","UseDPDF=Y")</f>
        <v>78.055000000000007</v>
      </c>
      <c r="P15" s="13">
        <f>_xll.BDH("SRPT US Equity","ARD_SELLING_GENERAL_ADMIN_EXP","FQ1 2022","FQ1 2022","Currency=USD","Period=FQ","BEST_FPERIOD_OVERRIDE=FQ","FILING_STATUS=MR","SCALING_FORMAT=MLN","Sort=A","Dates=H","DateFormat=P","Fill=—","Direction=H","UseDPDF=Y")</f>
        <v>71.84</v>
      </c>
      <c r="Q15" s="13">
        <f>_xll.BDH("SRPT US Equity","ARD_SELLING_GENERAL_ADMIN_EXP","FQ2 2022","FQ2 2022","Currency=USD","Period=FQ","BEST_FPERIOD_OVERRIDE=FQ","FILING_STATUS=MR","SCALING_FORMAT=MLN","Sort=A","Dates=H","DateFormat=P","Fill=—","Direction=H","UseDPDF=Y")</f>
        <v>154.316</v>
      </c>
      <c r="R15" s="13">
        <f>_xll.BDH("SRPT US Equity","ARD_SELLING_GENERAL_ADMIN_EXP","FQ3 2022","FQ3 2022","Currency=USD","Period=FQ","BEST_FPERIOD_OVERRIDE=FQ","FILING_STATUS=MR","SCALING_FORMAT=MLN","Sort=A","Dates=H","DateFormat=P","Fill=—","Direction=H","UseDPDF=Y")</f>
        <v>104.78700000000001</v>
      </c>
      <c r="S15" s="13">
        <f>_xll.BDH("SRPT US Equity","ARD_SELLING_GENERAL_ADMIN_EXP","FQ4 2022","FQ4 2022","Currency=USD","Period=FQ","BEST_FPERIOD_OVERRIDE=FQ","FILING_STATUS=MR","SCALING_FORMAT=MLN","Sort=A","Dates=H","DateFormat=P","Fill=—","Direction=H","UseDPDF=Y")</f>
        <v>120.47799999999999</v>
      </c>
      <c r="T15" s="13">
        <f>_xll.BDH("SRPT US Equity","ARD_SELLING_GENERAL_ADMIN_EXP","FQ1 2023","FQ1 2023","Currency=USD","Period=FQ","BEST_FPERIOD_OVERRIDE=FQ","FILING_STATUS=MR","SCALING_FORMAT=MLN","Sort=A","Dates=H","DateFormat=P","Fill=—","Direction=H","UseDPDF=Y")</f>
        <v>110.714</v>
      </c>
      <c r="U15" s="13">
        <f>_xll.BDH("SRPT US Equity","ARD_SELLING_GENERAL_ADMIN_EXP","FQ2 2023","FQ2 2023","Currency=USD","Period=FQ","BEST_FPERIOD_OVERRIDE=FQ","FILING_STATUS=MR","SCALING_FORMAT=MLN","Sort=A","Dates=H","DateFormat=P","Fill=—","Direction=H","UseDPDF=Y")</f>
        <v>118.56399999999999</v>
      </c>
      <c r="V15" s="13">
        <f>_xll.BDH("SRPT US Equity","ARD_SELLING_GENERAL_ADMIN_EXP","FQ3 2023","FQ3 2023","Currency=USD","Period=FQ","BEST_FPERIOD_OVERRIDE=FQ","FILING_STATUS=MR","SCALING_FORMAT=MLN","Sort=A","Dates=H","DateFormat=P","Fill=—","Direction=H","UseDPDF=Y")</f>
        <v>120.893</v>
      </c>
      <c r="W15" s="13">
        <f>_xll.BDH("SRPT US Equity","ARD_SELLING_GENERAL_ADMIN_EXP","FQ4 2023","FQ4 2023","Currency=USD","Period=FQ","BEST_FPERIOD_OVERRIDE=FQ","FILING_STATUS=MR","SCALING_FORMAT=MLN","Sort=A","Dates=H","DateFormat=P","Fill=—","Direction=H","UseDPDF=Y")</f>
        <v>131.69999999999999</v>
      </c>
      <c r="X15" s="13">
        <f>_xll.BDH("SRPT US Equity","ARD_SELLING_GENERAL_ADMIN_EXP","FQ1 2024","FQ1 2024","Currency=USD","Period=FQ","BEST_FPERIOD_OVERRIDE=FQ","FILING_STATUS=MR","SCALING_FORMAT=MLN","Sort=A","Dates=H","DateFormat=P","Fill=—","Direction=H","UseDPDF=Y")</f>
        <v>127.003</v>
      </c>
      <c r="Y15" s="13">
        <f>_xll.BDH("SRPT US Equity","ARD_SELLING_GENERAL_ADMIN_EXP","FQ2 2024","FQ2 2024","Currency=USD","Period=FQ","BEST_FPERIOD_OVERRIDE=FQ","FILING_STATUS=MR","SCALING_FORMAT=MLN","Sort=A","Dates=H","DateFormat=P","Fill=—","Direction=H","UseDPDF=Y")</f>
        <v>138.79599999999999</v>
      </c>
      <c r="Z15" s="13">
        <f>_xll.BDH("SRPT US Equity","ARD_SELLING_GENERAL_ADMIN_EXP","FQ3 2024","FQ3 2024","Currency=USD","Period=FQ","BEST_FPERIOD_OVERRIDE=FQ","FILING_STATUS=MR","SCALING_FORMAT=MLN","Sort=A","Dates=H","DateFormat=P","Fill=—","Direction=H","UseDPDF=Y")</f>
        <v>128.19999999999999</v>
      </c>
      <c r="AA15" s="13">
        <f>_xll.BDH("SRPT US Equity","ARD_SELLING_GENERAL_ADMIN_EXP","FQ4 2024","FQ4 2024","Currency=USD","Period=FQ","BEST_FPERIOD_OVERRIDE=FQ","FILING_STATUS=MR","SCALING_FORMAT=MLN","Sort=A","Dates=H","DateFormat=P","Fill=—","Direction=H","UseDPDF=Y")</f>
        <v>163.87299999999999</v>
      </c>
    </row>
    <row r="16" spans="1:27" x14ac:dyDescent="0.25">
      <c r="A16" s="10" t="s">
        <v>438</v>
      </c>
      <c r="B16" s="10" t="s">
        <v>439</v>
      </c>
      <c r="C16" s="13" t="str">
        <f>_xll.BDH("SRPT US Equity","ARD_OTHER_OPERATING_EXPENSES","FQ4 2018","FQ4 2018","Currency=USD","Period=FQ","BEST_FPERIOD_OVERRIDE=FQ","FILING_STATUS=MR","SCALING_FORMAT=MLN","Sort=A","Dates=H","DateFormat=P","Fill=—","Direction=H","UseDPDF=Y")</f>
        <v>—</v>
      </c>
      <c r="D16" s="13" t="str">
        <f>_xll.BDH("SRPT US Equity","ARD_OTHER_OPERATING_EXPENSES","FQ1 2019","FQ1 2019","Currency=USD","Period=FQ","BEST_FPERIOD_OVERRIDE=FQ","FILING_STATUS=MR","SCALING_FORMAT=MLN","Sort=A","Dates=H","DateFormat=P","Fill=—","Direction=H","UseDPDF=Y")</f>
        <v>—</v>
      </c>
      <c r="E16" s="13">
        <f>_xll.BDH("SRPT US Equity","ARD_OTHER_OPERATING_EXPENSES","FQ2 2019","FQ2 2019","Currency=USD","Period=FQ","BEST_FPERIOD_OVERRIDE=FQ","FILING_STATUS=MR","SCALING_FORMAT=MLN","Sort=A","Dates=H","DateFormat=P","Fill=—","Direction=H","UseDPDF=Y")</f>
        <v>173.24</v>
      </c>
      <c r="F16" s="13">
        <f>_xll.BDH("SRPT US Equity","ARD_OTHER_OPERATING_EXPENSES","FQ3 2019","FQ3 2019","Currency=USD","Period=FQ","BEST_FPERIOD_OVERRIDE=FQ","FILING_STATUS=MR","SCALING_FORMAT=MLN","Sort=A","Dates=H","DateFormat=P","Fill=—","Direction=H","UseDPDF=Y")</f>
        <v>0</v>
      </c>
      <c r="G16" s="13">
        <f>_xll.BDH("SRPT US Equity","ARD_OTHER_OPERATING_EXPENSES","FQ4 2019","FQ4 2019","Currency=USD","Period=FQ","BEST_FPERIOD_OVERRIDE=FQ","FILING_STATUS=MR","SCALING_FORMAT=MLN","Sort=A","Dates=H","DateFormat=P","Fill=—","Direction=H","UseDPDF=Y")</f>
        <v>0</v>
      </c>
      <c r="H16" s="13" t="str">
        <f>_xll.BDH("SRPT US Equity","ARD_OTHER_OPERATING_EXPENSES","FQ1 2020","FQ1 2020","Currency=USD","Period=FQ","BEST_FPERIOD_OVERRIDE=FQ","FILING_STATUS=MR","SCALING_FORMAT=MLN","Sort=A","Dates=H","DateFormat=P","Fill=—","Direction=H","UseDPDF=Y")</f>
        <v>—</v>
      </c>
      <c r="I16" s="13" t="str">
        <f>_xll.BDH("SRPT US Equity","ARD_OTHER_OPERATING_EXPENSES","FQ2 2020","FQ2 2020","Currency=USD","Period=FQ","BEST_FPERIOD_OVERRIDE=FQ","FILING_STATUS=MR","SCALING_FORMAT=MLN","Sort=A","Dates=H","DateFormat=P","Fill=—","Direction=H","UseDPDF=Y")</f>
        <v>—</v>
      </c>
      <c r="J16" s="13" t="str">
        <f>_xll.BDH("SRPT US Equity","ARD_OTHER_OPERATING_EXPENSES","FQ3 2020","FQ3 2020","Currency=USD","Period=FQ","BEST_FPERIOD_OVERRIDE=FQ","FILING_STATUS=MR","SCALING_FORMAT=MLN","Sort=A","Dates=H","DateFormat=P","Fill=—","Direction=H","UseDPDF=Y")</f>
        <v>—</v>
      </c>
      <c r="K16" s="13" t="str">
        <f>_xll.BDH("SRPT US Equity","ARD_OTHER_OPERATING_EXPENSES","FQ4 2020","FQ4 2020","Currency=USD","Period=FQ","BEST_FPERIOD_OVERRIDE=FQ","FILING_STATUS=MR","SCALING_FORMAT=MLN","Sort=A","Dates=H","DateFormat=P","Fill=—","Direction=H","UseDPDF=Y")</f>
        <v>—</v>
      </c>
      <c r="L16" s="13" t="str">
        <f>_xll.BDH("SRPT US Equity","ARD_OTHER_OPERATING_EXPENSES","FQ1 2021","FQ1 2021","Currency=USD","Period=FQ","BEST_FPERIOD_OVERRIDE=FQ","FILING_STATUS=MR","SCALING_FORMAT=MLN","Sort=A","Dates=H","DateFormat=P","Fill=—","Direction=H","UseDPDF=Y")</f>
        <v>—</v>
      </c>
      <c r="M16" s="13">
        <f>_xll.BDH("SRPT US Equity","ARD_OTHER_OPERATING_EXPENSES","FQ2 2021","FQ2 2021","Currency=USD","Period=FQ","BEST_FPERIOD_OVERRIDE=FQ","FILING_STATUS=MR","SCALING_FORMAT=MLN","Sort=A","Dates=H","DateFormat=P","Fill=—","Direction=H","UseDPDF=Y")</f>
        <v>0</v>
      </c>
      <c r="N16" s="13">
        <f>_xll.BDH("SRPT US Equity","ARD_OTHER_OPERATING_EXPENSES","FQ3 2021","FQ3 2021","Currency=USD","Period=FQ","BEST_FPERIOD_OVERRIDE=FQ","FILING_STATUS=MR","SCALING_FORMAT=MLN","Sort=A","Dates=H","DateFormat=P","Fill=—","Direction=H","UseDPDF=Y")</f>
        <v>0</v>
      </c>
      <c r="O16" s="13" t="str">
        <f>_xll.BDH("SRPT US Equity","ARD_OTHER_OPERATING_EXPENSES","FQ4 2021","FQ4 2021","Currency=USD","Period=FQ","BEST_FPERIOD_OVERRIDE=FQ","FILING_STATUS=MR","SCALING_FORMAT=MLN","Sort=A","Dates=H","DateFormat=P","Fill=—","Direction=H","UseDPDF=Y")</f>
        <v>—</v>
      </c>
      <c r="P16" s="13" t="str">
        <f>_xll.BDH("SRPT US Equity","ARD_OTHER_OPERATING_EXPENSES","FQ1 2022","FQ1 2022","Currency=USD","Period=FQ","BEST_FPERIOD_OVERRIDE=FQ","FILING_STATUS=MR","SCALING_FORMAT=MLN","Sort=A","Dates=H","DateFormat=P","Fill=—","Direction=H","UseDPDF=Y")</f>
        <v>—</v>
      </c>
      <c r="Q16" s="13" t="str">
        <f>_xll.BDH("SRPT US Equity","ARD_OTHER_OPERATING_EXPENSES","FQ2 2022","FQ2 2022","Currency=USD","Period=FQ","BEST_FPERIOD_OVERRIDE=FQ","FILING_STATUS=MR","SCALING_FORMAT=MLN","Sort=A","Dates=H","DateFormat=P","Fill=—","Direction=H","UseDPDF=Y")</f>
        <v>—</v>
      </c>
      <c r="R16" s="13" t="str">
        <f>_xll.BDH("SRPT US Equity","ARD_OTHER_OPERATING_EXPENSES","FQ3 2022","FQ3 2022","Currency=USD","Period=FQ","BEST_FPERIOD_OVERRIDE=FQ","FILING_STATUS=MR","SCALING_FORMAT=MLN","Sort=A","Dates=H","DateFormat=P","Fill=—","Direction=H","UseDPDF=Y")</f>
        <v>—</v>
      </c>
      <c r="S16" s="13" t="str">
        <f>_xll.BDH("SRPT US Equity","ARD_OTHER_OPERATING_EXPENSES","FQ4 2022","FQ4 2022","Currency=USD","Period=FQ","BEST_FPERIOD_OVERRIDE=FQ","FILING_STATUS=MR","SCALING_FORMAT=MLN","Sort=A","Dates=H","DateFormat=P","Fill=—","Direction=H","UseDPDF=Y")</f>
        <v>—</v>
      </c>
      <c r="T16" s="13" t="str">
        <f>_xll.BDH("SRPT US Equity","ARD_OTHER_OPERATING_EXPENSES","FQ1 2023","FQ1 2023","Currency=USD","Period=FQ","BEST_FPERIOD_OVERRIDE=FQ","FILING_STATUS=MR","SCALING_FORMAT=MLN","Sort=A","Dates=H","DateFormat=P","Fill=—","Direction=H","UseDPDF=Y")</f>
        <v>—</v>
      </c>
      <c r="U16" s="13" t="str">
        <f>_xll.BDH("SRPT US Equity","ARD_OTHER_OPERATING_EXPENSES","FQ2 2023","FQ2 2023","Currency=USD","Period=FQ","BEST_FPERIOD_OVERRIDE=FQ","FILING_STATUS=MR","SCALING_FORMAT=MLN","Sort=A","Dates=H","DateFormat=P","Fill=—","Direction=H","UseDPDF=Y")</f>
        <v>—</v>
      </c>
      <c r="V16" s="13" t="str">
        <f>_xll.BDH("SRPT US Equity","ARD_OTHER_OPERATING_EXPENSES","FQ3 2023","FQ3 2023","Currency=USD","Period=FQ","BEST_FPERIOD_OVERRIDE=FQ","FILING_STATUS=MR","SCALING_FORMAT=MLN","Sort=A","Dates=H","DateFormat=P","Fill=—","Direction=H","UseDPDF=Y")</f>
        <v>—</v>
      </c>
      <c r="W16" s="13" t="str">
        <f>_xll.BDH("SRPT US Equity","ARD_OTHER_OPERATING_EXPENSES","FQ4 2023","FQ4 2023","Currency=USD","Period=FQ","BEST_FPERIOD_OVERRIDE=FQ","FILING_STATUS=MR","SCALING_FORMAT=MLN","Sort=A","Dates=H","DateFormat=P","Fill=—","Direction=H","UseDPDF=Y")</f>
        <v>—</v>
      </c>
      <c r="X16" s="13" t="str">
        <f>_xll.BDH("SRPT US Equity","ARD_OTHER_OPERATING_EXPENSES","FQ1 2024","FQ1 2024","Currency=USD","Period=FQ","BEST_FPERIOD_OVERRIDE=FQ","FILING_STATUS=MR","SCALING_FORMAT=MLN","Sort=A","Dates=H","DateFormat=P","Fill=—","Direction=H","UseDPDF=Y")</f>
        <v>—</v>
      </c>
      <c r="Y16" s="13" t="str">
        <f>_xll.BDH("SRPT US Equity","ARD_OTHER_OPERATING_EXPENSES","FQ2 2024","FQ2 2024","Currency=USD","Period=FQ","BEST_FPERIOD_OVERRIDE=FQ","FILING_STATUS=MR","SCALING_FORMAT=MLN","Sort=A","Dates=H","DateFormat=P","Fill=—","Direction=H","UseDPDF=Y")</f>
        <v>—</v>
      </c>
      <c r="Z16" s="13" t="str">
        <f>_xll.BDH("SRPT US Equity","ARD_OTHER_OPERATING_EXPENSES","FQ3 2024","FQ3 2024","Currency=USD","Period=FQ","BEST_FPERIOD_OVERRIDE=FQ","FILING_STATUS=MR","SCALING_FORMAT=MLN","Sort=A","Dates=H","DateFormat=P","Fill=—","Direction=H","UseDPDF=Y")</f>
        <v>—</v>
      </c>
      <c r="AA16" s="13" t="str">
        <f>_xll.BDH("SRPT US Equity","ARD_OTHER_OPERATING_EXPENSES","FQ4 2024","FQ4 2024","Currency=USD","Period=FQ","BEST_FPERIOD_OVERRIDE=FQ","FILING_STATUS=MR","SCALING_FORMAT=MLN","Sort=A","Dates=H","DateFormat=P","Fill=—","Direction=H","UseDPDF=Y")</f>
        <v>—</v>
      </c>
    </row>
    <row r="17" spans="1:27" x14ac:dyDescent="0.25">
      <c r="A17" s="10" t="s">
        <v>440</v>
      </c>
      <c r="B17" s="10" t="s">
        <v>441</v>
      </c>
      <c r="C17" s="13" t="str">
        <f>_xll.BDH("SRPT US Equity","ARD_ACQUIRED_IN_PROCESS_R&amp;D","FQ4 2018","FQ4 2018","Currency=USD","Period=FQ","BEST_FPERIOD_OVERRIDE=FQ","FILING_STATUS=MR","SCALING_FORMAT=MLN","Sort=A","Dates=H","DateFormat=P","Fill=—","Direction=H","UseDPDF=Y")</f>
        <v>—</v>
      </c>
      <c r="D17" s="13" t="str">
        <f>_xll.BDH("SRPT US Equity","ARD_ACQUIRED_IN_PROCESS_R&amp;D","FQ1 2019","FQ1 2019","Currency=USD","Period=FQ","BEST_FPERIOD_OVERRIDE=FQ","FILING_STATUS=MR","SCALING_FORMAT=MLN","Sort=A","Dates=H","DateFormat=P","Fill=—","Direction=H","UseDPDF=Y")</f>
        <v>—</v>
      </c>
      <c r="E17" s="13" t="str">
        <f>_xll.BDH("SRPT US Equity","ARD_ACQUIRED_IN_PROCESS_R&amp;D","FQ2 2019","FQ2 2019","Currency=USD","Period=FQ","BEST_FPERIOD_OVERRIDE=FQ","FILING_STATUS=MR","SCALING_FORMAT=MLN","Sort=A","Dates=H","DateFormat=P","Fill=—","Direction=H","UseDPDF=Y")</f>
        <v>—</v>
      </c>
      <c r="F17" s="13">
        <f>_xll.BDH("SRPT US Equity","ARD_ACQUIRED_IN_PROCESS_R&amp;D","FQ3 2019","FQ3 2019","Currency=USD","Period=FQ","BEST_FPERIOD_OVERRIDE=FQ","FILING_STATUS=MR","SCALING_FORMAT=MLN","Sort=A","Dates=H","DateFormat=P","Fill=—","Direction=H","UseDPDF=Y")</f>
        <v>0</v>
      </c>
      <c r="G17" s="13" t="str">
        <f>_xll.BDH("SRPT US Equity","ARD_ACQUIRED_IN_PROCESS_R&amp;D","FQ4 2019","FQ4 2019","Currency=USD","Period=FQ","BEST_FPERIOD_OVERRIDE=FQ","FILING_STATUS=MR","SCALING_FORMAT=MLN","Sort=A","Dates=H","DateFormat=P","Fill=—","Direction=H","UseDPDF=Y")</f>
        <v>—</v>
      </c>
      <c r="H17" s="13" t="str">
        <f>_xll.BDH("SRPT US Equity","ARD_ACQUIRED_IN_PROCESS_R&amp;D","FQ1 2020","FQ1 2020","Currency=USD","Period=FQ","BEST_FPERIOD_OVERRIDE=FQ","FILING_STATUS=MR","SCALING_FORMAT=MLN","Sort=A","Dates=H","DateFormat=P","Fill=—","Direction=H","UseDPDF=Y")</f>
        <v>—</v>
      </c>
      <c r="I17" s="13">
        <f>_xll.BDH("SRPT US Equity","ARD_ACQUIRED_IN_PROCESS_R&amp;D","FQ2 2020","FQ2 2020","Currency=USD","Period=FQ","BEST_FPERIOD_OVERRIDE=FQ","FILING_STATUS=MR","SCALING_FORMAT=MLN","Sort=A","Dates=H","DateFormat=P","Fill=—","Direction=H","UseDPDF=Y")</f>
        <v>0</v>
      </c>
      <c r="J17" s="13">
        <f>_xll.BDH("SRPT US Equity","ARD_ACQUIRED_IN_PROCESS_R&amp;D","FQ3 2020","FQ3 2020","Currency=USD","Period=FQ","BEST_FPERIOD_OVERRIDE=FQ","FILING_STATUS=MR","SCALING_FORMAT=MLN","Sort=A","Dates=H","DateFormat=P","Fill=—","Direction=H","UseDPDF=Y")</f>
        <v>0</v>
      </c>
      <c r="K17" s="13">
        <f>_xll.BDH("SRPT US Equity","ARD_ACQUIRED_IN_PROCESS_R&amp;D","FQ4 2020","FQ4 2020","Currency=USD","Period=FQ","BEST_FPERIOD_OVERRIDE=FQ","FILING_STATUS=MR","SCALING_FORMAT=MLN","Sort=A","Dates=H","DateFormat=P","Fill=—","Direction=H","UseDPDF=Y")</f>
        <v>0</v>
      </c>
      <c r="L17" s="13" t="str">
        <f>_xll.BDH("SRPT US Equity","ARD_ACQUIRED_IN_PROCESS_R&amp;D","FQ1 2021","FQ1 2021","Currency=USD","Period=FQ","BEST_FPERIOD_OVERRIDE=FQ","FILING_STATUS=MR","SCALING_FORMAT=MLN","Sort=A","Dates=H","DateFormat=P","Fill=—","Direction=H","UseDPDF=Y")</f>
        <v>—</v>
      </c>
      <c r="M17" s="13" t="str">
        <f>_xll.BDH("SRPT US Equity","ARD_ACQUIRED_IN_PROCESS_R&amp;D","FQ2 2021","FQ2 2021","Currency=USD","Period=FQ","BEST_FPERIOD_OVERRIDE=FQ","FILING_STATUS=MR","SCALING_FORMAT=MLN","Sort=A","Dates=H","DateFormat=P","Fill=—","Direction=H","UseDPDF=Y")</f>
        <v>—</v>
      </c>
      <c r="N17" s="13" t="str">
        <f>_xll.BDH("SRPT US Equity","ARD_ACQUIRED_IN_PROCESS_R&amp;D","FQ3 2021","FQ3 2021","Currency=USD","Period=FQ","BEST_FPERIOD_OVERRIDE=FQ","FILING_STATUS=MR","SCALING_FORMAT=MLN","Sort=A","Dates=H","DateFormat=P","Fill=—","Direction=H","UseDPDF=Y")</f>
        <v>—</v>
      </c>
      <c r="O17" s="13" t="str">
        <f>_xll.BDH("SRPT US Equity","ARD_ACQUIRED_IN_PROCESS_R&amp;D","FQ4 2021","FQ4 2021","Currency=USD","Period=FQ","BEST_FPERIOD_OVERRIDE=FQ","FILING_STATUS=MR","SCALING_FORMAT=MLN","Sort=A","Dates=H","DateFormat=P","Fill=—","Direction=H","UseDPDF=Y")</f>
        <v>—</v>
      </c>
      <c r="P17" s="13" t="str">
        <f>_xll.BDH("SRPT US Equity","ARD_ACQUIRED_IN_PROCESS_R&amp;D","FQ1 2022","FQ1 2022","Currency=USD","Period=FQ","BEST_FPERIOD_OVERRIDE=FQ","FILING_STATUS=MR","SCALING_FORMAT=MLN","Sort=A","Dates=H","DateFormat=P","Fill=—","Direction=H","UseDPDF=Y")</f>
        <v>—</v>
      </c>
      <c r="Q17" s="13" t="str">
        <f>_xll.BDH("SRPT US Equity","ARD_ACQUIRED_IN_PROCESS_R&amp;D","FQ2 2022","FQ2 2022","Currency=USD","Period=FQ","BEST_FPERIOD_OVERRIDE=FQ","FILING_STATUS=MR","SCALING_FORMAT=MLN","Sort=A","Dates=H","DateFormat=P","Fill=—","Direction=H","UseDPDF=Y")</f>
        <v>—</v>
      </c>
      <c r="R17" s="13" t="str">
        <f>_xll.BDH("SRPT US Equity","ARD_ACQUIRED_IN_PROCESS_R&amp;D","FQ3 2022","FQ3 2022","Currency=USD","Period=FQ","BEST_FPERIOD_OVERRIDE=FQ","FILING_STATUS=MR","SCALING_FORMAT=MLN","Sort=A","Dates=H","DateFormat=P","Fill=—","Direction=H","UseDPDF=Y")</f>
        <v>—</v>
      </c>
      <c r="S17" s="13" t="str">
        <f>_xll.BDH("SRPT US Equity","ARD_ACQUIRED_IN_PROCESS_R&amp;D","FQ4 2022","FQ4 2022","Currency=USD","Period=FQ","BEST_FPERIOD_OVERRIDE=FQ","FILING_STATUS=MR","SCALING_FORMAT=MLN","Sort=A","Dates=H","DateFormat=P","Fill=—","Direction=H","UseDPDF=Y")</f>
        <v>—</v>
      </c>
      <c r="T17" s="13" t="str">
        <f>_xll.BDH("SRPT US Equity","ARD_ACQUIRED_IN_PROCESS_R&amp;D","FQ1 2023","FQ1 2023","Currency=USD","Period=FQ","BEST_FPERIOD_OVERRIDE=FQ","FILING_STATUS=MR","SCALING_FORMAT=MLN","Sort=A","Dates=H","DateFormat=P","Fill=—","Direction=H","UseDPDF=Y")</f>
        <v>—</v>
      </c>
      <c r="U17" s="13" t="str">
        <f>_xll.BDH("SRPT US Equity","ARD_ACQUIRED_IN_PROCESS_R&amp;D","FQ2 2023","FQ2 2023","Currency=USD","Period=FQ","BEST_FPERIOD_OVERRIDE=FQ","FILING_STATUS=MR","SCALING_FORMAT=MLN","Sort=A","Dates=H","DateFormat=P","Fill=—","Direction=H","UseDPDF=Y")</f>
        <v>—</v>
      </c>
      <c r="V17" s="13" t="str">
        <f>_xll.BDH("SRPT US Equity","ARD_ACQUIRED_IN_PROCESS_R&amp;D","FQ3 2023","FQ3 2023","Currency=USD","Period=FQ","BEST_FPERIOD_OVERRIDE=FQ","FILING_STATUS=MR","SCALING_FORMAT=MLN","Sort=A","Dates=H","DateFormat=P","Fill=—","Direction=H","UseDPDF=Y")</f>
        <v>—</v>
      </c>
      <c r="W17" s="13" t="str">
        <f>_xll.BDH("SRPT US Equity","ARD_ACQUIRED_IN_PROCESS_R&amp;D","FQ4 2023","FQ4 2023","Currency=USD","Period=FQ","BEST_FPERIOD_OVERRIDE=FQ","FILING_STATUS=MR","SCALING_FORMAT=MLN","Sort=A","Dates=H","DateFormat=P","Fill=—","Direction=H","UseDPDF=Y")</f>
        <v>—</v>
      </c>
      <c r="X17" s="13" t="str">
        <f>_xll.BDH("SRPT US Equity","ARD_ACQUIRED_IN_PROCESS_R&amp;D","FQ1 2024","FQ1 2024","Currency=USD","Period=FQ","BEST_FPERIOD_OVERRIDE=FQ","FILING_STATUS=MR","SCALING_FORMAT=MLN","Sort=A","Dates=H","DateFormat=P","Fill=—","Direction=H","UseDPDF=Y")</f>
        <v>—</v>
      </c>
      <c r="Y17" s="13" t="str">
        <f>_xll.BDH("SRPT US Equity","ARD_ACQUIRED_IN_PROCESS_R&amp;D","FQ2 2024","FQ2 2024","Currency=USD","Period=FQ","BEST_FPERIOD_OVERRIDE=FQ","FILING_STATUS=MR","SCALING_FORMAT=MLN","Sort=A","Dates=H","DateFormat=P","Fill=—","Direction=H","UseDPDF=Y")</f>
        <v>—</v>
      </c>
      <c r="Z17" s="13" t="str">
        <f>_xll.BDH("SRPT US Equity","ARD_ACQUIRED_IN_PROCESS_R&amp;D","FQ3 2024","FQ3 2024","Currency=USD","Period=FQ","BEST_FPERIOD_OVERRIDE=FQ","FILING_STATUS=MR","SCALING_FORMAT=MLN","Sort=A","Dates=H","DateFormat=P","Fill=—","Direction=H","UseDPDF=Y")</f>
        <v>—</v>
      </c>
      <c r="AA17" s="13" t="str">
        <f>_xll.BDH("SRPT US Equity","ARD_ACQUIRED_IN_PROCESS_R&amp;D","FQ4 2024","FQ4 2024","Currency=USD","Period=FQ","BEST_FPERIOD_OVERRIDE=FQ","FILING_STATUS=MR","SCALING_FORMAT=MLN","Sort=A","Dates=H","DateFormat=P","Fill=—","Direction=H","UseDPDF=Y")</f>
        <v>—</v>
      </c>
    </row>
    <row r="18" spans="1:27" x14ac:dyDescent="0.25">
      <c r="A18" s="10" t="s">
        <v>442</v>
      </c>
      <c r="B18" s="10" t="s">
        <v>443</v>
      </c>
      <c r="C18" s="13">
        <f>_xll.BDH("SRPT US Equity","ARD_LITIGATION_EXP","FQ4 2018","FQ4 2018","Currency=USD","Period=FQ","BEST_FPERIOD_OVERRIDE=FQ","FILING_STATUS=MR","SCALING_FORMAT=MLN","Sort=A","Dates=H","DateFormat=P","Fill=—","Direction=H","UseDPDF=Y")</f>
        <v>0</v>
      </c>
      <c r="D18" s="13" t="str">
        <f>_xll.BDH("SRPT US Equity","ARD_LITIGATION_EXP","FQ1 2019","FQ1 2019","Currency=USD","Period=FQ","BEST_FPERIOD_OVERRIDE=FQ","FILING_STATUS=MR","SCALING_FORMAT=MLN","Sort=A","Dates=H","DateFormat=P","Fill=—","Direction=H","UseDPDF=Y")</f>
        <v>—</v>
      </c>
      <c r="E18" s="13" t="str">
        <f>_xll.BDH("SRPT US Equity","ARD_LITIGATION_EXP","FQ2 2019","FQ2 2019","Currency=USD","Period=FQ","BEST_FPERIOD_OVERRIDE=FQ","FILING_STATUS=MR","SCALING_FORMAT=MLN","Sort=A","Dates=H","DateFormat=P","Fill=—","Direction=H","UseDPDF=Y")</f>
        <v>—</v>
      </c>
      <c r="F18" s="13" t="str">
        <f>_xll.BDH("SRPT US Equity","ARD_LITIGATION_EXP","FQ3 2019","FQ3 2019","Currency=USD","Period=FQ","BEST_FPERIOD_OVERRIDE=FQ","FILING_STATUS=MR","SCALING_FORMAT=MLN","Sort=A","Dates=H","DateFormat=P","Fill=—","Direction=H","UseDPDF=Y")</f>
        <v>—</v>
      </c>
      <c r="G18" s="13">
        <f>_xll.BDH("SRPT US Equity","ARD_LITIGATION_EXP","FQ4 2019","FQ4 2019","Currency=USD","Period=FQ","BEST_FPERIOD_OVERRIDE=FQ","FILING_STATUS=MR","SCALING_FORMAT=MLN","Sort=A","Dates=H","DateFormat=P","Fill=—","Direction=H","UseDPDF=Y")</f>
        <v>10</v>
      </c>
      <c r="H18" s="13" t="str">
        <f>_xll.BDH("SRPT US Equity","ARD_LITIGATION_EXP","FQ1 2020","FQ1 2020","Currency=USD","Period=FQ","BEST_FPERIOD_OVERRIDE=FQ","FILING_STATUS=MR","SCALING_FORMAT=MLN","Sort=A","Dates=H","DateFormat=P","Fill=—","Direction=H","UseDPDF=Y")</f>
        <v>—</v>
      </c>
      <c r="I18" s="13" t="str">
        <f>_xll.BDH("SRPT US Equity","ARD_LITIGATION_EXP","FQ2 2020","FQ2 2020","Currency=USD","Period=FQ","BEST_FPERIOD_OVERRIDE=FQ","FILING_STATUS=MR","SCALING_FORMAT=MLN","Sort=A","Dates=H","DateFormat=P","Fill=—","Direction=H","UseDPDF=Y")</f>
        <v>—</v>
      </c>
      <c r="J18" s="13" t="str">
        <f>_xll.BDH("SRPT US Equity","ARD_LITIGATION_EXP","FQ3 2020","FQ3 2020","Currency=USD","Period=FQ","BEST_FPERIOD_OVERRIDE=FQ","FILING_STATUS=MR","SCALING_FORMAT=MLN","Sort=A","Dates=H","DateFormat=P","Fill=—","Direction=H","UseDPDF=Y")</f>
        <v>—</v>
      </c>
      <c r="K18" s="13">
        <f>_xll.BDH("SRPT US Equity","ARD_LITIGATION_EXP","FQ4 2020","FQ4 2020","Currency=USD","Period=FQ","BEST_FPERIOD_OVERRIDE=FQ","FILING_STATUS=MR","SCALING_FORMAT=MLN","Sort=A","Dates=H","DateFormat=P","Fill=—","Direction=H","UseDPDF=Y")</f>
        <v>0</v>
      </c>
      <c r="L18" s="13">
        <f>_xll.BDH("SRPT US Equity","ARD_LITIGATION_EXP","FQ1 2021","FQ1 2021","Currency=USD","Period=FQ","BEST_FPERIOD_OVERRIDE=FQ","FILING_STATUS=MR","SCALING_FORMAT=MLN","Sort=A","Dates=H","DateFormat=P","Fill=—","Direction=H","UseDPDF=Y")</f>
        <v>10</v>
      </c>
      <c r="M18" s="13">
        <f>_xll.BDH("SRPT US Equity","ARD_LITIGATION_EXP","FQ2 2021","FQ2 2021","Currency=USD","Period=FQ","BEST_FPERIOD_OVERRIDE=FQ","FILING_STATUS=MR","SCALING_FORMAT=MLN","Sort=A","Dates=H","DateFormat=P","Fill=—","Direction=H","UseDPDF=Y")</f>
        <v>0</v>
      </c>
      <c r="N18" s="13" t="str">
        <f>_xll.BDH("SRPT US Equity","ARD_LITIGATION_EXP","FQ3 2021","FQ3 2021","Currency=USD","Period=FQ","BEST_FPERIOD_OVERRIDE=FQ","FILING_STATUS=MR","SCALING_FORMAT=MLN","Sort=A","Dates=H","DateFormat=P","Fill=—","Direction=H","UseDPDF=Y")</f>
        <v>—</v>
      </c>
      <c r="O18" s="13">
        <f>_xll.BDH("SRPT US Equity","ARD_LITIGATION_EXP","FQ4 2021","FQ4 2021","Currency=USD","Period=FQ","BEST_FPERIOD_OVERRIDE=FQ","FILING_STATUS=MR","SCALING_FORMAT=MLN","Sort=A","Dates=H","DateFormat=P","Fill=—","Direction=H","UseDPDF=Y")</f>
        <v>0</v>
      </c>
      <c r="P18" s="13">
        <f>_xll.BDH("SRPT US Equity","ARD_LITIGATION_EXP","FQ1 2022","FQ1 2022","Currency=USD","Period=FQ","BEST_FPERIOD_OVERRIDE=FQ","FILING_STATUS=MR","SCALING_FORMAT=MLN","Sort=A","Dates=H","DateFormat=P","Fill=—","Direction=H","UseDPDF=Y")</f>
        <v>0</v>
      </c>
      <c r="Q18" s="13">
        <f>_xll.BDH("SRPT US Equity","ARD_LITIGATION_EXP","FQ2 2022","FQ2 2022","Currency=USD","Period=FQ","BEST_FPERIOD_OVERRIDE=FQ","FILING_STATUS=MR","SCALING_FORMAT=MLN","Sort=A","Dates=H","DateFormat=P","Fill=—","Direction=H","UseDPDF=Y")</f>
        <v>0</v>
      </c>
      <c r="R18" s="13">
        <f>_xll.BDH("SRPT US Equity","ARD_LITIGATION_EXP","FQ3 2022","FQ3 2022","Currency=USD","Period=FQ","BEST_FPERIOD_OVERRIDE=FQ","FILING_STATUS=MR","SCALING_FORMAT=MLN","Sort=A","Dates=H","DateFormat=P","Fill=—","Direction=H","UseDPDF=Y")</f>
        <v>0</v>
      </c>
      <c r="S18" s="13">
        <f>_xll.BDH("SRPT US Equity","ARD_LITIGATION_EXP","FQ4 2022","FQ4 2022","Currency=USD","Period=FQ","BEST_FPERIOD_OVERRIDE=FQ","FILING_STATUS=MR","SCALING_FORMAT=MLN","Sort=A","Dates=H","DateFormat=P","Fill=—","Direction=H","UseDPDF=Y")</f>
        <v>0</v>
      </c>
      <c r="T18" s="13" t="str">
        <f>_xll.BDH("SRPT US Equity","ARD_LITIGATION_EXP","FQ1 2023","FQ1 2023","Currency=USD","Period=FQ","BEST_FPERIOD_OVERRIDE=FQ","FILING_STATUS=MR","SCALING_FORMAT=MLN","Sort=A","Dates=H","DateFormat=P","Fill=—","Direction=H","UseDPDF=Y")</f>
        <v>—</v>
      </c>
      <c r="U18" s="13" t="str">
        <f>_xll.BDH("SRPT US Equity","ARD_LITIGATION_EXP","FQ2 2023","FQ2 2023","Currency=USD","Period=FQ","BEST_FPERIOD_OVERRIDE=FQ","FILING_STATUS=MR","SCALING_FORMAT=MLN","Sort=A","Dates=H","DateFormat=P","Fill=—","Direction=H","UseDPDF=Y")</f>
        <v>—</v>
      </c>
      <c r="V18" s="13" t="str">
        <f>_xll.BDH("SRPT US Equity","ARD_LITIGATION_EXP","FQ3 2023","FQ3 2023","Currency=USD","Period=FQ","BEST_FPERIOD_OVERRIDE=FQ","FILING_STATUS=MR","SCALING_FORMAT=MLN","Sort=A","Dates=H","DateFormat=P","Fill=—","Direction=H","UseDPDF=Y")</f>
        <v>—</v>
      </c>
      <c r="W18" s="13" t="str">
        <f>_xll.BDH("SRPT US Equity","ARD_LITIGATION_EXP","FQ4 2023","FQ4 2023","Currency=USD","Period=FQ","BEST_FPERIOD_OVERRIDE=FQ","FILING_STATUS=MR","SCALING_FORMAT=MLN","Sort=A","Dates=H","DateFormat=P","Fill=—","Direction=H","UseDPDF=Y")</f>
        <v>—</v>
      </c>
      <c r="X18" s="13" t="str">
        <f>_xll.BDH("SRPT US Equity","ARD_LITIGATION_EXP","FQ1 2024","FQ1 2024","Currency=USD","Period=FQ","BEST_FPERIOD_OVERRIDE=FQ","FILING_STATUS=MR","SCALING_FORMAT=MLN","Sort=A","Dates=H","DateFormat=P","Fill=—","Direction=H","UseDPDF=Y")</f>
        <v>—</v>
      </c>
      <c r="Y18" s="13" t="str">
        <f>_xll.BDH("SRPT US Equity","ARD_LITIGATION_EXP","FQ2 2024","FQ2 2024","Currency=USD","Period=FQ","BEST_FPERIOD_OVERRIDE=FQ","FILING_STATUS=MR","SCALING_FORMAT=MLN","Sort=A","Dates=H","DateFormat=P","Fill=—","Direction=H","UseDPDF=Y")</f>
        <v>—</v>
      </c>
      <c r="Z18" s="13" t="str">
        <f>_xll.BDH("SRPT US Equity","ARD_LITIGATION_EXP","FQ3 2024","FQ3 2024","Currency=USD","Period=FQ","BEST_FPERIOD_OVERRIDE=FQ","FILING_STATUS=MR","SCALING_FORMAT=MLN","Sort=A","Dates=H","DateFormat=P","Fill=—","Direction=H","UseDPDF=Y")</f>
        <v>—</v>
      </c>
      <c r="AA18" s="13" t="str">
        <f>_xll.BDH("SRPT US Equity","ARD_LITIGATION_EXP","FQ4 2024","FQ4 2024","Currency=USD","Period=FQ","BEST_FPERIOD_OVERRIDE=FQ","FILING_STATUS=MR","SCALING_FORMAT=MLN","Sort=A","Dates=H","DateFormat=P","Fill=—","Direction=H","UseDPDF=Y")</f>
        <v>—</v>
      </c>
    </row>
    <row r="19" spans="1:27" x14ac:dyDescent="0.25">
      <c r="A19" s="10" t="s">
        <v>98</v>
      </c>
      <c r="B19" s="10" t="s">
        <v>444</v>
      </c>
      <c r="C19" s="13">
        <f>_xll.BDH("SRPT US Equity","ARD_OPERATING_INCOME","FQ4 2018","FQ4 2018","Currency=USD","Period=FQ","BEST_FPERIOD_OVERRIDE=FQ","FILING_STATUS=MR","SCALING_FORMAT=MLN","Sort=A","Dates=H","DateFormat=P","Fill=—","Direction=H","UseDPDF=Y")</f>
        <v>-139.363</v>
      </c>
      <c r="D19" s="13">
        <f>_xll.BDH("SRPT US Equity","ARD_OPERATING_INCOME","FQ1 2019","FQ1 2019","Currency=USD","Period=FQ","BEST_FPERIOD_OVERRIDE=FQ","FILING_STATUS=MR","SCALING_FORMAT=MLN","Sort=A","Dates=H","DateFormat=P","Fill=—","Direction=H","UseDPDF=Y")</f>
        <v>-76.387</v>
      </c>
      <c r="E19" s="13">
        <f>_xll.BDH("SRPT US Equity","ARD_OPERATING_INCOME","FQ2 2019","FQ2 2019","Currency=USD","Period=FQ","BEST_FPERIOD_OVERRIDE=FQ","FILING_STATUS=MR","SCALING_FORMAT=MLN","Sort=A","Dates=H","DateFormat=P","Fill=—","Direction=H","UseDPDF=Y")</f>
        <v>-275.36700000000002</v>
      </c>
      <c r="F19" s="13">
        <f>_xll.BDH("SRPT US Equity","ARD_OPERATING_INCOME","FQ3 2019","FQ3 2019","Currency=USD","Period=FQ","BEST_FPERIOD_OVERRIDE=FQ","FILING_STATUS=MR","SCALING_FORMAT=MLN","Sort=A","Dates=H","DateFormat=P","Fill=—","Direction=H","UseDPDF=Y")</f>
        <v>-123.59</v>
      </c>
      <c r="G19" s="13">
        <f>_xll.BDH("SRPT US Equity","ARD_OPERATING_INCOME","FQ4 2019","FQ4 2019","Currency=USD","Period=FQ","BEST_FPERIOD_OVERRIDE=FQ","FILING_STATUS=MR","SCALING_FORMAT=MLN","Sort=A","Dates=H","DateFormat=P","Fill=—","Direction=H","UseDPDF=Y")</f>
        <v>-230.21899999999999</v>
      </c>
      <c r="H19" s="13">
        <f>_xll.BDH("SRPT US Equity","ARD_OPERATING_INCOME","FQ1 2020","FQ1 2020","Currency=USD","Period=FQ","BEST_FPERIOD_OVERRIDE=FQ","FILING_STATUS=MR","SCALING_FORMAT=MLN","Sort=A","Dates=H","DateFormat=P","Fill=—","Direction=H","UseDPDF=Y")</f>
        <v>-118.026</v>
      </c>
      <c r="I19" s="13">
        <f>_xll.BDH("SRPT US Equity","ARD_OPERATING_INCOME","FQ2 2020","FQ2 2020","Currency=USD","Period=FQ","BEST_FPERIOD_OVERRIDE=FQ","FILING_STATUS=MR","SCALING_FORMAT=MLN","Sort=A","Dates=H","DateFormat=P","Fill=—","Direction=H","UseDPDF=Y")</f>
        <v>-138.35300000000001</v>
      </c>
      <c r="J19" s="13">
        <f>_xll.BDH("SRPT US Equity","ARD_OPERATING_INCOME","FQ3 2020","FQ3 2020","Currency=USD","Period=FQ","BEST_FPERIOD_OVERRIDE=FQ","FILING_STATUS=MR","SCALING_FORMAT=MLN","Sort=A","Dates=H","DateFormat=P","Fill=—","Direction=H","UseDPDF=Y")</f>
        <v>-137.06800000000001</v>
      </c>
      <c r="K19" s="13">
        <f>_xll.BDH("SRPT US Equity","ARD_OPERATING_INCOME","FQ4 2020","FQ4 2020","Currency=USD","Period=FQ","BEST_FPERIOD_OVERRIDE=FQ","FILING_STATUS=MR","SCALING_FORMAT=MLN","Sort=A","Dates=H","DateFormat=P","Fill=—","Direction=H","UseDPDF=Y")</f>
        <v>-170.71600000000001</v>
      </c>
      <c r="L19" s="13">
        <f>_xll.BDH("SRPT US Equity","ARD_OPERATING_INCOME","FQ1 2021","FQ1 2021","Currency=USD","Period=FQ","BEST_FPERIOD_OVERRIDE=FQ","FILING_STATUS=MR","SCALING_FORMAT=MLN","Sort=A","Dates=H","DateFormat=P","Fill=—","Direction=H","UseDPDF=Y")</f>
        <v>-151.86500000000001</v>
      </c>
      <c r="M19" s="13">
        <f>_xll.BDH("SRPT US Equity","ARD_OPERATING_INCOME","FQ2 2021","FQ2 2021","Currency=USD","Period=FQ","BEST_FPERIOD_OVERRIDE=FQ","FILING_STATUS=MR","SCALING_FORMAT=MLN","Sort=A","Dates=H","DateFormat=P","Fill=—","Direction=H","UseDPDF=Y")</f>
        <v>-167.57400000000001</v>
      </c>
      <c r="N19" s="13">
        <f>_xll.BDH("SRPT US Equity","ARD_OPERATING_INCOME","FQ3 2021","FQ3 2021","Currency=USD","Period=FQ","BEST_FPERIOD_OVERRIDE=FQ","FILING_STATUS=MR","SCALING_FORMAT=MLN","Sort=A","Dates=H","DateFormat=P","Fill=—","Direction=H","UseDPDF=Y")</f>
        <v>-34.457999999999998</v>
      </c>
      <c r="O19" s="13">
        <f>_xll.BDH("SRPT US Equity","ARD_OPERATING_INCOME","FQ4 2021","FQ4 2021","Currency=USD","Period=FQ","BEST_FPERIOD_OVERRIDE=FQ","FILING_STATUS=MR","SCALING_FORMAT=MLN","Sort=A","Dates=H","DateFormat=P","Fill=—","Direction=H","UseDPDF=Y")</f>
        <v>-105.813</v>
      </c>
      <c r="P19" s="13">
        <f>_xll.BDH("SRPT US Equity","ARD_OPERATING_INCOME","FQ1 2022","FQ1 2022","Currency=USD","Period=FQ","BEST_FPERIOD_OVERRIDE=FQ","FILING_STATUS=MR","SCALING_FORMAT=MLN","Sort=A","Dates=H","DateFormat=P","Fill=—","Direction=H","UseDPDF=Y")</f>
        <v>-86.881</v>
      </c>
      <c r="Q19" s="13">
        <f>_xll.BDH("SRPT US Equity","ARD_OPERATING_INCOME","FQ2 2022","FQ2 2022","Currency=USD","Period=FQ","BEST_FPERIOD_OVERRIDE=FQ","FILING_STATUS=MR","SCALING_FORMAT=MLN","Sort=A","Dates=H","DateFormat=P","Fill=—","Direction=H","UseDPDF=Y")</f>
        <v>-211.13200000000001</v>
      </c>
      <c r="R19" s="13">
        <f>_xll.BDH("SRPT US Equity","ARD_OPERATING_INCOME","FQ3 2022","FQ3 2022","Currency=USD","Period=FQ","BEST_FPERIOD_OVERRIDE=FQ","FILING_STATUS=MR","SCALING_FORMAT=MLN","Sort=A","Dates=H","DateFormat=P","Fill=—","Direction=H","UseDPDF=Y")</f>
        <v>-131.35499999999999</v>
      </c>
      <c r="S19" s="13">
        <f>_xll.BDH("SRPT US Equity","ARD_OPERATING_INCOME","FQ4 2022","FQ4 2022","Currency=USD","Period=FQ","BEST_FPERIOD_OVERRIDE=FQ","FILING_STATUS=MR","SCALING_FORMAT=MLN","Sort=A","Dates=H","DateFormat=P","Fill=—","Direction=H","UseDPDF=Y")</f>
        <v>-106.833</v>
      </c>
      <c r="T19" s="13">
        <f>_xll.BDH("SRPT US Equity","ARD_OPERATING_INCOME","FQ1 2023","FQ1 2023","Currency=USD","Period=FQ","BEST_FPERIOD_OVERRIDE=FQ","FILING_STATUS=MR","SCALING_FORMAT=MLN","Sort=A","Dates=H","DateFormat=P","Fill=—","Direction=H","UseDPDF=Y")</f>
        <v>-138.08799999999999</v>
      </c>
      <c r="U19" s="13">
        <f>_xll.BDH("SRPT US Equity","ARD_OPERATING_INCOME","FQ2 2023","FQ2 2023","Currency=USD","Period=FQ","BEST_FPERIOD_OVERRIDE=FQ","FILING_STATUS=MR","SCALING_FORMAT=MLN","Sort=A","Dates=H","DateFormat=P","Fill=—","Direction=H","UseDPDF=Y")</f>
        <v>-133.51900000000001</v>
      </c>
      <c r="V19" s="13">
        <f>_xll.BDH("SRPT US Equity","ARD_OPERATING_INCOME","FQ3 2023","FQ3 2023","Currency=USD","Period=FQ","BEST_FPERIOD_OVERRIDE=FQ","FILING_STATUS=MR","SCALING_FORMAT=MLN","Sort=A","Dates=H","DateFormat=P","Fill=—","Direction=H","UseDPDF=Y")</f>
        <v>-20.841999999999999</v>
      </c>
      <c r="W19" s="13">
        <f>_xll.BDH("SRPT US Equity","ARD_OPERATING_INCOME","FQ4 2023","FQ4 2023","Currency=USD","Period=FQ","BEST_FPERIOD_OVERRIDE=FQ","FILING_STATUS=MR","SCALING_FORMAT=MLN","Sort=A","Dates=H","DateFormat=P","Fill=—","Direction=H","UseDPDF=Y")</f>
        <v>24.625</v>
      </c>
      <c r="X19" s="13">
        <f>_xll.BDH("SRPT US Equity","ARD_OPERATING_INCOME","FQ1 2024","FQ1 2024","Currency=USD","Period=FQ","BEST_FPERIOD_OVERRIDE=FQ","FILING_STATUS=MR","SCALING_FORMAT=MLN","Sort=A","Dates=H","DateFormat=P","Fill=—","Direction=H","UseDPDF=Y")</f>
        <v>34.905000000000001</v>
      </c>
      <c r="Y19" s="13">
        <f>_xll.BDH("SRPT US Equity","ARD_OPERATING_INCOME","FQ2 2024","FQ2 2024","Currency=USD","Period=FQ","BEST_FPERIOD_OVERRIDE=FQ","FILING_STATUS=MR","SCALING_FORMAT=MLN","Sort=A","Dates=H","DateFormat=P","Fill=—","Direction=H","UseDPDF=Y")</f>
        <v>-0.70099999999999996</v>
      </c>
      <c r="Z19" s="13">
        <f>_xll.BDH("SRPT US Equity","ARD_OPERATING_INCOME","FQ3 2024","FQ3 2024","Currency=USD","Period=FQ","BEST_FPERIOD_OVERRIDE=FQ","FILING_STATUS=MR","SCALING_FORMAT=MLN","Sort=A","Dates=H","DateFormat=P","Fill=—","Direction=H","UseDPDF=Y")</f>
        <v>22.196000000000002</v>
      </c>
      <c r="AA19" s="13">
        <f>_xll.BDH("SRPT US Equity","ARD_OPERATING_INCOME","FQ4 2024","FQ4 2024","Currency=USD","Period=FQ","BEST_FPERIOD_OVERRIDE=FQ","FILING_STATUS=MR","SCALING_FORMAT=MLN","Sort=A","Dates=H","DateFormat=P","Fill=—","Direction=H","UseDPDF=Y")</f>
        <v>161.68100000000001</v>
      </c>
    </row>
    <row r="20" spans="1:27" x14ac:dyDescent="0.25">
      <c r="A20" s="10" t="s">
        <v>445</v>
      </c>
      <c r="B20" s="10" t="s">
        <v>446</v>
      </c>
      <c r="C20" s="13">
        <f>_xll.BDH("SRPT US Equity","ARD_AMORT_OF_INTANGIBLE_ASSETS","FQ4 2018","FQ4 2018","Currency=USD","Period=FQ","BEST_FPERIOD_OVERRIDE=FQ","FILING_STATUS=MR","SCALING_FORMAT=MLN","Sort=A","Dates=H","DateFormat=P","Fill=—","Direction=H","UseDPDF=Y")</f>
        <v>0.216</v>
      </c>
      <c r="D20" s="13">
        <f>_xll.BDH("SRPT US Equity","ARD_AMORT_OF_INTANGIBLE_ASSETS","FQ1 2019","FQ1 2019","Currency=USD","Period=FQ","BEST_FPERIOD_OVERRIDE=FQ","FILING_STATUS=MR","SCALING_FORMAT=MLN","Sort=A","Dates=H","DateFormat=P","Fill=—","Direction=H","UseDPDF=Y")</f>
        <v>0.216</v>
      </c>
      <c r="E20" s="13">
        <f>_xll.BDH("SRPT US Equity","ARD_AMORT_OF_INTANGIBLE_ASSETS","FQ2 2019","FQ2 2019","Currency=USD","Period=FQ","BEST_FPERIOD_OVERRIDE=FQ","FILING_STATUS=MR","SCALING_FORMAT=MLN","Sort=A","Dates=H","DateFormat=P","Fill=—","Direction=H","UseDPDF=Y")</f>
        <v>0.217</v>
      </c>
      <c r="F20" s="13">
        <f>_xll.BDH("SRPT US Equity","ARD_AMORT_OF_INTANGIBLE_ASSETS","FQ3 2019","FQ3 2019","Currency=USD","Period=FQ","BEST_FPERIOD_OVERRIDE=FQ","FILING_STATUS=MR","SCALING_FORMAT=MLN","Sort=A","Dates=H","DateFormat=P","Fill=—","Direction=H","UseDPDF=Y")</f>
        <v>0.216</v>
      </c>
      <c r="G20" s="13">
        <f>_xll.BDH("SRPT US Equity","ARD_AMORT_OF_INTANGIBLE_ASSETS","FQ4 2019","FQ4 2019","Currency=USD","Period=FQ","BEST_FPERIOD_OVERRIDE=FQ","FILING_STATUS=MR","SCALING_FORMAT=MLN","Sort=A","Dates=H","DateFormat=P","Fill=—","Direction=H","UseDPDF=Y")</f>
        <v>0.2</v>
      </c>
      <c r="H20" s="13">
        <f>_xll.BDH("SRPT US Equity","ARD_AMORT_OF_INTANGIBLE_ASSETS","FQ1 2020","FQ1 2020","Currency=USD","Period=FQ","BEST_FPERIOD_OVERRIDE=FQ","FILING_STATUS=MR","SCALING_FORMAT=MLN","Sort=A","Dates=H","DateFormat=P","Fill=—","Direction=H","UseDPDF=Y")</f>
        <v>0.16600000000000001</v>
      </c>
      <c r="I20" s="13">
        <f>_xll.BDH("SRPT US Equity","ARD_AMORT_OF_INTANGIBLE_ASSETS","FQ2 2020","FQ2 2020","Currency=USD","Period=FQ","BEST_FPERIOD_OVERRIDE=FQ","FILING_STATUS=MR","SCALING_FORMAT=MLN","Sort=A","Dates=H","DateFormat=P","Fill=—","Direction=H","UseDPDF=Y")</f>
        <v>0.16500000000000001</v>
      </c>
      <c r="J20" s="13">
        <f>_xll.BDH("SRPT US Equity","ARD_AMORT_OF_INTANGIBLE_ASSETS","FQ3 2020","FQ3 2020","Currency=USD","Period=FQ","BEST_FPERIOD_OVERRIDE=FQ","FILING_STATUS=MR","SCALING_FORMAT=MLN","Sort=A","Dates=H","DateFormat=P","Fill=—","Direction=H","UseDPDF=Y")</f>
        <v>0.16600000000000001</v>
      </c>
      <c r="K20" s="13">
        <f>_xll.BDH("SRPT US Equity","ARD_AMORT_OF_INTANGIBLE_ASSETS","FQ4 2020","FQ4 2020","Currency=USD","Period=FQ","BEST_FPERIOD_OVERRIDE=FQ","FILING_STATUS=MR","SCALING_FORMAT=MLN","Sort=A","Dates=H","DateFormat=P","Fill=—","Direction=H","UseDPDF=Y")</f>
        <v>0.16500000000000001</v>
      </c>
      <c r="L20" s="13">
        <f>_xll.BDH("SRPT US Equity","ARD_AMORT_OF_INTANGIBLE_ASSETS","FQ1 2021","FQ1 2021","Currency=USD","Period=FQ","BEST_FPERIOD_OVERRIDE=FQ","FILING_STATUS=MR","SCALING_FORMAT=MLN","Sort=A","Dates=H","DateFormat=P","Fill=—","Direction=H","UseDPDF=Y")</f>
        <v>0.17</v>
      </c>
      <c r="M20" s="13">
        <f>_xll.BDH("SRPT US Equity","ARD_AMORT_OF_INTANGIBLE_ASSETS","FQ2 2021","FQ2 2021","Currency=USD","Period=FQ","BEST_FPERIOD_OVERRIDE=FQ","FILING_STATUS=MR","SCALING_FORMAT=MLN","Sort=A","Dates=H","DateFormat=P","Fill=—","Direction=H","UseDPDF=Y")</f>
        <v>0.17899999999999999</v>
      </c>
      <c r="N20" s="13">
        <f>_xll.BDH("SRPT US Equity","ARD_AMORT_OF_INTANGIBLE_ASSETS","FQ3 2021","FQ3 2021","Currency=USD","Period=FQ","BEST_FPERIOD_OVERRIDE=FQ","FILING_STATUS=MR","SCALING_FORMAT=MLN","Sort=A","Dates=H","DateFormat=P","Fill=—","Direction=H","UseDPDF=Y")</f>
        <v>0.17799999999999999</v>
      </c>
      <c r="O20" s="13">
        <f>_xll.BDH("SRPT US Equity","ARD_AMORT_OF_INTANGIBLE_ASSETS","FQ4 2021","FQ4 2021","Currency=USD","Period=FQ","BEST_FPERIOD_OVERRIDE=FQ","FILING_STATUS=MR","SCALING_FORMAT=MLN","Sort=A","Dates=H","DateFormat=P","Fill=—","Direction=H","UseDPDF=Y")</f>
        <v>0.17899999999999999</v>
      </c>
      <c r="P20" s="13">
        <f>_xll.BDH("SRPT US Equity","ARD_AMORT_OF_INTANGIBLE_ASSETS","FQ1 2022","FQ1 2022","Currency=USD","Period=FQ","BEST_FPERIOD_OVERRIDE=FQ","FILING_STATUS=MR","SCALING_FORMAT=MLN","Sort=A","Dates=H","DateFormat=P","Fill=—","Direction=H","UseDPDF=Y")</f>
        <v>0.17799999999999999</v>
      </c>
      <c r="Q20" s="13">
        <f>_xll.BDH("SRPT US Equity","ARD_AMORT_OF_INTANGIBLE_ASSETS","FQ2 2022","FQ2 2022","Currency=USD","Period=FQ","BEST_FPERIOD_OVERRIDE=FQ","FILING_STATUS=MR","SCALING_FORMAT=MLN","Sort=A","Dates=H","DateFormat=P","Fill=—","Direction=H","UseDPDF=Y")</f>
        <v>0.17899999999999999</v>
      </c>
      <c r="R20" s="13">
        <f>_xll.BDH("SRPT US Equity","ARD_AMORT_OF_INTANGIBLE_ASSETS","FQ3 2022","FQ3 2022","Currency=USD","Period=FQ","BEST_FPERIOD_OVERRIDE=FQ","FILING_STATUS=MR","SCALING_FORMAT=MLN","Sort=A","Dates=H","DateFormat=P","Fill=—","Direction=H","UseDPDF=Y")</f>
        <v>0.17799999999999999</v>
      </c>
      <c r="S20" s="13">
        <f>_xll.BDH("SRPT US Equity","ARD_AMORT_OF_INTANGIBLE_ASSETS","FQ4 2022","FQ4 2022","Currency=USD","Period=FQ","BEST_FPERIOD_OVERRIDE=FQ","FILING_STATUS=MR","SCALING_FORMAT=MLN","Sort=A","Dates=H","DateFormat=P","Fill=—","Direction=H","UseDPDF=Y")</f>
        <v>0.17899999999999999</v>
      </c>
      <c r="T20" s="13">
        <f>_xll.BDH("SRPT US Equity","ARD_AMORT_OF_INTANGIBLE_ASSETS","FQ1 2023","FQ1 2023","Currency=USD","Period=FQ","BEST_FPERIOD_OVERRIDE=FQ","FILING_STATUS=MR","SCALING_FORMAT=MLN","Sort=A","Dates=H","DateFormat=P","Fill=—","Direction=H","UseDPDF=Y")</f>
        <v>0.17799999999999999</v>
      </c>
      <c r="U20" s="13">
        <f>_xll.BDH("SRPT US Equity","ARD_AMORT_OF_INTANGIBLE_ASSETS","FQ2 2023","FQ2 2023","Currency=USD","Period=FQ","BEST_FPERIOD_OVERRIDE=FQ","FILING_STATUS=MR","SCALING_FORMAT=MLN","Sort=A","Dates=H","DateFormat=P","Fill=—","Direction=H","UseDPDF=Y")</f>
        <v>0.17899999999999999</v>
      </c>
      <c r="V20" s="13">
        <f>_xll.BDH("SRPT US Equity","ARD_AMORT_OF_INTANGIBLE_ASSETS","FQ3 2023","FQ3 2023","Currency=USD","Period=FQ","BEST_FPERIOD_OVERRIDE=FQ","FILING_STATUS=MR","SCALING_FORMAT=MLN","Sort=A","Dates=H","DateFormat=P","Fill=—","Direction=H","UseDPDF=Y")</f>
        <v>0.439</v>
      </c>
      <c r="W20" s="13">
        <f>_xll.BDH("SRPT US Equity","ARD_AMORT_OF_INTANGIBLE_ASSETS","FQ4 2023","FQ4 2023","Currency=USD","Period=FQ","BEST_FPERIOD_OVERRIDE=FQ","FILING_STATUS=MR","SCALING_FORMAT=MLN","Sort=A","Dates=H","DateFormat=P","Fill=—","Direction=H","UseDPDF=Y")</f>
        <v>0.76300000000000001</v>
      </c>
      <c r="X20" s="13">
        <f>_xll.BDH("SRPT US Equity","ARD_AMORT_OF_INTANGIBLE_ASSETS","FQ1 2024","FQ1 2024","Currency=USD","Period=FQ","BEST_FPERIOD_OVERRIDE=FQ","FILING_STATUS=MR","SCALING_FORMAT=MLN","Sort=A","Dates=H","DateFormat=P","Fill=—","Direction=H","UseDPDF=Y")</f>
        <v>0.60099999999999998</v>
      </c>
      <c r="Y20" s="13">
        <f>_xll.BDH("SRPT US Equity","ARD_AMORT_OF_INTANGIBLE_ASSETS","FQ2 2024","FQ2 2024","Currency=USD","Period=FQ","BEST_FPERIOD_OVERRIDE=FQ","FILING_STATUS=MR","SCALING_FORMAT=MLN","Sort=A","Dates=H","DateFormat=P","Fill=—","Direction=H","UseDPDF=Y")</f>
        <v>0.60099999999999998</v>
      </c>
      <c r="Z20" s="13">
        <f>_xll.BDH("SRPT US Equity","ARD_AMORT_OF_INTANGIBLE_ASSETS","FQ3 2024","FQ3 2024","Currency=USD","Period=FQ","BEST_FPERIOD_OVERRIDE=FQ","FILING_STATUS=MR","SCALING_FORMAT=MLN","Sort=A","Dates=H","DateFormat=P","Fill=—","Direction=H","UseDPDF=Y")</f>
        <v>0.60199999999999998</v>
      </c>
      <c r="AA20" s="13">
        <f>_xll.BDH("SRPT US Equity","ARD_AMORT_OF_INTANGIBLE_ASSETS","FQ4 2024","FQ4 2024","Currency=USD","Period=FQ","BEST_FPERIOD_OVERRIDE=FQ","FILING_STATUS=MR","SCALING_FORMAT=MLN","Sort=A","Dates=H","DateFormat=P","Fill=—","Direction=H","UseDPDF=Y")</f>
        <v>0.60099999999999998</v>
      </c>
    </row>
    <row r="21" spans="1:27" x14ac:dyDescent="0.25">
      <c r="A21" s="10" t="s">
        <v>447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10" t="s">
        <v>448</v>
      </c>
      <c r="B22" s="10" t="s">
        <v>449</v>
      </c>
      <c r="C22" s="13" t="str">
        <f>_xll.BDH("SRPT US Equity","ARD_OTHER_NON_OPERATING_INC","FQ4 2018","FQ4 2018","Currency=USD","Period=FQ","BEST_FPERIOD_OVERRIDE=FQ","FILING_STATUS=MR","SCALING_FORMAT=MLN","Sort=A","Dates=H","DateFormat=P","Fill=—","Direction=H","UseDPDF=Y")</f>
        <v>—</v>
      </c>
      <c r="D22" s="13" t="str">
        <f>_xll.BDH("SRPT US Equity","ARD_OTHER_NON_OPERATING_INC","FQ1 2019","FQ1 2019","Currency=USD","Period=FQ","BEST_FPERIOD_OVERRIDE=FQ","FILING_STATUS=MR","SCALING_FORMAT=MLN","Sort=A","Dates=H","DateFormat=P","Fill=—","Direction=H","UseDPDF=Y")</f>
        <v>—</v>
      </c>
      <c r="E22" s="13" t="str">
        <f>_xll.BDH("SRPT US Equity","ARD_OTHER_NON_OPERATING_INC","FQ2 2019","FQ2 2019","Currency=USD","Period=FQ","BEST_FPERIOD_OVERRIDE=FQ","FILING_STATUS=MR","SCALING_FORMAT=MLN","Sort=A","Dates=H","DateFormat=P","Fill=—","Direction=H","UseDPDF=Y")</f>
        <v>—</v>
      </c>
      <c r="F22" s="13" t="str">
        <f>_xll.BDH("SRPT US Equity","ARD_OTHER_NON_OPERATING_INC","FQ3 2019","FQ3 2019","Currency=USD","Period=FQ","BEST_FPERIOD_OVERRIDE=FQ","FILING_STATUS=MR","SCALING_FORMAT=MLN","Sort=A","Dates=H","DateFormat=P","Fill=—","Direction=H","UseDPDF=Y")</f>
        <v>—</v>
      </c>
      <c r="G22" s="13" t="str">
        <f>_xll.BDH("SRPT US Equity","ARD_OTHER_NON_OPERATING_INC","FQ4 2019","FQ4 2019","Currency=USD","Period=FQ","BEST_FPERIOD_OVERRIDE=FQ","FILING_STATUS=MR","SCALING_FORMAT=MLN","Sort=A","Dates=H","DateFormat=P","Fill=—","Direction=H","UseDPDF=Y")</f>
        <v>—</v>
      </c>
      <c r="H22" s="13" t="str">
        <f>_xll.BDH("SRPT US Equity","ARD_OTHER_NON_OPERATING_INC","FQ1 2020","FQ1 2020","Currency=USD","Period=FQ","BEST_FPERIOD_OVERRIDE=FQ","FILING_STATUS=MR","SCALING_FORMAT=MLN","Sort=A","Dates=H","DateFormat=P","Fill=—","Direction=H","UseDPDF=Y")</f>
        <v>—</v>
      </c>
      <c r="I22" s="13" t="str">
        <f>_xll.BDH("SRPT US Equity","ARD_OTHER_NON_OPERATING_INC","FQ2 2020","FQ2 2020","Currency=USD","Period=FQ","BEST_FPERIOD_OVERRIDE=FQ","FILING_STATUS=MR","SCALING_FORMAT=MLN","Sort=A","Dates=H","DateFormat=P","Fill=—","Direction=H","UseDPDF=Y")</f>
        <v>—</v>
      </c>
      <c r="J22" s="13" t="str">
        <f>_xll.BDH("SRPT US Equity","ARD_OTHER_NON_OPERATING_INC","FQ3 2020","FQ3 2020","Currency=USD","Period=FQ","BEST_FPERIOD_OVERRIDE=FQ","FILING_STATUS=MR","SCALING_FORMAT=MLN","Sort=A","Dates=H","DateFormat=P","Fill=—","Direction=H","UseDPDF=Y")</f>
        <v>—</v>
      </c>
      <c r="K22" s="13" t="str">
        <f>_xll.BDH("SRPT US Equity","ARD_OTHER_NON_OPERATING_INC","FQ4 2020","FQ4 2020","Currency=USD","Period=FQ","BEST_FPERIOD_OVERRIDE=FQ","FILING_STATUS=MR","SCALING_FORMAT=MLN","Sort=A","Dates=H","DateFormat=P","Fill=—","Direction=H","UseDPDF=Y")</f>
        <v>—</v>
      </c>
      <c r="L22" s="13" t="str">
        <f>_xll.BDH("SRPT US Equity","ARD_OTHER_NON_OPERATING_INC","FQ1 2021","FQ1 2021","Currency=USD","Period=FQ","BEST_FPERIOD_OVERRIDE=FQ","FILING_STATUS=MR","SCALING_FORMAT=MLN","Sort=A","Dates=H","DateFormat=P","Fill=—","Direction=H","UseDPDF=Y")</f>
        <v>—</v>
      </c>
      <c r="M22" s="13" t="str">
        <f>_xll.BDH("SRPT US Equity","ARD_OTHER_NON_OPERATING_INC","FQ2 2021","FQ2 2021","Currency=USD","Period=FQ","BEST_FPERIOD_OVERRIDE=FQ","FILING_STATUS=MR","SCALING_FORMAT=MLN","Sort=A","Dates=H","DateFormat=P","Fill=—","Direction=H","UseDPDF=Y")</f>
        <v>—</v>
      </c>
      <c r="N22" s="13" t="str">
        <f>_xll.BDH("SRPT US Equity","ARD_OTHER_NON_OPERATING_INC","FQ3 2021","FQ3 2021","Currency=USD","Period=FQ","BEST_FPERIOD_OVERRIDE=FQ","FILING_STATUS=MR","SCALING_FORMAT=MLN","Sort=A","Dates=H","DateFormat=P","Fill=—","Direction=H","UseDPDF=Y")</f>
        <v>—</v>
      </c>
      <c r="O22" s="13" t="str">
        <f>_xll.BDH("SRPT US Equity","ARD_OTHER_NON_OPERATING_INC","FQ4 2021","FQ4 2021","Currency=USD","Period=FQ","BEST_FPERIOD_OVERRIDE=FQ","FILING_STATUS=MR","SCALING_FORMAT=MLN","Sort=A","Dates=H","DateFormat=P","Fill=—","Direction=H","UseDPDF=Y")</f>
        <v>—</v>
      </c>
      <c r="P22" s="13" t="str">
        <f>_xll.BDH("SRPT US Equity","ARD_OTHER_NON_OPERATING_INC","FQ1 2022","FQ1 2022","Currency=USD","Period=FQ","BEST_FPERIOD_OVERRIDE=FQ","FILING_STATUS=MR","SCALING_FORMAT=MLN","Sort=A","Dates=H","DateFormat=P","Fill=—","Direction=H","UseDPDF=Y")</f>
        <v>—</v>
      </c>
      <c r="Q22" s="13" t="str">
        <f>_xll.BDH("SRPT US Equity","ARD_OTHER_NON_OPERATING_INC","FQ2 2022","FQ2 2022","Currency=USD","Period=FQ","BEST_FPERIOD_OVERRIDE=FQ","FILING_STATUS=MR","SCALING_FORMAT=MLN","Sort=A","Dates=H","DateFormat=P","Fill=—","Direction=H","UseDPDF=Y")</f>
        <v>—</v>
      </c>
      <c r="R22" s="13" t="str">
        <f>_xll.BDH("SRPT US Equity","ARD_OTHER_NON_OPERATING_INC","FQ3 2022","FQ3 2022","Currency=USD","Period=FQ","BEST_FPERIOD_OVERRIDE=FQ","FILING_STATUS=MR","SCALING_FORMAT=MLN","Sort=A","Dates=H","DateFormat=P","Fill=—","Direction=H","UseDPDF=Y")</f>
        <v>—</v>
      </c>
      <c r="S22" s="13" t="str">
        <f>_xll.BDH("SRPT US Equity","ARD_OTHER_NON_OPERATING_INC","FQ4 2022","FQ4 2022","Currency=USD","Period=FQ","BEST_FPERIOD_OVERRIDE=FQ","FILING_STATUS=MR","SCALING_FORMAT=MLN","Sort=A","Dates=H","DateFormat=P","Fill=—","Direction=H","UseDPDF=Y")</f>
        <v>—</v>
      </c>
      <c r="T22" s="13" t="str">
        <f>_xll.BDH("SRPT US Equity","ARD_OTHER_NON_OPERATING_INC","FQ1 2023","FQ1 2023","Currency=USD","Period=FQ","BEST_FPERIOD_OVERRIDE=FQ","FILING_STATUS=MR","SCALING_FORMAT=MLN","Sort=A","Dates=H","DateFormat=P","Fill=—","Direction=H","UseDPDF=Y")</f>
        <v>—</v>
      </c>
      <c r="U22" s="13" t="str">
        <f>_xll.BDH("SRPT US Equity","ARD_OTHER_NON_OPERATING_INC","FQ2 2023","FQ2 2023","Currency=USD","Period=FQ","BEST_FPERIOD_OVERRIDE=FQ","FILING_STATUS=MR","SCALING_FORMAT=MLN","Sort=A","Dates=H","DateFormat=P","Fill=—","Direction=H","UseDPDF=Y")</f>
        <v>—</v>
      </c>
      <c r="V22" s="13" t="str">
        <f>_xll.BDH("SRPT US Equity","ARD_OTHER_NON_OPERATING_INC","FQ3 2023","FQ3 2023","Currency=USD","Period=FQ","BEST_FPERIOD_OVERRIDE=FQ","FILING_STATUS=MR","SCALING_FORMAT=MLN","Sort=A","Dates=H","DateFormat=P","Fill=—","Direction=H","UseDPDF=Y")</f>
        <v>—</v>
      </c>
      <c r="W22" s="13">
        <f>_xll.BDH("SRPT US Equity","ARD_OTHER_NON_OPERATING_INC","FQ4 2023","FQ4 2023","Currency=USD","Period=FQ","BEST_FPERIOD_OVERRIDE=FQ","FILING_STATUS=MR","SCALING_FORMAT=MLN","Sort=A","Dates=H","DateFormat=P","Fill=—","Direction=H","UseDPDF=Y")</f>
        <v>0</v>
      </c>
      <c r="X22" s="13" t="str">
        <f>_xll.BDH("SRPT US Equity","ARD_OTHER_NON_OPERATING_INC","FQ1 2024","FQ1 2024","Currency=USD","Period=FQ","BEST_FPERIOD_OVERRIDE=FQ","FILING_STATUS=MR","SCALING_FORMAT=MLN","Sort=A","Dates=H","DateFormat=P","Fill=—","Direction=H","UseDPDF=Y")</f>
        <v>—</v>
      </c>
      <c r="Y22" s="13" t="str">
        <f>_xll.BDH("SRPT US Equity","ARD_OTHER_NON_OPERATING_INC","FQ2 2024","FQ2 2024","Currency=USD","Period=FQ","BEST_FPERIOD_OVERRIDE=FQ","FILING_STATUS=MR","SCALING_FORMAT=MLN","Sort=A","Dates=H","DateFormat=P","Fill=—","Direction=H","UseDPDF=Y")</f>
        <v>—</v>
      </c>
      <c r="Z22" s="13" t="str">
        <f>_xll.BDH("SRPT US Equity","ARD_OTHER_NON_OPERATING_INC","FQ3 2024","FQ3 2024","Currency=USD","Period=FQ","BEST_FPERIOD_OVERRIDE=FQ","FILING_STATUS=MR","SCALING_FORMAT=MLN","Sort=A","Dates=H","DateFormat=P","Fill=—","Direction=H","UseDPDF=Y")</f>
        <v>—</v>
      </c>
      <c r="AA22" s="13" t="str">
        <f>_xll.BDH("SRPT US Equity","ARD_OTHER_NON_OPERATING_INC","FQ4 2024","FQ4 2024","Currency=USD","Period=FQ","BEST_FPERIOD_OVERRIDE=FQ","FILING_STATUS=MR","SCALING_FORMAT=MLN","Sort=A","Dates=H","DateFormat=P","Fill=—","Direction=H","UseDPDF=Y")</f>
        <v>—</v>
      </c>
    </row>
    <row r="23" spans="1:27" x14ac:dyDescent="0.25">
      <c r="A23" s="10" t="s">
        <v>450</v>
      </c>
      <c r="B23" s="10" t="s">
        <v>451</v>
      </c>
      <c r="C23" s="13">
        <f>_xll.BDH("SRPT US Equity","ARD_INCOME_TAX_EXP_BENEFIT","FQ4 2018","FQ4 2018","Currency=USD","Period=FQ","BEST_FPERIOD_OVERRIDE=FQ","FILING_STATUS=MR","SCALING_FORMAT=MLN","Sort=A","Dates=H","DateFormat=P","Fill=—","Direction=H","UseDPDF=Y")</f>
        <v>-0.77900000000000003</v>
      </c>
      <c r="D23" s="13" t="str">
        <f>_xll.BDH("SRPT US Equity","ARD_INCOME_TAX_EXP_BENEFIT","FQ1 2019","FQ1 2019","Currency=USD","Period=FQ","BEST_FPERIOD_OVERRIDE=FQ","FILING_STATUS=MR","SCALING_FORMAT=MLN","Sort=A","Dates=H","DateFormat=P","Fill=—","Direction=H","UseDPDF=Y")</f>
        <v>—</v>
      </c>
      <c r="E23" s="13">
        <f>_xll.BDH("SRPT US Equity","ARD_INCOME_TAX_EXP_BENEFIT","FQ2 2019","FQ2 2019","Currency=USD","Period=FQ","BEST_FPERIOD_OVERRIDE=FQ","FILING_STATUS=MR","SCALING_FORMAT=MLN","Sort=A","Dates=H","DateFormat=P","Fill=—","Direction=H","UseDPDF=Y")</f>
        <v>0.17399999999999999</v>
      </c>
      <c r="F23" s="13">
        <f>_xll.BDH("SRPT US Equity","ARD_INCOME_TAX_EXP_BENEFIT","FQ3 2019","FQ3 2019","Currency=USD","Period=FQ","BEST_FPERIOD_OVERRIDE=FQ","FILING_STATUS=MR","SCALING_FORMAT=MLN","Sort=A","Dates=H","DateFormat=P","Fill=—","Direction=H","UseDPDF=Y")</f>
        <v>0.22600000000000001</v>
      </c>
      <c r="G23" s="13">
        <f>_xll.BDH("SRPT US Equity","ARD_INCOME_TAX_EXP_BENEFIT","FQ4 2019","FQ4 2019","Currency=USD","Period=FQ","BEST_FPERIOD_OVERRIDE=FQ","FILING_STATUS=MR","SCALING_FORMAT=MLN","Sort=A","Dates=H","DateFormat=P","Fill=—","Direction=H","UseDPDF=Y")</f>
        <v>0.71099999999999997</v>
      </c>
      <c r="H23" s="13">
        <f>_xll.BDH("SRPT US Equity","ARD_INCOME_TAX_EXP_BENEFIT","FQ1 2020","FQ1 2020","Currency=USD","Period=FQ","BEST_FPERIOD_OVERRIDE=FQ","FILING_STATUS=MR","SCALING_FORMAT=MLN","Sort=A","Dates=H","DateFormat=P","Fill=—","Direction=H","UseDPDF=Y")</f>
        <v>0.115</v>
      </c>
      <c r="I23" s="13">
        <f>_xll.BDH("SRPT US Equity","ARD_INCOME_TAX_EXP_BENEFIT","FQ2 2020","FQ2 2020","Currency=USD","Period=FQ","BEST_FPERIOD_OVERRIDE=FQ","FILING_STATUS=MR","SCALING_FORMAT=MLN","Sort=A","Dates=H","DateFormat=P","Fill=—","Direction=H","UseDPDF=Y")</f>
        <v>0.02</v>
      </c>
      <c r="J23" s="13">
        <f>_xll.BDH("SRPT US Equity","ARD_INCOME_TAX_EXP_BENEFIT","FQ3 2020","FQ3 2020","Currency=USD","Period=FQ","BEST_FPERIOD_OVERRIDE=FQ","FILING_STATUS=MR","SCALING_FORMAT=MLN","Sort=A","Dates=H","DateFormat=P","Fill=—","Direction=H","UseDPDF=Y")</f>
        <v>9.6000000000000002E-2</v>
      </c>
      <c r="K23" s="13">
        <f>_xll.BDH("SRPT US Equity","ARD_INCOME_TAX_EXP_BENEFIT","FQ4 2020","FQ4 2020","Currency=USD","Period=FQ","BEST_FPERIOD_OVERRIDE=FQ","FILING_STATUS=MR","SCALING_FORMAT=MLN","Sort=A","Dates=H","DateFormat=P","Fill=—","Direction=H","UseDPDF=Y")</f>
        <v>0.83199999999999996</v>
      </c>
      <c r="L23" s="13">
        <f>_xll.BDH("SRPT US Equity","ARD_INCOME_TAX_EXP_BENEFIT","FQ1 2021","FQ1 2021","Currency=USD","Period=FQ","BEST_FPERIOD_OVERRIDE=FQ","FILING_STATUS=MR","SCALING_FORMAT=MLN","Sort=A","Dates=H","DateFormat=P","Fill=—","Direction=H","UseDPDF=Y")</f>
        <v>-0.14299999999999999</v>
      </c>
      <c r="M23" s="13">
        <f>_xll.BDH("SRPT US Equity","ARD_INCOME_TAX_EXP_BENEFIT","FQ2 2021","FQ2 2021","Currency=USD","Period=FQ","BEST_FPERIOD_OVERRIDE=FQ","FILING_STATUS=MR","SCALING_FORMAT=MLN","Sort=A","Dates=H","DateFormat=P","Fill=—","Direction=H","UseDPDF=Y")</f>
        <v>-0.35399999999999998</v>
      </c>
      <c r="N23" s="13">
        <f>_xll.BDH("SRPT US Equity","ARD_INCOME_TAX_EXP_BENEFIT","FQ3 2021","FQ3 2021","Currency=USD","Period=FQ","BEST_FPERIOD_OVERRIDE=FQ","FILING_STATUS=MR","SCALING_FORMAT=MLN","Sort=A","Dates=H","DateFormat=P","Fill=—","Direction=H","UseDPDF=Y")</f>
        <v>0.23699999999999999</v>
      </c>
      <c r="O23" s="13">
        <f>_xll.BDH("SRPT US Equity","ARD_INCOME_TAX_EXP_BENEFIT","FQ4 2021","FQ4 2021","Currency=USD","Period=FQ","BEST_FPERIOD_OVERRIDE=FQ","FILING_STATUS=MR","SCALING_FORMAT=MLN","Sort=A","Dates=H","DateFormat=P","Fill=—","Direction=H","UseDPDF=Y")</f>
        <v>9.1999999999999998E-2</v>
      </c>
      <c r="P23" s="13">
        <f>_xll.BDH("SRPT US Equity","ARD_INCOME_TAX_EXP_BENEFIT","FQ1 2022","FQ1 2022","Currency=USD","Period=FQ","BEST_FPERIOD_OVERRIDE=FQ","FILING_STATUS=MR","SCALING_FORMAT=MLN","Sort=A","Dates=H","DateFormat=P","Fill=—","Direction=H","UseDPDF=Y")</f>
        <v>0.879</v>
      </c>
      <c r="Q23" s="13">
        <f>_xll.BDH("SRPT US Equity","ARD_INCOME_TAX_EXP_BENEFIT","FQ2 2022","FQ2 2022","Currency=USD","Period=FQ","BEST_FPERIOD_OVERRIDE=FQ","FILING_STATUS=MR","SCALING_FORMAT=MLN","Sort=A","Dates=H","DateFormat=P","Fill=—","Direction=H","UseDPDF=Y")</f>
        <v>3.3879999999999999</v>
      </c>
      <c r="R23" s="13">
        <f>_xll.BDH("SRPT US Equity","ARD_INCOME_TAX_EXP_BENEFIT","FQ3 2022","FQ3 2022","Currency=USD","Period=FQ","BEST_FPERIOD_OVERRIDE=FQ","FILING_STATUS=MR","SCALING_FORMAT=MLN","Sort=A","Dates=H","DateFormat=P","Fill=—","Direction=H","UseDPDF=Y")</f>
        <v>1.32</v>
      </c>
      <c r="S23" s="13">
        <f>_xll.BDH("SRPT US Equity","ARD_INCOME_TAX_EXP_BENEFIT","FQ4 2022","FQ4 2022","Currency=USD","Period=FQ","BEST_FPERIOD_OVERRIDE=FQ","FILING_STATUS=MR","SCALING_FORMAT=MLN","Sort=A","Dates=H","DateFormat=P","Fill=—","Direction=H","UseDPDF=Y")</f>
        <v>7.9379999999999997</v>
      </c>
      <c r="T23" s="13">
        <f>_xll.BDH("SRPT US Equity","ARD_INCOME_TAX_EXP_BENEFIT","FQ1 2023","FQ1 2023","Currency=USD","Period=FQ","BEST_FPERIOD_OVERRIDE=FQ","FILING_STATUS=MR","SCALING_FORMAT=MLN","Sort=A","Dates=H","DateFormat=P","Fill=—","Direction=H","UseDPDF=Y")</f>
        <v>4.0449999999999999</v>
      </c>
      <c r="U23" s="13">
        <f>_xll.BDH("SRPT US Equity","ARD_INCOME_TAX_EXP_BENEFIT","FQ2 2023","FQ2 2023","Currency=USD","Period=FQ","BEST_FPERIOD_OVERRIDE=FQ","FILING_STATUS=MR","SCALING_FORMAT=MLN","Sort=A","Dates=H","DateFormat=P","Fill=—","Direction=H","UseDPDF=Y")</f>
        <v>9.3550000000000004</v>
      </c>
      <c r="V23" s="13">
        <f>_xll.BDH("SRPT US Equity","ARD_INCOME_TAX_EXP_BENEFIT","FQ3 2023","FQ3 2023","Currency=USD","Period=FQ","BEST_FPERIOD_OVERRIDE=FQ","FILING_STATUS=MR","SCALING_FORMAT=MLN","Sort=A","Dates=H","DateFormat=P","Fill=—","Direction=H","UseDPDF=Y")</f>
        <v>7.7629999999999999</v>
      </c>
      <c r="W23" s="13">
        <f>_xll.BDH("SRPT US Equity","ARD_INCOME_TAX_EXP_BENEFIT","FQ4 2023","FQ4 2023","Currency=USD","Period=FQ","BEST_FPERIOD_OVERRIDE=FQ","FILING_STATUS=MR","SCALING_FORMAT=MLN","Sort=A","Dates=H","DateFormat=P","Fill=—","Direction=H","UseDPDF=Y")</f>
        <v>-5.2839999999999998</v>
      </c>
      <c r="X23" s="13">
        <f>_xll.BDH("SRPT US Equity","ARD_INCOME_TAX_EXP_BENEFIT","FQ1 2024","FQ1 2024","Currency=USD","Period=FQ","BEST_FPERIOD_OVERRIDE=FQ","FILING_STATUS=MR","SCALING_FORMAT=MLN","Sort=A","Dates=H","DateFormat=P","Fill=—","Direction=H","UseDPDF=Y")</f>
        <v>5.3289999999999997</v>
      </c>
      <c r="Y23" s="13">
        <f>_xll.BDH("SRPT US Equity","ARD_INCOME_TAX_EXP_BENEFIT","FQ2 2024","FQ2 2024","Currency=USD","Period=FQ","BEST_FPERIOD_OVERRIDE=FQ","FILING_STATUS=MR","SCALING_FORMAT=MLN","Sort=A","Dates=H","DateFormat=P","Fill=—","Direction=H","UseDPDF=Y")</f>
        <v>7.117</v>
      </c>
      <c r="Z23" s="13">
        <f>_xll.BDH("SRPT US Equity","ARD_INCOME_TAX_EXP_BENEFIT","FQ3 2024","FQ3 2024","Currency=USD","Period=FQ","BEST_FPERIOD_OVERRIDE=FQ","FILING_STATUS=MR","SCALING_FORMAT=MLN","Sort=A","Dates=H","DateFormat=P","Fill=—","Direction=H","UseDPDF=Y")</f>
        <v>0.39500000000000002</v>
      </c>
      <c r="AA23" s="13">
        <f>_xll.BDH("SRPT US Equity","ARD_INCOME_TAX_EXP_BENEFIT","FQ4 2024","FQ4 2024","Currency=USD","Period=FQ","BEST_FPERIOD_OVERRIDE=FQ","FILING_STATUS=MR","SCALING_FORMAT=MLN","Sort=A","Dates=H","DateFormat=P","Fill=—","Direction=H","UseDPDF=Y")</f>
        <v>12.694000000000001</v>
      </c>
    </row>
    <row r="24" spans="1:27" x14ac:dyDescent="0.25">
      <c r="A24" s="10" t="s">
        <v>452</v>
      </c>
      <c r="B24" s="10" t="s">
        <v>453</v>
      </c>
      <c r="C24" s="13">
        <f>_xll.BDH("SRPT US Equity","ARD_INCOME_BEFORE_INCOME_TAXES","FQ4 2018","FQ4 2018","Currency=USD","Period=FQ","BEST_FPERIOD_OVERRIDE=FQ","FILING_STATUS=MR","SCALING_FORMAT=MLN","Sort=A","Dates=H","DateFormat=P","Fill=—","Direction=H","UseDPDF=Y")</f>
        <v>-141.67400000000001</v>
      </c>
      <c r="D24" s="13">
        <f>_xll.BDH("SRPT US Equity","ARD_INCOME_BEFORE_INCOME_TAXES","FQ1 2019","FQ1 2019","Currency=USD","Period=FQ","BEST_FPERIOD_OVERRIDE=FQ","FILING_STATUS=MR","SCALING_FORMAT=MLN","Sort=A","Dates=H","DateFormat=P","Fill=—","Direction=H","UseDPDF=Y")</f>
        <v>-76.558999999999997</v>
      </c>
      <c r="E24" s="13">
        <f>_xll.BDH("SRPT US Equity","ARD_INCOME_BEFORE_INCOME_TAXES","FQ2 2019","FQ2 2019","Currency=USD","Period=FQ","BEST_FPERIOD_OVERRIDE=FQ","FILING_STATUS=MR","SCALING_FORMAT=MLN","Sort=A","Dates=H","DateFormat=P","Fill=—","Direction=H","UseDPDF=Y")</f>
        <v>-276.22899999999998</v>
      </c>
      <c r="F24" s="13">
        <f>_xll.BDH("SRPT US Equity","ARD_INCOME_BEFORE_INCOME_TAXES","FQ3 2019","FQ3 2019","Currency=USD","Period=FQ","BEST_FPERIOD_OVERRIDE=FQ","FILING_STATUS=MR","SCALING_FORMAT=MLN","Sort=A","Dates=H","DateFormat=P","Fill=—","Direction=H","UseDPDF=Y")</f>
        <v>-126.1</v>
      </c>
      <c r="G24" s="13">
        <f>_xll.BDH("SRPT US Equity","ARD_INCOME_BEFORE_INCOME_TAXES","FQ4 2019","FQ4 2019","Currency=USD","Period=FQ","BEST_FPERIOD_OVERRIDE=FQ","FILING_STATUS=MR","SCALING_FORMAT=MLN","Sort=A","Dates=H","DateFormat=P","Fill=—","Direction=H","UseDPDF=Y")</f>
        <v>-234.99199999999999</v>
      </c>
      <c r="H24" s="13">
        <f>_xll.BDH("SRPT US Equity","ARD_INCOME_BEFORE_INCOME_TAXES","FQ1 2020","FQ1 2020","Currency=USD","Period=FQ","BEST_FPERIOD_OVERRIDE=FQ","FILING_STATUS=MR","SCALING_FORMAT=MLN","Sort=A","Dates=H","DateFormat=P","Fill=—","Direction=H","UseDPDF=Y")</f>
        <v>-17.376999999999999</v>
      </c>
      <c r="I24" s="13">
        <f>_xll.BDH("SRPT US Equity","ARD_INCOME_BEFORE_INCOME_TAXES","FQ2 2020","FQ2 2020","Currency=USD","Period=FQ","BEST_FPERIOD_OVERRIDE=FQ","FILING_STATUS=MR","SCALING_FORMAT=MLN","Sort=A","Dates=H","DateFormat=P","Fill=—","Direction=H","UseDPDF=Y")</f>
        <v>-150.80000000000001</v>
      </c>
      <c r="J24" s="13">
        <f>_xll.BDH("SRPT US Equity","ARD_INCOME_BEFORE_INCOME_TAXES","FQ3 2020","FQ3 2020","Currency=USD","Period=FQ","BEST_FPERIOD_OVERRIDE=FQ","FILING_STATUS=MR","SCALING_FORMAT=MLN","Sort=A","Dates=H","DateFormat=P","Fill=—","Direction=H","UseDPDF=Y")</f>
        <v>-196.40299999999999</v>
      </c>
      <c r="K24" s="13">
        <f>_xll.BDH("SRPT US Equity","ARD_INCOME_BEFORE_INCOME_TAXES","FQ4 2020","FQ4 2020","Currency=USD","Period=FQ","BEST_FPERIOD_OVERRIDE=FQ","FILING_STATUS=MR","SCALING_FORMAT=MLN","Sort=A","Dates=H","DateFormat=P","Fill=—","Direction=H","UseDPDF=Y")</f>
        <v>-188.48500000000001</v>
      </c>
      <c r="L24" s="13">
        <f>_xll.BDH("SRPT US Equity","ARD_INCOME_BEFORE_INCOME_TAXES","FQ1 2021","FQ1 2021","Currency=USD","Period=FQ","BEST_FPERIOD_OVERRIDE=FQ","FILING_STATUS=MR","SCALING_FORMAT=MLN","Sort=A","Dates=H","DateFormat=P","Fill=—","Direction=H","UseDPDF=Y")</f>
        <v>-167.393</v>
      </c>
      <c r="M24" s="13">
        <f>_xll.BDH("SRPT US Equity","ARD_INCOME_BEFORE_INCOME_TAXES","FQ2 2021","FQ2 2021","Currency=USD","Period=FQ","BEST_FPERIOD_OVERRIDE=FQ","FILING_STATUS=MR","SCALING_FORMAT=MLN","Sort=A","Dates=H","DateFormat=P","Fill=—","Direction=H","UseDPDF=Y")</f>
        <v>-81.759</v>
      </c>
      <c r="N24" s="13">
        <f>_xll.BDH("SRPT US Equity","ARD_INCOME_BEFORE_INCOME_TAXES","FQ3 2021","FQ3 2021","Currency=USD","Period=FQ","BEST_FPERIOD_OVERRIDE=FQ","FILING_STATUS=MR","SCALING_FORMAT=MLN","Sort=A","Dates=H","DateFormat=P","Fill=—","Direction=H","UseDPDF=Y")</f>
        <v>-47.906999999999996</v>
      </c>
      <c r="O24" s="13">
        <f>_xll.BDH("SRPT US Equity","ARD_INCOME_BEFORE_INCOME_TAXES","FQ4 2021","FQ4 2021","Currency=USD","Period=FQ","BEST_FPERIOD_OVERRIDE=FQ","FILING_STATUS=MR","SCALING_FORMAT=MLN","Sort=A","Dates=H","DateFormat=P","Fill=—","Direction=H","UseDPDF=Y")</f>
        <v>-121.889</v>
      </c>
      <c r="P24" s="13">
        <f>_xll.BDH("SRPT US Equity","ARD_INCOME_BEFORE_INCOME_TAXES","FQ1 2022","FQ1 2022","Currency=USD","Period=FQ","BEST_FPERIOD_OVERRIDE=FQ","FILING_STATUS=MR","SCALING_FORMAT=MLN","Sort=A","Dates=H","DateFormat=P","Fill=—","Direction=H","UseDPDF=Y")</f>
        <v>-104.146</v>
      </c>
      <c r="Q24" s="13">
        <f>_xll.BDH("SRPT US Equity","ARD_INCOME_BEFORE_INCOME_TAXES","FQ2 2022","FQ2 2022","Currency=USD","Period=FQ","BEST_FPERIOD_OVERRIDE=FQ","FILING_STATUS=MR","SCALING_FORMAT=MLN","Sort=A","Dates=H","DateFormat=P","Fill=—","Direction=H","UseDPDF=Y")</f>
        <v>-228.09299999999999</v>
      </c>
      <c r="R24" s="13">
        <f>_xll.BDH("SRPT US Equity","ARD_INCOME_BEFORE_INCOME_TAXES","FQ3 2022","FQ3 2022","Currency=USD","Period=FQ","BEST_FPERIOD_OVERRIDE=FQ","FILING_STATUS=MR","SCALING_FORMAT=MLN","Sort=A","Dates=H","DateFormat=P","Fill=—","Direction=H","UseDPDF=Y")</f>
        <v>-256.41800000000001</v>
      </c>
      <c r="S24" s="13">
        <f>_xll.BDH("SRPT US Equity","ARD_INCOME_BEFORE_INCOME_TAXES","FQ4 2022","FQ4 2022","Currency=USD","Period=FQ","BEST_FPERIOD_OVERRIDE=FQ","FILING_STATUS=MR","SCALING_FORMAT=MLN","Sort=A","Dates=H","DateFormat=P","Fill=—","Direction=H","UseDPDF=Y")</f>
        <v>-101.306</v>
      </c>
      <c r="T24" s="13">
        <f>_xll.BDH("SRPT US Equity","ARD_INCOME_BEFORE_INCOME_TAXES","FQ1 2023","FQ1 2023","Currency=USD","Period=FQ","BEST_FPERIOD_OVERRIDE=FQ","FILING_STATUS=MR","SCALING_FORMAT=MLN","Sort=A","Dates=H","DateFormat=P","Fill=—","Direction=H","UseDPDF=Y")</f>
        <v>-512.71</v>
      </c>
      <c r="U24" s="13">
        <f>_xll.BDH("SRPT US Equity","ARD_INCOME_BEFORE_INCOME_TAXES","FQ2 2023","FQ2 2023","Currency=USD","Period=FQ","BEST_FPERIOD_OVERRIDE=FQ","FILING_STATUS=MR","SCALING_FORMAT=MLN","Sort=A","Dates=H","DateFormat=P","Fill=—","Direction=H","UseDPDF=Y")</f>
        <v>-14.585000000000001</v>
      </c>
      <c r="V24" s="13">
        <f>_xll.BDH("SRPT US Equity","ARD_INCOME_BEFORE_INCOME_TAXES","FQ3 2023","FQ3 2023","Currency=USD","Period=FQ","BEST_FPERIOD_OVERRIDE=FQ","FILING_STATUS=MR","SCALING_FORMAT=MLN","Sort=A","Dates=H","DateFormat=P","Fill=—","Direction=H","UseDPDF=Y")</f>
        <v>-33.173999999999999</v>
      </c>
      <c r="W24" s="13">
        <f>_xll.BDH("SRPT US Equity","ARD_INCOME_BEFORE_INCOME_TAXES","FQ4 2023","FQ4 2023","Currency=USD","Period=FQ","BEST_FPERIOD_OVERRIDE=FQ","FILING_STATUS=MR","SCALING_FORMAT=MLN","Sort=A","Dates=H","DateFormat=P","Fill=—","Direction=H","UseDPDF=Y")</f>
        <v>40.371000000000002</v>
      </c>
      <c r="X24" s="13">
        <f>_xll.BDH("SRPT US Equity","ARD_INCOME_BEFORE_INCOME_TAXES","FQ1 2024","FQ1 2024","Currency=USD","Period=FQ","BEST_FPERIOD_OVERRIDE=FQ","FILING_STATUS=MR","SCALING_FORMAT=MLN","Sort=A","Dates=H","DateFormat=P","Fill=—","Direction=H","UseDPDF=Y")</f>
        <v>41.448</v>
      </c>
      <c r="Y24" s="13">
        <f>_xll.BDH("SRPT US Equity","ARD_INCOME_BEFORE_INCOME_TAXES","FQ2 2024","FQ2 2024","Currency=USD","Period=FQ","BEST_FPERIOD_OVERRIDE=FQ","FILING_STATUS=MR","SCALING_FORMAT=MLN","Sort=A","Dates=H","DateFormat=P","Fill=—","Direction=H","UseDPDF=Y")</f>
        <v>13.577</v>
      </c>
      <c r="Z24" s="13">
        <f>_xll.BDH("SRPT US Equity","ARD_INCOME_BEFORE_INCOME_TAXES","FQ3 2024","FQ3 2024","Currency=USD","Period=FQ","BEST_FPERIOD_OVERRIDE=FQ","FILING_STATUS=MR","SCALING_FORMAT=MLN","Sort=A","Dates=H","DateFormat=P","Fill=—","Direction=H","UseDPDF=Y")</f>
        <v>34.006</v>
      </c>
      <c r="AA24" s="13">
        <f>_xll.BDH("SRPT US Equity","ARD_INCOME_BEFORE_INCOME_TAXES","FQ4 2024","FQ4 2024","Currency=USD","Period=FQ","BEST_FPERIOD_OVERRIDE=FQ","FILING_STATUS=MR","SCALING_FORMAT=MLN","Sort=A","Dates=H","DateFormat=P","Fill=—","Direction=H","UseDPDF=Y")</f>
        <v>171.74299999999999</v>
      </c>
    </row>
    <row r="25" spans="1:27" x14ac:dyDescent="0.25">
      <c r="A25" s="10" t="s">
        <v>454</v>
      </c>
      <c r="B25" s="10" t="s">
        <v>455</v>
      </c>
      <c r="C25" s="13" t="str">
        <f>_xll.BDH("SRPT US Equity","ARD_INCOME_BEFORE_XO_ITEMS","FQ4 2018","FQ4 2018","Currency=USD","Period=FQ","BEST_FPERIOD_OVERRIDE=FQ","FILING_STATUS=MR","SCALING_FORMAT=MLN","Sort=A","Dates=H","DateFormat=P","Fill=—","Direction=H","UseDPDF=Y")</f>
        <v>—</v>
      </c>
      <c r="D25" s="13" t="str">
        <f>_xll.BDH("SRPT US Equity","ARD_INCOME_BEFORE_XO_ITEMS","FQ1 2019","FQ1 2019","Currency=USD","Period=FQ","BEST_FPERIOD_OVERRIDE=FQ","FILING_STATUS=MR","SCALING_FORMAT=MLN","Sort=A","Dates=H","DateFormat=P","Fill=—","Direction=H","UseDPDF=Y")</f>
        <v>—</v>
      </c>
      <c r="E25" s="13" t="str">
        <f>_xll.BDH("SRPT US Equity","ARD_INCOME_BEFORE_XO_ITEMS","FQ2 2019","FQ2 2019","Currency=USD","Period=FQ","BEST_FPERIOD_OVERRIDE=FQ","FILING_STATUS=MR","SCALING_FORMAT=MLN","Sort=A","Dates=H","DateFormat=P","Fill=—","Direction=H","UseDPDF=Y")</f>
        <v>—</v>
      </c>
      <c r="F25" s="13" t="str">
        <f>_xll.BDH("SRPT US Equity","ARD_INCOME_BEFORE_XO_ITEMS","FQ3 2019","FQ3 2019","Currency=USD","Period=FQ","BEST_FPERIOD_OVERRIDE=FQ","FILING_STATUS=MR","SCALING_FORMAT=MLN","Sort=A","Dates=H","DateFormat=P","Fill=—","Direction=H","UseDPDF=Y")</f>
        <v>—</v>
      </c>
      <c r="G25" s="13" t="str">
        <f>_xll.BDH("SRPT US Equity","ARD_INCOME_BEFORE_XO_ITEMS","FQ4 2019","FQ4 2019","Currency=USD","Period=FQ","BEST_FPERIOD_OVERRIDE=FQ","FILING_STATUS=MR","SCALING_FORMAT=MLN","Sort=A","Dates=H","DateFormat=P","Fill=—","Direction=H","UseDPDF=Y")</f>
        <v>—</v>
      </c>
      <c r="H25" s="13" t="str">
        <f>_xll.BDH("SRPT US Equity","ARD_INCOME_BEFORE_XO_ITEMS","FQ1 2020","FQ1 2020","Currency=USD","Period=FQ","BEST_FPERIOD_OVERRIDE=FQ","FILING_STATUS=MR","SCALING_FORMAT=MLN","Sort=A","Dates=H","DateFormat=P","Fill=—","Direction=H","UseDPDF=Y")</f>
        <v>—</v>
      </c>
      <c r="I25" s="13" t="str">
        <f>_xll.BDH("SRPT US Equity","ARD_INCOME_BEFORE_XO_ITEMS","FQ2 2020","FQ2 2020","Currency=USD","Period=FQ","BEST_FPERIOD_OVERRIDE=FQ","FILING_STATUS=MR","SCALING_FORMAT=MLN","Sort=A","Dates=H","DateFormat=P","Fill=—","Direction=H","UseDPDF=Y")</f>
        <v>—</v>
      </c>
      <c r="J25" s="13" t="str">
        <f>_xll.BDH("SRPT US Equity","ARD_INCOME_BEFORE_XO_ITEMS","FQ3 2020","FQ3 2020","Currency=USD","Period=FQ","BEST_FPERIOD_OVERRIDE=FQ","FILING_STATUS=MR","SCALING_FORMAT=MLN","Sort=A","Dates=H","DateFormat=P","Fill=—","Direction=H","UseDPDF=Y")</f>
        <v>—</v>
      </c>
      <c r="K25" s="13" t="str">
        <f>_xll.BDH("SRPT US Equity","ARD_INCOME_BEFORE_XO_ITEMS","FQ4 2020","FQ4 2020","Currency=USD","Period=FQ","BEST_FPERIOD_OVERRIDE=FQ","FILING_STATUS=MR","SCALING_FORMAT=MLN","Sort=A","Dates=H","DateFormat=P","Fill=—","Direction=H","UseDPDF=Y")</f>
        <v>—</v>
      </c>
      <c r="L25" s="13" t="str">
        <f>_xll.BDH("SRPT US Equity","ARD_INCOME_BEFORE_XO_ITEMS","FQ1 2021","FQ1 2021","Currency=USD","Period=FQ","BEST_FPERIOD_OVERRIDE=FQ","FILING_STATUS=MR","SCALING_FORMAT=MLN","Sort=A","Dates=H","DateFormat=P","Fill=—","Direction=H","UseDPDF=Y")</f>
        <v>—</v>
      </c>
      <c r="M25" s="13" t="str">
        <f>_xll.BDH("SRPT US Equity","ARD_INCOME_BEFORE_XO_ITEMS","FQ2 2021","FQ2 2021","Currency=USD","Period=FQ","BEST_FPERIOD_OVERRIDE=FQ","FILING_STATUS=MR","SCALING_FORMAT=MLN","Sort=A","Dates=H","DateFormat=P","Fill=—","Direction=H","UseDPDF=Y")</f>
        <v>—</v>
      </c>
      <c r="N25" s="13" t="str">
        <f>_xll.BDH("SRPT US Equity","ARD_INCOME_BEFORE_XO_ITEMS","FQ3 2021","FQ3 2021","Currency=USD","Period=FQ","BEST_FPERIOD_OVERRIDE=FQ","FILING_STATUS=MR","SCALING_FORMAT=MLN","Sort=A","Dates=H","DateFormat=P","Fill=—","Direction=H","UseDPDF=Y")</f>
        <v>—</v>
      </c>
      <c r="O25" s="13" t="str">
        <f>_xll.BDH("SRPT US Equity","ARD_INCOME_BEFORE_XO_ITEMS","FQ4 2021","FQ4 2021","Currency=USD","Period=FQ","BEST_FPERIOD_OVERRIDE=FQ","FILING_STATUS=MR","SCALING_FORMAT=MLN","Sort=A","Dates=H","DateFormat=P","Fill=—","Direction=H","UseDPDF=Y")</f>
        <v>—</v>
      </c>
      <c r="P25" s="13" t="str">
        <f>_xll.BDH("SRPT US Equity","ARD_INCOME_BEFORE_XO_ITEMS","FQ1 2022","FQ1 2022","Currency=USD","Period=FQ","BEST_FPERIOD_OVERRIDE=FQ","FILING_STATUS=MR","SCALING_FORMAT=MLN","Sort=A","Dates=H","DateFormat=P","Fill=—","Direction=H","UseDPDF=Y")</f>
        <v>—</v>
      </c>
      <c r="Q25" s="13" t="str">
        <f>_xll.BDH("SRPT US Equity","ARD_INCOME_BEFORE_XO_ITEMS","FQ2 2022","FQ2 2022","Currency=USD","Period=FQ","BEST_FPERIOD_OVERRIDE=FQ","FILING_STATUS=MR","SCALING_FORMAT=MLN","Sort=A","Dates=H","DateFormat=P","Fill=—","Direction=H","UseDPDF=Y")</f>
        <v>—</v>
      </c>
      <c r="R25" s="13" t="str">
        <f>_xll.BDH("SRPT US Equity","ARD_INCOME_BEFORE_XO_ITEMS","FQ3 2022","FQ3 2022","Currency=USD","Period=FQ","BEST_FPERIOD_OVERRIDE=FQ","FILING_STATUS=MR","SCALING_FORMAT=MLN","Sort=A","Dates=H","DateFormat=P","Fill=—","Direction=H","UseDPDF=Y")</f>
        <v>—</v>
      </c>
      <c r="S25" s="13" t="str">
        <f>_xll.BDH("SRPT US Equity","ARD_INCOME_BEFORE_XO_ITEMS","FQ4 2022","FQ4 2022","Currency=USD","Period=FQ","BEST_FPERIOD_OVERRIDE=FQ","FILING_STATUS=MR","SCALING_FORMAT=MLN","Sort=A","Dates=H","DateFormat=P","Fill=—","Direction=H","UseDPDF=Y")</f>
        <v>—</v>
      </c>
      <c r="T25" s="13" t="str">
        <f>_xll.BDH("SRPT US Equity","ARD_INCOME_BEFORE_XO_ITEMS","FQ1 2023","FQ1 2023","Currency=USD","Period=FQ","BEST_FPERIOD_OVERRIDE=FQ","FILING_STATUS=MR","SCALING_FORMAT=MLN","Sort=A","Dates=H","DateFormat=P","Fill=—","Direction=H","UseDPDF=Y")</f>
        <v>—</v>
      </c>
      <c r="U25" s="13" t="str">
        <f>_xll.BDH("SRPT US Equity","ARD_INCOME_BEFORE_XO_ITEMS","FQ2 2023","FQ2 2023","Currency=USD","Period=FQ","BEST_FPERIOD_OVERRIDE=FQ","FILING_STATUS=MR","SCALING_FORMAT=MLN","Sort=A","Dates=H","DateFormat=P","Fill=—","Direction=H","UseDPDF=Y")</f>
        <v>—</v>
      </c>
      <c r="V25" s="13" t="str">
        <f>_xll.BDH("SRPT US Equity","ARD_INCOME_BEFORE_XO_ITEMS","FQ3 2023","FQ3 2023","Currency=USD","Period=FQ","BEST_FPERIOD_OVERRIDE=FQ","FILING_STATUS=MR","SCALING_FORMAT=MLN","Sort=A","Dates=H","DateFormat=P","Fill=—","Direction=H","UseDPDF=Y")</f>
        <v>—</v>
      </c>
      <c r="W25" s="13" t="str">
        <f>_xll.BDH("SRPT US Equity","ARD_INCOME_BEFORE_XO_ITEMS","FQ4 2023","FQ4 2023","Currency=USD","Period=FQ","BEST_FPERIOD_OVERRIDE=FQ","FILING_STATUS=MR","SCALING_FORMAT=MLN","Sort=A","Dates=H","DateFormat=P","Fill=—","Direction=H","UseDPDF=Y")</f>
        <v>—</v>
      </c>
      <c r="X25" s="13">
        <f>_xll.BDH("SRPT US Equity","ARD_INCOME_BEFORE_XO_ITEMS","FQ1 2024","FQ1 2024","Currency=USD","Period=FQ","BEST_FPERIOD_OVERRIDE=FQ","FILING_STATUS=MR","SCALING_FORMAT=MLN","Sort=A","Dates=H","DateFormat=P","Fill=—","Direction=H","UseDPDF=Y")</f>
        <v>36.119</v>
      </c>
      <c r="Y25" s="13">
        <f>_xll.BDH("SRPT US Equity","ARD_INCOME_BEFORE_XO_ITEMS","FQ2 2024","FQ2 2024","Currency=USD","Period=FQ","BEST_FPERIOD_OVERRIDE=FQ","FILING_STATUS=MR","SCALING_FORMAT=MLN","Sort=A","Dates=H","DateFormat=P","Fill=—","Direction=H","UseDPDF=Y")</f>
        <v>6.46</v>
      </c>
      <c r="Z25" s="13">
        <f>_xll.BDH("SRPT US Equity","ARD_INCOME_BEFORE_XO_ITEMS","FQ3 2024","FQ3 2024","Currency=USD","Period=FQ","BEST_FPERIOD_OVERRIDE=FQ","FILING_STATUS=MR","SCALING_FORMAT=MLN","Sort=A","Dates=H","DateFormat=P","Fill=—","Direction=H","UseDPDF=Y")</f>
        <v>33.610999999999997</v>
      </c>
      <c r="AA25" s="13" t="str">
        <f>_xll.BDH("SRPT US Equity","ARD_INCOME_BEFORE_XO_ITEMS","FQ4 2024","FQ4 2024","Currency=USD","Period=FQ","BEST_FPERIOD_OVERRIDE=FQ","FILING_STATUS=MR","SCALING_FORMAT=MLN","Sort=A","Dates=H","DateFormat=P","Fill=—","Direction=H","UseDPDF=Y")</f>
        <v>—</v>
      </c>
    </row>
    <row r="26" spans="1:27" x14ac:dyDescent="0.25">
      <c r="A26" s="10" t="s">
        <v>456</v>
      </c>
      <c r="B26" s="10" t="s">
        <v>457</v>
      </c>
      <c r="C26" s="13" t="str">
        <f>_xll.BDH("SRPT US Equity","ARD_GL_ON_EARLY_EXT_DEBT_NON_OP","FQ4 2018","FQ4 2018","Currency=USD","Period=FQ","BEST_FPERIOD_OVERRIDE=FQ","FILING_STATUS=MR","SCALING_FORMAT=MLN","Sort=A","Dates=H","DateFormat=P","Fill=—","Direction=H","UseDPDF=Y")</f>
        <v>—</v>
      </c>
      <c r="D26" s="13" t="str">
        <f>_xll.BDH("SRPT US Equity","ARD_GL_ON_EARLY_EXT_DEBT_NON_OP","FQ1 2019","FQ1 2019","Currency=USD","Period=FQ","BEST_FPERIOD_OVERRIDE=FQ","FILING_STATUS=MR","SCALING_FORMAT=MLN","Sort=A","Dates=H","DateFormat=P","Fill=—","Direction=H","UseDPDF=Y")</f>
        <v>—</v>
      </c>
      <c r="E26" s="13" t="str">
        <f>_xll.BDH("SRPT US Equity","ARD_GL_ON_EARLY_EXT_DEBT_NON_OP","FQ2 2019","FQ2 2019","Currency=USD","Period=FQ","BEST_FPERIOD_OVERRIDE=FQ","FILING_STATUS=MR","SCALING_FORMAT=MLN","Sort=A","Dates=H","DateFormat=P","Fill=—","Direction=H","UseDPDF=Y")</f>
        <v>—</v>
      </c>
      <c r="F26" s="13" t="str">
        <f>_xll.BDH("SRPT US Equity","ARD_GL_ON_EARLY_EXT_DEBT_NON_OP","FQ3 2019","FQ3 2019","Currency=USD","Period=FQ","BEST_FPERIOD_OVERRIDE=FQ","FILING_STATUS=MR","SCALING_FORMAT=MLN","Sort=A","Dates=H","DateFormat=P","Fill=—","Direction=H","UseDPDF=Y")</f>
        <v>—</v>
      </c>
      <c r="G26" s="13" t="str">
        <f>_xll.BDH("SRPT US Equity","ARD_GL_ON_EARLY_EXT_DEBT_NON_OP","FQ4 2019","FQ4 2019","Currency=USD","Period=FQ","BEST_FPERIOD_OVERRIDE=FQ","FILING_STATUS=MR","SCALING_FORMAT=MLN","Sort=A","Dates=H","DateFormat=P","Fill=—","Direction=H","UseDPDF=Y")</f>
        <v>—</v>
      </c>
      <c r="H26" s="13" t="str">
        <f>_xll.BDH("SRPT US Equity","ARD_GL_ON_EARLY_EXT_DEBT_NON_OP","FQ1 2020","FQ1 2020","Currency=USD","Period=FQ","BEST_FPERIOD_OVERRIDE=FQ","FILING_STATUS=MR","SCALING_FORMAT=MLN","Sort=A","Dates=H","DateFormat=P","Fill=—","Direction=H","UseDPDF=Y")</f>
        <v>—</v>
      </c>
      <c r="I26" s="13" t="str">
        <f>_xll.BDH("SRPT US Equity","ARD_GL_ON_EARLY_EXT_DEBT_NON_OP","FQ2 2020","FQ2 2020","Currency=USD","Period=FQ","BEST_FPERIOD_OVERRIDE=FQ","FILING_STATUS=MR","SCALING_FORMAT=MLN","Sort=A","Dates=H","DateFormat=P","Fill=—","Direction=H","UseDPDF=Y")</f>
        <v>—</v>
      </c>
      <c r="J26" s="13" t="str">
        <f>_xll.BDH("SRPT US Equity","ARD_GL_ON_EARLY_EXT_DEBT_NON_OP","FQ3 2020","FQ3 2020","Currency=USD","Period=FQ","BEST_FPERIOD_OVERRIDE=FQ","FILING_STATUS=MR","SCALING_FORMAT=MLN","Sort=A","Dates=H","DateFormat=P","Fill=—","Direction=H","UseDPDF=Y")</f>
        <v>—</v>
      </c>
      <c r="K26" s="13" t="str">
        <f>_xll.BDH("SRPT US Equity","ARD_GL_ON_EARLY_EXT_DEBT_NON_OP","FQ4 2020","FQ4 2020","Currency=USD","Period=FQ","BEST_FPERIOD_OVERRIDE=FQ","FILING_STATUS=MR","SCALING_FORMAT=MLN","Sort=A","Dates=H","DateFormat=P","Fill=—","Direction=H","UseDPDF=Y")</f>
        <v>—</v>
      </c>
      <c r="L26" s="13" t="str">
        <f>_xll.BDH("SRPT US Equity","ARD_GL_ON_EARLY_EXT_DEBT_NON_OP","FQ1 2021","FQ1 2021","Currency=USD","Period=FQ","BEST_FPERIOD_OVERRIDE=FQ","FILING_STATUS=MR","SCALING_FORMAT=MLN","Sort=A","Dates=H","DateFormat=P","Fill=—","Direction=H","UseDPDF=Y")</f>
        <v>—</v>
      </c>
      <c r="M26" s="13" t="str">
        <f>_xll.BDH("SRPT US Equity","ARD_GL_ON_EARLY_EXT_DEBT_NON_OP","FQ2 2021","FQ2 2021","Currency=USD","Period=FQ","BEST_FPERIOD_OVERRIDE=FQ","FILING_STATUS=MR","SCALING_FORMAT=MLN","Sort=A","Dates=H","DateFormat=P","Fill=—","Direction=H","UseDPDF=Y")</f>
        <v>—</v>
      </c>
      <c r="N26" s="13" t="str">
        <f>_xll.BDH("SRPT US Equity","ARD_GL_ON_EARLY_EXT_DEBT_NON_OP","FQ3 2021","FQ3 2021","Currency=USD","Period=FQ","BEST_FPERIOD_OVERRIDE=FQ","FILING_STATUS=MR","SCALING_FORMAT=MLN","Sort=A","Dates=H","DateFormat=P","Fill=—","Direction=H","UseDPDF=Y")</f>
        <v>—</v>
      </c>
      <c r="O26" s="13" t="str">
        <f>_xll.BDH("SRPT US Equity","ARD_GL_ON_EARLY_EXT_DEBT_NON_OP","FQ4 2021","FQ4 2021","Currency=USD","Period=FQ","BEST_FPERIOD_OVERRIDE=FQ","FILING_STATUS=MR","SCALING_FORMAT=MLN","Sort=A","Dates=H","DateFormat=P","Fill=—","Direction=H","UseDPDF=Y")</f>
        <v>—</v>
      </c>
      <c r="P26" s="13" t="str">
        <f>_xll.BDH("SRPT US Equity","ARD_GL_ON_EARLY_EXT_DEBT_NON_OP","FQ1 2022","FQ1 2022","Currency=USD","Period=FQ","BEST_FPERIOD_OVERRIDE=FQ","FILING_STATUS=MR","SCALING_FORMAT=MLN","Sort=A","Dates=H","DateFormat=P","Fill=—","Direction=H","UseDPDF=Y")</f>
        <v>—</v>
      </c>
      <c r="Q26" s="13" t="str">
        <f>_xll.BDH("SRPT US Equity","ARD_GL_ON_EARLY_EXT_DEBT_NON_OP","FQ2 2022","FQ2 2022","Currency=USD","Period=FQ","BEST_FPERIOD_OVERRIDE=FQ","FILING_STATUS=MR","SCALING_FORMAT=MLN","Sort=A","Dates=H","DateFormat=P","Fill=—","Direction=H","UseDPDF=Y")</f>
        <v>—</v>
      </c>
      <c r="R26" s="13">
        <f>_xll.BDH("SRPT US Equity","ARD_GL_ON_EARLY_EXT_DEBT_NON_OP","FQ3 2022","FQ3 2022","Currency=USD","Period=FQ","BEST_FPERIOD_OVERRIDE=FQ","FILING_STATUS=MR","SCALING_FORMAT=MLN","Sort=A","Dates=H","DateFormat=P","Fill=—","Direction=H","UseDPDF=Y")</f>
        <v>125.441</v>
      </c>
      <c r="S26" s="13" t="str">
        <f>_xll.BDH("SRPT US Equity","ARD_GL_ON_EARLY_EXT_DEBT_NON_OP","FQ4 2022","FQ4 2022","Currency=USD","Period=FQ","BEST_FPERIOD_OVERRIDE=FQ","FILING_STATUS=MR","SCALING_FORMAT=MLN","Sort=A","Dates=H","DateFormat=P","Fill=—","Direction=H","UseDPDF=Y")</f>
        <v>—</v>
      </c>
      <c r="T26" s="13">
        <f>_xll.BDH("SRPT US Equity","ARD_GL_ON_EARLY_EXT_DEBT_NON_OP","FQ1 2023","FQ1 2023","Currency=USD","Period=FQ","BEST_FPERIOD_OVERRIDE=FQ","FILING_STATUS=MR","SCALING_FORMAT=MLN","Sort=A","Dates=H","DateFormat=P","Fill=—","Direction=H","UseDPDF=Y")</f>
        <v>387.32900000000001</v>
      </c>
      <c r="U26" s="13">
        <f>_xll.BDH("SRPT US Equity","ARD_GL_ON_EARLY_EXT_DEBT_NON_OP","FQ2 2023","FQ2 2023","Currency=USD","Period=FQ","BEST_FPERIOD_OVERRIDE=FQ","FILING_STATUS=MR","SCALING_FORMAT=MLN","Sort=A","Dates=H","DateFormat=P","Fill=—","Direction=H","UseDPDF=Y")</f>
        <v>0</v>
      </c>
      <c r="V26" s="13">
        <f>_xll.BDH("SRPT US Equity","ARD_GL_ON_EARLY_EXT_DEBT_NON_OP","FQ3 2023","FQ3 2023","Currency=USD","Period=FQ","BEST_FPERIOD_OVERRIDE=FQ","FILING_STATUS=MR","SCALING_FORMAT=MLN","Sort=A","Dates=H","DateFormat=P","Fill=—","Direction=H","UseDPDF=Y")</f>
        <v>0</v>
      </c>
      <c r="W26" s="13">
        <f>_xll.BDH("SRPT US Equity","ARD_GL_ON_EARLY_EXT_DEBT_NON_OP","FQ4 2023","FQ4 2023","Currency=USD","Period=FQ","BEST_FPERIOD_OVERRIDE=FQ","FILING_STATUS=MR","SCALING_FORMAT=MLN","Sort=A","Dates=H","DateFormat=P","Fill=—","Direction=H","UseDPDF=Y")</f>
        <v>0</v>
      </c>
      <c r="X26" s="13">
        <f>_xll.BDH("SRPT US Equity","ARD_GL_ON_EARLY_EXT_DEBT_NON_OP","FQ1 2024","FQ1 2024","Currency=USD","Period=FQ","BEST_FPERIOD_OVERRIDE=FQ","FILING_STATUS=MR","SCALING_FORMAT=MLN","Sort=A","Dates=H","DateFormat=P","Fill=—","Direction=H","UseDPDF=Y")</f>
        <v>0</v>
      </c>
      <c r="Y26" s="13">
        <f>_xll.BDH("SRPT US Equity","ARD_GL_ON_EARLY_EXT_DEBT_NON_OP","FQ2 2024","FQ2 2024","Currency=USD","Period=FQ","BEST_FPERIOD_OVERRIDE=FQ","FILING_STATUS=MR","SCALING_FORMAT=MLN","Sort=A","Dates=H","DateFormat=P","Fill=—","Direction=H","UseDPDF=Y")</f>
        <v>0</v>
      </c>
      <c r="Z26" s="13">
        <f>_xll.BDH("SRPT US Equity","ARD_GL_ON_EARLY_EXT_DEBT_NON_OP","FQ3 2024","FQ3 2024","Currency=USD","Period=FQ","BEST_FPERIOD_OVERRIDE=FQ","FILING_STATUS=MR","SCALING_FORMAT=MLN","Sort=A","Dates=H","DateFormat=P","Fill=—","Direction=H","UseDPDF=Y")</f>
        <v>0</v>
      </c>
      <c r="AA26" s="13" t="str">
        <f>_xll.BDH("SRPT US Equity","ARD_GL_ON_EARLY_EXT_DEBT_NON_OP","FQ4 2024","FQ4 2024","Currency=USD","Period=FQ","BEST_FPERIOD_OVERRIDE=FQ","FILING_STATUS=MR","SCALING_FORMAT=MLN","Sort=A","Dates=H","DateFormat=P","Fill=—","Direction=H","UseDPDF=Y")</f>
        <v>—</v>
      </c>
    </row>
    <row r="27" spans="1:27" x14ac:dyDescent="0.25">
      <c r="A27" s="10" t="s">
        <v>458</v>
      </c>
      <c r="B27" s="10" t="s">
        <v>459</v>
      </c>
      <c r="C27" s="13" t="str">
        <f>_xll.BDH("SRPT US Equity","ARD_CUR_INCOME_TAX_EXP_BENEFIT","FQ4 2018","FQ4 2018","Currency=USD","Period=FQ","BEST_FPERIOD_OVERRIDE=FQ","FILING_STATUS=MR","SCALING_FORMAT=MLN","Sort=A","Dates=H","DateFormat=P","Fill=—","Direction=H","UseDPDF=Y")</f>
        <v>—</v>
      </c>
      <c r="D27" s="13">
        <f>_xll.BDH("SRPT US Equity","ARD_CUR_INCOME_TAX_EXP_BENEFIT","FQ1 2019","FQ1 2019","Currency=USD","Period=FQ","BEST_FPERIOD_OVERRIDE=FQ","FILING_STATUS=MR","SCALING_FORMAT=MLN","Sort=A","Dates=H","DateFormat=P","Fill=—","Direction=H","UseDPDF=Y")</f>
        <v>8.4000000000000005E-2</v>
      </c>
      <c r="E27" s="13" t="str">
        <f>_xll.BDH("SRPT US Equity","ARD_CUR_INCOME_TAX_EXP_BENEFIT","FQ2 2019","FQ2 2019","Currency=USD","Period=FQ","BEST_FPERIOD_OVERRIDE=FQ","FILING_STATUS=MR","SCALING_FORMAT=MLN","Sort=A","Dates=H","DateFormat=P","Fill=—","Direction=H","UseDPDF=Y")</f>
        <v>—</v>
      </c>
      <c r="F27" s="13" t="str">
        <f>_xll.BDH("SRPT US Equity","ARD_CUR_INCOME_TAX_EXP_BENEFIT","FQ3 2019","FQ3 2019","Currency=USD","Period=FQ","BEST_FPERIOD_OVERRIDE=FQ","FILING_STATUS=MR","SCALING_FORMAT=MLN","Sort=A","Dates=H","DateFormat=P","Fill=—","Direction=H","UseDPDF=Y")</f>
        <v>—</v>
      </c>
      <c r="G27" s="13" t="str">
        <f>_xll.BDH("SRPT US Equity","ARD_CUR_INCOME_TAX_EXP_BENEFIT","FQ4 2019","FQ4 2019","Currency=USD","Period=FQ","BEST_FPERIOD_OVERRIDE=FQ","FILING_STATUS=MR","SCALING_FORMAT=MLN","Sort=A","Dates=H","DateFormat=P","Fill=—","Direction=H","UseDPDF=Y")</f>
        <v>—</v>
      </c>
      <c r="H27" s="13" t="str">
        <f>_xll.BDH("SRPT US Equity","ARD_CUR_INCOME_TAX_EXP_BENEFIT","FQ1 2020","FQ1 2020","Currency=USD","Period=FQ","BEST_FPERIOD_OVERRIDE=FQ","FILING_STATUS=MR","SCALING_FORMAT=MLN","Sort=A","Dates=H","DateFormat=P","Fill=—","Direction=H","UseDPDF=Y")</f>
        <v>—</v>
      </c>
      <c r="I27" s="13" t="str">
        <f>_xll.BDH("SRPT US Equity","ARD_CUR_INCOME_TAX_EXP_BENEFIT","FQ2 2020","FQ2 2020","Currency=USD","Period=FQ","BEST_FPERIOD_OVERRIDE=FQ","FILING_STATUS=MR","SCALING_FORMAT=MLN","Sort=A","Dates=H","DateFormat=P","Fill=—","Direction=H","UseDPDF=Y")</f>
        <v>—</v>
      </c>
      <c r="J27" s="13" t="str">
        <f>_xll.BDH("SRPT US Equity","ARD_CUR_INCOME_TAX_EXP_BENEFIT","FQ3 2020","FQ3 2020","Currency=USD","Period=FQ","BEST_FPERIOD_OVERRIDE=FQ","FILING_STATUS=MR","SCALING_FORMAT=MLN","Sort=A","Dates=H","DateFormat=P","Fill=—","Direction=H","UseDPDF=Y")</f>
        <v>—</v>
      </c>
      <c r="K27" s="13" t="str">
        <f>_xll.BDH("SRPT US Equity","ARD_CUR_INCOME_TAX_EXP_BENEFIT","FQ4 2020","FQ4 2020","Currency=USD","Period=FQ","BEST_FPERIOD_OVERRIDE=FQ","FILING_STATUS=MR","SCALING_FORMAT=MLN","Sort=A","Dates=H","DateFormat=P","Fill=—","Direction=H","UseDPDF=Y")</f>
        <v>—</v>
      </c>
      <c r="L27" s="13" t="str">
        <f>_xll.BDH("SRPT US Equity","ARD_CUR_INCOME_TAX_EXP_BENEFIT","FQ1 2021","FQ1 2021","Currency=USD","Period=FQ","BEST_FPERIOD_OVERRIDE=FQ","FILING_STATUS=MR","SCALING_FORMAT=MLN","Sort=A","Dates=H","DateFormat=P","Fill=—","Direction=H","UseDPDF=Y")</f>
        <v>—</v>
      </c>
      <c r="M27" s="13" t="str">
        <f>_xll.BDH("SRPT US Equity","ARD_CUR_INCOME_TAX_EXP_BENEFIT","FQ2 2021","FQ2 2021","Currency=USD","Period=FQ","BEST_FPERIOD_OVERRIDE=FQ","FILING_STATUS=MR","SCALING_FORMAT=MLN","Sort=A","Dates=H","DateFormat=P","Fill=—","Direction=H","UseDPDF=Y")</f>
        <v>—</v>
      </c>
      <c r="N27" s="13" t="str">
        <f>_xll.BDH("SRPT US Equity","ARD_CUR_INCOME_TAX_EXP_BENEFIT","FQ3 2021","FQ3 2021","Currency=USD","Period=FQ","BEST_FPERIOD_OVERRIDE=FQ","FILING_STATUS=MR","SCALING_FORMAT=MLN","Sort=A","Dates=H","DateFormat=P","Fill=—","Direction=H","UseDPDF=Y")</f>
        <v>—</v>
      </c>
      <c r="O27" s="13" t="str">
        <f>_xll.BDH("SRPT US Equity","ARD_CUR_INCOME_TAX_EXP_BENEFIT","FQ4 2021","FQ4 2021","Currency=USD","Period=FQ","BEST_FPERIOD_OVERRIDE=FQ","FILING_STATUS=MR","SCALING_FORMAT=MLN","Sort=A","Dates=H","DateFormat=P","Fill=—","Direction=H","UseDPDF=Y")</f>
        <v>—</v>
      </c>
      <c r="P27" s="13" t="str">
        <f>_xll.BDH("SRPT US Equity","ARD_CUR_INCOME_TAX_EXP_BENEFIT","FQ1 2022","FQ1 2022","Currency=USD","Period=FQ","BEST_FPERIOD_OVERRIDE=FQ","FILING_STATUS=MR","SCALING_FORMAT=MLN","Sort=A","Dates=H","DateFormat=P","Fill=—","Direction=H","UseDPDF=Y")</f>
        <v>—</v>
      </c>
      <c r="Q27" s="13" t="str">
        <f>_xll.BDH("SRPT US Equity","ARD_CUR_INCOME_TAX_EXP_BENEFIT","FQ2 2022","FQ2 2022","Currency=USD","Period=FQ","BEST_FPERIOD_OVERRIDE=FQ","FILING_STATUS=MR","SCALING_FORMAT=MLN","Sort=A","Dates=H","DateFormat=P","Fill=—","Direction=H","UseDPDF=Y")</f>
        <v>—</v>
      </c>
      <c r="R27" s="13" t="str">
        <f>_xll.BDH("SRPT US Equity","ARD_CUR_INCOME_TAX_EXP_BENEFIT","FQ3 2022","FQ3 2022","Currency=USD","Period=FQ","BEST_FPERIOD_OVERRIDE=FQ","FILING_STATUS=MR","SCALING_FORMAT=MLN","Sort=A","Dates=H","DateFormat=P","Fill=—","Direction=H","UseDPDF=Y")</f>
        <v>—</v>
      </c>
      <c r="S27" s="13" t="str">
        <f>_xll.BDH("SRPT US Equity","ARD_CUR_INCOME_TAX_EXP_BENEFIT","FQ4 2022","FQ4 2022","Currency=USD","Period=FQ","BEST_FPERIOD_OVERRIDE=FQ","FILING_STATUS=MR","SCALING_FORMAT=MLN","Sort=A","Dates=H","DateFormat=P","Fill=—","Direction=H","UseDPDF=Y")</f>
        <v>—</v>
      </c>
      <c r="T27" s="13" t="str">
        <f>_xll.BDH("SRPT US Equity","ARD_CUR_INCOME_TAX_EXP_BENEFIT","FQ1 2023","FQ1 2023","Currency=USD","Period=FQ","BEST_FPERIOD_OVERRIDE=FQ","FILING_STATUS=MR","SCALING_FORMAT=MLN","Sort=A","Dates=H","DateFormat=P","Fill=—","Direction=H","UseDPDF=Y")</f>
        <v>—</v>
      </c>
      <c r="U27" s="13" t="str">
        <f>_xll.BDH("SRPT US Equity","ARD_CUR_INCOME_TAX_EXP_BENEFIT","FQ2 2023","FQ2 2023","Currency=USD","Period=FQ","BEST_FPERIOD_OVERRIDE=FQ","FILING_STATUS=MR","SCALING_FORMAT=MLN","Sort=A","Dates=H","DateFormat=P","Fill=—","Direction=H","UseDPDF=Y")</f>
        <v>—</v>
      </c>
      <c r="V27" s="13" t="str">
        <f>_xll.BDH("SRPT US Equity","ARD_CUR_INCOME_TAX_EXP_BENEFIT","FQ3 2023","FQ3 2023","Currency=USD","Period=FQ","BEST_FPERIOD_OVERRIDE=FQ","FILING_STATUS=MR","SCALING_FORMAT=MLN","Sort=A","Dates=H","DateFormat=P","Fill=—","Direction=H","UseDPDF=Y")</f>
        <v>—</v>
      </c>
      <c r="W27" s="13" t="str">
        <f>_xll.BDH("SRPT US Equity","ARD_CUR_INCOME_TAX_EXP_BENEFIT","FQ4 2023","FQ4 2023","Currency=USD","Period=FQ","BEST_FPERIOD_OVERRIDE=FQ","FILING_STATUS=MR","SCALING_FORMAT=MLN","Sort=A","Dates=H","DateFormat=P","Fill=—","Direction=H","UseDPDF=Y")</f>
        <v>—</v>
      </c>
      <c r="X27" s="13" t="str">
        <f>_xll.BDH("SRPT US Equity","ARD_CUR_INCOME_TAX_EXP_BENEFIT","FQ1 2024","FQ1 2024","Currency=USD","Period=FQ","BEST_FPERIOD_OVERRIDE=FQ","FILING_STATUS=MR","SCALING_FORMAT=MLN","Sort=A","Dates=H","DateFormat=P","Fill=—","Direction=H","UseDPDF=Y")</f>
        <v>—</v>
      </c>
      <c r="Y27" s="13" t="str">
        <f>_xll.BDH("SRPT US Equity","ARD_CUR_INCOME_TAX_EXP_BENEFIT","FQ2 2024","FQ2 2024","Currency=USD","Period=FQ","BEST_FPERIOD_OVERRIDE=FQ","FILING_STATUS=MR","SCALING_FORMAT=MLN","Sort=A","Dates=H","DateFormat=P","Fill=—","Direction=H","UseDPDF=Y")</f>
        <v>—</v>
      </c>
      <c r="Z27" s="13" t="str">
        <f>_xll.BDH("SRPT US Equity","ARD_CUR_INCOME_TAX_EXP_BENEFIT","FQ3 2024","FQ3 2024","Currency=USD","Period=FQ","BEST_FPERIOD_OVERRIDE=FQ","FILING_STATUS=MR","SCALING_FORMAT=MLN","Sort=A","Dates=H","DateFormat=P","Fill=—","Direction=H","UseDPDF=Y")</f>
        <v>—</v>
      </c>
      <c r="AA27" s="13" t="str">
        <f>_xll.BDH("SRPT US Equity","ARD_CUR_INCOME_TAX_EXP_BENEFIT","FQ4 2024","FQ4 2024","Currency=USD","Period=FQ","BEST_FPERIOD_OVERRIDE=FQ","FILING_STATUS=MR","SCALING_FORMAT=MLN","Sort=A","Dates=H","DateFormat=P","Fill=—","Direction=H","UseDPDF=Y")</f>
        <v>—</v>
      </c>
    </row>
    <row r="28" spans="1:27" x14ac:dyDescent="0.25">
      <c r="A28" s="10" t="s">
        <v>460</v>
      </c>
      <c r="B28" s="10" t="s">
        <v>461</v>
      </c>
      <c r="C28" s="13">
        <f>_xll.BDH("SRPT US Equity","ARD_OTH_NON_OPER_INC_EXP_NET","FQ4 2018","FQ4 2018","Currency=USD","Period=FQ","BEST_FPERIOD_OVERRIDE=FQ","FILING_STATUS=MR","SCALING_FORMAT=MLN","Sort=A","Dates=H","DateFormat=P","Fill=—","Direction=H","UseDPDF=Y")</f>
        <v>2.3109999999999999</v>
      </c>
      <c r="D28" s="13">
        <f>_xll.BDH("SRPT US Equity","ARD_OTH_NON_OPER_INC_EXP_NET","FQ1 2019","FQ1 2019","Currency=USD","Period=FQ","BEST_FPERIOD_OVERRIDE=FQ","FILING_STATUS=MR","SCALING_FORMAT=MLN","Sort=A","Dates=H","DateFormat=P","Fill=—","Direction=H","UseDPDF=Y")</f>
        <v>0.17199999999999999</v>
      </c>
      <c r="E28" s="13">
        <f>_xll.BDH("SRPT US Equity","ARD_OTH_NON_OPER_INC_EXP_NET","FQ2 2019","FQ2 2019","Currency=USD","Period=FQ","BEST_FPERIOD_OVERRIDE=FQ","FILING_STATUS=MR","SCALING_FORMAT=MLN","Sort=A","Dates=H","DateFormat=P","Fill=—","Direction=H","UseDPDF=Y")</f>
        <v>0.86199999999999999</v>
      </c>
      <c r="F28" s="13">
        <f>_xll.BDH("SRPT US Equity","ARD_OTH_NON_OPER_INC_EXP_NET","FQ3 2019","FQ3 2019","Currency=USD","Period=FQ","BEST_FPERIOD_OVERRIDE=FQ","FILING_STATUS=MR","SCALING_FORMAT=MLN","Sort=A","Dates=H","DateFormat=P","Fill=—","Direction=H","UseDPDF=Y")</f>
        <v>2.5099999999999998</v>
      </c>
      <c r="G28" s="13">
        <f>_xll.BDH("SRPT US Equity","ARD_OTH_NON_OPER_INC_EXP_NET","FQ4 2019","FQ4 2019","Currency=USD","Period=FQ","BEST_FPERIOD_OVERRIDE=FQ","FILING_STATUS=MR","SCALING_FORMAT=MLN","Sort=A","Dates=H","DateFormat=P","Fill=—","Direction=H","UseDPDF=Y")</f>
        <v>4.7729999999999997</v>
      </c>
      <c r="H28" s="13">
        <f>_xll.BDH("SRPT US Equity","ARD_OTH_NON_OPER_INC_EXP_NET","FQ1 2020","FQ1 2020","Currency=USD","Period=FQ","BEST_FPERIOD_OVERRIDE=FQ","FILING_STATUS=MR","SCALING_FORMAT=MLN","Sort=A","Dates=H","DateFormat=P","Fill=—","Direction=H","UseDPDF=Y")</f>
        <v>7.42</v>
      </c>
      <c r="I28" s="13">
        <f>_xll.BDH("SRPT US Equity","ARD_OTH_NON_OPER_INC_EXP_NET","FQ2 2020","FQ2 2020","Currency=USD","Period=FQ","BEST_FPERIOD_OVERRIDE=FQ","FILING_STATUS=MR","SCALING_FORMAT=MLN","Sort=A","Dates=H","DateFormat=P","Fill=—","Direction=H","UseDPDF=Y")</f>
        <v>12.446999999999999</v>
      </c>
      <c r="J28" s="13">
        <f>_xll.BDH("SRPT US Equity","ARD_OTH_NON_OPER_INC_EXP_NET","FQ3 2020","FQ3 2020","Currency=USD","Period=FQ","BEST_FPERIOD_OVERRIDE=FQ","FILING_STATUS=MR","SCALING_FORMAT=MLN","Sort=A","Dates=H","DateFormat=P","Fill=—","Direction=H","UseDPDF=Y")</f>
        <v>14.335000000000001</v>
      </c>
      <c r="K28" s="13">
        <f>_xll.BDH("SRPT US Equity","ARD_OTH_NON_OPER_INC_EXP_NET","FQ4 2020","FQ4 2020","Currency=USD","Period=FQ","BEST_FPERIOD_OVERRIDE=FQ","FILING_STATUS=MR","SCALING_FORMAT=MLN","Sort=A","Dates=H","DateFormat=P","Fill=—","Direction=H","UseDPDF=Y")</f>
        <v>17.768999999999998</v>
      </c>
      <c r="L28" s="13">
        <f>_xll.BDH("SRPT US Equity","ARD_OTH_NON_OPER_INC_EXP_NET","FQ1 2021","FQ1 2021","Currency=USD","Period=FQ","BEST_FPERIOD_OVERRIDE=FQ","FILING_STATUS=MR","SCALING_FORMAT=MLN","Sort=A","Dates=H","DateFormat=P","Fill=—","Direction=H","UseDPDF=Y")</f>
        <v>15.528</v>
      </c>
      <c r="M28" s="13">
        <f>_xll.BDH("SRPT US Equity","ARD_OTH_NON_OPER_INC_EXP_NET","FQ2 2021","FQ2 2021","Currency=USD","Period=FQ","BEST_FPERIOD_OVERRIDE=FQ","FILING_STATUS=MR","SCALING_FORMAT=MLN","Sort=A","Dates=H","DateFormat=P","Fill=—","Direction=H","UseDPDF=Y")</f>
        <v>16.184999999999999</v>
      </c>
      <c r="N28" s="13">
        <f>_xll.BDH("SRPT US Equity","ARD_OTH_NON_OPER_INC_EXP_NET","FQ3 2021","FQ3 2021","Currency=USD","Period=FQ","BEST_FPERIOD_OVERRIDE=FQ","FILING_STATUS=MR","SCALING_FORMAT=MLN","Sort=A","Dates=H","DateFormat=P","Fill=—","Direction=H","UseDPDF=Y")</f>
        <v>20.649000000000001</v>
      </c>
      <c r="O28" s="13">
        <f>_xll.BDH("SRPT US Equity","ARD_OTH_NON_OPER_INC_EXP_NET","FQ4 2021","FQ4 2021","Currency=USD","Period=FQ","BEST_FPERIOD_OVERRIDE=FQ","FILING_STATUS=MR","SCALING_FORMAT=MLN","Sort=A","Dates=H","DateFormat=P","Fill=—","Direction=H","UseDPDF=Y")</f>
        <v>16.076000000000001</v>
      </c>
      <c r="P28" s="13">
        <f>_xll.BDH("SRPT US Equity","ARD_OTH_NON_OPER_INC_EXP_NET","FQ1 2022","FQ1 2022","Currency=USD","Period=FQ","BEST_FPERIOD_OVERRIDE=FQ","FILING_STATUS=MR","SCALING_FORMAT=MLN","Sort=A","Dates=H","DateFormat=P","Fill=—","Direction=H","UseDPDF=Y")</f>
        <v>17.265000000000001</v>
      </c>
      <c r="Q28" s="13">
        <f>_xll.BDH("SRPT US Equity","ARD_OTH_NON_OPER_INC_EXP_NET","FQ2 2022","FQ2 2022","Currency=USD","Period=FQ","BEST_FPERIOD_OVERRIDE=FQ","FILING_STATUS=MR","SCALING_FORMAT=MLN","Sort=A","Dates=H","DateFormat=P","Fill=—","Direction=H","UseDPDF=Y")</f>
        <v>16.960999999999999</v>
      </c>
      <c r="R28" s="13">
        <f>_xll.BDH("SRPT US Equity","ARD_OTH_NON_OPER_INC_EXP_NET","FQ3 2022","FQ3 2022","Currency=USD","Period=FQ","BEST_FPERIOD_OVERRIDE=FQ","FILING_STATUS=MR","SCALING_FORMAT=MLN","Sort=A","Dates=H","DateFormat=P","Fill=—","Direction=H","UseDPDF=Y")</f>
        <v>6.3220000000000001</v>
      </c>
      <c r="S28" s="13">
        <f>_xll.BDH("SRPT US Equity","ARD_OTH_NON_OPER_INC_EXP_NET","FQ4 2022","FQ4 2022","Currency=USD","Period=FQ","BEST_FPERIOD_OVERRIDE=FQ","FILING_STATUS=MR","SCALING_FORMAT=MLN","Sort=A","Dates=H","DateFormat=P","Fill=—","Direction=H","UseDPDF=Y")</f>
        <v>-5.5270000000000001</v>
      </c>
      <c r="T28" s="13">
        <f>_xll.BDH("SRPT US Equity","ARD_OTH_NON_OPER_INC_EXP_NET","FQ1 2023","FQ1 2023","Currency=USD","Period=FQ","BEST_FPERIOD_OVERRIDE=FQ","FILING_STATUS=MR","SCALING_FORMAT=MLN","Sort=A","Dates=H","DateFormat=P","Fill=—","Direction=H","UseDPDF=Y")</f>
        <v>-12.707000000000001</v>
      </c>
      <c r="U28" s="13">
        <f>_xll.BDH("SRPT US Equity","ARD_OTH_NON_OPER_INC_EXP_NET","FQ2 2023","FQ2 2023","Currency=USD","Period=FQ","BEST_FPERIOD_OVERRIDE=FQ","FILING_STATUS=MR","SCALING_FORMAT=MLN","Sort=A","Dates=H","DateFormat=P","Fill=—","Direction=H","UseDPDF=Y")</f>
        <v>-16.934000000000001</v>
      </c>
      <c r="V28" s="13">
        <f>_xll.BDH("SRPT US Equity","ARD_OTH_NON_OPER_INC_EXP_NET","FQ3 2023","FQ3 2023","Currency=USD","Period=FQ","BEST_FPERIOD_OVERRIDE=FQ","FILING_STATUS=MR","SCALING_FORMAT=MLN","Sort=A","Dates=H","DateFormat=P","Fill=—","Direction=H","UseDPDF=Y")</f>
        <v>12.332000000000001</v>
      </c>
      <c r="W28" s="13">
        <f>_xll.BDH("SRPT US Equity","ARD_OTH_NON_OPER_INC_EXP_NET","FQ4 2023","FQ4 2023","Currency=USD","Period=FQ","BEST_FPERIOD_OVERRIDE=FQ","FILING_STATUS=MR","SCALING_FORMAT=MLN","Sort=A","Dates=H","DateFormat=P","Fill=—","Direction=H","UseDPDF=Y")</f>
        <v>-15.746</v>
      </c>
      <c r="X28" s="13">
        <f>_xll.BDH("SRPT US Equity","ARD_OTH_NON_OPER_INC_EXP_NET","FQ1 2024","FQ1 2024","Currency=USD","Period=FQ","BEST_FPERIOD_OVERRIDE=FQ","FILING_STATUS=MR","SCALING_FORMAT=MLN","Sort=A","Dates=H","DateFormat=P","Fill=—","Direction=H","UseDPDF=Y")</f>
        <v>-6.5430000000000001</v>
      </c>
      <c r="Y28" s="13">
        <f>_xll.BDH("SRPT US Equity","ARD_OTH_NON_OPER_INC_EXP_NET","FQ2 2024","FQ2 2024","Currency=USD","Period=FQ","BEST_FPERIOD_OVERRIDE=FQ","FILING_STATUS=MR","SCALING_FORMAT=MLN","Sort=A","Dates=H","DateFormat=P","Fill=—","Direction=H","UseDPDF=Y")</f>
        <v>-14.278</v>
      </c>
      <c r="Z28" s="13">
        <f>_xll.BDH("SRPT US Equity","ARD_OTH_NON_OPER_INC_EXP_NET","FQ3 2024","FQ3 2024","Currency=USD","Period=FQ","BEST_FPERIOD_OVERRIDE=FQ","FILING_STATUS=MR","SCALING_FORMAT=MLN","Sort=A","Dates=H","DateFormat=P","Fill=—","Direction=H","UseDPDF=Y")</f>
        <v>-11.81</v>
      </c>
      <c r="AA28" s="13">
        <f>_xll.BDH("SRPT US Equity","ARD_OTH_NON_OPER_INC_EXP_NET","FQ4 2024","FQ4 2024","Currency=USD","Period=FQ","BEST_FPERIOD_OVERRIDE=FQ","FILING_STATUS=MR","SCALING_FORMAT=MLN","Sort=A","Dates=H","DateFormat=P","Fill=—","Direction=H","UseDPDF=Y")</f>
        <v>-10.061999999999999</v>
      </c>
    </row>
    <row r="29" spans="1:27" x14ac:dyDescent="0.25">
      <c r="A29" s="10" t="s">
        <v>462</v>
      </c>
      <c r="B29" s="10" t="s">
        <v>463</v>
      </c>
      <c r="C29" s="13">
        <f>_xll.BDH("SRPT US Equity","ARD_DISPOSAL_ASSET_NON_OPERATING","FQ4 2018","FQ4 2018","Currency=USD","Period=FQ","BEST_FPERIOD_OVERRIDE=FQ","FILING_STATUS=MR","SCALING_FORMAT=MLN","Sort=A","Dates=H","DateFormat=P","Fill=—","Direction=H","UseDPDF=Y")</f>
        <v>0</v>
      </c>
      <c r="D29" s="13" t="str">
        <f>_xll.BDH("SRPT US Equity","ARD_DISPOSAL_ASSET_NON_OPERATING","FQ1 2019","FQ1 2019","Currency=USD","Period=FQ","BEST_FPERIOD_OVERRIDE=FQ","FILING_STATUS=MR","SCALING_FORMAT=MLN","Sort=A","Dates=H","DateFormat=P","Fill=—","Direction=H","UseDPDF=Y")</f>
        <v>—</v>
      </c>
      <c r="E29" s="13" t="str">
        <f>_xll.BDH("SRPT US Equity","ARD_DISPOSAL_ASSET_NON_OPERATING","FQ2 2019","FQ2 2019","Currency=USD","Period=FQ","BEST_FPERIOD_OVERRIDE=FQ","FILING_STATUS=MR","SCALING_FORMAT=MLN","Sort=A","Dates=H","DateFormat=P","Fill=—","Direction=H","UseDPDF=Y")</f>
        <v>—</v>
      </c>
      <c r="F29" s="13" t="str">
        <f>_xll.BDH("SRPT US Equity","ARD_DISPOSAL_ASSET_NON_OPERATING","FQ3 2019","FQ3 2019","Currency=USD","Period=FQ","BEST_FPERIOD_OVERRIDE=FQ","FILING_STATUS=MR","SCALING_FORMAT=MLN","Sort=A","Dates=H","DateFormat=P","Fill=—","Direction=H","UseDPDF=Y")</f>
        <v>—</v>
      </c>
      <c r="G29" s="13" t="str">
        <f>_xll.BDH("SRPT US Equity","ARD_DISPOSAL_ASSET_NON_OPERATING","FQ4 2019","FQ4 2019","Currency=USD","Period=FQ","BEST_FPERIOD_OVERRIDE=FQ","FILING_STATUS=MR","SCALING_FORMAT=MLN","Sort=A","Dates=H","DateFormat=P","Fill=—","Direction=H","UseDPDF=Y")</f>
        <v>—</v>
      </c>
      <c r="H29" s="13">
        <f>_xll.BDH("SRPT US Equity","ARD_DISPOSAL_ASSET_NON_OPERATING","FQ1 2020","FQ1 2020","Currency=USD","Period=FQ","BEST_FPERIOD_OVERRIDE=FQ","FILING_STATUS=MR","SCALING_FORMAT=MLN","Sort=A","Dates=H","DateFormat=P","Fill=—","Direction=H","UseDPDF=Y")</f>
        <v>-108.069</v>
      </c>
      <c r="I29" s="13">
        <f>_xll.BDH("SRPT US Equity","ARD_DISPOSAL_ASSET_NON_OPERATING","FQ2 2020","FQ2 2020","Currency=USD","Period=FQ","BEST_FPERIOD_OVERRIDE=FQ","FILING_STATUS=MR","SCALING_FORMAT=MLN","Sort=A","Dates=H","DateFormat=P","Fill=—","Direction=H","UseDPDF=Y")</f>
        <v>0</v>
      </c>
      <c r="J29" s="13" t="str">
        <f>_xll.BDH("SRPT US Equity","ARD_DISPOSAL_ASSET_NON_OPERATING","FQ3 2020","FQ3 2020","Currency=USD","Period=FQ","BEST_FPERIOD_OVERRIDE=FQ","FILING_STATUS=MR","SCALING_FORMAT=MLN","Sort=A","Dates=H","DateFormat=P","Fill=—","Direction=H","UseDPDF=Y")</f>
        <v>—</v>
      </c>
      <c r="K29" s="13">
        <f>_xll.BDH("SRPT US Equity","ARD_DISPOSAL_ASSET_NON_OPERATING","FQ4 2020","FQ4 2020","Currency=USD","Period=FQ","BEST_FPERIOD_OVERRIDE=FQ","FILING_STATUS=MR","SCALING_FORMAT=MLN","Sort=A","Dates=H","DateFormat=P","Fill=—","Direction=H","UseDPDF=Y")</f>
        <v>0</v>
      </c>
      <c r="L29" s="13" t="str">
        <f>_xll.BDH("SRPT US Equity","ARD_DISPOSAL_ASSET_NON_OPERATING","FQ1 2021","FQ1 2021","Currency=USD","Period=FQ","BEST_FPERIOD_OVERRIDE=FQ","FILING_STATUS=MR","SCALING_FORMAT=MLN","Sort=A","Dates=H","DateFormat=P","Fill=—","Direction=H","UseDPDF=Y")</f>
        <v>—</v>
      </c>
      <c r="M29" s="13">
        <f>_xll.BDH("SRPT US Equity","ARD_DISPOSAL_ASSET_NON_OPERATING","FQ2 2021","FQ2 2021","Currency=USD","Period=FQ","BEST_FPERIOD_OVERRIDE=FQ","FILING_STATUS=MR","SCALING_FORMAT=MLN","Sort=A","Dates=H","DateFormat=P","Fill=—","Direction=H","UseDPDF=Y")</f>
        <v>-102</v>
      </c>
      <c r="N29" s="13" t="str">
        <f>_xll.BDH("SRPT US Equity","ARD_DISPOSAL_ASSET_NON_OPERATING","FQ3 2021","FQ3 2021","Currency=USD","Period=FQ","BEST_FPERIOD_OVERRIDE=FQ","FILING_STATUS=MR","SCALING_FORMAT=MLN","Sort=A","Dates=H","DateFormat=P","Fill=—","Direction=H","UseDPDF=Y")</f>
        <v>—</v>
      </c>
      <c r="O29" s="13">
        <f>_xll.BDH("SRPT US Equity","ARD_DISPOSAL_ASSET_NON_OPERATING","FQ4 2021","FQ4 2021","Currency=USD","Period=FQ","BEST_FPERIOD_OVERRIDE=FQ","FILING_STATUS=MR","SCALING_FORMAT=MLN","Sort=A","Dates=H","DateFormat=P","Fill=—","Direction=H","UseDPDF=Y")</f>
        <v>0</v>
      </c>
      <c r="P29" s="13" t="str">
        <f>_xll.BDH("SRPT US Equity","ARD_DISPOSAL_ASSET_NON_OPERATING","FQ1 2022","FQ1 2022","Currency=USD","Period=FQ","BEST_FPERIOD_OVERRIDE=FQ","FILING_STATUS=MR","SCALING_FORMAT=MLN","Sort=A","Dates=H","DateFormat=P","Fill=—","Direction=H","UseDPDF=Y")</f>
        <v>—</v>
      </c>
      <c r="Q29" s="13">
        <f>_xll.BDH("SRPT US Equity","ARD_DISPOSAL_ASSET_NON_OPERATING","FQ2 2022","FQ2 2022","Currency=USD","Period=FQ","BEST_FPERIOD_OVERRIDE=FQ","FILING_STATUS=MR","SCALING_FORMAT=MLN","Sort=A","Dates=H","DateFormat=P","Fill=—","Direction=H","UseDPDF=Y")</f>
        <v>0</v>
      </c>
      <c r="R29" s="13">
        <f>_xll.BDH("SRPT US Equity","ARD_DISPOSAL_ASSET_NON_OPERATING","FQ3 2022","FQ3 2022","Currency=USD","Period=FQ","BEST_FPERIOD_OVERRIDE=FQ","FILING_STATUS=MR","SCALING_FORMAT=MLN","Sort=A","Dates=H","DateFormat=P","Fill=—","Direction=H","UseDPDF=Y")</f>
        <v>0</v>
      </c>
      <c r="S29" s="13" t="str">
        <f>_xll.BDH("SRPT US Equity","ARD_DISPOSAL_ASSET_NON_OPERATING","FQ4 2022","FQ4 2022","Currency=USD","Period=FQ","BEST_FPERIOD_OVERRIDE=FQ","FILING_STATUS=MR","SCALING_FORMAT=MLN","Sort=A","Dates=H","DateFormat=P","Fill=—","Direction=H","UseDPDF=Y")</f>
        <v>—</v>
      </c>
      <c r="T29" s="13" t="str">
        <f>_xll.BDH("SRPT US Equity","ARD_DISPOSAL_ASSET_NON_OPERATING","FQ1 2023","FQ1 2023","Currency=USD","Period=FQ","BEST_FPERIOD_OVERRIDE=FQ","FILING_STATUS=MR","SCALING_FORMAT=MLN","Sort=A","Dates=H","DateFormat=P","Fill=—","Direction=H","UseDPDF=Y")</f>
        <v>—</v>
      </c>
      <c r="U29" s="13">
        <f>_xll.BDH("SRPT US Equity","ARD_DISPOSAL_ASSET_NON_OPERATING","FQ2 2023","FQ2 2023","Currency=USD","Period=FQ","BEST_FPERIOD_OVERRIDE=FQ","FILING_STATUS=MR","SCALING_FORMAT=MLN","Sort=A","Dates=H","DateFormat=P","Fill=—","Direction=H","UseDPDF=Y")</f>
        <v>-102</v>
      </c>
      <c r="V29" s="13">
        <f>_xll.BDH("SRPT US Equity","ARD_DISPOSAL_ASSET_NON_OPERATING","FQ3 2023","FQ3 2023","Currency=USD","Period=FQ","BEST_FPERIOD_OVERRIDE=FQ","FILING_STATUS=MR","SCALING_FORMAT=MLN","Sort=A","Dates=H","DateFormat=P","Fill=—","Direction=H","UseDPDF=Y")</f>
        <v>0</v>
      </c>
      <c r="W29" s="13" t="str">
        <f>_xll.BDH("SRPT US Equity","ARD_DISPOSAL_ASSET_NON_OPERATING","FQ4 2023","FQ4 2023","Currency=USD","Period=FQ","BEST_FPERIOD_OVERRIDE=FQ","FILING_STATUS=MR","SCALING_FORMAT=MLN","Sort=A","Dates=H","DateFormat=P","Fill=—","Direction=H","UseDPDF=Y")</f>
        <v>—</v>
      </c>
      <c r="X29" s="13" t="str">
        <f>_xll.BDH("SRPT US Equity","ARD_DISPOSAL_ASSET_NON_OPERATING","FQ1 2024","FQ1 2024","Currency=USD","Period=FQ","BEST_FPERIOD_OVERRIDE=FQ","FILING_STATUS=MR","SCALING_FORMAT=MLN","Sort=A","Dates=H","DateFormat=P","Fill=—","Direction=H","UseDPDF=Y")</f>
        <v>—</v>
      </c>
      <c r="Y29" s="13">
        <f>_xll.BDH("SRPT US Equity","ARD_DISPOSAL_ASSET_NON_OPERATING","FQ2 2024","FQ2 2024","Currency=USD","Period=FQ","BEST_FPERIOD_OVERRIDE=FQ","FILING_STATUS=MR","SCALING_FORMAT=MLN","Sort=A","Dates=H","DateFormat=P","Fill=—","Direction=H","UseDPDF=Y")</f>
        <v>0</v>
      </c>
      <c r="Z29" s="13">
        <f>_xll.BDH("SRPT US Equity","ARD_DISPOSAL_ASSET_NON_OPERATING","FQ3 2024","FQ3 2024","Currency=USD","Period=FQ","BEST_FPERIOD_OVERRIDE=FQ","FILING_STATUS=MR","SCALING_FORMAT=MLN","Sort=A","Dates=H","DateFormat=P","Fill=—","Direction=H","UseDPDF=Y")</f>
        <v>0</v>
      </c>
      <c r="AA29" s="13">
        <f>_xll.BDH("SRPT US Equity","ARD_DISPOSAL_ASSET_NON_OPERATING","FQ4 2024","FQ4 2024","Currency=USD","Period=FQ","BEST_FPERIOD_OVERRIDE=FQ","FILING_STATUS=MR","SCALING_FORMAT=MLN","Sort=A","Dates=H","DateFormat=P","Fill=—","Direction=H","UseDPDF=Y")</f>
        <v>0</v>
      </c>
    </row>
    <row r="30" spans="1:27" x14ac:dyDescent="0.25">
      <c r="A30" s="10" t="s">
        <v>464</v>
      </c>
      <c r="B30" s="10" t="s">
        <v>465</v>
      </c>
      <c r="C30" s="13" t="str">
        <f>_xll.BDH("SRPT US Equity","ARD_OTHER_ONE_TIME_ITEMS_NON_OP","FQ4 2018","FQ4 2018","Currency=USD","Period=FQ","BEST_FPERIOD_OVERRIDE=FQ","FILING_STATUS=MR","Sort=A","Dates=H","DateFormat=P","Fill=—","Direction=H","UseDPDF=Y")</f>
        <v>—</v>
      </c>
      <c r="D30" s="13" t="str">
        <f>_xll.BDH("SRPT US Equity","ARD_OTHER_ONE_TIME_ITEMS_NON_OP","FQ1 2019","FQ1 2019","Currency=USD","Period=FQ","BEST_FPERIOD_OVERRIDE=FQ","FILING_STATUS=MR","Sort=A","Dates=H","DateFormat=P","Fill=—","Direction=H","UseDPDF=Y")</f>
        <v>—</v>
      </c>
      <c r="E30" s="13" t="str">
        <f>_xll.BDH("SRPT US Equity","ARD_OTHER_ONE_TIME_ITEMS_NON_OP","FQ2 2019","FQ2 2019","Currency=USD","Period=FQ","BEST_FPERIOD_OVERRIDE=FQ","FILING_STATUS=MR","Sort=A","Dates=H","DateFormat=P","Fill=—","Direction=H","UseDPDF=Y")</f>
        <v>—</v>
      </c>
      <c r="F30" s="13" t="str">
        <f>_xll.BDH("SRPT US Equity","ARD_OTHER_ONE_TIME_ITEMS_NON_OP","FQ3 2019","FQ3 2019","Currency=USD","Period=FQ","BEST_FPERIOD_OVERRIDE=FQ","FILING_STATUS=MR","Sort=A","Dates=H","DateFormat=P","Fill=—","Direction=H","UseDPDF=Y")</f>
        <v>—</v>
      </c>
      <c r="G30" s="13" t="str">
        <f>_xll.BDH("SRPT US Equity","ARD_OTHER_ONE_TIME_ITEMS_NON_OP","FQ4 2019","FQ4 2019","Currency=USD","Period=FQ","BEST_FPERIOD_OVERRIDE=FQ","FILING_STATUS=MR","Sort=A","Dates=H","DateFormat=P","Fill=—","Direction=H","UseDPDF=Y")</f>
        <v>—</v>
      </c>
      <c r="H30" s="13" t="str">
        <f>_xll.BDH("SRPT US Equity","ARD_OTHER_ONE_TIME_ITEMS_NON_OP","FQ1 2020","FQ1 2020","Currency=USD","Period=FQ","BEST_FPERIOD_OVERRIDE=FQ","FILING_STATUS=MR","Sort=A","Dates=H","DateFormat=P","Fill=—","Direction=H","UseDPDF=Y")</f>
        <v>—</v>
      </c>
      <c r="I30" s="13" t="str">
        <f>_xll.BDH("SRPT US Equity","ARD_OTHER_ONE_TIME_ITEMS_NON_OP","FQ2 2020","FQ2 2020","Currency=USD","Period=FQ","BEST_FPERIOD_OVERRIDE=FQ","FILING_STATUS=MR","Sort=A","Dates=H","DateFormat=P","Fill=—","Direction=H","UseDPDF=Y")</f>
        <v>—</v>
      </c>
      <c r="J30" s="13">
        <f>_xll.BDH("SRPT US Equity","ARD_OTHER_ONE_TIME_ITEMS_NON_OP","FQ3 2020","FQ3 2020","Currency=USD","Period=FQ","BEST_FPERIOD_OVERRIDE=FQ","FILING_STATUS=MR","Sort=A","Dates=H","DateFormat=P","Fill=—","Direction=H","UseDPDF=Y")</f>
        <v>45</v>
      </c>
      <c r="K30" s="13">
        <f>_xll.BDH("SRPT US Equity","ARD_OTHER_ONE_TIME_ITEMS_NON_OP","FQ4 2020","FQ4 2020","Currency=USD","Period=FQ","BEST_FPERIOD_OVERRIDE=FQ","FILING_STATUS=MR","Sort=A","Dates=H","DateFormat=P","Fill=—","Direction=H","UseDPDF=Y")</f>
        <v>0</v>
      </c>
      <c r="L30" s="13" t="str">
        <f>_xll.BDH("SRPT US Equity","ARD_OTHER_ONE_TIME_ITEMS_NON_OP","FQ1 2021","FQ1 2021","Currency=USD","Period=FQ","BEST_FPERIOD_OVERRIDE=FQ","FILING_STATUS=MR","Sort=A","Dates=H","DateFormat=P","Fill=—","Direction=H","UseDPDF=Y")</f>
        <v>—</v>
      </c>
      <c r="M30" s="13" t="str">
        <f>_xll.BDH("SRPT US Equity","ARD_OTHER_ONE_TIME_ITEMS_NON_OP","FQ2 2021","FQ2 2021","Currency=USD","Period=FQ","BEST_FPERIOD_OVERRIDE=FQ","FILING_STATUS=MR","Sort=A","Dates=H","DateFormat=P","Fill=—","Direction=H","UseDPDF=Y")</f>
        <v>—</v>
      </c>
      <c r="N30" s="13">
        <f>_xll.BDH("SRPT US Equity","ARD_OTHER_ONE_TIME_ITEMS_NON_OP","FQ3 2021","FQ3 2021","Currency=USD","Period=FQ","BEST_FPERIOD_OVERRIDE=FQ","FILING_STATUS=MR","Sort=A","Dates=H","DateFormat=P","Fill=—","Direction=H","UseDPDF=Y")</f>
        <v>-7.2</v>
      </c>
      <c r="O30" s="13">
        <f>_xll.BDH("SRPT US Equity","ARD_OTHER_ONE_TIME_ITEMS_NON_OP","FQ4 2021","FQ4 2021","Currency=USD","Period=FQ","BEST_FPERIOD_OVERRIDE=FQ","FILING_STATUS=MR","Sort=A","Dates=H","DateFormat=P","Fill=—","Direction=H","UseDPDF=Y")</f>
        <v>0</v>
      </c>
      <c r="P30" s="13" t="str">
        <f>_xll.BDH("SRPT US Equity","ARD_OTHER_ONE_TIME_ITEMS_NON_OP","FQ1 2022","FQ1 2022","Currency=USD","Period=FQ","BEST_FPERIOD_OVERRIDE=FQ","FILING_STATUS=MR","Sort=A","Dates=H","DateFormat=P","Fill=—","Direction=H","UseDPDF=Y")</f>
        <v>—</v>
      </c>
      <c r="Q30" s="13" t="str">
        <f>_xll.BDH("SRPT US Equity","ARD_OTHER_ONE_TIME_ITEMS_NON_OP","FQ2 2022","FQ2 2022","Currency=USD","Period=FQ","BEST_FPERIOD_OVERRIDE=FQ","FILING_STATUS=MR","Sort=A","Dates=H","DateFormat=P","Fill=—","Direction=H","UseDPDF=Y")</f>
        <v>—</v>
      </c>
      <c r="R30" s="13">
        <f>_xll.BDH("SRPT US Equity","ARD_OTHER_ONE_TIME_ITEMS_NON_OP","FQ3 2022","FQ3 2022","Currency=USD","Period=FQ","BEST_FPERIOD_OVERRIDE=FQ","FILING_STATUS=MR","Sort=A","Dates=H","DateFormat=P","Fill=—","Direction=H","UseDPDF=Y")</f>
        <v>-6.7</v>
      </c>
      <c r="S30" s="13" t="str">
        <f>_xll.BDH("SRPT US Equity","ARD_OTHER_ONE_TIME_ITEMS_NON_OP","FQ4 2022","FQ4 2022","Currency=USD","Period=FQ","BEST_FPERIOD_OVERRIDE=FQ","FILING_STATUS=MR","Sort=A","Dates=H","DateFormat=P","Fill=—","Direction=H","UseDPDF=Y")</f>
        <v>—</v>
      </c>
      <c r="T30" s="13" t="str">
        <f>_xll.BDH("SRPT US Equity","ARD_OTHER_ONE_TIME_ITEMS_NON_OP","FQ1 2023","FQ1 2023","Currency=USD","Period=FQ","BEST_FPERIOD_OVERRIDE=FQ","FILING_STATUS=MR","Sort=A","Dates=H","DateFormat=P","Fill=—","Direction=H","UseDPDF=Y")</f>
        <v>—</v>
      </c>
      <c r="U30" s="13" t="str">
        <f>_xll.BDH("SRPT US Equity","ARD_OTHER_ONE_TIME_ITEMS_NON_OP","FQ2 2023","FQ2 2023","Currency=USD","Period=FQ","BEST_FPERIOD_OVERRIDE=FQ","FILING_STATUS=MR","Sort=A","Dates=H","DateFormat=P","Fill=—","Direction=H","UseDPDF=Y")</f>
        <v>—</v>
      </c>
      <c r="V30" s="13" t="str">
        <f>_xll.BDH("SRPT US Equity","ARD_OTHER_ONE_TIME_ITEMS_NON_OP","FQ3 2023","FQ3 2023","Currency=USD","Period=FQ","BEST_FPERIOD_OVERRIDE=FQ","FILING_STATUS=MR","Sort=A","Dates=H","DateFormat=P","Fill=—","Direction=H","UseDPDF=Y")</f>
        <v>—</v>
      </c>
      <c r="W30" s="13" t="str">
        <f>_xll.BDH("SRPT US Equity","ARD_OTHER_ONE_TIME_ITEMS_NON_OP","FQ4 2023","FQ4 2023","Currency=USD","Period=FQ","BEST_FPERIOD_OVERRIDE=FQ","FILING_STATUS=MR","Sort=A","Dates=H","DateFormat=P","Fill=—","Direction=H","UseDPDF=Y")</f>
        <v>—</v>
      </c>
      <c r="X30" s="13" t="str">
        <f>_xll.BDH("SRPT US Equity","ARD_OTHER_ONE_TIME_ITEMS_NON_OP","FQ1 2024","FQ1 2024","Currency=USD","Period=FQ","BEST_FPERIOD_OVERRIDE=FQ","FILING_STATUS=MR","Sort=A","Dates=H","DateFormat=P","Fill=—","Direction=H","UseDPDF=Y")</f>
        <v>—</v>
      </c>
      <c r="Y30" s="13" t="str">
        <f>_xll.BDH("SRPT US Equity","ARD_OTHER_ONE_TIME_ITEMS_NON_OP","FQ2 2024","FQ2 2024","Currency=USD","Period=FQ","BEST_FPERIOD_OVERRIDE=FQ","FILING_STATUS=MR","Sort=A","Dates=H","DateFormat=P","Fill=—","Direction=H","UseDPDF=Y")</f>
        <v>—</v>
      </c>
      <c r="Z30" s="13" t="str">
        <f>_xll.BDH("SRPT US Equity","ARD_OTHER_ONE_TIME_ITEMS_NON_OP","FQ3 2024","FQ3 2024","Currency=USD","Period=FQ","BEST_FPERIOD_OVERRIDE=FQ","FILING_STATUS=MR","Sort=A","Dates=H","DateFormat=P","Fill=—","Direction=H","UseDPDF=Y")</f>
        <v>—</v>
      </c>
      <c r="AA30" s="13" t="str">
        <f>_xll.BDH("SRPT US Equity","ARD_OTHER_ONE_TIME_ITEMS_NON_OP","FQ4 2024","FQ4 2024","Currency=USD","Period=FQ","BEST_FPERIOD_OVERRIDE=FQ","FILING_STATUS=MR","Sort=A","Dates=H","DateFormat=P","Fill=—","Direction=H","UseDPDF=Y")</f>
        <v>—</v>
      </c>
    </row>
    <row r="31" spans="1:27" x14ac:dyDescent="0.25">
      <c r="A31" s="10" t="s">
        <v>466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25">
      <c r="A32" s="10" t="s">
        <v>467</v>
      </c>
      <c r="B32" s="10" t="s">
        <v>468</v>
      </c>
      <c r="C32" s="14" t="str">
        <f>_xll.BDH("SRPT US Equity","ARD_BASIC_EPS","FQ4 2018","FQ4 2018","Currency=USD","Period=FQ","BEST_FPERIOD_OVERRIDE=FQ","FILING_STATUS=MR","Sort=A","Dates=H","DateFormat=P","Fill=—","Direction=H","UseDPDF=Y")</f>
        <v>—</v>
      </c>
      <c r="D32" s="14" t="str">
        <f>_xll.BDH("SRPT US Equity","ARD_BASIC_EPS","FQ1 2019","FQ1 2019","Currency=USD","Period=FQ","BEST_FPERIOD_OVERRIDE=FQ","FILING_STATUS=MR","Sort=A","Dates=H","DateFormat=P","Fill=—","Direction=H","UseDPDF=Y")</f>
        <v>—</v>
      </c>
      <c r="E32" s="14" t="str">
        <f>_xll.BDH("SRPT US Equity","ARD_BASIC_EPS","FQ2 2019","FQ2 2019","Currency=USD","Period=FQ","BEST_FPERIOD_OVERRIDE=FQ","FILING_STATUS=MR","Sort=A","Dates=H","DateFormat=P","Fill=—","Direction=H","UseDPDF=Y")</f>
        <v>—</v>
      </c>
      <c r="F32" s="14" t="str">
        <f>_xll.BDH("SRPT US Equity","ARD_BASIC_EPS","FQ3 2019","FQ3 2019","Currency=USD","Period=FQ","BEST_FPERIOD_OVERRIDE=FQ","FILING_STATUS=MR","Sort=A","Dates=H","DateFormat=P","Fill=—","Direction=H","UseDPDF=Y")</f>
        <v>—</v>
      </c>
      <c r="G32" s="14" t="str">
        <f>_xll.BDH("SRPT US Equity","ARD_BASIC_EPS","FQ4 2019","FQ4 2019","Currency=USD","Period=FQ","BEST_FPERIOD_OVERRIDE=FQ","FILING_STATUS=MR","Sort=A","Dates=H","DateFormat=P","Fill=—","Direction=H","UseDPDF=Y")</f>
        <v>—</v>
      </c>
      <c r="H32" s="14" t="str">
        <f>_xll.BDH("SRPT US Equity","ARD_BASIC_EPS","FQ1 2020","FQ1 2020","Currency=USD","Period=FQ","BEST_FPERIOD_OVERRIDE=FQ","FILING_STATUS=MR","Sort=A","Dates=H","DateFormat=P","Fill=—","Direction=H","UseDPDF=Y")</f>
        <v>—</v>
      </c>
      <c r="I32" s="14" t="str">
        <f>_xll.BDH("SRPT US Equity","ARD_BASIC_EPS","FQ2 2020","FQ2 2020","Currency=USD","Period=FQ","BEST_FPERIOD_OVERRIDE=FQ","FILING_STATUS=MR","Sort=A","Dates=H","DateFormat=P","Fill=—","Direction=H","UseDPDF=Y")</f>
        <v>—</v>
      </c>
      <c r="J32" s="14" t="str">
        <f>_xll.BDH("SRPT US Equity","ARD_BASIC_EPS","FQ3 2020","FQ3 2020","Currency=USD","Period=FQ","BEST_FPERIOD_OVERRIDE=FQ","FILING_STATUS=MR","Sort=A","Dates=H","DateFormat=P","Fill=—","Direction=H","UseDPDF=Y")</f>
        <v>—</v>
      </c>
      <c r="K32" s="14" t="str">
        <f>_xll.BDH("SRPT US Equity","ARD_BASIC_EPS","FQ4 2020","FQ4 2020","Currency=USD","Period=FQ","BEST_FPERIOD_OVERRIDE=FQ","FILING_STATUS=MR","Sort=A","Dates=H","DateFormat=P","Fill=—","Direction=H","UseDPDF=Y")</f>
        <v>—</v>
      </c>
      <c r="L32" s="14" t="str">
        <f>_xll.BDH("SRPT US Equity","ARD_BASIC_EPS","FQ1 2021","FQ1 2021","Currency=USD","Period=FQ","BEST_FPERIOD_OVERRIDE=FQ","FILING_STATUS=MR","Sort=A","Dates=H","DateFormat=P","Fill=—","Direction=H","UseDPDF=Y")</f>
        <v>—</v>
      </c>
      <c r="M32" s="14" t="str">
        <f>_xll.BDH("SRPT US Equity","ARD_BASIC_EPS","FQ2 2021","FQ2 2021","Currency=USD","Period=FQ","BEST_FPERIOD_OVERRIDE=FQ","FILING_STATUS=MR","Sort=A","Dates=H","DateFormat=P","Fill=—","Direction=H","UseDPDF=Y")</f>
        <v>—</v>
      </c>
      <c r="N32" s="14" t="str">
        <f>_xll.BDH("SRPT US Equity","ARD_BASIC_EPS","FQ3 2021","FQ3 2021","Currency=USD","Period=FQ","BEST_FPERIOD_OVERRIDE=FQ","FILING_STATUS=MR","Sort=A","Dates=H","DateFormat=P","Fill=—","Direction=H","UseDPDF=Y")</f>
        <v>—</v>
      </c>
      <c r="O32" s="14" t="str">
        <f>_xll.BDH("SRPT US Equity","ARD_BASIC_EPS","FQ4 2021","FQ4 2021","Currency=USD","Period=FQ","BEST_FPERIOD_OVERRIDE=FQ","FILING_STATUS=MR","Sort=A","Dates=H","DateFormat=P","Fill=—","Direction=H","UseDPDF=Y")</f>
        <v>—</v>
      </c>
      <c r="P32" s="14" t="str">
        <f>_xll.BDH("SRPT US Equity","ARD_BASIC_EPS","FQ1 2022","FQ1 2022","Currency=USD","Period=FQ","BEST_FPERIOD_OVERRIDE=FQ","FILING_STATUS=MR","Sort=A","Dates=H","DateFormat=P","Fill=—","Direction=H","UseDPDF=Y")</f>
        <v>—</v>
      </c>
      <c r="Q32" s="14" t="str">
        <f>_xll.BDH("SRPT US Equity","ARD_BASIC_EPS","FQ2 2022","FQ2 2022","Currency=USD","Period=FQ","BEST_FPERIOD_OVERRIDE=FQ","FILING_STATUS=MR","Sort=A","Dates=H","DateFormat=P","Fill=—","Direction=H","UseDPDF=Y")</f>
        <v>—</v>
      </c>
      <c r="R32" s="14">
        <f>_xll.BDH("SRPT US Equity","ARD_BASIC_EPS","FQ3 2022","FQ3 2022","Currency=USD","Period=FQ","BEST_FPERIOD_OVERRIDE=FQ","FILING_STATUS=MR","Sort=A","Dates=H","DateFormat=P","Fill=—","Direction=H","UseDPDF=Y")</f>
        <v>-2.94</v>
      </c>
      <c r="S32" s="14" t="str">
        <f>_xll.BDH("SRPT US Equity","ARD_BASIC_EPS","FQ4 2022","FQ4 2022","Currency=USD","Period=FQ","BEST_FPERIOD_OVERRIDE=FQ","FILING_STATUS=MR","Sort=A","Dates=H","DateFormat=P","Fill=—","Direction=H","UseDPDF=Y")</f>
        <v>—</v>
      </c>
      <c r="T32" s="14">
        <f>_xll.BDH("SRPT US Equity","ARD_BASIC_EPS","FQ1 2023","FQ1 2023","Currency=USD","Period=FQ","BEST_FPERIOD_OVERRIDE=FQ","FILING_STATUS=MR","Sort=A","Dates=H","DateFormat=P","Fill=—","Direction=H","UseDPDF=Y")</f>
        <v>-5.86</v>
      </c>
      <c r="U32" s="14">
        <f>_xll.BDH("SRPT US Equity","ARD_BASIC_EPS","FQ2 2023","FQ2 2023","Currency=USD","Period=FQ","BEST_FPERIOD_OVERRIDE=FQ","FILING_STATUS=MR","Sort=A","Dates=H","DateFormat=P","Fill=—","Direction=H","UseDPDF=Y")</f>
        <v>-0.27</v>
      </c>
      <c r="V32" s="14">
        <f>_xll.BDH("SRPT US Equity","ARD_BASIC_EPS","FQ3 2023","FQ3 2023","Currency=USD","Period=FQ","BEST_FPERIOD_OVERRIDE=FQ","FILING_STATUS=MR","Sort=A","Dates=H","DateFormat=P","Fill=—","Direction=H","UseDPDF=Y")</f>
        <v>-0.46</v>
      </c>
      <c r="W32" s="14">
        <f>_xll.BDH("SRPT US Equity","ARD_BASIC_EPS","FQ4 2023","FQ4 2023","Currency=USD","Period=FQ","BEST_FPERIOD_OVERRIDE=FQ","FILING_STATUS=MR","Sort=A","Dates=H","DateFormat=P","Fill=—","Direction=H","UseDPDF=Y")</f>
        <v>0.49</v>
      </c>
      <c r="X32" s="14">
        <f>_xll.BDH("SRPT US Equity","ARD_BASIC_EPS","FQ1 2024","FQ1 2024","Currency=USD","Period=FQ","BEST_FPERIOD_OVERRIDE=FQ","FILING_STATUS=MR","Sort=A","Dates=H","DateFormat=P","Fill=—","Direction=H","UseDPDF=Y")</f>
        <v>0.38</v>
      </c>
      <c r="Y32" s="14">
        <f>_xll.BDH("SRPT US Equity","ARD_BASIC_EPS","FQ2 2024","FQ2 2024","Currency=USD","Period=FQ","BEST_FPERIOD_OVERRIDE=FQ","FILING_STATUS=MR","Sort=A","Dates=H","DateFormat=P","Fill=—","Direction=H","UseDPDF=Y")</f>
        <v>7.0000000000000007E-2</v>
      </c>
      <c r="Z32" s="14">
        <f>_xll.BDH("SRPT US Equity","ARD_BASIC_EPS","FQ3 2024","FQ3 2024","Currency=USD","Period=FQ","BEST_FPERIOD_OVERRIDE=FQ","FILING_STATUS=MR","Sort=A","Dates=H","DateFormat=P","Fill=—","Direction=H","UseDPDF=Y")</f>
        <v>0.35</v>
      </c>
      <c r="AA32" s="14">
        <f>_xll.BDH("SRPT US Equity","ARD_BASIC_EPS","FQ4 2024","FQ4 2024","Currency=USD","Period=FQ","BEST_FPERIOD_OVERRIDE=FQ","FILING_STATUS=MR","Sort=A","Dates=H","DateFormat=P","Fill=—","Direction=H","UseDPDF=Y")</f>
        <v>1.65</v>
      </c>
    </row>
    <row r="33" spans="1:27" x14ac:dyDescent="0.25">
      <c r="A33" s="10" t="s">
        <v>469</v>
      </c>
      <c r="B33" s="10" t="s">
        <v>470</v>
      </c>
      <c r="C33" s="13" t="str">
        <f>_xll.BDH("SRPT US Equity","ARD_WEIGHTED_AVG_SHARES_BASIC","FQ4 2018","FQ4 2018","Currency=USD","Period=FQ","BEST_FPERIOD_OVERRIDE=FQ","FILING_STATUS=MR","Sort=A","Dates=H","DateFormat=P","Fill=—","Direction=H","UseDPDF=Y")</f>
        <v>—</v>
      </c>
      <c r="D33" s="13" t="str">
        <f>_xll.BDH("SRPT US Equity","ARD_WEIGHTED_AVG_SHARES_BASIC","FQ1 2019","FQ1 2019","Currency=USD","Period=FQ","BEST_FPERIOD_OVERRIDE=FQ","FILING_STATUS=MR","Sort=A","Dates=H","DateFormat=P","Fill=—","Direction=H","UseDPDF=Y")</f>
        <v>—</v>
      </c>
      <c r="E33" s="13" t="str">
        <f>_xll.BDH("SRPT US Equity","ARD_WEIGHTED_AVG_SHARES_BASIC","FQ2 2019","FQ2 2019","Currency=USD","Period=FQ","BEST_FPERIOD_OVERRIDE=FQ","FILING_STATUS=MR","Sort=A","Dates=H","DateFormat=P","Fill=—","Direction=H","UseDPDF=Y")</f>
        <v>—</v>
      </c>
      <c r="F33" s="13" t="str">
        <f>_xll.BDH("SRPT US Equity","ARD_WEIGHTED_AVG_SHARES_BASIC","FQ3 2019","FQ3 2019","Currency=USD","Period=FQ","BEST_FPERIOD_OVERRIDE=FQ","FILING_STATUS=MR","Sort=A","Dates=H","DateFormat=P","Fill=—","Direction=H","UseDPDF=Y")</f>
        <v>—</v>
      </c>
      <c r="G33" s="13" t="str">
        <f>_xll.BDH("SRPT US Equity","ARD_WEIGHTED_AVG_SHARES_BASIC","FQ4 2019","FQ4 2019","Currency=USD","Period=FQ","BEST_FPERIOD_OVERRIDE=FQ","FILING_STATUS=MR","Sort=A","Dates=H","DateFormat=P","Fill=—","Direction=H","UseDPDF=Y")</f>
        <v>—</v>
      </c>
      <c r="H33" s="13" t="str">
        <f>_xll.BDH("SRPT US Equity","ARD_WEIGHTED_AVG_SHARES_BASIC","FQ1 2020","FQ1 2020","Currency=USD","Period=FQ","BEST_FPERIOD_OVERRIDE=FQ","FILING_STATUS=MR","Sort=A","Dates=H","DateFormat=P","Fill=—","Direction=H","UseDPDF=Y")</f>
        <v>—</v>
      </c>
      <c r="I33" s="13" t="str">
        <f>_xll.BDH("SRPT US Equity","ARD_WEIGHTED_AVG_SHARES_BASIC","FQ2 2020","FQ2 2020","Currency=USD","Period=FQ","BEST_FPERIOD_OVERRIDE=FQ","FILING_STATUS=MR","Sort=A","Dates=H","DateFormat=P","Fill=—","Direction=H","UseDPDF=Y")</f>
        <v>—</v>
      </c>
      <c r="J33" s="13" t="str">
        <f>_xll.BDH("SRPT US Equity","ARD_WEIGHTED_AVG_SHARES_BASIC","FQ3 2020","FQ3 2020","Currency=USD","Period=FQ","BEST_FPERIOD_OVERRIDE=FQ","FILING_STATUS=MR","Sort=A","Dates=H","DateFormat=P","Fill=—","Direction=H","UseDPDF=Y")</f>
        <v>—</v>
      </c>
      <c r="K33" s="13" t="str">
        <f>_xll.BDH("SRPT US Equity","ARD_WEIGHTED_AVG_SHARES_BASIC","FQ4 2020","FQ4 2020","Currency=USD","Period=FQ","BEST_FPERIOD_OVERRIDE=FQ","FILING_STATUS=MR","Sort=A","Dates=H","DateFormat=P","Fill=—","Direction=H","UseDPDF=Y")</f>
        <v>—</v>
      </c>
      <c r="L33" s="13" t="str">
        <f>_xll.BDH("SRPT US Equity","ARD_WEIGHTED_AVG_SHARES_BASIC","FQ1 2021","FQ1 2021","Currency=USD","Period=FQ","BEST_FPERIOD_OVERRIDE=FQ","FILING_STATUS=MR","Sort=A","Dates=H","DateFormat=P","Fill=—","Direction=H","UseDPDF=Y")</f>
        <v>—</v>
      </c>
      <c r="M33" s="13" t="str">
        <f>_xll.BDH("SRPT US Equity","ARD_WEIGHTED_AVG_SHARES_BASIC","FQ2 2021","FQ2 2021","Currency=USD","Period=FQ","BEST_FPERIOD_OVERRIDE=FQ","FILING_STATUS=MR","Sort=A","Dates=H","DateFormat=P","Fill=—","Direction=H","UseDPDF=Y")</f>
        <v>—</v>
      </c>
      <c r="N33" s="13" t="str">
        <f>_xll.BDH("SRPT US Equity","ARD_WEIGHTED_AVG_SHARES_BASIC","FQ3 2021","FQ3 2021","Currency=USD","Period=FQ","BEST_FPERIOD_OVERRIDE=FQ","FILING_STATUS=MR","Sort=A","Dates=H","DateFormat=P","Fill=—","Direction=H","UseDPDF=Y")</f>
        <v>—</v>
      </c>
      <c r="O33" s="13" t="str">
        <f>_xll.BDH("SRPT US Equity","ARD_WEIGHTED_AVG_SHARES_BASIC","FQ4 2021","FQ4 2021","Currency=USD","Period=FQ","BEST_FPERIOD_OVERRIDE=FQ","FILING_STATUS=MR","Sort=A","Dates=H","DateFormat=P","Fill=—","Direction=H","UseDPDF=Y")</f>
        <v>—</v>
      </c>
      <c r="P33" s="13" t="str">
        <f>_xll.BDH("SRPT US Equity","ARD_WEIGHTED_AVG_SHARES_BASIC","FQ1 2022","FQ1 2022","Currency=USD","Period=FQ","BEST_FPERIOD_OVERRIDE=FQ","FILING_STATUS=MR","Sort=A","Dates=H","DateFormat=P","Fill=—","Direction=H","UseDPDF=Y")</f>
        <v>—</v>
      </c>
      <c r="Q33" s="13" t="str">
        <f>_xll.BDH("SRPT US Equity","ARD_WEIGHTED_AVG_SHARES_BASIC","FQ2 2022","FQ2 2022","Currency=USD","Period=FQ","BEST_FPERIOD_OVERRIDE=FQ","FILING_STATUS=MR","Sort=A","Dates=H","DateFormat=P","Fill=—","Direction=H","UseDPDF=Y")</f>
        <v>—</v>
      </c>
      <c r="R33" s="13">
        <f>_xll.BDH("SRPT US Equity","ARD_WEIGHTED_AVG_SHARES_BASIC","FQ3 2022","FQ3 2022","Currency=USD","Period=FQ","BEST_FPERIOD_OVERRIDE=FQ","FILING_STATUS=MR","Sort=A","Dates=H","DateFormat=P","Fill=—","Direction=H","UseDPDF=Y")</f>
        <v>87.628</v>
      </c>
      <c r="S33" s="13" t="str">
        <f>_xll.BDH("SRPT US Equity","ARD_WEIGHTED_AVG_SHARES_BASIC","FQ4 2022","FQ4 2022","Currency=USD","Period=FQ","BEST_FPERIOD_OVERRIDE=FQ","FILING_STATUS=MR","Sort=A","Dates=H","DateFormat=P","Fill=—","Direction=H","UseDPDF=Y")</f>
        <v>—</v>
      </c>
      <c r="T33" s="13">
        <f>_xll.BDH("SRPT US Equity","ARD_WEIGHTED_AVG_SHARES_BASIC","FQ1 2023","FQ1 2023","Currency=USD","Period=FQ","BEST_FPERIOD_OVERRIDE=FQ","FILING_STATUS=MR","Sort=A","Dates=H","DateFormat=P","Fill=—","Direction=H","UseDPDF=Y")</f>
        <v>88.186000000000007</v>
      </c>
      <c r="U33" s="13">
        <f>_xll.BDH("SRPT US Equity","ARD_WEIGHTED_AVG_SHARES_BASIC","FQ2 2023","FQ2 2023","Currency=USD","Period=FQ","BEST_FPERIOD_OVERRIDE=FQ","FILING_STATUS=MR","Sort=A","Dates=H","DateFormat=P","Fill=—","Direction=H","UseDPDF=Y")</f>
        <v>88.742999999999995</v>
      </c>
      <c r="V33" s="13">
        <f>_xll.BDH("SRPT US Equity","ARD_WEIGHTED_AVG_SHARES_BASIC","FQ3 2023","FQ3 2023","Currency=USD","Period=FQ","BEST_FPERIOD_OVERRIDE=FQ","FILING_STATUS=MR","Sort=A","Dates=H","DateFormat=P","Fill=—","Direction=H","UseDPDF=Y")</f>
        <v>88.888999999999996</v>
      </c>
      <c r="W33" s="13">
        <f>_xll.BDH("SRPT US Equity","ARD_WEIGHTED_AVG_SHARES_BASIC","FQ4 2023","FQ4 2023","Currency=USD","Period=FQ","BEST_FPERIOD_OVERRIDE=FQ","FILING_STATUS=MR","Sort=A","Dates=H","DateFormat=P","Fill=—","Direction=H","UseDPDF=Y")</f>
        <v>93.617000000000004</v>
      </c>
      <c r="X33" s="13">
        <f>_xll.BDH("SRPT US Equity","ARD_WEIGHTED_AVG_SHARES_BASIC","FQ1 2024","FQ1 2024","Currency=USD","Period=FQ","BEST_FPERIOD_OVERRIDE=FQ","FILING_STATUS=MR","Sort=A","Dates=H","DateFormat=P","Fill=—","Direction=H","UseDPDF=Y")</f>
        <v>93.991</v>
      </c>
      <c r="Y33" s="13">
        <f>_xll.BDH("SRPT US Equity","ARD_WEIGHTED_AVG_SHARES_BASIC","FQ2 2024","FQ2 2024","Currency=USD","Period=FQ","BEST_FPERIOD_OVERRIDE=FQ","FILING_STATUS=MR","Sort=A","Dates=H","DateFormat=P","Fill=—","Direction=H","UseDPDF=Y")</f>
        <v>94.617999999999995</v>
      </c>
      <c r="Z33" s="13">
        <f>_xll.BDH("SRPT US Equity","ARD_WEIGHTED_AVG_SHARES_BASIC","FQ3 2024","FQ3 2024","Currency=USD","Period=FQ","BEST_FPERIOD_OVERRIDE=FQ","FILING_STATUS=MR","Sort=A","Dates=H","DateFormat=P","Fill=—","Direction=H","UseDPDF=Y")</f>
        <v>95.39</v>
      </c>
      <c r="AA33" s="13">
        <f>_xll.BDH("SRPT US Equity","ARD_WEIGHTED_AVG_SHARES_BASIC","FQ4 2024","FQ4 2024","Currency=USD","Period=FQ","BEST_FPERIOD_OVERRIDE=FQ","FILING_STATUS=MR","Sort=A","Dates=H","DateFormat=P","Fill=—","Direction=H","UseDPDF=Y")</f>
        <v>96.283000000000001</v>
      </c>
    </row>
    <row r="34" spans="1:27" x14ac:dyDescent="0.25">
      <c r="A34" s="10" t="s">
        <v>471</v>
      </c>
      <c r="B34" s="10" t="s">
        <v>472</v>
      </c>
      <c r="C34" s="14" t="str">
        <f>_xll.BDH("SRPT US Equity","ARD_DILUTED_EPS","FQ4 2018","FQ4 2018","Currency=USD","Period=FQ","BEST_FPERIOD_OVERRIDE=FQ","FILING_STATUS=MR","Sort=A","Dates=H","DateFormat=P","Fill=—","Direction=H","UseDPDF=Y")</f>
        <v>—</v>
      </c>
      <c r="D34" s="14" t="str">
        <f>_xll.BDH("SRPT US Equity","ARD_DILUTED_EPS","FQ1 2019","FQ1 2019","Currency=USD","Period=FQ","BEST_FPERIOD_OVERRIDE=FQ","FILING_STATUS=MR","Sort=A","Dates=H","DateFormat=P","Fill=—","Direction=H","UseDPDF=Y")</f>
        <v>—</v>
      </c>
      <c r="E34" s="14" t="str">
        <f>_xll.BDH("SRPT US Equity","ARD_DILUTED_EPS","FQ2 2019","FQ2 2019","Currency=USD","Period=FQ","BEST_FPERIOD_OVERRIDE=FQ","FILING_STATUS=MR","Sort=A","Dates=H","DateFormat=P","Fill=—","Direction=H","UseDPDF=Y")</f>
        <v>—</v>
      </c>
      <c r="F34" s="14" t="str">
        <f>_xll.BDH("SRPT US Equity","ARD_DILUTED_EPS","FQ3 2019","FQ3 2019","Currency=USD","Period=FQ","BEST_FPERIOD_OVERRIDE=FQ","FILING_STATUS=MR","Sort=A","Dates=H","DateFormat=P","Fill=—","Direction=H","UseDPDF=Y")</f>
        <v>—</v>
      </c>
      <c r="G34" s="14" t="str">
        <f>_xll.BDH("SRPT US Equity","ARD_DILUTED_EPS","FQ4 2019","FQ4 2019","Currency=USD","Period=FQ","BEST_FPERIOD_OVERRIDE=FQ","FILING_STATUS=MR","Sort=A","Dates=H","DateFormat=P","Fill=—","Direction=H","UseDPDF=Y")</f>
        <v>—</v>
      </c>
      <c r="H34" s="14" t="str">
        <f>_xll.BDH("SRPT US Equity","ARD_DILUTED_EPS","FQ1 2020","FQ1 2020","Currency=USD","Period=FQ","BEST_FPERIOD_OVERRIDE=FQ","FILING_STATUS=MR","Sort=A","Dates=H","DateFormat=P","Fill=—","Direction=H","UseDPDF=Y")</f>
        <v>—</v>
      </c>
      <c r="I34" s="14" t="str">
        <f>_xll.BDH("SRPT US Equity","ARD_DILUTED_EPS","FQ2 2020","FQ2 2020","Currency=USD","Period=FQ","BEST_FPERIOD_OVERRIDE=FQ","FILING_STATUS=MR","Sort=A","Dates=H","DateFormat=P","Fill=—","Direction=H","UseDPDF=Y")</f>
        <v>—</v>
      </c>
      <c r="J34" s="14" t="str">
        <f>_xll.BDH("SRPT US Equity","ARD_DILUTED_EPS","FQ3 2020","FQ3 2020","Currency=USD","Period=FQ","BEST_FPERIOD_OVERRIDE=FQ","FILING_STATUS=MR","Sort=A","Dates=H","DateFormat=P","Fill=—","Direction=H","UseDPDF=Y")</f>
        <v>—</v>
      </c>
      <c r="K34" s="14" t="str">
        <f>_xll.BDH("SRPT US Equity","ARD_DILUTED_EPS","FQ4 2020","FQ4 2020","Currency=USD","Period=FQ","BEST_FPERIOD_OVERRIDE=FQ","FILING_STATUS=MR","Sort=A","Dates=H","DateFormat=P","Fill=—","Direction=H","UseDPDF=Y")</f>
        <v>—</v>
      </c>
      <c r="L34" s="14" t="str">
        <f>_xll.BDH("SRPT US Equity","ARD_DILUTED_EPS","FQ1 2021","FQ1 2021","Currency=USD","Period=FQ","BEST_FPERIOD_OVERRIDE=FQ","FILING_STATUS=MR","Sort=A","Dates=H","DateFormat=P","Fill=—","Direction=H","UseDPDF=Y")</f>
        <v>—</v>
      </c>
      <c r="M34" s="14" t="str">
        <f>_xll.BDH("SRPT US Equity","ARD_DILUTED_EPS","FQ2 2021","FQ2 2021","Currency=USD","Period=FQ","BEST_FPERIOD_OVERRIDE=FQ","FILING_STATUS=MR","Sort=A","Dates=H","DateFormat=P","Fill=—","Direction=H","UseDPDF=Y")</f>
        <v>—</v>
      </c>
      <c r="N34" s="14" t="str">
        <f>_xll.BDH("SRPT US Equity","ARD_DILUTED_EPS","FQ3 2021","FQ3 2021","Currency=USD","Period=FQ","BEST_FPERIOD_OVERRIDE=FQ","FILING_STATUS=MR","Sort=A","Dates=H","DateFormat=P","Fill=—","Direction=H","UseDPDF=Y")</f>
        <v>—</v>
      </c>
      <c r="O34" s="14" t="str">
        <f>_xll.BDH("SRPT US Equity","ARD_DILUTED_EPS","FQ4 2021","FQ4 2021","Currency=USD","Period=FQ","BEST_FPERIOD_OVERRIDE=FQ","FILING_STATUS=MR","Sort=A","Dates=H","DateFormat=P","Fill=—","Direction=H","UseDPDF=Y")</f>
        <v>—</v>
      </c>
      <c r="P34" s="14" t="str">
        <f>_xll.BDH("SRPT US Equity","ARD_DILUTED_EPS","FQ1 2022","FQ1 2022","Currency=USD","Period=FQ","BEST_FPERIOD_OVERRIDE=FQ","FILING_STATUS=MR","Sort=A","Dates=H","DateFormat=P","Fill=—","Direction=H","UseDPDF=Y")</f>
        <v>—</v>
      </c>
      <c r="Q34" s="14" t="str">
        <f>_xll.BDH("SRPT US Equity","ARD_DILUTED_EPS","FQ2 2022","FQ2 2022","Currency=USD","Period=FQ","BEST_FPERIOD_OVERRIDE=FQ","FILING_STATUS=MR","Sort=A","Dates=H","DateFormat=P","Fill=—","Direction=H","UseDPDF=Y")</f>
        <v>—</v>
      </c>
      <c r="R34" s="14">
        <f>_xll.BDH("SRPT US Equity","ARD_DILUTED_EPS","FQ3 2022","FQ3 2022","Currency=USD","Period=FQ","BEST_FPERIOD_OVERRIDE=FQ","FILING_STATUS=MR","Sort=A","Dates=H","DateFormat=P","Fill=—","Direction=H","UseDPDF=Y")</f>
        <v>-2.94</v>
      </c>
      <c r="S34" s="14" t="str">
        <f>_xll.BDH("SRPT US Equity","ARD_DILUTED_EPS","FQ4 2022","FQ4 2022","Currency=USD","Period=FQ","BEST_FPERIOD_OVERRIDE=FQ","FILING_STATUS=MR","Sort=A","Dates=H","DateFormat=P","Fill=—","Direction=H","UseDPDF=Y")</f>
        <v>—</v>
      </c>
      <c r="T34" s="14">
        <f>_xll.BDH("SRPT US Equity","ARD_DILUTED_EPS","FQ1 2023","FQ1 2023","Currency=USD","Period=FQ","BEST_FPERIOD_OVERRIDE=FQ","FILING_STATUS=MR","Sort=A","Dates=H","DateFormat=P","Fill=—","Direction=H","UseDPDF=Y")</f>
        <v>-5.86</v>
      </c>
      <c r="U34" s="14">
        <f>_xll.BDH("SRPT US Equity","ARD_DILUTED_EPS","FQ2 2023","FQ2 2023","Currency=USD","Period=FQ","BEST_FPERIOD_OVERRIDE=FQ","FILING_STATUS=MR","Sort=A","Dates=H","DateFormat=P","Fill=—","Direction=H","UseDPDF=Y")</f>
        <v>-0.27</v>
      </c>
      <c r="V34" s="14">
        <f>_xll.BDH("SRPT US Equity","ARD_DILUTED_EPS","FQ3 2023","FQ3 2023","Currency=USD","Period=FQ","BEST_FPERIOD_OVERRIDE=FQ","FILING_STATUS=MR","Sort=A","Dates=H","DateFormat=P","Fill=—","Direction=H","UseDPDF=Y")</f>
        <v>-0.46</v>
      </c>
      <c r="W34" s="14">
        <f>_xll.BDH("SRPT US Equity","ARD_DILUTED_EPS","FQ4 2023","FQ4 2023","Currency=USD","Period=FQ","BEST_FPERIOD_OVERRIDE=FQ","FILING_STATUS=MR","Sort=A","Dates=H","DateFormat=P","Fill=—","Direction=H","UseDPDF=Y")</f>
        <v>0.47</v>
      </c>
      <c r="X34" s="14">
        <f>_xll.BDH("SRPT US Equity","ARD_DILUTED_EPS","FQ1 2024","FQ1 2024","Currency=USD","Period=FQ","BEST_FPERIOD_OVERRIDE=FQ","FILING_STATUS=MR","Sort=A","Dates=H","DateFormat=P","Fill=—","Direction=H","UseDPDF=Y")</f>
        <v>0.37</v>
      </c>
      <c r="Y34" s="14">
        <f>_xll.BDH("SRPT US Equity","ARD_DILUTED_EPS","FQ2 2024","FQ2 2024","Currency=USD","Period=FQ","BEST_FPERIOD_OVERRIDE=FQ","FILING_STATUS=MR","Sort=A","Dates=H","DateFormat=P","Fill=—","Direction=H","UseDPDF=Y")</f>
        <v>7.0000000000000007E-2</v>
      </c>
      <c r="Z34" s="14">
        <f>_xll.BDH("SRPT US Equity","ARD_DILUTED_EPS","FQ3 2024","FQ3 2024","Currency=USD","Period=FQ","BEST_FPERIOD_OVERRIDE=FQ","FILING_STATUS=MR","Sort=A","Dates=H","DateFormat=P","Fill=—","Direction=H","UseDPDF=Y")</f>
        <v>0.34</v>
      </c>
      <c r="AA34" s="14">
        <f>_xll.BDH("SRPT US Equity","ARD_DILUTED_EPS","FQ4 2024","FQ4 2024","Currency=USD","Period=FQ","BEST_FPERIOD_OVERRIDE=FQ","FILING_STATUS=MR","Sort=A","Dates=H","DateFormat=P","Fill=—","Direction=H","UseDPDF=Y")</f>
        <v>1.5</v>
      </c>
    </row>
    <row r="35" spans="1:27" x14ac:dyDescent="0.25">
      <c r="A35" s="10" t="s">
        <v>473</v>
      </c>
      <c r="B35" s="10" t="s">
        <v>474</v>
      </c>
      <c r="C35" s="13" t="str">
        <f>_xll.BDH("SRPT US Equity","ARD_WEIGHTED_AVG_SHARE_DILUTED","FQ4 2018","FQ4 2018","Currency=USD","Period=FQ","BEST_FPERIOD_OVERRIDE=FQ","FILING_STATUS=MR","Sort=A","Dates=H","DateFormat=P","Fill=—","Direction=H","UseDPDF=Y")</f>
        <v>—</v>
      </c>
      <c r="D35" s="13" t="str">
        <f>_xll.BDH("SRPT US Equity","ARD_WEIGHTED_AVG_SHARE_DILUTED","FQ1 2019","FQ1 2019","Currency=USD","Period=FQ","BEST_FPERIOD_OVERRIDE=FQ","FILING_STATUS=MR","Sort=A","Dates=H","DateFormat=P","Fill=—","Direction=H","UseDPDF=Y")</f>
        <v>—</v>
      </c>
      <c r="E35" s="13" t="str">
        <f>_xll.BDH("SRPT US Equity","ARD_WEIGHTED_AVG_SHARE_DILUTED","FQ2 2019","FQ2 2019","Currency=USD","Period=FQ","BEST_FPERIOD_OVERRIDE=FQ","FILING_STATUS=MR","Sort=A","Dates=H","DateFormat=P","Fill=—","Direction=H","UseDPDF=Y")</f>
        <v>—</v>
      </c>
      <c r="F35" s="13" t="str">
        <f>_xll.BDH("SRPT US Equity","ARD_WEIGHTED_AVG_SHARE_DILUTED","FQ3 2019","FQ3 2019","Currency=USD","Period=FQ","BEST_FPERIOD_OVERRIDE=FQ","FILING_STATUS=MR","Sort=A","Dates=H","DateFormat=P","Fill=—","Direction=H","UseDPDF=Y")</f>
        <v>—</v>
      </c>
      <c r="G35" s="13" t="str">
        <f>_xll.BDH("SRPT US Equity","ARD_WEIGHTED_AVG_SHARE_DILUTED","FQ4 2019","FQ4 2019","Currency=USD","Period=FQ","BEST_FPERIOD_OVERRIDE=FQ","FILING_STATUS=MR","Sort=A","Dates=H","DateFormat=P","Fill=—","Direction=H","UseDPDF=Y")</f>
        <v>—</v>
      </c>
      <c r="H35" s="13" t="str">
        <f>_xll.BDH("SRPT US Equity","ARD_WEIGHTED_AVG_SHARE_DILUTED","FQ1 2020","FQ1 2020","Currency=USD","Period=FQ","BEST_FPERIOD_OVERRIDE=FQ","FILING_STATUS=MR","Sort=A","Dates=H","DateFormat=P","Fill=—","Direction=H","UseDPDF=Y")</f>
        <v>—</v>
      </c>
      <c r="I35" s="13" t="str">
        <f>_xll.BDH("SRPT US Equity","ARD_WEIGHTED_AVG_SHARE_DILUTED","FQ2 2020","FQ2 2020","Currency=USD","Period=FQ","BEST_FPERIOD_OVERRIDE=FQ","FILING_STATUS=MR","Sort=A","Dates=H","DateFormat=P","Fill=—","Direction=H","UseDPDF=Y")</f>
        <v>—</v>
      </c>
      <c r="J35" s="13" t="str">
        <f>_xll.BDH("SRPT US Equity","ARD_WEIGHTED_AVG_SHARE_DILUTED","FQ3 2020","FQ3 2020","Currency=USD","Period=FQ","BEST_FPERIOD_OVERRIDE=FQ","FILING_STATUS=MR","Sort=A","Dates=H","DateFormat=P","Fill=—","Direction=H","UseDPDF=Y")</f>
        <v>—</v>
      </c>
      <c r="K35" s="13" t="str">
        <f>_xll.BDH("SRPT US Equity","ARD_WEIGHTED_AVG_SHARE_DILUTED","FQ4 2020","FQ4 2020","Currency=USD","Period=FQ","BEST_FPERIOD_OVERRIDE=FQ","FILING_STATUS=MR","Sort=A","Dates=H","DateFormat=P","Fill=—","Direction=H","UseDPDF=Y")</f>
        <v>—</v>
      </c>
      <c r="L35" s="13" t="str">
        <f>_xll.BDH("SRPT US Equity","ARD_WEIGHTED_AVG_SHARE_DILUTED","FQ1 2021","FQ1 2021","Currency=USD","Period=FQ","BEST_FPERIOD_OVERRIDE=FQ","FILING_STATUS=MR","Sort=A","Dates=H","DateFormat=P","Fill=—","Direction=H","UseDPDF=Y")</f>
        <v>—</v>
      </c>
      <c r="M35" s="13" t="str">
        <f>_xll.BDH("SRPT US Equity","ARD_WEIGHTED_AVG_SHARE_DILUTED","FQ2 2021","FQ2 2021","Currency=USD","Period=FQ","BEST_FPERIOD_OVERRIDE=FQ","FILING_STATUS=MR","Sort=A","Dates=H","DateFormat=P","Fill=—","Direction=H","UseDPDF=Y")</f>
        <v>—</v>
      </c>
      <c r="N35" s="13" t="str">
        <f>_xll.BDH("SRPT US Equity","ARD_WEIGHTED_AVG_SHARE_DILUTED","FQ3 2021","FQ3 2021","Currency=USD","Period=FQ","BEST_FPERIOD_OVERRIDE=FQ","FILING_STATUS=MR","Sort=A","Dates=H","DateFormat=P","Fill=—","Direction=H","UseDPDF=Y")</f>
        <v>—</v>
      </c>
      <c r="O35" s="13" t="str">
        <f>_xll.BDH("SRPT US Equity","ARD_WEIGHTED_AVG_SHARE_DILUTED","FQ4 2021","FQ4 2021","Currency=USD","Period=FQ","BEST_FPERIOD_OVERRIDE=FQ","FILING_STATUS=MR","Sort=A","Dates=H","DateFormat=P","Fill=—","Direction=H","UseDPDF=Y")</f>
        <v>—</v>
      </c>
      <c r="P35" s="13" t="str">
        <f>_xll.BDH("SRPT US Equity","ARD_WEIGHTED_AVG_SHARE_DILUTED","FQ1 2022","FQ1 2022","Currency=USD","Period=FQ","BEST_FPERIOD_OVERRIDE=FQ","FILING_STATUS=MR","Sort=A","Dates=H","DateFormat=P","Fill=—","Direction=H","UseDPDF=Y")</f>
        <v>—</v>
      </c>
      <c r="Q35" s="13" t="str">
        <f>_xll.BDH("SRPT US Equity","ARD_WEIGHTED_AVG_SHARE_DILUTED","FQ2 2022","FQ2 2022","Currency=USD","Period=FQ","BEST_FPERIOD_OVERRIDE=FQ","FILING_STATUS=MR","Sort=A","Dates=H","DateFormat=P","Fill=—","Direction=H","UseDPDF=Y")</f>
        <v>—</v>
      </c>
      <c r="R35" s="13">
        <f>_xll.BDH("SRPT US Equity","ARD_WEIGHTED_AVG_SHARE_DILUTED","FQ3 2022","FQ3 2022","Currency=USD","Period=FQ","BEST_FPERIOD_OVERRIDE=FQ","FILING_STATUS=MR","Sort=A","Dates=H","DateFormat=P","Fill=—","Direction=H","UseDPDF=Y")</f>
        <v>87.628</v>
      </c>
      <c r="S35" s="13" t="str">
        <f>_xll.BDH("SRPT US Equity","ARD_WEIGHTED_AVG_SHARE_DILUTED","FQ4 2022","FQ4 2022","Currency=USD","Period=FQ","BEST_FPERIOD_OVERRIDE=FQ","FILING_STATUS=MR","Sort=A","Dates=H","DateFormat=P","Fill=—","Direction=H","UseDPDF=Y")</f>
        <v>—</v>
      </c>
      <c r="T35" s="13">
        <f>_xll.BDH("SRPT US Equity","ARD_WEIGHTED_AVG_SHARE_DILUTED","FQ1 2023","FQ1 2023","Currency=USD","Period=FQ","BEST_FPERIOD_OVERRIDE=FQ","FILING_STATUS=MR","Sort=A","Dates=H","DateFormat=P","Fill=—","Direction=H","UseDPDF=Y")</f>
        <v>88.186000000000007</v>
      </c>
      <c r="U35" s="13">
        <f>_xll.BDH("SRPT US Equity","ARD_WEIGHTED_AVG_SHARE_DILUTED","FQ2 2023","FQ2 2023","Currency=USD","Period=FQ","BEST_FPERIOD_OVERRIDE=FQ","FILING_STATUS=MR","Sort=A","Dates=H","DateFormat=P","Fill=—","Direction=H","UseDPDF=Y")</f>
        <v>88.742999999999995</v>
      </c>
      <c r="V35" s="13">
        <f>_xll.BDH("SRPT US Equity","ARD_WEIGHTED_AVG_SHARE_DILUTED","FQ3 2023","FQ3 2023","Currency=USD","Period=FQ","BEST_FPERIOD_OVERRIDE=FQ","FILING_STATUS=MR","Sort=A","Dates=H","DateFormat=P","Fill=—","Direction=H","UseDPDF=Y")</f>
        <v>88.888999999999996</v>
      </c>
      <c r="W35" s="13" t="str">
        <f>_xll.BDH("SRPT US Equity","ARD_WEIGHTED_AVG_SHARE_DILUTED","FQ4 2023","FQ4 2023","Currency=USD","Period=FQ","BEST_FPERIOD_OVERRIDE=FQ","FILING_STATUS=MR","Sort=A","Dates=H","DateFormat=P","Fill=—","Direction=H","UseDPDF=Y")</f>
        <v>—</v>
      </c>
      <c r="X35" s="13">
        <f>_xll.BDH("SRPT US Equity","ARD_WEIGHTED_AVG_SHARE_DILUTED","FQ1 2024","FQ1 2024","Currency=USD","Period=FQ","BEST_FPERIOD_OVERRIDE=FQ","FILING_STATUS=MR","Sort=A","Dates=H","DateFormat=P","Fill=—","Direction=H","UseDPDF=Y")</f>
        <v>99.114000000000004</v>
      </c>
      <c r="Y35" s="13">
        <f>_xll.BDH("SRPT US Equity","ARD_WEIGHTED_AVG_SHARE_DILUTED","FQ2 2024","FQ2 2024","Currency=USD","Period=FQ","BEST_FPERIOD_OVERRIDE=FQ","FILING_STATUS=MR","Sort=A","Dates=H","DateFormat=P","Fill=—","Direction=H","UseDPDF=Y")</f>
        <v>99.144000000000005</v>
      </c>
      <c r="Z35" s="13">
        <f>_xll.BDH("SRPT US Equity","ARD_WEIGHTED_AVG_SHARE_DILUTED","FQ3 2024","FQ3 2024","Currency=USD","Period=FQ","BEST_FPERIOD_OVERRIDE=FQ","FILING_STATUS=MR","Sort=A","Dates=H","DateFormat=P","Fill=—","Direction=H","UseDPDF=Y")</f>
        <v>100.44799999999999</v>
      </c>
      <c r="AA35" s="13">
        <f>_xll.BDH("SRPT US Equity","ARD_WEIGHTED_AVG_SHARE_DILUTED","FQ4 2024","FQ4 2024","Currency=USD","Period=FQ","BEST_FPERIOD_OVERRIDE=FQ","FILING_STATUS=MR","Sort=A","Dates=H","DateFormat=P","Fill=—","Direction=H","UseDPDF=Y")</f>
        <v>108.474</v>
      </c>
    </row>
    <row r="36" spans="1:27" x14ac:dyDescent="0.25">
      <c r="A36" s="10" t="s">
        <v>475</v>
      </c>
      <c r="B36" s="10" t="s">
        <v>476</v>
      </c>
      <c r="C36" s="14">
        <f>_xll.BDH("SRPT US Equity","ARD_BASIC_AND_DILUTED_EPS","FQ4 2018","FQ4 2018","Currency=USD","Period=FQ","BEST_FPERIOD_OVERRIDE=FQ","FILING_STATUS=MR","Sort=A","Dates=H","DateFormat=P","Fill=—","Direction=H","UseDPDF=Y")</f>
        <v>-2.0499999999999998</v>
      </c>
      <c r="D36" s="14">
        <f>_xll.BDH("SRPT US Equity","ARD_BASIC_AND_DILUTED_EPS","FQ1 2019","FQ1 2019","Currency=USD","Period=FQ","BEST_FPERIOD_OVERRIDE=FQ","FILING_STATUS=MR","Sort=A","Dates=H","DateFormat=P","Fill=—","Direction=H","UseDPDF=Y")</f>
        <v>-1.07</v>
      </c>
      <c r="E36" s="14">
        <f>_xll.BDH("SRPT US Equity","ARD_BASIC_AND_DILUTED_EPS","FQ2 2019","FQ2 2019","Currency=USD","Period=FQ","BEST_FPERIOD_OVERRIDE=FQ","FILING_STATUS=MR","Sort=A","Dates=H","DateFormat=P","Fill=—","Direction=H","UseDPDF=Y")</f>
        <v>-3.74</v>
      </c>
      <c r="F36" s="14">
        <f>_xll.BDH("SRPT US Equity","ARD_BASIC_AND_DILUTED_EPS","FQ3 2019","FQ3 2019","Currency=USD","Period=FQ","BEST_FPERIOD_OVERRIDE=FQ","FILING_STATUS=MR","Sort=A","Dates=H","DateFormat=P","Fill=—","Direction=H","UseDPDF=Y")</f>
        <v>-1.7</v>
      </c>
      <c r="G36" s="14">
        <f>_xll.BDH("SRPT US Equity","ARD_BASIC_AND_DILUTED_EPS","FQ4 2019","FQ4 2019","Currency=USD","Period=FQ","BEST_FPERIOD_OVERRIDE=FQ","FILING_STATUS=MR","Sort=A","Dates=H","DateFormat=P","Fill=—","Direction=H","UseDPDF=Y")</f>
        <v>-3.16</v>
      </c>
      <c r="H36" s="14">
        <f>_xll.BDH("SRPT US Equity","ARD_BASIC_AND_DILUTED_EPS","FQ1 2020","FQ1 2020","Currency=USD","Period=FQ","BEST_FPERIOD_OVERRIDE=FQ","FILING_STATUS=MR","Sort=A","Dates=H","DateFormat=P","Fill=—","Direction=H","UseDPDF=Y")</f>
        <v>-0.23</v>
      </c>
      <c r="I36" s="14">
        <f>_xll.BDH("SRPT US Equity","ARD_BASIC_AND_DILUTED_EPS","FQ2 2020","FQ2 2020","Currency=USD","Period=FQ","BEST_FPERIOD_OVERRIDE=FQ","FILING_STATUS=MR","Sort=A","Dates=H","DateFormat=P","Fill=—","Direction=H","UseDPDF=Y")</f>
        <v>-1.93</v>
      </c>
      <c r="J36" s="14">
        <f>_xll.BDH("SRPT US Equity","ARD_BASIC_AND_DILUTED_EPS","FQ3 2020","FQ3 2020","Currency=USD","Period=FQ","BEST_FPERIOD_OVERRIDE=FQ","FILING_STATUS=MR","Sort=A","Dates=H","DateFormat=P","Fill=—","Direction=H","UseDPDF=Y")</f>
        <v>-2.5</v>
      </c>
      <c r="K36" s="14">
        <f>_xll.BDH("SRPT US Equity","ARD_BASIC_AND_DILUTED_EPS","FQ4 2020","FQ4 2020","Currency=USD","Period=FQ","BEST_FPERIOD_OVERRIDE=FQ","FILING_STATUS=MR","Sort=A","Dates=H","DateFormat=P","Fill=—","Direction=H","UseDPDF=Y")</f>
        <v>-2.4</v>
      </c>
      <c r="L36" s="14">
        <f>_xll.BDH("SRPT US Equity","ARD_BASIC_AND_DILUTED_EPS","FQ1 2021","FQ1 2021","Currency=USD","Period=FQ","BEST_FPERIOD_OVERRIDE=FQ","FILING_STATUS=MR","Sort=A","Dates=H","DateFormat=P","Fill=—","Direction=H","UseDPDF=Y")</f>
        <v>-2.1</v>
      </c>
      <c r="M36" s="14">
        <f>_xll.BDH("SRPT US Equity","ARD_BASIC_AND_DILUTED_EPS","FQ2 2021","FQ2 2021","Currency=USD","Period=FQ","BEST_FPERIOD_OVERRIDE=FQ","FILING_STATUS=MR","Sort=A","Dates=H","DateFormat=P","Fill=—","Direction=H","UseDPDF=Y")</f>
        <v>-1.02</v>
      </c>
      <c r="N36" s="14">
        <f>_xll.BDH("SRPT US Equity","ARD_BASIC_AND_DILUTED_EPS","FQ3 2021","FQ3 2021","Currency=USD","Period=FQ","BEST_FPERIOD_OVERRIDE=FQ","FILING_STATUS=MR","Sort=A","Dates=H","DateFormat=P","Fill=—","Direction=H","UseDPDF=Y")</f>
        <v>-0.6</v>
      </c>
      <c r="O36" s="14">
        <f>_xll.BDH("SRPT US Equity","ARD_BASIC_AND_DILUTED_EPS","FQ4 2021","FQ4 2021","Currency=USD","Period=FQ","BEST_FPERIOD_OVERRIDE=FQ","FILING_STATUS=MR","Sort=A","Dates=H","DateFormat=P","Fill=—","Direction=H","UseDPDF=Y")</f>
        <v>-1.42</v>
      </c>
      <c r="P36" s="14">
        <f>_xll.BDH("SRPT US Equity","ARD_BASIC_AND_DILUTED_EPS","FQ1 2022","FQ1 2022","Currency=USD","Period=FQ","BEST_FPERIOD_OVERRIDE=FQ","FILING_STATUS=MR","Sort=A","Dates=H","DateFormat=P","Fill=—","Direction=H","UseDPDF=Y")</f>
        <v>-1.2</v>
      </c>
      <c r="Q36" s="14">
        <f>_xll.BDH("SRPT US Equity","ARD_BASIC_AND_DILUTED_EPS","FQ2 2022","FQ2 2022","Currency=USD","Period=FQ","BEST_FPERIOD_OVERRIDE=FQ","FILING_STATUS=MR","Sort=A","Dates=H","DateFormat=P","Fill=—","Direction=H","UseDPDF=Y")</f>
        <v>-2.65</v>
      </c>
      <c r="R36" s="14" t="str">
        <f>_xll.BDH("SRPT US Equity","ARD_BASIC_AND_DILUTED_EPS","FQ3 2022","FQ3 2022","Currency=USD","Period=FQ","BEST_FPERIOD_OVERRIDE=FQ","FILING_STATUS=MR","Sort=A","Dates=H","DateFormat=P","Fill=—","Direction=H","UseDPDF=Y")</f>
        <v>—</v>
      </c>
      <c r="S36" s="14">
        <f>_xll.BDH("SRPT US Equity","ARD_BASIC_AND_DILUTED_EPS","FQ4 2022","FQ4 2022","Currency=USD","Period=FQ","BEST_FPERIOD_OVERRIDE=FQ","FILING_STATUS=MR","Sort=A","Dates=H","DateFormat=P","Fill=—","Direction=H","UseDPDF=Y")</f>
        <v>-1.24</v>
      </c>
      <c r="T36" s="14">
        <f>_xll.BDH("SRPT US Equity","ARD_BASIC_AND_DILUTED_EPS","FQ1 2023","FQ1 2023","Currency=USD","Period=FQ","BEST_FPERIOD_OVERRIDE=FQ","FILING_STATUS=MR","Sort=A","Dates=H","DateFormat=P","Fill=—","Direction=H","UseDPDF=Y")</f>
        <v>-5.86</v>
      </c>
      <c r="U36" s="14" t="str">
        <f>_xll.BDH("SRPT US Equity","ARD_BASIC_AND_DILUTED_EPS","FQ2 2023","FQ2 2023","Currency=USD","Period=FQ","BEST_FPERIOD_OVERRIDE=FQ","FILING_STATUS=MR","Sort=A","Dates=H","DateFormat=P","Fill=—","Direction=H","UseDPDF=Y")</f>
        <v>—</v>
      </c>
      <c r="V36" s="14">
        <f>_xll.BDH("SRPT US Equity","ARD_BASIC_AND_DILUTED_EPS","FQ3 2023","FQ3 2023","Currency=USD","Period=FQ","BEST_FPERIOD_OVERRIDE=FQ","FILING_STATUS=MR","Sort=A","Dates=H","DateFormat=P","Fill=—","Direction=H","UseDPDF=Y")</f>
        <v>-0.46</v>
      </c>
      <c r="W36" s="14" t="str">
        <f>_xll.BDH("SRPT US Equity","ARD_BASIC_AND_DILUTED_EPS","FQ4 2023","FQ4 2023","Currency=USD","Period=FQ","BEST_FPERIOD_OVERRIDE=FQ","FILING_STATUS=MR","Sort=A","Dates=H","DateFormat=P","Fill=—","Direction=H","UseDPDF=Y")</f>
        <v>—</v>
      </c>
      <c r="X36" s="14" t="str">
        <f>_xll.BDH("SRPT US Equity","ARD_BASIC_AND_DILUTED_EPS","FQ1 2024","FQ1 2024","Currency=USD","Period=FQ","BEST_FPERIOD_OVERRIDE=FQ","FILING_STATUS=MR","Sort=A","Dates=H","DateFormat=P","Fill=—","Direction=H","UseDPDF=Y")</f>
        <v>—</v>
      </c>
      <c r="Y36" s="14" t="str">
        <f>_xll.BDH("SRPT US Equity","ARD_BASIC_AND_DILUTED_EPS","FQ2 2024","FQ2 2024","Currency=USD","Period=FQ","BEST_FPERIOD_OVERRIDE=FQ","FILING_STATUS=MR","Sort=A","Dates=H","DateFormat=P","Fill=—","Direction=H","UseDPDF=Y")</f>
        <v>—</v>
      </c>
      <c r="Z36" s="14" t="str">
        <f>_xll.BDH("SRPT US Equity","ARD_BASIC_AND_DILUTED_EPS","FQ3 2024","FQ3 2024","Currency=USD","Period=FQ","BEST_FPERIOD_OVERRIDE=FQ","FILING_STATUS=MR","Sort=A","Dates=H","DateFormat=P","Fill=—","Direction=H","UseDPDF=Y")</f>
        <v>—</v>
      </c>
      <c r="AA36" s="14" t="str">
        <f>_xll.BDH("SRPT US Equity","ARD_BASIC_AND_DILUTED_EPS","FQ4 2024","FQ4 2024","Currency=USD","Period=FQ","BEST_FPERIOD_OVERRIDE=FQ","FILING_STATUS=MR","Sort=A","Dates=H","DateFormat=P","Fill=—","Direction=H","UseDPDF=Y")</f>
        <v>—</v>
      </c>
    </row>
    <row r="37" spans="1:27" x14ac:dyDescent="0.25">
      <c r="A37" s="10" t="s">
        <v>477</v>
      </c>
      <c r="B37" s="10" t="s">
        <v>478</v>
      </c>
      <c r="C37" s="13">
        <f>_xll.BDH("SRPT US Equity","ARD_WTD_AVG_SHS_BASIC_DILUTED","FQ4 2018","FQ4 2018","Currency=USD","Period=FQ","BEST_FPERIOD_OVERRIDE=FQ","FILING_STATUS=MR","Sort=A","Dates=H","DateFormat=P","Fill=—","Direction=H","UseDPDF=Y")</f>
        <v>68.653000000000006</v>
      </c>
      <c r="D37" s="13">
        <f>_xll.BDH("SRPT US Equity","ARD_WTD_AVG_SHS_BASIC_DILUTED","FQ1 2019","FQ1 2019","Currency=USD","Period=FQ","BEST_FPERIOD_OVERRIDE=FQ","FILING_STATUS=MR","Sort=A","Dates=H","DateFormat=P","Fill=—","Direction=H","UseDPDF=Y")</f>
        <v>71.730999999999995</v>
      </c>
      <c r="E37" s="13">
        <f>_xll.BDH("SRPT US Equity","ARD_WTD_AVG_SHS_BASIC_DILUTED","FQ2 2019","FQ2 2019","Currency=USD","Period=FQ","BEST_FPERIOD_OVERRIDE=FQ","FILING_STATUS=MR","Sort=A","Dates=H","DateFormat=P","Fill=—","Direction=H","UseDPDF=Y")</f>
        <v>73.957999999999998</v>
      </c>
      <c r="F37" s="13">
        <f>_xll.BDH("SRPT US Equity","ARD_WTD_AVG_SHS_BASIC_DILUTED","FQ3 2019","FQ3 2019","Currency=USD","Period=FQ","BEST_FPERIOD_OVERRIDE=FQ","FILING_STATUS=MR","Sort=A","Dates=H","DateFormat=P","Fill=—","Direction=H","UseDPDF=Y")</f>
        <v>74.177000000000007</v>
      </c>
      <c r="G37" s="13">
        <f>_xll.BDH("SRPT US Equity","ARD_WTD_AVG_SHS_BASIC_DILUTED","FQ4 2019","FQ4 2019","Currency=USD","Period=FQ","BEST_FPERIOD_OVERRIDE=FQ","FILING_STATUS=MR","Sort=A","Dates=H","DateFormat=P","Fill=—","Direction=H","UseDPDF=Y")</f>
        <v>74.557000000000002</v>
      </c>
      <c r="H37" s="13">
        <f>_xll.BDH("SRPT US Equity","ARD_WTD_AVG_SHS_BASIC_DILUTED","FQ1 2020","FQ1 2020","Currency=USD","Period=FQ","BEST_FPERIOD_OVERRIDE=FQ","FILING_STATUS=MR","Sort=A","Dates=H","DateFormat=P","Fill=—","Direction=H","UseDPDF=Y")</f>
        <v>76.432000000000002</v>
      </c>
      <c r="I37" s="13">
        <f>_xll.BDH("SRPT US Equity","ARD_WTD_AVG_SHS_BASIC_DILUTED","FQ2 2020","FQ2 2020","Currency=USD","Period=FQ","BEST_FPERIOD_OVERRIDE=FQ","FILING_STATUS=MR","Sort=A","Dates=H","DateFormat=P","Fill=—","Direction=H","UseDPDF=Y")</f>
        <v>77.968000000000004</v>
      </c>
      <c r="J37" s="13">
        <f>_xll.BDH("SRPT US Equity","ARD_WTD_AVG_SHS_BASIC_DILUTED","FQ3 2020","FQ3 2020","Currency=USD","Period=FQ","BEST_FPERIOD_OVERRIDE=FQ","FILING_STATUS=MR","Sort=A","Dates=H","DateFormat=P","Fill=—","Direction=H","UseDPDF=Y")</f>
        <v>78.501000000000005</v>
      </c>
      <c r="K37" s="13">
        <f>_xll.BDH("SRPT US Equity","ARD_WTD_AVG_SHS_BASIC_DILUTED","FQ4 2020","FQ4 2020","Currency=USD","Period=FQ","BEST_FPERIOD_OVERRIDE=FQ","FILING_STATUS=MR","Sort=A","Dates=H","DateFormat=P","Fill=—","Direction=H","UseDPDF=Y")</f>
        <v>78.905000000000001</v>
      </c>
      <c r="L37" s="13">
        <f>_xll.BDH("SRPT US Equity","ARD_WTD_AVG_SHS_BASIC_DILUTED","FQ1 2021","FQ1 2021","Currency=USD","Period=FQ","BEST_FPERIOD_OVERRIDE=FQ","FILING_STATUS=MR","Sort=A","Dates=H","DateFormat=P","Fill=—","Direction=H","UseDPDF=Y")</f>
        <v>79.453999999999994</v>
      </c>
      <c r="M37" s="13">
        <f>_xll.BDH("SRPT US Equity","ARD_WTD_AVG_SHS_BASIC_DILUTED","FQ2 2021","FQ2 2021","Currency=USD","Period=FQ","BEST_FPERIOD_OVERRIDE=FQ","FILING_STATUS=MR","Sort=A","Dates=H","DateFormat=P","Fill=—","Direction=H","UseDPDF=Y")</f>
        <v>79.745999999999995</v>
      </c>
      <c r="N37" s="13">
        <f>_xll.BDH("SRPT US Equity","ARD_WTD_AVG_SHS_BASIC_DILUTED","FQ3 2021","FQ3 2021","Currency=USD","Period=FQ","BEST_FPERIOD_OVERRIDE=FQ","FILING_STATUS=MR","Sort=A","Dates=H","DateFormat=P","Fill=—","Direction=H","UseDPDF=Y")</f>
        <v>79.88</v>
      </c>
      <c r="O37" s="13">
        <f>_xll.BDH("SRPT US Equity","ARD_WTD_AVG_SHS_BASIC_DILUTED","FQ4 2021","FQ4 2021","Currency=USD","Period=FQ","BEST_FPERIOD_OVERRIDE=FQ","FILING_STATUS=MR","Sort=A","Dates=H","DateFormat=P","Fill=—","Direction=H","UseDPDF=Y")</f>
        <v>85.950999999999993</v>
      </c>
      <c r="P37" s="13">
        <f>_xll.BDH("SRPT US Equity","ARD_WTD_AVG_SHS_BASIC_DILUTED","FQ1 2022","FQ1 2022","Currency=USD","Period=FQ","BEST_FPERIOD_OVERRIDE=FQ","FILING_STATUS=MR","Sort=A","Dates=H","DateFormat=P","Fill=—","Direction=H","UseDPDF=Y")</f>
        <v>87.253</v>
      </c>
      <c r="Q37" s="13">
        <f>_xll.BDH("SRPT US Equity","ARD_WTD_AVG_SHS_BASIC_DILUTED","FQ2 2022","FQ2 2022","Currency=USD","Period=FQ","BEST_FPERIOD_OVERRIDE=FQ","FILING_STATUS=MR","Sort=A","Dates=H","DateFormat=P","Fill=—","Direction=H","UseDPDF=Y")</f>
        <v>87.510999999999996</v>
      </c>
      <c r="R37" s="13" t="str">
        <f>_xll.BDH("SRPT US Equity","ARD_WTD_AVG_SHS_BASIC_DILUTED","FQ3 2022","FQ3 2022","Currency=USD","Period=FQ","BEST_FPERIOD_OVERRIDE=FQ","FILING_STATUS=MR","Sort=A","Dates=H","DateFormat=P","Fill=—","Direction=H","UseDPDF=Y")</f>
        <v>—</v>
      </c>
      <c r="S37" s="13">
        <f>_xll.BDH("SRPT US Equity","ARD_WTD_AVG_SHS_BASIC_DILUTED","FQ4 2022","FQ4 2022","Currency=USD","Period=FQ","BEST_FPERIOD_OVERRIDE=FQ","FILING_STATUS=MR","Sort=A","Dates=H","DateFormat=P","Fill=—","Direction=H","UseDPDF=Y")</f>
        <v>87.837999999999994</v>
      </c>
      <c r="T37" s="13">
        <f>_xll.BDH("SRPT US Equity","ARD_WTD_AVG_SHS_BASIC_DILUTED","FQ1 2023","FQ1 2023","Currency=USD","Period=FQ","BEST_FPERIOD_OVERRIDE=FQ","FILING_STATUS=MR","Sort=A","Dates=H","DateFormat=P","Fill=—","Direction=H","UseDPDF=Y")</f>
        <v>88.186000000000007</v>
      </c>
      <c r="U37" s="13" t="str">
        <f>_xll.BDH("SRPT US Equity","ARD_WTD_AVG_SHS_BASIC_DILUTED","FQ2 2023","FQ2 2023","Currency=USD","Period=FQ","BEST_FPERIOD_OVERRIDE=FQ","FILING_STATUS=MR","Sort=A","Dates=H","DateFormat=P","Fill=—","Direction=H","UseDPDF=Y")</f>
        <v>—</v>
      </c>
      <c r="V37" s="13">
        <f>_xll.BDH("SRPT US Equity","ARD_WTD_AVG_SHS_BASIC_DILUTED","FQ3 2023","FQ3 2023","Currency=USD","Period=FQ","BEST_FPERIOD_OVERRIDE=FQ","FILING_STATUS=MR","Sort=A","Dates=H","DateFormat=P","Fill=—","Direction=H","UseDPDF=Y")</f>
        <v>88.888999999999996</v>
      </c>
      <c r="W37" s="13">
        <f>_xll.BDH("SRPT US Equity","ARD_WTD_AVG_SHS_BASIC_DILUTED","FQ4 2023","FQ4 2023","Currency=USD","Period=FQ","BEST_FPERIOD_OVERRIDE=FQ","FILING_STATUS=MR","Sort=A","Dates=H","DateFormat=P","Fill=—","Direction=H","UseDPDF=Y")</f>
        <v>105.59399999999999</v>
      </c>
      <c r="X37" s="13" t="str">
        <f>_xll.BDH("SRPT US Equity","ARD_WTD_AVG_SHS_BASIC_DILUTED","FQ1 2024","FQ1 2024","Currency=USD","Period=FQ","BEST_FPERIOD_OVERRIDE=FQ","FILING_STATUS=MR","Sort=A","Dates=H","DateFormat=P","Fill=—","Direction=H","UseDPDF=Y")</f>
        <v>—</v>
      </c>
      <c r="Y37" s="13" t="str">
        <f>_xll.BDH("SRPT US Equity","ARD_WTD_AVG_SHS_BASIC_DILUTED","FQ2 2024","FQ2 2024","Currency=USD","Period=FQ","BEST_FPERIOD_OVERRIDE=FQ","FILING_STATUS=MR","Sort=A","Dates=H","DateFormat=P","Fill=—","Direction=H","UseDPDF=Y")</f>
        <v>—</v>
      </c>
      <c r="Z37" s="13" t="str">
        <f>_xll.BDH("SRPT US Equity","ARD_WTD_AVG_SHS_BASIC_DILUTED","FQ3 2024","FQ3 2024","Currency=USD","Period=FQ","BEST_FPERIOD_OVERRIDE=FQ","FILING_STATUS=MR","Sort=A","Dates=H","DateFormat=P","Fill=—","Direction=H","UseDPDF=Y")</f>
        <v>—</v>
      </c>
      <c r="AA37" s="13" t="str">
        <f>_xll.BDH("SRPT US Equity","ARD_WTD_AVG_SHS_BASIC_DILUTED","FQ4 2024","FQ4 2024","Currency=USD","Period=FQ","BEST_FPERIOD_OVERRIDE=FQ","FILING_STATUS=MR","Sort=A","Dates=H","DateFormat=P","Fill=—","Direction=H","UseDPDF=Y")</f>
        <v>—</v>
      </c>
    </row>
    <row r="38" spans="1:27" x14ac:dyDescent="0.25">
      <c r="A38" s="10" t="s">
        <v>479</v>
      </c>
      <c r="B38" s="10" t="s">
        <v>480</v>
      </c>
      <c r="C38" s="13" t="str">
        <f>_xll.BDH("SRPT US Equity","ARD_NET_INC_AVAIL_COM_SHRHLDR","FQ4 2018","FQ4 2018","Currency=USD","Period=FQ","BEST_FPERIOD_OVERRIDE=FQ","FILING_STATUS=MR","SCALING_FORMAT=MLN","Sort=A","Dates=H","DateFormat=P","Fill=—","Direction=H","UseDPDF=Y")</f>
        <v>—</v>
      </c>
      <c r="D38" s="13" t="str">
        <f>_xll.BDH("SRPT US Equity","ARD_NET_INC_AVAIL_COM_SHRHLDR","FQ1 2019","FQ1 2019","Currency=USD","Period=FQ","BEST_FPERIOD_OVERRIDE=FQ","FILING_STATUS=MR","SCALING_FORMAT=MLN","Sort=A","Dates=H","DateFormat=P","Fill=—","Direction=H","UseDPDF=Y")</f>
        <v>—</v>
      </c>
      <c r="E38" s="13" t="str">
        <f>_xll.BDH("SRPT US Equity","ARD_NET_INC_AVAIL_COM_SHRHLDR","FQ2 2019","FQ2 2019","Currency=USD","Period=FQ","BEST_FPERIOD_OVERRIDE=FQ","FILING_STATUS=MR","SCALING_FORMAT=MLN","Sort=A","Dates=H","DateFormat=P","Fill=—","Direction=H","UseDPDF=Y")</f>
        <v>—</v>
      </c>
      <c r="F38" s="13" t="str">
        <f>_xll.BDH("SRPT US Equity","ARD_NET_INC_AVAIL_COM_SHRHLDR","FQ3 2019","FQ3 2019","Currency=USD","Period=FQ","BEST_FPERIOD_OVERRIDE=FQ","FILING_STATUS=MR","SCALING_FORMAT=MLN","Sort=A","Dates=H","DateFormat=P","Fill=—","Direction=H","UseDPDF=Y")</f>
        <v>—</v>
      </c>
      <c r="G38" s="13" t="str">
        <f>_xll.BDH("SRPT US Equity","ARD_NET_INC_AVAIL_COM_SHRHLDR","FQ4 2019","FQ4 2019","Currency=USD","Period=FQ","BEST_FPERIOD_OVERRIDE=FQ","FILING_STATUS=MR","SCALING_FORMAT=MLN","Sort=A","Dates=H","DateFormat=P","Fill=—","Direction=H","UseDPDF=Y")</f>
        <v>—</v>
      </c>
      <c r="H38" s="13" t="str">
        <f>_xll.BDH("SRPT US Equity","ARD_NET_INC_AVAIL_COM_SHRHLDR","FQ1 2020","FQ1 2020","Currency=USD","Period=FQ","BEST_FPERIOD_OVERRIDE=FQ","FILING_STATUS=MR","SCALING_FORMAT=MLN","Sort=A","Dates=H","DateFormat=P","Fill=—","Direction=H","UseDPDF=Y")</f>
        <v>—</v>
      </c>
      <c r="I38" s="13" t="str">
        <f>_xll.BDH("SRPT US Equity","ARD_NET_INC_AVAIL_COM_SHRHLDR","FQ2 2020","FQ2 2020","Currency=USD","Period=FQ","BEST_FPERIOD_OVERRIDE=FQ","FILING_STATUS=MR","SCALING_FORMAT=MLN","Sort=A","Dates=H","DateFormat=P","Fill=—","Direction=H","UseDPDF=Y")</f>
        <v>—</v>
      </c>
      <c r="J38" s="13" t="str">
        <f>_xll.BDH("SRPT US Equity","ARD_NET_INC_AVAIL_COM_SHRHLDR","FQ3 2020","FQ3 2020","Currency=USD","Period=FQ","BEST_FPERIOD_OVERRIDE=FQ","FILING_STATUS=MR","SCALING_FORMAT=MLN","Sort=A","Dates=H","DateFormat=P","Fill=—","Direction=H","UseDPDF=Y")</f>
        <v>—</v>
      </c>
      <c r="K38" s="13" t="str">
        <f>_xll.BDH("SRPT US Equity","ARD_NET_INC_AVAIL_COM_SHRHLDR","FQ4 2020","FQ4 2020","Currency=USD","Period=FQ","BEST_FPERIOD_OVERRIDE=FQ","FILING_STATUS=MR","SCALING_FORMAT=MLN","Sort=A","Dates=H","DateFormat=P","Fill=—","Direction=H","UseDPDF=Y")</f>
        <v>—</v>
      </c>
      <c r="L38" s="13" t="str">
        <f>_xll.BDH("SRPT US Equity","ARD_NET_INC_AVAIL_COM_SHRHLDR","FQ1 2021","FQ1 2021","Currency=USD","Period=FQ","BEST_FPERIOD_OVERRIDE=FQ","FILING_STATUS=MR","SCALING_FORMAT=MLN","Sort=A","Dates=H","DateFormat=P","Fill=—","Direction=H","UseDPDF=Y")</f>
        <v>—</v>
      </c>
      <c r="M38" s="13" t="str">
        <f>_xll.BDH("SRPT US Equity","ARD_NET_INC_AVAIL_COM_SHRHLDR","FQ2 2021","FQ2 2021","Currency=USD","Period=FQ","BEST_FPERIOD_OVERRIDE=FQ","FILING_STATUS=MR","SCALING_FORMAT=MLN","Sort=A","Dates=H","DateFormat=P","Fill=—","Direction=H","UseDPDF=Y")</f>
        <v>—</v>
      </c>
      <c r="N38" s="13" t="str">
        <f>_xll.BDH("SRPT US Equity","ARD_NET_INC_AVAIL_COM_SHRHLDR","FQ3 2021","FQ3 2021","Currency=USD","Period=FQ","BEST_FPERIOD_OVERRIDE=FQ","FILING_STATUS=MR","SCALING_FORMAT=MLN","Sort=A","Dates=H","DateFormat=P","Fill=—","Direction=H","UseDPDF=Y")</f>
        <v>—</v>
      </c>
      <c r="O38" s="13" t="str">
        <f>_xll.BDH("SRPT US Equity","ARD_NET_INC_AVAIL_COM_SHRHLDR","FQ4 2021","FQ4 2021","Currency=USD","Period=FQ","BEST_FPERIOD_OVERRIDE=FQ","FILING_STATUS=MR","SCALING_FORMAT=MLN","Sort=A","Dates=H","DateFormat=P","Fill=—","Direction=H","UseDPDF=Y")</f>
        <v>—</v>
      </c>
      <c r="P38" s="13" t="str">
        <f>_xll.BDH("SRPT US Equity","ARD_NET_INC_AVAIL_COM_SHRHLDR","FQ1 2022","FQ1 2022","Currency=USD","Period=FQ","BEST_FPERIOD_OVERRIDE=FQ","FILING_STATUS=MR","SCALING_FORMAT=MLN","Sort=A","Dates=H","DateFormat=P","Fill=—","Direction=H","UseDPDF=Y")</f>
        <v>—</v>
      </c>
      <c r="Q38" s="13" t="str">
        <f>_xll.BDH("SRPT US Equity","ARD_NET_INC_AVAIL_COM_SHRHLDR","FQ2 2022","FQ2 2022","Currency=USD","Period=FQ","BEST_FPERIOD_OVERRIDE=FQ","FILING_STATUS=MR","SCALING_FORMAT=MLN","Sort=A","Dates=H","DateFormat=P","Fill=—","Direction=H","UseDPDF=Y")</f>
        <v>—</v>
      </c>
      <c r="R38" s="13">
        <f>_xll.BDH("SRPT US Equity","ARD_NET_INC_AVAIL_COM_SHRHLDR","FQ3 2022","FQ3 2022","Currency=USD","Period=FQ","BEST_FPERIOD_OVERRIDE=FQ","FILING_STATUS=MR","SCALING_FORMAT=MLN","Sort=A","Dates=H","DateFormat=P","Fill=—","Direction=H","UseDPDF=Y")</f>
        <v>-257.738</v>
      </c>
      <c r="S38" s="13" t="str">
        <f>_xll.BDH("SRPT US Equity","ARD_NET_INC_AVAIL_COM_SHRHLDR","FQ4 2022","FQ4 2022","Currency=USD","Period=FQ","BEST_FPERIOD_OVERRIDE=FQ","FILING_STATUS=MR","SCALING_FORMAT=MLN","Sort=A","Dates=H","DateFormat=P","Fill=—","Direction=H","UseDPDF=Y")</f>
        <v>—</v>
      </c>
      <c r="T38" s="13">
        <f>_xll.BDH("SRPT US Equity","ARD_NET_INC_AVAIL_COM_SHRHLDR","FQ1 2023","FQ1 2023","Currency=USD","Period=FQ","BEST_FPERIOD_OVERRIDE=FQ","FILING_STATUS=MR","SCALING_FORMAT=MLN","Sort=A","Dates=H","DateFormat=P","Fill=—","Direction=H","UseDPDF=Y")</f>
        <v>-516.755</v>
      </c>
      <c r="U38" s="13">
        <f>_xll.BDH("SRPT US Equity","ARD_NET_INC_AVAIL_COM_SHRHLDR","FQ2 2023","FQ2 2023","Currency=USD","Period=FQ","BEST_FPERIOD_OVERRIDE=FQ","FILING_STATUS=MR","SCALING_FORMAT=MLN","Sort=A","Dates=H","DateFormat=P","Fill=—","Direction=H","UseDPDF=Y")</f>
        <v>-23.94</v>
      </c>
      <c r="V38" s="13">
        <f>_xll.BDH("SRPT US Equity","ARD_NET_INC_AVAIL_COM_SHRHLDR","FQ3 2023","FQ3 2023","Currency=USD","Period=FQ","BEST_FPERIOD_OVERRIDE=FQ","FILING_STATUS=MR","SCALING_FORMAT=MLN","Sort=A","Dates=H","DateFormat=P","Fill=—","Direction=H","UseDPDF=Y")</f>
        <v>-40.936999999999998</v>
      </c>
      <c r="W38" s="13" t="str">
        <f>_xll.BDH("SRPT US Equity","ARD_NET_INC_AVAIL_COM_SHRHLDR","FQ4 2023","FQ4 2023","Currency=USD","Period=FQ","BEST_FPERIOD_OVERRIDE=FQ","FILING_STATUS=MR","SCALING_FORMAT=MLN","Sort=A","Dates=H","DateFormat=P","Fill=—","Direction=H","UseDPDF=Y")</f>
        <v>—</v>
      </c>
      <c r="X38" s="13">
        <f>_xll.BDH("SRPT US Equity","ARD_NET_INC_AVAIL_COM_SHRHLDR","FQ1 2024","FQ1 2024","Currency=USD","Period=FQ","BEST_FPERIOD_OVERRIDE=FQ","FILING_STATUS=MR","SCALING_FORMAT=MLN","Sort=A","Dates=H","DateFormat=P","Fill=—","Direction=H","UseDPDF=Y")</f>
        <v>36.119</v>
      </c>
      <c r="Y38" s="13">
        <f>_xll.BDH("SRPT US Equity","ARD_NET_INC_AVAIL_COM_SHRHLDR","FQ2 2024","FQ2 2024","Currency=USD","Period=FQ","BEST_FPERIOD_OVERRIDE=FQ","FILING_STATUS=MR","SCALING_FORMAT=MLN","Sort=A","Dates=H","DateFormat=P","Fill=—","Direction=H","UseDPDF=Y")</f>
        <v>6.46</v>
      </c>
      <c r="Z38" s="13">
        <f>_xll.BDH("SRPT US Equity","ARD_NET_INC_AVAIL_COM_SHRHLDR","FQ3 2024","FQ3 2024","Currency=USD","Period=FQ","BEST_FPERIOD_OVERRIDE=FQ","FILING_STATUS=MR","SCALING_FORMAT=MLN","Sort=A","Dates=H","DateFormat=P","Fill=—","Direction=H","UseDPDF=Y")</f>
        <v>33.610999999999997</v>
      </c>
      <c r="AA38" s="13" t="str">
        <f>_xll.BDH("SRPT US Equity","ARD_NET_INC_AVAIL_COM_SHRHLDR","FQ4 2024","FQ4 2024","Currency=USD","Period=FQ","BEST_FPERIOD_OVERRIDE=FQ","FILING_STATUS=MR","SCALING_FORMAT=MLN","Sort=A","Dates=H","DateFormat=P","Fill=—","Direction=H","UseDPDF=Y")</f>
        <v>—</v>
      </c>
    </row>
    <row r="39" spans="1:27" x14ac:dyDescent="0.25">
      <c r="A39" s="10" t="s">
        <v>481</v>
      </c>
      <c r="B39" s="10" t="s">
        <v>482</v>
      </c>
      <c r="C39" s="13" t="str">
        <f>_xll.BDH("SRPT US Equity","ARD_PROF_AFTER_TAX_BEF_MINORITY","FQ4 2018","FQ4 2018","Currency=USD","Period=FQ","BEST_FPERIOD_OVERRIDE=FQ","FILING_STATUS=MR","SCALING_FORMAT=MLN","Sort=A","Dates=H","DateFormat=P","Fill=—","Direction=H","UseDPDF=Y")</f>
        <v>—</v>
      </c>
      <c r="D39" s="13" t="str">
        <f>_xll.BDH("SRPT US Equity","ARD_PROF_AFTER_TAX_BEF_MINORITY","FQ1 2019","FQ1 2019","Currency=USD","Period=FQ","BEST_FPERIOD_OVERRIDE=FQ","FILING_STATUS=MR","SCALING_FORMAT=MLN","Sort=A","Dates=H","DateFormat=P","Fill=—","Direction=H","UseDPDF=Y")</f>
        <v>—</v>
      </c>
      <c r="E39" s="13" t="str">
        <f>_xll.BDH("SRPT US Equity","ARD_PROF_AFTER_TAX_BEF_MINORITY","FQ2 2019","FQ2 2019","Currency=USD","Period=FQ","BEST_FPERIOD_OVERRIDE=FQ","FILING_STATUS=MR","SCALING_FORMAT=MLN","Sort=A","Dates=H","DateFormat=P","Fill=—","Direction=H","UseDPDF=Y")</f>
        <v>—</v>
      </c>
      <c r="F39" s="13" t="str">
        <f>_xll.BDH("SRPT US Equity","ARD_PROF_AFTER_TAX_BEF_MINORITY","FQ3 2019","FQ3 2019","Currency=USD","Period=FQ","BEST_FPERIOD_OVERRIDE=FQ","FILING_STATUS=MR","SCALING_FORMAT=MLN","Sort=A","Dates=H","DateFormat=P","Fill=—","Direction=H","UseDPDF=Y")</f>
        <v>—</v>
      </c>
      <c r="G39" s="13" t="str">
        <f>_xll.BDH("SRPT US Equity","ARD_PROF_AFTER_TAX_BEF_MINORITY","FQ4 2019","FQ4 2019","Currency=USD","Period=FQ","BEST_FPERIOD_OVERRIDE=FQ","FILING_STATUS=MR","SCALING_FORMAT=MLN","Sort=A","Dates=H","DateFormat=P","Fill=—","Direction=H","UseDPDF=Y")</f>
        <v>—</v>
      </c>
      <c r="H39" s="13" t="str">
        <f>_xll.BDH("SRPT US Equity","ARD_PROF_AFTER_TAX_BEF_MINORITY","FQ1 2020","FQ1 2020","Currency=USD","Period=FQ","BEST_FPERIOD_OVERRIDE=FQ","FILING_STATUS=MR","SCALING_FORMAT=MLN","Sort=A","Dates=H","DateFormat=P","Fill=—","Direction=H","UseDPDF=Y")</f>
        <v>—</v>
      </c>
      <c r="I39" s="13" t="str">
        <f>_xll.BDH("SRPT US Equity","ARD_PROF_AFTER_TAX_BEF_MINORITY","FQ2 2020","FQ2 2020","Currency=USD","Period=FQ","BEST_FPERIOD_OVERRIDE=FQ","FILING_STATUS=MR","SCALING_FORMAT=MLN","Sort=A","Dates=H","DateFormat=P","Fill=—","Direction=H","UseDPDF=Y")</f>
        <v>—</v>
      </c>
      <c r="J39" s="13" t="str">
        <f>_xll.BDH("SRPT US Equity","ARD_PROF_AFTER_TAX_BEF_MINORITY","FQ3 2020","FQ3 2020","Currency=USD","Period=FQ","BEST_FPERIOD_OVERRIDE=FQ","FILING_STATUS=MR","SCALING_FORMAT=MLN","Sort=A","Dates=H","DateFormat=P","Fill=—","Direction=H","UseDPDF=Y")</f>
        <v>—</v>
      </c>
      <c r="K39" s="13" t="str">
        <f>_xll.BDH("SRPT US Equity","ARD_PROF_AFTER_TAX_BEF_MINORITY","FQ4 2020","FQ4 2020","Currency=USD","Period=FQ","BEST_FPERIOD_OVERRIDE=FQ","FILING_STATUS=MR","SCALING_FORMAT=MLN","Sort=A","Dates=H","DateFormat=P","Fill=—","Direction=H","UseDPDF=Y")</f>
        <v>—</v>
      </c>
      <c r="L39" s="13" t="str">
        <f>_xll.BDH("SRPT US Equity","ARD_PROF_AFTER_TAX_BEF_MINORITY","FQ1 2021","FQ1 2021","Currency=USD","Period=FQ","BEST_FPERIOD_OVERRIDE=FQ","FILING_STATUS=MR","SCALING_FORMAT=MLN","Sort=A","Dates=H","DateFormat=P","Fill=—","Direction=H","UseDPDF=Y")</f>
        <v>—</v>
      </c>
      <c r="M39" s="13" t="str">
        <f>_xll.BDH("SRPT US Equity","ARD_PROF_AFTER_TAX_BEF_MINORITY","FQ2 2021","FQ2 2021","Currency=USD","Period=FQ","BEST_FPERIOD_OVERRIDE=FQ","FILING_STATUS=MR","SCALING_FORMAT=MLN","Sort=A","Dates=H","DateFormat=P","Fill=—","Direction=H","UseDPDF=Y")</f>
        <v>—</v>
      </c>
      <c r="N39" s="13" t="str">
        <f>_xll.BDH("SRPT US Equity","ARD_PROF_AFTER_TAX_BEF_MINORITY","FQ3 2021","FQ3 2021","Currency=USD","Period=FQ","BEST_FPERIOD_OVERRIDE=FQ","FILING_STATUS=MR","SCALING_FORMAT=MLN","Sort=A","Dates=H","DateFormat=P","Fill=—","Direction=H","UseDPDF=Y")</f>
        <v>—</v>
      </c>
      <c r="O39" s="13" t="str">
        <f>_xll.BDH("SRPT US Equity","ARD_PROF_AFTER_TAX_BEF_MINORITY","FQ4 2021","FQ4 2021","Currency=USD","Period=FQ","BEST_FPERIOD_OVERRIDE=FQ","FILING_STATUS=MR","SCALING_FORMAT=MLN","Sort=A","Dates=H","DateFormat=P","Fill=—","Direction=H","UseDPDF=Y")</f>
        <v>—</v>
      </c>
      <c r="P39" s="13" t="str">
        <f>_xll.BDH("SRPT US Equity","ARD_PROF_AFTER_TAX_BEF_MINORITY","FQ1 2022","FQ1 2022","Currency=USD","Period=FQ","BEST_FPERIOD_OVERRIDE=FQ","FILING_STATUS=MR","SCALING_FORMAT=MLN","Sort=A","Dates=H","DateFormat=P","Fill=—","Direction=H","UseDPDF=Y")</f>
        <v>—</v>
      </c>
      <c r="Q39" s="13" t="str">
        <f>_xll.BDH("SRPT US Equity","ARD_PROF_AFTER_TAX_BEF_MINORITY","FQ2 2022","FQ2 2022","Currency=USD","Period=FQ","BEST_FPERIOD_OVERRIDE=FQ","FILING_STATUS=MR","SCALING_FORMAT=MLN","Sort=A","Dates=H","DateFormat=P","Fill=—","Direction=H","UseDPDF=Y")</f>
        <v>—</v>
      </c>
      <c r="R39" s="13">
        <f>_xll.BDH("SRPT US Equity","ARD_PROF_AFTER_TAX_BEF_MINORITY","FQ3 2022","FQ3 2022","Currency=USD","Period=FQ","BEST_FPERIOD_OVERRIDE=FQ","FILING_STATUS=MR","SCALING_FORMAT=MLN","Sort=A","Dates=H","DateFormat=P","Fill=—","Direction=H","UseDPDF=Y")</f>
        <v>-257.738</v>
      </c>
      <c r="S39" s="13" t="str">
        <f>_xll.BDH("SRPT US Equity","ARD_PROF_AFTER_TAX_BEF_MINORITY","FQ4 2022","FQ4 2022","Currency=USD","Period=FQ","BEST_FPERIOD_OVERRIDE=FQ","FILING_STATUS=MR","SCALING_FORMAT=MLN","Sort=A","Dates=H","DateFormat=P","Fill=—","Direction=H","UseDPDF=Y")</f>
        <v>—</v>
      </c>
      <c r="T39" s="13">
        <f>_xll.BDH("SRPT US Equity","ARD_PROF_AFTER_TAX_BEF_MINORITY","FQ1 2023","FQ1 2023","Currency=USD","Period=FQ","BEST_FPERIOD_OVERRIDE=FQ","FILING_STATUS=MR","SCALING_FORMAT=MLN","Sort=A","Dates=H","DateFormat=P","Fill=—","Direction=H","UseDPDF=Y")</f>
        <v>-516.755</v>
      </c>
      <c r="U39" s="13">
        <f>_xll.BDH("SRPT US Equity","ARD_PROF_AFTER_TAX_BEF_MINORITY","FQ2 2023","FQ2 2023","Currency=USD","Period=FQ","BEST_FPERIOD_OVERRIDE=FQ","FILING_STATUS=MR","SCALING_FORMAT=MLN","Sort=A","Dates=H","DateFormat=P","Fill=—","Direction=H","UseDPDF=Y")</f>
        <v>-23.94</v>
      </c>
      <c r="V39" s="13">
        <f>_xll.BDH("SRPT US Equity","ARD_PROF_AFTER_TAX_BEF_MINORITY","FQ3 2023","FQ3 2023","Currency=USD","Period=FQ","BEST_FPERIOD_OVERRIDE=FQ","FILING_STATUS=MR","SCALING_FORMAT=MLN","Sort=A","Dates=H","DateFormat=P","Fill=—","Direction=H","UseDPDF=Y")</f>
        <v>-40.936999999999998</v>
      </c>
      <c r="W39" s="13" t="str">
        <f>_xll.BDH("SRPT US Equity","ARD_PROF_AFTER_TAX_BEF_MINORITY","FQ4 2023","FQ4 2023","Currency=USD","Period=FQ","BEST_FPERIOD_OVERRIDE=FQ","FILING_STATUS=MR","SCALING_FORMAT=MLN","Sort=A","Dates=H","DateFormat=P","Fill=—","Direction=H","UseDPDF=Y")</f>
        <v>—</v>
      </c>
      <c r="X39" s="13">
        <f>_xll.BDH("SRPT US Equity","ARD_PROF_AFTER_TAX_BEF_MINORITY","FQ1 2024","FQ1 2024","Currency=USD","Period=FQ","BEST_FPERIOD_OVERRIDE=FQ","FILING_STATUS=MR","SCALING_FORMAT=MLN","Sort=A","Dates=H","DateFormat=P","Fill=—","Direction=H","UseDPDF=Y")</f>
        <v>36.119</v>
      </c>
      <c r="Y39" s="13">
        <f>_xll.BDH("SRPT US Equity","ARD_PROF_AFTER_TAX_BEF_MINORITY","FQ2 2024","FQ2 2024","Currency=USD","Period=FQ","BEST_FPERIOD_OVERRIDE=FQ","FILING_STATUS=MR","SCALING_FORMAT=MLN","Sort=A","Dates=H","DateFormat=P","Fill=—","Direction=H","UseDPDF=Y")</f>
        <v>6.46</v>
      </c>
      <c r="Z39" s="13">
        <f>_xll.BDH("SRPT US Equity","ARD_PROF_AFTER_TAX_BEF_MINORITY","FQ3 2024","FQ3 2024","Currency=USD","Period=FQ","BEST_FPERIOD_OVERRIDE=FQ","FILING_STATUS=MR","SCALING_FORMAT=MLN","Sort=A","Dates=H","DateFormat=P","Fill=—","Direction=H","UseDPDF=Y")</f>
        <v>33.610999999999997</v>
      </c>
      <c r="AA39" s="13" t="str">
        <f>_xll.BDH("SRPT US Equity","ARD_PROF_AFTER_TAX_BEF_MINORITY","FQ4 2024","FQ4 2024","Currency=USD","Period=FQ","BEST_FPERIOD_OVERRIDE=FQ","FILING_STATUS=MR","SCALING_FORMAT=MLN","Sort=A","Dates=H","DateFormat=P","Fill=—","Direction=H","UseDPDF=Y")</f>
        <v>—</v>
      </c>
    </row>
    <row r="40" spans="1:27" x14ac:dyDescent="0.25">
      <c r="A40" s="10" t="s">
        <v>483</v>
      </c>
      <c r="B40" s="10" t="s">
        <v>484</v>
      </c>
      <c r="C40" s="13">
        <f>_xll.BDH("SRPT US Equity","ARD_CUMULATIVE_NET_INCOME","FQ4 2018","FQ4 2018","Currency=USD","Period=FQ","BEST_FPERIOD_OVERRIDE=FQ","FILING_STATUS=MR","SCALING_FORMAT=MLN","Sort=A","Dates=H","DateFormat=P","Fill=—","Direction=H","UseDPDF=Y")</f>
        <v>-361.91800000000001</v>
      </c>
      <c r="D40" s="13">
        <f>_xll.BDH("SRPT US Equity","ARD_CUMULATIVE_NET_INCOME","FQ1 2019","FQ1 2019","Currency=USD","Period=FQ","BEST_FPERIOD_OVERRIDE=FQ","FILING_STATUS=MR","SCALING_FORMAT=MLN","Sort=A","Dates=H","DateFormat=P","Fill=—","Direction=H","UseDPDF=Y")</f>
        <v>-76.643000000000001</v>
      </c>
      <c r="E40" s="13">
        <f>_xll.BDH("SRPT US Equity","ARD_CUMULATIVE_NET_INCOME","FQ2 2019","FQ2 2019","Currency=USD","Period=FQ","BEST_FPERIOD_OVERRIDE=FQ","FILING_STATUS=MR","SCALING_FORMAT=MLN","Sort=A","Dates=H","DateFormat=P","Fill=—","Direction=H","UseDPDF=Y")</f>
        <v>-353.04599999999999</v>
      </c>
      <c r="F40" s="13">
        <f>_xll.BDH("SRPT US Equity","ARD_CUMULATIVE_NET_INCOME","FQ3 2019","FQ3 2019","Currency=USD","Period=FQ","BEST_FPERIOD_OVERRIDE=FQ","FILING_STATUS=MR","SCALING_FORMAT=MLN","Sort=A","Dates=H","DateFormat=P","Fill=—","Direction=H","UseDPDF=Y")</f>
        <v>-479.37200000000001</v>
      </c>
      <c r="G40" s="13">
        <f>_xll.BDH("SRPT US Equity","ARD_CUMULATIVE_NET_INCOME","FQ4 2019","FQ4 2019","Currency=USD","Period=FQ","BEST_FPERIOD_OVERRIDE=FQ","FILING_STATUS=MR","SCALING_FORMAT=MLN","Sort=A","Dates=H","DateFormat=P","Fill=—","Direction=H","UseDPDF=Y")</f>
        <v>-715.07500000000005</v>
      </c>
      <c r="H40" s="13">
        <f>_xll.BDH("SRPT US Equity","ARD_CUMULATIVE_NET_INCOME","FQ1 2020","FQ1 2020","Currency=USD","Period=FQ","BEST_FPERIOD_OVERRIDE=FQ","FILING_STATUS=MR","SCALING_FORMAT=MLN","Sort=A","Dates=H","DateFormat=P","Fill=—","Direction=H","UseDPDF=Y")</f>
        <v>-17.492000000000001</v>
      </c>
      <c r="I40" s="13">
        <f>_xll.BDH("SRPT US Equity","ARD_CUMULATIVE_NET_INCOME","FQ2 2020","FQ2 2020","Currency=USD","Period=FQ","BEST_FPERIOD_OVERRIDE=FQ","FILING_STATUS=MR","SCALING_FORMAT=MLN","Sort=A","Dates=H","DateFormat=P","Fill=—","Direction=H","UseDPDF=Y")</f>
        <v>-168.31200000000001</v>
      </c>
      <c r="J40" s="13">
        <f>_xll.BDH("SRPT US Equity","ARD_CUMULATIVE_NET_INCOME","FQ3 2020","FQ3 2020","Currency=USD","Period=FQ","BEST_FPERIOD_OVERRIDE=FQ","FILING_STATUS=MR","SCALING_FORMAT=MLN","Sort=A","Dates=H","DateFormat=P","Fill=—","Direction=H","UseDPDF=Y")</f>
        <v>-364.81099999999998</v>
      </c>
      <c r="K40" s="13">
        <f>_xll.BDH("SRPT US Equity","ARD_CUMULATIVE_NET_INCOME","FQ4 2020","FQ4 2020","Currency=USD","Period=FQ","BEST_FPERIOD_OVERRIDE=FQ","FILING_STATUS=MR","SCALING_FORMAT=MLN","Sort=A","Dates=H","DateFormat=P","Fill=—","Direction=H","UseDPDF=Y")</f>
        <v>-554.12800000000004</v>
      </c>
      <c r="L40" s="13">
        <f>_xll.BDH("SRPT US Equity","ARD_CUMULATIVE_NET_INCOME","FQ1 2021","FQ1 2021","Currency=USD","Period=FQ","BEST_FPERIOD_OVERRIDE=FQ","FILING_STATUS=MR","SCALING_FORMAT=MLN","Sort=A","Dates=H","DateFormat=P","Fill=—","Direction=H","UseDPDF=Y")</f>
        <v>-167.25</v>
      </c>
      <c r="M40" s="13">
        <f>_xll.BDH("SRPT US Equity","ARD_CUMULATIVE_NET_INCOME","FQ2 2021","FQ2 2021","Currency=USD","Period=FQ","BEST_FPERIOD_OVERRIDE=FQ","FILING_STATUS=MR","SCALING_FORMAT=MLN","Sort=A","Dates=H","DateFormat=P","Fill=—","Direction=H","UseDPDF=Y")</f>
        <v>-248.655</v>
      </c>
      <c r="N40" s="13">
        <f>_xll.BDH("SRPT US Equity","ARD_CUMULATIVE_NET_INCOME","FQ3 2021","FQ3 2021","Currency=USD","Period=FQ","BEST_FPERIOD_OVERRIDE=FQ","FILING_STATUS=MR","SCALING_FORMAT=MLN","Sort=A","Dates=H","DateFormat=P","Fill=—","Direction=H","UseDPDF=Y")</f>
        <v>-296.79899999999998</v>
      </c>
      <c r="O40" s="13">
        <f>_xll.BDH("SRPT US Equity","ARD_CUMULATIVE_NET_INCOME","FQ4 2021","FQ4 2021","Currency=USD","Period=FQ","BEST_FPERIOD_OVERRIDE=FQ","FILING_STATUS=MR","SCALING_FORMAT=MLN","Sort=A","Dates=H","DateFormat=P","Fill=—","Direction=H","UseDPDF=Y")</f>
        <v>-418.78</v>
      </c>
      <c r="P40" s="13">
        <f>_xll.BDH("SRPT US Equity","ARD_CUMULATIVE_NET_INCOME","FQ1 2022","FQ1 2022","Currency=USD","Period=FQ","BEST_FPERIOD_OVERRIDE=FQ","FILING_STATUS=MR","SCALING_FORMAT=MLN","Sort=A","Dates=H","DateFormat=P","Fill=—","Direction=H","UseDPDF=Y")</f>
        <v>-105.02500000000001</v>
      </c>
      <c r="Q40" s="13">
        <f>_xll.BDH("SRPT US Equity","ARD_CUMULATIVE_NET_INCOME","FQ2 2022","FQ2 2022","Currency=USD","Period=FQ","BEST_FPERIOD_OVERRIDE=FQ","FILING_STATUS=MR","SCALING_FORMAT=MLN","Sort=A","Dates=H","DateFormat=P","Fill=—","Direction=H","UseDPDF=Y")</f>
        <v>-336.50599999999997</v>
      </c>
      <c r="R40" s="13">
        <f>_xll.BDH("SRPT US Equity","ARD_CUMULATIVE_NET_INCOME","FQ3 2022","FQ3 2022","Currency=USD","Period=FQ","BEST_FPERIOD_OVERRIDE=FQ","FILING_STATUS=MR","SCALING_FORMAT=MLN","Sort=A","Dates=H","DateFormat=P","Fill=—","Direction=H","UseDPDF=Y")</f>
        <v>-594.24400000000003</v>
      </c>
      <c r="S40" s="13">
        <f>_xll.BDH("SRPT US Equity","ARD_CUMULATIVE_NET_INCOME","FQ4 2022","FQ4 2022","Currency=USD","Period=FQ","BEST_FPERIOD_OVERRIDE=FQ","FILING_STATUS=MR","SCALING_FORMAT=MLN","Sort=A","Dates=H","DateFormat=P","Fill=—","Direction=H","UseDPDF=Y")</f>
        <v>-703.48800000000006</v>
      </c>
      <c r="T40" s="13">
        <f>_xll.BDH("SRPT US Equity","ARD_CUMULATIVE_NET_INCOME","FQ1 2023","FQ1 2023","Currency=USD","Period=FQ","BEST_FPERIOD_OVERRIDE=FQ","FILING_STATUS=MR","SCALING_FORMAT=MLN","Sort=A","Dates=H","DateFormat=P","Fill=—","Direction=H","UseDPDF=Y")</f>
        <v>-516.755</v>
      </c>
      <c r="U40" s="13">
        <f>_xll.BDH("SRPT US Equity","ARD_CUMULATIVE_NET_INCOME","FQ2 2023","FQ2 2023","Currency=USD","Period=FQ","BEST_FPERIOD_OVERRIDE=FQ","FILING_STATUS=MR","SCALING_FORMAT=MLN","Sort=A","Dates=H","DateFormat=P","Fill=—","Direction=H","UseDPDF=Y")</f>
        <v>-540.69500000000005</v>
      </c>
      <c r="V40" s="13">
        <f>_xll.BDH("SRPT US Equity","ARD_CUMULATIVE_NET_INCOME","FQ3 2023","FQ3 2023","Currency=USD","Period=FQ","BEST_FPERIOD_OVERRIDE=FQ","FILING_STATUS=MR","SCALING_FORMAT=MLN","Sort=A","Dates=H","DateFormat=P","Fill=—","Direction=H","UseDPDF=Y")</f>
        <v>-581.63199999999995</v>
      </c>
      <c r="W40" s="13">
        <f>_xll.BDH("SRPT US Equity","ARD_CUMULATIVE_NET_INCOME","FQ4 2023","FQ4 2023","Currency=USD","Period=FQ","BEST_FPERIOD_OVERRIDE=FQ","FILING_STATUS=MR","SCALING_FORMAT=MLN","Sort=A","Dates=H","DateFormat=P","Fill=—","Direction=H","UseDPDF=Y")</f>
        <v>-535.97699999999998</v>
      </c>
      <c r="X40" s="13">
        <f>_xll.BDH("SRPT US Equity","ARD_CUMULATIVE_NET_INCOME","FQ1 2024","FQ1 2024","Currency=USD","Period=FQ","BEST_FPERIOD_OVERRIDE=FQ","FILING_STATUS=MR","SCALING_FORMAT=MLN","Sort=A","Dates=H","DateFormat=P","Fill=—","Direction=H","UseDPDF=Y")</f>
        <v>36.119</v>
      </c>
      <c r="Y40" s="13">
        <f>_xll.BDH("SRPT US Equity","ARD_CUMULATIVE_NET_INCOME","FQ2 2024","FQ2 2024","Currency=USD","Period=FQ","BEST_FPERIOD_OVERRIDE=FQ","FILING_STATUS=MR","SCALING_FORMAT=MLN","Sort=A","Dates=H","DateFormat=P","Fill=—","Direction=H","UseDPDF=Y")</f>
        <v>42.579000000000001</v>
      </c>
      <c r="Z40" s="13">
        <f>_xll.BDH("SRPT US Equity","ARD_CUMULATIVE_NET_INCOME","FQ3 2024","FQ3 2024","Currency=USD","Period=FQ","BEST_FPERIOD_OVERRIDE=FQ","FILING_STATUS=MR","SCALING_FORMAT=MLN","Sort=A","Dates=H","DateFormat=P","Fill=—","Direction=H","UseDPDF=Y")</f>
        <v>76.19</v>
      </c>
      <c r="AA40" s="13">
        <f>_xll.BDH("SRPT US Equity","ARD_CUMULATIVE_NET_INCOME","FQ4 2024","FQ4 2024","Currency=USD","Period=FQ","BEST_FPERIOD_OVERRIDE=FQ","FILING_STATUS=MR","SCALING_FORMAT=MLN","Sort=A","Dates=H","DateFormat=P","Fill=—","Direction=H","UseDPDF=Y")</f>
        <v>235.239</v>
      </c>
    </row>
    <row r="41" spans="1:27" x14ac:dyDescent="0.25">
      <c r="A41" s="6" t="s">
        <v>159</v>
      </c>
      <c r="B41" s="6" t="s">
        <v>485</v>
      </c>
      <c r="C41" s="19">
        <f>_xll.BDH("SRPT US Equity","ARD_NET_INC","FQ4 2018","FQ4 2018","Currency=USD","Period=FQ","BEST_FPERIOD_OVERRIDE=FQ","FILING_STATUS=MR","SCALING_FORMAT=MLN","Sort=A","Dates=H","DateFormat=P","Fill=—","Direction=H","UseDPDF=Y")</f>
        <v>-140.89500000000001</v>
      </c>
      <c r="D41" s="19">
        <f>_xll.BDH("SRPT US Equity","ARD_NET_INC","FQ1 2019","FQ1 2019","Currency=USD","Period=FQ","BEST_FPERIOD_OVERRIDE=FQ","FILING_STATUS=MR","SCALING_FORMAT=MLN","Sort=A","Dates=H","DateFormat=P","Fill=—","Direction=H","UseDPDF=Y")</f>
        <v>-76.643000000000001</v>
      </c>
      <c r="E41" s="19">
        <f>_xll.BDH("SRPT US Equity","ARD_NET_INC","FQ2 2019","FQ2 2019","Currency=USD","Period=FQ","BEST_FPERIOD_OVERRIDE=FQ","FILING_STATUS=MR","SCALING_FORMAT=MLN","Sort=A","Dates=H","DateFormat=P","Fill=—","Direction=H","UseDPDF=Y")</f>
        <v>-276.40300000000002</v>
      </c>
      <c r="F41" s="19">
        <f>_xll.BDH("SRPT US Equity","ARD_NET_INC","FQ3 2019","FQ3 2019","Currency=USD","Period=FQ","BEST_FPERIOD_OVERRIDE=FQ","FILING_STATUS=MR","SCALING_FORMAT=MLN","Sort=A","Dates=H","DateFormat=P","Fill=—","Direction=H","UseDPDF=Y")</f>
        <v>-126.32599999999999</v>
      </c>
      <c r="G41" s="19">
        <f>_xll.BDH("SRPT US Equity","ARD_NET_INC","FQ4 2019","FQ4 2019","Currency=USD","Period=FQ","BEST_FPERIOD_OVERRIDE=FQ","FILING_STATUS=MR","SCALING_FORMAT=MLN","Sort=A","Dates=H","DateFormat=P","Fill=—","Direction=H","UseDPDF=Y")</f>
        <v>-235.703</v>
      </c>
      <c r="H41" s="19">
        <f>_xll.BDH("SRPT US Equity","ARD_NET_INC","FQ1 2020","FQ1 2020","Currency=USD","Period=FQ","BEST_FPERIOD_OVERRIDE=FQ","FILING_STATUS=MR","SCALING_FORMAT=MLN","Sort=A","Dates=H","DateFormat=P","Fill=—","Direction=H","UseDPDF=Y")</f>
        <v>-17.492000000000001</v>
      </c>
      <c r="I41" s="19">
        <f>_xll.BDH("SRPT US Equity","ARD_NET_INC","FQ2 2020","FQ2 2020","Currency=USD","Period=FQ","BEST_FPERIOD_OVERRIDE=FQ","FILING_STATUS=MR","SCALING_FORMAT=MLN","Sort=A","Dates=H","DateFormat=P","Fill=—","Direction=H","UseDPDF=Y")</f>
        <v>-150.82</v>
      </c>
      <c r="J41" s="19">
        <f>_xll.BDH("SRPT US Equity","ARD_NET_INC","FQ3 2020","FQ3 2020","Currency=USD","Period=FQ","BEST_FPERIOD_OVERRIDE=FQ","FILING_STATUS=MR","SCALING_FORMAT=MLN","Sort=A","Dates=H","DateFormat=P","Fill=—","Direction=H","UseDPDF=Y")</f>
        <v>-196.499</v>
      </c>
      <c r="K41" s="19">
        <f>_xll.BDH("SRPT US Equity","ARD_NET_INC","FQ4 2020","FQ4 2020","Currency=USD","Period=FQ","BEST_FPERIOD_OVERRIDE=FQ","FILING_STATUS=MR","SCALING_FORMAT=MLN","Sort=A","Dates=H","DateFormat=P","Fill=—","Direction=H","UseDPDF=Y")</f>
        <v>-189.31700000000001</v>
      </c>
      <c r="L41" s="19">
        <f>_xll.BDH("SRPT US Equity","ARD_NET_INC","FQ1 2021","FQ1 2021","Currency=USD","Period=FQ","BEST_FPERIOD_OVERRIDE=FQ","FILING_STATUS=MR","SCALING_FORMAT=MLN","Sort=A","Dates=H","DateFormat=P","Fill=—","Direction=H","UseDPDF=Y")</f>
        <v>-167.25</v>
      </c>
      <c r="M41" s="19">
        <f>_xll.BDH("SRPT US Equity","ARD_NET_INC","FQ2 2021","FQ2 2021","Currency=USD","Period=FQ","BEST_FPERIOD_OVERRIDE=FQ","FILING_STATUS=MR","SCALING_FORMAT=MLN","Sort=A","Dates=H","DateFormat=P","Fill=—","Direction=H","UseDPDF=Y")</f>
        <v>-81.405000000000001</v>
      </c>
      <c r="N41" s="19">
        <f>_xll.BDH("SRPT US Equity","ARD_NET_INC","FQ3 2021","FQ3 2021","Currency=USD","Period=FQ","BEST_FPERIOD_OVERRIDE=FQ","FILING_STATUS=MR","SCALING_FORMAT=MLN","Sort=A","Dates=H","DateFormat=P","Fill=—","Direction=H","UseDPDF=Y")</f>
        <v>-48.143999999999998</v>
      </c>
      <c r="O41" s="19">
        <f>_xll.BDH("SRPT US Equity","ARD_NET_INC","FQ4 2021","FQ4 2021","Currency=USD","Period=FQ","BEST_FPERIOD_OVERRIDE=FQ","FILING_STATUS=MR","SCALING_FORMAT=MLN","Sort=A","Dates=H","DateFormat=P","Fill=—","Direction=H","UseDPDF=Y")</f>
        <v>-121.98099999999999</v>
      </c>
      <c r="P41" s="19">
        <f>_xll.BDH("SRPT US Equity","ARD_NET_INC","FQ1 2022","FQ1 2022","Currency=USD","Period=FQ","BEST_FPERIOD_OVERRIDE=FQ","FILING_STATUS=MR","SCALING_FORMAT=MLN","Sort=A","Dates=H","DateFormat=P","Fill=—","Direction=H","UseDPDF=Y")</f>
        <v>-105.02500000000001</v>
      </c>
      <c r="Q41" s="19">
        <f>_xll.BDH("SRPT US Equity","ARD_NET_INC","FQ2 2022","FQ2 2022","Currency=USD","Period=FQ","BEST_FPERIOD_OVERRIDE=FQ","FILING_STATUS=MR","SCALING_FORMAT=MLN","Sort=A","Dates=H","DateFormat=P","Fill=—","Direction=H","UseDPDF=Y")</f>
        <v>-231.48099999999999</v>
      </c>
      <c r="R41" s="19">
        <f>_xll.BDH("SRPT US Equity","ARD_NET_INC","FQ3 2022","FQ3 2022","Currency=USD","Period=FQ","BEST_FPERIOD_OVERRIDE=FQ","FILING_STATUS=MR","SCALING_FORMAT=MLN","Sort=A","Dates=H","DateFormat=P","Fill=—","Direction=H","UseDPDF=Y")</f>
        <v>-257.738</v>
      </c>
      <c r="S41" s="19">
        <f>_xll.BDH("SRPT US Equity","ARD_NET_INC","FQ4 2022","FQ4 2022","Currency=USD","Period=FQ","BEST_FPERIOD_OVERRIDE=FQ","FILING_STATUS=MR","SCALING_FORMAT=MLN","Sort=A","Dates=H","DateFormat=P","Fill=—","Direction=H","UseDPDF=Y")</f>
        <v>-109.244</v>
      </c>
      <c r="T41" s="19">
        <f>_xll.BDH("SRPT US Equity","ARD_NET_INC","FQ1 2023","FQ1 2023","Currency=USD","Period=FQ","BEST_FPERIOD_OVERRIDE=FQ","FILING_STATUS=MR","SCALING_FORMAT=MLN","Sort=A","Dates=H","DateFormat=P","Fill=—","Direction=H","UseDPDF=Y")</f>
        <v>-516.755</v>
      </c>
      <c r="U41" s="19">
        <f>_xll.BDH("SRPT US Equity","ARD_NET_INC","FQ2 2023","FQ2 2023","Currency=USD","Period=FQ","BEST_FPERIOD_OVERRIDE=FQ","FILING_STATUS=MR","SCALING_FORMAT=MLN","Sort=A","Dates=H","DateFormat=P","Fill=—","Direction=H","UseDPDF=Y")</f>
        <v>-23.94</v>
      </c>
      <c r="V41" s="19">
        <f>_xll.BDH("SRPT US Equity","ARD_NET_INC","FQ3 2023","FQ3 2023","Currency=USD","Period=FQ","BEST_FPERIOD_OVERRIDE=FQ","FILING_STATUS=MR","SCALING_FORMAT=MLN","Sort=A","Dates=H","DateFormat=P","Fill=—","Direction=H","UseDPDF=Y")</f>
        <v>-40.936999999999998</v>
      </c>
      <c r="W41" s="19">
        <f>_xll.BDH("SRPT US Equity","ARD_NET_INC","FQ4 2023","FQ4 2023","Currency=USD","Period=FQ","BEST_FPERIOD_OVERRIDE=FQ","FILING_STATUS=MR","SCALING_FORMAT=MLN","Sort=A","Dates=H","DateFormat=P","Fill=—","Direction=H","UseDPDF=Y")</f>
        <v>45.655000000000001</v>
      </c>
      <c r="X41" s="19">
        <f>_xll.BDH("SRPT US Equity","ARD_NET_INC","FQ1 2024","FQ1 2024","Currency=USD","Period=FQ","BEST_FPERIOD_OVERRIDE=FQ","FILING_STATUS=MR","SCALING_FORMAT=MLN","Sort=A","Dates=H","DateFormat=P","Fill=—","Direction=H","UseDPDF=Y")</f>
        <v>36.119</v>
      </c>
      <c r="Y41" s="19">
        <f>_xll.BDH("SRPT US Equity","ARD_NET_INC","FQ2 2024","FQ2 2024","Currency=USD","Period=FQ","BEST_FPERIOD_OVERRIDE=FQ","FILING_STATUS=MR","SCALING_FORMAT=MLN","Sort=A","Dates=H","DateFormat=P","Fill=—","Direction=H","UseDPDF=Y")</f>
        <v>6.46</v>
      </c>
      <c r="Z41" s="19">
        <f>_xll.BDH("SRPT US Equity","ARD_NET_INC","FQ3 2024","FQ3 2024","Currency=USD","Period=FQ","BEST_FPERIOD_OVERRIDE=FQ","FILING_STATUS=MR","SCALING_FORMAT=MLN","Sort=A","Dates=H","DateFormat=P","Fill=—","Direction=H","UseDPDF=Y")</f>
        <v>33.610999999999997</v>
      </c>
      <c r="AA41" s="19">
        <f>_xll.BDH("SRPT US Equity","ARD_NET_INC","FQ4 2024","FQ4 2024","Currency=USD","Period=FQ","BEST_FPERIOD_OVERRIDE=FQ","FILING_STATUS=MR","SCALING_FORMAT=MLN","Sort=A","Dates=H","DateFormat=P","Fill=—","Direction=H","UseDPDF=Y")</f>
        <v>159.04900000000001</v>
      </c>
    </row>
    <row r="42" spans="1:27" x14ac:dyDescent="0.25">
      <c r="A42" s="10" t="s">
        <v>486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x14ac:dyDescent="0.25">
      <c r="A43" s="10" t="s">
        <v>487</v>
      </c>
      <c r="B43" s="10" t="s">
        <v>488</v>
      </c>
      <c r="C43" s="13">
        <f>_xll.BDH("SRPT US Equity","ARD_UNREALIZED_GL_ON_SECS","FQ4 2018","FQ4 2018","Currency=USD","Period=FQ","BEST_FPERIOD_OVERRIDE=FQ","FILING_STATUS=MR","SCALING_FORMAT=MLN","Sort=A","Dates=H","DateFormat=P","Fill=—","Direction=H","UseDPDF=Y")</f>
        <v>-0.107</v>
      </c>
      <c r="D43" s="13">
        <f>_xll.BDH("SRPT US Equity","ARD_UNREALIZED_GL_ON_SECS","FQ1 2019","FQ1 2019","Currency=USD","Period=FQ","BEST_FPERIOD_OVERRIDE=FQ","FILING_STATUS=MR","SCALING_FORMAT=MLN","Sort=A","Dates=H","DateFormat=P","Fill=—","Direction=H","UseDPDF=Y")</f>
        <v>0.11799999999999999</v>
      </c>
      <c r="E43" s="13">
        <f>_xll.BDH("SRPT US Equity","ARD_UNREALIZED_GL_ON_SECS","FQ2 2019","FQ2 2019","Currency=USD","Period=FQ","BEST_FPERIOD_OVERRIDE=FQ","FILING_STATUS=MR","SCALING_FORMAT=MLN","Sort=A","Dates=H","DateFormat=P","Fill=—","Direction=H","UseDPDF=Y")</f>
        <v>6.3E-2</v>
      </c>
      <c r="F43" s="13">
        <f>_xll.BDH("SRPT US Equity","ARD_UNREALIZED_GL_ON_SECS","FQ3 2019","FQ3 2019","Currency=USD","Period=FQ","BEST_FPERIOD_OVERRIDE=FQ","FILING_STATUS=MR","SCALING_FORMAT=MLN","Sort=A","Dates=H","DateFormat=P","Fill=—","Direction=H","UseDPDF=Y")</f>
        <v>-7.0000000000000001E-3</v>
      </c>
      <c r="G43" s="13">
        <f>_xll.BDH("SRPT US Equity","ARD_UNREALIZED_GL_ON_SECS","FQ4 2019","FQ4 2019","Currency=USD","Period=FQ","BEST_FPERIOD_OVERRIDE=FQ","FILING_STATUS=MR","SCALING_FORMAT=MLN","Sort=A","Dates=H","DateFormat=P","Fill=—","Direction=H","UseDPDF=Y")</f>
        <v>-2.5000000000000001E-2</v>
      </c>
      <c r="H43" s="13">
        <f>_xll.BDH("SRPT US Equity","ARD_UNREALIZED_GL_ON_SECS","FQ1 2020","FQ1 2020","Currency=USD","Period=FQ","BEST_FPERIOD_OVERRIDE=FQ","FILING_STATUS=MR","SCALING_FORMAT=MLN","Sort=A","Dates=H","DateFormat=P","Fill=—","Direction=H","UseDPDF=Y")</f>
        <v>0.57399999999999995</v>
      </c>
      <c r="I43" s="13">
        <f>_xll.BDH("SRPT US Equity","ARD_UNREALIZED_GL_ON_SECS","FQ2 2020","FQ2 2020","Currency=USD","Period=FQ","BEST_FPERIOD_OVERRIDE=FQ","FILING_STATUS=MR","SCALING_FORMAT=MLN","Sort=A","Dates=H","DateFormat=P","Fill=—","Direction=H","UseDPDF=Y")</f>
        <v>-0.61799999999999999</v>
      </c>
      <c r="J43" s="13">
        <f>_xll.BDH("SRPT US Equity","ARD_UNREALIZED_GL_ON_SECS","FQ3 2020","FQ3 2020","Currency=USD","Period=FQ","BEST_FPERIOD_OVERRIDE=FQ","FILING_STATUS=MR","SCALING_FORMAT=MLN","Sort=A","Dates=H","DateFormat=P","Fill=—","Direction=H","UseDPDF=Y")</f>
        <v>-1.2E-2</v>
      </c>
      <c r="K43" s="13">
        <f>_xll.BDH("SRPT US Equity","ARD_UNREALIZED_GL_ON_SECS","FQ4 2020","FQ4 2020","Currency=USD","Period=FQ","BEST_FPERIOD_OVERRIDE=FQ","FILING_STATUS=MR","SCALING_FORMAT=MLN","Sort=A","Dates=H","DateFormat=P","Fill=—","Direction=H","UseDPDF=Y")</f>
        <v>8.9999999999999993E-3</v>
      </c>
      <c r="L43" s="13">
        <f>_xll.BDH("SRPT US Equity","ARD_UNREALIZED_GL_ON_SECS","FQ1 2021","FQ1 2021","Currency=USD","Period=FQ","BEST_FPERIOD_OVERRIDE=FQ","FILING_STATUS=MR","SCALING_FORMAT=MLN","Sort=A","Dates=H","DateFormat=P","Fill=—","Direction=H","UseDPDF=Y")</f>
        <v>-6.0000000000000001E-3</v>
      </c>
      <c r="M43" s="13">
        <f>_xll.BDH("SRPT US Equity","ARD_UNREALIZED_GL_ON_SECS","FQ2 2021","FQ2 2021","Currency=USD","Period=FQ","BEST_FPERIOD_OVERRIDE=FQ","FILING_STATUS=MR","SCALING_FORMAT=MLN","Sort=A","Dates=H","DateFormat=P","Fill=—","Direction=H","UseDPDF=Y")</f>
        <v>5.0000000000000001E-3</v>
      </c>
      <c r="N43" s="13">
        <f>_xll.BDH("SRPT US Equity","ARD_UNREALIZED_GL_ON_SECS","FQ3 2021","FQ3 2021","Currency=USD","Period=FQ","BEST_FPERIOD_OVERRIDE=FQ","FILING_STATUS=MR","SCALING_FORMAT=MLN","Sort=A","Dates=H","DateFormat=P","Fill=—","Direction=H","UseDPDF=Y")</f>
        <v>-2.1999999999999999E-2</v>
      </c>
      <c r="O43" s="13">
        <f>_xll.BDH("SRPT US Equity","ARD_UNREALIZED_GL_ON_SECS","FQ4 2021","FQ4 2021","Currency=USD","Period=FQ","BEST_FPERIOD_OVERRIDE=FQ","FILING_STATUS=MR","SCALING_FORMAT=MLN","Sort=A","Dates=H","DateFormat=P","Fill=—","Direction=H","UseDPDF=Y")</f>
        <v>0</v>
      </c>
      <c r="P43" s="13">
        <f>_xll.BDH("SRPT US Equity","ARD_UNREALIZED_GL_ON_SECS","FQ1 2022","FQ1 2022","Currency=USD","Period=FQ","BEST_FPERIOD_OVERRIDE=FQ","FILING_STATUS=MR","SCALING_FORMAT=MLN","Sort=A","Dates=H","DateFormat=P","Fill=—","Direction=H","UseDPDF=Y")</f>
        <v>-0.28599999999999998</v>
      </c>
      <c r="Q43" s="13">
        <f>_xll.BDH("SRPT US Equity","ARD_UNREALIZED_GL_ON_SECS","FQ2 2022","FQ2 2022","Currency=USD","Period=FQ","BEST_FPERIOD_OVERRIDE=FQ","FILING_STATUS=MR","SCALING_FORMAT=MLN","Sort=A","Dates=H","DateFormat=P","Fill=—","Direction=H","UseDPDF=Y")</f>
        <v>-2.1789999999999998</v>
      </c>
      <c r="R43" s="13">
        <f>_xll.BDH("SRPT US Equity","ARD_UNREALIZED_GL_ON_SECS","FQ3 2022","FQ3 2022","Currency=USD","Period=FQ","BEST_FPERIOD_OVERRIDE=FQ","FILING_STATUS=MR","SCALING_FORMAT=MLN","Sort=A","Dates=H","DateFormat=P","Fill=—","Direction=H","UseDPDF=Y")</f>
        <v>-0.72</v>
      </c>
      <c r="S43" s="13" t="str">
        <f>_xll.BDH("SRPT US Equity","ARD_UNREALIZED_GL_ON_SECS","FQ4 2022","FQ4 2022","Currency=USD","Period=FQ","BEST_FPERIOD_OVERRIDE=FQ","FILING_STATUS=MR","SCALING_FORMAT=MLN","Sort=A","Dates=H","DateFormat=P","Fill=—","Direction=H","UseDPDF=Y")</f>
        <v>—</v>
      </c>
      <c r="T43" s="13">
        <f>_xll.BDH("SRPT US Equity","ARD_UNREALIZED_GL_ON_SECS","FQ1 2023","FQ1 2023","Currency=USD","Period=FQ","BEST_FPERIOD_OVERRIDE=FQ","FILING_STATUS=MR","SCALING_FORMAT=MLN","Sort=A","Dates=H","DateFormat=P","Fill=—","Direction=H","UseDPDF=Y")</f>
        <v>1.2450000000000001</v>
      </c>
      <c r="U43" s="13">
        <f>_xll.BDH("SRPT US Equity","ARD_UNREALIZED_GL_ON_SECS","FQ2 2023","FQ2 2023","Currency=USD","Period=FQ","BEST_FPERIOD_OVERRIDE=FQ","FILING_STATUS=MR","SCALING_FORMAT=MLN","Sort=A","Dates=H","DateFormat=P","Fill=—","Direction=H","UseDPDF=Y")</f>
        <v>-0.63600000000000001</v>
      </c>
      <c r="V43" s="13">
        <f>_xll.BDH("SRPT US Equity","ARD_UNREALIZED_GL_ON_SECS","FQ3 2023","FQ3 2023","Currency=USD","Period=FQ","BEST_FPERIOD_OVERRIDE=FQ","FILING_STATUS=MR","SCALING_FORMAT=MLN","Sort=A","Dates=H","DateFormat=P","Fill=—","Direction=H","UseDPDF=Y")</f>
        <v>0.41699999999999998</v>
      </c>
      <c r="W43" s="13" t="str">
        <f>_xll.BDH("SRPT US Equity","ARD_UNREALIZED_GL_ON_SECS","FQ4 2023","FQ4 2023","Currency=USD","Period=FQ","BEST_FPERIOD_OVERRIDE=FQ","FILING_STATUS=MR","SCALING_FORMAT=MLN","Sort=A","Dates=H","DateFormat=P","Fill=—","Direction=H","UseDPDF=Y")</f>
        <v>—</v>
      </c>
      <c r="X43" s="13">
        <f>_xll.BDH("SRPT US Equity","ARD_UNREALIZED_GL_ON_SECS","FQ1 2024","FQ1 2024","Currency=USD","Period=FQ","BEST_FPERIOD_OVERRIDE=FQ","FILING_STATUS=MR","SCALING_FORMAT=MLN","Sort=A","Dates=H","DateFormat=P","Fill=—","Direction=H","UseDPDF=Y")</f>
        <v>-1.609</v>
      </c>
      <c r="Y43" s="13">
        <f>_xll.BDH("SRPT US Equity","ARD_UNREALIZED_GL_ON_SECS","FQ2 2024","FQ2 2024","Currency=USD","Period=FQ","BEST_FPERIOD_OVERRIDE=FQ","FILING_STATUS=MR","SCALING_FORMAT=MLN","Sort=A","Dates=H","DateFormat=P","Fill=—","Direction=H","UseDPDF=Y")</f>
        <v>-0.33900000000000002</v>
      </c>
      <c r="Z43" s="13">
        <f>_xll.BDH("SRPT US Equity","ARD_UNREALIZED_GL_ON_SECS","FQ3 2024","FQ3 2024","Currency=USD","Period=FQ","BEST_FPERIOD_OVERRIDE=FQ","FILING_STATUS=MR","SCALING_FORMAT=MLN","Sort=A","Dates=H","DateFormat=P","Fill=—","Direction=H","UseDPDF=Y")</f>
        <v>3.2749999999999999</v>
      </c>
      <c r="AA43" s="13" t="str">
        <f>_xll.BDH("SRPT US Equity","ARD_UNREALIZED_GL_ON_SECS","FQ4 2024","FQ4 2024","Currency=USD","Period=FQ","BEST_FPERIOD_OVERRIDE=FQ","FILING_STATUS=MR","SCALING_FORMAT=MLN","Sort=A","Dates=H","DateFormat=P","Fill=—","Direction=H","UseDPDF=Y")</f>
        <v>—</v>
      </c>
    </row>
    <row r="44" spans="1:27" x14ac:dyDescent="0.25">
      <c r="A44" s="10" t="s">
        <v>489</v>
      </c>
      <c r="B44" s="10" t="s">
        <v>490</v>
      </c>
      <c r="C44" s="13">
        <f>_xll.BDH("SRPT US Equity","ARD_TOTAL_COMPREHENSIVE_INCOME","FQ4 2018","FQ4 2018","Currency=USD","Period=FQ","BEST_FPERIOD_OVERRIDE=FQ","FILING_STATUS=MR","SCALING_FORMAT=MLN","Sort=A","Dates=H","DateFormat=P","Fill=—","Direction=H","UseDPDF=Y")</f>
        <v>-141.00200000000001</v>
      </c>
      <c r="D44" s="13">
        <f>_xll.BDH("SRPT US Equity","ARD_TOTAL_COMPREHENSIVE_INCOME","FQ1 2019","FQ1 2019","Currency=USD","Period=FQ","BEST_FPERIOD_OVERRIDE=FQ","FILING_STATUS=MR","SCALING_FORMAT=MLN","Sort=A","Dates=H","DateFormat=P","Fill=—","Direction=H","UseDPDF=Y")</f>
        <v>-76.525000000000006</v>
      </c>
      <c r="E44" s="13">
        <f>_xll.BDH("SRPT US Equity","ARD_TOTAL_COMPREHENSIVE_INCOME","FQ2 2019","FQ2 2019","Currency=USD","Period=FQ","BEST_FPERIOD_OVERRIDE=FQ","FILING_STATUS=MR","SCALING_FORMAT=MLN","Sort=A","Dates=H","DateFormat=P","Fill=—","Direction=H","UseDPDF=Y")</f>
        <v>-276.33999999999997</v>
      </c>
      <c r="F44" s="13">
        <f>_xll.BDH("SRPT US Equity","ARD_TOTAL_COMPREHENSIVE_INCOME","FQ3 2019","FQ3 2019","Currency=USD","Period=FQ","BEST_FPERIOD_OVERRIDE=FQ","FILING_STATUS=MR","SCALING_FORMAT=MLN","Sort=A","Dates=H","DateFormat=P","Fill=—","Direction=H","UseDPDF=Y")</f>
        <v>-126.333</v>
      </c>
      <c r="G44" s="13">
        <f>_xll.BDH("SRPT US Equity","ARD_TOTAL_COMPREHENSIVE_INCOME","FQ4 2019","FQ4 2019","Currency=USD","Period=FQ","BEST_FPERIOD_OVERRIDE=FQ","FILING_STATUS=MR","SCALING_FORMAT=MLN","Sort=A","Dates=H","DateFormat=P","Fill=—","Direction=H","UseDPDF=Y")</f>
        <v>-235.72800000000001</v>
      </c>
      <c r="H44" s="13">
        <f>_xll.BDH("SRPT US Equity","ARD_TOTAL_COMPREHENSIVE_INCOME","FQ1 2020","FQ1 2020","Currency=USD","Period=FQ","BEST_FPERIOD_OVERRIDE=FQ","FILING_STATUS=MR","SCALING_FORMAT=MLN","Sort=A","Dates=H","DateFormat=P","Fill=—","Direction=H","UseDPDF=Y")</f>
        <v>-16.917999999999999</v>
      </c>
      <c r="I44" s="13">
        <f>_xll.BDH("SRPT US Equity","ARD_TOTAL_COMPREHENSIVE_INCOME","FQ2 2020","FQ2 2020","Currency=USD","Period=FQ","BEST_FPERIOD_OVERRIDE=FQ","FILING_STATUS=MR","SCALING_FORMAT=MLN","Sort=A","Dates=H","DateFormat=P","Fill=—","Direction=H","UseDPDF=Y")</f>
        <v>-151.43799999999999</v>
      </c>
      <c r="J44" s="13">
        <f>_xll.BDH("SRPT US Equity","ARD_TOTAL_COMPREHENSIVE_INCOME","FQ3 2020","FQ3 2020","Currency=USD","Period=FQ","BEST_FPERIOD_OVERRIDE=FQ","FILING_STATUS=MR","SCALING_FORMAT=MLN","Sort=A","Dates=H","DateFormat=P","Fill=—","Direction=H","UseDPDF=Y")</f>
        <v>-196.511</v>
      </c>
      <c r="K44" s="13">
        <f>_xll.BDH("SRPT US Equity","ARD_TOTAL_COMPREHENSIVE_INCOME","FQ4 2020","FQ4 2020","Currency=USD","Period=FQ","BEST_FPERIOD_OVERRIDE=FQ","FILING_STATUS=MR","SCALING_FORMAT=MLN","Sort=A","Dates=H","DateFormat=P","Fill=—","Direction=H","UseDPDF=Y")</f>
        <v>-189.30799999999999</v>
      </c>
      <c r="L44" s="13">
        <f>_xll.BDH("SRPT US Equity","ARD_TOTAL_COMPREHENSIVE_INCOME","FQ1 2021","FQ1 2021","Currency=USD","Period=FQ","BEST_FPERIOD_OVERRIDE=FQ","FILING_STATUS=MR","SCALING_FORMAT=MLN","Sort=A","Dates=H","DateFormat=P","Fill=—","Direction=H","UseDPDF=Y")</f>
        <v>-167.256</v>
      </c>
      <c r="M44" s="13">
        <f>_xll.BDH("SRPT US Equity","ARD_TOTAL_COMPREHENSIVE_INCOME","FQ2 2021","FQ2 2021","Currency=USD","Period=FQ","BEST_FPERIOD_OVERRIDE=FQ","FILING_STATUS=MR","SCALING_FORMAT=MLN","Sort=A","Dates=H","DateFormat=P","Fill=—","Direction=H","UseDPDF=Y")</f>
        <v>-81.400000000000006</v>
      </c>
      <c r="N44" s="13">
        <f>_xll.BDH("SRPT US Equity","ARD_TOTAL_COMPREHENSIVE_INCOME","FQ3 2021","FQ3 2021","Currency=USD","Period=FQ","BEST_FPERIOD_OVERRIDE=FQ","FILING_STATUS=MR","SCALING_FORMAT=MLN","Sort=A","Dates=H","DateFormat=P","Fill=—","Direction=H","UseDPDF=Y")</f>
        <v>-48.165999999999997</v>
      </c>
      <c r="O44" s="13">
        <f>_xll.BDH("SRPT US Equity","ARD_TOTAL_COMPREHENSIVE_INCOME","FQ4 2021","FQ4 2021","Currency=USD","Period=FQ","BEST_FPERIOD_OVERRIDE=FQ","FILING_STATUS=MR","SCALING_FORMAT=MLN","Sort=A","Dates=H","DateFormat=P","Fill=—","Direction=H","UseDPDF=Y")</f>
        <v>-121.98099999999999</v>
      </c>
      <c r="P44" s="13">
        <f>_xll.BDH("SRPT US Equity","ARD_TOTAL_COMPREHENSIVE_INCOME","FQ1 2022","FQ1 2022","Currency=USD","Period=FQ","BEST_FPERIOD_OVERRIDE=FQ","FILING_STATUS=MR","SCALING_FORMAT=MLN","Sort=A","Dates=H","DateFormat=P","Fill=—","Direction=H","UseDPDF=Y")</f>
        <v>-105.31100000000001</v>
      </c>
      <c r="Q44" s="13">
        <f>_xll.BDH("SRPT US Equity","ARD_TOTAL_COMPREHENSIVE_INCOME","FQ2 2022","FQ2 2022","Currency=USD","Period=FQ","BEST_FPERIOD_OVERRIDE=FQ","FILING_STATUS=MR","SCALING_FORMAT=MLN","Sort=A","Dates=H","DateFormat=P","Fill=—","Direction=H","UseDPDF=Y")</f>
        <v>-233.66</v>
      </c>
      <c r="R44" s="13">
        <f>_xll.BDH("SRPT US Equity","ARD_TOTAL_COMPREHENSIVE_INCOME","FQ3 2022","FQ3 2022","Currency=USD","Period=FQ","BEST_FPERIOD_OVERRIDE=FQ","FILING_STATUS=MR","SCALING_FORMAT=MLN","Sort=A","Dates=H","DateFormat=P","Fill=—","Direction=H","UseDPDF=Y")</f>
        <v>-258.45800000000003</v>
      </c>
      <c r="S44" s="13" t="str">
        <f>_xll.BDH("SRPT US Equity","ARD_TOTAL_COMPREHENSIVE_INCOME","FQ4 2022","FQ4 2022","Currency=USD","Period=FQ","BEST_FPERIOD_OVERRIDE=FQ","FILING_STATUS=MR","SCALING_FORMAT=MLN","Sort=A","Dates=H","DateFormat=P","Fill=—","Direction=H","UseDPDF=Y")</f>
        <v>—</v>
      </c>
      <c r="T44" s="13">
        <f>_xll.BDH("SRPT US Equity","ARD_TOTAL_COMPREHENSIVE_INCOME","FQ1 2023","FQ1 2023","Currency=USD","Period=FQ","BEST_FPERIOD_OVERRIDE=FQ","FILING_STATUS=MR","SCALING_FORMAT=MLN","Sort=A","Dates=H","DateFormat=P","Fill=—","Direction=H","UseDPDF=Y")</f>
        <v>-515.51</v>
      </c>
      <c r="U44" s="13">
        <f>_xll.BDH("SRPT US Equity","ARD_TOTAL_COMPREHENSIVE_INCOME","FQ2 2023","FQ2 2023","Currency=USD","Period=FQ","BEST_FPERIOD_OVERRIDE=FQ","FILING_STATUS=MR","SCALING_FORMAT=MLN","Sort=A","Dates=H","DateFormat=P","Fill=—","Direction=H","UseDPDF=Y")</f>
        <v>-24.576000000000001</v>
      </c>
      <c r="V44" s="13">
        <f>_xll.BDH("SRPT US Equity","ARD_TOTAL_COMPREHENSIVE_INCOME","FQ3 2023","FQ3 2023","Currency=USD","Period=FQ","BEST_FPERIOD_OVERRIDE=FQ","FILING_STATUS=MR","SCALING_FORMAT=MLN","Sort=A","Dates=H","DateFormat=P","Fill=—","Direction=H","UseDPDF=Y")</f>
        <v>-40.520000000000003</v>
      </c>
      <c r="W44" s="13" t="str">
        <f>_xll.BDH("SRPT US Equity","ARD_TOTAL_COMPREHENSIVE_INCOME","FQ4 2023","FQ4 2023","Currency=USD","Period=FQ","BEST_FPERIOD_OVERRIDE=FQ","FILING_STATUS=MR","SCALING_FORMAT=MLN","Sort=A","Dates=H","DateFormat=P","Fill=—","Direction=H","UseDPDF=Y")</f>
        <v>—</v>
      </c>
      <c r="X44" s="13">
        <f>_xll.BDH("SRPT US Equity","ARD_TOTAL_COMPREHENSIVE_INCOME","FQ1 2024","FQ1 2024","Currency=USD","Period=FQ","BEST_FPERIOD_OVERRIDE=FQ","FILING_STATUS=MR","SCALING_FORMAT=MLN","Sort=A","Dates=H","DateFormat=P","Fill=—","Direction=H","UseDPDF=Y")</f>
        <v>34.51</v>
      </c>
      <c r="Y44" s="13">
        <f>_xll.BDH("SRPT US Equity","ARD_TOTAL_COMPREHENSIVE_INCOME","FQ2 2024","FQ2 2024","Currency=USD","Period=FQ","BEST_FPERIOD_OVERRIDE=FQ","FILING_STATUS=MR","SCALING_FORMAT=MLN","Sort=A","Dates=H","DateFormat=P","Fill=—","Direction=H","UseDPDF=Y")</f>
        <v>6.1210000000000004</v>
      </c>
      <c r="Z44" s="13">
        <f>_xll.BDH("SRPT US Equity","ARD_TOTAL_COMPREHENSIVE_INCOME","FQ3 2024","FQ3 2024","Currency=USD","Period=FQ","BEST_FPERIOD_OVERRIDE=FQ","FILING_STATUS=MR","SCALING_FORMAT=MLN","Sort=A","Dates=H","DateFormat=P","Fill=—","Direction=H","UseDPDF=Y")</f>
        <v>36.886000000000003</v>
      </c>
      <c r="AA44" s="13" t="str">
        <f>_xll.BDH("SRPT US Equity","ARD_TOTAL_COMPREHENSIVE_INCOME","FQ4 2024","FQ4 2024","Currency=USD","Period=FQ","BEST_FPERIOD_OVERRIDE=FQ","FILING_STATUS=MR","SCALING_FORMAT=MLN","Sort=A","Dates=H","DateFormat=P","Fill=—","Direction=H","UseDPDF=Y")</f>
        <v>—</v>
      </c>
    </row>
    <row r="45" spans="1:27" x14ac:dyDescent="0.25">
      <c r="A45" s="10" t="s">
        <v>491</v>
      </c>
      <c r="B45" s="10" t="s">
        <v>492</v>
      </c>
      <c r="C45" s="13" t="str">
        <f>_xll.BDH("SRPT US Equity","ARD_COMPREHENSIVE_INCOME_NET_INC","FQ4 2018","FQ4 2018","Currency=USD","Period=FQ","BEST_FPERIOD_OVERRIDE=FQ","FILING_STATUS=MR","SCALING_FORMAT=MLN","Sort=A","Dates=H","DateFormat=P","Fill=—","Direction=H","UseDPDF=Y")</f>
        <v>—</v>
      </c>
      <c r="D45" s="13" t="str">
        <f>_xll.BDH("SRPT US Equity","ARD_COMPREHENSIVE_INCOME_NET_INC","FQ1 2019","FQ1 2019","Currency=USD","Period=FQ","BEST_FPERIOD_OVERRIDE=FQ","FILING_STATUS=MR","SCALING_FORMAT=MLN","Sort=A","Dates=H","DateFormat=P","Fill=—","Direction=H","UseDPDF=Y")</f>
        <v>—</v>
      </c>
      <c r="E45" s="13" t="str">
        <f>_xll.BDH("SRPT US Equity","ARD_COMPREHENSIVE_INCOME_NET_INC","FQ2 2019","FQ2 2019","Currency=USD","Period=FQ","BEST_FPERIOD_OVERRIDE=FQ","FILING_STATUS=MR","SCALING_FORMAT=MLN","Sort=A","Dates=H","DateFormat=P","Fill=—","Direction=H","UseDPDF=Y")</f>
        <v>—</v>
      </c>
      <c r="F45" s="13" t="str">
        <f>_xll.BDH("SRPT US Equity","ARD_COMPREHENSIVE_INCOME_NET_INC","FQ3 2019","FQ3 2019","Currency=USD","Period=FQ","BEST_FPERIOD_OVERRIDE=FQ","FILING_STATUS=MR","SCALING_FORMAT=MLN","Sort=A","Dates=H","DateFormat=P","Fill=—","Direction=H","UseDPDF=Y")</f>
        <v>—</v>
      </c>
      <c r="G45" s="13" t="str">
        <f>_xll.BDH("SRPT US Equity","ARD_COMPREHENSIVE_INCOME_NET_INC","FQ4 2019","FQ4 2019","Currency=USD","Period=FQ","BEST_FPERIOD_OVERRIDE=FQ","FILING_STATUS=MR","SCALING_FORMAT=MLN","Sort=A","Dates=H","DateFormat=P","Fill=—","Direction=H","UseDPDF=Y")</f>
        <v>—</v>
      </c>
      <c r="H45" s="13">
        <f>_xll.BDH("SRPT US Equity","ARD_COMPREHENSIVE_INCOME_NET_INC","FQ1 2020","FQ1 2020","Currency=USD","Period=FQ","BEST_FPERIOD_OVERRIDE=FQ","FILING_STATUS=MR","SCALING_FORMAT=MLN","Sort=A","Dates=H","DateFormat=P","Fill=—","Direction=H","UseDPDF=Y")</f>
        <v>-17.492000000000001</v>
      </c>
      <c r="I45" s="13">
        <f>_xll.BDH("SRPT US Equity","ARD_COMPREHENSIVE_INCOME_NET_INC","FQ2 2020","FQ2 2020","Currency=USD","Period=FQ","BEST_FPERIOD_OVERRIDE=FQ","FILING_STATUS=MR","SCALING_FORMAT=MLN","Sort=A","Dates=H","DateFormat=P","Fill=—","Direction=H","UseDPDF=Y")</f>
        <v>-150.82</v>
      </c>
      <c r="J45" s="13" t="str">
        <f>_xll.BDH("SRPT US Equity","ARD_COMPREHENSIVE_INCOME_NET_INC","FQ3 2020","FQ3 2020","Currency=USD","Period=FQ","BEST_FPERIOD_OVERRIDE=FQ","FILING_STATUS=MR","SCALING_FORMAT=MLN","Sort=A","Dates=H","DateFormat=P","Fill=—","Direction=H","UseDPDF=Y")</f>
        <v>—</v>
      </c>
      <c r="K45" s="13" t="str">
        <f>_xll.BDH("SRPT US Equity","ARD_COMPREHENSIVE_INCOME_NET_INC","FQ4 2020","FQ4 2020","Currency=USD","Period=FQ","BEST_FPERIOD_OVERRIDE=FQ","FILING_STATUS=MR","SCALING_FORMAT=MLN","Sort=A","Dates=H","DateFormat=P","Fill=—","Direction=H","UseDPDF=Y")</f>
        <v>—</v>
      </c>
      <c r="L45" s="13">
        <f>_xll.BDH("SRPT US Equity","ARD_COMPREHENSIVE_INCOME_NET_INC","FQ1 2021","FQ1 2021","Currency=USD","Period=FQ","BEST_FPERIOD_OVERRIDE=FQ","FILING_STATUS=MR","SCALING_FORMAT=MLN","Sort=A","Dates=H","DateFormat=P","Fill=—","Direction=H","UseDPDF=Y")</f>
        <v>-167.25</v>
      </c>
      <c r="M45" s="13">
        <f>_xll.BDH("SRPT US Equity","ARD_COMPREHENSIVE_INCOME_NET_INC","FQ2 2021","FQ2 2021","Currency=USD","Period=FQ","BEST_FPERIOD_OVERRIDE=FQ","FILING_STATUS=MR","SCALING_FORMAT=MLN","Sort=A","Dates=H","DateFormat=P","Fill=—","Direction=H","UseDPDF=Y")</f>
        <v>-81.405000000000001</v>
      </c>
      <c r="N45" s="13" t="str">
        <f>_xll.BDH("SRPT US Equity","ARD_COMPREHENSIVE_INCOME_NET_INC","FQ3 2021","FQ3 2021","Currency=USD","Period=FQ","BEST_FPERIOD_OVERRIDE=FQ","FILING_STATUS=MR","SCALING_FORMAT=MLN","Sort=A","Dates=H","DateFormat=P","Fill=—","Direction=H","UseDPDF=Y")</f>
        <v>—</v>
      </c>
      <c r="O45" s="13" t="str">
        <f>_xll.BDH("SRPT US Equity","ARD_COMPREHENSIVE_INCOME_NET_INC","FQ4 2021","FQ4 2021","Currency=USD","Period=FQ","BEST_FPERIOD_OVERRIDE=FQ","FILING_STATUS=MR","SCALING_FORMAT=MLN","Sort=A","Dates=H","DateFormat=P","Fill=—","Direction=H","UseDPDF=Y")</f>
        <v>—</v>
      </c>
      <c r="P45" s="13">
        <f>_xll.BDH("SRPT US Equity","ARD_COMPREHENSIVE_INCOME_NET_INC","FQ1 2022","FQ1 2022","Currency=USD","Period=FQ","BEST_FPERIOD_OVERRIDE=FQ","FILING_STATUS=MR","SCALING_FORMAT=MLN","Sort=A","Dates=H","DateFormat=P","Fill=—","Direction=H","UseDPDF=Y")</f>
        <v>-105.02500000000001</v>
      </c>
      <c r="Q45" s="13">
        <f>_xll.BDH("SRPT US Equity","ARD_COMPREHENSIVE_INCOME_NET_INC","FQ2 2022","FQ2 2022","Currency=USD","Period=FQ","BEST_FPERIOD_OVERRIDE=FQ","FILING_STATUS=MR","SCALING_FORMAT=MLN","Sort=A","Dates=H","DateFormat=P","Fill=—","Direction=H","UseDPDF=Y")</f>
        <v>231.48099999999999</v>
      </c>
      <c r="R45" s="13">
        <f>_xll.BDH("SRPT US Equity","ARD_COMPREHENSIVE_INCOME_NET_INC","FQ3 2022","FQ3 2022","Currency=USD","Period=FQ","BEST_FPERIOD_OVERRIDE=FQ","FILING_STATUS=MR","SCALING_FORMAT=MLN","Sort=A","Dates=H","DateFormat=P","Fill=—","Direction=H","UseDPDF=Y")</f>
        <v>-257.738</v>
      </c>
      <c r="S45" s="13" t="str">
        <f>_xll.BDH("SRPT US Equity","ARD_COMPREHENSIVE_INCOME_NET_INC","FQ4 2022","FQ4 2022","Currency=USD","Period=FQ","BEST_FPERIOD_OVERRIDE=FQ","FILING_STATUS=MR","SCALING_FORMAT=MLN","Sort=A","Dates=H","DateFormat=P","Fill=—","Direction=H","UseDPDF=Y")</f>
        <v>—</v>
      </c>
      <c r="T45" s="13">
        <f>_xll.BDH("SRPT US Equity","ARD_COMPREHENSIVE_INCOME_NET_INC","FQ1 2023","FQ1 2023","Currency=USD","Period=FQ","BEST_FPERIOD_OVERRIDE=FQ","FILING_STATUS=MR","SCALING_FORMAT=MLN","Sort=A","Dates=H","DateFormat=P","Fill=—","Direction=H","UseDPDF=Y")</f>
        <v>-516.755</v>
      </c>
      <c r="U45" s="13">
        <f>_xll.BDH("SRPT US Equity","ARD_COMPREHENSIVE_INCOME_NET_INC","FQ2 2023","FQ2 2023","Currency=USD","Period=FQ","BEST_FPERIOD_OVERRIDE=FQ","FILING_STATUS=MR","SCALING_FORMAT=MLN","Sort=A","Dates=H","DateFormat=P","Fill=—","Direction=H","UseDPDF=Y")</f>
        <v>-23.94</v>
      </c>
      <c r="V45" s="13">
        <f>_xll.BDH("SRPT US Equity","ARD_COMPREHENSIVE_INCOME_NET_INC","FQ3 2023","FQ3 2023","Currency=USD","Period=FQ","BEST_FPERIOD_OVERRIDE=FQ","FILING_STATUS=MR","SCALING_FORMAT=MLN","Sort=A","Dates=H","DateFormat=P","Fill=—","Direction=H","UseDPDF=Y")</f>
        <v>-40.936999999999998</v>
      </c>
      <c r="W45" s="13" t="str">
        <f>_xll.BDH("SRPT US Equity","ARD_COMPREHENSIVE_INCOME_NET_INC","FQ4 2023","FQ4 2023","Currency=USD","Period=FQ","BEST_FPERIOD_OVERRIDE=FQ","FILING_STATUS=MR","SCALING_FORMAT=MLN","Sort=A","Dates=H","DateFormat=P","Fill=—","Direction=H","UseDPDF=Y")</f>
        <v>—</v>
      </c>
      <c r="X45" s="13">
        <f>_xll.BDH("SRPT US Equity","ARD_COMPREHENSIVE_INCOME_NET_INC","FQ1 2024","FQ1 2024","Currency=USD","Period=FQ","BEST_FPERIOD_OVERRIDE=FQ","FILING_STATUS=MR","SCALING_FORMAT=MLN","Sort=A","Dates=H","DateFormat=P","Fill=—","Direction=H","UseDPDF=Y")</f>
        <v>36.119</v>
      </c>
      <c r="Y45" s="13">
        <f>_xll.BDH("SRPT US Equity","ARD_COMPREHENSIVE_INCOME_NET_INC","FQ2 2024","FQ2 2024","Currency=USD","Period=FQ","BEST_FPERIOD_OVERRIDE=FQ","FILING_STATUS=MR","SCALING_FORMAT=MLN","Sort=A","Dates=H","DateFormat=P","Fill=—","Direction=H","UseDPDF=Y")</f>
        <v>6.46</v>
      </c>
      <c r="Z45" s="13">
        <f>_xll.BDH("SRPT US Equity","ARD_COMPREHENSIVE_INCOME_NET_INC","FQ3 2024","FQ3 2024","Currency=USD","Period=FQ","BEST_FPERIOD_OVERRIDE=FQ","FILING_STATUS=MR","SCALING_FORMAT=MLN","Sort=A","Dates=H","DateFormat=P","Fill=—","Direction=H","UseDPDF=Y")</f>
        <v>33.610999999999997</v>
      </c>
      <c r="AA45" s="13" t="str">
        <f>_xll.BDH("SRPT US Equity","ARD_COMPREHENSIVE_INCOME_NET_INC","FQ4 2024","FQ4 2024","Currency=USD","Period=FQ","BEST_FPERIOD_OVERRIDE=FQ","FILING_STATUS=MR","SCALING_FORMAT=MLN","Sort=A","Dates=H","DateFormat=P","Fill=—","Direction=H","UseDPDF=Y")</f>
        <v>—</v>
      </c>
    </row>
    <row r="46" spans="1:27" x14ac:dyDescent="0.25">
      <c r="A46" s="10" t="s">
        <v>493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x14ac:dyDescent="0.25">
      <c r="A47" s="10" t="s">
        <v>494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25">
      <c r="A48" s="10" t="s">
        <v>432</v>
      </c>
      <c r="B48" s="10" t="s">
        <v>495</v>
      </c>
      <c r="C48" s="13" t="str">
        <f>_xll.BDH("SRPT US Equity","ARDR_COST_OF_GOODS_SOLD","FQ4 2018","FQ4 2018","Currency=USD","Period=FQ","BEST_FPERIOD_OVERRIDE=FQ","FILING_STATUS=MR","SCALING_FORMAT=MLN","Sort=A","Dates=H","DateFormat=P","Fill=—","Direction=H","UseDPDF=Y")</f>
        <v>—</v>
      </c>
      <c r="D48" s="13" t="str">
        <f>_xll.BDH("SRPT US Equity","ARDR_COST_OF_GOODS_SOLD","FQ1 2019","FQ1 2019","Currency=USD","Period=FQ","BEST_FPERIOD_OVERRIDE=FQ","FILING_STATUS=MR","SCALING_FORMAT=MLN","Sort=A","Dates=H","DateFormat=P","Fill=—","Direction=H","UseDPDF=Y")</f>
        <v>—</v>
      </c>
      <c r="E48" s="13" t="str">
        <f>_xll.BDH("SRPT US Equity","ARDR_COST_OF_GOODS_SOLD","FQ2 2019","FQ2 2019","Currency=USD","Period=FQ","BEST_FPERIOD_OVERRIDE=FQ","FILING_STATUS=MR","SCALING_FORMAT=MLN","Sort=A","Dates=H","DateFormat=P","Fill=—","Direction=H","UseDPDF=Y")</f>
        <v>—</v>
      </c>
      <c r="F48" s="13" t="str">
        <f>_xll.BDH("SRPT US Equity","ARDR_COST_OF_GOODS_SOLD","FQ3 2019","FQ3 2019","Currency=USD","Period=FQ","BEST_FPERIOD_OVERRIDE=FQ","FILING_STATUS=MR","SCALING_FORMAT=MLN","Sort=A","Dates=H","DateFormat=P","Fill=—","Direction=H","UseDPDF=Y")</f>
        <v>—</v>
      </c>
      <c r="G48" s="13" t="str">
        <f>_xll.BDH("SRPT US Equity","ARDR_COST_OF_GOODS_SOLD","FQ4 2019","FQ4 2019","Currency=USD","Period=FQ","BEST_FPERIOD_OVERRIDE=FQ","FILING_STATUS=MR","SCALING_FORMAT=MLN","Sort=A","Dates=H","DateFormat=P","Fill=—","Direction=H","UseDPDF=Y")</f>
        <v>—</v>
      </c>
      <c r="H48" s="13" t="str">
        <f>_xll.BDH("SRPT US Equity","ARDR_COST_OF_GOODS_SOLD","FQ1 2020","FQ1 2020","Currency=USD","Period=FQ","BEST_FPERIOD_OVERRIDE=FQ","FILING_STATUS=MR","SCALING_FORMAT=MLN","Sort=A","Dates=H","DateFormat=P","Fill=—","Direction=H","UseDPDF=Y")</f>
        <v>—</v>
      </c>
      <c r="I48" s="13" t="str">
        <f>_xll.BDH("SRPT US Equity","ARDR_COST_OF_GOODS_SOLD","FQ2 2020","FQ2 2020","Currency=USD","Period=FQ","BEST_FPERIOD_OVERRIDE=FQ","FILING_STATUS=MR","SCALING_FORMAT=MLN","Sort=A","Dates=H","DateFormat=P","Fill=—","Direction=H","UseDPDF=Y")</f>
        <v>—</v>
      </c>
      <c r="J48" s="13" t="str">
        <f>_xll.BDH("SRPT US Equity","ARDR_COST_OF_GOODS_SOLD","FQ3 2020","FQ3 2020","Currency=USD","Period=FQ","BEST_FPERIOD_OVERRIDE=FQ","FILING_STATUS=MR","SCALING_FORMAT=MLN","Sort=A","Dates=H","DateFormat=P","Fill=—","Direction=H","UseDPDF=Y")</f>
        <v>—</v>
      </c>
      <c r="K48" s="13" t="str">
        <f>_xll.BDH("SRPT US Equity","ARDR_COST_OF_GOODS_SOLD","FQ4 2020","FQ4 2020","Currency=USD","Period=FQ","BEST_FPERIOD_OVERRIDE=FQ","FILING_STATUS=MR","SCALING_FORMAT=MLN","Sort=A","Dates=H","DateFormat=P","Fill=—","Direction=H","UseDPDF=Y")</f>
        <v>—</v>
      </c>
      <c r="L48" s="13" t="str">
        <f>_xll.BDH("SRPT US Equity","ARDR_COST_OF_GOODS_SOLD","FQ1 2021","FQ1 2021","Currency=USD","Period=FQ","BEST_FPERIOD_OVERRIDE=FQ","FILING_STATUS=MR","SCALING_FORMAT=MLN","Sort=A","Dates=H","DateFormat=P","Fill=—","Direction=H","UseDPDF=Y")</f>
        <v>—</v>
      </c>
      <c r="M48" s="13" t="str">
        <f>_xll.BDH("SRPT US Equity","ARDR_COST_OF_GOODS_SOLD","FQ2 2021","FQ2 2021","Currency=USD","Period=FQ","BEST_FPERIOD_OVERRIDE=FQ","FILING_STATUS=MR","SCALING_FORMAT=MLN","Sort=A","Dates=H","DateFormat=P","Fill=—","Direction=H","UseDPDF=Y")</f>
        <v>—</v>
      </c>
      <c r="N48" s="13" t="str">
        <f>_xll.BDH("SRPT US Equity","ARDR_COST_OF_GOODS_SOLD","FQ3 2021","FQ3 2021","Currency=USD","Period=FQ","BEST_FPERIOD_OVERRIDE=FQ","FILING_STATUS=MR","SCALING_FORMAT=MLN","Sort=A","Dates=H","DateFormat=P","Fill=—","Direction=H","UseDPDF=Y")</f>
        <v>—</v>
      </c>
      <c r="O48" s="13" t="str">
        <f>_xll.BDH("SRPT US Equity","ARDR_COST_OF_GOODS_SOLD","FQ4 2021","FQ4 2021","Currency=USD","Period=FQ","BEST_FPERIOD_OVERRIDE=FQ","FILING_STATUS=MR","SCALING_FORMAT=MLN","Sort=A","Dates=H","DateFormat=P","Fill=—","Direction=H","UseDPDF=Y")</f>
        <v>—</v>
      </c>
      <c r="P48" s="13" t="str">
        <f>_xll.BDH("SRPT US Equity","ARDR_COST_OF_GOODS_SOLD","FQ1 2022","FQ1 2022","Currency=USD","Period=FQ","BEST_FPERIOD_OVERRIDE=FQ","FILING_STATUS=MR","SCALING_FORMAT=MLN","Sort=A","Dates=H","DateFormat=P","Fill=—","Direction=H","UseDPDF=Y")</f>
        <v>—</v>
      </c>
      <c r="Q48" s="13" t="str">
        <f>_xll.BDH("SRPT US Equity","ARDR_COST_OF_GOODS_SOLD","FQ2 2022","FQ2 2022","Currency=USD","Period=FQ","BEST_FPERIOD_OVERRIDE=FQ","FILING_STATUS=MR","SCALING_FORMAT=MLN","Sort=A","Dates=H","DateFormat=P","Fill=—","Direction=H","UseDPDF=Y")</f>
        <v>—</v>
      </c>
      <c r="R48" s="13">
        <f>_xll.BDH("SRPT US Equity","ARDR_COST_OF_GOODS_SOLD","FQ3 2022","FQ3 2022","Currency=USD","Period=FQ","BEST_FPERIOD_OVERRIDE=FQ","FILING_STATUS=MR","SCALING_FORMAT=MLN","Sort=A","Dates=H","DateFormat=P","Fill=—","Direction=H","UseDPDF=Y")</f>
        <v>39.951999999999998</v>
      </c>
      <c r="S48" s="13" t="str">
        <f>_xll.BDH("SRPT US Equity","ARDR_COST_OF_GOODS_SOLD","FQ4 2022","FQ4 2022","Currency=USD","Period=FQ","BEST_FPERIOD_OVERRIDE=FQ","FILING_STATUS=MR","SCALING_FORMAT=MLN","Sort=A","Dates=H","DateFormat=P","Fill=—","Direction=H","UseDPDF=Y")</f>
        <v>—</v>
      </c>
      <c r="T48" s="13">
        <f>_xll.BDH("SRPT US Equity","ARDR_COST_OF_GOODS_SOLD","FQ1 2023","FQ1 2023","Currency=USD","Period=FQ","BEST_FPERIOD_OVERRIDE=FQ","FILING_STATUS=MR","SCALING_FORMAT=MLN","Sort=A","Dates=H","DateFormat=P","Fill=—","Direction=H","UseDPDF=Y")</f>
        <v>35.017000000000003</v>
      </c>
      <c r="U48" s="13" t="str">
        <f>_xll.BDH("SRPT US Equity","ARDR_COST_OF_GOODS_SOLD","FQ2 2023","FQ2 2023","Currency=USD","Period=FQ","BEST_FPERIOD_OVERRIDE=FQ","FILING_STATUS=MR","SCALING_FORMAT=MLN","Sort=A","Dates=H","DateFormat=P","Fill=—","Direction=H","UseDPDF=Y")</f>
        <v>—</v>
      </c>
      <c r="V48" s="13">
        <f>_xll.BDH("SRPT US Equity","ARDR_COST_OF_GOODS_SOLD","FQ3 2023","FQ3 2023","Currency=USD","Period=FQ","BEST_FPERIOD_OVERRIDE=FQ","FILING_STATUS=MR","SCALING_FORMAT=MLN","Sort=A","Dates=H","DateFormat=P","Fill=—","Direction=H","UseDPDF=Y")</f>
        <v>37.026000000000003</v>
      </c>
      <c r="W48" s="13" t="str">
        <f>_xll.BDH("SRPT US Equity","ARDR_COST_OF_GOODS_SOLD","FQ4 2023","FQ4 2023","Currency=USD","Period=FQ","BEST_FPERIOD_OVERRIDE=FQ","FILING_STATUS=MR","SCALING_FORMAT=MLN","Sort=A","Dates=H","DateFormat=P","Fill=—","Direction=H","UseDPDF=Y")</f>
        <v>—</v>
      </c>
      <c r="X48" s="13" t="str">
        <f>_xll.BDH("SRPT US Equity","ARDR_COST_OF_GOODS_SOLD","FQ1 2024","FQ1 2024","Currency=USD","Period=FQ","BEST_FPERIOD_OVERRIDE=FQ","FILING_STATUS=MR","SCALING_FORMAT=MLN","Sort=A","Dates=H","DateFormat=P","Fill=—","Direction=H","UseDPDF=Y")</f>
        <v>—</v>
      </c>
      <c r="Y48" s="13" t="str">
        <f>_xll.BDH("SRPT US Equity","ARDR_COST_OF_GOODS_SOLD","FQ2 2024","FQ2 2024","Currency=USD","Period=FQ","BEST_FPERIOD_OVERRIDE=FQ","FILING_STATUS=MR","SCALING_FORMAT=MLN","Sort=A","Dates=H","DateFormat=P","Fill=—","Direction=H","UseDPDF=Y")</f>
        <v>—</v>
      </c>
      <c r="Z48" s="13" t="str">
        <f>_xll.BDH("SRPT US Equity","ARDR_COST_OF_GOODS_SOLD","FQ3 2024","FQ3 2024","Currency=USD","Period=FQ","BEST_FPERIOD_OVERRIDE=FQ","FILING_STATUS=MR","SCALING_FORMAT=MLN","Sort=A","Dates=H","DateFormat=P","Fill=—","Direction=H","UseDPDF=Y")</f>
        <v>—</v>
      </c>
      <c r="AA48" s="13" t="str">
        <f>_xll.BDH("SRPT US Equity","ARDR_COST_OF_GOODS_SOLD","FQ4 2024","FQ4 2024","Currency=USD","Period=FQ","BEST_FPERIOD_OVERRIDE=FQ","FILING_STATUS=MR","SCALING_FORMAT=MLN","Sort=A","Dates=H","DateFormat=P","Fill=—","Direction=H","UseDPDF=Y")</f>
        <v>—</v>
      </c>
    </row>
    <row r="49" spans="1:27" x14ac:dyDescent="0.25">
      <c r="A49" s="10" t="s">
        <v>496</v>
      </c>
      <c r="B49" s="10" t="s">
        <v>497</v>
      </c>
      <c r="C49" s="13">
        <f>_xll.BDH("SRPT US Equity","ARDR_AMORT_EXP","FQ4 2018","FQ4 2018","Currency=USD","Period=FQ","BEST_FPERIOD_OVERRIDE=FQ","FILING_STATUS=MR","SCALING_FORMAT=MLN","Sort=A","Dates=H","DateFormat=P","Fill=—","Direction=H","UseDPDF=Y")</f>
        <v>0.216</v>
      </c>
      <c r="D49" s="13">
        <f>_xll.BDH("SRPT US Equity","ARDR_AMORT_EXP","FQ1 2019","FQ1 2019","Currency=USD","Period=FQ","BEST_FPERIOD_OVERRIDE=FQ","FILING_STATUS=MR","SCALING_FORMAT=MLN","Sort=A","Dates=H","DateFormat=P","Fill=—","Direction=H","UseDPDF=Y")</f>
        <v>0.216</v>
      </c>
      <c r="E49" s="13">
        <f>_xll.BDH("SRPT US Equity","ARDR_AMORT_EXP","FQ2 2019","FQ2 2019","Currency=USD","Period=FQ","BEST_FPERIOD_OVERRIDE=FQ","FILING_STATUS=MR","SCALING_FORMAT=MLN","Sort=A","Dates=H","DateFormat=P","Fill=—","Direction=H","UseDPDF=Y")</f>
        <v>0.217</v>
      </c>
      <c r="F49" s="13">
        <f>_xll.BDH("SRPT US Equity","ARDR_AMORT_EXP","FQ3 2019","FQ3 2019","Currency=USD","Period=FQ","BEST_FPERIOD_OVERRIDE=FQ","FILING_STATUS=MR","SCALING_FORMAT=MLN","Sort=A","Dates=H","DateFormat=P","Fill=—","Direction=H","UseDPDF=Y")</f>
        <v>0.216</v>
      </c>
      <c r="G49" s="13">
        <f>_xll.BDH("SRPT US Equity","ARDR_AMORT_EXP","FQ4 2019","FQ4 2019","Currency=USD","Period=FQ","BEST_FPERIOD_OVERRIDE=FQ","FILING_STATUS=MR","SCALING_FORMAT=MLN","Sort=A","Dates=H","DateFormat=P","Fill=—","Direction=H","UseDPDF=Y")</f>
        <v>0.2</v>
      </c>
      <c r="H49" s="13">
        <f>_xll.BDH("SRPT US Equity","ARDR_AMORT_EXP","FQ1 2020","FQ1 2020","Currency=USD","Period=FQ","BEST_FPERIOD_OVERRIDE=FQ","FILING_STATUS=MR","SCALING_FORMAT=MLN","Sort=A","Dates=H","DateFormat=P","Fill=—","Direction=H","UseDPDF=Y")</f>
        <v>0.16600000000000001</v>
      </c>
      <c r="I49" s="13">
        <f>_xll.BDH("SRPT US Equity","ARDR_AMORT_EXP","FQ2 2020","FQ2 2020","Currency=USD","Period=FQ","BEST_FPERIOD_OVERRIDE=FQ","FILING_STATUS=MR","SCALING_FORMAT=MLN","Sort=A","Dates=H","DateFormat=P","Fill=—","Direction=H","UseDPDF=Y")</f>
        <v>0.16500000000000001</v>
      </c>
      <c r="J49" s="13">
        <f>_xll.BDH("SRPT US Equity","ARDR_AMORT_EXP","FQ3 2020","FQ3 2020","Currency=USD","Period=FQ","BEST_FPERIOD_OVERRIDE=FQ","FILING_STATUS=MR","SCALING_FORMAT=MLN","Sort=A","Dates=H","DateFormat=P","Fill=—","Direction=H","UseDPDF=Y")</f>
        <v>0.16600000000000001</v>
      </c>
      <c r="K49" s="13">
        <f>_xll.BDH("SRPT US Equity","ARDR_AMORT_EXP","FQ4 2020","FQ4 2020","Currency=USD","Period=FQ","BEST_FPERIOD_OVERRIDE=FQ","FILING_STATUS=MR","SCALING_FORMAT=MLN","Sort=A","Dates=H","DateFormat=P","Fill=—","Direction=H","UseDPDF=Y")</f>
        <v>0.16500000000000001</v>
      </c>
      <c r="L49" s="13">
        <f>_xll.BDH("SRPT US Equity","ARDR_AMORT_EXP","FQ1 2021","FQ1 2021","Currency=USD","Period=FQ","BEST_FPERIOD_OVERRIDE=FQ","FILING_STATUS=MR","SCALING_FORMAT=MLN","Sort=A","Dates=H","DateFormat=P","Fill=—","Direction=H","UseDPDF=Y")</f>
        <v>0.17</v>
      </c>
      <c r="M49" s="13">
        <f>_xll.BDH("SRPT US Equity","ARDR_AMORT_EXP","FQ2 2021","FQ2 2021","Currency=USD","Period=FQ","BEST_FPERIOD_OVERRIDE=FQ","FILING_STATUS=MR","SCALING_FORMAT=MLN","Sort=A","Dates=H","DateFormat=P","Fill=—","Direction=H","UseDPDF=Y")</f>
        <v>0.17899999999999999</v>
      </c>
      <c r="N49" s="13">
        <f>_xll.BDH("SRPT US Equity","ARDR_AMORT_EXP","FQ3 2021","FQ3 2021","Currency=USD","Period=FQ","BEST_FPERIOD_OVERRIDE=FQ","FILING_STATUS=MR","SCALING_FORMAT=MLN","Sort=A","Dates=H","DateFormat=P","Fill=—","Direction=H","UseDPDF=Y")</f>
        <v>0.17799999999999999</v>
      </c>
      <c r="O49" s="13">
        <f>_xll.BDH("SRPT US Equity","ARDR_AMORT_EXP","FQ4 2021","FQ4 2021","Currency=USD","Period=FQ","BEST_FPERIOD_OVERRIDE=FQ","FILING_STATUS=MR","SCALING_FORMAT=MLN","Sort=A","Dates=H","DateFormat=P","Fill=—","Direction=H","UseDPDF=Y")</f>
        <v>0.17899999999999999</v>
      </c>
      <c r="P49" s="13">
        <f>_xll.BDH("SRPT US Equity","ARDR_AMORT_EXP","FQ1 2022","FQ1 2022","Currency=USD","Period=FQ","BEST_FPERIOD_OVERRIDE=FQ","FILING_STATUS=MR","SCALING_FORMAT=MLN","Sort=A","Dates=H","DateFormat=P","Fill=—","Direction=H","UseDPDF=Y")</f>
        <v>0.17799999999999999</v>
      </c>
      <c r="Q49" s="13">
        <f>_xll.BDH("SRPT US Equity","ARDR_AMORT_EXP","FQ2 2022","FQ2 2022","Currency=USD","Period=FQ","BEST_FPERIOD_OVERRIDE=FQ","FILING_STATUS=MR","SCALING_FORMAT=MLN","Sort=A","Dates=H","DateFormat=P","Fill=—","Direction=H","UseDPDF=Y")</f>
        <v>0.17899999999999999</v>
      </c>
      <c r="R49" s="13">
        <f>_xll.BDH("SRPT US Equity","ARDR_AMORT_EXP","FQ3 2022","FQ3 2022","Currency=USD","Period=FQ","BEST_FPERIOD_OVERRIDE=FQ","FILING_STATUS=MR","SCALING_FORMAT=MLN","Sort=A","Dates=H","DateFormat=P","Fill=—","Direction=H","UseDPDF=Y")</f>
        <v>0.17799999999999999</v>
      </c>
      <c r="S49" s="13">
        <f>_xll.BDH("SRPT US Equity","ARDR_AMORT_EXP","FQ4 2022","FQ4 2022","Currency=USD","Period=FQ","BEST_FPERIOD_OVERRIDE=FQ","FILING_STATUS=MR","SCALING_FORMAT=MLN","Sort=A","Dates=H","DateFormat=P","Fill=—","Direction=H","UseDPDF=Y")</f>
        <v>0.17899999999999999</v>
      </c>
      <c r="T49" s="13">
        <f>_xll.BDH("SRPT US Equity","ARDR_AMORT_EXP","FQ1 2023","FQ1 2023","Currency=USD","Period=FQ","BEST_FPERIOD_OVERRIDE=FQ","FILING_STATUS=MR","SCALING_FORMAT=MLN","Sort=A","Dates=H","DateFormat=P","Fill=—","Direction=H","UseDPDF=Y")</f>
        <v>0.17799999999999999</v>
      </c>
      <c r="U49" s="13">
        <f>_xll.BDH("SRPT US Equity","ARDR_AMORT_EXP","FQ2 2023","FQ2 2023","Currency=USD","Period=FQ","BEST_FPERIOD_OVERRIDE=FQ","FILING_STATUS=MR","SCALING_FORMAT=MLN","Sort=A","Dates=H","DateFormat=P","Fill=—","Direction=H","UseDPDF=Y")</f>
        <v>0.17899999999999999</v>
      </c>
      <c r="V49" s="13">
        <f>_xll.BDH("SRPT US Equity","ARDR_AMORT_EXP","FQ3 2023","FQ3 2023","Currency=USD","Period=FQ","BEST_FPERIOD_OVERRIDE=FQ","FILING_STATUS=MR","SCALING_FORMAT=MLN","Sort=A","Dates=H","DateFormat=P","Fill=—","Direction=H","UseDPDF=Y")</f>
        <v>0.439</v>
      </c>
      <c r="W49" s="13">
        <f>_xll.BDH("SRPT US Equity","ARDR_AMORT_EXP","FQ4 2023","FQ4 2023","Currency=USD","Period=FQ","BEST_FPERIOD_OVERRIDE=FQ","FILING_STATUS=MR","SCALING_FORMAT=MLN","Sort=A","Dates=H","DateFormat=P","Fill=—","Direction=H","UseDPDF=Y")</f>
        <v>0.76300000000000001</v>
      </c>
      <c r="X49" s="13">
        <f>_xll.BDH("SRPT US Equity","ARDR_AMORT_EXP","FQ1 2024","FQ1 2024","Currency=USD","Period=FQ","BEST_FPERIOD_OVERRIDE=FQ","FILING_STATUS=MR","SCALING_FORMAT=MLN","Sort=A","Dates=H","DateFormat=P","Fill=—","Direction=H","UseDPDF=Y")</f>
        <v>0.60099999999999998</v>
      </c>
      <c r="Y49" s="13">
        <f>_xll.BDH("SRPT US Equity","ARDR_AMORT_EXP","FQ2 2024","FQ2 2024","Currency=USD","Period=FQ","BEST_FPERIOD_OVERRIDE=FQ","FILING_STATUS=MR","SCALING_FORMAT=MLN","Sort=A","Dates=H","DateFormat=P","Fill=—","Direction=H","UseDPDF=Y")</f>
        <v>0.60099999999999998</v>
      </c>
      <c r="Z49" s="13">
        <f>_xll.BDH("SRPT US Equity","ARDR_AMORT_EXP","FQ3 2024","FQ3 2024","Currency=USD","Period=FQ","BEST_FPERIOD_OVERRIDE=FQ","FILING_STATUS=MR","SCALING_FORMAT=MLN","Sort=A","Dates=H","DateFormat=P","Fill=—","Direction=H","UseDPDF=Y")</f>
        <v>0.60199999999999998</v>
      </c>
      <c r="AA49" s="13">
        <f>_xll.BDH("SRPT US Equity","ARDR_AMORT_EXP","FQ4 2024","FQ4 2024","Currency=USD","Period=FQ","BEST_FPERIOD_OVERRIDE=FQ","FILING_STATUS=MR","SCALING_FORMAT=MLN","Sort=A","Dates=H","DateFormat=P","Fill=—","Direction=H","UseDPDF=Y")</f>
        <v>0.60099999999999998</v>
      </c>
    </row>
    <row r="50" spans="1:27" x14ac:dyDescent="0.25">
      <c r="A50" s="10" t="s">
        <v>434</v>
      </c>
      <c r="B50" s="10" t="s">
        <v>498</v>
      </c>
      <c r="C50" s="13">
        <f>_xll.BDH("SRPT US Equity","ARDR_R&amp;D_EXPENDITURES","FQ4 2018","FQ4 2018","Currency=USD","Period=FQ","BEST_FPERIOD_OVERRIDE=FQ","FILING_STATUS=MR","SCALING_FORMAT=MLN","Sort=A","Dates=H","DateFormat=P","Fill=—","Direction=H","UseDPDF=Y")</f>
        <v>146.20699999999999</v>
      </c>
      <c r="D50" s="13">
        <f>_xll.BDH("SRPT US Equity","ARDR_R&amp;D_EXPENDITURES","FQ1 2019","FQ1 2019","Currency=USD","Period=FQ","BEST_FPERIOD_OVERRIDE=FQ","FILING_STATUS=MR","SCALING_FORMAT=MLN","Sort=A","Dates=H","DateFormat=P","Fill=—","Direction=H","UseDPDF=Y")</f>
        <v>90.552999999999997</v>
      </c>
      <c r="E50" s="13">
        <f>_xll.BDH("SRPT US Equity","ARDR_R&amp;D_EXPENDITURES","FQ2 2019","FQ2 2019","Currency=USD","Period=FQ","BEST_FPERIOD_OVERRIDE=FQ","FILING_STATUS=MR","SCALING_FORMAT=MLN","Sort=A","Dates=H","DateFormat=P","Fill=—","Direction=H","UseDPDF=Y")</f>
        <v>113.26600000000001</v>
      </c>
      <c r="F50" s="13">
        <f>_xll.BDH("SRPT US Equity","ARDR_R&amp;D_EXPENDITURES","FQ3 2019","FQ3 2019","Currency=USD","Period=FQ","BEST_FPERIOD_OVERRIDE=FQ","FILING_STATUS=MR","SCALING_FORMAT=MLN","Sort=A","Dates=H","DateFormat=P","Fill=—","Direction=H","UseDPDF=Y")</f>
        <v>133.94900000000001</v>
      </c>
      <c r="G50" s="13">
        <f>_xll.BDH("SRPT US Equity","ARDR_R&amp;D_EXPENDITURES","FQ4 2019","FQ4 2019","Currency=USD","Period=FQ","BEST_FPERIOD_OVERRIDE=FQ","FILING_STATUS=MR","SCALING_FORMAT=MLN","Sort=A","Dates=H","DateFormat=P","Fill=—","Direction=H","UseDPDF=Y")</f>
        <v>223.14099999999999</v>
      </c>
      <c r="H50" s="13">
        <f>_xll.BDH("SRPT US Equity","ARDR_R&amp;D_EXPENDITURES","FQ1 2020","FQ1 2020","Currency=USD","Period=FQ","BEST_FPERIOD_OVERRIDE=FQ","FILING_STATUS=MR","SCALING_FORMAT=MLN","Sort=A","Dates=H","DateFormat=P","Fill=—","Direction=H","UseDPDF=Y")</f>
        <v>136.14400000000001</v>
      </c>
      <c r="I50" s="13">
        <f>_xll.BDH("SRPT US Equity","ARDR_R&amp;D_EXPENDITURES","FQ2 2020","FQ2 2020","Currency=USD","Period=FQ","BEST_FPERIOD_OVERRIDE=FQ","FILING_STATUS=MR","SCALING_FORMAT=MLN","Sort=A","Dates=H","DateFormat=P","Fill=—","Direction=H","UseDPDF=Y")</f>
        <v>188.52199999999999</v>
      </c>
      <c r="J50" s="13">
        <f>_xll.BDH("SRPT US Equity","ARDR_R&amp;D_EXPENDITURES","FQ3 2020","FQ3 2020","Currency=USD","Period=FQ","BEST_FPERIOD_OVERRIDE=FQ","FILING_STATUS=MR","SCALING_FORMAT=MLN","Sort=A","Dates=H","DateFormat=P","Fill=—","Direction=H","UseDPDF=Y")</f>
        <v>190.43799999999999</v>
      </c>
      <c r="K50" s="13">
        <f>_xll.BDH("SRPT US Equity","ARDR_R&amp;D_EXPENDITURES","FQ4 2020","FQ4 2020","Currency=USD","Period=FQ","BEST_FPERIOD_OVERRIDE=FQ","FILING_STATUS=MR","SCALING_FORMAT=MLN","Sort=A","Dates=H","DateFormat=P","Fill=—","Direction=H","UseDPDF=Y")</f>
        <v>207.239</v>
      </c>
      <c r="L50" s="13">
        <f>_xll.BDH("SRPT US Equity","ARDR_R&amp;D_EXPENDITURES","FQ1 2021","FQ1 2021","Currency=USD","Period=FQ","BEST_FPERIOD_OVERRIDE=FQ","FILING_STATUS=MR","SCALING_FORMAT=MLN","Sort=A","Dates=H","DateFormat=P","Fill=—","Direction=H","UseDPDF=Y")</f>
        <v>195.149</v>
      </c>
      <c r="M50" s="13">
        <f>_xll.BDH("SRPT US Equity","ARDR_R&amp;D_EXPENDITURES","FQ2 2021","FQ2 2021","Currency=USD","Period=FQ","BEST_FPERIOD_OVERRIDE=FQ","FILING_STATUS=MR","SCALING_FORMAT=MLN","Sort=A","Dates=H","DateFormat=P","Fill=—","Direction=H","UseDPDF=Y")</f>
        <v>239.62200000000001</v>
      </c>
      <c r="N50" s="13">
        <f>_xll.BDH("SRPT US Equity","ARDR_R&amp;D_EXPENDITURES","FQ3 2021","FQ3 2021","Currency=USD","Period=FQ","BEST_FPERIOD_OVERRIDE=FQ","FILING_STATUS=MR","SCALING_FORMAT=MLN","Sort=A","Dates=H","DateFormat=P","Fill=—","Direction=H","UseDPDF=Y")</f>
        <v>139.11500000000001</v>
      </c>
      <c r="O50" s="13">
        <f>_xll.BDH("SRPT US Equity","ARDR_R&amp;D_EXPENDITURES","FQ4 2021","FQ4 2021","Currency=USD","Period=FQ","BEST_FPERIOD_OVERRIDE=FQ","FILING_STATUS=MR","SCALING_FORMAT=MLN","Sort=A","Dates=H","DateFormat=P","Fill=—","Direction=H","UseDPDF=Y")</f>
        <v>197.29599999999999</v>
      </c>
      <c r="P50" s="13">
        <f>_xll.BDH("SRPT US Equity","ARDR_R&amp;D_EXPENDITURES","FQ1 2022","FQ1 2022","Currency=USD","Period=FQ","BEST_FPERIOD_OVERRIDE=FQ","FILING_STATUS=MR","SCALING_FORMAT=MLN","Sort=A","Dates=H","DateFormat=P","Fill=—","Direction=H","UseDPDF=Y")</f>
        <v>194.25</v>
      </c>
      <c r="Q50" s="13">
        <f>_xll.BDH("SRPT US Equity","ARDR_R&amp;D_EXPENDITURES","FQ2 2022","FQ2 2022","Currency=USD","Period=FQ","BEST_FPERIOD_OVERRIDE=FQ","FILING_STATUS=MR","SCALING_FORMAT=MLN","Sort=A","Dates=H","DateFormat=P","Fill=—","Direction=H","UseDPDF=Y")</f>
        <v>252.32900000000001</v>
      </c>
      <c r="R50" s="13">
        <f>_xll.BDH("SRPT US Equity","ARDR_R&amp;D_EXPENDITURES","FQ3 2022","FQ3 2022","Currency=USD","Period=FQ","BEST_FPERIOD_OVERRIDE=FQ","FILING_STATUS=MR","SCALING_FORMAT=MLN","Sort=A","Dates=H","DateFormat=P","Fill=—","Direction=H","UseDPDF=Y")</f>
        <v>216.70699999999999</v>
      </c>
      <c r="S50" s="13">
        <f>_xll.BDH("SRPT US Equity","ARDR_R&amp;D_EXPENDITURES","FQ4 2022","FQ4 2022","Currency=USD","Period=FQ","BEST_FPERIOD_OVERRIDE=FQ","FILING_STATUS=MR","SCALING_FORMAT=MLN","Sort=A","Dates=H","DateFormat=P","Fill=—","Direction=H","UseDPDF=Y")</f>
        <v>213.804</v>
      </c>
      <c r="T50" s="13">
        <f>_xll.BDH("SRPT US Equity","ARDR_R&amp;D_EXPENDITURES","FQ1 2023","FQ1 2023","Currency=USD","Period=FQ","BEST_FPERIOD_OVERRIDE=FQ","FILING_STATUS=MR","SCALING_FORMAT=MLN","Sort=A","Dates=H","DateFormat=P","Fill=—","Direction=H","UseDPDF=Y")</f>
        <v>245.679</v>
      </c>
      <c r="U50" s="13">
        <f>_xll.BDH("SRPT US Equity","ARDR_R&amp;D_EXPENDITURES","FQ2 2023","FQ2 2023","Currency=USD","Period=FQ","BEST_FPERIOD_OVERRIDE=FQ","FILING_STATUS=MR","SCALING_FORMAT=MLN","Sort=A","Dates=H","DateFormat=P","Fill=—","Direction=H","UseDPDF=Y")</f>
        <v>241.89</v>
      </c>
      <c r="V50" s="13">
        <f>_xll.BDH("SRPT US Equity","ARDR_R&amp;D_EXPENDITURES","FQ3 2023","FQ3 2023","Currency=USD","Period=FQ","BEST_FPERIOD_OVERRIDE=FQ","FILING_STATUS=MR","SCALING_FORMAT=MLN","Sort=A","Dates=H","DateFormat=P","Fill=—","Direction=H","UseDPDF=Y")</f>
        <v>194.30099999999999</v>
      </c>
      <c r="W50" s="13">
        <f>_xll.BDH("SRPT US Equity","ARDR_R&amp;D_EXPENDITURES","FQ4 2023","FQ4 2023","Currency=USD","Period=FQ","BEST_FPERIOD_OVERRIDE=FQ","FILING_STATUS=MR","SCALING_FORMAT=MLN","Sort=A","Dates=H","DateFormat=P","Fill=—","Direction=H","UseDPDF=Y")</f>
        <v>195.517</v>
      </c>
      <c r="X50" s="13">
        <f>_xll.BDH("SRPT US Equity","ARDR_R&amp;D_EXPENDITURES","FQ1 2024","FQ1 2024","Currency=USD","Period=FQ","BEST_FPERIOD_OVERRIDE=FQ","FILING_STATUS=MR","SCALING_FORMAT=MLN","Sort=A","Dates=H","DateFormat=P","Fill=—","Direction=H","UseDPDF=Y")</f>
        <v>200.39599999999999</v>
      </c>
      <c r="Y50" s="13">
        <f>_xll.BDH("SRPT US Equity","ARDR_R&amp;D_EXPENDITURES","FQ2 2024","FQ2 2024","Currency=USD","Period=FQ","BEST_FPERIOD_OVERRIDE=FQ","FILING_STATUS=MR","SCALING_FORMAT=MLN","Sort=A","Dates=H","DateFormat=P","Fill=—","Direction=H","UseDPDF=Y")</f>
        <v>179.69</v>
      </c>
      <c r="Z50" s="13">
        <f>_xll.BDH("SRPT US Equity","ARDR_R&amp;D_EXPENDITURES","FQ3 2024","FQ3 2024","Currency=USD","Period=FQ","BEST_FPERIOD_OVERRIDE=FQ","FILING_STATUS=MR","SCALING_FORMAT=MLN","Sort=A","Dates=H","DateFormat=P","Fill=—","Direction=H","UseDPDF=Y")</f>
        <v>224.483</v>
      </c>
      <c r="AA50" s="13">
        <f>_xll.BDH("SRPT US Equity","ARDR_R&amp;D_EXPENDITURES","FQ4 2024","FQ4 2024","Currency=USD","Period=FQ","BEST_FPERIOD_OVERRIDE=FQ","FILING_STATUS=MR","SCALING_FORMAT=MLN","Sort=A","Dates=H","DateFormat=P","Fill=—","Direction=H","UseDPDF=Y")</f>
        <v>199.953</v>
      </c>
    </row>
    <row r="51" spans="1:27" x14ac:dyDescent="0.25">
      <c r="A51" s="10" t="s">
        <v>411</v>
      </c>
      <c r="B51" s="10" t="s">
        <v>499</v>
      </c>
      <c r="C51" s="13">
        <f>_xll.BDH("SRPT US Equity","ARDR_DEPRECIATION_EXP","FQ4 2018","FQ4 2018","Currency=USD","Period=FQ","BEST_FPERIOD_OVERRIDE=FQ","FILING_STATUS=MR","SCALING_FORMAT=MLN","Sort=A","Dates=H","DateFormat=P","Fill=—","Direction=H","UseDPDF=Y")</f>
        <v>3.3109999999999999</v>
      </c>
      <c r="D51" s="13">
        <f>_xll.BDH("SRPT US Equity","ARDR_DEPRECIATION_EXP","FQ1 2019","FQ1 2019","Currency=USD","Period=FQ","BEST_FPERIOD_OVERRIDE=FQ","FILING_STATUS=MR","SCALING_FORMAT=MLN","Sort=A","Dates=H","DateFormat=P","Fill=—","Direction=H","UseDPDF=Y")</f>
        <v>4.6639999999999997</v>
      </c>
      <c r="E51" s="13">
        <f>_xll.BDH("SRPT US Equity","ARDR_DEPRECIATION_EXP","FQ2 2019","FQ2 2019","Currency=USD","Period=FQ","BEST_FPERIOD_OVERRIDE=FQ","FILING_STATUS=MR","SCALING_FORMAT=MLN","Sort=A","Dates=H","DateFormat=P","Fill=—","Direction=H","UseDPDF=Y")</f>
        <v>6.016</v>
      </c>
      <c r="F51" s="13">
        <f>_xll.BDH("SRPT US Equity","ARDR_DEPRECIATION_EXP","FQ3 2019","FQ3 2019","Currency=USD","Period=FQ","BEST_FPERIOD_OVERRIDE=FQ","FILING_STATUS=MR","SCALING_FORMAT=MLN","Sort=A","Dates=H","DateFormat=P","Fill=—","Direction=H","UseDPDF=Y")</f>
        <v>6.5250000000000004</v>
      </c>
      <c r="G51" s="13">
        <f>_xll.BDH("SRPT US Equity","ARDR_DEPRECIATION_EXP","FQ4 2019","FQ4 2019","Currency=USD","Period=FQ","BEST_FPERIOD_OVERRIDE=FQ","FILING_STATUS=MR","SCALING_FORMAT=MLN","Sort=A","Dates=H","DateFormat=P","Fill=—","Direction=H","UseDPDF=Y")</f>
        <v>6.4459999999999997</v>
      </c>
      <c r="H51" s="13">
        <f>_xll.BDH("SRPT US Equity","ARDR_DEPRECIATION_EXP","FQ1 2020","FQ1 2020","Currency=USD","Period=FQ","BEST_FPERIOD_OVERRIDE=FQ","FILING_STATUS=MR","SCALING_FORMAT=MLN","Sort=A","Dates=H","DateFormat=P","Fill=—","Direction=H","UseDPDF=Y")</f>
        <v>6.3630000000000004</v>
      </c>
      <c r="I51" s="13">
        <f>_xll.BDH("SRPT US Equity","ARDR_DEPRECIATION_EXP","FQ2 2020","FQ2 2020","Currency=USD","Period=FQ","BEST_FPERIOD_OVERRIDE=FQ","FILING_STATUS=MR","SCALING_FORMAT=MLN","Sort=A","Dates=H","DateFormat=P","Fill=—","Direction=H","UseDPDF=Y")</f>
        <v>6.31</v>
      </c>
      <c r="J51" s="13">
        <f>_xll.BDH("SRPT US Equity","ARDR_DEPRECIATION_EXP","FQ3 2020","FQ3 2020","Currency=USD","Period=FQ","BEST_FPERIOD_OVERRIDE=FQ","FILING_STATUS=MR","SCALING_FORMAT=MLN","Sort=A","Dates=H","DateFormat=P","Fill=—","Direction=H","UseDPDF=Y")</f>
        <v>6.4530000000000003</v>
      </c>
      <c r="K51" s="13">
        <f>_xll.BDH("SRPT US Equity","ARDR_DEPRECIATION_EXP","FQ4 2020","FQ4 2020","Currency=USD","Period=FQ","BEST_FPERIOD_OVERRIDE=FQ","FILING_STATUS=MR","SCALING_FORMAT=MLN","Sort=A","Dates=H","DateFormat=P","Fill=—","Direction=H","UseDPDF=Y")</f>
        <v>7.1230000000000002</v>
      </c>
      <c r="L51" s="13">
        <f>_xll.BDH("SRPT US Equity","ARDR_DEPRECIATION_EXP","FQ1 2021","FQ1 2021","Currency=USD","Period=FQ","BEST_FPERIOD_OVERRIDE=FQ","FILING_STATUS=MR","SCALING_FORMAT=MLN","Sort=A","Dates=H","DateFormat=P","Fill=—","Direction=H","UseDPDF=Y")</f>
        <v>8.76</v>
      </c>
      <c r="M51" s="13">
        <f>_xll.BDH("SRPT US Equity","ARDR_DEPRECIATION_EXP","FQ2 2021","FQ2 2021","Currency=USD","Period=FQ","BEST_FPERIOD_OVERRIDE=FQ","FILING_STATUS=MR","SCALING_FORMAT=MLN","Sort=A","Dates=H","DateFormat=P","Fill=—","Direction=H","UseDPDF=Y")</f>
        <v>8.2680000000000007</v>
      </c>
      <c r="N51" s="13">
        <f>_xll.BDH("SRPT US Equity","ARDR_DEPRECIATION_EXP","FQ3 2021","FQ3 2021","Currency=USD","Period=FQ","BEST_FPERIOD_OVERRIDE=FQ","FILING_STATUS=MR","SCALING_FORMAT=MLN","Sort=A","Dates=H","DateFormat=P","Fill=—","Direction=H","UseDPDF=Y")</f>
        <v>10.317</v>
      </c>
      <c r="O51" s="13">
        <f>_xll.BDH("SRPT US Equity","ARDR_DEPRECIATION_EXP","FQ4 2021","FQ4 2021","Currency=USD","Period=FQ","BEST_FPERIOD_OVERRIDE=FQ","FILING_STATUS=MR","SCALING_FORMAT=MLN","Sort=A","Dates=H","DateFormat=P","Fill=—","Direction=H","UseDPDF=Y")</f>
        <v>9.9659999999999993</v>
      </c>
      <c r="P51" s="13">
        <f>_xll.BDH("SRPT US Equity","ARDR_DEPRECIATION_EXP","FQ1 2022","FQ1 2022","Currency=USD","Period=FQ","BEST_FPERIOD_OVERRIDE=FQ","FILING_STATUS=MR","SCALING_FORMAT=MLN","Sort=A","Dates=H","DateFormat=P","Fill=—","Direction=H","UseDPDF=Y")</f>
        <v>10.541</v>
      </c>
      <c r="Q51" s="13">
        <f>_xll.BDH("SRPT US Equity","ARDR_DEPRECIATION_EXP","FQ2 2022","FQ2 2022","Currency=USD","Period=FQ","BEST_FPERIOD_OVERRIDE=FQ","FILING_STATUS=MR","SCALING_FORMAT=MLN","Sort=A","Dates=H","DateFormat=P","Fill=—","Direction=H","UseDPDF=Y")</f>
        <v>9.7100000000000009</v>
      </c>
      <c r="R51" s="13">
        <f>_xll.BDH("SRPT US Equity","ARDR_DEPRECIATION_EXP","FQ3 2022","FQ3 2022","Currency=USD","Period=FQ","BEST_FPERIOD_OVERRIDE=FQ","FILING_STATUS=MR","SCALING_FORMAT=MLN","Sort=A","Dates=H","DateFormat=P","Fill=—","Direction=H","UseDPDF=Y")</f>
        <v>10.525</v>
      </c>
      <c r="S51" s="13">
        <f>_xll.BDH("SRPT US Equity","ARDR_DEPRECIATION_EXP","FQ4 2022","FQ4 2022","Currency=USD","Period=FQ","BEST_FPERIOD_OVERRIDE=FQ","FILING_STATUS=MR","SCALING_FORMAT=MLN","Sort=A","Dates=H","DateFormat=P","Fill=—","Direction=H","UseDPDF=Y")</f>
        <v>10.374000000000001</v>
      </c>
      <c r="T51" s="13">
        <f>_xll.BDH("SRPT US Equity","ARDR_DEPRECIATION_EXP","FQ1 2023","FQ1 2023","Currency=USD","Period=FQ","BEST_FPERIOD_OVERRIDE=FQ","FILING_STATUS=MR","SCALING_FORMAT=MLN","Sort=A","Dates=H","DateFormat=P","Fill=—","Direction=H","UseDPDF=Y")</f>
        <v>11.127000000000001</v>
      </c>
      <c r="U51" s="13">
        <f>_xll.BDH("SRPT US Equity","ARDR_DEPRECIATION_EXP","FQ2 2023","FQ2 2023","Currency=USD","Period=FQ","BEST_FPERIOD_OVERRIDE=FQ","FILING_STATUS=MR","SCALING_FORMAT=MLN","Sort=A","Dates=H","DateFormat=P","Fill=—","Direction=H","UseDPDF=Y")</f>
        <v>10.613</v>
      </c>
      <c r="V51" s="13">
        <f>_xll.BDH("SRPT US Equity","ARDR_DEPRECIATION_EXP","FQ3 2023","FQ3 2023","Currency=USD","Period=FQ","BEST_FPERIOD_OVERRIDE=FQ","FILING_STATUS=MR","SCALING_FORMAT=MLN","Sort=A","Dates=H","DateFormat=P","Fill=—","Direction=H","UseDPDF=Y")</f>
        <v>10.489000000000001</v>
      </c>
      <c r="W51" s="13">
        <f>_xll.BDH("SRPT US Equity","ARDR_DEPRECIATION_EXP","FQ4 2023","FQ4 2023","Currency=USD","Period=FQ","BEST_FPERIOD_OVERRIDE=FQ","FILING_STATUS=MR","SCALING_FORMAT=MLN","Sort=A","Dates=H","DateFormat=P","Fill=—","Direction=H","UseDPDF=Y")</f>
        <v>9.8460000000000001</v>
      </c>
      <c r="X51" s="13">
        <f>_xll.BDH("SRPT US Equity","ARDR_DEPRECIATION_EXP","FQ1 2024","FQ1 2024","Currency=USD","Period=FQ","BEST_FPERIOD_OVERRIDE=FQ","FILING_STATUS=MR","SCALING_FORMAT=MLN","Sort=A","Dates=H","DateFormat=P","Fill=—","Direction=H","UseDPDF=Y")</f>
        <v>8.1430000000000007</v>
      </c>
      <c r="Y51" s="13">
        <f>_xll.BDH("SRPT US Equity","ARDR_DEPRECIATION_EXP","FQ2 2024","FQ2 2024","Currency=USD","Period=FQ","BEST_FPERIOD_OVERRIDE=FQ","FILING_STATUS=MR","SCALING_FORMAT=MLN","Sort=A","Dates=H","DateFormat=P","Fill=—","Direction=H","UseDPDF=Y")</f>
        <v>7.5170000000000003</v>
      </c>
      <c r="Z51" s="13">
        <f>_xll.BDH("SRPT US Equity","ARDR_DEPRECIATION_EXP","FQ3 2024","FQ3 2024","Currency=USD","Period=FQ","BEST_FPERIOD_OVERRIDE=FQ","FILING_STATUS=MR","SCALING_FORMAT=MLN","Sort=A","Dates=H","DateFormat=P","Fill=—","Direction=H","UseDPDF=Y")</f>
        <v>8.6020000000000003</v>
      </c>
      <c r="AA51" s="13">
        <f>_xll.BDH("SRPT US Equity","ARDR_DEPRECIATION_EXP","FQ4 2024","FQ4 2024","Currency=USD","Period=FQ","BEST_FPERIOD_OVERRIDE=FQ","FILING_STATUS=MR","SCALING_FORMAT=MLN","Sort=A","Dates=H","DateFormat=P","Fill=—","Direction=H","UseDPDF=Y")</f>
        <v>9.2530000000000001</v>
      </c>
    </row>
    <row r="52" spans="1:27" x14ac:dyDescent="0.25">
      <c r="A52" s="10" t="s">
        <v>500</v>
      </c>
      <c r="B52" s="10" t="s">
        <v>501</v>
      </c>
      <c r="C52" s="13">
        <f>_xll.BDH("SRPT US Equity","ARDR_SELLING_GENERAL_ADMIN_EXP","FQ4 2018","FQ4 2018","Currency=USD","Period=FQ","BEST_FPERIOD_OVERRIDE=FQ","FILING_STATUS=MR","SCALING_FORMAT=MLN","Sort=A","Dates=H","DateFormat=P","Fill=—","Direction=H","UseDPDF=Y")</f>
        <v>64.22</v>
      </c>
      <c r="D52" s="13">
        <f>_xll.BDH("SRPT US Equity","ARDR_SELLING_GENERAL_ADMIN_EXP","FQ1 2019","FQ1 2019","Currency=USD","Period=FQ","BEST_FPERIOD_OVERRIDE=FQ","FILING_STATUS=MR","SCALING_FORMAT=MLN","Sort=A","Dates=H","DateFormat=P","Fill=—","Direction=H","UseDPDF=Y")</f>
        <v>60.566000000000003</v>
      </c>
      <c r="E52" s="13">
        <f>_xll.BDH("SRPT US Equity","ARDR_SELLING_GENERAL_ADMIN_EXP","FQ2 2019","FQ2 2019","Currency=USD","Period=FQ","BEST_FPERIOD_OVERRIDE=FQ","FILING_STATUS=MR","SCALING_FORMAT=MLN","Sort=A","Dates=H","DateFormat=P","Fill=—","Direction=H","UseDPDF=Y")</f>
        <v>67.393000000000001</v>
      </c>
      <c r="F52" s="13">
        <f>_xll.BDH("SRPT US Equity","ARDR_SELLING_GENERAL_ADMIN_EXP","FQ3 2019","FQ3 2019","Currency=USD","Period=FQ","BEST_FPERIOD_OVERRIDE=FQ","FILING_STATUS=MR","SCALING_FORMAT=MLN","Sort=A","Dates=H","DateFormat=P","Fill=—","Direction=H","UseDPDF=Y")</f>
        <v>75.429000000000002</v>
      </c>
      <c r="G52" s="13">
        <f>_xll.BDH("SRPT US Equity","ARDR_SELLING_GENERAL_ADMIN_EXP","FQ4 2019","FQ4 2019","Currency=USD","Period=FQ","BEST_FPERIOD_OVERRIDE=FQ","FILING_STATUS=MR","SCALING_FORMAT=MLN","Sort=A","Dates=H","DateFormat=P","Fill=—","Direction=H","UseDPDF=Y")</f>
        <v>81.424000000000007</v>
      </c>
      <c r="H52" s="13">
        <f>_xll.BDH("SRPT US Equity","ARDR_SELLING_GENERAL_ADMIN_EXP","FQ1 2020","FQ1 2020","Currency=USD","Period=FQ","BEST_FPERIOD_OVERRIDE=FQ","FILING_STATUS=MR","SCALING_FORMAT=MLN","Sort=A","Dates=H","DateFormat=P","Fill=—","Direction=H","UseDPDF=Y")</f>
        <v>82.768000000000001</v>
      </c>
      <c r="I52" s="13">
        <f>_xll.BDH("SRPT US Equity","ARDR_SELLING_GENERAL_ADMIN_EXP","FQ2 2020","FQ2 2020","Currency=USD","Period=FQ","BEST_FPERIOD_OVERRIDE=FQ","FILING_STATUS=MR","SCALING_FORMAT=MLN","Sort=A","Dates=H","DateFormat=P","Fill=—","Direction=H","UseDPDF=Y")</f>
        <v>73.688000000000002</v>
      </c>
      <c r="J52" s="13">
        <f>_xll.BDH("SRPT US Equity","ARDR_SELLING_GENERAL_ADMIN_EXP","FQ3 2020","FQ3 2020","Currency=USD","Period=FQ","BEST_FPERIOD_OVERRIDE=FQ","FILING_STATUS=MR","SCALING_FORMAT=MLN","Sort=A","Dates=H","DateFormat=P","Fill=—","Direction=H","UseDPDF=Y")</f>
        <v>75.373000000000005</v>
      </c>
      <c r="K52" s="13">
        <f>_xll.BDH("SRPT US Equity","ARDR_SELLING_GENERAL_ADMIN_EXP","FQ4 2020","FQ4 2020","Currency=USD","Period=FQ","BEST_FPERIOD_OVERRIDE=FQ","FILING_STATUS=MR","SCALING_FORMAT=MLN","Sort=A","Dates=H","DateFormat=P","Fill=—","Direction=H","UseDPDF=Y")</f>
        <v>86.046000000000006</v>
      </c>
      <c r="L52" s="13">
        <f>_xll.BDH("SRPT US Equity","ARDR_SELLING_GENERAL_ADMIN_EXP","FQ1 2021","FQ1 2021","Currency=USD","Period=FQ","BEST_FPERIOD_OVERRIDE=FQ","FILING_STATUS=MR","SCALING_FORMAT=MLN","Sort=A","Dates=H","DateFormat=P","Fill=—","Direction=H","UseDPDF=Y")</f>
        <v>71.131</v>
      </c>
      <c r="M52" s="13">
        <f>_xll.BDH("SRPT US Equity","ARDR_SELLING_GENERAL_ADMIN_EXP","FQ2 2021","FQ2 2021","Currency=USD","Period=FQ","BEST_FPERIOD_OVERRIDE=FQ","FILING_STATUS=MR","SCALING_FORMAT=MLN","Sort=A","Dates=H","DateFormat=P","Fill=—","Direction=H","UseDPDF=Y")</f>
        <v>72.346999999999994</v>
      </c>
      <c r="N52" s="13">
        <f>_xll.BDH("SRPT US Equity","ARDR_SELLING_GENERAL_ADMIN_EXP","FQ3 2021","FQ3 2021","Currency=USD","Period=FQ","BEST_FPERIOD_OVERRIDE=FQ","FILING_STATUS=MR","SCALING_FORMAT=MLN","Sort=A","Dates=H","DateFormat=P","Fill=—","Direction=H","UseDPDF=Y")</f>
        <v>61.127000000000002</v>
      </c>
      <c r="O52" s="13">
        <f>_xll.BDH("SRPT US Equity","ARDR_SELLING_GENERAL_ADMIN_EXP","FQ4 2021","FQ4 2021","Currency=USD","Period=FQ","BEST_FPERIOD_OVERRIDE=FQ","FILING_STATUS=MR","SCALING_FORMAT=MLN","Sort=A","Dates=H","DateFormat=P","Fill=—","Direction=H","UseDPDF=Y")</f>
        <v>78.055000000000007</v>
      </c>
      <c r="P52" s="13">
        <f>_xll.BDH("SRPT US Equity","ARDR_SELLING_GENERAL_ADMIN_EXP","FQ1 2022","FQ1 2022","Currency=USD","Period=FQ","BEST_FPERIOD_OVERRIDE=FQ","FILING_STATUS=MR","SCALING_FORMAT=MLN","Sort=A","Dates=H","DateFormat=P","Fill=—","Direction=H","UseDPDF=Y")</f>
        <v>71.84</v>
      </c>
      <c r="Q52" s="13">
        <f>_xll.BDH("SRPT US Equity","ARDR_SELLING_GENERAL_ADMIN_EXP","FQ2 2022","FQ2 2022","Currency=USD","Period=FQ","BEST_FPERIOD_OVERRIDE=FQ","FILING_STATUS=MR","SCALING_FORMAT=MLN","Sort=A","Dates=H","DateFormat=P","Fill=—","Direction=H","UseDPDF=Y")</f>
        <v>154.316</v>
      </c>
      <c r="R52" s="13">
        <f>_xll.BDH("SRPT US Equity","ARDR_SELLING_GENERAL_ADMIN_EXP","FQ3 2022","FQ3 2022","Currency=USD","Period=FQ","BEST_FPERIOD_OVERRIDE=FQ","FILING_STATUS=MR","SCALING_FORMAT=MLN","Sort=A","Dates=H","DateFormat=P","Fill=—","Direction=H","UseDPDF=Y")</f>
        <v>104.78700000000001</v>
      </c>
      <c r="S52" s="13">
        <f>_xll.BDH("SRPT US Equity","ARDR_SELLING_GENERAL_ADMIN_EXP","FQ4 2022","FQ4 2022","Currency=USD","Period=FQ","BEST_FPERIOD_OVERRIDE=FQ","FILING_STATUS=MR","SCALING_FORMAT=MLN","Sort=A","Dates=H","DateFormat=P","Fill=—","Direction=H","UseDPDF=Y")</f>
        <v>120.47799999999999</v>
      </c>
      <c r="T52" s="13">
        <f>_xll.BDH("SRPT US Equity","ARDR_SELLING_GENERAL_ADMIN_EXP","FQ1 2023","FQ1 2023","Currency=USD","Period=FQ","BEST_FPERIOD_OVERRIDE=FQ","FILING_STATUS=MR","SCALING_FORMAT=MLN","Sort=A","Dates=H","DateFormat=P","Fill=—","Direction=H","UseDPDF=Y")</f>
        <v>110.714</v>
      </c>
      <c r="U52" s="13">
        <f>_xll.BDH("SRPT US Equity","ARDR_SELLING_GENERAL_ADMIN_EXP","FQ2 2023","FQ2 2023","Currency=USD","Period=FQ","BEST_FPERIOD_OVERRIDE=FQ","FILING_STATUS=MR","SCALING_FORMAT=MLN","Sort=A","Dates=H","DateFormat=P","Fill=—","Direction=H","UseDPDF=Y")</f>
        <v>118.56399999999999</v>
      </c>
      <c r="V52" s="13">
        <f>_xll.BDH("SRPT US Equity","ARDR_SELLING_GENERAL_ADMIN_EXP","FQ3 2023","FQ3 2023","Currency=USD","Period=FQ","BEST_FPERIOD_OVERRIDE=FQ","FILING_STATUS=MR","SCALING_FORMAT=MLN","Sort=A","Dates=H","DateFormat=P","Fill=—","Direction=H","UseDPDF=Y")</f>
        <v>120.893</v>
      </c>
      <c r="W52" s="13">
        <f>_xll.BDH("SRPT US Equity","ARDR_SELLING_GENERAL_ADMIN_EXP","FQ4 2023","FQ4 2023","Currency=USD","Period=FQ","BEST_FPERIOD_OVERRIDE=FQ","FILING_STATUS=MR","SCALING_FORMAT=MLN","Sort=A","Dates=H","DateFormat=P","Fill=—","Direction=H","UseDPDF=Y")</f>
        <v>131.69999999999999</v>
      </c>
      <c r="X52" s="13">
        <f>_xll.BDH("SRPT US Equity","ARDR_SELLING_GENERAL_ADMIN_EXP","FQ1 2024","FQ1 2024","Currency=USD","Period=FQ","BEST_FPERIOD_OVERRIDE=FQ","FILING_STATUS=MR","SCALING_FORMAT=MLN","Sort=A","Dates=H","DateFormat=P","Fill=—","Direction=H","UseDPDF=Y")</f>
        <v>127.003</v>
      </c>
      <c r="Y52" s="13">
        <f>_xll.BDH("SRPT US Equity","ARDR_SELLING_GENERAL_ADMIN_EXP","FQ2 2024","FQ2 2024","Currency=USD","Period=FQ","BEST_FPERIOD_OVERRIDE=FQ","FILING_STATUS=MR","SCALING_FORMAT=MLN","Sort=A","Dates=H","DateFormat=P","Fill=—","Direction=H","UseDPDF=Y")</f>
        <v>138.79599999999999</v>
      </c>
      <c r="Z52" s="13">
        <f>_xll.BDH("SRPT US Equity","ARDR_SELLING_GENERAL_ADMIN_EXP","FQ3 2024","FQ3 2024","Currency=USD","Period=FQ","BEST_FPERIOD_OVERRIDE=FQ","FILING_STATUS=MR","SCALING_FORMAT=MLN","Sort=A","Dates=H","DateFormat=P","Fill=—","Direction=H","UseDPDF=Y")</f>
        <v>128.19999999999999</v>
      </c>
      <c r="AA52" s="13">
        <f>_xll.BDH("SRPT US Equity","ARDR_SELLING_GENERAL_ADMIN_EXP","FQ4 2024","FQ4 2024","Currency=USD","Period=FQ","BEST_FPERIOD_OVERRIDE=FQ","FILING_STATUS=MR","SCALING_FORMAT=MLN","Sort=A","Dates=H","DateFormat=P","Fill=—","Direction=H","UseDPDF=Y")</f>
        <v>163.87299999999999</v>
      </c>
    </row>
    <row r="53" spans="1:27" x14ac:dyDescent="0.25">
      <c r="A53" s="10" t="s">
        <v>502</v>
      </c>
      <c r="B53" s="10" t="s">
        <v>503</v>
      </c>
      <c r="C53" s="13">
        <f>_xll.BDH("SRPT US Equity","ARDR_DEPRECIATION_AMORTIZATION","FQ4 2018","FQ4 2018","Currency=USD","Period=FQ","BEST_FPERIOD_OVERRIDE=FQ","FILING_STATUS=MR","SCALING_FORMAT=MLN","Sort=A","Dates=H","DateFormat=P","Fill=—","Direction=H","UseDPDF=Y")</f>
        <v>3.5270000000000001</v>
      </c>
      <c r="D53" s="13">
        <f>_xll.BDH("SRPT US Equity","ARDR_DEPRECIATION_AMORTIZATION","FQ1 2019","FQ1 2019","Currency=USD","Period=FQ","BEST_FPERIOD_OVERRIDE=FQ","FILING_STATUS=MR","SCALING_FORMAT=MLN","Sort=A","Dates=H","DateFormat=P","Fill=—","Direction=H","UseDPDF=Y")</f>
        <v>6.37</v>
      </c>
      <c r="E53" s="13">
        <f>_xll.BDH("SRPT US Equity","ARDR_DEPRECIATION_AMORTIZATION","FQ2 2019","FQ2 2019","Currency=USD","Period=FQ","BEST_FPERIOD_OVERRIDE=FQ","FILING_STATUS=MR","SCALING_FORMAT=MLN","Sort=A","Dates=H","DateFormat=P","Fill=—","Direction=H","UseDPDF=Y")</f>
        <v>7.694</v>
      </c>
      <c r="F53" s="13" t="str">
        <f>_xll.BDH("SRPT US Equity","ARDR_DEPRECIATION_AMORTIZATION","FQ3 2019","FQ3 2019","Currency=USD","Period=FQ","BEST_FPERIOD_OVERRIDE=FQ","FILING_STATUS=MR","SCALING_FORMAT=MLN","Sort=A","Dates=H","DateFormat=P","Fill=—","Direction=H","UseDPDF=Y")</f>
        <v>—</v>
      </c>
      <c r="G53" s="13">
        <f>_xll.BDH("SRPT US Equity","ARDR_DEPRECIATION_AMORTIZATION","FQ4 2019","FQ4 2019","Currency=USD","Period=FQ","BEST_FPERIOD_OVERRIDE=FQ","FILING_STATUS=MR","SCALING_FORMAT=MLN","Sort=A","Dates=H","DateFormat=P","Fill=—","Direction=H","UseDPDF=Y")</f>
        <v>6.6459999999999999</v>
      </c>
      <c r="H53" s="13">
        <f>_xll.BDH("SRPT US Equity","ARDR_DEPRECIATION_AMORTIZATION","FQ1 2020","FQ1 2020","Currency=USD","Period=FQ","BEST_FPERIOD_OVERRIDE=FQ","FILING_STATUS=MR","SCALING_FORMAT=MLN","Sort=A","Dates=H","DateFormat=P","Fill=—","Direction=H","UseDPDF=Y")</f>
        <v>6.5289999999999999</v>
      </c>
      <c r="I53" s="13">
        <f>_xll.BDH("SRPT US Equity","ARDR_DEPRECIATION_AMORTIZATION","FQ2 2020","FQ2 2020","Currency=USD","Period=FQ","BEST_FPERIOD_OVERRIDE=FQ","FILING_STATUS=MR","SCALING_FORMAT=MLN","Sort=A","Dates=H","DateFormat=P","Fill=—","Direction=H","UseDPDF=Y")</f>
        <v>6.4749999999999996</v>
      </c>
      <c r="J53" s="13">
        <f>_xll.BDH("SRPT US Equity","ARDR_DEPRECIATION_AMORTIZATION","FQ3 2020","FQ3 2020","Currency=USD","Period=FQ","BEST_FPERIOD_OVERRIDE=FQ","FILING_STATUS=MR","SCALING_FORMAT=MLN","Sort=A","Dates=H","DateFormat=P","Fill=—","Direction=H","UseDPDF=Y")</f>
        <v>6.6189999999999998</v>
      </c>
      <c r="K53" s="13">
        <f>_xll.BDH("SRPT US Equity","ARDR_DEPRECIATION_AMORTIZATION","FQ4 2020","FQ4 2020","Currency=USD","Period=FQ","BEST_FPERIOD_OVERRIDE=FQ","FILING_STATUS=MR","SCALING_FORMAT=MLN","Sort=A","Dates=H","DateFormat=P","Fill=—","Direction=H","UseDPDF=Y")</f>
        <v>7.2880000000000003</v>
      </c>
      <c r="L53" s="13">
        <f>_xll.BDH("SRPT US Equity","ARDR_DEPRECIATION_AMORTIZATION","FQ1 2021","FQ1 2021","Currency=USD","Period=FQ","BEST_FPERIOD_OVERRIDE=FQ","FILING_STATUS=MR","SCALING_FORMAT=MLN","Sort=A","Dates=H","DateFormat=P","Fill=—","Direction=H","UseDPDF=Y")</f>
        <v>8.93</v>
      </c>
      <c r="M53" s="13">
        <f>_xll.BDH("SRPT US Equity","ARDR_DEPRECIATION_AMORTIZATION","FQ2 2021","FQ2 2021","Currency=USD","Period=FQ","BEST_FPERIOD_OVERRIDE=FQ","FILING_STATUS=MR","SCALING_FORMAT=MLN","Sort=A","Dates=H","DateFormat=P","Fill=—","Direction=H","UseDPDF=Y")</f>
        <v>8.4469999999999992</v>
      </c>
      <c r="N53" s="13">
        <f>_xll.BDH("SRPT US Equity","ARDR_DEPRECIATION_AMORTIZATION","FQ3 2021","FQ3 2021","Currency=USD","Period=FQ","BEST_FPERIOD_OVERRIDE=FQ","FILING_STATUS=MR","SCALING_FORMAT=MLN","Sort=A","Dates=H","DateFormat=P","Fill=—","Direction=H","UseDPDF=Y")</f>
        <v>10.494999999999999</v>
      </c>
      <c r="O53" s="13">
        <f>_xll.BDH("SRPT US Equity","ARDR_DEPRECIATION_AMORTIZATION","FQ4 2021","FQ4 2021","Currency=USD","Period=FQ","BEST_FPERIOD_OVERRIDE=FQ","FILING_STATUS=MR","SCALING_FORMAT=MLN","Sort=A","Dates=H","DateFormat=P","Fill=—","Direction=H","UseDPDF=Y")</f>
        <v>10.145</v>
      </c>
      <c r="P53" s="13">
        <f>_xll.BDH("SRPT US Equity","ARDR_DEPRECIATION_AMORTIZATION","FQ1 2022","FQ1 2022","Currency=USD","Period=FQ","BEST_FPERIOD_OVERRIDE=FQ","FILING_STATUS=MR","SCALING_FORMAT=MLN","Sort=A","Dates=H","DateFormat=P","Fill=—","Direction=H","UseDPDF=Y")</f>
        <v>10.718999999999999</v>
      </c>
      <c r="Q53" s="13">
        <f>_xll.BDH("SRPT US Equity","ARDR_DEPRECIATION_AMORTIZATION","FQ2 2022","FQ2 2022","Currency=USD","Period=FQ","BEST_FPERIOD_OVERRIDE=FQ","FILING_STATUS=MR","SCALING_FORMAT=MLN","Sort=A","Dates=H","DateFormat=P","Fill=—","Direction=H","UseDPDF=Y")</f>
        <v>9.8889999999999993</v>
      </c>
      <c r="R53" s="13">
        <f>_xll.BDH("SRPT US Equity","ARDR_DEPRECIATION_AMORTIZATION","FQ3 2022","FQ3 2022","Currency=USD","Period=FQ","BEST_FPERIOD_OVERRIDE=FQ","FILING_STATUS=MR","SCALING_FORMAT=MLN","Sort=A","Dates=H","DateFormat=P","Fill=—","Direction=H","UseDPDF=Y")</f>
        <v>10.702999999999999</v>
      </c>
      <c r="S53" s="13">
        <f>_xll.BDH("SRPT US Equity","ARDR_DEPRECIATION_AMORTIZATION","FQ4 2022","FQ4 2022","Currency=USD","Period=FQ","BEST_FPERIOD_OVERRIDE=FQ","FILING_STATUS=MR","SCALING_FORMAT=MLN","Sort=A","Dates=H","DateFormat=P","Fill=—","Direction=H","UseDPDF=Y")</f>
        <v>10.553000000000001</v>
      </c>
      <c r="T53" s="13">
        <f>_xll.BDH("SRPT US Equity","ARDR_DEPRECIATION_AMORTIZATION","FQ1 2023","FQ1 2023","Currency=USD","Period=FQ","BEST_FPERIOD_OVERRIDE=FQ","FILING_STATUS=MR","SCALING_FORMAT=MLN","Sort=A","Dates=H","DateFormat=P","Fill=—","Direction=H","UseDPDF=Y")</f>
        <v>11.305</v>
      </c>
      <c r="U53" s="13">
        <f>_xll.BDH("SRPT US Equity","ARDR_DEPRECIATION_AMORTIZATION","FQ2 2023","FQ2 2023","Currency=USD","Period=FQ","BEST_FPERIOD_OVERRIDE=FQ","FILING_STATUS=MR","SCALING_FORMAT=MLN","Sort=A","Dates=H","DateFormat=P","Fill=—","Direction=H","UseDPDF=Y")</f>
        <v>10.792</v>
      </c>
      <c r="V53" s="13">
        <f>_xll.BDH("SRPT US Equity","ARDR_DEPRECIATION_AMORTIZATION","FQ3 2023","FQ3 2023","Currency=USD","Period=FQ","BEST_FPERIOD_OVERRIDE=FQ","FILING_STATUS=MR","SCALING_FORMAT=MLN","Sort=A","Dates=H","DateFormat=P","Fill=—","Direction=H","UseDPDF=Y")</f>
        <v>10.928000000000001</v>
      </c>
      <c r="W53" s="13">
        <f>_xll.BDH("SRPT US Equity","ARDR_DEPRECIATION_AMORTIZATION","FQ4 2023","FQ4 2023","Currency=USD","Period=FQ","BEST_FPERIOD_OVERRIDE=FQ","FILING_STATUS=MR","SCALING_FORMAT=MLN","Sort=A","Dates=H","DateFormat=P","Fill=—","Direction=H","UseDPDF=Y")</f>
        <v>10.609</v>
      </c>
      <c r="X53" s="13">
        <f>_xll.BDH("SRPT US Equity","ARDR_DEPRECIATION_AMORTIZATION","FQ1 2024","FQ1 2024","Currency=USD","Period=FQ","BEST_FPERIOD_OVERRIDE=FQ","FILING_STATUS=MR","SCALING_FORMAT=MLN","Sort=A","Dates=H","DateFormat=P","Fill=—","Direction=H","UseDPDF=Y")</f>
        <v>8.7439999999999998</v>
      </c>
      <c r="Y53" s="13">
        <f>_xll.BDH("SRPT US Equity","ARDR_DEPRECIATION_AMORTIZATION","FQ2 2024","FQ2 2024","Currency=USD","Period=FQ","BEST_FPERIOD_OVERRIDE=FQ","FILING_STATUS=MR","SCALING_FORMAT=MLN","Sort=A","Dates=H","DateFormat=P","Fill=—","Direction=H","UseDPDF=Y")</f>
        <v>8.1180000000000003</v>
      </c>
      <c r="Z53" s="13">
        <f>_xll.BDH("SRPT US Equity","ARDR_DEPRECIATION_AMORTIZATION","FQ3 2024","FQ3 2024","Currency=USD","Period=FQ","BEST_FPERIOD_OVERRIDE=FQ","FILING_STATUS=MR","SCALING_FORMAT=MLN","Sort=A","Dates=H","DateFormat=P","Fill=—","Direction=H","UseDPDF=Y")</f>
        <v>9.2040000000000006</v>
      </c>
      <c r="AA53" s="13">
        <f>_xll.BDH("SRPT US Equity","ARDR_DEPRECIATION_AMORTIZATION","FQ4 2024","FQ4 2024","Currency=USD","Period=FQ","BEST_FPERIOD_OVERRIDE=FQ","FILING_STATUS=MR","SCALING_FORMAT=MLN","Sort=A","Dates=H","DateFormat=P","Fill=—","Direction=H","UseDPDF=Y")</f>
        <v>9.8539999999999992</v>
      </c>
    </row>
    <row r="54" spans="1:27" x14ac:dyDescent="0.25">
      <c r="A54" s="10" t="s">
        <v>504</v>
      </c>
      <c r="B54" s="10" t="s">
        <v>505</v>
      </c>
      <c r="C54" s="13" t="str">
        <f>_xll.BDH("SRPT US Equity","ARDR_INT_EXP","FQ4 2018","FQ4 2018","Currency=USD","Period=FQ","BEST_FPERIOD_OVERRIDE=FQ","FILING_STATUS=MR","SCALING_FORMAT=MLN","Sort=A","Dates=H","DateFormat=P","Fill=—","Direction=H","UseDPDF=Y")</f>
        <v>—</v>
      </c>
      <c r="D54" s="13" t="str">
        <f>_xll.BDH("SRPT US Equity","ARDR_INT_EXP","FQ1 2019","FQ1 2019","Currency=USD","Period=FQ","BEST_FPERIOD_OVERRIDE=FQ","FILING_STATUS=MR","SCALING_FORMAT=MLN","Sort=A","Dates=H","DateFormat=P","Fill=—","Direction=H","UseDPDF=Y")</f>
        <v>—</v>
      </c>
      <c r="E54" s="13" t="str">
        <f>_xll.BDH("SRPT US Equity","ARDR_INT_EXP","FQ2 2019","FQ2 2019","Currency=USD","Period=FQ","BEST_FPERIOD_OVERRIDE=FQ","FILING_STATUS=MR","SCALING_FORMAT=MLN","Sort=A","Dates=H","DateFormat=P","Fill=—","Direction=H","UseDPDF=Y")</f>
        <v>—</v>
      </c>
      <c r="F54" s="13">
        <f>_xll.BDH("SRPT US Equity","ARDR_INT_EXP","FQ3 2019","FQ3 2019","Currency=USD","Period=FQ","BEST_FPERIOD_OVERRIDE=FQ","FILING_STATUS=MR","SCALING_FORMAT=MLN","Sort=A","Dates=H","DateFormat=P","Fill=—","Direction=H","UseDPDF=Y")</f>
        <v>3.4289999999999998</v>
      </c>
      <c r="G54" s="13">
        <f>_xll.BDH("SRPT US Equity","ARDR_INT_EXP","FQ4 2019","FQ4 2019","Currency=USD","Period=FQ","BEST_FPERIOD_OVERRIDE=FQ","FILING_STATUS=MR","SCALING_FORMAT=MLN","Sort=A","Dates=H","DateFormat=P","Fill=—","Direction=H","UseDPDF=Y")</f>
        <v>6.0419999999999998</v>
      </c>
      <c r="H54" s="13">
        <f>_xll.BDH("SRPT US Equity","ARDR_INT_EXP","FQ1 2020","FQ1 2020","Currency=USD","Period=FQ","BEST_FPERIOD_OVERRIDE=FQ","FILING_STATUS=MR","SCALING_FORMAT=MLN","Sort=A","Dates=H","DateFormat=P","Fill=—","Direction=H","UseDPDF=Y")</f>
        <v>10.651</v>
      </c>
      <c r="I54" s="13">
        <f>_xll.BDH("SRPT US Equity","ARDR_INT_EXP","FQ2 2020","FQ2 2020","Currency=USD","Period=FQ","BEST_FPERIOD_OVERRIDE=FQ","FILING_STATUS=MR","SCALING_FORMAT=MLN","Sort=A","Dates=H","DateFormat=P","Fill=—","Direction=H","UseDPDF=Y")</f>
        <v>12.714</v>
      </c>
      <c r="J54" s="13">
        <f>_xll.BDH("SRPT US Equity","ARDR_INT_EXP","FQ3 2020","FQ3 2020","Currency=USD","Period=FQ","BEST_FPERIOD_OVERRIDE=FQ","FILING_STATUS=MR","SCALING_FORMAT=MLN","Sort=A","Dates=H","DateFormat=P","Fill=—","Direction=H","UseDPDF=Y")</f>
        <v>13.576000000000001</v>
      </c>
      <c r="K54" s="13">
        <f>_xll.BDH("SRPT US Equity","ARDR_INT_EXP","FQ4 2020","FQ4 2020","Currency=USD","Period=FQ","BEST_FPERIOD_OVERRIDE=FQ","FILING_STATUS=MR","SCALING_FORMAT=MLN","Sort=A","Dates=H","DateFormat=P","Fill=—","Direction=H","UseDPDF=Y")</f>
        <v>18.516999999999999</v>
      </c>
      <c r="L54" s="13">
        <f>_xll.BDH("SRPT US Equity","ARDR_INT_EXP","FQ1 2021","FQ1 2021","Currency=USD","Period=FQ","BEST_FPERIOD_OVERRIDE=FQ","FILING_STATUS=MR","SCALING_FORMAT=MLN","Sort=A","Dates=H","DateFormat=P","Fill=—","Direction=H","UseDPDF=Y")</f>
        <v>15.515000000000001</v>
      </c>
      <c r="M54" s="13">
        <f>_xll.BDH("SRPT US Equity","ARDR_INT_EXP","FQ2 2021","FQ2 2021","Currency=USD","Period=FQ","BEST_FPERIOD_OVERRIDE=FQ","FILING_STATUS=MR","SCALING_FORMAT=MLN","Sort=A","Dates=H","DateFormat=P","Fill=—","Direction=H","UseDPDF=Y")</f>
        <v>15.81</v>
      </c>
      <c r="N54" s="13">
        <f>_xll.BDH("SRPT US Equity","ARDR_INT_EXP","FQ3 2021","FQ3 2021","Currency=USD","Period=FQ","BEST_FPERIOD_OVERRIDE=FQ","FILING_STATUS=MR","SCALING_FORMAT=MLN","Sort=A","Dates=H","DateFormat=P","Fill=—","Direction=H","UseDPDF=Y")</f>
        <v>15.994999999999999</v>
      </c>
      <c r="O54" s="13">
        <f>_xll.BDH("SRPT US Equity","ARDR_INT_EXP","FQ4 2021","FQ4 2021","Currency=USD","Period=FQ","BEST_FPERIOD_OVERRIDE=FQ","FILING_STATUS=MR","SCALING_FORMAT=MLN","Sort=A","Dates=H","DateFormat=P","Fill=—","Direction=H","UseDPDF=Y")</f>
        <v>16.047999999999998</v>
      </c>
      <c r="P54" s="13">
        <f>_xll.BDH("SRPT US Equity","ARDR_INT_EXP","FQ1 2022","FQ1 2022","Currency=USD","Period=FQ","BEST_FPERIOD_OVERRIDE=FQ","FILING_STATUS=MR","SCALING_FORMAT=MLN","Sort=A","Dates=H","DateFormat=P","Fill=—","Direction=H","UseDPDF=Y")</f>
        <v>15.795999999999999</v>
      </c>
      <c r="Q54" s="13">
        <f>_xll.BDH("SRPT US Equity","ARDR_INT_EXP","FQ2 2022","FQ2 2022","Currency=USD","Period=FQ","BEST_FPERIOD_OVERRIDE=FQ","FILING_STATUS=MR","SCALING_FORMAT=MLN","Sort=A","Dates=H","DateFormat=P","Fill=—","Direction=H","UseDPDF=Y")</f>
        <v>14.696999999999999</v>
      </c>
      <c r="R54" s="13">
        <f>_xll.BDH("SRPT US Equity","ARDR_INT_EXP","FQ3 2022","FQ3 2022","Currency=USD","Period=FQ","BEST_FPERIOD_OVERRIDE=FQ","FILING_STATUS=MR","SCALING_FORMAT=MLN","Sort=A","Dates=H","DateFormat=P","Fill=—","Direction=H","UseDPDF=Y")</f>
        <v>11.301</v>
      </c>
      <c r="S54" s="13">
        <f>_xll.BDH("SRPT US Equity","ARDR_INT_EXP","FQ4 2022","FQ4 2022","Currency=USD","Period=FQ","BEST_FPERIOD_OVERRIDE=FQ","FILING_STATUS=MR","SCALING_FORMAT=MLN","Sort=A","Dates=H","DateFormat=P","Fill=—","Direction=H","UseDPDF=Y")</f>
        <v>0.26100000000000001</v>
      </c>
      <c r="T54" s="13">
        <f>_xll.BDH("SRPT US Equity","ARDR_INT_EXP","FQ1 2023","FQ1 2023","Currency=USD","Period=FQ","BEST_FPERIOD_OVERRIDE=FQ","FILING_STATUS=MR","SCALING_FORMAT=MLN","Sort=A","Dates=H","DateFormat=P","Fill=—","Direction=H","UseDPDF=Y")</f>
        <v>6.3230000000000004</v>
      </c>
      <c r="U54" s="13">
        <f>_xll.BDH("SRPT US Equity","ARDR_INT_EXP","FQ2 2023","FQ2 2023","Currency=USD","Period=FQ","BEST_FPERIOD_OVERRIDE=FQ","FILING_STATUS=MR","SCALING_FORMAT=MLN","Sort=A","Dates=H","DateFormat=P","Fill=—","Direction=H","UseDPDF=Y")</f>
        <v>5.2240000000000002</v>
      </c>
      <c r="V54" s="13">
        <f>_xll.BDH("SRPT US Equity","ARDR_INT_EXP","FQ3 2023","FQ3 2023","Currency=USD","Period=FQ","BEST_FPERIOD_OVERRIDE=FQ","FILING_STATUS=MR","SCALING_FORMAT=MLN","Sort=A","Dates=H","DateFormat=P","Fill=—","Direction=H","UseDPDF=Y")</f>
        <v>5.2290000000000001</v>
      </c>
      <c r="W54" s="13">
        <f>_xll.BDH("SRPT US Equity","ARDR_INT_EXP","FQ4 2023","FQ4 2023","Currency=USD","Period=FQ","BEST_FPERIOD_OVERRIDE=FQ","FILING_STATUS=MR","SCALING_FORMAT=MLN","Sort=A","Dates=H","DateFormat=P","Fill=—","Direction=H","UseDPDF=Y")</f>
        <v>5.234</v>
      </c>
      <c r="X54" s="13">
        <f>_xll.BDH("SRPT US Equity","ARDR_INT_EXP","FQ1 2024","FQ1 2024","Currency=USD","Period=FQ","BEST_FPERIOD_OVERRIDE=FQ","FILING_STATUS=MR","SCALING_FORMAT=MLN","Sort=A","Dates=H","DateFormat=P","Fill=—","Direction=H","UseDPDF=Y")</f>
        <v>4.1660000000000004</v>
      </c>
      <c r="Y54" s="13">
        <f>_xll.BDH("SRPT US Equity","ARDR_INT_EXP","FQ2 2024","FQ2 2024","Currency=USD","Period=FQ","BEST_FPERIOD_OVERRIDE=FQ","FILING_STATUS=MR","SCALING_FORMAT=MLN","Sort=A","Dates=H","DateFormat=P","Fill=—","Direction=H","UseDPDF=Y")</f>
        <v>4.8319999999999999</v>
      </c>
      <c r="Z54" s="13">
        <f>_xll.BDH("SRPT US Equity","ARDR_INT_EXP","FQ3 2024","FQ3 2024","Currency=USD","Period=FQ","BEST_FPERIOD_OVERRIDE=FQ","FILING_STATUS=MR","SCALING_FORMAT=MLN","Sort=A","Dates=H","DateFormat=P","Fill=—","Direction=H","UseDPDF=Y")</f>
        <v>4.9180000000000001</v>
      </c>
      <c r="AA54" s="13">
        <f>_xll.BDH("SRPT US Equity","ARDR_INT_EXP","FQ4 2024","FQ4 2024","Currency=USD","Period=FQ","BEST_FPERIOD_OVERRIDE=FQ","FILING_STATUS=MR","SCALING_FORMAT=MLN","Sort=A","Dates=H","DateFormat=P","Fill=—","Direction=H","UseDPDF=Y")</f>
        <v>4.4749999999999996</v>
      </c>
    </row>
    <row r="55" spans="1:27" x14ac:dyDescent="0.25">
      <c r="A55" s="10" t="s">
        <v>440</v>
      </c>
      <c r="B55" s="10" t="s">
        <v>506</v>
      </c>
      <c r="C55" s="13" t="str">
        <f>_xll.BDH("SRPT US Equity","ARDR_ACQUIRED_IN_PROCESS_R&amp;D","FQ4 2018","FQ4 2018","Currency=USD","Period=FQ","BEST_FPERIOD_OVERRIDE=FQ","FILING_STATUS=MR","SCALING_FORMAT=MLN","Sort=A","Dates=H","DateFormat=P","Fill=—","Direction=H","UseDPDF=Y")</f>
        <v>—</v>
      </c>
      <c r="D55" s="13" t="str">
        <f>_xll.BDH("SRPT US Equity","ARDR_ACQUIRED_IN_PROCESS_R&amp;D","FQ1 2019","FQ1 2019","Currency=USD","Period=FQ","BEST_FPERIOD_OVERRIDE=FQ","FILING_STATUS=MR","SCALING_FORMAT=MLN","Sort=A","Dates=H","DateFormat=P","Fill=—","Direction=H","UseDPDF=Y")</f>
        <v>—</v>
      </c>
      <c r="E55" s="13">
        <f>_xll.BDH("SRPT US Equity","ARDR_ACQUIRED_IN_PROCESS_R&amp;D","FQ2 2019","FQ2 2019","Currency=USD","Period=FQ","BEST_FPERIOD_OVERRIDE=FQ","FILING_STATUS=MR","SCALING_FORMAT=MLN","Sort=A","Dates=H","DateFormat=P","Fill=—","Direction=H","UseDPDF=Y")</f>
        <v>173.24</v>
      </c>
      <c r="F55" s="13" t="str">
        <f>_xll.BDH("SRPT US Equity","ARDR_ACQUIRED_IN_PROCESS_R&amp;D","FQ3 2019","FQ3 2019","Currency=USD","Period=FQ","BEST_FPERIOD_OVERRIDE=FQ","FILING_STATUS=MR","SCALING_FORMAT=MLN","Sort=A","Dates=H","DateFormat=P","Fill=—","Direction=H","UseDPDF=Y")</f>
        <v>—</v>
      </c>
      <c r="G55" s="13" t="str">
        <f>_xll.BDH("SRPT US Equity","ARDR_ACQUIRED_IN_PROCESS_R&amp;D","FQ4 2019","FQ4 2019","Currency=USD","Period=FQ","BEST_FPERIOD_OVERRIDE=FQ","FILING_STATUS=MR","SCALING_FORMAT=MLN","Sort=A","Dates=H","DateFormat=P","Fill=—","Direction=H","UseDPDF=Y")</f>
        <v>—</v>
      </c>
      <c r="H55" s="13" t="str">
        <f>_xll.BDH("SRPT US Equity","ARDR_ACQUIRED_IN_PROCESS_R&amp;D","FQ1 2020","FQ1 2020","Currency=USD","Period=FQ","BEST_FPERIOD_OVERRIDE=FQ","FILING_STATUS=MR","SCALING_FORMAT=MLN","Sort=A","Dates=H","DateFormat=P","Fill=—","Direction=H","UseDPDF=Y")</f>
        <v>—</v>
      </c>
      <c r="I55" s="13" t="str">
        <f>_xll.BDH("SRPT US Equity","ARDR_ACQUIRED_IN_PROCESS_R&amp;D","FQ2 2020","FQ2 2020","Currency=USD","Period=FQ","BEST_FPERIOD_OVERRIDE=FQ","FILING_STATUS=MR","SCALING_FORMAT=MLN","Sort=A","Dates=H","DateFormat=P","Fill=—","Direction=H","UseDPDF=Y")</f>
        <v>—</v>
      </c>
      <c r="J55" s="13" t="str">
        <f>_xll.BDH("SRPT US Equity","ARDR_ACQUIRED_IN_PROCESS_R&amp;D","FQ3 2020","FQ3 2020","Currency=USD","Period=FQ","BEST_FPERIOD_OVERRIDE=FQ","FILING_STATUS=MR","SCALING_FORMAT=MLN","Sort=A","Dates=H","DateFormat=P","Fill=—","Direction=H","UseDPDF=Y")</f>
        <v>—</v>
      </c>
      <c r="K55" s="13">
        <f>_xll.BDH("SRPT US Equity","ARDR_ACQUIRED_IN_PROCESS_R&amp;D","FQ4 2020","FQ4 2020","Currency=USD","Period=FQ","BEST_FPERIOD_OVERRIDE=FQ","FILING_STATUS=MR","SCALING_FORMAT=MLN","Sort=A","Dates=H","DateFormat=P","Fill=—","Direction=H","UseDPDF=Y")</f>
        <v>0</v>
      </c>
      <c r="L55" s="13" t="str">
        <f>_xll.BDH("SRPT US Equity","ARDR_ACQUIRED_IN_PROCESS_R&amp;D","FQ1 2021","FQ1 2021","Currency=USD","Period=FQ","BEST_FPERIOD_OVERRIDE=FQ","FILING_STATUS=MR","SCALING_FORMAT=MLN","Sort=A","Dates=H","DateFormat=P","Fill=—","Direction=H","UseDPDF=Y")</f>
        <v>—</v>
      </c>
      <c r="M55" s="13" t="str">
        <f>_xll.BDH("SRPT US Equity","ARDR_ACQUIRED_IN_PROCESS_R&amp;D","FQ2 2021","FQ2 2021","Currency=USD","Period=FQ","BEST_FPERIOD_OVERRIDE=FQ","FILING_STATUS=MR","SCALING_FORMAT=MLN","Sort=A","Dates=H","DateFormat=P","Fill=—","Direction=H","UseDPDF=Y")</f>
        <v>—</v>
      </c>
      <c r="N55" s="13" t="str">
        <f>_xll.BDH("SRPT US Equity","ARDR_ACQUIRED_IN_PROCESS_R&amp;D","FQ3 2021","FQ3 2021","Currency=USD","Period=FQ","BEST_FPERIOD_OVERRIDE=FQ","FILING_STATUS=MR","SCALING_FORMAT=MLN","Sort=A","Dates=H","DateFormat=P","Fill=—","Direction=H","UseDPDF=Y")</f>
        <v>—</v>
      </c>
      <c r="O55" s="13" t="str">
        <f>_xll.BDH("SRPT US Equity","ARDR_ACQUIRED_IN_PROCESS_R&amp;D","FQ4 2021","FQ4 2021","Currency=USD","Period=FQ","BEST_FPERIOD_OVERRIDE=FQ","FILING_STATUS=MR","SCALING_FORMAT=MLN","Sort=A","Dates=H","DateFormat=P","Fill=—","Direction=H","UseDPDF=Y")</f>
        <v>—</v>
      </c>
      <c r="P55" s="13" t="str">
        <f>_xll.BDH("SRPT US Equity","ARDR_ACQUIRED_IN_PROCESS_R&amp;D","FQ1 2022","FQ1 2022","Currency=USD","Period=FQ","BEST_FPERIOD_OVERRIDE=FQ","FILING_STATUS=MR","SCALING_FORMAT=MLN","Sort=A","Dates=H","DateFormat=P","Fill=—","Direction=H","UseDPDF=Y")</f>
        <v>—</v>
      </c>
      <c r="Q55" s="13" t="str">
        <f>_xll.BDH("SRPT US Equity","ARDR_ACQUIRED_IN_PROCESS_R&amp;D","FQ2 2022","FQ2 2022","Currency=USD","Period=FQ","BEST_FPERIOD_OVERRIDE=FQ","FILING_STATUS=MR","SCALING_FORMAT=MLN","Sort=A","Dates=H","DateFormat=P","Fill=—","Direction=H","UseDPDF=Y")</f>
        <v>—</v>
      </c>
      <c r="R55" s="13" t="str">
        <f>_xll.BDH("SRPT US Equity","ARDR_ACQUIRED_IN_PROCESS_R&amp;D","FQ3 2022","FQ3 2022","Currency=USD","Period=FQ","BEST_FPERIOD_OVERRIDE=FQ","FILING_STATUS=MR","SCALING_FORMAT=MLN","Sort=A","Dates=H","DateFormat=P","Fill=—","Direction=H","UseDPDF=Y")</f>
        <v>—</v>
      </c>
      <c r="S55" s="13" t="str">
        <f>_xll.BDH("SRPT US Equity","ARDR_ACQUIRED_IN_PROCESS_R&amp;D","FQ4 2022","FQ4 2022","Currency=USD","Period=FQ","BEST_FPERIOD_OVERRIDE=FQ","FILING_STATUS=MR","SCALING_FORMAT=MLN","Sort=A","Dates=H","DateFormat=P","Fill=—","Direction=H","UseDPDF=Y")</f>
        <v>—</v>
      </c>
      <c r="T55" s="13" t="str">
        <f>_xll.BDH("SRPT US Equity","ARDR_ACQUIRED_IN_PROCESS_R&amp;D","FQ1 2023","FQ1 2023","Currency=USD","Period=FQ","BEST_FPERIOD_OVERRIDE=FQ","FILING_STATUS=MR","SCALING_FORMAT=MLN","Sort=A","Dates=H","DateFormat=P","Fill=—","Direction=H","UseDPDF=Y")</f>
        <v>—</v>
      </c>
      <c r="U55" s="13" t="str">
        <f>_xll.BDH("SRPT US Equity","ARDR_ACQUIRED_IN_PROCESS_R&amp;D","FQ2 2023","FQ2 2023","Currency=USD","Period=FQ","BEST_FPERIOD_OVERRIDE=FQ","FILING_STATUS=MR","SCALING_FORMAT=MLN","Sort=A","Dates=H","DateFormat=P","Fill=—","Direction=H","UseDPDF=Y")</f>
        <v>—</v>
      </c>
      <c r="V55" s="13" t="str">
        <f>_xll.BDH("SRPT US Equity","ARDR_ACQUIRED_IN_PROCESS_R&amp;D","FQ3 2023","FQ3 2023","Currency=USD","Period=FQ","BEST_FPERIOD_OVERRIDE=FQ","FILING_STATUS=MR","SCALING_FORMAT=MLN","Sort=A","Dates=H","DateFormat=P","Fill=—","Direction=H","UseDPDF=Y")</f>
        <v>—</v>
      </c>
      <c r="W55" s="13" t="str">
        <f>_xll.BDH("SRPT US Equity","ARDR_ACQUIRED_IN_PROCESS_R&amp;D","FQ4 2023","FQ4 2023","Currency=USD","Period=FQ","BEST_FPERIOD_OVERRIDE=FQ","FILING_STATUS=MR","SCALING_FORMAT=MLN","Sort=A","Dates=H","DateFormat=P","Fill=—","Direction=H","UseDPDF=Y")</f>
        <v>—</v>
      </c>
      <c r="X55" s="13" t="str">
        <f>_xll.BDH("SRPT US Equity","ARDR_ACQUIRED_IN_PROCESS_R&amp;D","FQ1 2024","FQ1 2024","Currency=USD","Period=FQ","BEST_FPERIOD_OVERRIDE=FQ","FILING_STATUS=MR","SCALING_FORMAT=MLN","Sort=A","Dates=H","DateFormat=P","Fill=—","Direction=H","UseDPDF=Y")</f>
        <v>—</v>
      </c>
      <c r="Y55" s="13" t="str">
        <f>_xll.BDH("SRPT US Equity","ARDR_ACQUIRED_IN_PROCESS_R&amp;D","FQ2 2024","FQ2 2024","Currency=USD","Period=FQ","BEST_FPERIOD_OVERRIDE=FQ","FILING_STATUS=MR","SCALING_FORMAT=MLN","Sort=A","Dates=H","DateFormat=P","Fill=—","Direction=H","UseDPDF=Y")</f>
        <v>—</v>
      </c>
      <c r="Z55" s="13" t="str">
        <f>_xll.BDH("SRPT US Equity","ARDR_ACQUIRED_IN_PROCESS_R&amp;D","FQ3 2024","FQ3 2024","Currency=USD","Period=FQ","BEST_FPERIOD_OVERRIDE=FQ","FILING_STATUS=MR","SCALING_FORMAT=MLN","Sort=A","Dates=H","DateFormat=P","Fill=—","Direction=H","UseDPDF=Y")</f>
        <v>—</v>
      </c>
      <c r="AA55" s="13" t="str">
        <f>_xll.BDH("SRPT US Equity","ARDR_ACQUIRED_IN_PROCESS_R&amp;D","FQ4 2024","FQ4 2024","Currency=USD","Period=FQ","BEST_FPERIOD_OVERRIDE=FQ","FILING_STATUS=MR","SCALING_FORMAT=MLN","Sort=A","Dates=H","DateFormat=P","Fill=—","Direction=H","UseDPDF=Y")</f>
        <v>—</v>
      </c>
    </row>
    <row r="56" spans="1:27" x14ac:dyDescent="0.25">
      <c r="A56" s="10" t="s">
        <v>507</v>
      </c>
      <c r="B56" s="10" t="s">
        <v>508</v>
      </c>
      <c r="C56" s="13">
        <f>_xll.BDH("SRPT US Equity","ARDR_GL_ON_SALE_OF_ASSETS","FQ4 2018","FQ4 2018","Currency=USD","Period=FQ","BEST_FPERIOD_OVERRIDE=FQ","FILING_STATUS=MR","SCALING_FORMAT=MLN","Sort=A","Dates=H","DateFormat=P","Fill=—","Direction=H","UseDPDF=Y")</f>
        <v>3.8439999999999999</v>
      </c>
      <c r="D56" s="13">
        <f>_xll.BDH("SRPT US Equity","ARDR_GL_ON_SALE_OF_ASSETS","FQ1 2019","FQ1 2019","Currency=USD","Period=FQ","BEST_FPERIOD_OVERRIDE=FQ","FILING_STATUS=MR","SCALING_FORMAT=MLN","Sort=A","Dates=H","DateFormat=P","Fill=—","Direction=H","UseDPDF=Y")</f>
        <v>8.7999999999999995E-2</v>
      </c>
      <c r="E56" s="13" t="str">
        <f>_xll.BDH("SRPT US Equity","ARDR_GL_ON_SALE_OF_ASSETS","FQ2 2019","FQ2 2019","Currency=USD","Period=FQ","BEST_FPERIOD_OVERRIDE=FQ","FILING_STATUS=MR","SCALING_FORMAT=MLN","Sort=A","Dates=H","DateFormat=P","Fill=—","Direction=H","UseDPDF=Y")</f>
        <v>—</v>
      </c>
      <c r="F56" s="13" t="str">
        <f>_xll.BDH("SRPT US Equity","ARDR_GL_ON_SALE_OF_ASSETS","FQ3 2019","FQ3 2019","Currency=USD","Period=FQ","BEST_FPERIOD_OVERRIDE=FQ","FILING_STATUS=MR","SCALING_FORMAT=MLN","Sort=A","Dates=H","DateFormat=P","Fill=—","Direction=H","UseDPDF=Y")</f>
        <v>—</v>
      </c>
      <c r="G56" s="13" t="str">
        <f>_xll.BDH("SRPT US Equity","ARDR_GL_ON_SALE_OF_ASSETS","FQ4 2019","FQ4 2019","Currency=USD","Period=FQ","BEST_FPERIOD_OVERRIDE=FQ","FILING_STATUS=MR","SCALING_FORMAT=MLN","Sort=A","Dates=H","DateFormat=P","Fill=—","Direction=H","UseDPDF=Y")</f>
        <v>—</v>
      </c>
      <c r="H56" s="13" t="str">
        <f>_xll.BDH("SRPT US Equity","ARDR_GL_ON_SALE_OF_ASSETS","FQ1 2020","FQ1 2020","Currency=USD","Period=FQ","BEST_FPERIOD_OVERRIDE=FQ","FILING_STATUS=MR","SCALING_FORMAT=MLN","Sort=A","Dates=H","DateFormat=P","Fill=—","Direction=H","UseDPDF=Y")</f>
        <v>—</v>
      </c>
      <c r="I56" s="13" t="str">
        <f>_xll.BDH("SRPT US Equity","ARDR_GL_ON_SALE_OF_ASSETS","FQ2 2020","FQ2 2020","Currency=USD","Period=FQ","BEST_FPERIOD_OVERRIDE=FQ","FILING_STATUS=MR","SCALING_FORMAT=MLN","Sort=A","Dates=H","DateFormat=P","Fill=—","Direction=H","UseDPDF=Y")</f>
        <v>—</v>
      </c>
      <c r="J56" s="13" t="str">
        <f>_xll.BDH("SRPT US Equity","ARDR_GL_ON_SALE_OF_ASSETS","FQ3 2020","FQ3 2020","Currency=USD","Period=FQ","BEST_FPERIOD_OVERRIDE=FQ","FILING_STATUS=MR","SCALING_FORMAT=MLN","Sort=A","Dates=H","DateFormat=P","Fill=—","Direction=H","UseDPDF=Y")</f>
        <v>—</v>
      </c>
      <c r="K56" s="13" t="str">
        <f>_xll.BDH("SRPT US Equity","ARDR_GL_ON_SALE_OF_ASSETS","FQ4 2020","FQ4 2020","Currency=USD","Period=FQ","BEST_FPERIOD_OVERRIDE=FQ","FILING_STATUS=MR","SCALING_FORMAT=MLN","Sort=A","Dates=H","DateFormat=P","Fill=—","Direction=H","UseDPDF=Y")</f>
        <v>—</v>
      </c>
      <c r="L56" s="13" t="str">
        <f>_xll.BDH("SRPT US Equity","ARDR_GL_ON_SALE_OF_ASSETS","FQ1 2021","FQ1 2021","Currency=USD","Period=FQ","BEST_FPERIOD_OVERRIDE=FQ","FILING_STATUS=MR","SCALING_FORMAT=MLN","Sort=A","Dates=H","DateFormat=P","Fill=—","Direction=H","UseDPDF=Y")</f>
        <v>—</v>
      </c>
      <c r="M56" s="13">
        <f>_xll.BDH("SRPT US Equity","ARDR_GL_ON_SALE_OF_ASSETS","FQ2 2021","FQ2 2021","Currency=USD","Period=FQ","BEST_FPERIOD_OVERRIDE=FQ","FILING_STATUS=MR","SCALING_FORMAT=MLN","Sort=A","Dates=H","DateFormat=P","Fill=—","Direction=H","UseDPDF=Y")</f>
        <v>-102</v>
      </c>
      <c r="N56" s="13" t="str">
        <f>_xll.BDH("SRPT US Equity","ARDR_GL_ON_SALE_OF_ASSETS","FQ3 2021","FQ3 2021","Currency=USD","Period=FQ","BEST_FPERIOD_OVERRIDE=FQ","FILING_STATUS=MR","SCALING_FORMAT=MLN","Sort=A","Dates=H","DateFormat=P","Fill=—","Direction=H","UseDPDF=Y")</f>
        <v>—</v>
      </c>
      <c r="O56" s="13" t="str">
        <f>_xll.BDH("SRPT US Equity","ARDR_GL_ON_SALE_OF_ASSETS","FQ4 2021","FQ4 2021","Currency=USD","Period=FQ","BEST_FPERIOD_OVERRIDE=FQ","FILING_STATUS=MR","SCALING_FORMAT=MLN","Sort=A","Dates=H","DateFormat=P","Fill=—","Direction=H","UseDPDF=Y")</f>
        <v>—</v>
      </c>
      <c r="P56" s="13" t="str">
        <f>_xll.BDH("SRPT US Equity","ARDR_GL_ON_SALE_OF_ASSETS","FQ1 2022","FQ1 2022","Currency=USD","Period=FQ","BEST_FPERIOD_OVERRIDE=FQ","FILING_STATUS=MR","SCALING_FORMAT=MLN","Sort=A","Dates=H","DateFormat=P","Fill=—","Direction=H","UseDPDF=Y")</f>
        <v>—</v>
      </c>
      <c r="Q56" s="13">
        <f>_xll.BDH("SRPT US Equity","ARDR_GL_ON_SALE_OF_ASSETS","FQ2 2022","FQ2 2022","Currency=USD","Period=FQ","BEST_FPERIOD_OVERRIDE=FQ","FILING_STATUS=MR","SCALING_FORMAT=MLN","Sort=A","Dates=H","DateFormat=P","Fill=—","Direction=H","UseDPDF=Y")</f>
        <v>0</v>
      </c>
      <c r="R56" s="13" t="str">
        <f>_xll.BDH("SRPT US Equity","ARDR_GL_ON_SALE_OF_ASSETS","FQ3 2022","FQ3 2022","Currency=USD","Period=FQ","BEST_FPERIOD_OVERRIDE=FQ","FILING_STATUS=MR","SCALING_FORMAT=MLN","Sort=A","Dates=H","DateFormat=P","Fill=—","Direction=H","UseDPDF=Y")</f>
        <v>—</v>
      </c>
      <c r="S56" s="13" t="str">
        <f>_xll.BDH("SRPT US Equity","ARDR_GL_ON_SALE_OF_ASSETS","FQ4 2022","FQ4 2022","Currency=USD","Period=FQ","BEST_FPERIOD_OVERRIDE=FQ","FILING_STATUS=MR","SCALING_FORMAT=MLN","Sort=A","Dates=H","DateFormat=P","Fill=—","Direction=H","UseDPDF=Y")</f>
        <v>—</v>
      </c>
      <c r="T56" s="13" t="str">
        <f>_xll.BDH("SRPT US Equity","ARDR_GL_ON_SALE_OF_ASSETS","FQ1 2023","FQ1 2023","Currency=USD","Period=FQ","BEST_FPERIOD_OVERRIDE=FQ","FILING_STATUS=MR","SCALING_FORMAT=MLN","Sort=A","Dates=H","DateFormat=P","Fill=—","Direction=H","UseDPDF=Y")</f>
        <v>—</v>
      </c>
      <c r="U56" s="13" t="str">
        <f>_xll.BDH("SRPT US Equity","ARDR_GL_ON_SALE_OF_ASSETS","FQ2 2023","FQ2 2023","Currency=USD","Period=FQ","BEST_FPERIOD_OVERRIDE=FQ","FILING_STATUS=MR","SCALING_FORMAT=MLN","Sort=A","Dates=H","DateFormat=P","Fill=—","Direction=H","UseDPDF=Y")</f>
        <v>—</v>
      </c>
      <c r="V56" s="13" t="str">
        <f>_xll.BDH("SRPT US Equity","ARDR_GL_ON_SALE_OF_ASSETS","FQ3 2023","FQ3 2023","Currency=USD","Period=FQ","BEST_FPERIOD_OVERRIDE=FQ","FILING_STATUS=MR","SCALING_FORMAT=MLN","Sort=A","Dates=H","DateFormat=P","Fill=—","Direction=H","UseDPDF=Y")</f>
        <v>—</v>
      </c>
      <c r="W56" s="13">
        <f>_xll.BDH("SRPT US Equity","ARDR_GL_ON_SALE_OF_ASSETS","FQ4 2023","FQ4 2023","Currency=USD","Period=FQ","BEST_FPERIOD_OVERRIDE=FQ","FILING_STATUS=MR","SCALING_FORMAT=MLN","Sort=A","Dates=H","DateFormat=P","Fill=—","Direction=H","UseDPDF=Y")</f>
        <v>0</v>
      </c>
      <c r="X56" s="13" t="str">
        <f>_xll.BDH("SRPT US Equity","ARDR_GL_ON_SALE_OF_ASSETS","FQ1 2024","FQ1 2024","Currency=USD","Period=FQ","BEST_FPERIOD_OVERRIDE=FQ","FILING_STATUS=MR","SCALING_FORMAT=MLN","Sort=A","Dates=H","DateFormat=P","Fill=—","Direction=H","UseDPDF=Y")</f>
        <v>—</v>
      </c>
      <c r="Y56" s="13" t="str">
        <f>_xll.BDH("SRPT US Equity","ARDR_GL_ON_SALE_OF_ASSETS","FQ2 2024","FQ2 2024","Currency=USD","Period=FQ","BEST_FPERIOD_OVERRIDE=FQ","FILING_STATUS=MR","SCALING_FORMAT=MLN","Sort=A","Dates=H","DateFormat=P","Fill=—","Direction=H","UseDPDF=Y")</f>
        <v>—</v>
      </c>
      <c r="Z56" s="13" t="str">
        <f>_xll.BDH("SRPT US Equity","ARDR_GL_ON_SALE_OF_ASSETS","FQ3 2024","FQ3 2024","Currency=USD","Period=FQ","BEST_FPERIOD_OVERRIDE=FQ","FILING_STATUS=MR","SCALING_FORMAT=MLN","Sort=A","Dates=H","DateFormat=P","Fill=—","Direction=H","UseDPDF=Y")</f>
        <v>—</v>
      </c>
      <c r="AA56" s="13" t="str">
        <f>_xll.BDH("SRPT US Equity","ARDR_GL_ON_SALE_OF_ASSETS","FQ4 2024","FQ4 2024","Currency=USD","Period=FQ","BEST_FPERIOD_OVERRIDE=FQ","FILING_STATUS=MR","SCALING_FORMAT=MLN","Sort=A","Dates=H","DateFormat=P","Fill=—","Direction=H","UseDPDF=Y")</f>
        <v>—</v>
      </c>
    </row>
    <row r="57" spans="1:27" x14ac:dyDescent="0.25">
      <c r="A57" s="10" t="s">
        <v>509</v>
      </c>
      <c r="B57" s="10" t="s">
        <v>510</v>
      </c>
      <c r="C57" s="13">
        <f>_xll.BDH("SRPT US Equity","ARDR_RESTRUCTURING_CHARGES","FQ4 2018","FQ4 2018","Currency=USD","Period=FQ","BEST_FPERIOD_OVERRIDE=FQ","FILING_STATUS=MR","SCALING_FORMAT=MLN","Sort=A","Dates=H","DateFormat=P","Fill=—","Direction=H","UseDPDF=Y")</f>
        <v>0</v>
      </c>
      <c r="D57" s="13" t="str">
        <f>_xll.BDH("SRPT US Equity","ARDR_RESTRUCTURING_CHARGES","FQ1 2019","FQ1 2019","Currency=USD","Period=FQ","BEST_FPERIOD_OVERRIDE=FQ","FILING_STATUS=MR","SCALING_FORMAT=MLN","Sort=A","Dates=H","DateFormat=P","Fill=—","Direction=H","UseDPDF=Y")</f>
        <v>—</v>
      </c>
      <c r="E57" s="13" t="str">
        <f>_xll.BDH("SRPT US Equity","ARDR_RESTRUCTURING_CHARGES","FQ2 2019","FQ2 2019","Currency=USD","Period=FQ","BEST_FPERIOD_OVERRIDE=FQ","FILING_STATUS=MR","SCALING_FORMAT=MLN","Sort=A","Dates=H","DateFormat=P","Fill=—","Direction=H","UseDPDF=Y")</f>
        <v>—</v>
      </c>
      <c r="F57" s="13" t="str">
        <f>_xll.BDH("SRPT US Equity","ARDR_RESTRUCTURING_CHARGES","FQ3 2019","FQ3 2019","Currency=USD","Period=FQ","BEST_FPERIOD_OVERRIDE=FQ","FILING_STATUS=MR","SCALING_FORMAT=MLN","Sort=A","Dates=H","DateFormat=P","Fill=—","Direction=H","UseDPDF=Y")</f>
        <v>—</v>
      </c>
      <c r="G57" s="13" t="str">
        <f>_xll.BDH("SRPT US Equity","ARDR_RESTRUCTURING_CHARGES","FQ4 2019","FQ4 2019","Currency=USD","Period=FQ","BEST_FPERIOD_OVERRIDE=FQ","FILING_STATUS=MR","SCALING_FORMAT=MLN","Sort=A","Dates=H","DateFormat=P","Fill=—","Direction=H","UseDPDF=Y")</f>
        <v>—</v>
      </c>
      <c r="H57" s="13" t="str">
        <f>_xll.BDH("SRPT US Equity","ARDR_RESTRUCTURING_CHARGES","FQ1 2020","FQ1 2020","Currency=USD","Period=FQ","BEST_FPERIOD_OVERRIDE=FQ","FILING_STATUS=MR","SCALING_FORMAT=MLN","Sort=A","Dates=H","DateFormat=P","Fill=—","Direction=H","UseDPDF=Y")</f>
        <v>—</v>
      </c>
      <c r="I57" s="13" t="str">
        <f>_xll.BDH("SRPT US Equity","ARDR_RESTRUCTURING_CHARGES","FQ2 2020","FQ2 2020","Currency=USD","Period=FQ","BEST_FPERIOD_OVERRIDE=FQ","FILING_STATUS=MR","SCALING_FORMAT=MLN","Sort=A","Dates=H","DateFormat=P","Fill=—","Direction=H","UseDPDF=Y")</f>
        <v>—</v>
      </c>
      <c r="J57" s="13" t="str">
        <f>_xll.BDH("SRPT US Equity","ARDR_RESTRUCTURING_CHARGES","FQ3 2020","FQ3 2020","Currency=USD","Period=FQ","BEST_FPERIOD_OVERRIDE=FQ","FILING_STATUS=MR","SCALING_FORMAT=MLN","Sort=A","Dates=H","DateFormat=P","Fill=—","Direction=H","UseDPDF=Y")</f>
        <v>—</v>
      </c>
      <c r="K57" s="13" t="str">
        <f>_xll.BDH("SRPT US Equity","ARDR_RESTRUCTURING_CHARGES","FQ4 2020","FQ4 2020","Currency=USD","Period=FQ","BEST_FPERIOD_OVERRIDE=FQ","FILING_STATUS=MR","SCALING_FORMAT=MLN","Sort=A","Dates=H","DateFormat=P","Fill=—","Direction=H","UseDPDF=Y")</f>
        <v>—</v>
      </c>
      <c r="L57" s="13" t="str">
        <f>_xll.BDH("SRPT US Equity","ARDR_RESTRUCTURING_CHARGES","FQ1 2021","FQ1 2021","Currency=USD","Period=FQ","BEST_FPERIOD_OVERRIDE=FQ","FILING_STATUS=MR","SCALING_FORMAT=MLN","Sort=A","Dates=H","DateFormat=P","Fill=—","Direction=H","UseDPDF=Y")</f>
        <v>—</v>
      </c>
      <c r="M57" s="13" t="str">
        <f>_xll.BDH("SRPT US Equity","ARDR_RESTRUCTURING_CHARGES","FQ2 2021","FQ2 2021","Currency=USD","Period=FQ","BEST_FPERIOD_OVERRIDE=FQ","FILING_STATUS=MR","SCALING_FORMAT=MLN","Sort=A","Dates=H","DateFormat=P","Fill=—","Direction=H","UseDPDF=Y")</f>
        <v>—</v>
      </c>
      <c r="N57" s="13" t="str">
        <f>_xll.BDH("SRPT US Equity","ARDR_RESTRUCTURING_CHARGES","FQ3 2021","FQ3 2021","Currency=USD","Period=FQ","BEST_FPERIOD_OVERRIDE=FQ","FILING_STATUS=MR","SCALING_FORMAT=MLN","Sort=A","Dates=H","DateFormat=P","Fill=—","Direction=H","UseDPDF=Y")</f>
        <v>—</v>
      </c>
      <c r="O57" s="13" t="str">
        <f>_xll.BDH("SRPT US Equity","ARDR_RESTRUCTURING_CHARGES","FQ4 2021","FQ4 2021","Currency=USD","Period=FQ","BEST_FPERIOD_OVERRIDE=FQ","FILING_STATUS=MR","SCALING_FORMAT=MLN","Sort=A","Dates=H","DateFormat=P","Fill=—","Direction=H","UseDPDF=Y")</f>
        <v>—</v>
      </c>
      <c r="P57" s="13" t="str">
        <f>_xll.BDH("SRPT US Equity","ARDR_RESTRUCTURING_CHARGES","FQ1 2022","FQ1 2022","Currency=USD","Period=FQ","BEST_FPERIOD_OVERRIDE=FQ","FILING_STATUS=MR","SCALING_FORMAT=MLN","Sort=A","Dates=H","DateFormat=P","Fill=—","Direction=H","UseDPDF=Y")</f>
        <v>—</v>
      </c>
      <c r="Q57" s="13" t="str">
        <f>_xll.BDH("SRPT US Equity","ARDR_RESTRUCTURING_CHARGES","FQ2 2022","FQ2 2022","Currency=USD","Period=FQ","BEST_FPERIOD_OVERRIDE=FQ","FILING_STATUS=MR","SCALING_FORMAT=MLN","Sort=A","Dates=H","DateFormat=P","Fill=—","Direction=H","UseDPDF=Y")</f>
        <v>—</v>
      </c>
      <c r="R57" s="13" t="str">
        <f>_xll.BDH("SRPT US Equity","ARDR_RESTRUCTURING_CHARGES","FQ3 2022","FQ3 2022","Currency=USD","Period=FQ","BEST_FPERIOD_OVERRIDE=FQ","FILING_STATUS=MR","SCALING_FORMAT=MLN","Sort=A","Dates=H","DateFormat=P","Fill=—","Direction=H","UseDPDF=Y")</f>
        <v>—</v>
      </c>
      <c r="S57" s="13" t="str">
        <f>_xll.BDH("SRPT US Equity","ARDR_RESTRUCTURING_CHARGES","FQ4 2022","FQ4 2022","Currency=USD","Period=FQ","BEST_FPERIOD_OVERRIDE=FQ","FILING_STATUS=MR","SCALING_FORMAT=MLN","Sort=A","Dates=H","DateFormat=P","Fill=—","Direction=H","UseDPDF=Y")</f>
        <v>—</v>
      </c>
      <c r="T57" s="13" t="str">
        <f>_xll.BDH("SRPT US Equity","ARDR_RESTRUCTURING_CHARGES","FQ1 2023","FQ1 2023","Currency=USD","Period=FQ","BEST_FPERIOD_OVERRIDE=FQ","FILING_STATUS=MR","SCALING_FORMAT=MLN","Sort=A","Dates=H","DateFormat=P","Fill=—","Direction=H","UseDPDF=Y")</f>
        <v>—</v>
      </c>
      <c r="U57" s="13" t="str">
        <f>_xll.BDH("SRPT US Equity","ARDR_RESTRUCTURING_CHARGES","FQ2 2023","FQ2 2023","Currency=USD","Period=FQ","BEST_FPERIOD_OVERRIDE=FQ","FILING_STATUS=MR","SCALING_FORMAT=MLN","Sort=A","Dates=H","DateFormat=P","Fill=—","Direction=H","UseDPDF=Y")</f>
        <v>—</v>
      </c>
      <c r="V57" s="13" t="str">
        <f>_xll.BDH("SRPT US Equity","ARDR_RESTRUCTURING_CHARGES","FQ3 2023","FQ3 2023","Currency=USD","Period=FQ","BEST_FPERIOD_OVERRIDE=FQ","FILING_STATUS=MR","SCALING_FORMAT=MLN","Sort=A","Dates=H","DateFormat=P","Fill=—","Direction=H","UseDPDF=Y")</f>
        <v>—</v>
      </c>
      <c r="W57" s="13" t="str">
        <f>_xll.BDH("SRPT US Equity","ARDR_RESTRUCTURING_CHARGES","FQ4 2023","FQ4 2023","Currency=USD","Period=FQ","BEST_FPERIOD_OVERRIDE=FQ","FILING_STATUS=MR","SCALING_FORMAT=MLN","Sort=A","Dates=H","DateFormat=P","Fill=—","Direction=H","UseDPDF=Y")</f>
        <v>—</v>
      </c>
      <c r="X57" s="13" t="str">
        <f>_xll.BDH("SRPT US Equity","ARDR_RESTRUCTURING_CHARGES","FQ1 2024","FQ1 2024","Currency=USD","Period=FQ","BEST_FPERIOD_OVERRIDE=FQ","FILING_STATUS=MR","SCALING_FORMAT=MLN","Sort=A","Dates=H","DateFormat=P","Fill=—","Direction=H","UseDPDF=Y")</f>
        <v>—</v>
      </c>
      <c r="Y57" s="13" t="str">
        <f>_xll.BDH("SRPT US Equity","ARDR_RESTRUCTURING_CHARGES","FQ2 2024","FQ2 2024","Currency=USD","Period=FQ","BEST_FPERIOD_OVERRIDE=FQ","FILING_STATUS=MR","SCALING_FORMAT=MLN","Sort=A","Dates=H","DateFormat=P","Fill=—","Direction=H","UseDPDF=Y")</f>
        <v>—</v>
      </c>
      <c r="Z57" s="13" t="str">
        <f>_xll.BDH("SRPT US Equity","ARDR_RESTRUCTURING_CHARGES","FQ3 2024","FQ3 2024","Currency=USD","Period=FQ","BEST_FPERIOD_OVERRIDE=FQ","FILING_STATUS=MR","SCALING_FORMAT=MLN","Sort=A","Dates=H","DateFormat=P","Fill=—","Direction=H","UseDPDF=Y")</f>
        <v>—</v>
      </c>
      <c r="AA57" s="13" t="str">
        <f>_xll.BDH("SRPT US Equity","ARDR_RESTRUCTURING_CHARGES","FQ4 2024","FQ4 2024","Currency=USD","Period=FQ","BEST_FPERIOD_OVERRIDE=FQ","FILING_STATUS=MR","SCALING_FORMAT=MLN","Sort=A","Dates=H","DateFormat=P","Fill=—","Direction=H","UseDPDF=Y")</f>
        <v>—</v>
      </c>
    </row>
    <row r="58" spans="1:27" x14ac:dyDescent="0.25">
      <c r="A58" s="10" t="s">
        <v>511</v>
      </c>
      <c r="B58" s="10" t="s">
        <v>512</v>
      </c>
      <c r="C58" s="13" t="str">
        <f>_xll.BDH("SRPT US Equity","ARDR_OTHER_ONE_TIME_CHARGES","FQ4 2018","FQ4 2018","Currency=USD","Period=FQ","BEST_FPERIOD_OVERRIDE=FQ","FILING_STATUS=MR","SCALING_FORMAT=MLN","Sort=A","Dates=H","DateFormat=P","Fill=—","Direction=H","UseDPDF=Y")</f>
        <v>—</v>
      </c>
      <c r="D58" s="13">
        <f>_xll.BDH("SRPT US Equity","ARDR_OTHER_ONE_TIME_CHARGES","FQ1 2019","FQ1 2019","Currency=USD","Period=FQ","BEST_FPERIOD_OVERRIDE=FQ","FILING_STATUS=MR","SCALING_FORMAT=MLN","Sort=A","Dates=H","DateFormat=P","Fill=—","Direction=H","UseDPDF=Y")</f>
        <v>1.1220000000000001</v>
      </c>
      <c r="E58" s="13">
        <f>_xll.BDH("SRPT US Equity","ARDR_OTHER_ONE_TIME_CHARGES","FQ2 2019","FQ2 2019","Currency=USD","Period=FQ","BEST_FPERIOD_OVERRIDE=FQ","FILING_STATUS=MR","SCALING_FORMAT=MLN","Sort=A","Dates=H","DateFormat=P","Fill=—","Direction=H","UseDPDF=Y")</f>
        <v>15.077999999999999</v>
      </c>
      <c r="F58" s="13">
        <f>_xll.BDH("SRPT US Equity","ARDR_OTHER_ONE_TIME_CHARGES","FQ3 2019","FQ3 2019","Currency=USD","Period=FQ","BEST_FPERIOD_OVERRIDE=FQ","FILING_STATUS=MR","SCALING_FORMAT=MLN","Sort=A","Dates=H","DateFormat=P","Fill=—","Direction=H","UseDPDF=Y")</f>
        <v>12.146000000000001</v>
      </c>
      <c r="G58" s="13">
        <f>_xll.BDH("SRPT US Equity","ARDR_OTHER_ONE_TIME_CHARGES","FQ4 2019","FQ4 2019","Currency=USD","Period=FQ","BEST_FPERIOD_OVERRIDE=FQ","FILING_STATUS=MR","SCALING_FORMAT=MLN","Sort=A","Dates=H","DateFormat=P","Fill=—","Direction=H","UseDPDF=Y")</f>
        <v>74.816000000000003</v>
      </c>
      <c r="H58" s="13" t="str">
        <f>_xll.BDH("SRPT US Equity","ARDR_OTHER_ONE_TIME_CHARGES","FQ1 2020","FQ1 2020","Currency=USD","Period=FQ","BEST_FPERIOD_OVERRIDE=FQ","FILING_STATUS=MR","SCALING_FORMAT=MLN","Sort=A","Dates=H","DateFormat=P","Fill=—","Direction=H","UseDPDF=Y")</f>
        <v>—</v>
      </c>
      <c r="I58" s="13" t="str">
        <f>_xll.BDH("SRPT US Equity","ARDR_OTHER_ONE_TIME_CHARGES","FQ2 2020","FQ2 2020","Currency=USD","Period=FQ","BEST_FPERIOD_OVERRIDE=FQ","FILING_STATUS=MR","SCALING_FORMAT=MLN","Sort=A","Dates=H","DateFormat=P","Fill=—","Direction=H","UseDPDF=Y")</f>
        <v>—</v>
      </c>
      <c r="J58" s="13">
        <f>_xll.BDH("SRPT US Equity","ARDR_OTHER_ONE_TIME_CHARGES","FQ3 2020","FQ3 2020","Currency=USD","Period=FQ","BEST_FPERIOD_OVERRIDE=FQ","FILING_STATUS=MR","SCALING_FORMAT=MLN","Sort=A","Dates=H","DateFormat=P","Fill=—","Direction=H","UseDPDF=Y")</f>
        <v>15.375</v>
      </c>
      <c r="K58" s="13">
        <f>_xll.BDH("SRPT US Equity","ARDR_OTHER_ONE_TIME_CHARGES","FQ4 2020","FQ4 2020","Currency=USD","Period=FQ","BEST_FPERIOD_OVERRIDE=FQ","FILING_STATUS=MR","SCALING_FORMAT=MLN","Sort=A","Dates=H","DateFormat=P","Fill=—","Direction=H","UseDPDF=Y")</f>
        <v>10.622</v>
      </c>
      <c r="L58" s="13">
        <f>_xll.BDH("SRPT US Equity","ARDR_OTHER_ONE_TIME_CHARGES","FQ1 2021","FQ1 2021","Currency=USD","Period=FQ","BEST_FPERIOD_OVERRIDE=FQ","FILING_STATUS=MR","SCALING_FORMAT=MLN","Sort=A","Dates=H","DateFormat=P","Fill=—","Direction=H","UseDPDF=Y")</f>
        <v>4</v>
      </c>
      <c r="M58" s="13">
        <f>_xll.BDH("SRPT US Equity","ARDR_OTHER_ONE_TIME_CHARGES","FQ2 2021","FQ2 2021","Currency=USD","Period=FQ","BEST_FPERIOD_OVERRIDE=FQ","FILING_STATUS=MR","SCALING_FORMAT=MLN","Sort=A","Dates=H","DateFormat=P","Fill=—","Direction=H","UseDPDF=Y")</f>
        <v>31.677</v>
      </c>
      <c r="N58" s="13" t="str">
        <f>_xll.BDH("SRPT US Equity","ARDR_OTHER_ONE_TIME_CHARGES","FQ3 2021","FQ3 2021","Currency=USD","Period=FQ","BEST_FPERIOD_OVERRIDE=FQ","FILING_STATUS=MR","SCALING_FORMAT=MLN","Sort=A","Dates=H","DateFormat=P","Fill=—","Direction=H","UseDPDF=Y")</f>
        <v>—</v>
      </c>
      <c r="O58" s="13" t="str">
        <f>_xll.BDH("SRPT US Equity","ARDR_OTHER_ONE_TIME_CHARGES","FQ4 2021","FQ4 2021","Currency=USD","Period=FQ","BEST_FPERIOD_OVERRIDE=FQ","FILING_STATUS=MR","SCALING_FORMAT=MLN","Sort=A","Dates=H","DateFormat=P","Fill=—","Direction=H","UseDPDF=Y")</f>
        <v>—</v>
      </c>
      <c r="P58" s="13" t="str">
        <f>_xll.BDH("SRPT US Equity","ARDR_OTHER_ONE_TIME_CHARGES","FQ1 2022","FQ1 2022","Currency=USD","Period=FQ","BEST_FPERIOD_OVERRIDE=FQ","FILING_STATUS=MR","SCALING_FORMAT=MLN","Sort=A","Dates=H","DateFormat=P","Fill=—","Direction=H","UseDPDF=Y")</f>
        <v>—</v>
      </c>
      <c r="Q58" s="13" t="str">
        <f>_xll.BDH("SRPT US Equity","ARDR_OTHER_ONE_TIME_CHARGES","FQ2 2022","FQ2 2022","Currency=USD","Period=FQ","BEST_FPERIOD_OVERRIDE=FQ","FILING_STATUS=MR","SCALING_FORMAT=MLN","Sort=A","Dates=H","DateFormat=P","Fill=—","Direction=H","UseDPDF=Y")</f>
        <v>—</v>
      </c>
      <c r="R58" s="13" t="str">
        <f>_xll.BDH("SRPT US Equity","ARDR_OTHER_ONE_TIME_CHARGES","FQ3 2022","FQ3 2022","Currency=USD","Period=FQ","BEST_FPERIOD_OVERRIDE=FQ","FILING_STATUS=MR","SCALING_FORMAT=MLN","Sort=A","Dates=H","DateFormat=P","Fill=—","Direction=H","UseDPDF=Y")</f>
        <v>—</v>
      </c>
      <c r="S58" s="13" t="str">
        <f>_xll.BDH("SRPT US Equity","ARDR_OTHER_ONE_TIME_CHARGES","FQ4 2022","FQ4 2022","Currency=USD","Period=FQ","BEST_FPERIOD_OVERRIDE=FQ","FILING_STATUS=MR","SCALING_FORMAT=MLN","Sort=A","Dates=H","DateFormat=P","Fill=—","Direction=H","UseDPDF=Y")</f>
        <v>—</v>
      </c>
      <c r="T58" s="13" t="str">
        <f>_xll.BDH("SRPT US Equity","ARDR_OTHER_ONE_TIME_CHARGES","FQ1 2023","FQ1 2023","Currency=USD","Period=FQ","BEST_FPERIOD_OVERRIDE=FQ","FILING_STATUS=MR","SCALING_FORMAT=MLN","Sort=A","Dates=H","DateFormat=P","Fill=—","Direction=H","UseDPDF=Y")</f>
        <v>—</v>
      </c>
      <c r="U58" s="13" t="str">
        <f>_xll.BDH("SRPT US Equity","ARDR_OTHER_ONE_TIME_CHARGES","FQ2 2023","FQ2 2023","Currency=USD","Period=FQ","BEST_FPERIOD_OVERRIDE=FQ","FILING_STATUS=MR","SCALING_FORMAT=MLN","Sort=A","Dates=H","DateFormat=P","Fill=—","Direction=H","UseDPDF=Y")</f>
        <v>—</v>
      </c>
      <c r="V58" s="13" t="str">
        <f>_xll.BDH("SRPT US Equity","ARDR_OTHER_ONE_TIME_CHARGES","FQ3 2023","FQ3 2023","Currency=USD","Period=FQ","BEST_FPERIOD_OVERRIDE=FQ","FILING_STATUS=MR","SCALING_FORMAT=MLN","Sort=A","Dates=H","DateFormat=P","Fill=—","Direction=H","UseDPDF=Y")</f>
        <v>—</v>
      </c>
      <c r="W58" s="13">
        <f>_xll.BDH("SRPT US Equity","ARDR_OTHER_ONE_TIME_CHARGES","FQ4 2023","FQ4 2023","Currency=USD","Period=FQ","BEST_FPERIOD_OVERRIDE=FQ","FILING_STATUS=MR","SCALING_FORMAT=MLN","Sort=A","Dates=H","DateFormat=P","Fill=—","Direction=H","UseDPDF=Y")</f>
        <v>0</v>
      </c>
      <c r="X58" s="13" t="str">
        <f>_xll.BDH("SRPT US Equity","ARDR_OTHER_ONE_TIME_CHARGES","FQ1 2024","FQ1 2024","Currency=USD","Period=FQ","BEST_FPERIOD_OVERRIDE=FQ","FILING_STATUS=MR","SCALING_FORMAT=MLN","Sort=A","Dates=H","DateFormat=P","Fill=—","Direction=H","UseDPDF=Y")</f>
        <v>—</v>
      </c>
      <c r="Y58" s="13" t="str">
        <f>_xll.BDH("SRPT US Equity","ARDR_OTHER_ONE_TIME_CHARGES","FQ2 2024","FQ2 2024","Currency=USD","Period=FQ","BEST_FPERIOD_OVERRIDE=FQ","FILING_STATUS=MR","SCALING_FORMAT=MLN","Sort=A","Dates=H","DateFormat=P","Fill=—","Direction=H","UseDPDF=Y")</f>
        <v>—</v>
      </c>
      <c r="Z58" s="13" t="str">
        <f>_xll.BDH("SRPT US Equity","ARDR_OTHER_ONE_TIME_CHARGES","FQ3 2024","FQ3 2024","Currency=USD","Period=FQ","BEST_FPERIOD_OVERRIDE=FQ","FILING_STATUS=MR","SCALING_FORMAT=MLN","Sort=A","Dates=H","DateFormat=P","Fill=—","Direction=H","UseDPDF=Y")</f>
        <v>—</v>
      </c>
      <c r="AA58" s="13" t="str">
        <f>_xll.BDH("SRPT US Equity","ARDR_OTHER_ONE_TIME_CHARGES","FQ4 2024","FQ4 2024","Currency=USD","Period=FQ","BEST_FPERIOD_OVERRIDE=FQ","FILING_STATUS=MR","SCALING_FORMAT=MLN","Sort=A","Dates=H","DateFormat=P","Fill=—","Direction=H","UseDPDF=Y")</f>
        <v>—</v>
      </c>
    </row>
    <row r="59" spans="1:27" x14ac:dyDescent="0.25">
      <c r="A59" s="10" t="s">
        <v>513</v>
      </c>
      <c r="B59" s="10" t="s">
        <v>514</v>
      </c>
      <c r="C59" s="13" t="str">
        <f>_xll.BDH("SRPT US Equity","ARDR_INT_INCOME","FQ4 2018","FQ4 2018","Currency=USD","Period=FQ","BEST_FPERIOD_OVERRIDE=FQ","FILING_STATUS=MR","SCALING_FORMAT=MLN","Sort=A","Dates=H","DateFormat=P","Fill=—","Direction=H","UseDPDF=Y")</f>
        <v>—</v>
      </c>
      <c r="D59" s="13" t="str">
        <f>_xll.BDH("SRPT US Equity","ARDR_INT_INCOME","FQ1 2019","FQ1 2019","Currency=USD","Period=FQ","BEST_FPERIOD_OVERRIDE=FQ","FILING_STATUS=MR","SCALING_FORMAT=MLN","Sort=A","Dates=H","DateFormat=P","Fill=—","Direction=H","UseDPDF=Y")</f>
        <v>—</v>
      </c>
      <c r="E59" s="13" t="str">
        <f>_xll.BDH("SRPT US Equity","ARDR_INT_INCOME","FQ2 2019","FQ2 2019","Currency=USD","Period=FQ","BEST_FPERIOD_OVERRIDE=FQ","FILING_STATUS=MR","SCALING_FORMAT=MLN","Sort=A","Dates=H","DateFormat=P","Fill=—","Direction=H","UseDPDF=Y")</f>
        <v>—</v>
      </c>
      <c r="F59" s="13">
        <f>_xll.BDH("SRPT US Equity","ARDR_INT_INCOME","FQ3 2019","FQ3 2019","Currency=USD","Period=FQ","BEST_FPERIOD_OVERRIDE=FQ","FILING_STATUS=MR","SCALING_FORMAT=MLN","Sort=A","Dates=H","DateFormat=P","Fill=—","Direction=H","UseDPDF=Y")</f>
        <v>-1.2929999999999999</v>
      </c>
      <c r="G59" s="13">
        <f>_xll.BDH("SRPT US Equity","ARDR_INT_INCOME","FQ4 2019","FQ4 2019","Currency=USD","Period=FQ","BEST_FPERIOD_OVERRIDE=FQ","FILING_STATUS=MR","SCALING_FORMAT=MLN","Sort=A","Dates=H","DateFormat=P","Fill=—","Direction=H","UseDPDF=Y")</f>
        <v>-1.48</v>
      </c>
      <c r="H59" s="13">
        <f>_xll.BDH("SRPT US Equity","ARDR_INT_INCOME","FQ1 2020","FQ1 2020","Currency=USD","Period=FQ","BEST_FPERIOD_OVERRIDE=FQ","FILING_STATUS=MR","SCALING_FORMAT=MLN","Sort=A","Dates=H","DateFormat=P","Fill=—","Direction=H","UseDPDF=Y")</f>
        <v>-2.1389999999999998</v>
      </c>
      <c r="I59" s="13">
        <f>_xll.BDH("SRPT US Equity","ARDR_INT_INCOME","FQ2 2020","FQ2 2020","Currency=USD","Period=FQ","BEST_FPERIOD_OVERRIDE=FQ","FILING_STATUS=MR","SCALING_FORMAT=MLN","Sort=A","Dates=H","DateFormat=P","Fill=—","Direction=H","UseDPDF=Y")</f>
        <v>-0.63800000000000001</v>
      </c>
      <c r="J59" s="13">
        <f>_xll.BDH("SRPT US Equity","ARDR_INT_INCOME","FQ3 2020","FQ3 2020","Currency=USD","Period=FQ","BEST_FPERIOD_OVERRIDE=FQ","FILING_STATUS=MR","SCALING_FORMAT=MLN","Sort=A","Dates=H","DateFormat=P","Fill=—","Direction=H","UseDPDF=Y")</f>
        <v>-0.122</v>
      </c>
      <c r="K59" s="13">
        <f>_xll.BDH("SRPT US Equity","ARDR_INT_INCOME","FQ4 2020","FQ4 2020","Currency=USD","Period=FQ","BEST_FPERIOD_OVERRIDE=FQ","FILING_STATUS=MR","SCALING_FORMAT=MLN","Sort=A","Dates=H","DateFormat=P","Fill=—","Direction=H","UseDPDF=Y")</f>
        <v>-7.0999999999999994E-2</v>
      </c>
      <c r="L59" s="13">
        <f>_xll.BDH("SRPT US Equity","ARDR_INT_INCOME","FQ1 2021","FQ1 2021","Currency=USD","Period=FQ","BEST_FPERIOD_OVERRIDE=FQ","FILING_STATUS=MR","SCALING_FORMAT=MLN","Sort=A","Dates=H","DateFormat=P","Fill=—","Direction=H","UseDPDF=Y")</f>
        <v>-5.8999999999999997E-2</v>
      </c>
      <c r="M59" s="13">
        <f>_xll.BDH("SRPT US Equity","ARDR_INT_INCOME","FQ2 2021","FQ2 2021","Currency=USD","Period=FQ","BEST_FPERIOD_OVERRIDE=FQ","FILING_STATUS=MR","SCALING_FORMAT=MLN","Sort=A","Dates=H","DateFormat=P","Fill=—","Direction=H","UseDPDF=Y")</f>
        <v>-5.1999999999999998E-2</v>
      </c>
      <c r="N59" s="13">
        <f>_xll.BDH("SRPT US Equity","ARDR_INT_INCOME","FQ3 2021","FQ3 2021","Currency=USD","Period=FQ","BEST_FPERIOD_OVERRIDE=FQ","FILING_STATUS=MR","SCALING_FORMAT=MLN","Sort=A","Dates=H","DateFormat=P","Fill=—","Direction=H","UseDPDF=Y")</f>
        <v>-0.14799999999999999</v>
      </c>
      <c r="O59" s="13">
        <f>_xll.BDH("SRPT US Equity","ARDR_INT_INCOME","FQ4 2021","FQ4 2021","Currency=USD","Period=FQ","BEST_FPERIOD_OVERRIDE=FQ","FILING_STATUS=MR","SCALING_FORMAT=MLN","Sort=A","Dates=H","DateFormat=P","Fill=—","Direction=H","UseDPDF=Y")</f>
        <v>-9.5000000000000001E-2</v>
      </c>
      <c r="P59" s="13">
        <f>_xll.BDH("SRPT US Equity","ARDR_INT_INCOME","FQ1 2022","FQ1 2022","Currency=USD","Period=FQ","BEST_FPERIOD_OVERRIDE=FQ","FILING_STATUS=MR","SCALING_FORMAT=MLN","Sort=A","Dates=H","DateFormat=P","Fill=—","Direction=H","UseDPDF=Y")</f>
        <v>-0.17299999999999999</v>
      </c>
      <c r="Q59" s="13">
        <f>_xll.BDH("SRPT US Equity","ARDR_INT_INCOME","FQ2 2022","FQ2 2022","Currency=USD","Period=FQ","BEST_FPERIOD_OVERRIDE=FQ","FILING_STATUS=MR","SCALING_FORMAT=MLN","Sort=A","Dates=H","DateFormat=P","Fill=—","Direction=H","UseDPDF=Y")</f>
        <v>-2.4089999999999998</v>
      </c>
      <c r="R59" s="13">
        <f>_xll.BDH("SRPT US Equity","ARDR_INT_INCOME","FQ3 2022","FQ3 2022","Currency=USD","Period=FQ","BEST_FPERIOD_OVERRIDE=FQ","FILING_STATUS=MR","SCALING_FORMAT=MLN","Sort=A","Dates=H","DateFormat=P","Fill=—","Direction=H","UseDPDF=Y")</f>
        <v>-4.78</v>
      </c>
      <c r="S59" s="13">
        <f>_xll.BDH("SRPT US Equity","ARDR_INT_INCOME","FQ4 2022","FQ4 2022","Currency=USD","Period=FQ","BEST_FPERIOD_OVERRIDE=FQ","FILING_STATUS=MR","SCALING_FORMAT=MLN","Sort=A","Dates=H","DateFormat=P","Fill=—","Direction=H","UseDPDF=Y")</f>
        <v>-9.1259999999999994</v>
      </c>
      <c r="T59" s="13">
        <f>_xll.BDH("SRPT US Equity","ARDR_INT_INCOME","FQ1 2023","FQ1 2023","Currency=USD","Period=FQ","BEST_FPERIOD_OVERRIDE=FQ","FILING_STATUS=MR","SCALING_FORMAT=MLN","Sort=A","Dates=H","DateFormat=P","Fill=—","Direction=H","UseDPDF=Y")</f>
        <v>-9.2759999999999998</v>
      </c>
      <c r="U59" s="13">
        <f>_xll.BDH("SRPT US Equity","ARDR_INT_INCOME","FQ2 2023","FQ2 2023","Currency=USD","Period=FQ","BEST_FPERIOD_OVERRIDE=FQ","FILING_STATUS=MR","SCALING_FORMAT=MLN","Sort=A","Dates=H","DateFormat=P","Fill=—","Direction=H","UseDPDF=Y")</f>
        <v>-8.4179999999999993</v>
      </c>
      <c r="V59" s="13">
        <f>_xll.BDH("SRPT US Equity","ARDR_INT_INCOME","FQ3 2023","FQ3 2023","Currency=USD","Period=FQ","BEST_FPERIOD_OVERRIDE=FQ","FILING_STATUS=MR","SCALING_FORMAT=MLN","Sort=A","Dates=H","DateFormat=P","Fill=—","Direction=H","UseDPDF=Y")</f>
        <v>-9.8379999999999992</v>
      </c>
      <c r="W59" s="13">
        <f>_xll.BDH("SRPT US Equity","ARDR_INT_INCOME","FQ4 2023","FQ4 2023","Currency=USD","Period=FQ","BEST_FPERIOD_OVERRIDE=FQ","FILING_STATUS=MR","SCALING_FORMAT=MLN","Sort=A","Dates=H","DateFormat=P","Fill=—","Direction=H","UseDPDF=Y")</f>
        <v>-8.7249999999999996</v>
      </c>
      <c r="X59" s="13">
        <f>_xll.BDH("SRPT US Equity","ARDR_INT_INCOME","FQ1 2024","FQ1 2024","Currency=USD","Period=FQ","BEST_FPERIOD_OVERRIDE=FQ","FILING_STATUS=MR","SCALING_FORMAT=MLN","Sort=A","Dates=H","DateFormat=P","Fill=—","Direction=H","UseDPDF=Y")</f>
        <v>-7.093</v>
      </c>
      <c r="Y59" s="13">
        <f>_xll.BDH("SRPT US Equity","ARDR_INT_INCOME","FQ2 2024","FQ2 2024","Currency=USD","Period=FQ","BEST_FPERIOD_OVERRIDE=FQ","FILING_STATUS=MR","SCALING_FORMAT=MLN","Sort=A","Dates=H","DateFormat=P","Fill=—","Direction=H","UseDPDF=Y")</f>
        <v>-8.0760000000000005</v>
      </c>
      <c r="Z59" s="13">
        <f>_xll.BDH("SRPT US Equity","ARDR_INT_INCOME","FQ3 2024","FQ3 2024","Currency=USD","Period=FQ","BEST_FPERIOD_OVERRIDE=FQ","FILING_STATUS=MR","SCALING_FORMAT=MLN","Sort=A","Dates=H","DateFormat=P","Fill=—","Direction=H","UseDPDF=Y")</f>
        <v>-7.5839999999999996</v>
      </c>
      <c r="AA59" s="13">
        <f>_xll.BDH("SRPT US Equity","ARDR_INT_INCOME","FQ4 2024","FQ4 2024","Currency=USD","Period=FQ","BEST_FPERIOD_OVERRIDE=FQ","FILING_STATUS=MR","SCALING_FORMAT=MLN","Sort=A","Dates=H","DateFormat=P","Fill=—","Direction=H","UseDPDF=Y")</f>
        <v>-7.8819999999999997</v>
      </c>
    </row>
    <row r="60" spans="1:27" x14ac:dyDescent="0.25">
      <c r="A60" s="10" t="s">
        <v>450</v>
      </c>
      <c r="B60" s="10" t="s">
        <v>515</v>
      </c>
      <c r="C60" s="13" t="str">
        <f>_xll.BDH("SRPT US Equity","ARDR_INCOME_TAX_EXP_BENEFIT","FQ4 2018","FQ4 2018","Currency=USD","Period=FQ","BEST_FPERIOD_OVERRIDE=FQ","FILING_STATUS=MR","SCALING_FORMAT=MLN","Sort=A","Dates=H","DateFormat=P","Fill=—","Direction=H","UseDPDF=Y")</f>
        <v>—</v>
      </c>
      <c r="D60" s="13" t="str">
        <f>_xll.BDH("SRPT US Equity","ARDR_INCOME_TAX_EXP_BENEFIT","FQ1 2019","FQ1 2019","Currency=USD","Period=FQ","BEST_FPERIOD_OVERRIDE=FQ","FILING_STATUS=MR","SCALING_FORMAT=MLN","Sort=A","Dates=H","DateFormat=P","Fill=—","Direction=H","UseDPDF=Y")</f>
        <v>—</v>
      </c>
      <c r="E60" s="13" t="str">
        <f>_xll.BDH("SRPT US Equity","ARDR_INCOME_TAX_EXP_BENEFIT","FQ2 2019","FQ2 2019","Currency=USD","Period=FQ","BEST_FPERIOD_OVERRIDE=FQ","FILING_STATUS=MR","SCALING_FORMAT=MLN","Sort=A","Dates=H","DateFormat=P","Fill=—","Direction=H","UseDPDF=Y")</f>
        <v>—</v>
      </c>
      <c r="F60" s="13" t="str">
        <f>_xll.BDH("SRPT US Equity","ARDR_INCOME_TAX_EXP_BENEFIT","FQ3 2019","FQ3 2019","Currency=USD","Period=FQ","BEST_FPERIOD_OVERRIDE=FQ","FILING_STATUS=MR","SCALING_FORMAT=MLN","Sort=A","Dates=H","DateFormat=P","Fill=—","Direction=H","UseDPDF=Y")</f>
        <v>—</v>
      </c>
      <c r="G60" s="13" t="str">
        <f>_xll.BDH("SRPT US Equity","ARDR_INCOME_TAX_EXP_BENEFIT","FQ4 2019","FQ4 2019","Currency=USD","Period=FQ","BEST_FPERIOD_OVERRIDE=FQ","FILING_STATUS=MR","SCALING_FORMAT=MLN","Sort=A","Dates=H","DateFormat=P","Fill=—","Direction=H","UseDPDF=Y")</f>
        <v>—</v>
      </c>
      <c r="H60" s="13" t="str">
        <f>_xll.BDH("SRPT US Equity","ARDR_INCOME_TAX_EXP_BENEFIT","FQ1 2020","FQ1 2020","Currency=USD","Period=FQ","BEST_FPERIOD_OVERRIDE=FQ","FILING_STATUS=MR","SCALING_FORMAT=MLN","Sort=A","Dates=H","DateFormat=P","Fill=—","Direction=H","UseDPDF=Y")</f>
        <v>—</v>
      </c>
      <c r="I60" s="13" t="str">
        <f>_xll.BDH("SRPT US Equity","ARDR_INCOME_TAX_EXP_BENEFIT","FQ2 2020","FQ2 2020","Currency=USD","Period=FQ","BEST_FPERIOD_OVERRIDE=FQ","FILING_STATUS=MR","SCALING_FORMAT=MLN","Sort=A","Dates=H","DateFormat=P","Fill=—","Direction=H","UseDPDF=Y")</f>
        <v>—</v>
      </c>
      <c r="J60" s="13" t="str">
        <f>_xll.BDH("SRPT US Equity","ARDR_INCOME_TAX_EXP_BENEFIT","FQ3 2020","FQ3 2020","Currency=USD","Period=FQ","BEST_FPERIOD_OVERRIDE=FQ","FILING_STATUS=MR","SCALING_FORMAT=MLN","Sort=A","Dates=H","DateFormat=P","Fill=—","Direction=H","UseDPDF=Y")</f>
        <v>—</v>
      </c>
      <c r="K60" s="13" t="str">
        <f>_xll.BDH("SRPT US Equity","ARDR_INCOME_TAX_EXP_BENEFIT","FQ4 2020","FQ4 2020","Currency=USD","Period=FQ","BEST_FPERIOD_OVERRIDE=FQ","FILING_STATUS=MR","SCALING_FORMAT=MLN","Sort=A","Dates=H","DateFormat=P","Fill=—","Direction=H","UseDPDF=Y")</f>
        <v>—</v>
      </c>
      <c r="L60" s="13" t="str">
        <f>_xll.BDH("SRPT US Equity","ARDR_INCOME_TAX_EXP_BENEFIT","FQ1 2021","FQ1 2021","Currency=USD","Period=FQ","BEST_FPERIOD_OVERRIDE=FQ","FILING_STATUS=MR","SCALING_FORMAT=MLN","Sort=A","Dates=H","DateFormat=P","Fill=—","Direction=H","UseDPDF=Y")</f>
        <v>—</v>
      </c>
      <c r="M60" s="13" t="str">
        <f>_xll.BDH("SRPT US Equity","ARDR_INCOME_TAX_EXP_BENEFIT","FQ2 2021","FQ2 2021","Currency=USD","Period=FQ","BEST_FPERIOD_OVERRIDE=FQ","FILING_STATUS=MR","SCALING_FORMAT=MLN","Sort=A","Dates=H","DateFormat=P","Fill=—","Direction=H","UseDPDF=Y")</f>
        <v>—</v>
      </c>
      <c r="N60" s="13" t="str">
        <f>_xll.BDH("SRPT US Equity","ARDR_INCOME_TAX_EXP_BENEFIT","FQ3 2021","FQ3 2021","Currency=USD","Period=FQ","BEST_FPERIOD_OVERRIDE=FQ","FILING_STATUS=MR","SCALING_FORMAT=MLN","Sort=A","Dates=H","DateFormat=P","Fill=—","Direction=H","UseDPDF=Y")</f>
        <v>—</v>
      </c>
      <c r="O60" s="13" t="str">
        <f>_xll.BDH("SRPT US Equity","ARDR_INCOME_TAX_EXP_BENEFIT","FQ4 2021","FQ4 2021","Currency=USD","Period=FQ","BEST_FPERIOD_OVERRIDE=FQ","FILING_STATUS=MR","SCALING_FORMAT=MLN","Sort=A","Dates=H","DateFormat=P","Fill=—","Direction=H","UseDPDF=Y")</f>
        <v>—</v>
      </c>
      <c r="P60" s="13">
        <f>_xll.BDH("SRPT US Equity","ARDR_INCOME_TAX_EXP_BENEFIT","FQ1 2022","FQ1 2022","Currency=USD","Period=FQ","BEST_FPERIOD_OVERRIDE=FQ","FILING_STATUS=MR","SCALING_FORMAT=MLN","Sort=A","Dates=H","DateFormat=P","Fill=—","Direction=H","UseDPDF=Y")</f>
        <v>0.879</v>
      </c>
      <c r="Q60" s="13" t="str">
        <f>_xll.BDH("SRPT US Equity","ARDR_INCOME_TAX_EXP_BENEFIT","FQ2 2022","FQ2 2022","Currency=USD","Period=FQ","BEST_FPERIOD_OVERRIDE=FQ","FILING_STATUS=MR","SCALING_FORMAT=MLN","Sort=A","Dates=H","DateFormat=P","Fill=—","Direction=H","UseDPDF=Y")</f>
        <v>—</v>
      </c>
      <c r="R60" s="13">
        <f>_xll.BDH("SRPT US Equity","ARDR_INCOME_TAX_EXP_BENEFIT","FQ3 2022","FQ3 2022","Currency=USD","Period=FQ","BEST_FPERIOD_OVERRIDE=FQ","FILING_STATUS=MR","SCALING_FORMAT=MLN","Sort=A","Dates=H","DateFormat=P","Fill=—","Direction=H","UseDPDF=Y")</f>
        <v>1.32</v>
      </c>
      <c r="S60" s="13">
        <f>_xll.BDH("SRPT US Equity","ARDR_INCOME_TAX_EXP_BENEFIT","FQ4 2022","FQ4 2022","Currency=USD","Period=FQ","BEST_FPERIOD_OVERRIDE=FQ","FILING_STATUS=MR","SCALING_FORMAT=MLN","Sort=A","Dates=H","DateFormat=P","Fill=—","Direction=H","UseDPDF=Y")</f>
        <v>7.9379999999999997</v>
      </c>
      <c r="T60" s="13">
        <f>_xll.BDH("SRPT US Equity","ARDR_INCOME_TAX_EXP_BENEFIT","FQ1 2023","FQ1 2023","Currency=USD","Period=FQ","BEST_FPERIOD_OVERRIDE=FQ","FILING_STATUS=MR","SCALING_FORMAT=MLN","Sort=A","Dates=H","DateFormat=P","Fill=—","Direction=H","UseDPDF=Y")</f>
        <v>4.0449999999999999</v>
      </c>
      <c r="U60" s="13">
        <f>_xll.BDH("SRPT US Equity","ARDR_INCOME_TAX_EXP_BENEFIT","FQ2 2023","FQ2 2023","Currency=USD","Period=FQ","BEST_FPERIOD_OVERRIDE=FQ","FILING_STATUS=MR","SCALING_FORMAT=MLN","Sort=A","Dates=H","DateFormat=P","Fill=—","Direction=H","UseDPDF=Y")</f>
        <v>9.3550000000000004</v>
      </c>
      <c r="V60" s="13">
        <f>_xll.BDH("SRPT US Equity","ARDR_INCOME_TAX_EXP_BENEFIT","FQ3 2023","FQ3 2023","Currency=USD","Period=FQ","BEST_FPERIOD_OVERRIDE=FQ","FILING_STATUS=MR","SCALING_FORMAT=MLN","Sort=A","Dates=H","DateFormat=P","Fill=—","Direction=H","UseDPDF=Y")</f>
        <v>7.7629999999999999</v>
      </c>
      <c r="W60" s="13">
        <f>_xll.BDH("SRPT US Equity","ARDR_INCOME_TAX_EXP_BENEFIT","FQ4 2023","FQ4 2023","Currency=USD","Period=FQ","BEST_FPERIOD_OVERRIDE=FQ","FILING_STATUS=MR","SCALING_FORMAT=MLN","Sort=A","Dates=H","DateFormat=P","Fill=—","Direction=H","UseDPDF=Y")</f>
        <v>-5.2839999999999998</v>
      </c>
      <c r="X60" s="13">
        <f>_xll.BDH("SRPT US Equity","ARDR_INCOME_TAX_EXP_BENEFIT","FQ1 2024","FQ1 2024","Currency=USD","Period=FQ","BEST_FPERIOD_OVERRIDE=FQ","FILING_STATUS=MR","SCALING_FORMAT=MLN","Sort=A","Dates=H","DateFormat=P","Fill=—","Direction=H","UseDPDF=Y")</f>
        <v>5.3289999999999997</v>
      </c>
      <c r="Y60" s="13">
        <f>_xll.BDH("SRPT US Equity","ARDR_INCOME_TAX_EXP_BENEFIT","FQ2 2024","FQ2 2024","Currency=USD","Period=FQ","BEST_FPERIOD_OVERRIDE=FQ","FILING_STATUS=MR","SCALING_FORMAT=MLN","Sort=A","Dates=H","DateFormat=P","Fill=—","Direction=H","UseDPDF=Y")</f>
        <v>7.117</v>
      </c>
      <c r="Z60" s="13">
        <f>_xll.BDH("SRPT US Equity","ARDR_INCOME_TAX_EXP_BENEFIT","FQ3 2024","FQ3 2024","Currency=USD","Period=FQ","BEST_FPERIOD_OVERRIDE=FQ","FILING_STATUS=MR","SCALING_FORMAT=MLN","Sort=A","Dates=H","DateFormat=P","Fill=—","Direction=H","UseDPDF=Y")</f>
        <v>0.39500000000000002</v>
      </c>
      <c r="AA60" s="13">
        <f>_xll.BDH("SRPT US Equity","ARDR_INCOME_TAX_EXP_BENEFIT","FQ4 2024","FQ4 2024","Currency=USD","Period=FQ","BEST_FPERIOD_OVERRIDE=FQ","FILING_STATUS=MR","SCALING_FORMAT=MLN","Sort=A","Dates=H","DateFormat=P","Fill=—","Direction=H","UseDPDF=Y")</f>
        <v>12.694000000000001</v>
      </c>
    </row>
    <row r="61" spans="1:27" x14ac:dyDescent="0.25">
      <c r="A61" s="10" t="s">
        <v>424</v>
      </c>
      <c r="B61" s="10" t="s">
        <v>516</v>
      </c>
      <c r="C61" s="13" t="str">
        <f>_xll.BDH("SRPT US Equity","ARDR_OTHER_REV","FQ4 2018","FQ4 2018","Currency=USD","Period=FQ","BEST_FPERIOD_OVERRIDE=FQ","FILING_STATUS=MR","SCALING_FORMAT=MLN","Sort=A","Dates=H","DateFormat=P","Fill=—","Direction=H","UseDPDF=Y")</f>
        <v>—</v>
      </c>
      <c r="D61" s="13" t="str">
        <f>_xll.BDH("SRPT US Equity","ARDR_OTHER_REV","FQ1 2019","FQ1 2019","Currency=USD","Period=FQ","BEST_FPERIOD_OVERRIDE=FQ","FILING_STATUS=MR","SCALING_FORMAT=MLN","Sort=A","Dates=H","DateFormat=P","Fill=—","Direction=H","UseDPDF=Y")</f>
        <v>—</v>
      </c>
      <c r="E61" s="13" t="str">
        <f>_xll.BDH("SRPT US Equity","ARDR_OTHER_REV","FQ2 2019","FQ2 2019","Currency=USD","Period=FQ","BEST_FPERIOD_OVERRIDE=FQ","FILING_STATUS=MR","SCALING_FORMAT=MLN","Sort=A","Dates=H","DateFormat=P","Fill=—","Direction=H","UseDPDF=Y")</f>
        <v>—</v>
      </c>
      <c r="F61" s="13" t="str">
        <f>_xll.BDH("SRPT US Equity","ARDR_OTHER_REV","FQ3 2019","FQ3 2019","Currency=USD","Period=FQ","BEST_FPERIOD_OVERRIDE=FQ","FILING_STATUS=MR","SCALING_FORMAT=MLN","Sort=A","Dates=H","DateFormat=P","Fill=—","Direction=H","UseDPDF=Y")</f>
        <v>—</v>
      </c>
      <c r="G61" s="13" t="str">
        <f>_xll.BDH("SRPT US Equity","ARDR_OTHER_REV","FQ4 2019","FQ4 2019","Currency=USD","Period=FQ","BEST_FPERIOD_OVERRIDE=FQ","FILING_STATUS=MR","SCALING_FORMAT=MLN","Sort=A","Dates=H","DateFormat=P","Fill=—","Direction=H","UseDPDF=Y")</f>
        <v>—</v>
      </c>
      <c r="H61" s="13">
        <f>_xll.BDH("SRPT US Equity","ARDR_OTHER_REV","FQ1 2020","FQ1 2020","Currency=USD","Period=FQ","BEST_FPERIOD_OVERRIDE=FQ","FILING_STATUS=MR","SCALING_FORMAT=MLN","Sort=A","Dates=H","DateFormat=P","Fill=—","Direction=H","UseDPDF=Y")</f>
        <v>13.226000000000001</v>
      </c>
      <c r="I61" s="13">
        <f>_xll.BDH("SRPT US Equity","ARDR_OTHER_REV","FQ2 2020","FQ2 2020","Currency=USD","Period=FQ","BEST_FPERIOD_OVERRIDE=FQ","FILING_STATUS=MR","SCALING_FORMAT=MLN","Sort=A","Dates=H","DateFormat=P","Fill=—","Direction=H","UseDPDF=Y")</f>
        <v>26.018999999999998</v>
      </c>
      <c r="J61" s="13">
        <f>_xll.BDH("SRPT US Equity","ARDR_OTHER_REV","FQ3 2020","FQ3 2020","Currency=USD","Period=FQ","BEST_FPERIOD_OVERRIDE=FQ","FILING_STATUS=MR","SCALING_FORMAT=MLN","Sort=A","Dates=H","DateFormat=P","Fill=—","Direction=H","UseDPDF=Y")</f>
        <v>22.495000000000001</v>
      </c>
      <c r="K61" s="13">
        <f>_xll.BDH("SRPT US Equity","ARDR_OTHER_REV","FQ4 2020","FQ4 2020","Currency=USD","Period=FQ","BEST_FPERIOD_OVERRIDE=FQ","FILING_STATUS=MR","SCALING_FORMAT=MLN","Sort=A","Dates=H","DateFormat=P","Fill=—","Direction=H","UseDPDF=Y")</f>
        <v>22.494</v>
      </c>
      <c r="L61" s="13">
        <f>_xll.BDH("SRPT US Equity","ARDR_OTHER_REV","FQ1 2021","FQ1 2021","Currency=USD","Period=FQ","BEST_FPERIOD_OVERRIDE=FQ","FILING_STATUS=MR","SCALING_FORMAT=MLN","Sort=A","Dates=H","DateFormat=P","Fill=—","Direction=H","UseDPDF=Y")</f>
        <v>22.004999999999999</v>
      </c>
      <c r="M61" s="13">
        <f>_xll.BDH("SRPT US Equity","ARDR_OTHER_REV","FQ2 2021","FQ2 2021","Currency=USD","Period=FQ","BEST_FPERIOD_OVERRIDE=FQ","FILING_STATUS=MR","SCALING_FORMAT=MLN","Sort=A","Dates=H","DateFormat=P","Fill=—","Direction=H","UseDPDF=Y")</f>
        <v>22.25</v>
      </c>
      <c r="N61" s="13">
        <f>_xll.BDH("SRPT US Equity","ARDR_OTHER_REV","FQ3 2021","FQ3 2021","Currency=USD","Period=FQ","BEST_FPERIOD_OVERRIDE=FQ","FILING_STATUS=MR","SCALING_FORMAT=MLN","Sort=A","Dates=H","DateFormat=P","Fill=—","Direction=H","UseDPDF=Y")</f>
        <v>22.495000000000001</v>
      </c>
      <c r="O61" s="13">
        <f>_xll.BDH("SRPT US Equity","ARDR_OTHER_REV","FQ4 2021","FQ4 2021","Currency=USD","Period=FQ","BEST_FPERIOD_OVERRIDE=FQ","FILING_STATUS=MR","SCALING_FORMAT=MLN","Sort=A","Dates=H","DateFormat=P","Fill=—","Direction=H","UseDPDF=Y")</f>
        <v>22.736000000000001</v>
      </c>
      <c r="P61" s="13">
        <f>_xll.BDH("SRPT US Equity","ARDR_OTHER_REV","FQ1 2022","FQ1 2022","Currency=USD","Period=FQ","BEST_FPERIOD_OVERRIDE=FQ","FILING_STATUS=MR","SCALING_FORMAT=MLN","Sort=A","Dates=H","DateFormat=P","Fill=—","Direction=H","UseDPDF=Y")</f>
        <v>22.004999999999999</v>
      </c>
      <c r="Q61" s="13">
        <f>_xll.BDH("SRPT US Equity","ARDR_OTHER_REV","FQ2 2022","FQ2 2022","Currency=USD","Period=FQ","BEST_FPERIOD_OVERRIDE=FQ","FILING_STATUS=MR","SCALING_FORMAT=MLN","Sort=A","Dates=H","DateFormat=P","Fill=—","Direction=H","UseDPDF=Y")</f>
        <v>22.25</v>
      </c>
      <c r="R61" s="13">
        <f>_xll.BDH("SRPT US Equity","ARDR_OTHER_REV","FQ3 2022","FQ3 2022","Currency=USD","Period=FQ","BEST_FPERIOD_OVERRIDE=FQ","FILING_STATUS=MR","SCALING_FORMAT=MLN","Sort=A","Dates=H","DateFormat=P","Fill=—","Direction=H","UseDPDF=Y")</f>
        <v>22.495000000000001</v>
      </c>
      <c r="S61" s="13">
        <f>_xll.BDH("SRPT US Equity","ARDR_OTHER_REV","FQ4 2022","FQ4 2022","Currency=USD","Period=FQ","BEST_FPERIOD_OVERRIDE=FQ","FILING_STATUS=MR","SCALING_FORMAT=MLN","Sort=A","Dates=H","DateFormat=P","Fill=—","Direction=H","UseDPDF=Y")</f>
        <v>22.494</v>
      </c>
      <c r="T61" s="13">
        <f>_xll.BDH("SRPT US Equity","ARDR_OTHER_REV","FQ1 2023","FQ1 2023","Currency=USD","Period=FQ","BEST_FPERIOD_OVERRIDE=FQ","FILING_STATUS=MR","SCALING_FORMAT=MLN","Sort=A","Dates=H","DateFormat=P","Fill=—","Direction=H","UseDPDF=Y")</f>
        <v>22.004999999999999</v>
      </c>
      <c r="U61" s="13">
        <f>_xll.BDH("SRPT US Equity","ARDR_OTHER_REV","FQ2 2023","FQ2 2023","Currency=USD","Period=FQ","BEST_FPERIOD_OVERRIDE=FQ","FILING_STATUS=MR","SCALING_FORMAT=MLN","Sort=A","Dates=H","DateFormat=P","Fill=—","Direction=H","UseDPDF=Y")</f>
        <v>22.25</v>
      </c>
      <c r="V61" s="13">
        <f>_xll.BDH("SRPT US Equity","ARDR_OTHER_REV","FQ3 2023","FQ3 2023","Currency=USD","Period=FQ","BEST_FPERIOD_OVERRIDE=FQ","FILING_STATUS=MR","SCALING_FORMAT=MLN","Sort=A","Dates=H","DateFormat=P","Fill=—","Direction=H","UseDPDF=Y")</f>
        <v>22.495000000000001</v>
      </c>
      <c r="W61" s="13">
        <f>_xll.BDH("SRPT US Equity","ARDR_OTHER_REV","FQ4 2023","FQ4 2023","Currency=USD","Period=FQ","BEST_FPERIOD_OVERRIDE=FQ","FILING_STATUS=MR","SCALING_FORMAT=MLN","Sort=A","Dates=H","DateFormat=P","Fill=—","Direction=H","UseDPDF=Y")</f>
        <v>31.71</v>
      </c>
      <c r="X61" s="13">
        <f>_xll.BDH("SRPT US Equity","ARDR_OTHER_REV","FQ1 2024","FQ1 2024","Currency=USD","Period=FQ","BEST_FPERIOD_OVERRIDE=FQ","FILING_STATUS=MR","SCALING_FORMAT=MLN","Sort=A","Dates=H","DateFormat=P","Fill=—","Direction=H","UseDPDF=Y")</f>
        <v>53.98</v>
      </c>
      <c r="Y61" s="13">
        <f>_xll.BDH("SRPT US Equity","ARDR_OTHER_REV","FQ2 2024","FQ2 2024","Currency=USD","Period=FQ","BEST_FPERIOD_OVERRIDE=FQ","FILING_STATUS=MR","SCALING_FORMAT=MLN","Sort=A","Dates=H","DateFormat=P","Fill=—","Direction=H","UseDPDF=Y")</f>
        <v>2.383</v>
      </c>
      <c r="Z61" s="13">
        <f>_xll.BDH("SRPT US Equity","ARDR_OTHER_REV","FQ3 2024","FQ3 2024","Currency=USD","Period=FQ","BEST_FPERIOD_OVERRIDE=FQ","FILING_STATUS=MR","SCALING_FORMAT=MLN","Sort=A","Dates=H","DateFormat=P","Fill=—","Direction=H","UseDPDF=Y")</f>
        <v>37.401000000000003</v>
      </c>
      <c r="AA61" s="13">
        <f>_xll.BDH("SRPT US Equity","ARDR_OTHER_REV","FQ4 2024","FQ4 2024","Currency=USD","Period=FQ","BEST_FPERIOD_OVERRIDE=FQ","FILING_STATUS=MR","SCALING_FORMAT=MLN","Sort=A","Dates=H","DateFormat=P","Fill=—","Direction=H","UseDPDF=Y")</f>
        <v>20.254999999999999</v>
      </c>
    </row>
    <row r="62" spans="1:27" x14ac:dyDescent="0.25">
      <c r="A62" s="10" t="s">
        <v>467</v>
      </c>
      <c r="B62" s="10" t="s">
        <v>517</v>
      </c>
      <c r="C62" s="14" t="str">
        <f>_xll.BDH("SRPT US Equity","ARDR_BASIC_EPS","FQ4 2018","FQ4 2018","Currency=USD","Period=FQ","BEST_FPERIOD_OVERRIDE=FQ","FILING_STATUS=MR","Sort=A","Dates=H","DateFormat=P","Fill=—","Direction=H","UseDPDF=Y")</f>
        <v>—</v>
      </c>
      <c r="D62" s="14" t="str">
        <f>_xll.BDH("SRPT US Equity","ARDR_BASIC_EPS","FQ1 2019","FQ1 2019","Currency=USD","Period=FQ","BEST_FPERIOD_OVERRIDE=FQ","FILING_STATUS=MR","Sort=A","Dates=H","DateFormat=P","Fill=—","Direction=H","UseDPDF=Y")</f>
        <v>—</v>
      </c>
      <c r="E62" s="14" t="str">
        <f>_xll.BDH("SRPT US Equity","ARDR_BASIC_EPS","FQ2 2019","FQ2 2019","Currency=USD","Period=FQ","BEST_FPERIOD_OVERRIDE=FQ","FILING_STATUS=MR","Sort=A","Dates=H","DateFormat=P","Fill=—","Direction=H","UseDPDF=Y")</f>
        <v>—</v>
      </c>
      <c r="F62" s="14" t="str">
        <f>_xll.BDH("SRPT US Equity","ARDR_BASIC_EPS","FQ3 2019","FQ3 2019","Currency=USD","Period=FQ","BEST_FPERIOD_OVERRIDE=FQ","FILING_STATUS=MR","Sort=A","Dates=H","DateFormat=P","Fill=—","Direction=H","UseDPDF=Y")</f>
        <v>—</v>
      </c>
      <c r="G62" s="14" t="str">
        <f>_xll.BDH("SRPT US Equity","ARDR_BASIC_EPS","FQ4 2019","FQ4 2019","Currency=USD","Period=FQ","BEST_FPERIOD_OVERRIDE=FQ","FILING_STATUS=MR","Sort=A","Dates=H","DateFormat=P","Fill=—","Direction=H","UseDPDF=Y")</f>
        <v>—</v>
      </c>
      <c r="H62" s="14" t="str">
        <f>_xll.BDH("SRPT US Equity","ARDR_BASIC_EPS","FQ1 2020","FQ1 2020","Currency=USD","Period=FQ","BEST_FPERIOD_OVERRIDE=FQ","FILING_STATUS=MR","Sort=A","Dates=H","DateFormat=P","Fill=—","Direction=H","UseDPDF=Y")</f>
        <v>—</v>
      </c>
      <c r="I62" s="14" t="str">
        <f>_xll.BDH("SRPT US Equity","ARDR_BASIC_EPS","FQ2 2020","FQ2 2020","Currency=USD","Period=FQ","BEST_FPERIOD_OVERRIDE=FQ","FILING_STATUS=MR","Sort=A","Dates=H","DateFormat=P","Fill=—","Direction=H","UseDPDF=Y")</f>
        <v>—</v>
      </c>
      <c r="J62" s="14" t="str">
        <f>_xll.BDH("SRPT US Equity","ARDR_BASIC_EPS","FQ3 2020","FQ3 2020","Currency=USD","Period=FQ","BEST_FPERIOD_OVERRIDE=FQ","FILING_STATUS=MR","Sort=A","Dates=H","DateFormat=P","Fill=—","Direction=H","UseDPDF=Y")</f>
        <v>—</v>
      </c>
      <c r="K62" s="14" t="str">
        <f>_xll.BDH("SRPT US Equity","ARDR_BASIC_EPS","FQ4 2020","FQ4 2020","Currency=USD","Period=FQ","BEST_FPERIOD_OVERRIDE=FQ","FILING_STATUS=MR","Sort=A","Dates=H","DateFormat=P","Fill=—","Direction=H","UseDPDF=Y")</f>
        <v>—</v>
      </c>
      <c r="L62" s="14" t="str">
        <f>_xll.BDH("SRPT US Equity","ARDR_BASIC_EPS","FQ1 2021","FQ1 2021","Currency=USD","Period=FQ","BEST_FPERIOD_OVERRIDE=FQ","FILING_STATUS=MR","Sort=A","Dates=H","DateFormat=P","Fill=—","Direction=H","UseDPDF=Y")</f>
        <v>—</v>
      </c>
      <c r="M62" s="14" t="str">
        <f>_xll.BDH("SRPT US Equity","ARDR_BASIC_EPS","FQ2 2021","FQ2 2021","Currency=USD","Period=FQ","BEST_FPERIOD_OVERRIDE=FQ","FILING_STATUS=MR","Sort=A","Dates=H","DateFormat=P","Fill=—","Direction=H","UseDPDF=Y")</f>
        <v>—</v>
      </c>
      <c r="N62" s="14" t="str">
        <f>_xll.BDH("SRPT US Equity","ARDR_BASIC_EPS","FQ3 2021","FQ3 2021","Currency=USD","Period=FQ","BEST_FPERIOD_OVERRIDE=FQ","FILING_STATUS=MR","Sort=A","Dates=H","DateFormat=P","Fill=—","Direction=H","UseDPDF=Y")</f>
        <v>—</v>
      </c>
      <c r="O62" s="14" t="str">
        <f>_xll.BDH("SRPT US Equity","ARDR_BASIC_EPS","FQ4 2021","FQ4 2021","Currency=USD","Period=FQ","BEST_FPERIOD_OVERRIDE=FQ","FILING_STATUS=MR","Sort=A","Dates=H","DateFormat=P","Fill=—","Direction=H","UseDPDF=Y")</f>
        <v>—</v>
      </c>
      <c r="P62" s="14" t="str">
        <f>_xll.BDH("SRPT US Equity","ARDR_BASIC_EPS","FQ1 2022","FQ1 2022","Currency=USD","Period=FQ","BEST_FPERIOD_OVERRIDE=FQ","FILING_STATUS=MR","Sort=A","Dates=H","DateFormat=P","Fill=—","Direction=H","UseDPDF=Y")</f>
        <v>—</v>
      </c>
      <c r="Q62" s="14" t="str">
        <f>_xll.BDH("SRPT US Equity","ARDR_BASIC_EPS","FQ2 2022","FQ2 2022","Currency=USD","Period=FQ","BEST_FPERIOD_OVERRIDE=FQ","FILING_STATUS=MR","Sort=A","Dates=H","DateFormat=P","Fill=—","Direction=H","UseDPDF=Y")</f>
        <v>—</v>
      </c>
      <c r="R62" s="14">
        <f>_xll.BDH("SRPT US Equity","ARDR_BASIC_EPS","FQ3 2022","FQ3 2022","Currency=USD","Period=FQ","BEST_FPERIOD_OVERRIDE=FQ","FILING_STATUS=MR","Sort=A","Dates=H","DateFormat=P","Fill=—","Direction=H","UseDPDF=Y")</f>
        <v>-2.94</v>
      </c>
      <c r="S62" s="14" t="str">
        <f>_xll.BDH("SRPT US Equity","ARDR_BASIC_EPS","FQ4 2022","FQ4 2022","Currency=USD","Period=FQ","BEST_FPERIOD_OVERRIDE=FQ","FILING_STATUS=MR","Sort=A","Dates=H","DateFormat=P","Fill=—","Direction=H","UseDPDF=Y")</f>
        <v>—</v>
      </c>
      <c r="T62" s="14">
        <f>_xll.BDH("SRPT US Equity","ARDR_BASIC_EPS","FQ1 2023","FQ1 2023","Currency=USD","Period=FQ","BEST_FPERIOD_OVERRIDE=FQ","FILING_STATUS=MR","Sort=A","Dates=H","DateFormat=P","Fill=—","Direction=H","UseDPDF=Y")</f>
        <v>-5.86</v>
      </c>
      <c r="U62" s="14">
        <f>_xll.BDH("SRPT US Equity","ARDR_BASIC_EPS","FQ2 2023","FQ2 2023","Currency=USD","Period=FQ","BEST_FPERIOD_OVERRIDE=FQ","FILING_STATUS=MR","Sort=A","Dates=H","DateFormat=P","Fill=—","Direction=H","UseDPDF=Y")</f>
        <v>-0.27</v>
      </c>
      <c r="V62" s="14">
        <f>_xll.BDH("SRPT US Equity","ARDR_BASIC_EPS","FQ3 2023","FQ3 2023","Currency=USD","Period=FQ","BEST_FPERIOD_OVERRIDE=FQ","FILING_STATUS=MR","Sort=A","Dates=H","DateFormat=P","Fill=—","Direction=H","UseDPDF=Y")</f>
        <v>-0.46</v>
      </c>
      <c r="W62" s="14" t="str">
        <f>_xll.BDH("SRPT US Equity","ARDR_BASIC_EPS","FQ4 2023","FQ4 2023","Currency=USD","Period=FQ","BEST_FPERIOD_OVERRIDE=FQ","FILING_STATUS=MR","Sort=A","Dates=H","DateFormat=P","Fill=—","Direction=H","UseDPDF=Y")</f>
        <v>—</v>
      </c>
      <c r="X62" s="14">
        <f>_xll.BDH("SRPT US Equity","ARDR_BASIC_EPS","FQ1 2024","FQ1 2024","Currency=USD","Period=FQ","BEST_FPERIOD_OVERRIDE=FQ","FILING_STATUS=MR","Sort=A","Dates=H","DateFormat=P","Fill=—","Direction=H","UseDPDF=Y")</f>
        <v>0.38</v>
      </c>
      <c r="Y62" s="14">
        <f>_xll.BDH("SRPT US Equity","ARDR_BASIC_EPS","FQ2 2024","FQ2 2024","Currency=USD","Period=FQ","BEST_FPERIOD_OVERRIDE=FQ","FILING_STATUS=MR","Sort=A","Dates=H","DateFormat=P","Fill=—","Direction=H","UseDPDF=Y")</f>
        <v>7.0000000000000007E-2</v>
      </c>
      <c r="Z62" s="14">
        <f>_xll.BDH("SRPT US Equity","ARDR_BASIC_EPS","FQ3 2024","FQ3 2024","Currency=USD","Period=FQ","BEST_FPERIOD_OVERRIDE=FQ","FILING_STATUS=MR","Sort=A","Dates=H","DateFormat=P","Fill=—","Direction=H","UseDPDF=Y")</f>
        <v>0.35</v>
      </c>
      <c r="AA62" s="14" t="str">
        <f>_xll.BDH("SRPT US Equity","ARDR_BASIC_EPS","FQ4 2024","FQ4 2024","Currency=USD","Period=FQ","BEST_FPERIOD_OVERRIDE=FQ","FILING_STATUS=MR","Sort=A","Dates=H","DateFormat=P","Fill=—","Direction=H","UseDPDF=Y")</f>
        <v>—</v>
      </c>
    </row>
    <row r="63" spans="1:27" x14ac:dyDescent="0.25">
      <c r="A63" s="10" t="s">
        <v>469</v>
      </c>
      <c r="B63" s="10" t="s">
        <v>518</v>
      </c>
      <c r="C63" s="13" t="str">
        <f>_xll.BDH("SRPT US Equity","ARDR_WEIGHTED_AVG_SHARES_BASIC","FQ4 2018","FQ4 2018","Currency=USD","Period=FQ","BEST_FPERIOD_OVERRIDE=FQ","FILING_STATUS=MR","Sort=A","Dates=H","DateFormat=P","Fill=—","Direction=H","UseDPDF=Y")</f>
        <v>—</v>
      </c>
      <c r="D63" s="13">
        <f>_xll.BDH("SRPT US Equity","ARDR_WEIGHTED_AVG_SHARES_BASIC","FQ1 2019","FQ1 2019","Currency=USD","Period=FQ","BEST_FPERIOD_OVERRIDE=FQ","FILING_STATUS=MR","Sort=A","Dates=H","DateFormat=P","Fill=—","Direction=H","UseDPDF=Y")</f>
        <v>71.730999999999995</v>
      </c>
      <c r="E63" s="13" t="str">
        <f>_xll.BDH("SRPT US Equity","ARDR_WEIGHTED_AVG_SHARES_BASIC","FQ2 2019","FQ2 2019","Currency=USD","Period=FQ","BEST_FPERIOD_OVERRIDE=FQ","FILING_STATUS=MR","Sort=A","Dates=H","DateFormat=P","Fill=—","Direction=H","UseDPDF=Y")</f>
        <v>—</v>
      </c>
      <c r="F63" s="13" t="str">
        <f>_xll.BDH("SRPT US Equity","ARDR_WEIGHTED_AVG_SHARES_BASIC","FQ3 2019","FQ3 2019","Currency=USD","Period=FQ","BEST_FPERIOD_OVERRIDE=FQ","FILING_STATUS=MR","Sort=A","Dates=H","DateFormat=P","Fill=—","Direction=H","UseDPDF=Y")</f>
        <v>—</v>
      </c>
      <c r="G63" s="13" t="str">
        <f>_xll.BDH("SRPT US Equity","ARDR_WEIGHTED_AVG_SHARES_BASIC","FQ4 2019","FQ4 2019","Currency=USD","Period=FQ","BEST_FPERIOD_OVERRIDE=FQ","FILING_STATUS=MR","Sort=A","Dates=H","DateFormat=P","Fill=—","Direction=H","UseDPDF=Y")</f>
        <v>—</v>
      </c>
      <c r="H63" s="13">
        <f>_xll.BDH("SRPT US Equity","ARDR_WEIGHTED_AVG_SHARES_BASIC","FQ1 2020","FQ1 2020","Currency=USD","Period=FQ","BEST_FPERIOD_OVERRIDE=FQ","FILING_STATUS=MR","Sort=A","Dates=H","DateFormat=P","Fill=—","Direction=H","UseDPDF=Y")</f>
        <v>76.432000000000002</v>
      </c>
      <c r="I63" s="13">
        <f>_xll.BDH("SRPT US Equity","ARDR_WEIGHTED_AVG_SHARES_BASIC","FQ2 2020","FQ2 2020","Currency=USD","Period=FQ","BEST_FPERIOD_OVERRIDE=FQ","FILING_STATUS=MR","Sort=A","Dates=H","DateFormat=P","Fill=—","Direction=H","UseDPDF=Y")</f>
        <v>77.968000000000004</v>
      </c>
      <c r="J63" s="13">
        <f>_xll.BDH("SRPT US Equity","ARDR_WEIGHTED_AVG_SHARES_BASIC","FQ3 2020","FQ3 2020","Currency=USD","Period=FQ","BEST_FPERIOD_OVERRIDE=FQ","FILING_STATUS=MR","Sort=A","Dates=H","DateFormat=P","Fill=—","Direction=H","UseDPDF=Y")</f>
        <v>78.501000000000005</v>
      </c>
      <c r="K63" s="13" t="str">
        <f>_xll.BDH("SRPT US Equity","ARDR_WEIGHTED_AVG_SHARES_BASIC","FQ4 2020","FQ4 2020","Currency=USD","Period=FQ","BEST_FPERIOD_OVERRIDE=FQ","FILING_STATUS=MR","Sort=A","Dates=H","DateFormat=P","Fill=—","Direction=H","UseDPDF=Y")</f>
        <v>—</v>
      </c>
      <c r="L63" s="13">
        <f>_xll.BDH("SRPT US Equity","ARDR_WEIGHTED_AVG_SHARES_BASIC","FQ1 2021","FQ1 2021","Currency=USD","Period=FQ","BEST_FPERIOD_OVERRIDE=FQ","FILING_STATUS=MR","Sort=A","Dates=H","DateFormat=P","Fill=—","Direction=H","UseDPDF=Y")</f>
        <v>79.453999999999994</v>
      </c>
      <c r="M63" s="13">
        <f>_xll.BDH("SRPT US Equity","ARDR_WEIGHTED_AVG_SHARES_BASIC","FQ2 2021","FQ2 2021","Currency=USD","Period=FQ","BEST_FPERIOD_OVERRIDE=FQ","FILING_STATUS=MR","Sort=A","Dates=H","DateFormat=P","Fill=—","Direction=H","UseDPDF=Y")</f>
        <v>79.745999999999995</v>
      </c>
      <c r="N63" s="13">
        <f>_xll.BDH("SRPT US Equity","ARDR_WEIGHTED_AVG_SHARES_BASIC","FQ3 2021","FQ3 2021","Currency=USD","Period=FQ","BEST_FPERIOD_OVERRIDE=FQ","FILING_STATUS=MR","Sort=A","Dates=H","DateFormat=P","Fill=—","Direction=H","UseDPDF=Y")</f>
        <v>79.88</v>
      </c>
      <c r="O63" s="13" t="str">
        <f>_xll.BDH("SRPT US Equity","ARDR_WEIGHTED_AVG_SHARES_BASIC","FQ4 2021","FQ4 2021","Currency=USD","Period=FQ","BEST_FPERIOD_OVERRIDE=FQ","FILING_STATUS=MR","Sort=A","Dates=H","DateFormat=P","Fill=—","Direction=H","UseDPDF=Y")</f>
        <v>—</v>
      </c>
      <c r="P63" s="13">
        <f>_xll.BDH("SRPT US Equity","ARDR_WEIGHTED_AVG_SHARES_BASIC","FQ1 2022","FQ1 2022","Currency=USD","Period=FQ","BEST_FPERIOD_OVERRIDE=FQ","FILING_STATUS=MR","Sort=A","Dates=H","DateFormat=P","Fill=—","Direction=H","UseDPDF=Y")</f>
        <v>87.253</v>
      </c>
      <c r="Q63" s="13">
        <f>_xll.BDH("SRPT US Equity","ARDR_WEIGHTED_AVG_SHARES_BASIC","FQ2 2022","FQ2 2022","Currency=USD","Period=FQ","BEST_FPERIOD_OVERRIDE=FQ","FILING_STATUS=MR","Sort=A","Dates=H","DateFormat=P","Fill=—","Direction=H","UseDPDF=Y")</f>
        <v>87.510999999999996</v>
      </c>
      <c r="R63" s="13">
        <f>_xll.BDH("SRPT US Equity","ARDR_WEIGHTED_AVG_SHARES_BASIC","FQ3 2022","FQ3 2022","Currency=USD","Period=FQ","BEST_FPERIOD_OVERRIDE=FQ","FILING_STATUS=MR","Sort=A","Dates=H","DateFormat=P","Fill=—","Direction=H","UseDPDF=Y")</f>
        <v>87.628</v>
      </c>
      <c r="S63" s="13" t="str">
        <f>_xll.BDH("SRPT US Equity","ARDR_WEIGHTED_AVG_SHARES_BASIC","FQ4 2022","FQ4 2022","Currency=USD","Period=FQ","BEST_FPERIOD_OVERRIDE=FQ","FILING_STATUS=MR","Sort=A","Dates=H","DateFormat=P","Fill=—","Direction=H","UseDPDF=Y")</f>
        <v>—</v>
      </c>
      <c r="T63" s="13">
        <f>_xll.BDH("SRPT US Equity","ARDR_WEIGHTED_AVG_SHARES_BASIC","FQ1 2023","FQ1 2023","Currency=USD","Period=FQ","BEST_FPERIOD_OVERRIDE=FQ","FILING_STATUS=MR","Sort=A","Dates=H","DateFormat=P","Fill=—","Direction=H","UseDPDF=Y")</f>
        <v>88.186000000000007</v>
      </c>
      <c r="U63" s="13">
        <f>_xll.BDH("SRPT US Equity","ARDR_WEIGHTED_AVG_SHARES_BASIC","FQ2 2023","FQ2 2023","Currency=USD","Period=FQ","BEST_FPERIOD_OVERRIDE=FQ","FILING_STATUS=MR","Sort=A","Dates=H","DateFormat=P","Fill=—","Direction=H","UseDPDF=Y")</f>
        <v>88.742999999999995</v>
      </c>
      <c r="V63" s="13">
        <f>_xll.BDH("SRPT US Equity","ARDR_WEIGHTED_AVG_SHARES_BASIC","FQ3 2023","FQ3 2023","Currency=USD","Period=FQ","BEST_FPERIOD_OVERRIDE=FQ","FILING_STATUS=MR","Sort=A","Dates=H","DateFormat=P","Fill=—","Direction=H","UseDPDF=Y")</f>
        <v>88.888999999999996</v>
      </c>
      <c r="W63" s="13">
        <f>_xll.BDH("SRPT US Equity","ARDR_WEIGHTED_AVG_SHARES_BASIC","FQ4 2023","FQ4 2023","Currency=USD","Period=FQ","BEST_FPERIOD_OVERRIDE=FQ","FILING_STATUS=MR","Sort=A","Dates=H","DateFormat=P","Fill=—","Direction=H","UseDPDF=Y")</f>
        <v>93.617000000000004</v>
      </c>
      <c r="X63" s="13">
        <f>_xll.BDH("SRPT US Equity","ARDR_WEIGHTED_AVG_SHARES_BASIC","FQ1 2024","FQ1 2024","Currency=USD","Period=FQ","BEST_FPERIOD_OVERRIDE=FQ","FILING_STATUS=MR","Sort=A","Dates=H","DateFormat=P","Fill=—","Direction=H","UseDPDF=Y")</f>
        <v>93.991</v>
      </c>
      <c r="Y63" s="13">
        <f>_xll.BDH("SRPT US Equity","ARDR_WEIGHTED_AVG_SHARES_BASIC","FQ2 2024","FQ2 2024","Currency=USD","Period=FQ","BEST_FPERIOD_OVERRIDE=FQ","FILING_STATUS=MR","Sort=A","Dates=H","DateFormat=P","Fill=—","Direction=H","UseDPDF=Y")</f>
        <v>94.617999999999995</v>
      </c>
      <c r="Z63" s="13">
        <f>_xll.BDH("SRPT US Equity","ARDR_WEIGHTED_AVG_SHARES_BASIC","FQ3 2024","FQ3 2024","Currency=USD","Period=FQ","BEST_FPERIOD_OVERRIDE=FQ","FILING_STATUS=MR","Sort=A","Dates=H","DateFormat=P","Fill=—","Direction=H","UseDPDF=Y")</f>
        <v>95.39</v>
      </c>
      <c r="AA63" s="13">
        <f>_xll.BDH("SRPT US Equity","ARDR_WEIGHTED_AVG_SHARES_BASIC","FQ4 2024","FQ4 2024","Currency=USD","Period=FQ","BEST_FPERIOD_OVERRIDE=FQ","FILING_STATUS=MR","Sort=A","Dates=H","DateFormat=P","Fill=—","Direction=H","UseDPDF=Y")</f>
        <v>96.283000000000001</v>
      </c>
    </row>
    <row r="64" spans="1:27" x14ac:dyDescent="0.25">
      <c r="A64" s="10" t="s">
        <v>471</v>
      </c>
      <c r="B64" s="10" t="s">
        <v>519</v>
      </c>
      <c r="C64" s="14" t="str">
        <f>_xll.BDH("SRPT US Equity","ARDR_DILUTED_EPS","FQ4 2018","FQ4 2018","Currency=USD","Period=FQ","BEST_FPERIOD_OVERRIDE=FQ","FILING_STATUS=MR","Sort=A","Dates=H","DateFormat=P","Fill=—","Direction=H","UseDPDF=Y")</f>
        <v>—</v>
      </c>
      <c r="D64" s="14" t="str">
        <f>_xll.BDH("SRPT US Equity","ARDR_DILUTED_EPS","FQ1 2019","FQ1 2019","Currency=USD","Period=FQ","BEST_FPERIOD_OVERRIDE=FQ","FILING_STATUS=MR","Sort=A","Dates=H","DateFormat=P","Fill=—","Direction=H","UseDPDF=Y")</f>
        <v>—</v>
      </c>
      <c r="E64" s="14" t="str">
        <f>_xll.BDH("SRPT US Equity","ARDR_DILUTED_EPS","FQ2 2019","FQ2 2019","Currency=USD","Period=FQ","BEST_FPERIOD_OVERRIDE=FQ","FILING_STATUS=MR","Sort=A","Dates=H","DateFormat=P","Fill=—","Direction=H","UseDPDF=Y")</f>
        <v>—</v>
      </c>
      <c r="F64" s="14" t="str">
        <f>_xll.BDH("SRPT US Equity","ARDR_DILUTED_EPS","FQ3 2019","FQ3 2019","Currency=USD","Period=FQ","BEST_FPERIOD_OVERRIDE=FQ","FILING_STATUS=MR","Sort=A","Dates=H","DateFormat=P","Fill=—","Direction=H","UseDPDF=Y")</f>
        <v>—</v>
      </c>
      <c r="G64" s="14" t="str">
        <f>_xll.BDH("SRPT US Equity","ARDR_DILUTED_EPS","FQ4 2019","FQ4 2019","Currency=USD","Period=FQ","BEST_FPERIOD_OVERRIDE=FQ","FILING_STATUS=MR","Sort=A","Dates=H","DateFormat=P","Fill=—","Direction=H","UseDPDF=Y")</f>
        <v>—</v>
      </c>
      <c r="H64" s="14" t="str">
        <f>_xll.BDH("SRPT US Equity","ARDR_DILUTED_EPS","FQ1 2020","FQ1 2020","Currency=USD","Period=FQ","BEST_FPERIOD_OVERRIDE=FQ","FILING_STATUS=MR","Sort=A","Dates=H","DateFormat=P","Fill=—","Direction=H","UseDPDF=Y")</f>
        <v>—</v>
      </c>
      <c r="I64" s="14" t="str">
        <f>_xll.BDH("SRPT US Equity","ARDR_DILUTED_EPS","FQ2 2020","FQ2 2020","Currency=USD","Period=FQ","BEST_FPERIOD_OVERRIDE=FQ","FILING_STATUS=MR","Sort=A","Dates=H","DateFormat=P","Fill=—","Direction=H","UseDPDF=Y")</f>
        <v>—</v>
      </c>
      <c r="J64" s="14" t="str">
        <f>_xll.BDH("SRPT US Equity","ARDR_DILUTED_EPS","FQ3 2020","FQ3 2020","Currency=USD","Period=FQ","BEST_FPERIOD_OVERRIDE=FQ","FILING_STATUS=MR","Sort=A","Dates=H","DateFormat=P","Fill=—","Direction=H","UseDPDF=Y")</f>
        <v>—</v>
      </c>
      <c r="K64" s="14" t="str">
        <f>_xll.BDH("SRPT US Equity","ARDR_DILUTED_EPS","FQ4 2020","FQ4 2020","Currency=USD","Period=FQ","BEST_FPERIOD_OVERRIDE=FQ","FILING_STATUS=MR","Sort=A","Dates=H","DateFormat=P","Fill=—","Direction=H","UseDPDF=Y")</f>
        <v>—</v>
      </c>
      <c r="L64" s="14" t="str">
        <f>_xll.BDH("SRPT US Equity","ARDR_DILUTED_EPS","FQ1 2021","FQ1 2021","Currency=USD","Period=FQ","BEST_FPERIOD_OVERRIDE=FQ","FILING_STATUS=MR","Sort=A","Dates=H","DateFormat=P","Fill=—","Direction=H","UseDPDF=Y")</f>
        <v>—</v>
      </c>
      <c r="M64" s="14" t="str">
        <f>_xll.BDH("SRPT US Equity","ARDR_DILUTED_EPS","FQ2 2021","FQ2 2021","Currency=USD","Period=FQ","BEST_FPERIOD_OVERRIDE=FQ","FILING_STATUS=MR","Sort=A","Dates=H","DateFormat=P","Fill=—","Direction=H","UseDPDF=Y")</f>
        <v>—</v>
      </c>
      <c r="N64" s="14" t="str">
        <f>_xll.BDH("SRPT US Equity","ARDR_DILUTED_EPS","FQ3 2021","FQ3 2021","Currency=USD","Period=FQ","BEST_FPERIOD_OVERRIDE=FQ","FILING_STATUS=MR","Sort=A","Dates=H","DateFormat=P","Fill=—","Direction=H","UseDPDF=Y")</f>
        <v>—</v>
      </c>
      <c r="O64" s="14" t="str">
        <f>_xll.BDH("SRPT US Equity","ARDR_DILUTED_EPS","FQ4 2021","FQ4 2021","Currency=USD","Period=FQ","BEST_FPERIOD_OVERRIDE=FQ","FILING_STATUS=MR","Sort=A","Dates=H","DateFormat=P","Fill=—","Direction=H","UseDPDF=Y")</f>
        <v>—</v>
      </c>
      <c r="P64" s="14" t="str">
        <f>_xll.BDH("SRPT US Equity","ARDR_DILUTED_EPS","FQ1 2022","FQ1 2022","Currency=USD","Period=FQ","BEST_FPERIOD_OVERRIDE=FQ","FILING_STATUS=MR","Sort=A","Dates=H","DateFormat=P","Fill=—","Direction=H","UseDPDF=Y")</f>
        <v>—</v>
      </c>
      <c r="Q64" s="14" t="str">
        <f>_xll.BDH("SRPT US Equity","ARDR_DILUTED_EPS","FQ2 2022","FQ2 2022","Currency=USD","Period=FQ","BEST_FPERIOD_OVERRIDE=FQ","FILING_STATUS=MR","Sort=A","Dates=H","DateFormat=P","Fill=—","Direction=H","UseDPDF=Y")</f>
        <v>—</v>
      </c>
      <c r="R64" s="14">
        <f>_xll.BDH("SRPT US Equity","ARDR_DILUTED_EPS","FQ3 2022","FQ3 2022","Currency=USD","Period=FQ","BEST_FPERIOD_OVERRIDE=FQ","FILING_STATUS=MR","Sort=A","Dates=H","DateFormat=P","Fill=—","Direction=H","UseDPDF=Y")</f>
        <v>-2.94</v>
      </c>
      <c r="S64" s="14" t="str">
        <f>_xll.BDH("SRPT US Equity","ARDR_DILUTED_EPS","FQ4 2022","FQ4 2022","Currency=USD","Period=FQ","BEST_FPERIOD_OVERRIDE=FQ","FILING_STATUS=MR","Sort=A","Dates=H","DateFormat=P","Fill=—","Direction=H","UseDPDF=Y")</f>
        <v>—</v>
      </c>
      <c r="T64" s="14">
        <f>_xll.BDH("SRPT US Equity","ARDR_DILUTED_EPS","FQ1 2023","FQ1 2023","Currency=USD","Period=FQ","BEST_FPERIOD_OVERRIDE=FQ","FILING_STATUS=MR","Sort=A","Dates=H","DateFormat=P","Fill=—","Direction=H","UseDPDF=Y")</f>
        <v>-5.86</v>
      </c>
      <c r="U64" s="14">
        <f>_xll.BDH("SRPT US Equity","ARDR_DILUTED_EPS","FQ2 2023","FQ2 2023","Currency=USD","Period=FQ","BEST_FPERIOD_OVERRIDE=FQ","FILING_STATUS=MR","Sort=A","Dates=H","DateFormat=P","Fill=—","Direction=H","UseDPDF=Y")</f>
        <v>-0.27</v>
      </c>
      <c r="V64" s="14">
        <f>_xll.BDH("SRPT US Equity","ARDR_DILUTED_EPS","FQ3 2023","FQ3 2023","Currency=USD","Period=FQ","BEST_FPERIOD_OVERRIDE=FQ","FILING_STATUS=MR","Sort=A","Dates=H","DateFormat=P","Fill=—","Direction=H","UseDPDF=Y")</f>
        <v>-0.46</v>
      </c>
      <c r="W64" s="14" t="str">
        <f>_xll.BDH("SRPT US Equity","ARDR_DILUTED_EPS","FQ4 2023","FQ4 2023","Currency=USD","Period=FQ","BEST_FPERIOD_OVERRIDE=FQ","FILING_STATUS=MR","Sort=A","Dates=H","DateFormat=P","Fill=—","Direction=H","UseDPDF=Y")</f>
        <v>—</v>
      </c>
      <c r="X64" s="14">
        <f>_xll.BDH("SRPT US Equity","ARDR_DILUTED_EPS","FQ1 2024","FQ1 2024","Currency=USD","Period=FQ","BEST_FPERIOD_OVERRIDE=FQ","FILING_STATUS=MR","Sort=A","Dates=H","DateFormat=P","Fill=—","Direction=H","UseDPDF=Y")</f>
        <v>0.37</v>
      </c>
      <c r="Y64" s="14">
        <f>_xll.BDH("SRPT US Equity","ARDR_DILUTED_EPS","FQ2 2024","FQ2 2024","Currency=USD","Period=FQ","BEST_FPERIOD_OVERRIDE=FQ","FILING_STATUS=MR","Sort=A","Dates=H","DateFormat=P","Fill=—","Direction=H","UseDPDF=Y")</f>
        <v>7.0000000000000007E-2</v>
      </c>
      <c r="Z64" s="14">
        <f>_xll.BDH("SRPT US Equity","ARDR_DILUTED_EPS","FQ3 2024","FQ3 2024","Currency=USD","Period=FQ","BEST_FPERIOD_OVERRIDE=FQ","FILING_STATUS=MR","Sort=A","Dates=H","DateFormat=P","Fill=—","Direction=H","UseDPDF=Y")</f>
        <v>0.34</v>
      </c>
      <c r="AA64" s="14" t="str">
        <f>_xll.BDH("SRPT US Equity","ARDR_DILUTED_EPS","FQ4 2024","FQ4 2024","Currency=USD","Period=FQ","BEST_FPERIOD_OVERRIDE=FQ","FILING_STATUS=MR","Sort=A","Dates=H","DateFormat=P","Fill=—","Direction=H","UseDPDF=Y")</f>
        <v>—</v>
      </c>
    </row>
    <row r="65" spans="1:27" x14ac:dyDescent="0.25">
      <c r="A65" s="10" t="s">
        <v>473</v>
      </c>
      <c r="B65" s="10" t="s">
        <v>520</v>
      </c>
      <c r="C65" s="13" t="str">
        <f>_xll.BDH("SRPT US Equity","ARDR_WEIGHTED_AVG_SHARE_DILUTED","FQ4 2018","FQ4 2018","Currency=USD","Period=FQ","BEST_FPERIOD_OVERRIDE=FQ","FILING_STATUS=MR","Sort=A","Dates=H","DateFormat=P","Fill=—","Direction=H","UseDPDF=Y")</f>
        <v>—</v>
      </c>
      <c r="D65" s="13" t="str">
        <f>_xll.BDH("SRPT US Equity","ARDR_WEIGHTED_AVG_SHARE_DILUTED","FQ1 2019","FQ1 2019","Currency=USD","Period=FQ","BEST_FPERIOD_OVERRIDE=FQ","FILING_STATUS=MR","Sort=A","Dates=H","DateFormat=P","Fill=—","Direction=H","UseDPDF=Y")</f>
        <v>—</v>
      </c>
      <c r="E65" s="13" t="str">
        <f>_xll.BDH("SRPT US Equity","ARDR_WEIGHTED_AVG_SHARE_DILUTED","FQ2 2019","FQ2 2019","Currency=USD","Period=FQ","BEST_FPERIOD_OVERRIDE=FQ","FILING_STATUS=MR","Sort=A","Dates=H","DateFormat=P","Fill=—","Direction=H","UseDPDF=Y")</f>
        <v>—</v>
      </c>
      <c r="F65" s="13" t="str">
        <f>_xll.BDH("SRPT US Equity","ARDR_WEIGHTED_AVG_SHARE_DILUTED","FQ3 2019","FQ3 2019","Currency=USD","Period=FQ","BEST_FPERIOD_OVERRIDE=FQ","FILING_STATUS=MR","Sort=A","Dates=H","DateFormat=P","Fill=—","Direction=H","UseDPDF=Y")</f>
        <v>—</v>
      </c>
      <c r="G65" s="13" t="str">
        <f>_xll.BDH("SRPT US Equity","ARDR_WEIGHTED_AVG_SHARE_DILUTED","FQ4 2019","FQ4 2019","Currency=USD","Period=FQ","BEST_FPERIOD_OVERRIDE=FQ","FILING_STATUS=MR","Sort=A","Dates=H","DateFormat=P","Fill=—","Direction=H","UseDPDF=Y")</f>
        <v>—</v>
      </c>
      <c r="H65" s="13" t="str">
        <f>_xll.BDH("SRPT US Equity","ARDR_WEIGHTED_AVG_SHARE_DILUTED","FQ1 2020","FQ1 2020","Currency=USD","Period=FQ","BEST_FPERIOD_OVERRIDE=FQ","FILING_STATUS=MR","Sort=A","Dates=H","DateFormat=P","Fill=—","Direction=H","UseDPDF=Y")</f>
        <v>—</v>
      </c>
      <c r="I65" s="13" t="str">
        <f>_xll.BDH("SRPT US Equity","ARDR_WEIGHTED_AVG_SHARE_DILUTED","FQ2 2020","FQ2 2020","Currency=USD","Period=FQ","BEST_FPERIOD_OVERRIDE=FQ","FILING_STATUS=MR","Sort=A","Dates=H","DateFormat=P","Fill=—","Direction=H","UseDPDF=Y")</f>
        <v>—</v>
      </c>
      <c r="J65" s="13" t="str">
        <f>_xll.BDH("SRPT US Equity","ARDR_WEIGHTED_AVG_SHARE_DILUTED","FQ3 2020","FQ3 2020","Currency=USD","Period=FQ","BEST_FPERIOD_OVERRIDE=FQ","FILING_STATUS=MR","Sort=A","Dates=H","DateFormat=P","Fill=—","Direction=H","UseDPDF=Y")</f>
        <v>—</v>
      </c>
      <c r="K65" s="13" t="str">
        <f>_xll.BDH("SRPT US Equity","ARDR_WEIGHTED_AVG_SHARE_DILUTED","FQ4 2020","FQ4 2020","Currency=USD","Period=FQ","BEST_FPERIOD_OVERRIDE=FQ","FILING_STATUS=MR","Sort=A","Dates=H","DateFormat=P","Fill=—","Direction=H","UseDPDF=Y")</f>
        <v>—</v>
      </c>
      <c r="L65" s="13" t="str">
        <f>_xll.BDH("SRPT US Equity","ARDR_WEIGHTED_AVG_SHARE_DILUTED","FQ1 2021","FQ1 2021","Currency=USD","Period=FQ","BEST_FPERIOD_OVERRIDE=FQ","FILING_STATUS=MR","Sort=A","Dates=H","DateFormat=P","Fill=—","Direction=H","UseDPDF=Y")</f>
        <v>—</v>
      </c>
      <c r="M65" s="13" t="str">
        <f>_xll.BDH("SRPT US Equity","ARDR_WEIGHTED_AVG_SHARE_DILUTED","FQ2 2021","FQ2 2021","Currency=USD","Period=FQ","BEST_FPERIOD_OVERRIDE=FQ","FILING_STATUS=MR","Sort=A","Dates=H","DateFormat=P","Fill=—","Direction=H","UseDPDF=Y")</f>
        <v>—</v>
      </c>
      <c r="N65" s="13" t="str">
        <f>_xll.BDH("SRPT US Equity","ARDR_WEIGHTED_AVG_SHARE_DILUTED","FQ3 2021","FQ3 2021","Currency=USD","Period=FQ","BEST_FPERIOD_OVERRIDE=FQ","FILING_STATUS=MR","Sort=A","Dates=H","DateFormat=P","Fill=—","Direction=H","UseDPDF=Y")</f>
        <v>—</v>
      </c>
      <c r="O65" s="13" t="str">
        <f>_xll.BDH("SRPT US Equity","ARDR_WEIGHTED_AVG_SHARE_DILUTED","FQ4 2021","FQ4 2021","Currency=USD","Period=FQ","BEST_FPERIOD_OVERRIDE=FQ","FILING_STATUS=MR","Sort=A","Dates=H","DateFormat=P","Fill=—","Direction=H","UseDPDF=Y")</f>
        <v>—</v>
      </c>
      <c r="P65" s="13" t="str">
        <f>_xll.BDH("SRPT US Equity","ARDR_WEIGHTED_AVG_SHARE_DILUTED","FQ1 2022","FQ1 2022","Currency=USD","Period=FQ","BEST_FPERIOD_OVERRIDE=FQ","FILING_STATUS=MR","Sort=A","Dates=H","DateFormat=P","Fill=—","Direction=H","UseDPDF=Y")</f>
        <v>—</v>
      </c>
      <c r="Q65" s="13" t="str">
        <f>_xll.BDH("SRPT US Equity","ARDR_WEIGHTED_AVG_SHARE_DILUTED","FQ2 2022","FQ2 2022","Currency=USD","Period=FQ","BEST_FPERIOD_OVERRIDE=FQ","FILING_STATUS=MR","Sort=A","Dates=H","DateFormat=P","Fill=—","Direction=H","UseDPDF=Y")</f>
        <v>—</v>
      </c>
      <c r="R65" s="13">
        <f>_xll.BDH("SRPT US Equity","ARDR_WEIGHTED_AVG_SHARE_DILUTED","FQ3 2022","FQ3 2022","Currency=USD","Period=FQ","BEST_FPERIOD_OVERRIDE=FQ","FILING_STATUS=MR","Sort=A","Dates=H","DateFormat=P","Fill=—","Direction=H","UseDPDF=Y")</f>
        <v>87.628</v>
      </c>
      <c r="S65" s="13" t="str">
        <f>_xll.BDH("SRPT US Equity","ARDR_WEIGHTED_AVG_SHARE_DILUTED","FQ4 2022","FQ4 2022","Currency=USD","Period=FQ","BEST_FPERIOD_OVERRIDE=FQ","FILING_STATUS=MR","Sort=A","Dates=H","DateFormat=P","Fill=—","Direction=H","UseDPDF=Y")</f>
        <v>—</v>
      </c>
      <c r="T65" s="13">
        <f>_xll.BDH("SRPT US Equity","ARDR_WEIGHTED_AVG_SHARE_DILUTED","FQ1 2023","FQ1 2023","Currency=USD","Period=FQ","BEST_FPERIOD_OVERRIDE=FQ","FILING_STATUS=MR","Sort=A","Dates=H","DateFormat=P","Fill=—","Direction=H","UseDPDF=Y")</f>
        <v>88.186000000000007</v>
      </c>
      <c r="U65" s="13">
        <f>_xll.BDH("SRPT US Equity","ARDR_WEIGHTED_AVG_SHARE_DILUTED","FQ2 2023","FQ2 2023","Currency=USD","Period=FQ","BEST_FPERIOD_OVERRIDE=FQ","FILING_STATUS=MR","Sort=A","Dates=H","DateFormat=P","Fill=—","Direction=H","UseDPDF=Y")</f>
        <v>88.742999999999995</v>
      </c>
      <c r="V65" s="13">
        <f>_xll.BDH("SRPT US Equity","ARDR_WEIGHTED_AVG_SHARE_DILUTED","FQ3 2023","FQ3 2023","Currency=USD","Period=FQ","BEST_FPERIOD_OVERRIDE=FQ","FILING_STATUS=MR","Sort=A","Dates=H","DateFormat=P","Fill=—","Direction=H","UseDPDF=Y")</f>
        <v>88.888999999999996</v>
      </c>
      <c r="W65" s="13">
        <f>_xll.BDH("SRPT US Equity","ARDR_WEIGHTED_AVG_SHARE_DILUTED","FQ4 2023","FQ4 2023","Currency=USD","Period=FQ","BEST_FPERIOD_OVERRIDE=FQ","FILING_STATUS=MR","Sort=A","Dates=H","DateFormat=P","Fill=—","Direction=H","UseDPDF=Y")</f>
        <v>105.59399999999999</v>
      </c>
      <c r="X65" s="13">
        <f>_xll.BDH("SRPT US Equity","ARDR_WEIGHTED_AVG_SHARE_DILUTED","FQ1 2024","FQ1 2024","Currency=USD","Period=FQ","BEST_FPERIOD_OVERRIDE=FQ","FILING_STATUS=MR","Sort=A","Dates=H","DateFormat=P","Fill=—","Direction=H","UseDPDF=Y")</f>
        <v>99.114000000000004</v>
      </c>
      <c r="Y65" s="13">
        <f>_xll.BDH("SRPT US Equity","ARDR_WEIGHTED_AVG_SHARE_DILUTED","FQ2 2024","FQ2 2024","Currency=USD","Period=FQ","BEST_FPERIOD_OVERRIDE=FQ","FILING_STATUS=MR","Sort=A","Dates=H","DateFormat=P","Fill=—","Direction=H","UseDPDF=Y")</f>
        <v>99.144000000000005</v>
      </c>
      <c r="Z65" s="13">
        <f>_xll.BDH("SRPT US Equity","ARDR_WEIGHTED_AVG_SHARE_DILUTED","FQ3 2024","FQ3 2024","Currency=USD","Period=FQ","BEST_FPERIOD_OVERRIDE=FQ","FILING_STATUS=MR","Sort=A","Dates=H","DateFormat=P","Fill=—","Direction=H","UseDPDF=Y")</f>
        <v>100.44799999999999</v>
      </c>
      <c r="AA65" s="13">
        <f>_xll.BDH("SRPT US Equity","ARDR_WEIGHTED_AVG_SHARE_DILUTED","FQ4 2024","FQ4 2024","Currency=USD","Period=FQ","BEST_FPERIOD_OVERRIDE=FQ","FILING_STATUS=MR","Sort=A","Dates=H","DateFormat=P","Fill=—","Direction=H","UseDPDF=Y")</f>
        <v>108.474</v>
      </c>
    </row>
    <row r="66" spans="1:27" x14ac:dyDescent="0.25">
      <c r="A66" s="10" t="s">
        <v>521</v>
      </c>
      <c r="B66" s="10" t="s">
        <v>522</v>
      </c>
      <c r="C66" s="13" t="str">
        <f>_xll.BDH("SRPT US Equity","ARDR_CURRENT_RENTAL_EXP","FQ4 2018","FQ4 2018","Currency=USD","Period=FQ","BEST_FPERIOD_OVERRIDE=FQ","FILING_STATUS=MR","SCALING_FORMAT=MLN","Sort=A","Dates=H","DateFormat=P","Fill=—","Direction=H","UseDPDF=Y")</f>
        <v>—</v>
      </c>
      <c r="D66" s="13">
        <f>_xll.BDH("SRPT US Equity","ARDR_CURRENT_RENTAL_EXP","FQ1 2019","FQ1 2019","Currency=USD","Period=FQ","BEST_FPERIOD_OVERRIDE=FQ","FILING_STATUS=MR","SCALING_FORMAT=MLN","Sort=A","Dates=H","DateFormat=P","Fill=—","Direction=H","UseDPDF=Y")</f>
        <v>3.7309999999999999</v>
      </c>
      <c r="E66" s="13">
        <f>_xll.BDH("SRPT US Equity","ARDR_CURRENT_RENTAL_EXP","FQ2 2019","FQ2 2019","Currency=USD","Period=FQ","BEST_FPERIOD_OVERRIDE=FQ","FILING_STATUS=MR","SCALING_FORMAT=MLN","Sort=A","Dates=H","DateFormat=P","Fill=—","Direction=H","UseDPDF=Y")</f>
        <v>3.339</v>
      </c>
      <c r="F66" s="13">
        <f>_xll.BDH("SRPT US Equity","ARDR_CURRENT_RENTAL_EXP","FQ3 2019","FQ3 2019","Currency=USD","Period=FQ","BEST_FPERIOD_OVERRIDE=FQ","FILING_STATUS=MR","SCALING_FORMAT=MLN","Sort=A","Dates=H","DateFormat=P","Fill=—","Direction=H","UseDPDF=Y")</f>
        <v>3.6139999999999999</v>
      </c>
      <c r="G66" s="13">
        <f>_xll.BDH("SRPT US Equity","ARDR_CURRENT_RENTAL_EXP","FQ4 2019","FQ4 2019","Currency=USD","Period=FQ","BEST_FPERIOD_OVERRIDE=FQ","FILING_STATUS=MR","SCALING_FORMAT=MLN","Sort=A","Dates=H","DateFormat=P","Fill=—","Direction=H","UseDPDF=Y")</f>
        <v>3.6179999999999999</v>
      </c>
      <c r="H66" s="13">
        <f>_xll.BDH("SRPT US Equity","ARDR_CURRENT_RENTAL_EXP","FQ1 2020","FQ1 2020","Currency=USD","Period=FQ","BEST_FPERIOD_OVERRIDE=FQ","FILING_STATUS=MR","SCALING_FORMAT=MLN","Sort=A","Dates=H","DateFormat=P","Fill=—","Direction=H","UseDPDF=Y")</f>
        <v>1.7</v>
      </c>
      <c r="I66" s="13">
        <f>_xll.BDH("SRPT US Equity","ARDR_CURRENT_RENTAL_EXP","FQ2 2020","FQ2 2020","Currency=USD","Period=FQ","BEST_FPERIOD_OVERRIDE=FQ","FILING_STATUS=MR","SCALING_FORMAT=MLN","Sort=A","Dates=H","DateFormat=P","Fill=—","Direction=H","UseDPDF=Y")</f>
        <v>5.6</v>
      </c>
      <c r="J66" s="13">
        <f>_xll.BDH("SRPT US Equity","ARDR_CURRENT_RENTAL_EXP","FQ3 2020","FQ3 2020","Currency=USD","Period=FQ","BEST_FPERIOD_OVERRIDE=FQ","FILING_STATUS=MR","SCALING_FORMAT=MLN","Sort=A","Dates=H","DateFormat=P","Fill=—","Direction=H","UseDPDF=Y")</f>
        <v>5.2</v>
      </c>
      <c r="K66" s="13">
        <f>_xll.BDH("SRPT US Equity","ARDR_CURRENT_RENTAL_EXP","FQ4 2020","FQ4 2020","Currency=USD","Period=FQ","BEST_FPERIOD_OVERRIDE=FQ","FILING_STATUS=MR","SCALING_FORMAT=MLN","Sort=A","Dates=H","DateFormat=P","Fill=—","Direction=H","UseDPDF=Y")</f>
        <v>23.542999999999999</v>
      </c>
      <c r="L66" s="13" t="str">
        <f>_xll.BDH("SRPT US Equity","ARDR_CURRENT_RENTAL_EXP","FQ1 2021","FQ1 2021","Currency=USD","Period=FQ","BEST_FPERIOD_OVERRIDE=FQ","FILING_STATUS=MR","SCALING_FORMAT=MLN","Sort=A","Dates=H","DateFormat=P","Fill=—","Direction=H","UseDPDF=Y")</f>
        <v>—</v>
      </c>
      <c r="M66" s="13" t="str">
        <f>_xll.BDH("SRPT US Equity","ARDR_CURRENT_RENTAL_EXP","FQ2 2021","FQ2 2021","Currency=USD","Period=FQ","BEST_FPERIOD_OVERRIDE=FQ","FILING_STATUS=MR","SCALING_FORMAT=MLN","Sort=A","Dates=H","DateFormat=P","Fill=—","Direction=H","UseDPDF=Y")</f>
        <v>—</v>
      </c>
      <c r="N66" s="13" t="str">
        <f>_xll.BDH("SRPT US Equity","ARDR_CURRENT_RENTAL_EXP","FQ3 2021","FQ3 2021","Currency=USD","Period=FQ","BEST_FPERIOD_OVERRIDE=FQ","FILING_STATUS=MR","SCALING_FORMAT=MLN","Sort=A","Dates=H","DateFormat=P","Fill=—","Direction=H","UseDPDF=Y")</f>
        <v>—</v>
      </c>
      <c r="O66" s="13" t="str">
        <f>_xll.BDH("SRPT US Equity","ARDR_CURRENT_RENTAL_EXP","FQ4 2021","FQ4 2021","Currency=USD","Period=FQ","BEST_FPERIOD_OVERRIDE=FQ","FILING_STATUS=MR","SCALING_FORMAT=MLN","Sort=A","Dates=H","DateFormat=P","Fill=—","Direction=H","UseDPDF=Y")</f>
        <v>—</v>
      </c>
      <c r="P66" s="13" t="str">
        <f>_xll.BDH("SRPT US Equity","ARDR_CURRENT_RENTAL_EXP","FQ1 2022","FQ1 2022","Currency=USD","Period=FQ","BEST_FPERIOD_OVERRIDE=FQ","FILING_STATUS=MR","SCALING_FORMAT=MLN","Sort=A","Dates=H","DateFormat=P","Fill=—","Direction=H","UseDPDF=Y")</f>
        <v>—</v>
      </c>
      <c r="Q66" s="13" t="str">
        <f>_xll.BDH("SRPT US Equity","ARDR_CURRENT_RENTAL_EXP","FQ2 2022","FQ2 2022","Currency=USD","Period=FQ","BEST_FPERIOD_OVERRIDE=FQ","FILING_STATUS=MR","SCALING_FORMAT=MLN","Sort=A","Dates=H","DateFormat=P","Fill=—","Direction=H","UseDPDF=Y")</f>
        <v>—</v>
      </c>
      <c r="R66" s="13" t="str">
        <f>_xll.BDH("SRPT US Equity","ARDR_CURRENT_RENTAL_EXP","FQ3 2022","FQ3 2022","Currency=USD","Period=FQ","BEST_FPERIOD_OVERRIDE=FQ","FILING_STATUS=MR","SCALING_FORMAT=MLN","Sort=A","Dates=H","DateFormat=P","Fill=—","Direction=H","UseDPDF=Y")</f>
        <v>—</v>
      </c>
      <c r="S66" s="13" t="str">
        <f>_xll.BDH("SRPT US Equity","ARDR_CURRENT_RENTAL_EXP","FQ4 2022","FQ4 2022","Currency=USD","Period=FQ","BEST_FPERIOD_OVERRIDE=FQ","FILING_STATUS=MR","SCALING_FORMAT=MLN","Sort=A","Dates=H","DateFormat=P","Fill=—","Direction=H","UseDPDF=Y")</f>
        <v>—</v>
      </c>
      <c r="T66" s="13" t="str">
        <f>_xll.BDH("SRPT US Equity","ARDR_CURRENT_RENTAL_EXP","FQ1 2023","FQ1 2023","Currency=USD","Period=FQ","BEST_FPERIOD_OVERRIDE=FQ","FILING_STATUS=MR","SCALING_FORMAT=MLN","Sort=A","Dates=H","DateFormat=P","Fill=—","Direction=H","UseDPDF=Y")</f>
        <v>—</v>
      </c>
      <c r="U66" s="13" t="str">
        <f>_xll.BDH("SRPT US Equity","ARDR_CURRENT_RENTAL_EXP","FQ2 2023","FQ2 2023","Currency=USD","Period=FQ","BEST_FPERIOD_OVERRIDE=FQ","FILING_STATUS=MR","SCALING_FORMAT=MLN","Sort=A","Dates=H","DateFormat=P","Fill=—","Direction=H","UseDPDF=Y")</f>
        <v>—</v>
      </c>
      <c r="V66" s="13" t="str">
        <f>_xll.BDH("SRPT US Equity","ARDR_CURRENT_RENTAL_EXP","FQ3 2023","FQ3 2023","Currency=USD","Period=FQ","BEST_FPERIOD_OVERRIDE=FQ","FILING_STATUS=MR","SCALING_FORMAT=MLN","Sort=A","Dates=H","DateFormat=P","Fill=—","Direction=H","UseDPDF=Y")</f>
        <v>—</v>
      </c>
      <c r="W66" s="13" t="str">
        <f>_xll.BDH("SRPT US Equity","ARDR_CURRENT_RENTAL_EXP","FQ4 2023","FQ4 2023","Currency=USD","Period=FQ","BEST_FPERIOD_OVERRIDE=FQ","FILING_STATUS=MR","SCALING_FORMAT=MLN","Sort=A","Dates=H","DateFormat=P","Fill=—","Direction=H","UseDPDF=Y")</f>
        <v>—</v>
      </c>
      <c r="X66" s="13" t="str">
        <f>_xll.BDH("SRPT US Equity","ARDR_CURRENT_RENTAL_EXP","FQ1 2024","FQ1 2024","Currency=USD","Period=FQ","BEST_FPERIOD_OVERRIDE=FQ","FILING_STATUS=MR","SCALING_FORMAT=MLN","Sort=A","Dates=H","DateFormat=P","Fill=—","Direction=H","UseDPDF=Y")</f>
        <v>—</v>
      </c>
      <c r="Y66" s="13" t="str">
        <f>_xll.BDH("SRPT US Equity","ARDR_CURRENT_RENTAL_EXP","FQ2 2024","FQ2 2024","Currency=USD","Period=FQ","BEST_FPERIOD_OVERRIDE=FQ","FILING_STATUS=MR","SCALING_FORMAT=MLN","Sort=A","Dates=H","DateFormat=P","Fill=—","Direction=H","UseDPDF=Y")</f>
        <v>—</v>
      </c>
      <c r="Z66" s="13" t="str">
        <f>_xll.BDH("SRPT US Equity","ARDR_CURRENT_RENTAL_EXP","FQ3 2024","FQ3 2024","Currency=USD","Period=FQ","BEST_FPERIOD_OVERRIDE=FQ","FILING_STATUS=MR","SCALING_FORMAT=MLN","Sort=A","Dates=H","DateFormat=P","Fill=—","Direction=H","UseDPDF=Y")</f>
        <v>—</v>
      </c>
      <c r="AA66" s="13" t="str">
        <f>_xll.BDH("SRPT US Equity","ARDR_CURRENT_RENTAL_EXP","FQ4 2024","FQ4 2024","Currency=USD","Period=FQ","BEST_FPERIOD_OVERRIDE=FQ","FILING_STATUS=MR","SCALING_FORMAT=MLN","Sort=A","Dates=H","DateFormat=P","Fill=—","Direction=H","UseDPDF=Y")</f>
        <v>—</v>
      </c>
    </row>
    <row r="67" spans="1:27" x14ac:dyDescent="0.25">
      <c r="A67" s="10" t="s">
        <v>523</v>
      </c>
      <c r="B67" s="10" t="s">
        <v>524</v>
      </c>
      <c r="C67" s="13">
        <f>_xll.BDH("SRPT US Equity","ARDR_STK_BASED_COMPENSATION_EXP","FQ4 2018","FQ4 2018","Currency=USD","Period=FQ","BEST_FPERIOD_OVERRIDE=FQ","FILING_STATUS=MR","SCALING_FORMAT=MLN","Sort=A","Dates=H","DateFormat=P","Fill=—","Direction=H","UseDPDF=Y")</f>
        <v>12.837999999999999</v>
      </c>
      <c r="D67" s="13">
        <f>_xll.BDH("SRPT US Equity","ARDR_STK_BASED_COMPENSATION_EXP","FQ1 2019","FQ1 2019","Currency=USD","Period=FQ","BEST_FPERIOD_OVERRIDE=FQ","FILING_STATUS=MR","SCALING_FORMAT=MLN","Sort=A","Dates=H","DateFormat=P","Fill=—","Direction=H","UseDPDF=Y")</f>
        <v>16.138999999999999</v>
      </c>
      <c r="E67" s="13">
        <f>_xll.BDH("SRPT US Equity","ARDR_STK_BASED_COMPENSATION_EXP","FQ2 2019","FQ2 2019","Currency=USD","Period=FQ","BEST_FPERIOD_OVERRIDE=FQ","FILING_STATUS=MR","SCALING_FORMAT=MLN","Sort=A","Dates=H","DateFormat=P","Fill=—","Direction=H","UseDPDF=Y")</f>
        <v>19.762</v>
      </c>
      <c r="F67" s="13">
        <f>_xll.BDH("SRPT US Equity","ARDR_STK_BASED_COMPENSATION_EXP","FQ3 2019","FQ3 2019","Currency=USD","Period=FQ","BEST_FPERIOD_OVERRIDE=FQ","FILING_STATUS=MR","SCALING_FORMAT=MLN","Sort=A","Dates=H","DateFormat=P","Fill=—","Direction=H","UseDPDF=Y")</f>
        <v>20.637</v>
      </c>
      <c r="G67" s="13">
        <f>_xll.BDH("SRPT US Equity","ARDR_STK_BASED_COMPENSATION_EXP","FQ4 2019","FQ4 2019","Currency=USD","Period=FQ","BEST_FPERIOD_OVERRIDE=FQ","FILING_STATUS=MR","SCALING_FORMAT=MLN","Sort=A","Dates=H","DateFormat=P","Fill=—","Direction=H","UseDPDF=Y")</f>
        <v>22.064</v>
      </c>
      <c r="H67" s="13">
        <f>_xll.BDH("SRPT US Equity","ARDR_STK_BASED_COMPENSATION_EXP","FQ1 2020","FQ1 2020","Currency=USD","Period=FQ","BEST_FPERIOD_OVERRIDE=FQ","FILING_STATUS=MR","SCALING_FORMAT=MLN","Sort=A","Dates=H","DateFormat=P","Fill=—","Direction=H","UseDPDF=Y")</f>
        <v>24.024000000000001</v>
      </c>
      <c r="I67" s="13">
        <f>_xll.BDH("SRPT US Equity","ARDR_STK_BASED_COMPENSATION_EXP","FQ2 2020","FQ2 2020","Currency=USD","Period=FQ","BEST_FPERIOD_OVERRIDE=FQ","FILING_STATUS=MR","SCALING_FORMAT=MLN","Sort=A","Dates=H","DateFormat=P","Fill=—","Direction=H","UseDPDF=Y")</f>
        <v>27.616</v>
      </c>
      <c r="J67" s="13">
        <f>_xll.BDH("SRPT US Equity","ARDR_STK_BASED_COMPENSATION_EXP","FQ3 2020","FQ3 2020","Currency=USD","Period=FQ","BEST_FPERIOD_OVERRIDE=FQ","FILING_STATUS=MR","SCALING_FORMAT=MLN","Sort=A","Dates=H","DateFormat=P","Fill=—","Direction=H","UseDPDF=Y")</f>
        <v>26.902999999999999</v>
      </c>
      <c r="K67" s="13">
        <f>_xll.BDH("SRPT US Equity","ARDR_STK_BASED_COMPENSATION_EXP","FQ4 2020","FQ4 2020","Currency=USD","Period=FQ","BEST_FPERIOD_OVERRIDE=FQ","FILING_STATUS=MR","SCALING_FORMAT=MLN","Sort=A","Dates=H","DateFormat=P","Fill=—","Direction=H","UseDPDF=Y")</f>
        <v>29.527000000000001</v>
      </c>
      <c r="L67" s="13">
        <f>_xll.BDH("SRPT US Equity","ARDR_STK_BASED_COMPENSATION_EXP","FQ1 2021","FQ1 2021","Currency=USD","Period=FQ","BEST_FPERIOD_OVERRIDE=FQ","FILING_STATUS=MR","SCALING_FORMAT=MLN","Sort=A","Dates=H","DateFormat=P","Fill=—","Direction=H","UseDPDF=Y")</f>
        <v>28.507999999999999</v>
      </c>
      <c r="M67" s="13">
        <f>_xll.BDH("SRPT US Equity","ARDR_STK_BASED_COMPENSATION_EXP","FQ2 2021","FQ2 2021","Currency=USD","Period=FQ","BEST_FPERIOD_OVERRIDE=FQ","FILING_STATUS=MR","SCALING_FORMAT=MLN","Sort=A","Dates=H","DateFormat=P","Fill=—","Direction=H","UseDPDF=Y")</f>
        <v>28.969000000000001</v>
      </c>
      <c r="N67" s="13">
        <f>_xll.BDH("SRPT US Equity","ARDR_STK_BASED_COMPENSATION_EXP","FQ3 2021","FQ3 2021","Currency=USD","Period=FQ","BEST_FPERIOD_OVERRIDE=FQ","FILING_STATUS=MR","SCALING_FORMAT=MLN","Sort=A","Dates=H","DateFormat=P","Fill=—","Direction=H","UseDPDF=Y")</f>
        <v>26.684000000000001</v>
      </c>
      <c r="O67" s="13">
        <f>_xll.BDH("SRPT US Equity","ARDR_STK_BASED_COMPENSATION_EXP","FQ4 2021","FQ4 2021","Currency=USD","Period=FQ","BEST_FPERIOD_OVERRIDE=FQ","FILING_STATUS=MR","SCALING_FORMAT=MLN","Sort=A","Dates=H","DateFormat=P","Fill=—","Direction=H","UseDPDF=Y")</f>
        <v>29.782</v>
      </c>
      <c r="P67" s="13">
        <f>_xll.BDH("SRPT US Equity","ARDR_STK_BASED_COMPENSATION_EXP","FQ1 2022","FQ1 2022","Currency=USD","Period=FQ","BEST_FPERIOD_OVERRIDE=FQ","FILING_STATUS=MR","SCALING_FORMAT=MLN","Sort=A","Dates=H","DateFormat=P","Fill=—","Direction=H","UseDPDF=Y")</f>
        <v>29.198</v>
      </c>
      <c r="Q67" s="13">
        <f>_xll.BDH("SRPT US Equity","ARDR_STK_BASED_COMPENSATION_EXP","FQ2 2022","FQ2 2022","Currency=USD","Period=FQ","BEST_FPERIOD_OVERRIDE=FQ","FILING_STATUS=MR","SCALING_FORMAT=MLN","Sort=A","Dates=H","DateFormat=P","Fill=—","Direction=H","UseDPDF=Y")</f>
        <v>102.892</v>
      </c>
      <c r="R67" s="13">
        <f>_xll.BDH("SRPT US Equity","ARDR_STK_BASED_COMPENSATION_EXP","FQ3 2022","FQ3 2022","Currency=USD","Period=FQ","BEST_FPERIOD_OVERRIDE=FQ","FILING_STATUS=MR","SCALING_FORMAT=MLN","Sort=A","Dates=H","DateFormat=P","Fill=—","Direction=H","UseDPDF=Y")</f>
        <v>50.417999999999999</v>
      </c>
      <c r="S67" s="13">
        <f>_xll.BDH("SRPT US Equity","ARDR_STK_BASED_COMPENSATION_EXP","FQ4 2022","FQ4 2022","Currency=USD","Period=FQ","BEST_FPERIOD_OVERRIDE=FQ","FILING_STATUS=MR","SCALING_FORMAT=MLN","Sort=A","Dates=H","DateFormat=P","Fill=—","Direction=H","UseDPDF=Y")</f>
        <v>69.472999999999999</v>
      </c>
      <c r="T67" s="13">
        <f>_xll.BDH("SRPT US Equity","ARDR_STK_BASED_COMPENSATION_EXP","FQ1 2023","FQ1 2023","Currency=USD","Period=FQ","BEST_FPERIOD_OVERRIDE=FQ","FILING_STATUS=MR","SCALING_FORMAT=MLN","Sort=A","Dates=H","DateFormat=P","Fill=—","Direction=H","UseDPDF=Y")</f>
        <v>41.25</v>
      </c>
      <c r="U67" s="13">
        <f>_xll.BDH("SRPT US Equity","ARDR_STK_BASED_COMPENSATION_EXP","FQ2 2023","FQ2 2023","Currency=USD","Period=FQ","BEST_FPERIOD_OVERRIDE=FQ","FILING_STATUS=MR","SCALING_FORMAT=MLN","Sort=A","Dates=H","DateFormat=P","Fill=—","Direction=H","UseDPDF=Y")</f>
        <v>47.377000000000002</v>
      </c>
      <c r="V67" s="13">
        <f>_xll.BDH("SRPT US Equity","ARDR_STK_BASED_COMPENSATION_EXP","FQ3 2023","FQ3 2023","Currency=USD","Period=FQ","BEST_FPERIOD_OVERRIDE=FQ","FILING_STATUS=MR","SCALING_FORMAT=MLN","Sort=A","Dates=H","DateFormat=P","Fill=—","Direction=H","UseDPDF=Y")</f>
        <v>48.061</v>
      </c>
      <c r="W67" s="13">
        <f>_xll.BDH("SRPT US Equity","ARDR_STK_BASED_COMPENSATION_EXP","FQ4 2023","FQ4 2023","Currency=USD","Period=FQ","BEST_FPERIOD_OVERRIDE=FQ","FILING_STATUS=MR","SCALING_FORMAT=MLN","Sort=A","Dates=H","DateFormat=P","Fill=—","Direction=H","UseDPDF=Y")</f>
        <v>68</v>
      </c>
      <c r="X67" s="13">
        <f>_xll.BDH("SRPT US Equity","ARDR_STK_BASED_COMPENSATION_EXP","FQ1 2024","FQ1 2024","Currency=USD","Period=FQ","BEST_FPERIOD_OVERRIDE=FQ","FILING_STATUS=MR","SCALING_FORMAT=MLN","Sort=A","Dates=H","DateFormat=P","Fill=—","Direction=H","UseDPDF=Y")</f>
        <v>40.692</v>
      </c>
      <c r="Y67" s="13">
        <f>_xll.BDH("SRPT US Equity","ARDR_STK_BASED_COMPENSATION_EXP","FQ2 2024","FQ2 2024","Currency=USD","Period=FQ","BEST_FPERIOD_OVERRIDE=FQ","FILING_STATUS=MR","SCALING_FORMAT=MLN","Sort=A","Dates=H","DateFormat=P","Fill=—","Direction=H","UseDPDF=Y")</f>
        <v>50.481999999999999</v>
      </c>
      <c r="Z67" s="13">
        <f>_xll.BDH("SRPT US Equity","ARDR_STK_BASED_COMPENSATION_EXP","FQ3 2024","FQ3 2024","Currency=USD","Period=FQ","BEST_FPERIOD_OVERRIDE=FQ","FILING_STATUS=MR","SCALING_FORMAT=MLN","Sort=A","Dates=H","DateFormat=P","Fill=—","Direction=H","UseDPDF=Y")</f>
        <v>43.45</v>
      </c>
      <c r="AA67" s="13">
        <f>_xll.BDH("SRPT US Equity","ARDR_STK_BASED_COMPENSATION_EXP","FQ4 2024","FQ4 2024","Currency=USD","Period=FQ","BEST_FPERIOD_OVERRIDE=FQ","FILING_STATUS=MR","SCALING_FORMAT=MLN","Sort=A","Dates=H","DateFormat=P","Fill=—","Direction=H","UseDPDF=Y")</f>
        <v>69.572999999999993</v>
      </c>
    </row>
    <row r="68" spans="1:27" x14ac:dyDescent="0.25">
      <c r="A68" s="10" t="s">
        <v>475</v>
      </c>
      <c r="B68" s="10" t="s">
        <v>525</v>
      </c>
      <c r="C68" s="14" t="str">
        <f>_xll.BDH("SRPT US Equity","ARDR_BASIC_AND_DILUTED_EPS","FQ4 2018","FQ4 2018","Currency=USD","Period=FQ","BEST_FPERIOD_OVERRIDE=FQ","FILING_STATUS=MR","Sort=A","Dates=H","DateFormat=P","Fill=—","Direction=H","UseDPDF=Y")</f>
        <v>—</v>
      </c>
      <c r="D68" s="14">
        <f>_xll.BDH("SRPT US Equity","ARDR_BASIC_AND_DILUTED_EPS","FQ1 2019","FQ1 2019","Currency=USD","Period=FQ","BEST_FPERIOD_OVERRIDE=FQ","FILING_STATUS=MR","Sort=A","Dates=H","DateFormat=P","Fill=—","Direction=H","UseDPDF=Y")</f>
        <v>-1.07</v>
      </c>
      <c r="E68" s="14">
        <f>_xll.BDH("SRPT US Equity","ARDR_BASIC_AND_DILUTED_EPS","FQ2 2019","FQ2 2019","Currency=USD","Period=FQ","BEST_FPERIOD_OVERRIDE=FQ","FILING_STATUS=MR","Sort=A","Dates=H","DateFormat=P","Fill=—","Direction=H","UseDPDF=Y")</f>
        <v>-3.74</v>
      </c>
      <c r="F68" s="14" t="str">
        <f>_xll.BDH("SRPT US Equity","ARDR_BASIC_AND_DILUTED_EPS","FQ3 2019","FQ3 2019","Currency=USD","Period=FQ","BEST_FPERIOD_OVERRIDE=FQ","FILING_STATUS=MR","Sort=A","Dates=H","DateFormat=P","Fill=—","Direction=H","UseDPDF=Y")</f>
        <v>—</v>
      </c>
      <c r="G68" s="14" t="str">
        <f>_xll.BDH("SRPT US Equity","ARDR_BASIC_AND_DILUTED_EPS","FQ4 2019","FQ4 2019","Currency=USD","Period=FQ","BEST_FPERIOD_OVERRIDE=FQ","FILING_STATUS=MR","Sort=A","Dates=H","DateFormat=P","Fill=—","Direction=H","UseDPDF=Y")</f>
        <v>—</v>
      </c>
      <c r="H68" s="14">
        <f>_xll.BDH("SRPT US Equity","ARDR_BASIC_AND_DILUTED_EPS","FQ1 2020","FQ1 2020","Currency=USD","Period=FQ","BEST_FPERIOD_OVERRIDE=FQ","FILING_STATUS=MR","Sort=A","Dates=H","DateFormat=P","Fill=—","Direction=H","UseDPDF=Y")</f>
        <v>-0.23</v>
      </c>
      <c r="I68" s="14">
        <f>_xll.BDH("SRPT US Equity","ARDR_BASIC_AND_DILUTED_EPS","FQ2 2020","FQ2 2020","Currency=USD","Period=FQ","BEST_FPERIOD_OVERRIDE=FQ","FILING_STATUS=MR","Sort=A","Dates=H","DateFormat=P","Fill=—","Direction=H","UseDPDF=Y")</f>
        <v>-1.93</v>
      </c>
      <c r="J68" s="14">
        <f>_xll.BDH("SRPT US Equity","ARDR_BASIC_AND_DILUTED_EPS","FQ3 2020","FQ3 2020","Currency=USD","Period=FQ","BEST_FPERIOD_OVERRIDE=FQ","FILING_STATUS=MR","Sort=A","Dates=H","DateFormat=P","Fill=—","Direction=H","UseDPDF=Y")</f>
        <v>-2.5</v>
      </c>
      <c r="K68" s="14" t="str">
        <f>_xll.BDH("SRPT US Equity","ARDR_BASIC_AND_DILUTED_EPS","FQ4 2020","FQ4 2020","Currency=USD","Period=FQ","BEST_FPERIOD_OVERRIDE=FQ","FILING_STATUS=MR","Sort=A","Dates=H","DateFormat=P","Fill=—","Direction=H","UseDPDF=Y")</f>
        <v>—</v>
      </c>
      <c r="L68" s="14">
        <f>_xll.BDH("SRPT US Equity","ARDR_BASIC_AND_DILUTED_EPS","FQ1 2021","FQ1 2021","Currency=USD","Period=FQ","BEST_FPERIOD_OVERRIDE=FQ","FILING_STATUS=MR","Sort=A","Dates=H","DateFormat=P","Fill=—","Direction=H","UseDPDF=Y")</f>
        <v>-2.1</v>
      </c>
      <c r="M68" s="14">
        <f>_xll.BDH("SRPT US Equity","ARDR_BASIC_AND_DILUTED_EPS","FQ2 2021","FQ2 2021","Currency=USD","Period=FQ","BEST_FPERIOD_OVERRIDE=FQ","FILING_STATUS=MR","Sort=A","Dates=H","DateFormat=P","Fill=—","Direction=H","UseDPDF=Y")</f>
        <v>-1.02</v>
      </c>
      <c r="N68" s="14">
        <f>_xll.BDH("SRPT US Equity","ARDR_BASIC_AND_DILUTED_EPS","FQ3 2021","FQ3 2021","Currency=USD","Period=FQ","BEST_FPERIOD_OVERRIDE=FQ","FILING_STATUS=MR","Sort=A","Dates=H","DateFormat=P","Fill=—","Direction=H","UseDPDF=Y")</f>
        <v>-0.6</v>
      </c>
      <c r="O68" s="14" t="str">
        <f>_xll.BDH("SRPT US Equity","ARDR_BASIC_AND_DILUTED_EPS","FQ4 2021","FQ4 2021","Currency=USD","Period=FQ","BEST_FPERIOD_OVERRIDE=FQ","FILING_STATUS=MR","Sort=A","Dates=H","DateFormat=P","Fill=—","Direction=H","UseDPDF=Y")</f>
        <v>—</v>
      </c>
      <c r="P68" s="14">
        <f>_xll.BDH("SRPT US Equity","ARDR_BASIC_AND_DILUTED_EPS","FQ1 2022","FQ1 2022","Currency=USD","Period=FQ","BEST_FPERIOD_OVERRIDE=FQ","FILING_STATUS=MR","Sort=A","Dates=H","DateFormat=P","Fill=—","Direction=H","UseDPDF=Y")</f>
        <v>-1.2</v>
      </c>
      <c r="Q68" s="14">
        <f>_xll.BDH("SRPT US Equity","ARDR_BASIC_AND_DILUTED_EPS","FQ2 2022","FQ2 2022","Currency=USD","Period=FQ","BEST_FPERIOD_OVERRIDE=FQ","FILING_STATUS=MR","Sort=A","Dates=H","DateFormat=P","Fill=—","Direction=H","UseDPDF=Y")</f>
        <v>-2.65</v>
      </c>
      <c r="R68" s="14" t="str">
        <f>_xll.BDH("SRPT US Equity","ARDR_BASIC_AND_DILUTED_EPS","FQ3 2022","FQ3 2022","Currency=USD","Period=FQ","BEST_FPERIOD_OVERRIDE=FQ","FILING_STATUS=MR","Sort=A","Dates=H","DateFormat=P","Fill=—","Direction=H","UseDPDF=Y")</f>
        <v>—</v>
      </c>
      <c r="S68" s="14" t="str">
        <f>_xll.BDH("SRPT US Equity","ARDR_BASIC_AND_DILUTED_EPS","FQ4 2022","FQ4 2022","Currency=USD","Period=FQ","BEST_FPERIOD_OVERRIDE=FQ","FILING_STATUS=MR","Sort=A","Dates=H","DateFormat=P","Fill=—","Direction=H","UseDPDF=Y")</f>
        <v>—</v>
      </c>
      <c r="T68" s="14">
        <f>_xll.BDH("SRPT US Equity","ARDR_BASIC_AND_DILUTED_EPS","FQ1 2023","FQ1 2023","Currency=USD","Period=FQ","BEST_FPERIOD_OVERRIDE=FQ","FILING_STATUS=MR","Sort=A","Dates=H","DateFormat=P","Fill=—","Direction=H","UseDPDF=Y")</f>
        <v>-5.86</v>
      </c>
      <c r="U68" s="14" t="str">
        <f>_xll.BDH("SRPT US Equity","ARDR_BASIC_AND_DILUTED_EPS","FQ2 2023","FQ2 2023","Currency=USD","Period=FQ","BEST_FPERIOD_OVERRIDE=FQ","FILING_STATUS=MR","Sort=A","Dates=H","DateFormat=P","Fill=—","Direction=H","UseDPDF=Y")</f>
        <v>—</v>
      </c>
      <c r="V68" s="14">
        <f>_xll.BDH("SRPT US Equity","ARDR_BASIC_AND_DILUTED_EPS","FQ3 2023","FQ3 2023","Currency=USD","Period=FQ","BEST_FPERIOD_OVERRIDE=FQ","FILING_STATUS=MR","Sort=A","Dates=H","DateFormat=P","Fill=—","Direction=H","UseDPDF=Y")</f>
        <v>-0.46</v>
      </c>
      <c r="W68" s="14" t="str">
        <f>_xll.BDH("SRPT US Equity","ARDR_BASIC_AND_DILUTED_EPS","FQ4 2023","FQ4 2023","Currency=USD","Period=FQ","BEST_FPERIOD_OVERRIDE=FQ","FILING_STATUS=MR","Sort=A","Dates=H","DateFormat=P","Fill=—","Direction=H","UseDPDF=Y")</f>
        <v>—</v>
      </c>
      <c r="X68" s="14" t="str">
        <f>_xll.BDH("SRPT US Equity","ARDR_BASIC_AND_DILUTED_EPS","FQ1 2024","FQ1 2024","Currency=USD","Period=FQ","BEST_FPERIOD_OVERRIDE=FQ","FILING_STATUS=MR","Sort=A","Dates=H","DateFormat=P","Fill=—","Direction=H","UseDPDF=Y")</f>
        <v>—</v>
      </c>
      <c r="Y68" s="14" t="str">
        <f>_xll.BDH("SRPT US Equity","ARDR_BASIC_AND_DILUTED_EPS","FQ2 2024","FQ2 2024","Currency=USD","Period=FQ","BEST_FPERIOD_OVERRIDE=FQ","FILING_STATUS=MR","Sort=A","Dates=H","DateFormat=P","Fill=—","Direction=H","UseDPDF=Y")</f>
        <v>—</v>
      </c>
      <c r="Z68" s="14" t="str">
        <f>_xll.BDH("SRPT US Equity","ARDR_BASIC_AND_DILUTED_EPS","FQ3 2024","FQ3 2024","Currency=USD","Period=FQ","BEST_FPERIOD_OVERRIDE=FQ","FILING_STATUS=MR","Sort=A","Dates=H","DateFormat=P","Fill=—","Direction=H","UseDPDF=Y")</f>
        <v>—</v>
      </c>
      <c r="AA68" s="14" t="str">
        <f>_xll.BDH("SRPT US Equity","ARDR_BASIC_AND_DILUTED_EPS","FQ4 2024","FQ4 2024","Currency=USD","Period=FQ","BEST_FPERIOD_OVERRIDE=FQ","FILING_STATUS=MR","Sort=A","Dates=H","DateFormat=P","Fill=—","Direction=H","UseDPDF=Y")</f>
        <v>—</v>
      </c>
    </row>
    <row r="69" spans="1:27" x14ac:dyDescent="0.25">
      <c r="A69" s="10" t="s">
        <v>477</v>
      </c>
      <c r="B69" s="10" t="s">
        <v>526</v>
      </c>
      <c r="C69" s="13" t="str">
        <f>_xll.BDH("SRPT US Equity","ARDR_WTD_AVG_SHS_BASIC_DILUTED","FQ4 2018","FQ4 2018","Currency=USD","Period=FQ","BEST_FPERIOD_OVERRIDE=FQ","FILING_STATUS=MR","Sort=A","Dates=H","DateFormat=P","Fill=—","Direction=H","UseDPDF=Y")</f>
        <v>—</v>
      </c>
      <c r="D69" s="13">
        <f>_xll.BDH("SRPT US Equity","ARDR_WTD_AVG_SHS_BASIC_DILUTED","FQ1 2019","FQ1 2019","Currency=USD","Period=FQ","BEST_FPERIOD_OVERRIDE=FQ","FILING_STATUS=MR","Sort=A","Dates=H","DateFormat=P","Fill=—","Direction=H","UseDPDF=Y")</f>
        <v>71.730999999999995</v>
      </c>
      <c r="E69" s="13">
        <f>_xll.BDH("SRPT US Equity","ARDR_WTD_AVG_SHS_BASIC_DILUTED","FQ2 2019","FQ2 2019","Currency=USD","Period=FQ","BEST_FPERIOD_OVERRIDE=FQ","FILING_STATUS=MR","Sort=A","Dates=H","DateFormat=P","Fill=—","Direction=H","UseDPDF=Y")</f>
        <v>73.957999999999998</v>
      </c>
      <c r="F69" s="13">
        <f>_xll.BDH("SRPT US Equity","ARDR_WTD_AVG_SHS_BASIC_DILUTED","FQ3 2019","FQ3 2019","Currency=USD","Period=FQ","BEST_FPERIOD_OVERRIDE=FQ","FILING_STATUS=MR","Sort=A","Dates=H","DateFormat=P","Fill=—","Direction=H","UseDPDF=Y")</f>
        <v>74.177000000000007</v>
      </c>
      <c r="G69" s="13" t="str">
        <f>_xll.BDH("SRPT US Equity","ARDR_WTD_AVG_SHS_BASIC_DILUTED","FQ4 2019","FQ4 2019","Currency=USD","Period=FQ","BEST_FPERIOD_OVERRIDE=FQ","FILING_STATUS=MR","Sort=A","Dates=H","DateFormat=P","Fill=—","Direction=H","UseDPDF=Y")</f>
        <v>—</v>
      </c>
      <c r="H69" s="13">
        <f>_xll.BDH("SRPT US Equity","ARDR_WTD_AVG_SHS_BASIC_DILUTED","FQ1 2020","FQ1 2020","Currency=USD","Period=FQ","BEST_FPERIOD_OVERRIDE=FQ","FILING_STATUS=MR","Sort=A","Dates=H","DateFormat=P","Fill=—","Direction=H","UseDPDF=Y")</f>
        <v>76.432000000000002</v>
      </c>
      <c r="I69" s="13">
        <f>_xll.BDH("SRPT US Equity","ARDR_WTD_AVG_SHS_BASIC_DILUTED","FQ2 2020","FQ2 2020","Currency=USD","Period=FQ","BEST_FPERIOD_OVERRIDE=FQ","FILING_STATUS=MR","Sort=A","Dates=H","DateFormat=P","Fill=—","Direction=H","UseDPDF=Y")</f>
        <v>77.968000000000004</v>
      </c>
      <c r="J69" s="13">
        <f>_xll.BDH("SRPT US Equity","ARDR_WTD_AVG_SHS_BASIC_DILUTED","FQ3 2020","FQ3 2020","Currency=USD","Period=FQ","BEST_FPERIOD_OVERRIDE=FQ","FILING_STATUS=MR","Sort=A","Dates=H","DateFormat=P","Fill=—","Direction=H","UseDPDF=Y")</f>
        <v>78.501000000000005</v>
      </c>
      <c r="K69" s="13" t="str">
        <f>_xll.BDH("SRPT US Equity","ARDR_WTD_AVG_SHS_BASIC_DILUTED","FQ4 2020","FQ4 2020","Currency=USD","Period=FQ","BEST_FPERIOD_OVERRIDE=FQ","FILING_STATUS=MR","Sort=A","Dates=H","DateFormat=P","Fill=—","Direction=H","UseDPDF=Y")</f>
        <v>—</v>
      </c>
      <c r="L69" s="13">
        <f>_xll.BDH("SRPT US Equity","ARDR_WTD_AVG_SHS_BASIC_DILUTED","FQ1 2021","FQ1 2021","Currency=USD","Period=FQ","BEST_FPERIOD_OVERRIDE=FQ","FILING_STATUS=MR","Sort=A","Dates=H","DateFormat=P","Fill=—","Direction=H","UseDPDF=Y")</f>
        <v>79.453999999999994</v>
      </c>
      <c r="M69" s="13">
        <f>_xll.BDH("SRPT US Equity","ARDR_WTD_AVG_SHS_BASIC_DILUTED","FQ2 2021","FQ2 2021","Currency=USD","Period=FQ","BEST_FPERIOD_OVERRIDE=FQ","FILING_STATUS=MR","Sort=A","Dates=H","DateFormat=P","Fill=—","Direction=H","UseDPDF=Y")</f>
        <v>79.745999999999995</v>
      </c>
      <c r="N69" s="13">
        <f>_xll.BDH("SRPT US Equity","ARDR_WTD_AVG_SHS_BASIC_DILUTED","FQ3 2021","FQ3 2021","Currency=USD","Period=FQ","BEST_FPERIOD_OVERRIDE=FQ","FILING_STATUS=MR","Sort=A","Dates=H","DateFormat=P","Fill=—","Direction=H","UseDPDF=Y")</f>
        <v>79.88</v>
      </c>
      <c r="O69" s="13" t="str">
        <f>_xll.BDH("SRPT US Equity","ARDR_WTD_AVG_SHS_BASIC_DILUTED","FQ4 2021","FQ4 2021","Currency=USD","Period=FQ","BEST_FPERIOD_OVERRIDE=FQ","FILING_STATUS=MR","Sort=A","Dates=H","DateFormat=P","Fill=—","Direction=H","UseDPDF=Y")</f>
        <v>—</v>
      </c>
      <c r="P69" s="13">
        <f>_xll.BDH("SRPT US Equity","ARDR_WTD_AVG_SHS_BASIC_DILUTED","FQ1 2022","FQ1 2022","Currency=USD","Period=FQ","BEST_FPERIOD_OVERRIDE=FQ","FILING_STATUS=MR","Sort=A","Dates=H","DateFormat=P","Fill=—","Direction=H","UseDPDF=Y")</f>
        <v>87.253</v>
      </c>
      <c r="Q69" s="13">
        <f>_xll.BDH("SRPT US Equity","ARDR_WTD_AVG_SHS_BASIC_DILUTED","FQ2 2022","FQ2 2022","Currency=USD","Period=FQ","BEST_FPERIOD_OVERRIDE=FQ","FILING_STATUS=MR","Sort=A","Dates=H","DateFormat=P","Fill=—","Direction=H","UseDPDF=Y")</f>
        <v>87.510999999999996</v>
      </c>
      <c r="R69" s="13" t="str">
        <f>_xll.BDH("SRPT US Equity","ARDR_WTD_AVG_SHS_BASIC_DILUTED","FQ3 2022","FQ3 2022","Currency=USD","Period=FQ","BEST_FPERIOD_OVERRIDE=FQ","FILING_STATUS=MR","Sort=A","Dates=H","DateFormat=P","Fill=—","Direction=H","UseDPDF=Y")</f>
        <v>—</v>
      </c>
      <c r="S69" s="13" t="str">
        <f>_xll.BDH("SRPT US Equity","ARDR_WTD_AVG_SHS_BASIC_DILUTED","FQ4 2022","FQ4 2022","Currency=USD","Period=FQ","BEST_FPERIOD_OVERRIDE=FQ","FILING_STATUS=MR","Sort=A","Dates=H","DateFormat=P","Fill=—","Direction=H","UseDPDF=Y")</f>
        <v>—</v>
      </c>
      <c r="T69" s="13">
        <f>_xll.BDH("SRPT US Equity","ARDR_WTD_AVG_SHS_BASIC_DILUTED","FQ1 2023","FQ1 2023","Currency=USD","Period=FQ","BEST_FPERIOD_OVERRIDE=FQ","FILING_STATUS=MR","Sort=A","Dates=H","DateFormat=P","Fill=—","Direction=H","UseDPDF=Y")</f>
        <v>88.186000000000007</v>
      </c>
      <c r="U69" s="13" t="str">
        <f>_xll.BDH("SRPT US Equity","ARDR_WTD_AVG_SHS_BASIC_DILUTED","FQ2 2023","FQ2 2023","Currency=USD","Period=FQ","BEST_FPERIOD_OVERRIDE=FQ","FILING_STATUS=MR","Sort=A","Dates=H","DateFormat=P","Fill=—","Direction=H","UseDPDF=Y")</f>
        <v>—</v>
      </c>
      <c r="V69" s="13">
        <f>_xll.BDH("SRPT US Equity","ARDR_WTD_AVG_SHS_BASIC_DILUTED","FQ3 2023","FQ3 2023","Currency=USD","Period=FQ","BEST_FPERIOD_OVERRIDE=FQ","FILING_STATUS=MR","Sort=A","Dates=H","DateFormat=P","Fill=—","Direction=H","UseDPDF=Y")</f>
        <v>88.888999999999996</v>
      </c>
      <c r="W69" s="13">
        <f>_xll.BDH("SRPT US Equity","ARDR_WTD_AVG_SHS_BASIC_DILUTED","FQ4 2023","FQ4 2023","Currency=USD","Period=FQ","BEST_FPERIOD_OVERRIDE=FQ","FILING_STATUS=MR","Sort=A","Dates=H","DateFormat=P","Fill=—","Direction=H","UseDPDF=Y")</f>
        <v>105.59399999999999</v>
      </c>
      <c r="X69" s="13" t="str">
        <f>_xll.BDH("SRPT US Equity","ARDR_WTD_AVG_SHS_BASIC_DILUTED","FQ1 2024","FQ1 2024","Currency=USD","Period=FQ","BEST_FPERIOD_OVERRIDE=FQ","FILING_STATUS=MR","Sort=A","Dates=H","DateFormat=P","Fill=—","Direction=H","UseDPDF=Y")</f>
        <v>—</v>
      </c>
      <c r="Y69" s="13" t="str">
        <f>_xll.BDH("SRPT US Equity","ARDR_WTD_AVG_SHS_BASIC_DILUTED","FQ2 2024","FQ2 2024","Currency=USD","Period=FQ","BEST_FPERIOD_OVERRIDE=FQ","FILING_STATUS=MR","Sort=A","Dates=H","DateFormat=P","Fill=—","Direction=H","UseDPDF=Y")</f>
        <v>—</v>
      </c>
      <c r="Z69" s="13" t="str">
        <f>_xll.BDH("SRPT US Equity","ARDR_WTD_AVG_SHS_BASIC_DILUTED","FQ3 2024","FQ3 2024","Currency=USD","Period=FQ","BEST_FPERIOD_OVERRIDE=FQ","FILING_STATUS=MR","Sort=A","Dates=H","DateFormat=P","Fill=—","Direction=H","UseDPDF=Y")</f>
        <v>—</v>
      </c>
      <c r="AA69" s="13" t="str">
        <f>_xll.BDH("SRPT US Equity","ARDR_WTD_AVG_SHS_BASIC_DILUTED","FQ4 2024","FQ4 2024","Currency=USD","Period=FQ","BEST_FPERIOD_OVERRIDE=FQ","FILING_STATUS=MR","Sort=A","Dates=H","DateFormat=P","Fill=—","Direction=H","UseDPDF=Y")</f>
        <v>—</v>
      </c>
    </row>
    <row r="70" spans="1:27" x14ac:dyDescent="0.25">
      <c r="A70" s="10" t="s">
        <v>442</v>
      </c>
      <c r="B70" s="10" t="s">
        <v>527</v>
      </c>
      <c r="C70" s="13">
        <f>_xll.BDH("SRPT US Equity","ARDR_LITIGATION_EXP","FQ4 2018","FQ4 2018","Currency=USD","Period=FQ","BEST_FPERIOD_OVERRIDE=FQ","FILING_STATUS=MR","SCALING_FORMAT=MLN","Sort=A","Dates=H","DateFormat=P","Fill=—","Direction=H","UseDPDF=Y")</f>
        <v>0</v>
      </c>
      <c r="D70" s="13" t="str">
        <f>_xll.BDH("SRPT US Equity","ARDR_LITIGATION_EXP","FQ1 2019","FQ1 2019","Currency=USD","Period=FQ","BEST_FPERIOD_OVERRIDE=FQ","FILING_STATUS=MR","SCALING_FORMAT=MLN","Sort=A","Dates=H","DateFormat=P","Fill=—","Direction=H","UseDPDF=Y")</f>
        <v>—</v>
      </c>
      <c r="E70" s="13" t="str">
        <f>_xll.BDH("SRPT US Equity","ARDR_LITIGATION_EXP","FQ2 2019","FQ2 2019","Currency=USD","Period=FQ","BEST_FPERIOD_OVERRIDE=FQ","FILING_STATUS=MR","SCALING_FORMAT=MLN","Sort=A","Dates=H","DateFormat=P","Fill=—","Direction=H","UseDPDF=Y")</f>
        <v>—</v>
      </c>
      <c r="F70" s="13" t="str">
        <f>_xll.BDH("SRPT US Equity","ARDR_LITIGATION_EXP","FQ3 2019","FQ3 2019","Currency=USD","Period=FQ","BEST_FPERIOD_OVERRIDE=FQ","FILING_STATUS=MR","SCALING_FORMAT=MLN","Sort=A","Dates=H","DateFormat=P","Fill=—","Direction=H","UseDPDF=Y")</f>
        <v>—</v>
      </c>
      <c r="G70" s="13">
        <f>_xll.BDH("SRPT US Equity","ARDR_LITIGATION_EXP","FQ4 2019","FQ4 2019","Currency=USD","Period=FQ","BEST_FPERIOD_OVERRIDE=FQ","FILING_STATUS=MR","SCALING_FORMAT=MLN","Sort=A","Dates=H","DateFormat=P","Fill=—","Direction=H","UseDPDF=Y")</f>
        <v>10</v>
      </c>
      <c r="H70" s="13" t="str">
        <f>_xll.BDH("SRPT US Equity","ARDR_LITIGATION_EXP","FQ1 2020","FQ1 2020","Currency=USD","Period=FQ","BEST_FPERIOD_OVERRIDE=FQ","FILING_STATUS=MR","SCALING_FORMAT=MLN","Sort=A","Dates=H","DateFormat=P","Fill=—","Direction=H","UseDPDF=Y")</f>
        <v>—</v>
      </c>
      <c r="I70" s="13" t="str">
        <f>_xll.BDH("SRPT US Equity","ARDR_LITIGATION_EXP","FQ2 2020","FQ2 2020","Currency=USD","Period=FQ","BEST_FPERIOD_OVERRIDE=FQ","FILING_STATUS=MR","SCALING_FORMAT=MLN","Sort=A","Dates=H","DateFormat=P","Fill=—","Direction=H","UseDPDF=Y")</f>
        <v>—</v>
      </c>
      <c r="J70" s="13" t="str">
        <f>_xll.BDH("SRPT US Equity","ARDR_LITIGATION_EXP","FQ3 2020","FQ3 2020","Currency=USD","Period=FQ","BEST_FPERIOD_OVERRIDE=FQ","FILING_STATUS=MR","SCALING_FORMAT=MLN","Sort=A","Dates=H","DateFormat=P","Fill=—","Direction=H","UseDPDF=Y")</f>
        <v>—</v>
      </c>
      <c r="K70" s="13">
        <f>_xll.BDH("SRPT US Equity","ARDR_LITIGATION_EXP","FQ4 2020","FQ4 2020","Currency=USD","Period=FQ","BEST_FPERIOD_OVERRIDE=FQ","FILING_STATUS=MR","SCALING_FORMAT=MLN","Sort=A","Dates=H","DateFormat=P","Fill=—","Direction=H","UseDPDF=Y")</f>
        <v>0</v>
      </c>
      <c r="L70" s="13">
        <f>_xll.BDH("SRPT US Equity","ARDR_LITIGATION_EXP","FQ1 2021","FQ1 2021","Currency=USD","Period=FQ","BEST_FPERIOD_OVERRIDE=FQ","FILING_STATUS=MR","SCALING_FORMAT=MLN","Sort=A","Dates=H","DateFormat=P","Fill=—","Direction=H","UseDPDF=Y")</f>
        <v>10</v>
      </c>
      <c r="M70" s="13">
        <f>_xll.BDH("SRPT US Equity","ARDR_LITIGATION_EXP","FQ2 2021","FQ2 2021","Currency=USD","Period=FQ","BEST_FPERIOD_OVERRIDE=FQ","FILING_STATUS=MR","SCALING_FORMAT=MLN","Sort=A","Dates=H","DateFormat=P","Fill=—","Direction=H","UseDPDF=Y")</f>
        <v>0</v>
      </c>
      <c r="N70" s="13" t="str">
        <f>_xll.BDH("SRPT US Equity","ARDR_LITIGATION_EXP","FQ3 2021","FQ3 2021","Currency=USD","Period=FQ","BEST_FPERIOD_OVERRIDE=FQ","FILING_STATUS=MR","SCALING_FORMAT=MLN","Sort=A","Dates=H","DateFormat=P","Fill=—","Direction=H","UseDPDF=Y")</f>
        <v>—</v>
      </c>
      <c r="O70" s="13" t="str">
        <f>_xll.BDH("SRPT US Equity","ARDR_LITIGATION_EXP","FQ4 2021","FQ4 2021","Currency=USD","Period=FQ","BEST_FPERIOD_OVERRIDE=FQ","FILING_STATUS=MR","SCALING_FORMAT=MLN","Sort=A","Dates=H","DateFormat=P","Fill=—","Direction=H","UseDPDF=Y")</f>
        <v>—</v>
      </c>
      <c r="P70" s="13">
        <f>_xll.BDH("SRPT US Equity","ARDR_LITIGATION_EXP","FQ1 2022","FQ1 2022","Currency=USD","Period=FQ","BEST_FPERIOD_OVERRIDE=FQ","FILING_STATUS=MR","SCALING_FORMAT=MLN","Sort=A","Dates=H","DateFormat=P","Fill=—","Direction=H","UseDPDF=Y")</f>
        <v>0</v>
      </c>
      <c r="Q70" s="13" t="str">
        <f>_xll.BDH("SRPT US Equity","ARDR_LITIGATION_EXP","FQ2 2022","FQ2 2022","Currency=USD","Period=FQ","BEST_FPERIOD_OVERRIDE=FQ","FILING_STATUS=MR","SCALING_FORMAT=MLN","Sort=A","Dates=H","DateFormat=P","Fill=—","Direction=H","UseDPDF=Y")</f>
        <v>—</v>
      </c>
      <c r="R70" s="13" t="str">
        <f>_xll.BDH("SRPT US Equity","ARDR_LITIGATION_EXP","FQ3 2022","FQ3 2022","Currency=USD","Period=FQ","BEST_FPERIOD_OVERRIDE=FQ","FILING_STATUS=MR","SCALING_FORMAT=MLN","Sort=A","Dates=H","DateFormat=P","Fill=—","Direction=H","UseDPDF=Y")</f>
        <v>—</v>
      </c>
      <c r="S70" s="13" t="str">
        <f>_xll.BDH("SRPT US Equity","ARDR_LITIGATION_EXP","FQ4 2022","FQ4 2022","Currency=USD","Period=FQ","BEST_FPERIOD_OVERRIDE=FQ","FILING_STATUS=MR","SCALING_FORMAT=MLN","Sort=A","Dates=H","DateFormat=P","Fill=—","Direction=H","UseDPDF=Y")</f>
        <v>—</v>
      </c>
      <c r="T70" s="13" t="str">
        <f>_xll.BDH("SRPT US Equity","ARDR_LITIGATION_EXP","FQ1 2023","FQ1 2023","Currency=USD","Period=FQ","BEST_FPERIOD_OVERRIDE=FQ","FILING_STATUS=MR","SCALING_FORMAT=MLN","Sort=A","Dates=H","DateFormat=P","Fill=—","Direction=H","UseDPDF=Y")</f>
        <v>—</v>
      </c>
      <c r="U70" s="13" t="str">
        <f>_xll.BDH("SRPT US Equity","ARDR_LITIGATION_EXP","FQ2 2023","FQ2 2023","Currency=USD","Period=FQ","BEST_FPERIOD_OVERRIDE=FQ","FILING_STATUS=MR","SCALING_FORMAT=MLN","Sort=A","Dates=H","DateFormat=P","Fill=—","Direction=H","UseDPDF=Y")</f>
        <v>—</v>
      </c>
      <c r="V70" s="13" t="str">
        <f>_xll.BDH("SRPT US Equity","ARDR_LITIGATION_EXP","FQ3 2023","FQ3 2023","Currency=USD","Period=FQ","BEST_FPERIOD_OVERRIDE=FQ","FILING_STATUS=MR","SCALING_FORMAT=MLN","Sort=A","Dates=H","DateFormat=P","Fill=—","Direction=H","UseDPDF=Y")</f>
        <v>—</v>
      </c>
      <c r="W70" s="13" t="str">
        <f>_xll.BDH("SRPT US Equity","ARDR_LITIGATION_EXP","FQ4 2023","FQ4 2023","Currency=USD","Period=FQ","BEST_FPERIOD_OVERRIDE=FQ","FILING_STATUS=MR","SCALING_FORMAT=MLN","Sort=A","Dates=H","DateFormat=P","Fill=—","Direction=H","UseDPDF=Y")</f>
        <v>—</v>
      </c>
      <c r="X70" s="13" t="str">
        <f>_xll.BDH("SRPT US Equity","ARDR_LITIGATION_EXP","FQ1 2024","FQ1 2024","Currency=USD","Period=FQ","BEST_FPERIOD_OVERRIDE=FQ","FILING_STATUS=MR","SCALING_FORMAT=MLN","Sort=A","Dates=H","DateFormat=P","Fill=—","Direction=H","UseDPDF=Y")</f>
        <v>—</v>
      </c>
      <c r="Y70" s="13" t="str">
        <f>_xll.BDH("SRPT US Equity","ARDR_LITIGATION_EXP","FQ2 2024","FQ2 2024","Currency=USD","Period=FQ","BEST_FPERIOD_OVERRIDE=FQ","FILING_STATUS=MR","SCALING_FORMAT=MLN","Sort=A","Dates=H","DateFormat=P","Fill=—","Direction=H","UseDPDF=Y")</f>
        <v>—</v>
      </c>
      <c r="Z70" s="13" t="str">
        <f>_xll.BDH("SRPT US Equity","ARDR_LITIGATION_EXP","FQ3 2024","FQ3 2024","Currency=USD","Period=FQ","BEST_FPERIOD_OVERRIDE=FQ","FILING_STATUS=MR","SCALING_FORMAT=MLN","Sort=A","Dates=H","DateFormat=P","Fill=—","Direction=H","UseDPDF=Y")</f>
        <v>—</v>
      </c>
      <c r="AA70" s="13" t="str">
        <f>_xll.BDH("SRPT US Equity","ARDR_LITIGATION_EXP","FQ4 2024","FQ4 2024","Currency=USD","Period=FQ","BEST_FPERIOD_OVERRIDE=FQ","FILING_STATUS=MR","SCALING_FORMAT=MLN","Sort=A","Dates=H","DateFormat=P","Fill=—","Direction=H","UseDPDF=Y")</f>
        <v>—</v>
      </c>
    </row>
    <row r="71" spans="1:27" x14ac:dyDescent="0.25">
      <c r="A71" s="10" t="s">
        <v>528</v>
      </c>
      <c r="B71" s="10" t="s">
        <v>529</v>
      </c>
      <c r="C71" s="13" t="str">
        <f>_xll.BDH("SRPT US Equity","ARDR_MERGER_ACQUISITION_EXPENSE","FQ4 2018","FQ4 2018","Currency=USD","Period=FQ","BEST_FPERIOD_OVERRIDE=FQ","FILING_STATUS=MR","SCALING_FORMAT=MLN","Sort=A","Dates=H","DateFormat=P","Fill=—","Direction=H","UseDPDF=Y")</f>
        <v>—</v>
      </c>
      <c r="D71" s="13" t="str">
        <f>_xll.BDH("SRPT US Equity","ARDR_MERGER_ACQUISITION_EXPENSE","FQ1 2019","FQ1 2019","Currency=USD","Period=FQ","BEST_FPERIOD_OVERRIDE=FQ","FILING_STATUS=MR","SCALING_FORMAT=MLN","Sort=A","Dates=H","DateFormat=P","Fill=—","Direction=H","UseDPDF=Y")</f>
        <v>—</v>
      </c>
      <c r="E71" s="13" t="str">
        <f>_xll.BDH("SRPT US Equity","ARDR_MERGER_ACQUISITION_EXPENSE","FQ2 2019","FQ2 2019","Currency=USD","Period=FQ","BEST_FPERIOD_OVERRIDE=FQ","FILING_STATUS=MR","SCALING_FORMAT=MLN","Sort=A","Dates=H","DateFormat=P","Fill=—","Direction=H","UseDPDF=Y")</f>
        <v>—</v>
      </c>
      <c r="F71" s="13" t="str">
        <f>_xll.BDH("SRPT US Equity","ARDR_MERGER_ACQUISITION_EXPENSE","FQ3 2019","FQ3 2019","Currency=USD","Period=FQ","BEST_FPERIOD_OVERRIDE=FQ","FILING_STATUS=MR","SCALING_FORMAT=MLN","Sort=A","Dates=H","DateFormat=P","Fill=—","Direction=H","UseDPDF=Y")</f>
        <v>—</v>
      </c>
      <c r="G71" s="13" t="str">
        <f>_xll.BDH("SRPT US Equity","ARDR_MERGER_ACQUISITION_EXPENSE","FQ4 2019","FQ4 2019","Currency=USD","Period=FQ","BEST_FPERIOD_OVERRIDE=FQ","FILING_STATUS=MR","SCALING_FORMAT=MLN","Sort=A","Dates=H","DateFormat=P","Fill=—","Direction=H","UseDPDF=Y")</f>
        <v>—</v>
      </c>
      <c r="H71" s="13">
        <f>_xll.BDH("SRPT US Equity","ARDR_MERGER_ACQUISITION_EXPENSE","FQ1 2020","FQ1 2020","Currency=USD","Period=FQ","BEST_FPERIOD_OVERRIDE=FQ","FILING_STATUS=MR","SCALING_FORMAT=MLN","Sort=A","Dates=H","DateFormat=P","Fill=—","Direction=H","UseDPDF=Y")</f>
        <v>11.292</v>
      </c>
      <c r="I71" s="13" t="str">
        <f>_xll.BDH("SRPT US Equity","ARDR_MERGER_ACQUISITION_EXPENSE","FQ2 2020","FQ2 2020","Currency=USD","Period=FQ","BEST_FPERIOD_OVERRIDE=FQ","FILING_STATUS=MR","SCALING_FORMAT=MLN","Sort=A","Dates=H","DateFormat=P","Fill=—","Direction=H","UseDPDF=Y")</f>
        <v>—</v>
      </c>
      <c r="J71" s="13" t="str">
        <f>_xll.BDH("SRPT US Equity","ARDR_MERGER_ACQUISITION_EXPENSE","FQ3 2020","FQ3 2020","Currency=USD","Period=FQ","BEST_FPERIOD_OVERRIDE=FQ","FILING_STATUS=MR","SCALING_FORMAT=MLN","Sort=A","Dates=H","DateFormat=P","Fill=—","Direction=H","UseDPDF=Y")</f>
        <v>—</v>
      </c>
      <c r="K71" s="13" t="str">
        <f>_xll.BDH("SRPT US Equity","ARDR_MERGER_ACQUISITION_EXPENSE","FQ4 2020","FQ4 2020","Currency=USD","Period=FQ","BEST_FPERIOD_OVERRIDE=FQ","FILING_STATUS=MR","SCALING_FORMAT=MLN","Sort=A","Dates=H","DateFormat=P","Fill=—","Direction=H","UseDPDF=Y")</f>
        <v>—</v>
      </c>
      <c r="L71" s="13" t="str">
        <f>_xll.BDH("SRPT US Equity","ARDR_MERGER_ACQUISITION_EXPENSE","FQ1 2021","FQ1 2021","Currency=USD","Period=FQ","BEST_FPERIOD_OVERRIDE=FQ","FILING_STATUS=MR","SCALING_FORMAT=MLN","Sort=A","Dates=H","DateFormat=P","Fill=—","Direction=H","UseDPDF=Y")</f>
        <v>—</v>
      </c>
      <c r="M71" s="13" t="str">
        <f>_xll.BDH("SRPT US Equity","ARDR_MERGER_ACQUISITION_EXPENSE","FQ2 2021","FQ2 2021","Currency=USD","Period=FQ","BEST_FPERIOD_OVERRIDE=FQ","FILING_STATUS=MR","SCALING_FORMAT=MLN","Sort=A","Dates=H","DateFormat=P","Fill=—","Direction=H","UseDPDF=Y")</f>
        <v>—</v>
      </c>
      <c r="N71" s="13" t="str">
        <f>_xll.BDH("SRPT US Equity","ARDR_MERGER_ACQUISITION_EXPENSE","FQ3 2021","FQ3 2021","Currency=USD","Period=FQ","BEST_FPERIOD_OVERRIDE=FQ","FILING_STATUS=MR","SCALING_FORMAT=MLN","Sort=A","Dates=H","DateFormat=P","Fill=—","Direction=H","UseDPDF=Y")</f>
        <v>—</v>
      </c>
      <c r="O71" s="13" t="str">
        <f>_xll.BDH("SRPT US Equity","ARDR_MERGER_ACQUISITION_EXPENSE","FQ4 2021","FQ4 2021","Currency=USD","Period=FQ","BEST_FPERIOD_OVERRIDE=FQ","FILING_STATUS=MR","SCALING_FORMAT=MLN","Sort=A","Dates=H","DateFormat=P","Fill=—","Direction=H","UseDPDF=Y")</f>
        <v>—</v>
      </c>
      <c r="P71" s="13" t="str">
        <f>_xll.BDH("SRPT US Equity","ARDR_MERGER_ACQUISITION_EXPENSE","FQ1 2022","FQ1 2022","Currency=USD","Period=FQ","BEST_FPERIOD_OVERRIDE=FQ","FILING_STATUS=MR","SCALING_FORMAT=MLN","Sort=A","Dates=H","DateFormat=P","Fill=—","Direction=H","UseDPDF=Y")</f>
        <v>—</v>
      </c>
      <c r="Q71" s="13" t="str">
        <f>_xll.BDH("SRPT US Equity","ARDR_MERGER_ACQUISITION_EXPENSE","FQ2 2022","FQ2 2022","Currency=USD","Period=FQ","BEST_FPERIOD_OVERRIDE=FQ","FILING_STATUS=MR","SCALING_FORMAT=MLN","Sort=A","Dates=H","DateFormat=P","Fill=—","Direction=H","UseDPDF=Y")</f>
        <v>—</v>
      </c>
      <c r="R71" s="13" t="str">
        <f>_xll.BDH("SRPT US Equity","ARDR_MERGER_ACQUISITION_EXPENSE","FQ3 2022","FQ3 2022","Currency=USD","Period=FQ","BEST_FPERIOD_OVERRIDE=FQ","FILING_STATUS=MR","SCALING_FORMAT=MLN","Sort=A","Dates=H","DateFormat=P","Fill=—","Direction=H","UseDPDF=Y")</f>
        <v>—</v>
      </c>
      <c r="S71" s="13" t="str">
        <f>_xll.BDH("SRPT US Equity","ARDR_MERGER_ACQUISITION_EXPENSE","FQ4 2022","FQ4 2022","Currency=USD","Period=FQ","BEST_FPERIOD_OVERRIDE=FQ","FILING_STATUS=MR","SCALING_FORMAT=MLN","Sort=A","Dates=H","DateFormat=P","Fill=—","Direction=H","UseDPDF=Y")</f>
        <v>—</v>
      </c>
      <c r="T71" s="13" t="str">
        <f>_xll.BDH("SRPT US Equity","ARDR_MERGER_ACQUISITION_EXPENSE","FQ1 2023","FQ1 2023","Currency=USD","Period=FQ","BEST_FPERIOD_OVERRIDE=FQ","FILING_STATUS=MR","SCALING_FORMAT=MLN","Sort=A","Dates=H","DateFormat=P","Fill=—","Direction=H","UseDPDF=Y")</f>
        <v>—</v>
      </c>
      <c r="U71" s="13" t="str">
        <f>_xll.BDH("SRPT US Equity","ARDR_MERGER_ACQUISITION_EXPENSE","FQ2 2023","FQ2 2023","Currency=USD","Period=FQ","BEST_FPERIOD_OVERRIDE=FQ","FILING_STATUS=MR","SCALING_FORMAT=MLN","Sort=A","Dates=H","DateFormat=P","Fill=—","Direction=H","UseDPDF=Y")</f>
        <v>—</v>
      </c>
      <c r="V71" s="13" t="str">
        <f>_xll.BDH("SRPT US Equity","ARDR_MERGER_ACQUISITION_EXPENSE","FQ3 2023","FQ3 2023","Currency=USD","Period=FQ","BEST_FPERIOD_OVERRIDE=FQ","FILING_STATUS=MR","SCALING_FORMAT=MLN","Sort=A","Dates=H","DateFormat=P","Fill=—","Direction=H","UseDPDF=Y")</f>
        <v>—</v>
      </c>
      <c r="W71" s="13" t="str">
        <f>_xll.BDH("SRPT US Equity","ARDR_MERGER_ACQUISITION_EXPENSE","FQ4 2023","FQ4 2023","Currency=USD","Period=FQ","BEST_FPERIOD_OVERRIDE=FQ","FILING_STATUS=MR","SCALING_FORMAT=MLN","Sort=A","Dates=H","DateFormat=P","Fill=—","Direction=H","UseDPDF=Y")</f>
        <v>—</v>
      </c>
      <c r="X71" s="13" t="str">
        <f>_xll.BDH("SRPT US Equity","ARDR_MERGER_ACQUISITION_EXPENSE","FQ1 2024","FQ1 2024","Currency=USD","Period=FQ","BEST_FPERIOD_OVERRIDE=FQ","FILING_STATUS=MR","SCALING_FORMAT=MLN","Sort=A","Dates=H","DateFormat=P","Fill=—","Direction=H","UseDPDF=Y")</f>
        <v>—</v>
      </c>
      <c r="Y71" s="13" t="str">
        <f>_xll.BDH("SRPT US Equity","ARDR_MERGER_ACQUISITION_EXPENSE","FQ2 2024","FQ2 2024","Currency=USD","Period=FQ","BEST_FPERIOD_OVERRIDE=FQ","FILING_STATUS=MR","SCALING_FORMAT=MLN","Sort=A","Dates=H","DateFormat=P","Fill=—","Direction=H","UseDPDF=Y")</f>
        <v>—</v>
      </c>
      <c r="Z71" s="13" t="str">
        <f>_xll.BDH("SRPT US Equity","ARDR_MERGER_ACQUISITION_EXPENSE","FQ3 2024","FQ3 2024","Currency=USD","Period=FQ","BEST_FPERIOD_OVERRIDE=FQ","FILING_STATUS=MR","SCALING_FORMAT=MLN","Sort=A","Dates=H","DateFormat=P","Fill=—","Direction=H","UseDPDF=Y")</f>
        <v>—</v>
      </c>
      <c r="AA71" s="13" t="str">
        <f>_xll.BDH("SRPT US Equity","ARDR_MERGER_ACQUISITION_EXPENSE","FQ4 2024","FQ4 2024","Currency=USD","Period=FQ","BEST_FPERIOD_OVERRIDE=FQ","FILING_STATUS=MR","SCALING_FORMAT=MLN","Sort=A","Dates=H","DateFormat=P","Fill=—","Direction=H","UseDPDF=Y")</f>
        <v>—</v>
      </c>
    </row>
    <row r="72" spans="1:27" x14ac:dyDescent="0.25">
      <c r="A72" s="10" t="s">
        <v>445</v>
      </c>
      <c r="B72" s="10" t="s">
        <v>530</v>
      </c>
      <c r="C72" s="13" t="str">
        <f>_xll.BDH("SRPT US Equity","ARDR_AMORT_OF_INTANGIBLE_ASSETS","FQ4 2018","FQ4 2018","Currency=USD","Period=FQ","BEST_FPERIOD_OVERRIDE=FQ","FILING_STATUS=MR","SCALING_FORMAT=MLN","Sort=A","Dates=H","DateFormat=P","Fill=—","Direction=H","UseDPDF=Y")</f>
        <v>—</v>
      </c>
      <c r="D72" s="13" t="str">
        <f>_xll.BDH("SRPT US Equity","ARDR_AMORT_OF_INTANGIBLE_ASSETS","FQ1 2019","FQ1 2019","Currency=USD","Period=FQ","BEST_FPERIOD_OVERRIDE=FQ","FILING_STATUS=MR","SCALING_FORMAT=MLN","Sort=A","Dates=H","DateFormat=P","Fill=—","Direction=H","UseDPDF=Y")</f>
        <v>—</v>
      </c>
      <c r="E72" s="13" t="str">
        <f>_xll.BDH("SRPT US Equity","ARDR_AMORT_OF_INTANGIBLE_ASSETS","FQ2 2019","FQ2 2019","Currency=USD","Period=FQ","BEST_FPERIOD_OVERRIDE=FQ","FILING_STATUS=MR","SCALING_FORMAT=MLN","Sort=A","Dates=H","DateFormat=P","Fill=—","Direction=H","UseDPDF=Y")</f>
        <v>—</v>
      </c>
      <c r="F72" s="13">
        <f>_xll.BDH("SRPT US Equity","ARDR_AMORT_OF_INTANGIBLE_ASSETS","FQ3 2019","FQ3 2019","Currency=USD","Period=FQ","BEST_FPERIOD_OVERRIDE=FQ","FILING_STATUS=MR","SCALING_FORMAT=MLN","Sort=A","Dates=H","DateFormat=P","Fill=—","Direction=H","UseDPDF=Y")</f>
        <v>0.216</v>
      </c>
      <c r="G72" s="13">
        <f>_xll.BDH("SRPT US Equity","ARDR_AMORT_OF_INTANGIBLE_ASSETS","FQ4 2019","FQ4 2019","Currency=USD","Period=FQ","BEST_FPERIOD_OVERRIDE=FQ","FILING_STATUS=MR","SCALING_FORMAT=MLN","Sort=A","Dates=H","DateFormat=P","Fill=—","Direction=H","UseDPDF=Y")</f>
        <v>0.2</v>
      </c>
      <c r="H72" s="13">
        <f>_xll.BDH("SRPT US Equity","ARDR_AMORT_OF_INTANGIBLE_ASSETS","FQ1 2020","FQ1 2020","Currency=USD","Period=FQ","BEST_FPERIOD_OVERRIDE=FQ","FILING_STATUS=MR","SCALING_FORMAT=MLN","Sort=A","Dates=H","DateFormat=P","Fill=—","Direction=H","UseDPDF=Y")</f>
        <v>0.16600000000000001</v>
      </c>
      <c r="I72" s="13" t="str">
        <f>_xll.BDH("SRPT US Equity","ARDR_AMORT_OF_INTANGIBLE_ASSETS","FQ2 2020","FQ2 2020","Currency=USD","Period=FQ","BEST_FPERIOD_OVERRIDE=FQ","FILING_STATUS=MR","SCALING_FORMAT=MLN","Sort=A","Dates=H","DateFormat=P","Fill=—","Direction=H","UseDPDF=Y")</f>
        <v>—</v>
      </c>
      <c r="J72" s="13">
        <f>_xll.BDH("SRPT US Equity","ARDR_AMORT_OF_INTANGIBLE_ASSETS","FQ3 2020","FQ3 2020","Currency=USD","Period=FQ","BEST_FPERIOD_OVERRIDE=FQ","FILING_STATUS=MR","SCALING_FORMAT=MLN","Sort=A","Dates=H","DateFormat=P","Fill=—","Direction=H","UseDPDF=Y")</f>
        <v>0.16600000000000001</v>
      </c>
      <c r="K72" s="13">
        <f>_xll.BDH("SRPT US Equity","ARDR_AMORT_OF_INTANGIBLE_ASSETS","FQ4 2020","FQ4 2020","Currency=USD","Period=FQ","BEST_FPERIOD_OVERRIDE=FQ","FILING_STATUS=MR","SCALING_FORMAT=MLN","Sort=A","Dates=H","DateFormat=P","Fill=—","Direction=H","UseDPDF=Y")</f>
        <v>0.16500000000000001</v>
      </c>
      <c r="L72" s="13">
        <f>_xll.BDH("SRPT US Equity","ARDR_AMORT_OF_INTANGIBLE_ASSETS","FQ1 2021","FQ1 2021","Currency=USD","Period=FQ","BEST_FPERIOD_OVERRIDE=FQ","FILING_STATUS=MR","SCALING_FORMAT=MLN","Sort=A","Dates=H","DateFormat=P","Fill=—","Direction=H","UseDPDF=Y")</f>
        <v>0.17</v>
      </c>
      <c r="M72" s="13" t="str">
        <f>_xll.BDH("SRPT US Equity","ARDR_AMORT_OF_INTANGIBLE_ASSETS","FQ2 2021","FQ2 2021","Currency=USD","Period=FQ","BEST_FPERIOD_OVERRIDE=FQ","FILING_STATUS=MR","SCALING_FORMAT=MLN","Sort=A","Dates=H","DateFormat=P","Fill=—","Direction=H","UseDPDF=Y")</f>
        <v>—</v>
      </c>
      <c r="N72" s="13">
        <f>_xll.BDH("SRPT US Equity","ARDR_AMORT_OF_INTANGIBLE_ASSETS","FQ3 2021","FQ3 2021","Currency=USD","Period=FQ","BEST_FPERIOD_OVERRIDE=FQ","FILING_STATUS=MR","SCALING_FORMAT=MLN","Sort=A","Dates=H","DateFormat=P","Fill=—","Direction=H","UseDPDF=Y")</f>
        <v>0.17799999999999999</v>
      </c>
      <c r="O72" s="13">
        <f>_xll.BDH("SRPT US Equity","ARDR_AMORT_OF_INTANGIBLE_ASSETS","FQ4 2021","FQ4 2021","Currency=USD","Period=FQ","BEST_FPERIOD_OVERRIDE=FQ","FILING_STATUS=MR","SCALING_FORMAT=MLN","Sort=A","Dates=H","DateFormat=P","Fill=—","Direction=H","UseDPDF=Y")</f>
        <v>0.17899999999999999</v>
      </c>
      <c r="P72" s="13">
        <f>_xll.BDH("SRPT US Equity","ARDR_AMORT_OF_INTANGIBLE_ASSETS","FQ1 2022","FQ1 2022","Currency=USD","Period=FQ","BEST_FPERIOD_OVERRIDE=FQ","FILING_STATUS=MR","SCALING_FORMAT=MLN","Sort=A","Dates=H","DateFormat=P","Fill=—","Direction=H","UseDPDF=Y")</f>
        <v>0.17799999999999999</v>
      </c>
      <c r="Q72" s="13">
        <f>_xll.BDH("SRPT US Equity","ARDR_AMORT_OF_INTANGIBLE_ASSETS","FQ2 2022","FQ2 2022","Currency=USD","Period=FQ","BEST_FPERIOD_OVERRIDE=FQ","FILING_STATUS=MR","SCALING_FORMAT=MLN","Sort=A","Dates=H","DateFormat=P","Fill=—","Direction=H","UseDPDF=Y")</f>
        <v>0.17899999999999999</v>
      </c>
      <c r="R72" s="13">
        <f>_xll.BDH("SRPT US Equity","ARDR_AMORT_OF_INTANGIBLE_ASSETS","FQ3 2022","FQ3 2022","Currency=USD","Period=FQ","BEST_FPERIOD_OVERRIDE=FQ","FILING_STATUS=MR","SCALING_FORMAT=MLN","Sort=A","Dates=H","DateFormat=P","Fill=—","Direction=H","UseDPDF=Y")</f>
        <v>0.17799999999999999</v>
      </c>
      <c r="S72" s="13">
        <f>_xll.BDH("SRPT US Equity","ARDR_AMORT_OF_INTANGIBLE_ASSETS","FQ4 2022","FQ4 2022","Currency=USD","Period=FQ","BEST_FPERIOD_OVERRIDE=FQ","FILING_STATUS=MR","SCALING_FORMAT=MLN","Sort=A","Dates=H","DateFormat=P","Fill=—","Direction=H","UseDPDF=Y")</f>
        <v>0.17899999999999999</v>
      </c>
      <c r="T72" s="13">
        <f>_xll.BDH("SRPT US Equity","ARDR_AMORT_OF_INTANGIBLE_ASSETS","FQ1 2023","FQ1 2023","Currency=USD","Period=FQ","BEST_FPERIOD_OVERRIDE=FQ","FILING_STATUS=MR","SCALING_FORMAT=MLN","Sort=A","Dates=H","DateFormat=P","Fill=—","Direction=H","UseDPDF=Y")</f>
        <v>0.17799999999999999</v>
      </c>
      <c r="U72" s="13">
        <f>_xll.BDH("SRPT US Equity","ARDR_AMORT_OF_INTANGIBLE_ASSETS","FQ2 2023","FQ2 2023","Currency=USD","Period=FQ","BEST_FPERIOD_OVERRIDE=FQ","FILING_STATUS=MR","SCALING_FORMAT=MLN","Sort=A","Dates=H","DateFormat=P","Fill=—","Direction=H","UseDPDF=Y")</f>
        <v>0.17899999999999999</v>
      </c>
      <c r="V72" s="13">
        <f>_xll.BDH("SRPT US Equity","ARDR_AMORT_OF_INTANGIBLE_ASSETS","FQ3 2023","FQ3 2023","Currency=USD","Period=FQ","BEST_FPERIOD_OVERRIDE=FQ","FILING_STATUS=MR","SCALING_FORMAT=MLN","Sort=A","Dates=H","DateFormat=P","Fill=—","Direction=H","UseDPDF=Y")</f>
        <v>0.439</v>
      </c>
      <c r="W72" s="13">
        <f>_xll.BDH("SRPT US Equity","ARDR_AMORT_OF_INTANGIBLE_ASSETS","FQ4 2023","FQ4 2023","Currency=USD","Period=FQ","BEST_FPERIOD_OVERRIDE=FQ","FILING_STATUS=MR","SCALING_FORMAT=MLN","Sort=A","Dates=H","DateFormat=P","Fill=—","Direction=H","UseDPDF=Y")</f>
        <v>0.76300000000000001</v>
      </c>
      <c r="X72" s="13">
        <f>_xll.BDH("SRPT US Equity","ARDR_AMORT_OF_INTANGIBLE_ASSETS","FQ1 2024","FQ1 2024","Currency=USD","Period=FQ","BEST_FPERIOD_OVERRIDE=FQ","FILING_STATUS=MR","SCALING_FORMAT=MLN","Sort=A","Dates=H","DateFormat=P","Fill=—","Direction=H","UseDPDF=Y")</f>
        <v>0.60099999999999998</v>
      </c>
      <c r="Y72" s="13">
        <f>_xll.BDH("SRPT US Equity","ARDR_AMORT_OF_INTANGIBLE_ASSETS","FQ2 2024","FQ2 2024","Currency=USD","Period=FQ","BEST_FPERIOD_OVERRIDE=FQ","FILING_STATUS=MR","SCALING_FORMAT=MLN","Sort=A","Dates=H","DateFormat=P","Fill=—","Direction=H","UseDPDF=Y")</f>
        <v>0.60099999999999998</v>
      </c>
      <c r="Z72" s="13">
        <f>_xll.BDH("SRPT US Equity","ARDR_AMORT_OF_INTANGIBLE_ASSETS","FQ3 2024","FQ3 2024","Currency=USD","Period=FQ","BEST_FPERIOD_OVERRIDE=FQ","FILING_STATUS=MR","SCALING_FORMAT=MLN","Sort=A","Dates=H","DateFormat=P","Fill=—","Direction=H","UseDPDF=Y")</f>
        <v>0.60199999999999998</v>
      </c>
      <c r="AA72" s="13">
        <f>_xll.BDH("SRPT US Equity","ARDR_AMORT_OF_INTANGIBLE_ASSETS","FQ4 2024","FQ4 2024","Currency=USD","Period=FQ","BEST_FPERIOD_OVERRIDE=FQ","FILING_STATUS=MR","SCALING_FORMAT=MLN","Sort=A","Dates=H","DateFormat=P","Fill=—","Direction=H","UseDPDF=Y")</f>
        <v>0.60099999999999998</v>
      </c>
    </row>
    <row r="73" spans="1:27" x14ac:dyDescent="0.25">
      <c r="A73" s="10" t="s">
        <v>1</v>
      </c>
      <c r="B73" s="10" t="s">
        <v>531</v>
      </c>
      <c r="C73" s="13" t="str">
        <f>_xll.BDH("SRPT US Equity","ARDR_TOTAL_REVENUES","FQ4 2018","FQ4 2018","Currency=USD","Period=FQ","BEST_FPERIOD_OVERRIDE=FQ","FILING_STATUS=MR","SCALING_FORMAT=MLN","Sort=A","Dates=H","DateFormat=P","Fill=—","Direction=H","UseDPDF=Y")</f>
        <v>—</v>
      </c>
      <c r="D73" s="13">
        <f>_xll.BDH("SRPT US Equity","ARDR_TOTAL_REVENUES","FQ1 2019","FQ1 2019","Currency=USD","Period=FQ","BEST_FPERIOD_OVERRIDE=FQ","FILING_STATUS=MR","SCALING_FORMAT=MLN","Sort=A","Dates=H","DateFormat=P","Fill=—","Direction=H","UseDPDF=Y")</f>
        <v>87.010999999999996</v>
      </c>
      <c r="E73" s="13">
        <f>_xll.BDH("SRPT US Equity","ARDR_TOTAL_REVENUES","FQ2 2019","FQ2 2019","Currency=USD","Period=FQ","BEST_FPERIOD_OVERRIDE=FQ","FILING_STATUS=MR","SCALING_FORMAT=MLN","Sort=A","Dates=H","DateFormat=P","Fill=—","Direction=H","UseDPDF=Y")</f>
        <v>94.668000000000006</v>
      </c>
      <c r="F73" s="13">
        <f>_xll.BDH("SRPT US Equity","ARDR_TOTAL_REVENUES","FQ3 2019","FQ3 2019","Currency=USD","Period=FQ","BEST_FPERIOD_OVERRIDE=FQ","FILING_STATUS=MR","SCALING_FORMAT=MLN","Sort=A","Dates=H","DateFormat=P","Fill=—","Direction=H","UseDPDF=Y")</f>
        <v>99.040999999999997</v>
      </c>
      <c r="G73" s="13">
        <f>_xll.BDH("SRPT US Equity","ARDR_TOTAL_REVENUES","FQ4 2019","FQ4 2019","Currency=USD","Period=FQ","BEST_FPERIOD_OVERRIDE=FQ","FILING_STATUS=MR","SCALING_FORMAT=MLN","Sort=A","Dates=H","DateFormat=P","Fill=—","Direction=H","UseDPDF=Y")</f>
        <v>100.113</v>
      </c>
      <c r="H73" s="13">
        <f>_xll.BDH("SRPT US Equity","ARDR_TOTAL_REVENUES","FQ1 2020","FQ1 2020","Currency=USD","Period=FQ","BEST_FPERIOD_OVERRIDE=FQ","FILING_STATUS=MR","SCALING_FORMAT=MLN","Sort=A","Dates=H","DateFormat=P","Fill=—","Direction=H","UseDPDF=Y")</f>
        <v>113.67400000000001</v>
      </c>
      <c r="I73" s="13">
        <f>_xll.BDH("SRPT US Equity","ARDR_TOTAL_REVENUES","FQ2 2020","FQ2 2020","Currency=USD","Period=FQ","BEST_FPERIOD_OVERRIDE=FQ","FILING_STATUS=MR","SCALING_FORMAT=MLN","Sort=A","Dates=H","DateFormat=P","Fill=—","Direction=H","UseDPDF=Y")</f>
        <v>137.363</v>
      </c>
      <c r="J73" s="13">
        <f>_xll.BDH("SRPT US Equity","ARDR_TOTAL_REVENUES","FQ3 2020","FQ3 2020","Currency=USD","Period=FQ","BEST_FPERIOD_OVERRIDE=FQ","FILING_STATUS=MR","SCALING_FORMAT=MLN","Sort=A","Dates=H","DateFormat=P","Fill=—","Direction=H","UseDPDF=Y")</f>
        <v>143.92400000000001</v>
      </c>
      <c r="K73" s="13">
        <f>_xll.BDH("SRPT US Equity","ARDR_TOTAL_REVENUES","FQ4 2020","FQ4 2020","Currency=USD","Period=FQ","BEST_FPERIOD_OVERRIDE=FQ","FILING_STATUS=MR","SCALING_FORMAT=MLN","Sort=A","Dates=H","DateFormat=P","Fill=—","Direction=H","UseDPDF=Y")</f>
        <v>145.13800000000001</v>
      </c>
      <c r="L73" s="13">
        <f>_xll.BDH("SRPT US Equity","ARDR_TOTAL_REVENUES","FQ1 2021","FQ1 2021","Currency=USD","Period=FQ","BEST_FPERIOD_OVERRIDE=FQ","FILING_STATUS=MR","SCALING_FORMAT=MLN","Sort=A","Dates=H","DateFormat=P","Fill=—","Direction=H","UseDPDF=Y")</f>
        <v>146.93100000000001</v>
      </c>
      <c r="M73" s="13">
        <f>_xll.BDH("SRPT US Equity","ARDR_TOTAL_REVENUES","FQ2 2021","FQ2 2021","Currency=USD","Period=FQ","BEST_FPERIOD_OVERRIDE=FQ","FILING_STATUS=MR","SCALING_FORMAT=MLN","Sort=A","Dates=H","DateFormat=P","Fill=—","Direction=H","UseDPDF=Y")</f>
        <v>164.089</v>
      </c>
      <c r="N73" s="13">
        <f>_xll.BDH("SRPT US Equity","ARDR_TOTAL_REVENUES","FQ3 2021","FQ3 2021","Currency=USD","Period=FQ","BEST_FPERIOD_OVERRIDE=FQ","FILING_STATUS=MR","SCALING_FORMAT=MLN","Sort=A","Dates=H","DateFormat=P","Fill=—","Direction=H","UseDPDF=Y")</f>
        <v>189.40600000000001</v>
      </c>
      <c r="O73" s="13">
        <f>_xll.BDH("SRPT US Equity","ARDR_TOTAL_REVENUES","FQ4 2021","FQ4 2021","Currency=USD","Period=FQ","BEST_FPERIOD_OVERRIDE=FQ","FILING_STATUS=MR","SCALING_FORMAT=MLN","Sort=A","Dates=H","DateFormat=P","Fill=—","Direction=H","UseDPDF=Y")</f>
        <v>201.46100000000001</v>
      </c>
      <c r="P73" s="13">
        <f>_xll.BDH("SRPT US Equity","ARDR_TOTAL_REVENUES","FQ1 2022","FQ1 2022","Currency=USD","Period=FQ","BEST_FPERIOD_OVERRIDE=FQ","FILING_STATUS=MR","SCALING_FORMAT=MLN","Sort=A","Dates=H","DateFormat=P","Fill=—","Direction=H","UseDPDF=Y")</f>
        <v>210.83</v>
      </c>
      <c r="Q73" s="13">
        <f>_xll.BDH("SRPT US Equity","ARDR_TOTAL_REVENUES","FQ2 2022","FQ2 2022","Currency=USD","Period=FQ","BEST_FPERIOD_OVERRIDE=FQ","FILING_STATUS=MR","SCALING_FORMAT=MLN","Sort=A","Dates=H","DateFormat=P","Fill=—","Direction=H","UseDPDF=Y")</f>
        <v>233.48699999999999</v>
      </c>
      <c r="R73" s="13">
        <f>_xll.BDH("SRPT US Equity","ARDR_TOTAL_REVENUES","FQ3 2022","FQ3 2022","Currency=USD","Period=FQ","BEST_FPERIOD_OVERRIDE=FQ","FILING_STATUS=MR","SCALING_FORMAT=MLN","Sort=A","Dates=H","DateFormat=P","Fill=—","Direction=H","UseDPDF=Y")</f>
        <v>230.26900000000001</v>
      </c>
      <c r="S73" s="13">
        <f>_xll.BDH("SRPT US Equity","ARDR_TOTAL_REVENUES","FQ4 2022","FQ4 2022","Currency=USD","Period=FQ","BEST_FPERIOD_OVERRIDE=FQ","FILING_STATUS=MR","SCALING_FORMAT=MLN","Sort=A","Dates=H","DateFormat=P","Fill=—","Direction=H","UseDPDF=Y")</f>
        <v>258.42700000000002</v>
      </c>
      <c r="T73" s="13">
        <f>_xll.BDH("SRPT US Equity","ARDR_TOTAL_REVENUES","FQ1 2023","FQ1 2023","Currency=USD","Period=FQ","BEST_FPERIOD_OVERRIDE=FQ","FILING_STATUS=MR","SCALING_FORMAT=MLN","Sort=A","Dates=H","DateFormat=P","Fill=—","Direction=H","UseDPDF=Y")</f>
        <v>253.5</v>
      </c>
      <c r="U73" s="13">
        <f>_xll.BDH("SRPT US Equity","ARDR_TOTAL_REVENUES","FQ2 2023","FQ2 2023","Currency=USD","Period=FQ","BEST_FPERIOD_OVERRIDE=FQ","FILING_STATUS=MR","SCALING_FORMAT=MLN","Sort=A","Dates=H","DateFormat=P","Fill=—","Direction=H","UseDPDF=Y")</f>
        <v>261.238</v>
      </c>
      <c r="V73" s="13">
        <f>_xll.BDH("SRPT US Equity","ARDR_TOTAL_REVENUES","FQ3 2023","FQ3 2023","Currency=USD","Period=FQ","BEST_FPERIOD_OVERRIDE=FQ","FILING_STATUS=MR","SCALING_FORMAT=MLN","Sort=A","Dates=H","DateFormat=P","Fill=—","Direction=H","UseDPDF=Y")</f>
        <v>331.81700000000001</v>
      </c>
      <c r="W73" s="13">
        <f>_xll.BDH("SRPT US Equity","ARDR_TOTAL_REVENUES","FQ4 2023","FQ4 2023","Currency=USD","Period=FQ","BEST_FPERIOD_OVERRIDE=FQ","FILING_STATUS=MR","SCALING_FORMAT=MLN","Sort=A","Dates=H","DateFormat=P","Fill=—","Direction=H","UseDPDF=Y")</f>
        <v>396.78100000000001</v>
      </c>
      <c r="X73" s="13">
        <f>_xll.BDH("SRPT US Equity","ARDR_TOTAL_REVENUES","FQ1 2024","FQ1 2024","Currency=USD","Period=FQ","BEST_FPERIOD_OVERRIDE=FQ","FILING_STATUS=MR","SCALING_FORMAT=MLN","Sort=A","Dates=H","DateFormat=P","Fill=—","Direction=H","UseDPDF=Y")</f>
        <v>413.464</v>
      </c>
      <c r="Y73" s="13">
        <f>_xll.BDH("SRPT US Equity","ARDR_TOTAL_REVENUES","FQ2 2024","FQ2 2024","Currency=USD","Period=FQ","BEST_FPERIOD_OVERRIDE=FQ","FILING_STATUS=MR","SCALING_FORMAT=MLN","Sort=A","Dates=H","DateFormat=P","Fill=—","Direction=H","UseDPDF=Y")</f>
        <v>362.93099999999998</v>
      </c>
      <c r="Z73" s="13">
        <f>_xll.BDH("SRPT US Equity","ARDR_TOTAL_REVENUES","FQ3 2024","FQ3 2024","Currency=USD","Period=FQ","BEST_FPERIOD_OVERRIDE=FQ","FILING_STATUS=MR","SCALING_FORMAT=MLN","Sort=A","Dates=H","DateFormat=P","Fill=—","Direction=H","UseDPDF=Y")</f>
        <v>467.17200000000003</v>
      </c>
      <c r="AA73" s="13">
        <f>_xll.BDH("SRPT US Equity","ARDR_TOTAL_REVENUES","FQ4 2024","FQ4 2024","Currency=USD","Period=FQ","BEST_FPERIOD_OVERRIDE=FQ","FILING_STATUS=MR","SCALING_FORMAT=MLN","Sort=A","Dates=H","DateFormat=P","Fill=—","Direction=H","UseDPDF=Y")</f>
        <v>658.41200000000003</v>
      </c>
    </row>
    <row r="74" spans="1:27" x14ac:dyDescent="0.25">
      <c r="A74" s="10" t="s">
        <v>456</v>
      </c>
      <c r="B74" s="10" t="s">
        <v>532</v>
      </c>
      <c r="C74" s="13" t="str">
        <f>_xll.BDH("SRPT US Equity","ARDR_GL_ON_EARLY_EXT_DEBT_NON_OP","FQ4 2018","FQ4 2018","Currency=USD","Period=FQ","BEST_FPERIOD_OVERRIDE=FQ","FILING_STATUS=MR","SCALING_FORMAT=MLN","Sort=A","Dates=H","DateFormat=P","Fill=—","Direction=H","UseDPDF=Y")</f>
        <v>—</v>
      </c>
      <c r="D74" s="13" t="str">
        <f>_xll.BDH("SRPT US Equity","ARDR_GL_ON_EARLY_EXT_DEBT_NON_OP","FQ1 2019","FQ1 2019","Currency=USD","Period=FQ","BEST_FPERIOD_OVERRIDE=FQ","FILING_STATUS=MR","SCALING_FORMAT=MLN","Sort=A","Dates=H","DateFormat=P","Fill=—","Direction=H","UseDPDF=Y")</f>
        <v>—</v>
      </c>
      <c r="E74" s="13" t="str">
        <f>_xll.BDH("SRPT US Equity","ARDR_GL_ON_EARLY_EXT_DEBT_NON_OP","FQ2 2019","FQ2 2019","Currency=USD","Period=FQ","BEST_FPERIOD_OVERRIDE=FQ","FILING_STATUS=MR","SCALING_FORMAT=MLN","Sort=A","Dates=H","DateFormat=P","Fill=—","Direction=H","UseDPDF=Y")</f>
        <v>—</v>
      </c>
      <c r="F74" s="13" t="str">
        <f>_xll.BDH("SRPT US Equity","ARDR_GL_ON_EARLY_EXT_DEBT_NON_OP","FQ3 2019","FQ3 2019","Currency=USD","Period=FQ","BEST_FPERIOD_OVERRIDE=FQ","FILING_STATUS=MR","SCALING_FORMAT=MLN","Sort=A","Dates=H","DateFormat=P","Fill=—","Direction=H","UseDPDF=Y")</f>
        <v>—</v>
      </c>
      <c r="G74" s="13" t="str">
        <f>_xll.BDH("SRPT US Equity","ARDR_GL_ON_EARLY_EXT_DEBT_NON_OP","FQ4 2019","FQ4 2019","Currency=USD","Period=FQ","BEST_FPERIOD_OVERRIDE=FQ","FILING_STATUS=MR","SCALING_FORMAT=MLN","Sort=A","Dates=H","DateFormat=P","Fill=—","Direction=H","UseDPDF=Y")</f>
        <v>—</v>
      </c>
      <c r="H74" s="13" t="str">
        <f>_xll.BDH("SRPT US Equity","ARDR_GL_ON_EARLY_EXT_DEBT_NON_OP","FQ1 2020","FQ1 2020","Currency=USD","Period=FQ","BEST_FPERIOD_OVERRIDE=FQ","FILING_STATUS=MR","SCALING_FORMAT=MLN","Sort=A","Dates=H","DateFormat=P","Fill=—","Direction=H","UseDPDF=Y")</f>
        <v>—</v>
      </c>
      <c r="I74" s="13" t="str">
        <f>_xll.BDH("SRPT US Equity","ARDR_GL_ON_EARLY_EXT_DEBT_NON_OP","FQ2 2020","FQ2 2020","Currency=USD","Period=FQ","BEST_FPERIOD_OVERRIDE=FQ","FILING_STATUS=MR","SCALING_FORMAT=MLN","Sort=A","Dates=H","DateFormat=P","Fill=—","Direction=H","UseDPDF=Y")</f>
        <v>—</v>
      </c>
      <c r="J74" s="13" t="str">
        <f>_xll.BDH("SRPT US Equity","ARDR_GL_ON_EARLY_EXT_DEBT_NON_OP","FQ3 2020","FQ3 2020","Currency=USD","Period=FQ","BEST_FPERIOD_OVERRIDE=FQ","FILING_STATUS=MR","SCALING_FORMAT=MLN","Sort=A","Dates=H","DateFormat=P","Fill=—","Direction=H","UseDPDF=Y")</f>
        <v>—</v>
      </c>
      <c r="K74" s="13" t="str">
        <f>_xll.BDH("SRPT US Equity","ARDR_GL_ON_EARLY_EXT_DEBT_NON_OP","FQ4 2020","FQ4 2020","Currency=USD","Period=FQ","BEST_FPERIOD_OVERRIDE=FQ","FILING_STATUS=MR","SCALING_FORMAT=MLN","Sort=A","Dates=H","DateFormat=P","Fill=—","Direction=H","UseDPDF=Y")</f>
        <v>—</v>
      </c>
      <c r="L74" s="13" t="str">
        <f>_xll.BDH("SRPT US Equity","ARDR_GL_ON_EARLY_EXT_DEBT_NON_OP","FQ1 2021","FQ1 2021","Currency=USD","Period=FQ","BEST_FPERIOD_OVERRIDE=FQ","FILING_STATUS=MR","SCALING_FORMAT=MLN","Sort=A","Dates=H","DateFormat=P","Fill=—","Direction=H","UseDPDF=Y")</f>
        <v>—</v>
      </c>
      <c r="M74" s="13" t="str">
        <f>_xll.BDH("SRPT US Equity","ARDR_GL_ON_EARLY_EXT_DEBT_NON_OP","FQ2 2021","FQ2 2021","Currency=USD","Period=FQ","BEST_FPERIOD_OVERRIDE=FQ","FILING_STATUS=MR","SCALING_FORMAT=MLN","Sort=A","Dates=H","DateFormat=P","Fill=—","Direction=H","UseDPDF=Y")</f>
        <v>—</v>
      </c>
      <c r="N74" s="13" t="str">
        <f>_xll.BDH("SRPT US Equity","ARDR_GL_ON_EARLY_EXT_DEBT_NON_OP","FQ3 2021","FQ3 2021","Currency=USD","Period=FQ","BEST_FPERIOD_OVERRIDE=FQ","FILING_STATUS=MR","SCALING_FORMAT=MLN","Sort=A","Dates=H","DateFormat=P","Fill=—","Direction=H","UseDPDF=Y")</f>
        <v>—</v>
      </c>
      <c r="O74" s="13" t="str">
        <f>_xll.BDH("SRPT US Equity","ARDR_GL_ON_EARLY_EXT_DEBT_NON_OP","FQ4 2021","FQ4 2021","Currency=USD","Period=FQ","BEST_FPERIOD_OVERRIDE=FQ","FILING_STATUS=MR","SCALING_FORMAT=MLN","Sort=A","Dates=H","DateFormat=P","Fill=—","Direction=H","UseDPDF=Y")</f>
        <v>—</v>
      </c>
      <c r="P74" s="13" t="str">
        <f>_xll.BDH("SRPT US Equity","ARDR_GL_ON_EARLY_EXT_DEBT_NON_OP","FQ1 2022","FQ1 2022","Currency=USD","Period=FQ","BEST_FPERIOD_OVERRIDE=FQ","FILING_STATUS=MR","SCALING_FORMAT=MLN","Sort=A","Dates=H","DateFormat=P","Fill=—","Direction=H","UseDPDF=Y")</f>
        <v>—</v>
      </c>
      <c r="Q74" s="13" t="str">
        <f>_xll.BDH("SRPT US Equity","ARDR_GL_ON_EARLY_EXT_DEBT_NON_OP","FQ2 2022","FQ2 2022","Currency=USD","Period=FQ","BEST_FPERIOD_OVERRIDE=FQ","FILING_STATUS=MR","SCALING_FORMAT=MLN","Sort=A","Dates=H","DateFormat=P","Fill=—","Direction=H","UseDPDF=Y")</f>
        <v>—</v>
      </c>
      <c r="R74" s="13">
        <f>_xll.BDH("SRPT US Equity","ARDR_GL_ON_EARLY_EXT_DEBT_NON_OP","FQ3 2022","FQ3 2022","Currency=USD","Period=FQ","BEST_FPERIOD_OVERRIDE=FQ","FILING_STATUS=MR","SCALING_FORMAT=MLN","Sort=A","Dates=H","DateFormat=P","Fill=—","Direction=H","UseDPDF=Y")</f>
        <v>125.441</v>
      </c>
      <c r="S74" s="13" t="str">
        <f>_xll.BDH("SRPT US Equity","ARDR_GL_ON_EARLY_EXT_DEBT_NON_OP","FQ4 2022","FQ4 2022","Currency=USD","Period=FQ","BEST_FPERIOD_OVERRIDE=FQ","FILING_STATUS=MR","SCALING_FORMAT=MLN","Sort=A","Dates=H","DateFormat=P","Fill=—","Direction=H","UseDPDF=Y")</f>
        <v>—</v>
      </c>
      <c r="T74" s="13">
        <f>_xll.BDH("SRPT US Equity","ARDR_GL_ON_EARLY_EXT_DEBT_NON_OP","FQ1 2023","FQ1 2023","Currency=USD","Period=FQ","BEST_FPERIOD_OVERRIDE=FQ","FILING_STATUS=MR","SCALING_FORMAT=MLN","Sort=A","Dates=H","DateFormat=P","Fill=—","Direction=H","UseDPDF=Y")</f>
        <v>387.32900000000001</v>
      </c>
      <c r="U74" s="13" t="str">
        <f>_xll.BDH("SRPT US Equity","ARDR_GL_ON_EARLY_EXT_DEBT_NON_OP","FQ2 2023","FQ2 2023","Currency=USD","Period=FQ","BEST_FPERIOD_OVERRIDE=FQ","FILING_STATUS=MR","SCALING_FORMAT=MLN","Sort=A","Dates=H","DateFormat=P","Fill=—","Direction=H","UseDPDF=Y")</f>
        <v>—</v>
      </c>
      <c r="V74" s="13" t="str">
        <f>_xll.BDH("SRPT US Equity","ARDR_GL_ON_EARLY_EXT_DEBT_NON_OP","FQ3 2023","FQ3 2023","Currency=USD","Period=FQ","BEST_FPERIOD_OVERRIDE=FQ","FILING_STATUS=MR","SCALING_FORMAT=MLN","Sort=A","Dates=H","DateFormat=P","Fill=—","Direction=H","UseDPDF=Y")</f>
        <v>—</v>
      </c>
      <c r="W74" s="13">
        <f>_xll.BDH("SRPT US Equity","ARDR_GL_ON_EARLY_EXT_DEBT_NON_OP","FQ4 2023","FQ4 2023","Currency=USD","Period=FQ","BEST_FPERIOD_OVERRIDE=FQ","FILING_STATUS=MR","SCALING_FORMAT=MLN","Sort=A","Dates=H","DateFormat=P","Fill=—","Direction=H","UseDPDF=Y")</f>
        <v>0</v>
      </c>
      <c r="X74" s="13" t="str">
        <f>_xll.BDH("SRPT US Equity","ARDR_GL_ON_EARLY_EXT_DEBT_NON_OP","FQ1 2024","FQ1 2024","Currency=USD","Period=FQ","BEST_FPERIOD_OVERRIDE=FQ","FILING_STATUS=MR","SCALING_FORMAT=MLN","Sort=A","Dates=H","DateFormat=P","Fill=—","Direction=H","UseDPDF=Y")</f>
        <v>—</v>
      </c>
      <c r="Y74" s="13" t="str">
        <f>_xll.BDH("SRPT US Equity","ARDR_GL_ON_EARLY_EXT_DEBT_NON_OP","FQ2 2024","FQ2 2024","Currency=USD","Period=FQ","BEST_FPERIOD_OVERRIDE=FQ","FILING_STATUS=MR","SCALING_FORMAT=MLN","Sort=A","Dates=H","DateFormat=P","Fill=—","Direction=H","UseDPDF=Y")</f>
        <v>—</v>
      </c>
      <c r="Z74" s="13" t="str">
        <f>_xll.BDH("SRPT US Equity","ARDR_GL_ON_EARLY_EXT_DEBT_NON_OP","FQ3 2024","FQ3 2024","Currency=USD","Period=FQ","BEST_FPERIOD_OVERRIDE=FQ","FILING_STATUS=MR","SCALING_FORMAT=MLN","Sort=A","Dates=H","DateFormat=P","Fill=—","Direction=H","UseDPDF=Y")</f>
        <v>—</v>
      </c>
      <c r="AA74" s="13" t="str">
        <f>_xll.BDH("SRPT US Equity","ARDR_GL_ON_EARLY_EXT_DEBT_NON_OP","FQ4 2024","FQ4 2024","Currency=USD","Period=FQ","BEST_FPERIOD_OVERRIDE=FQ","FILING_STATUS=MR","SCALING_FORMAT=MLN","Sort=A","Dates=H","DateFormat=P","Fill=—","Direction=H","UseDPDF=Y")</f>
        <v>—</v>
      </c>
    </row>
    <row r="75" spans="1:27" x14ac:dyDescent="0.25">
      <c r="A75" s="10" t="s">
        <v>426</v>
      </c>
      <c r="B75" s="10" t="s">
        <v>533</v>
      </c>
      <c r="C75" s="13" t="str">
        <f>_xll.BDH("SRPT US Equity","ARDR_PRODUCT_REVENUE","FQ4 2018","FQ4 2018","Currency=USD","Period=FQ","BEST_FPERIOD_OVERRIDE=FQ","FILING_STATUS=MR","SCALING_FORMAT=MLN","Sort=A","Dates=H","DateFormat=P","Fill=—","Direction=H","UseDPDF=Y")</f>
        <v>—</v>
      </c>
      <c r="D75" s="13">
        <f>_xll.BDH("SRPT US Equity","ARDR_PRODUCT_REVENUE","FQ1 2019","FQ1 2019","Currency=USD","Period=FQ","BEST_FPERIOD_OVERRIDE=FQ","FILING_STATUS=MR","SCALING_FORMAT=MLN","Sort=A","Dates=H","DateFormat=P","Fill=—","Direction=H","UseDPDF=Y")</f>
        <v>87.010999999999996</v>
      </c>
      <c r="E75" s="13">
        <f>_xll.BDH("SRPT US Equity","ARDR_PRODUCT_REVENUE","FQ2 2019","FQ2 2019","Currency=USD","Period=FQ","BEST_FPERIOD_OVERRIDE=FQ","FILING_STATUS=MR","SCALING_FORMAT=MLN","Sort=A","Dates=H","DateFormat=P","Fill=—","Direction=H","UseDPDF=Y")</f>
        <v>94.668000000000006</v>
      </c>
      <c r="F75" s="13">
        <f>_xll.BDH("SRPT US Equity","ARDR_PRODUCT_REVENUE","FQ3 2019","FQ3 2019","Currency=USD","Period=FQ","BEST_FPERIOD_OVERRIDE=FQ","FILING_STATUS=MR","SCALING_FORMAT=MLN","Sort=A","Dates=H","DateFormat=P","Fill=—","Direction=H","UseDPDF=Y")</f>
        <v>99.040999999999997</v>
      </c>
      <c r="G75" s="13">
        <f>_xll.BDH("SRPT US Equity","ARDR_PRODUCT_REVENUE","FQ4 2019","FQ4 2019","Currency=USD","Period=FQ","BEST_FPERIOD_OVERRIDE=FQ","FILING_STATUS=MR","SCALING_FORMAT=MLN","Sort=A","Dates=H","DateFormat=P","Fill=—","Direction=H","UseDPDF=Y")</f>
        <v>100.113</v>
      </c>
      <c r="H75" s="13">
        <f>_xll.BDH("SRPT US Equity","ARDR_PRODUCT_REVENUE","FQ1 2020","FQ1 2020","Currency=USD","Period=FQ","BEST_FPERIOD_OVERRIDE=FQ","FILING_STATUS=MR","SCALING_FORMAT=MLN","Sort=A","Dates=H","DateFormat=P","Fill=—","Direction=H","UseDPDF=Y")</f>
        <v>100.44799999999999</v>
      </c>
      <c r="I75" s="13">
        <f>_xll.BDH("SRPT US Equity","ARDR_PRODUCT_REVENUE","FQ2 2020","FQ2 2020","Currency=USD","Period=FQ","BEST_FPERIOD_OVERRIDE=FQ","FILING_STATUS=MR","SCALING_FORMAT=MLN","Sort=A","Dates=H","DateFormat=P","Fill=—","Direction=H","UseDPDF=Y")</f>
        <v>111.34399999999999</v>
      </c>
      <c r="J75" s="13">
        <f>_xll.BDH("SRPT US Equity","ARDR_PRODUCT_REVENUE","FQ3 2020","FQ3 2020","Currency=USD","Period=FQ","BEST_FPERIOD_OVERRIDE=FQ","FILING_STATUS=MR","SCALING_FORMAT=MLN","Sort=A","Dates=H","DateFormat=P","Fill=—","Direction=H","UseDPDF=Y")</f>
        <v>121.429</v>
      </c>
      <c r="K75" s="13">
        <f>_xll.BDH("SRPT US Equity","ARDR_PRODUCT_REVENUE","FQ4 2020","FQ4 2020","Currency=USD","Period=FQ","BEST_FPERIOD_OVERRIDE=FQ","FILING_STATUS=MR","SCALING_FORMAT=MLN","Sort=A","Dates=H","DateFormat=P","Fill=—","Direction=H","UseDPDF=Y")</f>
        <v>122.64400000000001</v>
      </c>
      <c r="L75" s="13">
        <f>_xll.BDH("SRPT US Equity","ARDR_PRODUCT_REVENUE","FQ1 2021","FQ1 2021","Currency=USD","Period=FQ","BEST_FPERIOD_OVERRIDE=FQ","FILING_STATUS=MR","SCALING_FORMAT=MLN","Sort=A","Dates=H","DateFormat=P","Fill=—","Direction=H","UseDPDF=Y")</f>
        <v>124.926</v>
      </c>
      <c r="M75" s="13">
        <f>_xll.BDH("SRPT US Equity","ARDR_PRODUCT_REVENUE","FQ2 2021","FQ2 2021","Currency=USD","Period=FQ","BEST_FPERIOD_OVERRIDE=FQ","FILING_STATUS=MR","SCALING_FORMAT=MLN","Sort=A","Dates=H","DateFormat=P","Fill=—","Direction=H","UseDPDF=Y")</f>
        <v>141.839</v>
      </c>
      <c r="N75" s="13">
        <f>_xll.BDH("SRPT US Equity","ARDR_PRODUCT_REVENUE","FQ3 2021","FQ3 2021","Currency=USD","Period=FQ","BEST_FPERIOD_OVERRIDE=FQ","FILING_STATUS=MR","SCALING_FORMAT=MLN","Sort=A","Dates=H","DateFormat=P","Fill=—","Direction=H","UseDPDF=Y")</f>
        <v>166.911</v>
      </c>
      <c r="O75" s="13">
        <f>_xll.BDH("SRPT US Equity","ARDR_PRODUCT_REVENUE","FQ4 2021","FQ4 2021","Currency=USD","Period=FQ","BEST_FPERIOD_OVERRIDE=FQ","FILING_STATUS=MR","SCALING_FORMAT=MLN","Sort=A","Dates=H","DateFormat=P","Fill=—","Direction=H","UseDPDF=Y")</f>
        <v>178.72499999999999</v>
      </c>
      <c r="P75" s="13">
        <f>_xll.BDH("SRPT US Equity","ARDR_PRODUCT_REVENUE","FQ1 2022","FQ1 2022","Currency=USD","Period=FQ","BEST_FPERIOD_OVERRIDE=FQ","FILING_STATUS=MR","SCALING_FORMAT=MLN","Sort=A","Dates=H","DateFormat=P","Fill=—","Direction=H","UseDPDF=Y")</f>
        <v>188.82499999999999</v>
      </c>
      <c r="Q75" s="13">
        <f>_xll.BDH("SRPT US Equity","ARDR_PRODUCT_REVENUE","FQ2 2022","FQ2 2022","Currency=USD","Period=FQ","BEST_FPERIOD_OVERRIDE=FQ","FILING_STATUS=MR","SCALING_FORMAT=MLN","Sort=A","Dates=H","DateFormat=P","Fill=—","Direction=H","UseDPDF=Y")</f>
        <v>211.23699999999999</v>
      </c>
      <c r="R75" s="13">
        <f>_xll.BDH("SRPT US Equity","ARDR_PRODUCT_REVENUE","FQ3 2022","FQ3 2022","Currency=USD","Period=FQ","BEST_FPERIOD_OVERRIDE=FQ","FILING_STATUS=MR","SCALING_FORMAT=MLN","Sort=A","Dates=H","DateFormat=P","Fill=—","Direction=H","UseDPDF=Y")</f>
        <v>207.774</v>
      </c>
      <c r="S75" s="13">
        <f>_xll.BDH("SRPT US Equity","ARDR_PRODUCT_REVENUE","FQ4 2022","FQ4 2022","Currency=USD","Period=FQ","BEST_FPERIOD_OVERRIDE=FQ","FILING_STATUS=MR","SCALING_FORMAT=MLN","Sort=A","Dates=H","DateFormat=P","Fill=—","Direction=H","UseDPDF=Y")</f>
        <v>235.93299999999999</v>
      </c>
      <c r="T75" s="13">
        <f>_xll.BDH("SRPT US Equity","ARDR_PRODUCT_REVENUE","FQ1 2023","FQ1 2023","Currency=USD","Period=FQ","BEST_FPERIOD_OVERRIDE=FQ","FILING_STATUS=MR","SCALING_FORMAT=MLN","Sort=A","Dates=H","DateFormat=P","Fill=—","Direction=H","UseDPDF=Y")</f>
        <v>231.495</v>
      </c>
      <c r="U75" s="13">
        <f>_xll.BDH("SRPT US Equity","ARDR_PRODUCT_REVENUE","FQ2 2023","FQ2 2023","Currency=USD","Period=FQ","BEST_FPERIOD_OVERRIDE=FQ","FILING_STATUS=MR","SCALING_FORMAT=MLN","Sort=A","Dates=H","DateFormat=P","Fill=—","Direction=H","UseDPDF=Y")</f>
        <v>238.988</v>
      </c>
      <c r="V75" s="13">
        <f>_xll.BDH("SRPT US Equity","ARDR_PRODUCT_REVENUE","FQ3 2023","FQ3 2023","Currency=USD","Period=FQ","BEST_FPERIOD_OVERRIDE=FQ","FILING_STATUS=MR","SCALING_FORMAT=MLN","Sort=A","Dates=H","DateFormat=P","Fill=—","Direction=H","UseDPDF=Y")</f>
        <v>309.322</v>
      </c>
      <c r="W75" s="13">
        <f>_xll.BDH("SRPT US Equity","ARDR_PRODUCT_REVENUE","FQ4 2023","FQ4 2023","Currency=USD","Period=FQ","BEST_FPERIOD_OVERRIDE=FQ","FILING_STATUS=MR","SCALING_FORMAT=MLN","Sort=A","Dates=H","DateFormat=P","Fill=—","Direction=H","UseDPDF=Y")</f>
        <v>365.07100000000003</v>
      </c>
      <c r="X75" s="13">
        <f>_xll.BDH("SRPT US Equity","ARDR_PRODUCT_REVENUE","FQ1 2024","FQ1 2024","Currency=USD","Period=FQ","BEST_FPERIOD_OVERRIDE=FQ","FILING_STATUS=MR","SCALING_FORMAT=MLN","Sort=A","Dates=H","DateFormat=P","Fill=—","Direction=H","UseDPDF=Y")</f>
        <v>359.48399999999998</v>
      </c>
      <c r="Y75" s="13">
        <f>_xll.BDH("SRPT US Equity","ARDR_PRODUCT_REVENUE","FQ2 2024","FQ2 2024","Currency=USD","Period=FQ","BEST_FPERIOD_OVERRIDE=FQ","FILING_STATUS=MR","SCALING_FORMAT=MLN","Sort=A","Dates=H","DateFormat=P","Fill=—","Direction=H","UseDPDF=Y")</f>
        <v>360.548</v>
      </c>
      <c r="Z75" s="13">
        <f>_xll.BDH("SRPT US Equity","ARDR_PRODUCT_REVENUE","FQ3 2024","FQ3 2024","Currency=USD","Period=FQ","BEST_FPERIOD_OVERRIDE=FQ","FILING_STATUS=MR","SCALING_FORMAT=MLN","Sort=A","Dates=H","DateFormat=P","Fill=—","Direction=H","UseDPDF=Y")</f>
        <v>429.77100000000002</v>
      </c>
      <c r="AA75" s="13">
        <f>_xll.BDH("SRPT US Equity","ARDR_PRODUCT_REVENUE","FQ4 2024","FQ4 2024","Currency=USD","Period=FQ","BEST_FPERIOD_OVERRIDE=FQ","FILING_STATUS=MR","SCALING_FORMAT=MLN","Sort=A","Dates=H","DateFormat=P","Fill=—","Direction=H","UseDPDF=Y")</f>
        <v>638.15700000000004</v>
      </c>
    </row>
    <row r="76" spans="1:27" x14ac:dyDescent="0.25">
      <c r="A76" s="10" t="s">
        <v>534</v>
      </c>
      <c r="B76" s="10" t="s">
        <v>535</v>
      </c>
      <c r="C76" s="13" t="str">
        <f>_xll.BDH("SRPT US Equity","ARDR_NET_INC_AVAIL_COM_SHRHLDR","FQ4 2018","FQ4 2018","Currency=USD","Period=FQ","BEST_FPERIOD_OVERRIDE=FQ","FILING_STATUS=MR","SCALING_FORMAT=MLN","Sort=A","Dates=H","DateFormat=P","Fill=—","Direction=H","UseDPDF=Y")</f>
        <v>—</v>
      </c>
      <c r="D76" s="13" t="str">
        <f>_xll.BDH("SRPT US Equity","ARDR_NET_INC_AVAIL_COM_SHRHLDR","FQ1 2019","FQ1 2019","Currency=USD","Period=FQ","BEST_FPERIOD_OVERRIDE=FQ","FILING_STATUS=MR","SCALING_FORMAT=MLN","Sort=A","Dates=H","DateFormat=P","Fill=—","Direction=H","UseDPDF=Y")</f>
        <v>—</v>
      </c>
      <c r="E76" s="13" t="str">
        <f>_xll.BDH("SRPT US Equity","ARDR_NET_INC_AVAIL_COM_SHRHLDR","FQ2 2019","FQ2 2019","Currency=USD","Period=FQ","BEST_FPERIOD_OVERRIDE=FQ","FILING_STATUS=MR","SCALING_FORMAT=MLN","Sort=A","Dates=H","DateFormat=P","Fill=—","Direction=H","UseDPDF=Y")</f>
        <v>—</v>
      </c>
      <c r="F76" s="13" t="str">
        <f>_xll.BDH("SRPT US Equity","ARDR_NET_INC_AVAIL_COM_SHRHLDR","FQ3 2019","FQ3 2019","Currency=USD","Period=FQ","BEST_FPERIOD_OVERRIDE=FQ","FILING_STATUS=MR","SCALING_FORMAT=MLN","Sort=A","Dates=H","DateFormat=P","Fill=—","Direction=H","UseDPDF=Y")</f>
        <v>—</v>
      </c>
      <c r="G76" s="13" t="str">
        <f>_xll.BDH("SRPT US Equity","ARDR_NET_INC_AVAIL_COM_SHRHLDR","FQ4 2019","FQ4 2019","Currency=USD","Period=FQ","BEST_FPERIOD_OVERRIDE=FQ","FILING_STATUS=MR","SCALING_FORMAT=MLN","Sort=A","Dates=H","DateFormat=P","Fill=—","Direction=H","UseDPDF=Y")</f>
        <v>—</v>
      </c>
      <c r="H76" s="13">
        <f>_xll.BDH("SRPT US Equity","ARDR_NET_INC_AVAIL_COM_SHRHLDR","FQ1 2020","FQ1 2020","Currency=USD","Period=FQ","BEST_FPERIOD_OVERRIDE=FQ","FILING_STATUS=MR","SCALING_FORMAT=MLN","Sort=A","Dates=H","DateFormat=P","Fill=—","Direction=H","UseDPDF=Y")</f>
        <v>-17.492000000000001</v>
      </c>
      <c r="I76" s="13">
        <f>_xll.BDH("SRPT US Equity","ARDR_NET_INC_AVAIL_COM_SHRHLDR","FQ2 2020","FQ2 2020","Currency=USD","Period=FQ","BEST_FPERIOD_OVERRIDE=FQ","FILING_STATUS=MR","SCALING_FORMAT=MLN","Sort=A","Dates=H","DateFormat=P","Fill=—","Direction=H","UseDPDF=Y")</f>
        <v>-150.82</v>
      </c>
      <c r="J76" s="13">
        <f>_xll.BDH("SRPT US Equity","ARDR_NET_INC_AVAIL_COM_SHRHLDR","FQ3 2020","FQ3 2020","Currency=USD","Period=FQ","BEST_FPERIOD_OVERRIDE=FQ","FILING_STATUS=MR","SCALING_FORMAT=MLN","Sort=A","Dates=H","DateFormat=P","Fill=—","Direction=H","UseDPDF=Y")</f>
        <v>-196.499</v>
      </c>
      <c r="K76" s="13" t="str">
        <f>_xll.BDH("SRPT US Equity","ARDR_NET_INC_AVAIL_COM_SHRHLDR","FQ4 2020","FQ4 2020","Currency=USD","Period=FQ","BEST_FPERIOD_OVERRIDE=FQ","FILING_STATUS=MR","SCALING_FORMAT=MLN","Sort=A","Dates=H","DateFormat=P","Fill=—","Direction=H","UseDPDF=Y")</f>
        <v>—</v>
      </c>
      <c r="L76" s="13">
        <f>_xll.BDH("SRPT US Equity","ARDR_NET_INC_AVAIL_COM_SHRHLDR","FQ1 2021","FQ1 2021","Currency=USD","Period=FQ","BEST_FPERIOD_OVERRIDE=FQ","FILING_STATUS=MR","SCALING_FORMAT=MLN","Sort=A","Dates=H","DateFormat=P","Fill=—","Direction=H","UseDPDF=Y")</f>
        <v>-167.25</v>
      </c>
      <c r="M76" s="13">
        <f>_xll.BDH("SRPT US Equity","ARDR_NET_INC_AVAIL_COM_SHRHLDR","FQ2 2021","FQ2 2021","Currency=USD","Period=FQ","BEST_FPERIOD_OVERRIDE=FQ","FILING_STATUS=MR","SCALING_FORMAT=MLN","Sort=A","Dates=H","DateFormat=P","Fill=—","Direction=H","UseDPDF=Y")</f>
        <v>-81.405000000000001</v>
      </c>
      <c r="N76" s="13">
        <f>_xll.BDH("SRPT US Equity","ARDR_NET_INC_AVAIL_COM_SHRHLDR","FQ3 2021","FQ3 2021","Currency=USD","Period=FQ","BEST_FPERIOD_OVERRIDE=FQ","FILING_STATUS=MR","SCALING_FORMAT=MLN","Sort=A","Dates=H","DateFormat=P","Fill=—","Direction=H","UseDPDF=Y")</f>
        <v>-48.143999999999998</v>
      </c>
      <c r="O76" s="13" t="str">
        <f>_xll.BDH("SRPT US Equity","ARDR_NET_INC_AVAIL_COM_SHRHLDR","FQ4 2021","FQ4 2021","Currency=USD","Period=FQ","BEST_FPERIOD_OVERRIDE=FQ","FILING_STATUS=MR","SCALING_FORMAT=MLN","Sort=A","Dates=H","DateFormat=P","Fill=—","Direction=H","UseDPDF=Y")</f>
        <v>—</v>
      </c>
      <c r="P76" s="13">
        <f>_xll.BDH("SRPT US Equity","ARDR_NET_INC_AVAIL_COM_SHRHLDR","FQ1 2022","FQ1 2022","Currency=USD","Period=FQ","BEST_FPERIOD_OVERRIDE=FQ","FILING_STATUS=MR","SCALING_FORMAT=MLN","Sort=A","Dates=H","DateFormat=P","Fill=—","Direction=H","UseDPDF=Y")</f>
        <v>-105.02500000000001</v>
      </c>
      <c r="Q76" s="13">
        <f>_xll.BDH("SRPT US Equity","ARDR_NET_INC_AVAIL_COM_SHRHLDR","FQ2 2022","FQ2 2022","Currency=USD","Period=FQ","BEST_FPERIOD_OVERRIDE=FQ","FILING_STATUS=MR","SCALING_FORMAT=MLN","Sort=A","Dates=H","DateFormat=P","Fill=—","Direction=H","UseDPDF=Y")</f>
        <v>-231.48099999999999</v>
      </c>
      <c r="R76" s="13">
        <f>_xll.BDH("SRPT US Equity","ARDR_NET_INC_AVAIL_COM_SHRHLDR","FQ3 2022","FQ3 2022","Currency=USD","Period=FQ","BEST_FPERIOD_OVERRIDE=FQ","FILING_STATUS=MR","SCALING_FORMAT=MLN","Sort=A","Dates=H","DateFormat=P","Fill=—","Direction=H","UseDPDF=Y")</f>
        <v>-257.738</v>
      </c>
      <c r="S76" s="13" t="str">
        <f>_xll.BDH("SRPT US Equity","ARDR_NET_INC_AVAIL_COM_SHRHLDR","FQ4 2022","FQ4 2022","Currency=USD","Period=FQ","BEST_FPERIOD_OVERRIDE=FQ","FILING_STATUS=MR","SCALING_FORMAT=MLN","Sort=A","Dates=H","DateFormat=P","Fill=—","Direction=H","UseDPDF=Y")</f>
        <v>—</v>
      </c>
      <c r="T76" s="13">
        <f>_xll.BDH("SRPT US Equity","ARDR_NET_INC_AVAIL_COM_SHRHLDR","FQ1 2023","FQ1 2023","Currency=USD","Period=FQ","BEST_FPERIOD_OVERRIDE=FQ","FILING_STATUS=MR","SCALING_FORMAT=MLN","Sort=A","Dates=H","DateFormat=P","Fill=—","Direction=H","UseDPDF=Y")</f>
        <v>-516.755</v>
      </c>
      <c r="U76" s="13">
        <f>_xll.BDH("SRPT US Equity","ARDR_NET_INC_AVAIL_COM_SHRHLDR","FQ2 2023","FQ2 2023","Currency=USD","Period=FQ","BEST_FPERIOD_OVERRIDE=FQ","FILING_STATUS=MR","SCALING_FORMAT=MLN","Sort=A","Dates=H","DateFormat=P","Fill=—","Direction=H","UseDPDF=Y")</f>
        <v>-23.94</v>
      </c>
      <c r="V76" s="13">
        <f>_xll.BDH("SRPT US Equity","ARDR_NET_INC_AVAIL_COM_SHRHLDR","FQ3 2023","FQ3 2023","Currency=USD","Period=FQ","BEST_FPERIOD_OVERRIDE=FQ","FILING_STATUS=MR","SCALING_FORMAT=MLN","Sort=A","Dates=H","DateFormat=P","Fill=—","Direction=H","UseDPDF=Y")</f>
        <v>-40.936999999999998</v>
      </c>
      <c r="W76" s="13" t="str">
        <f>_xll.BDH("SRPT US Equity","ARDR_NET_INC_AVAIL_COM_SHRHLDR","FQ4 2023","FQ4 2023","Currency=USD","Period=FQ","BEST_FPERIOD_OVERRIDE=FQ","FILING_STATUS=MR","SCALING_FORMAT=MLN","Sort=A","Dates=H","DateFormat=P","Fill=—","Direction=H","UseDPDF=Y")</f>
        <v>—</v>
      </c>
      <c r="X76" s="13">
        <f>_xll.BDH("SRPT US Equity","ARDR_NET_INC_AVAIL_COM_SHRHLDR","FQ1 2024","FQ1 2024","Currency=USD","Period=FQ","BEST_FPERIOD_OVERRIDE=FQ","FILING_STATUS=MR","SCALING_FORMAT=MLN","Sort=A","Dates=H","DateFormat=P","Fill=—","Direction=H","UseDPDF=Y")</f>
        <v>36.548000000000002</v>
      </c>
      <c r="Y76" s="13">
        <f>_xll.BDH("SRPT US Equity","ARDR_NET_INC_AVAIL_COM_SHRHLDR","FQ2 2024","FQ2 2024","Currency=USD","Period=FQ","BEST_FPERIOD_OVERRIDE=FQ","FILING_STATUS=MR","SCALING_FORMAT=MLN","Sort=A","Dates=H","DateFormat=P","Fill=—","Direction=H","UseDPDF=Y")</f>
        <v>6.46</v>
      </c>
      <c r="Z76" s="13">
        <f>_xll.BDH("SRPT US Equity","ARDR_NET_INC_AVAIL_COM_SHRHLDR","FQ3 2024","FQ3 2024","Currency=USD","Period=FQ","BEST_FPERIOD_OVERRIDE=FQ","FILING_STATUS=MR","SCALING_FORMAT=MLN","Sort=A","Dates=H","DateFormat=P","Fill=—","Direction=H","UseDPDF=Y")</f>
        <v>33.610999999999997</v>
      </c>
      <c r="AA76" s="13" t="str">
        <f>_xll.BDH("SRPT US Equity","ARDR_NET_INC_AVAIL_COM_SHRHLDR","FQ4 2024","FQ4 2024","Currency=USD","Period=FQ","BEST_FPERIOD_OVERRIDE=FQ","FILING_STATUS=MR","SCALING_FORMAT=MLN","Sort=A","Dates=H","DateFormat=P","Fill=—","Direction=H","UseDPDF=Y")</f>
        <v>—</v>
      </c>
    </row>
    <row r="77" spans="1:27" x14ac:dyDescent="0.25">
      <c r="A77" s="10" t="s">
        <v>536</v>
      </c>
      <c r="B77" s="10" t="s">
        <v>537</v>
      </c>
      <c r="C77" s="14" t="str">
        <f>_xll.BDH("SRPT US Equity","ARDR_BASIC_DIL_EPS_BEF_XO_ITEMS","FQ4 2018","FQ4 2018","Currency=USD","Period=FQ","BEST_FPERIOD_OVERRIDE=FQ","FILING_STATUS=MR","Sort=A","Dates=H","DateFormat=P","Fill=—","Direction=H","UseDPDF=Y")</f>
        <v>—</v>
      </c>
      <c r="D77" s="14" t="str">
        <f>_xll.BDH("SRPT US Equity","ARDR_BASIC_DIL_EPS_BEF_XO_ITEMS","FQ1 2019","FQ1 2019","Currency=USD","Period=FQ","BEST_FPERIOD_OVERRIDE=FQ","FILING_STATUS=MR","Sort=A","Dates=H","DateFormat=P","Fill=—","Direction=H","UseDPDF=Y")</f>
        <v>—</v>
      </c>
      <c r="E77" s="14" t="str">
        <f>_xll.BDH("SRPT US Equity","ARDR_BASIC_DIL_EPS_BEF_XO_ITEMS","FQ2 2019","FQ2 2019","Currency=USD","Period=FQ","BEST_FPERIOD_OVERRIDE=FQ","FILING_STATUS=MR","Sort=A","Dates=H","DateFormat=P","Fill=—","Direction=H","UseDPDF=Y")</f>
        <v>—</v>
      </c>
      <c r="F77" s="14" t="str">
        <f>_xll.BDH("SRPT US Equity","ARDR_BASIC_DIL_EPS_BEF_XO_ITEMS","FQ3 2019","FQ3 2019","Currency=USD","Period=FQ","BEST_FPERIOD_OVERRIDE=FQ","FILING_STATUS=MR","Sort=A","Dates=H","DateFormat=P","Fill=—","Direction=H","UseDPDF=Y")</f>
        <v>—</v>
      </c>
      <c r="G77" s="14" t="str">
        <f>_xll.BDH("SRPT US Equity","ARDR_BASIC_DIL_EPS_BEF_XO_ITEMS","FQ4 2019","FQ4 2019","Currency=USD","Period=FQ","BEST_FPERIOD_OVERRIDE=FQ","FILING_STATUS=MR","Sort=A","Dates=H","DateFormat=P","Fill=—","Direction=H","UseDPDF=Y")</f>
        <v>—</v>
      </c>
      <c r="H77" s="14" t="str">
        <f>_xll.BDH("SRPT US Equity","ARDR_BASIC_DIL_EPS_BEF_XO_ITEMS","FQ1 2020","FQ1 2020","Currency=USD","Period=FQ","BEST_FPERIOD_OVERRIDE=FQ","FILING_STATUS=MR","Sort=A","Dates=H","DateFormat=P","Fill=—","Direction=H","UseDPDF=Y")</f>
        <v>—</v>
      </c>
      <c r="I77" s="14" t="str">
        <f>_xll.BDH("SRPT US Equity","ARDR_BASIC_DIL_EPS_BEF_XO_ITEMS","FQ2 2020","FQ2 2020","Currency=USD","Period=FQ","BEST_FPERIOD_OVERRIDE=FQ","FILING_STATUS=MR","Sort=A","Dates=H","DateFormat=P","Fill=—","Direction=H","UseDPDF=Y")</f>
        <v>—</v>
      </c>
      <c r="J77" s="14" t="str">
        <f>_xll.BDH("SRPT US Equity","ARDR_BASIC_DIL_EPS_BEF_XO_ITEMS","FQ3 2020","FQ3 2020","Currency=USD","Period=FQ","BEST_FPERIOD_OVERRIDE=FQ","FILING_STATUS=MR","Sort=A","Dates=H","DateFormat=P","Fill=—","Direction=H","UseDPDF=Y")</f>
        <v>—</v>
      </c>
      <c r="K77" s="14" t="str">
        <f>_xll.BDH("SRPT US Equity","ARDR_BASIC_DIL_EPS_BEF_XO_ITEMS","FQ4 2020","FQ4 2020","Currency=USD","Period=FQ","BEST_FPERIOD_OVERRIDE=FQ","FILING_STATUS=MR","Sort=A","Dates=H","DateFormat=P","Fill=—","Direction=H","UseDPDF=Y")</f>
        <v>—</v>
      </c>
      <c r="L77" s="14" t="str">
        <f>_xll.BDH("SRPT US Equity","ARDR_BASIC_DIL_EPS_BEF_XO_ITEMS","FQ1 2021","FQ1 2021","Currency=USD","Period=FQ","BEST_FPERIOD_OVERRIDE=FQ","FILING_STATUS=MR","Sort=A","Dates=H","DateFormat=P","Fill=—","Direction=H","UseDPDF=Y")</f>
        <v>—</v>
      </c>
      <c r="M77" s="14" t="str">
        <f>_xll.BDH("SRPT US Equity","ARDR_BASIC_DIL_EPS_BEF_XO_ITEMS","FQ2 2021","FQ2 2021","Currency=USD","Period=FQ","BEST_FPERIOD_OVERRIDE=FQ","FILING_STATUS=MR","Sort=A","Dates=H","DateFormat=P","Fill=—","Direction=H","UseDPDF=Y")</f>
        <v>—</v>
      </c>
      <c r="N77" s="14">
        <f>_xll.BDH("SRPT US Equity","ARDR_BASIC_DIL_EPS_BEF_XO_ITEMS","FQ3 2021","FQ3 2021","Currency=USD","Period=FQ","BEST_FPERIOD_OVERRIDE=FQ","FILING_STATUS=MR","Sort=A","Dates=H","DateFormat=P","Fill=—","Direction=H","UseDPDF=Y")</f>
        <v>-0.6</v>
      </c>
      <c r="O77" s="14" t="str">
        <f>_xll.BDH("SRPT US Equity","ARDR_BASIC_DIL_EPS_BEF_XO_ITEMS","FQ4 2021","FQ4 2021","Currency=USD","Period=FQ","BEST_FPERIOD_OVERRIDE=FQ","FILING_STATUS=MR","Sort=A","Dates=H","DateFormat=P","Fill=—","Direction=H","UseDPDF=Y")</f>
        <v>—</v>
      </c>
      <c r="P77" s="14" t="str">
        <f>_xll.BDH("SRPT US Equity","ARDR_BASIC_DIL_EPS_BEF_XO_ITEMS","FQ1 2022","FQ1 2022","Currency=USD","Period=FQ","BEST_FPERIOD_OVERRIDE=FQ","FILING_STATUS=MR","Sort=A","Dates=H","DateFormat=P","Fill=—","Direction=H","UseDPDF=Y")</f>
        <v>—</v>
      </c>
      <c r="Q77" s="14" t="str">
        <f>_xll.BDH("SRPT US Equity","ARDR_BASIC_DIL_EPS_BEF_XO_ITEMS","FQ2 2022","FQ2 2022","Currency=USD","Period=FQ","BEST_FPERIOD_OVERRIDE=FQ","FILING_STATUS=MR","Sort=A","Dates=H","DateFormat=P","Fill=—","Direction=H","UseDPDF=Y")</f>
        <v>—</v>
      </c>
      <c r="R77" s="14" t="str">
        <f>_xll.BDH("SRPT US Equity","ARDR_BASIC_DIL_EPS_BEF_XO_ITEMS","FQ3 2022","FQ3 2022","Currency=USD","Period=FQ","BEST_FPERIOD_OVERRIDE=FQ","FILING_STATUS=MR","Sort=A","Dates=H","DateFormat=P","Fill=—","Direction=H","UseDPDF=Y")</f>
        <v>—</v>
      </c>
      <c r="S77" s="14" t="str">
        <f>_xll.BDH("SRPT US Equity","ARDR_BASIC_DIL_EPS_BEF_XO_ITEMS","FQ4 2022","FQ4 2022","Currency=USD","Period=FQ","BEST_FPERIOD_OVERRIDE=FQ","FILING_STATUS=MR","Sort=A","Dates=H","DateFormat=P","Fill=—","Direction=H","UseDPDF=Y")</f>
        <v>—</v>
      </c>
      <c r="T77" s="14" t="str">
        <f>_xll.BDH("SRPT US Equity","ARDR_BASIC_DIL_EPS_BEF_XO_ITEMS","FQ1 2023","FQ1 2023","Currency=USD","Period=FQ","BEST_FPERIOD_OVERRIDE=FQ","FILING_STATUS=MR","Sort=A","Dates=H","DateFormat=P","Fill=—","Direction=H","UseDPDF=Y")</f>
        <v>—</v>
      </c>
      <c r="U77" s="14">
        <f>_xll.BDH("SRPT US Equity","ARDR_BASIC_DIL_EPS_BEF_XO_ITEMS","FQ2 2023","FQ2 2023","Currency=USD","Period=FQ","BEST_FPERIOD_OVERRIDE=FQ","FILING_STATUS=MR","Sort=A","Dates=H","DateFormat=P","Fill=—","Direction=H","UseDPDF=Y")</f>
        <v>-0.27</v>
      </c>
      <c r="V77" s="14" t="str">
        <f>_xll.BDH("SRPT US Equity","ARDR_BASIC_DIL_EPS_BEF_XO_ITEMS","FQ3 2023","FQ3 2023","Currency=USD","Period=FQ","BEST_FPERIOD_OVERRIDE=FQ","FILING_STATUS=MR","Sort=A","Dates=H","DateFormat=P","Fill=—","Direction=H","UseDPDF=Y")</f>
        <v>—</v>
      </c>
      <c r="W77" s="14" t="str">
        <f>_xll.BDH("SRPT US Equity","ARDR_BASIC_DIL_EPS_BEF_XO_ITEMS","FQ4 2023","FQ4 2023","Currency=USD","Period=FQ","BEST_FPERIOD_OVERRIDE=FQ","FILING_STATUS=MR","Sort=A","Dates=H","DateFormat=P","Fill=—","Direction=H","UseDPDF=Y")</f>
        <v>—</v>
      </c>
      <c r="X77" s="14" t="str">
        <f>_xll.BDH("SRPT US Equity","ARDR_BASIC_DIL_EPS_BEF_XO_ITEMS","FQ1 2024","FQ1 2024","Currency=USD","Period=FQ","BEST_FPERIOD_OVERRIDE=FQ","FILING_STATUS=MR","Sort=A","Dates=H","DateFormat=P","Fill=—","Direction=H","UseDPDF=Y")</f>
        <v>—</v>
      </c>
      <c r="Y77" s="14" t="str">
        <f>_xll.BDH("SRPT US Equity","ARDR_BASIC_DIL_EPS_BEF_XO_ITEMS","FQ2 2024","FQ2 2024","Currency=USD","Period=FQ","BEST_FPERIOD_OVERRIDE=FQ","FILING_STATUS=MR","Sort=A","Dates=H","DateFormat=P","Fill=—","Direction=H","UseDPDF=Y")</f>
        <v>—</v>
      </c>
      <c r="Z77" s="14" t="str">
        <f>_xll.BDH("SRPT US Equity","ARDR_BASIC_DIL_EPS_BEF_XO_ITEMS","FQ3 2024","FQ3 2024","Currency=USD","Period=FQ","BEST_FPERIOD_OVERRIDE=FQ","FILING_STATUS=MR","Sort=A","Dates=H","DateFormat=P","Fill=—","Direction=H","UseDPDF=Y")</f>
        <v>—</v>
      </c>
      <c r="AA77" s="14" t="str">
        <f>_xll.BDH("SRPT US Equity","ARDR_BASIC_DIL_EPS_BEF_XO_ITEMS","FQ4 2024","FQ4 2024","Currency=USD","Period=FQ","BEST_FPERIOD_OVERRIDE=FQ","FILING_STATUS=MR","Sort=A","Dates=H","DateFormat=P","Fill=—","Direction=H","UseDPDF=Y")</f>
        <v>—</v>
      </c>
    </row>
    <row r="78" spans="1:27" x14ac:dyDescent="0.25">
      <c r="A78" s="10" t="s">
        <v>538</v>
      </c>
      <c r="B78" s="10" t="s">
        <v>539</v>
      </c>
      <c r="C78" s="13">
        <f>_xll.BDH("SRPT US Equity","ARD_ADJ_NET_INCOME_AS_REPORTED","FQ4 2018","FQ4 2018","Currency=USD","Period=FQ","BEST_FPERIOD_OVERRIDE=FQ","FILING_STATUS=MR","SCALING_FORMAT=MLN","Sort=A","Dates=H","DateFormat=P","Fill=—","Direction=H","UseDPDF=Y")</f>
        <v>-58.670999999999999</v>
      </c>
      <c r="D78" s="13">
        <f>_xll.BDH("SRPT US Equity","ARD_ADJ_NET_INCOME_AS_REPORTED","FQ1 2019","FQ1 2019","Currency=USD","Period=FQ","BEST_FPERIOD_OVERRIDE=FQ","FILING_STATUS=MR","SCALING_FORMAT=MLN","Sort=A","Dates=H","DateFormat=P","Fill=—","Direction=H","UseDPDF=Y")</f>
        <v>-53.776000000000003</v>
      </c>
      <c r="E78" s="13">
        <f>_xll.BDH("SRPT US Equity","ARD_ADJ_NET_INCOME_AS_REPORTED","FQ2 2019","FQ2 2019","Currency=USD","Period=FQ","BEST_FPERIOD_OVERRIDE=FQ","FILING_STATUS=MR","SCALING_FORMAT=MLN","Sort=A","Dates=H","DateFormat=P","Fill=—","Direction=H","UseDPDF=Y")</f>
        <v>-61.174999999999997</v>
      </c>
      <c r="F78" s="13">
        <f>_xll.BDH("SRPT US Equity","ARD_ADJ_NET_INCOME_AS_REPORTED","FQ3 2019","FQ3 2019","Currency=USD","Period=FQ","BEST_FPERIOD_OVERRIDE=FQ","FILING_STATUS=MR","SCALING_FORMAT=MLN","Sort=A","Dates=H","DateFormat=P","Fill=—","Direction=H","UseDPDF=Y")</f>
        <v>-84.44</v>
      </c>
      <c r="G78" s="13">
        <f>_xll.BDH("SRPT US Equity","ARD_ADJ_NET_INCOME_AS_REPORTED","FQ4 2019","FQ4 2019","Currency=USD","Period=FQ","BEST_FPERIOD_OVERRIDE=FQ","FILING_STATUS=MR","SCALING_FORMAT=MLN","Sort=A","Dates=H","DateFormat=P","Fill=—","Direction=H","UseDPDF=Y")</f>
        <v>-116.904</v>
      </c>
      <c r="H78" s="13">
        <f>_xll.BDH("SRPT US Equity","ARD_ADJ_NET_INCOME_AS_REPORTED","FQ1 2020","FQ1 2020","Currency=USD","Period=FQ","BEST_FPERIOD_OVERRIDE=FQ","FILING_STATUS=MR","SCALING_FORMAT=MLN","Sort=A","Dates=H","DateFormat=P","Fill=—","Direction=H","UseDPDF=Y")</f>
        <v>-79.781999999999996</v>
      </c>
      <c r="I78" s="13">
        <f>_xll.BDH("SRPT US Equity","ARD_ADJ_NET_INCOME_AS_REPORTED","FQ2 2020","FQ2 2020","Currency=USD","Period=FQ","BEST_FPERIOD_OVERRIDE=FQ","FILING_STATUS=MR","SCALING_FORMAT=MLN","Sort=A","Dates=H","DateFormat=P","Fill=—","Direction=H","UseDPDF=Y")</f>
        <v>-117.902</v>
      </c>
      <c r="J78" s="13">
        <f>_xll.BDH("SRPT US Equity","ARD_ADJ_NET_INCOME_AS_REPORTED","FQ3 2020","FQ3 2020","Currency=USD","Period=FQ","BEST_FPERIOD_OVERRIDE=FQ","FILING_STATUS=MR","SCALING_FORMAT=MLN","Sort=A","Dates=H","DateFormat=P","Fill=—","Direction=H","UseDPDF=Y")</f>
        <v>-111.547</v>
      </c>
      <c r="K78" s="13">
        <f>_xll.BDH("SRPT US Equity","ARD_ADJ_NET_INCOME_AS_REPORTED","FQ4 2020","FQ4 2020","Currency=USD","Period=FQ","BEST_FPERIOD_OVERRIDE=FQ","FILING_STATUS=MR","SCALING_FORMAT=MLN","Sort=A","Dates=H","DateFormat=P","Fill=—","Direction=H","UseDPDF=Y")</f>
        <v>-145.096</v>
      </c>
      <c r="L78" s="13">
        <f>_xll.BDH("SRPT US Equity","ARD_ADJ_NET_INCOME_AS_REPORTED","FQ1 2021","FQ1 2021","Currency=USD","Period=FQ","BEST_FPERIOD_OVERRIDE=FQ","FILING_STATUS=MR","SCALING_FORMAT=MLN","Sort=A","Dates=H","DateFormat=P","Fill=—","Direction=H","UseDPDF=Y")</f>
        <v>-122.504</v>
      </c>
      <c r="M78" s="13">
        <f>_xll.BDH("SRPT US Equity","ARD_ADJ_NET_INCOME_AS_REPORTED","FQ2 2021","FQ2 2021","Currency=USD","Period=FQ","BEST_FPERIOD_OVERRIDE=FQ","FILING_STATUS=MR","SCALING_FORMAT=MLN","Sort=A","Dates=H","DateFormat=P","Fill=—","Direction=H","UseDPDF=Y")</f>
        <v>-121.158</v>
      </c>
      <c r="N78" s="13">
        <f>_xll.BDH("SRPT US Equity","ARD_ADJ_NET_INCOME_AS_REPORTED","FQ3 2021","FQ3 2021","Currency=USD","Period=FQ","BEST_FPERIOD_OVERRIDE=FQ","FILING_STATUS=MR","SCALING_FORMAT=MLN","Sort=A","Dates=H","DateFormat=P","Fill=—","Direction=H","UseDPDF=Y")</f>
        <v>-15.573</v>
      </c>
      <c r="O78" s="13">
        <f>_xll.BDH("SRPT US Equity","ARD_ADJ_NET_INCOME_AS_REPORTED","FQ4 2021","FQ4 2021","Currency=USD","Period=FQ","BEST_FPERIOD_OVERRIDE=FQ","FILING_STATUS=MR","SCALING_FORMAT=MLN","Sort=A","Dates=H","DateFormat=P","Fill=—","Direction=H","UseDPDF=Y")</f>
        <v>-66.009</v>
      </c>
      <c r="P78" s="13">
        <f>_xll.BDH("SRPT US Equity","ARD_ADJ_NET_INCOME_AS_REPORTED","FQ1 2022","FQ1 2022","Currency=USD","Period=FQ","BEST_FPERIOD_OVERRIDE=FQ","FILING_STATUS=MR","SCALING_FORMAT=MLN","Sort=A","Dates=H","DateFormat=P","Fill=—","Direction=H","UseDPDF=Y")</f>
        <v>-48.648000000000003</v>
      </c>
      <c r="Q78" s="13">
        <f>_xll.BDH("SRPT US Equity","ARD_ADJ_NET_INCOME_AS_REPORTED","FQ2 2022","FQ2 2022","Currency=USD","Period=FQ","BEST_FPERIOD_OVERRIDE=FQ","FILING_STATUS=MR","SCALING_FORMAT=MLN","Sort=A","Dates=H","DateFormat=P","Fill=—","Direction=H","UseDPDF=Y")</f>
        <v>-103.024</v>
      </c>
      <c r="R78" s="13">
        <f>_xll.BDH("SRPT US Equity","ARD_ADJ_NET_INCOME_AS_REPORTED","FQ3 2022","FQ3 2022","Currency=USD","Period=FQ","BEST_FPERIOD_OVERRIDE=FQ","FILING_STATUS=MR","SCALING_FORMAT=MLN","Sort=A","Dates=H","DateFormat=P","Fill=—","Direction=H","UseDPDF=Y")</f>
        <v>-70.034999999999997</v>
      </c>
      <c r="S78" s="13">
        <f>_xll.BDH("SRPT US Equity","ARD_ADJ_NET_INCOME_AS_REPORTED","FQ4 2022","FQ4 2022","Currency=USD","Period=FQ","BEST_FPERIOD_OVERRIDE=FQ","FILING_STATUS=MR","SCALING_FORMAT=MLN","Sort=A","Dates=H","DateFormat=P","Fill=—","Direction=H","UseDPDF=Y")</f>
        <v>-46.533000000000001</v>
      </c>
      <c r="T78" s="13">
        <f>_xll.BDH("SRPT US Equity","ARD_ADJ_NET_INCOME_AS_REPORTED","FQ1 2023","FQ1 2023","Currency=USD","Period=FQ","BEST_FPERIOD_OVERRIDE=FQ","FILING_STATUS=MR","SCALING_FORMAT=MLN","Sort=A","Dates=H","DateFormat=P","Fill=—","Direction=H","UseDPDF=Y")</f>
        <v>-85.497</v>
      </c>
      <c r="U78" s="13">
        <f>_xll.BDH("SRPT US Equity","ARD_ADJ_NET_INCOME_AS_REPORTED","FQ2 2023","FQ2 2023","Currency=USD","Period=FQ","BEST_FPERIOD_OVERRIDE=FQ","FILING_STATUS=MR","SCALING_FORMAT=MLN","Sort=A","Dates=H","DateFormat=P","Fill=—","Direction=H","UseDPDF=Y")</f>
        <v>-75.195999999999998</v>
      </c>
      <c r="V78" s="13">
        <f>_xll.BDH("SRPT US Equity","ARD_ADJ_NET_INCOME_AS_REPORTED","FQ3 2023","FQ3 2023","Currency=USD","Period=FQ","BEST_FPERIOD_OVERRIDE=FQ","FILING_STATUS=MR","SCALING_FORMAT=MLN","Sort=A","Dates=H","DateFormat=P","Fill=—","Direction=H","UseDPDF=Y")</f>
        <v>37.722000000000001</v>
      </c>
      <c r="W78" s="13">
        <f>_xll.BDH("SRPT US Equity","ARD_ADJ_NET_INCOME_AS_REPORTED","FQ4 2023","FQ4 2023","Currency=USD","Period=FQ","BEST_FPERIOD_OVERRIDE=FQ","FILING_STATUS=MR","SCALING_FORMAT=MLN","Sort=A","Dates=H","DateFormat=P","Fill=—","Direction=H","UseDPDF=Y")</f>
        <v>86.58</v>
      </c>
      <c r="X78" s="13">
        <f>_xll.BDH("SRPT US Equity","ARD_ADJ_NET_INCOME_AS_REPORTED","FQ1 2024","FQ1 2024","Currency=USD","Period=FQ","BEST_FPERIOD_OVERRIDE=FQ","FILING_STATUS=MR","SCALING_FORMAT=MLN","Sort=A","Dates=H","DateFormat=P","Fill=—","Direction=H","UseDPDF=Y")</f>
        <v>78.239999999999995</v>
      </c>
      <c r="Y78" s="13">
        <f>_xll.BDH("SRPT US Equity","ARD_ADJ_NET_INCOME_AS_REPORTED","FQ2 2024","FQ2 2024","Currency=USD","Period=FQ","BEST_FPERIOD_OVERRIDE=FQ","FILING_STATUS=MR","SCALING_FORMAT=MLN","Sort=A","Dates=H","DateFormat=P","Fill=—","Direction=H","UseDPDF=Y")</f>
        <v>46.661000000000001</v>
      </c>
      <c r="Z78" s="13">
        <f>_xll.BDH("SRPT US Equity","ARD_ADJ_NET_INCOME_AS_REPORTED","FQ3 2024","FQ3 2024","Currency=USD","Period=FQ","BEST_FPERIOD_OVERRIDE=FQ","FILING_STATUS=MR","SCALING_FORMAT=MLN","Sort=A","Dates=H","DateFormat=P","Fill=—","Direction=H","UseDPDF=Y")</f>
        <v>67.015000000000001</v>
      </c>
      <c r="AA78" s="13">
        <f>_xll.BDH("SRPT US Equity","ARD_ADJ_NET_INCOME_AS_REPORTED","FQ4 2024","FQ4 2024","Currency=USD","Period=FQ","BEST_FPERIOD_OVERRIDE=FQ","FILING_STATUS=MR","SCALING_FORMAT=MLN","Sort=A","Dates=H","DateFormat=P","Fill=—","Direction=H","UseDPDF=Y")</f>
        <v>206.00700000000001</v>
      </c>
    </row>
    <row r="79" spans="1:27" x14ac:dyDescent="0.25">
      <c r="A79" s="10" t="s">
        <v>540</v>
      </c>
      <c r="B79" s="10" t="s">
        <v>541</v>
      </c>
      <c r="C79" s="14" t="str">
        <f>_xll.BDH("SRPT US Equity","ARDR_EFFECTIVE_TAX_RATE_PCT","FQ4 2018","FQ4 2018","Currency=USD","Period=FQ","BEST_FPERIOD_OVERRIDE=FQ","FILING_STATUS=MR","Sort=A","Dates=H","DateFormat=P","Fill=—","Direction=H","UseDPDF=Y")</f>
        <v>—</v>
      </c>
      <c r="D79" s="14" t="str">
        <f>_xll.BDH("SRPT US Equity","ARDR_EFFECTIVE_TAX_RATE_PCT","FQ1 2019","FQ1 2019","Currency=USD","Period=FQ","BEST_FPERIOD_OVERRIDE=FQ","FILING_STATUS=MR","Sort=A","Dates=H","DateFormat=P","Fill=—","Direction=H","UseDPDF=Y")</f>
        <v>—</v>
      </c>
      <c r="E79" s="14" t="str">
        <f>_xll.BDH("SRPT US Equity","ARDR_EFFECTIVE_TAX_RATE_PCT","FQ2 2019","FQ2 2019","Currency=USD","Period=FQ","BEST_FPERIOD_OVERRIDE=FQ","FILING_STATUS=MR","Sort=A","Dates=H","DateFormat=P","Fill=—","Direction=H","UseDPDF=Y")</f>
        <v>—</v>
      </c>
      <c r="F79" s="14" t="str">
        <f>_xll.BDH("SRPT US Equity","ARDR_EFFECTIVE_TAX_RATE_PCT","FQ3 2019","FQ3 2019","Currency=USD","Period=FQ","BEST_FPERIOD_OVERRIDE=FQ","FILING_STATUS=MR","Sort=A","Dates=H","DateFormat=P","Fill=—","Direction=H","UseDPDF=Y")</f>
        <v>—</v>
      </c>
      <c r="G79" s="14" t="str">
        <f>_xll.BDH("SRPT US Equity","ARDR_EFFECTIVE_TAX_RATE_PCT","FQ4 2019","FQ4 2019","Currency=USD","Period=FQ","BEST_FPERIOD_OVERRIDE=FQ","FILING_STATUS=MR","Sort=A","Dates=H","DateFormat=P","Fill=—","Direction=H","UseDPDF=Y")</f>
        <v>—</v>
      </c>
      <c r="H79" s="14" t="str">
        <f>_xll.BDH("SRPT US Equity","ARDR_EFFECTIVE_TAX_RATE_PCT","FQ1 2020","FQ1 2020","Currency=USD","Period=FQ","BEST_FPERIOD_OVERRIDE=FQ","FILING_STATUS=MR","Sort=A","Dates=H","DateFormat=P","Fill=—","Direction=H","UseDPDF=Y")</f>
        <v>—</v>
      </c>
      <c r="I79" s="14" t="str">
        <f>_xll.BDH("SRPT US Equity","ARDR_EFFECTIVE_TAX_RATE_PCT","FQ2 2020","FQ2 2020","Currency=USD","Period=FQ","BEST_FPERIOD_OVERRIDE=FQ","FILING_STATUS=MR","Sort=A","Dates=H","DateFormat=P","Fill=—","Direction=H","UseDPDF=Y")</f>
        <v>—</v>
      </c>
      <c r="J79" s="14" t="str">
        <f>_xll.BDH("SRPT US Equity","ARDR_EFFECTIVE_TAX_RATE_PCT","FQ3 2020","FQ3 2020","Currency=USD","Period=FQ","BEST_FPERIOD_OVERRIDE=FQ","FILING_STATUS=MR","Sort=A","Dates=H","DateFormat=P","Fill=—","Direction=H","UseDPDF=Y")</f>
        <v>—</v>
      </c>
      <c r="K79" s="14" t="str">
        <f>_xll.BDH("SRPT US Equity","ARDR_EFFECTIVE_TAX_RATE_PCT","FQ4 2020","FQ4 2020","Currency=USD","Period=FQ","BEST_FPERIOD_OVERRIDE=FQ","FILING_STATUS=MR","Sort=A","Dates=H","DateFormat=P","Fill=—","Direction=H","UseDPDF=Y")</f>
        <v>—</v>
      </c>
      <c r="L79" s="14" t="str">
        <f>_xll.BDH("SRPT US Equity","ARDR_EFFECTIVE_TAX_RATE_PCT","FQ1 2021","FQ1 2021","Currency=USD","Period=FQ","BEST_FPERIOD_OVERRIDE=FQ","FILING_STATUS=MR","Sort=A","Dates=H","DateFormat=P","Fill=—","Direction=H","UseDPDF=Y")</f>
        <v>—</v>
      </c>
      <c r="M79" s="14" t="str">
        <f>_xll.BDH("SRPT US Equity","ARDR_EFFECTIVE_TAX_RATE_PCT","FQ2 2021","FQ2 2021","Currency=USD","Period=FQ","BEST_FPERIOD_OVERRIDE=FQ","FILING_STATUS=MR","Sort=A","Dates=H","DateFormat=P","Fill=—","Direction=H","UseDPDF=Y")</f>
        <v>—</v>
      </c>
      <c r="N79" s="14" t="str">
        <f>_xll.BDH("SRPT US Equity","ARDR_EFFECTIVE_TAX_RATE_PCT","FQ3 2021","FQ3 2021","Currency=USD","Period=FQ","BEST_FPERIOD_OVERRIDE=FQ","FILING_STATUS=MR","Sort=A","Dates=H","DateFormat=P","Fill=—","Direction=H","UseDPDF=Y")</f>
        <v>—</v>
      </c>
      <c r="O79" s="14" t="str">
        <f>_xll.BDH("SRPT US Equity","ARDR_EFFECTIVE_TAX_RATE_PCT","FQ4 2021","FQ4 2021","Currency=USD","Period=FQ","BEST_FPERIOD_OVERRIDE=FQ","FILING_STATUS=MR","Sort=A","Dates=H","DateFormat=P","Fill=—","Direction=H","UseDPDF=Y")</f>
        <v>—</v>
      </c>
      <c r="P79" s="14" t="str">
        <f>_xll.BDH("SRPT US Equity","ARDR_EFFECTIVE_TAX_RATE_PCT","FQ1 2022","FQ1 2022","Currency=USD","Period=FQ","BEST_FPERIOD_OVERRIDE=FQ","FILING_STATUS=MR","Sort=A","Dates=H","DateFormat=P","Fill=—","Direction=H","UseDPDF=Y")</f>
        <v>—</v>
      </c>
      <c r="Q79" s="14" t="str">
        <f>_xll.BDH("SRPT US Equity","ARDR_EFFECTIVE_TAX_RATE_PCT","FQ2 2022","FQ2 2022","Currency=USD","Period=FQ","BEST_FPERIOD_OVERRIDE=FQ","FILING_STATUS=MR","Sort=A","Dates=H","DateFormat=P","Fill=—","Direction=H","UseDPDF=Y")</f>
        <v>—</v>
      </c>
      <c r="R79" s="14" t="str">
        <f>_xll.BDH("SRPT US Equity","ARDR_EFFECTIVE_TAX_RATE_PCT","FQ3 2022","FQ3 2022","Currency=USD","Period=FQ","BEST_FPERIOD_OVERRIDE=FQ","FILING_STATUS=MR","Sort=A","Dates=H","DateFormat=P","Fill=—","Direction=H","UseDPDF=Y")</f>
        <v>—</v>
      </c>
      <c r="S79" s="14" t="str">
        <f>_xll.BDH("SRPT US Equity","ARDR_EFFECTIVE_TAX_RATE_PCT","FQ4 2022","FQ4 2022","Currency=USD","Period=FQ","BEST_FPERIOD_OVERRIDE=FQ","FILING_STATUS=MR","Sort=A","Dates=H","DateFormat=P","Fill=—","Direction=H","UseDPDF=Y")</f>
        <v>—</v>
      </c>
      <c r="T79" s="14" t="str">
        <f>_xll.BDH("SRPT US Equity","ARDR_EFFECTIVE_TAX_RATE_PCT","FQ1 2023","FQ1 2023","Currency=USD","Period=FQ","BEST_FPERIOD_OVERRIDE=FQ","FILING_STATUS=MR","Sort=A","Dates=H","DateFormat=P","Fill=—","Direction=H","UseDPDF=Y")</f>
        <v>—</v>
      </c>
      <c r="U79" s="14" t="str">
        <f>_xll.BDH("SRPT US Equity","ARDR_EFFECTIVE_TAX_RATE_PCT","FQ2 2023","FQ2 2023","Currency=USD","Period=FQ","BEST_FPERIOD_OVERRIDE=FQ","FILING_STATUS=MR","Sort=A","Dates=H","DateFormat=P","Fill=—","Direction=H","UseDPDF=Y")</f>
        <v>—</v>
      </c>
      <c r="V79" s="14" t="str">
        <f>_xll.BDH("SRPT US Equity","ARDR_EFFECTIVE_TAX_RATE_PCT","FQ3 2023","FQ3 2023","Currency=USD","Period=FQ","BEST_FPERIOD_OVERRIDE=FQ","FILING_STATUS=MR","Sort=A","Dates=H","DateFormat=P","Fill=—","Direction=H","UseDPDF=Y")</f>
        <v>—</v>
      </c>
      <c r="W79" s="14" t="str">
        <f>_xll.BDH("SRPT US Equity","ARDR_EFFECTIVE_TAX_RATE_PCT","FQ4 2023","FQ4 2023","Currency=USD","Period=FQ","BEST_FPERIOD_OVERRIDE=FQ","FILING_STATUS=MR","Sort=A","Dates=H","DateFormat=P","Fill=—","Direction=H","UseDPDF=Y")</f>
        <v>—</v>
      </c>
      <c r="X79" s="14">
        <f>_xll.BDH("SRPT US Equity","ARDR_EFFECTIVE_TAX_RATE_PCT","FQ1 2024","FQ1 2024","Currency=USD","Period=FQ","BEST_FPERIOD_OVERRIDE=FQ","FILING_STATUS=MR","Sort=A","Dates=H","DateFormat=P","Fill=—","Direction=H","UseDPDF=Y")</f>
        <v>14.2</v>
      </c>
      <c r="Y79" s="14">
        <f>_xll.BDH("SRPT US Equity","ARDR_EFFECTIVE_TAX_RATE_PCT","FQ2 2024","FQ2 2024","Currency=USD","Period=FQ","BEST_FPERIOD_OVERRIDE=FQ","FILING_STATUS=MR","Sort=A","Dates=H","DateFormat=P","Fill=—","Direction=H","UseDPDF=Y")</f>
        <v>8.4</v>
      </c>
      <c r="Z79" s="14">
        <f>_xll.BDH("SRPT US Equity","ARDR_EFFECTIVE_TAX_RATE_PCT","FQ3 2024","FQ3 2024","Currency=USD","Period=FQ","BEST_FPERIOD_OVERRIDE=FQ","FILING_STATUS=MR","Sort=A","Dates=H","DateFormat=P","Fill=—","Direction=H","UseDPDF=Y")</f>
        <v>1.2</v>
      </c>
      <c r="AA79" s="14" t="str">
        <f>_xll.BDH("SRPT US Equity","ARDR_EFFECTIVE_TAX_RATE_PCT","FQ4 2024","FQ4 2024","Currency=USD","Period=FQ","BEST_FPERIOD_OVERRIDE=FQ","FILING_STATUS=MR","Sort=A","Dates=H","DateFormat=P","Fill=—","Direction=H","UseDPDF=Y")</f>
        <v>—</v>
      </c>
    </row>
    <row r="80" spans="1:27" x14ac:dyDescent="0.25">
      <c r="A80" s="10" t="s">
        <v>542</v>
      </c>
      <c r="B80" s="10" t="s">
        <v>543</v>
      </c>
      <c r="C80" s="14">
        <f>_xll.BDH("SRPT US Equity","ARDR_ADJUSTED_EPS","FQ4 2018","FQ4 2018","Currency=USD","Period=FQ","BEST_FPERIOD_OVERRIDE=FQ","FILING_STATUS=MR","Sort=A","Dates=H","DateFormat=P","Fill=—","Direction=H","UseDPDF=Y")</f>
        <v>-0.85</v>
      </c>
      <c r="D80" s="14">
        <f>_xll.BDH("SRPT US Equity","ARDR_ADJUSTED_EPS","FQ1 2019","FQ1 2019","Currency=USD","Period=FQ","BEST_FPERIOD_OVERRIDE=FQ","FILING_STATUS=MR","Sort=A","Dates=H","DateFormat=P","Fill=—","Direction=H","UseDPDF=Y")</f>
        <v>-0.75</v>
      </c>
      <c r="E80" s="14">
        <f>_xll.BDH("SRPT US Equity","ARDR_ADJUSTED_EPS","FQ2 2019","FQ2 2019","Currency=USD","Period=FQ","BEST_FPERIOD_OVERRIDE=FQ","FILING_STATUS=MR","Sort=A","Dates=H","DateFormat=P","Fill=—","Direction=H","UseDPDF=Y")</f>
        <v>-0.83</v>
      </c>
      <c r="F80" s="14">
        <f>_xll.BDH("SRPT US Equity","ARDR_ADJUSTED_EPS","FQ3 2019","FQ3 2019","Currency=USD","Period=FQ","BEST_FPERIOD_OVERRIDE=FQ","FILING_STATUS=MR","Sort=A","Dates=H","DateFormat=P","Fill=—","Direction=H","UseDPDF=Y")</f>
        <v>-1.1399999999999999</v>
      </c>
      <c r="G80" s="14">
        <f>_xll.BDH("SRPT US Equity","ARDR_ADJUSTED_EPS","FQ4 2019","FQ4 2019","Currency=USD","Period=FQ","BEST_FPERIOD_OVERRIDE=FQ","FILING_STATUS=MR","Sort=A","Dates=H","DateFormat=P","Fill=—","Direction=H","UseDPDF=Y")</f>
        <v>-1.57</v>
      </c>
      <c r="H80" s="14">
        <f>_xll.BDH("SRPT US Equity","ARDR_ADJUSTED_EPS","FQ1 2020","FQ1 2020","Currency=USD","Period=FQ","BEST_FPERIOD_OVERRIDE=FQ","FILING_STATUS=MR","Sort=A","Dates=H","DateFormat=P","Fill=—","Direction=H","UseDPDF=Y")</f>
        <v>-1.04</v>
      </c>
      <c r="I80" s="14">
        <f>_xll.BDH("SRPT US Equity","ARDR_ADJUSTED_EPS","FQ2 2020","FQ2 2020","Currency=USD","Period=FQ","BEST_FPERIOD_OVERRIDE=FQ","FILING_STATUS=MR","Sort=A","Dates=H","DateFormat=P","Fill=—","Direction=H","UseDPDF=Y")</f>
        <v>-1.51</v>
      </c>
      <c r="J80" s="14">
        <f>_xll.BDH("SRPT US Equity","ARDR_ADJUSTED_EPS","FQ3 2020","FQ3 2020","Currency=USD","Period=FQ","BEST_FPERIOD_OVERRIDE=FQ","FILING_STATUS=MR","Sort=A","Dates=H","DateFormat=P","Fill=—","Direction=H","UseDPDF=Y")</f>
        <v>-1.42</v>
      </c>
      <c r="K80" s="14">
        <f>_xll.BDH("SRPT US Equity","ARDR_ADJUSTED_EPS","FQ4 2020","FQ4 2020","Currency=USD","Period=FQ","BEST_FPERIOD_OVERRIDE=FQ","FILING_STATUS=MR","Sort=A","Dates=H","DateFormat=P","Fill=—","Direction=H","UseDPDF=Y")</f>
        <v>-1.84</v>
      </c>
      <c r="L80" s="14">
        <f>_xll.BDH("SRPT US Equity","ARDR_ADJUSTED_EPS","FQ1 2021","FQ1 2021","Currency=USD","Period=FQ","BEST_FPERIOD_OVERRIDE=FQ","FILING_STATUS=MR","Sort=A","Dates=H","DateFormat=P","Fill=—","Direction=H","UseDPDF=Y")</f>
        <v>-1.54</v>
      </c>
      <c r="M80" s="14">
        <f>_xll.BDH("SRPT US Equity","ARDR_ADJUSTED_EPS","FQ2 2021","FQ2 2021","Currency=USD","Period=FQ","BEST_FPERIOD_OVERRIDE=FQ","FILING_STATUS=MR","Sort=A","Dates=H","DateFormat=P","Fill=—","Direction=H","UseDPDF=Y")</f>
        <v>-1.52</v>
      </c>
      <c r="N80" s="14">
        <f>_xll.BDH("SRPT US Equity","ARDR_ADJUSTED_EPS","FQ3 2021","FQ3 2021","Currency=USD","Period=FQ","BEST_FPERIOD_OVERRIDE=FQ","FILING_STATUS=MR","Sort=A","Dates=H","DateFormat=P","Fill=—","Direction=H","UseDPDF=Y")</f>
        <v>-0.19</v>
      </c>
      <c r="O80" s="14">
        <f>_xll.BDH("SRPT US Equity","ARDR_ADJUSTED_EPS","FQ4 2021","FQ4 2021","Currency=USD","Period=FQ","BEST_FPERIOD_OVERRIDE=FQ","FILING_STATUS=MR","Sort=A","Dates=H","DateFormat=P","Fill=—","Direction=H","UseDPDF=Y")</f>
        <v>-0.77</v>
      </c>
      <c r="P80" s="14">
        <f>_xll.BDH("SRPT US Equity","ARDR_ADJUSTED_EPS","FQ1 2022","FQ1 2022","Currency=USD","Period=FQ","BEST_FPERIOD_OVERRIDE=FQ","FILING_STATUS=MR","Sort=A","Dates=H","DateFormat=P","Fill=—","Direction=H","UseDPDF=Y")</f>
        <v>-0.56000000000000005</v>
      </c>
      <c r="Q80" s="14">
        <f>_xll.BDH("SRPT US Equity","ARDR_ADJUSTED_EPS","FQ2 2022","FQ2 2022","Currency=USD","Period=FQ","BEST_FPERIOD_OVERRIDE=FQ","FILING_STATUS=MR","Sort=A","Dates=H","DateFormat=P","Fill=—","Direction=H","UseDPDF=Y")</f>
        <v>-1.18</v>
      </c>
      <c r="R80" s="14">
        <f>_xll.BDH("SRPT US Equity","ARDR_ADJUSTED_EPS","FQ3 2022","FQ3 2022","Currency=USD","Period=FQ","BEST_FPERIOD_OVERRIDE=FQ","FILING_STATUS=MR","Sort=A","Dates=H","DateFormat=P","Fill=—","Direction=H","UseDPDF=Y")</f>
        <v>-0.8</v>
      </c>
      <c r="S80" s="14">
        <f>_xll.BDH("SRPT US Equity","ARDR_ADJUSTED_EPS","FQ4 2022","FQ4 2022","Currency=USD","Period=FQ","BEST_FPERIOD_OVERRIDE=FQ","FILING_STATUS=MR","Sort=A","Dates=H","DateFormat=P","Fill=—","Direction=H","UseDPDF=Y")</f>
        <v>-0.53</v>
      </c>
      <c r="T80" s="14">
        <f>_xll.BDH("SRPT US Equity","ARDR_ADJUSTED_EPS","FQ1 2023","FQ1 2023","Currency=USD","Period=FQ","BEST_FPERIOD_OVERRIDE=FQ","FILING_STATUS=MR","Sort=A","Dates=H","DateFormat=P","Fill=—","Direction=H","UseDPDF=Y")</f>
        <v>-0.97</v>
      </c>
      <c r="U80" s="14">
        <f>_xll.BDH("SRPT US Equity","ARDR_ADJUSTED_EPS","FQ2 2023","FQ2 2023","Currency=USD","Period=FQ","BEST_FPERIOD_OVERRIDE=FQ","FILING_STATUS=MR","Sort=A","Dates=H","DateFormat=P","Fill=—","Direction=H","UseDPDF=Y")</f>
        <v>-0.85</v>
      </c>
      <c r="V80" s="14">
        <f>_xll.BDH("SRPT US Equity","ARDR_ADJUSTED_EPS","FQ3 2023","FQ3 2023","Currency=USD","Period=FQ","BEST_FPERIOD_OVERRIDE=FQ","FILING_STATUS=MR","Sort=A","Dates=H","DateFormat=P","Fill=—","Direction=H","UseDPDF=Y")</f>
        <v>0.37</v>
      </c>
      <c r="W80" s="14">
        <f>_xll.BDH("SRPT US Equity","ARDR_ADJUSTED_EPS","FQ4 2023","FQ4 2023","Currency=USD","Period=FQ","BEST_FPERIOD_OVERRIDE=FQ","FILING_STATUS=MR","Sort=A","Dates=H","DateFormat=P","Fill=—","Direction=H","UseDPDF=Y")</f>
        <v>0.82</v>
      </c>
      <c r="X80" s="14">
        <f>_xll.BDH("SRPT US Equity","ARDR_ADJUSTED_EPS","FQ1 2024","FQ1 2024","Currency=USD","Period=FQ","BEST_FPERIOD_OVERRIDE=FQ","FILING_STATUS=MR","Sort=A","Dates=H","DateFormat=P","Fill=—","Direction=H","UseDPDF=Y")</f>
        <v>0.73</v>
      </c>
      <c r="Y80" s="14">
        <f>_xll.BDH("SRPT US Equity","ARDR_ADJUSTED_EPS","FQ2 2024","FQ2 2024","Currency=USD","Period=FQ","BEST_FPERIOD_OVERRIDE=FQ","FILING_STATUS=MR","Sort=A","Dates=H","DateFormat=P","Fill=—","Direction=H","UseDPDF=Y")</f>
        <v>0.44</v>
      </c>
      <c r="Z80" s="14">
        <f>_xll.BDH("SRPT US Equity","ARDR_ADJUSTED_EPS","FQ3 2024","FQ3 2024","Currency=USD","Period=FQ","BEST_FPERIOD_OVERRIDE=FQ","FILING_STATUS=MR","Sort=A","Dates=H","DateFormat=P","Fill=—","Direction=H","UseDPDF=Y")</f>
        <v>0.62</v>
      </c>
      <c r="AA80" s="14">
        <f>_xll.BDH("SRPT US Equity","ARDR_ADJUSTED_EPS","FQ4 2024","FQ4 2024","Currency=USD","Period=FQ","BEST_FPERIOD_OVERRIDE=FQ","FILING_STATUS=MR","Sort=A","Dates=H","DateFormat=P","Fill=—","Direction=H","UseDPDF=Y")</f>
        <v>1.9</v>
      </c>
    </row>
    <row r="81" spans="1:27" x14ac:dyDescent="0.25">
      <c r="A81" s="10" t="s">
        <v>544</v>
      </c>
      <c r="B81" s="10" t="s">
        <v>545</v>
      </c>
      <c r="C81" s="13" t="str">
        <f>_xll.BDH("SRPT US Equity","ARDR_UNREAL_GL_FROM_SECS_NON_OP","FQ4 2018","FQ4 2018","Currency=USD","Period=FQ","BEST_FPERIOD_OVERRIDE=FQ","FILING_STATUS=MR","SCALING_FORMAT=MLN","Sort=A","Dates=H","DateFormat=P","Fill=—","Direction=H","UseDPDF=Y")</f>
        <v>—</v>
      </c>
      <c r="D81" s="13" t="str">
        <f>_xll.BDH("SRPT US Equity","ARDR_UNREAL_GL_FROM_SECS_NON_OP","FQ1 2019","FQ1 2019","Currency=USD","Period=FQ","BEST_FPERIOD_OVERRIDE=FQ","FILING_STATUS=MR","SCALING_FORMAT=MLN","Sort=A","Dates=H","DateFormat=P","Fill=—","Direction=H","UseDPDF=Y")</f>
        <v>—</v>
      </c>
      <c r="E81" s="13" t="str">
        <f>_xll.BDH("SRPT US Equity","ARDR_UNREAL_GL_FROM_SECS_NON_OP","FQ2 2019","FQ2 2019","Currency=USD","Period=FQ","BEST_FPERIOD_OVERRIDE=FQ","FILING_STATUS=MR","SCALING_FORMAT=MLN","Sort=A","Dates=H","DateFormat=P","Fill=—","Direction=H","UseDPDF=Y")</f>
        <v>—</v>
      </c>
      <c r="F81" s="13" t="str">
        <f>_xll.BDH("SRPT US Equity","ARDR_UNREAL_GL_FROM_SECS_NON_OP","FQ3 2019","FQ3 2019","Currency=USD","Period=FQ","BEST_FPERIOD_OVERRIDE=FQ","FILING_STATUS=MR","SCALING_FORMAT=MLN","Sort=A","Dates=H","DateFormat=P","Fill=—","Direction=H","UseDPDF=Y")</f>
        <v>—</v>
      </c>
      <c r="G81" s="13" t="str">
        <f>_xll.BDH("SRPT US Equity","ARDR_UNREAL_GL_FROM_SECS_NON_OP","FQ4 2019","FQ4 2019","Currency=USD","Period=FQ","BEST_FPERIOD_OVERRIDE=FQ","FILING_STATUS=MR","SCALING_FORMAT=MLN","Sort=A","Dates=H","DateFormat=P","Fill=—","Direction=H","UseDPDF=Y")</f>
        <v>—</v>
      </c>
      <c r="H81" s="13" t="str">
        <f>_xll.BDH("SRPT US Equity","ARDR_UNREAL_GL_FROM_SECS_NON_OP","FQ1 2020","FQ1 2020","Currency=USD","Period=FQ","BEST_FPERIOD_OVERRIDE=FQ","FILING_STATUS=MR","SCALING_FORMAT=MLN","Sort=A","Dates=H","DateFormat=P","Fill=—","Direction=H","UseDPDF=Y")</f>
        <v>—</v>
      </c>
      <c r="I81" s="13" t="str">
        <f>_xll.BDH("SRPT US Equity","ARDR_UNREAL_GL_FROM_SECS_NON_OP","FQ2 2020","FQ2 2020","Currency=USD","Period=FQ","BEST_FPERIOD_OVERRIDE=FQ","FILING_STATUS=MR","SCALING_FORMAT=MLN","Sort=A","Dates=H","DateFormat=P","Fill=—","Direction=H","UseDPDF=Y")</f>
        <v>—</v>
      </c>
      <c r="J81" s="13" t="str">
        <f>_xll.BDH("SRPT US Equity","ARDR_UNREAL_GL_FROM_SECS_NON_OP","FQ3 2020","FQ3 2020","Currency=USD","Period=FQ","BEST_FPERIOD_OVERRIDE=FQ","FILING_STATUS=MR","SCALING_FORMAT=MLN","Sort=A","Dates=H","DateFormat=P","Fill=—","Direction=H","UseDPDF=Y")</f>
        <v>—</v>
      </c>
      <c r="K81" s="13" t="str">
        <f>_xll.BDH("SRPT US Equity","ARDR_UNREAL_GL_FROM_SECS_NON_OP","FQ4 2020","FQ4 2020","Currency=USD","Period=FQ","BEST_FPERIOD_OVERRIDE=FQ","FILING_STATUS=MR","SCALING_FORMAT=MLN","Sort=A","Dates=H","DateFormat=P","Fill=—","Direction=H","UseDPDF=Y")</f>
        <v>—</v>
      </c>
      <c r="L81" s="13" t="str">
        <f>_xll.BDH("SRPT US Equity","ARDR_UNREAL_GL_FROM_SECS_NON_OP","FQ1 2021","FQ1 2021","Currency=USD","Period=FQ","BEST_FPERIOD_OVERRIDE=FQ","FILING_STATUS=MR","SCALING_FORMAT=MLN","Sort=A","Dates=H","DateFormat=P","Fill=—","Direction=H","UseDPDF=Y")</f>
        <v>—</v>
      </c>
      <c r="M81" s="13" t="str">
        <f>_xll.BDH("SRPT US Equity","ARDR_UNREAL_GL_FROM_SECS_NON_OP","FQ2 2021","FQ2 2021","Currency=USD","Period=FQ","BEST_FPERIOD_OVERRIDE=FQ","FILING_STATUS=MR","SCALING_FORMAT=MLN","Sort=A","Dates=H","DateFormat=P","Fill=—","Direction=H","UseDPDF=Y")</f>
        <v>—</v>
      </c>
      <c r="N81" s="13" t="str">
        <f>_xll.BDH("SRPT US Equity","ARDR_UNREAL_GL_FROM_SECS_NON_OP","FQ3 2021","FQ3 2021","Currency=USD","Period=FQ","BEST_FPERIOD_OVERRIDE=FQ","FILING_STATUS=MR","SCALING_FORMAT=MLN","Sort=A","Dates=H","DateFormat=P","Fill=—","Direction=H","UseDPDF=Y")</f>
        <v>—</v>
      </c>
      <c r="O81" s="13" t="str">
        <f>_xll.BDH("SRPT US Equity","ARDR_UNREAL_GL_FROM_SECS_NON_OP","FQ4 2021","FQ4 2021","Currency=USD","Period=FQ","BEST_FPERIOD_OVERRIDE=FQ","FILING_STATUS=MR","SCALING_FORMAT=MLN","Sort=A","Dates=H","DateFormat=P","Fill=—","Direction=H","UseDPDF=Y")</f>
        <v>—</v>
      </c>
      <c r="P81" s="13" t="str">
        <f>_xll.BDH("SRPT US Equity","ARDR_UNREAL_GL_FROM_SECS_NON_OP","FQ1 2022","FQ1 2022","Currency=USD","Period=FQ","BEST_FPERIOD_OVERRIDE=FQ","FILING_STATUS=MR","SCALING_FORMAT=MLN","Sort=A","Dates=H","DateFormat=P","Fill=—","Direction=H","UseDPDF=Y")</f>
        <v>—</v>
      </c>
      <c r="Q81" s="13" t="str">
        <f>_xll.BDH("SRPT US Equity","ARDR_UNREAL_GL_FROM_SECS_NON_OP","FQ2 2022","FQ2 2022","Currency=USD","Period=FQ","BEST_FPERIOD_OVERRIDE=FQ","FILING_STATUS=MR","SCALING_FORMAT=MLN","Sort=A","Dates=H","DateFormat=P","Fill=—","Direction=H","UseDPDF=Y")</f>
        <v>—</v>
      </c>
      <c r="R81" s="13" t="str">
        <f>_xll.BDH("SRPT US Equity","ARDR_UNREAL_GL_FROM_SECS_NON_OP","FQ3 2022","FQ3 2022","Currency=USD","Period=FQ","BEST_FPERIOD_OVERRIDE=FQ","FILING_STATUS=MR","SCALING_FORMAT=MLN","Sort=A","Dates=H","DateFormat=P","Fill=—","Direction=H","UseDPDF=Y")</f>
        <v>—</v>
      </c>
      <c r="S81" s="13">
        <f>_xll.BDH("SRPT US Equity","ARDR_UNREAL_GL_FROM_SECS_NON_OP","FQ4 2022","FQ4 2022","Currency=USD","Period=FQ","BEST_FPERIOD_OVERRIDE=FQ","FILING_STATUS=MR","SCALING_FORMAT=MLN","Sort=A","Dates=H","DateFormat=P","Fill=—","Direction=H","UseDPDF=Y")</f>
        <v>2.5750000000000002</v>
      </c>
      <c r="T81" s="13" t="str">
        <f>_xll.BDH("SRPT US Equity","ARDR_UNREAL_GL_FROM_SECS_NON_OP","FQ1 2023","FQ1 2023","Currency=USD","Period=FQ","BEST_FPERIOD_OVERRIDE=FQ","FILING_STATUS=MR","SCALING_FORMAT=MLN","Sort=A","Dates=H","DateFormat=P","Fill=—","Direction=H","UseDPDF=Y")</f>
        <v>—</v>
      </c>
      <c r="U81" s="13" t="str">
        <f>_xll.BDH("SRPT US Equity","ARDR_UNREAL_GL_FROM_SECS_NON_OP","FQ2 2023","FQ2 2023","Currency=USD","Period=FQ","BEST_FPERIOD_OVERRIDE=FQ","FILING_STATUS=MR","SCALING_FORMAT=MLN","Sort=A","Dates=H","DateFormat=P","Fill=—","Direction=H","UseDPDF=Y")</f>
        <v>—</v>
      </c>
      <c r="V81" s="13" t="str">
        <f>_xll.BDH("SRPT US Equity","ARDR_UNREAL_GL_FROM_SECS_NON_OP","FQ3 2023","FQ3 2023","Currency=USD","Period=FQ","BEST_FPERIOD_OVERRIDE=FQ","FILING_STATUS=MR","SCALING_FORMAT=MLN","Sort=A","Dates=H","DateFormat=P","Fill=—","Direction=H","UseDPDF=Y")</f>
        <v>—</v>
      </c>
      <c r="W81" s="13" t="str">
        <f>_xll.BDH("SRPT US Equity","ARDR_UNREAL_GL_FROM_SECS_NON_OP","FQ4 2023","FQ4 2023","Currency=USD","Period=FQ","BEST_FPERIOD_OVERRIDE=FQ","FILING_STATUS=MR","SCALING_FORMAT=MLN","Sort=A","Dates=H","DateFormat=P","Fill=—","Direction=H","UseDPDF=Y")</f>
        <v>—</v>
      </c>
      <c r="X81" s="13" t="str">
        <f>_xll.BDH("SRPT US Equity","ARDR_UNREAL_GL_FROM_SECS_NON_OP","FQ1 2024","FQ1 2024","Currency=USD","Period=FQ","BEST_FPERIOD_OVERRIDE=FQ","FILING_STATUS=MR","SCALING_FORMAT=MLN","Sort=A","Dates=H","DateFormat=P","Fill=—","Direction=H","UseDPDF=Y")</f>
        <v>—</v>
      </c>
      <c r="Y81" s="13" t="str">
        <f>_xll.BDH("SRPT US Equity","ARDR_UNREAL_GL_FROM_SECS_NON_OP","FQ2 2024","FQ2 2024","Currency=USD","Period=FQ","BEST_FPERIOD_OVERRIDE=FQ","FILING_STATUS=MR","SCALING_FORMAT=MLN","Sort=A","Dates=H","DateFormat=P","Fill=—","Direction=H","UseDPDF=Y")</f>
        <v>—</v>
      </c>
      <c r="Z81" s="13" t="str">
        <f>_xll.BDH("SRPT US Equity","ARDR_UNREAL_GL_FROM_SECS_NON_OP","FQ3 2024","FQ3 2024","Currency=USD","Period=FQ","BEST_FPERIOD_OVERRIDE=FQ","FILING_STATUS=MR","SCALING_FORMAT=MLN","Sort=A","Dates=H","DateFormat=P","Fill=—","Direction=H","UseDPDF=Y")</f>
        <v>—</v>
      </c>
      <c r="AA81" s="13" t="str">
        <f>_xll.BDH("SRPT US Equity","ARDR_UNREAL_GL_FROM_SECS_NON_OP","FQ4 2024","FQ4 2024","Currency=USD","Period=FQ","BEST_FPERIOD_OVERRIDE=FQ","FILING_STATUS=MR","SCALING_FORMAT=MLN","Sort=A","Dates=H","DateFormat=P","Fill=—","Direction=H","UseDPDF=Y")</f>
        <v>—</v>
      </c>
    </row>
    <row r="82" spans="1:27" x14ac:dyDescent="0.25">
      <c r="A82" s="10" t="s">
        <v>546</v>
      </c>
      <c r="B82" s="10" t="s">
        <v>547</v>
      </c>
      <c r="C82" s="13" t="str">
        <f>_xll.BDH("SRPT US Equity","ARDR_GL_DERIV_HEDGING_ACTIVITIES","FQ4 2018","FQ4 2018","Currency=USD","Period=FQ","BEST_FPERIOD_OVERRIDE=FQ","FILING_STATUS=MR","SCALING_FORMAT=MLN","Sort=A","Dates=H","DateFormat=P","Fill=—","Direction=H","UseDPDF=Y")</f>
        <v>—</v>
      </c>
      <c r="D82" s="13" t="str">
        <f>_xll.BDH("SRPT US Equity","ARDR_GL_DERIV_HEDGING_ACTIVITIES","FQ1 2019","FQ1 2019","Currency=USD","Period=FQ","BEST_FPERIOD_OVERRIDE=FQ","FILING_STATUS=MR","SCALING_FORMAT=MLN","Sort=A","Dates=H","DateFormat=P","Fill=—","Direction=H","UseDPDF=Y")</f>
        <v>—</v>
      </c>
      <c r="E82" s="13" t="str">
        <f>_xll.BDH("SRPT US Equity","ARDR_GL_DERIV_HEDGING_ACTIVITIES","FQ2 2019","FQ2 2019","Currency=USD","Period=FQ","BEST_FPERIOD_OVERRIDE=FQ","FILING_STATUS=MR","SCALING_FORMAT=MLN","Sort=A","Dates=H","DateFormat=P","Fill=—","Direction=H","UseDPDF=Y")</f>
        <v>—</v>
      </c>
      <c r="F82" s="13" t="str">
        <f>_xll.BDH("SRPT US Equity","ARDR_GL_DERIV_HEDGING_ACTIVITIES","FQ3 2019","FQ3 2019","Currency=USD","Period=FQ","BEST_FPERIOD_OVERRIDE=FQ","FILING_STATUS=MR","SCALING_FORMAT=MLN","Sort=A","Dates=H","DateFormat=P","Fill=—","Direction=H","UseDPDF=Y")</f>
        <v>—</v>
      </c>
      <c r="G82" s="13" t="str">
        <f>_xll.BDH("SRPT US Equity","ARDR_GL_DERIV_HEDGING_ACTIVITIES","FQ4 2019","FQ4 2019","Currency=USD","Period=FQ","BEST_FPERIOD_OVERRIDE=FQ","FILING_STATUS=MR","SCALING_FORMAT=MLN","Sort=A","Dates=H","DateFormat=P","Fill=—","Direction=H","UseDPDF=Y")</f>
        <v>—</v>
      </c>
      <c r="H82" s="13" t="str">
        <f>_xll.BDH("SRPT US Equity","ARDR_GL_DERIV_HEDGING_ACTIVITIES","FQ1 2020","FQ1 2020","Currency=USD","Period=FQ","BEST_FPERIOD_OVERRIDE=FQ","FILING_STATUS=MR","SCALING_FORMAT=MLN","Sort=A","Dates=H","DateFormat=P","Fill=—","Direction=H","UseDPDF=Y")</f>
        <v>—</v>
      </c>
      <c r="I82" s="13" t="str">
        <f>_xll.BDH("SRPT US Equity","ARDR_GL_DERIV_HEDGING_ACTIVITIES","FQ2 2020","FQ2 2020","Currency=USD","Period=FQ","BEST_FPERIOD_OVERRIDE=FQ","FILING_STATUS=MR","SCALING_FORMAT=MLN","Sort=A","Dates=H","DateFormat=P","Fill=—","Direction=H","UseDPDF=Y")</f>
        <v>—</v>
      </c>
      <c r="J82" s="13" t="str">
        <f>_xll.BDH("SRPT US Equity","ARDR_GL_DERIV_HEDGING_ACTIVITIES","FQ3 2020","FQ3 2020","Currency=USD","Period=FQ","BEST_FPERIOD_OVERRIDE=FQ","FILING_STATUS=MR","SCALING_FORMAT=MLN","Sort=A","Dates=H","DateFormat=P","Fill=—","Direction=H","UseDPDF=Y")</f>
        <v>—</v>
      </c>
      <c r="K82" s="13" t="str">
        <f>_xll.BDH("SRPT US Equity","ARDR_GL_DERIV_HEDGING_ACTIVITIES","FQ4 2020","FQ4 2020","Currency=USD","Period=FQ","BEST_FPERIOD_OVERRIDE=FQ","FILING_STATUS=MR","SCALING_FORMAT=MLN","Sort=A","Dates=H","DateFormat=P","Fill=—","Direction=H","UseDPDF=Y")</f>
        <v>—</v>
      </c>
      <c r="L82" s="13" t="str">
        <f>_xll.BDH("SRPT US Equity","ARDR_GL_DERIV_HEDGING_ACTIVITIES","FQ1 2021","FQ1 2021","Currency=USD","Period=FQ","BEST_FPERIOD_OVERRIDE=FQ","FILING_STATUS=MR","SCALING_FORMAT=MLN","Sort=A","Dates=H","DateFormat=P","Fill=—","Direction=H","UseDPDF=Y")</f>
        <v>—</v>
      </c>
      <c r="M82" s="13" t="str">
        <f>_xll.BDH("SRPT US Equity","ARDR_GL_DERIV_HEDGING_ACTIVITIES","FQ2 2021","FQ2 2021","Currency=USD","Period=FQ","BEST_FPERIOD_OVERRIDE=FQ","FILING_STATUS=MR","SCALING_FORMAT=MLN","Sort=A","Dates=H","DateFormat=P","Fill=—","Direction=H","UseDPDF=Y")</f>
        <v>—</v>
      </c>
      <c r="N82" s="13" t="str">
        <f>_xll.BDH("SRPT US Equity","ARDR_GL_DERIV_HEDGING_ACTIVITIES","FQ3 2021","FQ3 2021","Currency=USD","Period=FQ","BEST_FPERIOD_OVERRIDE=FQ","FILING_STATUS=MR","SCALING_FORMAT=MLN","Sort=A","Dates=H","DateFormat=P","Fill=—","Direction=H","UseDPDF=Y")</f>
        <v>—</v>
      </c>
      <c r="O82" s="13" t="str">
        <f>_xll.BDH("SRPT US Equity","ARDR_GL_DERIV_HEDGING_ACTIVITIES","FQ4 2021","FQ4 2021","Currency=USD","Period=FQ","BEST_FPERIOD_OVERRIDE=FQ","FILING_STATUS=MR","SCALING_FORMAT=MLN","Sort=A","Dates=H","DateFormat=P","Fill=—","Direction=H","UseDPDF=Y")</f>
        <v>—</v>
      </c>
      <c r="P82" s="13" t="str">
        <f>_xll.BDH("SRPT US Equity","ARDR_GL_DERIV_HEDGING_ACTIVITIES","FQ1 2022","FQ1 2022","Currency=USD","Period=FQ","BEST_FPERIOD_OVERRIDE=FQ","FILING_STATUS=MR","SCALING_FORMAT=MLN","Sort=A","Dates=H","DateFormat=P","Fill=—","Direction=H","UseDPDF=Y")</f>
        <v>—</v>
      </c>
      <c r="Q82" s="13" t="str">
        <f>_xll.BDH("SRPT US Equity","ARDR_GL_DERIV_HEDGING_ACTIVITIES","FQ2 2022","FQ2 2022","Currency=USD","Period=FQ","BEST_FPERIOD_OVERRIDE=FQ","FILING_STATUS=MR","SCALING_FORMAT=MLN","Sort=A","Dates=H","DateFormat=P","Fill=—","Direction=H","UseDPDF=Y")</f>
        <v>—</v>
      </c>
      <c r="R82" s="13" t="str">
        <f>_xll.BDH("SRPT US Equity","ARDR_GL_DERIV_HEDGING_ACTIVITIES","FQ3 2022","FQ3 2022","Currency=USD","Period=FQ","BEST_FPERIOD_OVERRIDE=FQ","FILING_STATUS=MR","SCALING_FORMAT=MLN","Sort=A","Dates=H","DateFormat=P","Fill=—","Direction=H","UseDPDF=Y")</f>
        <v>—</v>
      </c>
      <c r="S82" s="13" t="str">
        <f>_xll.BDH("SRPT US Equity","ARDR_GL_DERIV_HEDGING_ACTIVITIES","FQ4 2022","FQ4 2022","Currency=USD","Period=FQ","BEST_FPERIOD_OVERRIDE=FQ","FILING_STATUS=MR","SCALING_FORMAT=MLN","Sort=A","Dates=H","DateFormat=P","Fill=—","Direction=H","UseDPDF=Y")</f>
        <v>—</v>
      </c>
      <c r="T82" s="13" t="str">
        <f>_xll.BDH("SRPT US Equity","ARDR_GL_DERIV_HEDGING_ACTIVITIES","FQ1 2023","FQ1 2023","Currency=USD","Period=FQ","BEST_FPERIOD_OVERRIDE=FQ","FILING_STATUS=MR","SCALING_FORMAT=MLN","Sort=A","Dates=H","DateFormat=P","Fill=—","Direction=H","UseDPDF=Y")</f>
        <v>—</v>
      </c>
      <c r="U82" s="13" t="str">
        <f>_xll.BDH("SRPT US Equity","ARDR_GL_DERIV_HEDGING_ACTIVITIES","FQ2 2023","FQ2 2023","Currency=USD","Period=FQ","BEST_FPERIOD_OVERRIDE=FQ","FILING_STATUS=MR","SCALING_FORMAT=MLN","Sort=A","Dates=H","DateFormat=P","Fill=—","Direction=H","UseDPDF=Y")</f>
        <v>—</v>
      </c>
      <c r="V82" s="13" t="str">
        <f>_xll.BDH("SRPT US Equity","ARDR_GL_DERIV_HEDGING_ACTIVITIES","FQ3 2023","FQ3 2023","Currency=USD","Period=FQ","BEST_FPERIOD_OVERRIDE=FQ","FILING_STATUS=MR","SCALING_FORMAT=MLN","Sort=A","Dates=H","DateFormat=P","Fill=—","Direction=H","UseDPDF=Y")</f>
        <v>—</v>
      </c>
      <c r="W82" s="13" t="str">
        <f>_xll.BDH("SRPT US Equity","ARDR_GL_DERIV_HEDGING_ACTIVITIES","FQ4 2023","FQ4 2023","Currency=USD","Period=FQ","BEST_FPERIOD_OVERRIDE=FQ","FILING_STATUS=MR","SCALING_FORMAT=MLN","Sort=A","Dates=H","DateFormat=P","Fill=—","Direction=H","UseDPDF=Y")</f>
        <v>—</v>
      </c>
      <c r="X82" s="13" t="str">
        <f>_xll.BDH("SRPT US Equity","ARDR_GL_DERIV_HEDGING_ACTIVITIES","FQ1 2024","FQ1 2024","Currency=USD","Period=FQ","BEST_FPERIOD_OVERRIDE=FQ","FILING_STATUS=MR","SCALING_FORMAT=MLN","Sort=A","Dates=H","DateFormat=P","Fill=—","Direction=H","UseDPDF=Y")</f>
        <v>—</v>
      </c>
      <c r="Y82" s="13" t="str">
        <f>_xll.BDH("SRPT US Equity","ARDR_GL_DERIV_HEDGING_ACTIVITIES","FQ2 2024","FQ2 2024","Currency=USD","Period=FQ","BEST_FPERIOD_OVERRIDE=FQ","FILING_STATUS=MR","SCALING_FORMAT=MLN","Sort=A","Dates=H","DateFormat=P","Fill=—","Direction=H","UseDPDF=Y")</f>
        <v>—</v>
      </c>
      <c r="Z82" s="13">
        <f>_xll.BDH("SRPT US Equity","ARDR_GL_DERIV_HEDGING_ACTIVITIES","FQ3 2024","FQ3 2024","Currency=USD","Period=FQ","BEST_FPERIOD_OVERRIDE=FQ","FILING_STATUS=MR","SCALING_FORMAT=MLN","Sort=A","Dates=H","DateFormat=P","Fill=—","Direction=H","UseDPDF=Y")</f>
        <v>-1.5349999999999999</v>
      </c>
      <c r="AA82" s="13">
        <f>_xll.BDH("SRPT US Equity","ARDR_GL_DERIV_HEDGING_ACTIVITIES","FQ4 2024","FQ4 2024","Currency=USD","Period=FQ","BEST_FPERIOD_OVERRIDE=FQ","FILING_STATUS=MR","SCALING_FORMAT=MLN","Sort=A","Dates=H","DateFormat=P","Fill=—","Direction=H","UseDPDF=Y")</f>
        <v>-0.72699999999999998</v>
      </c>
    </row>
    <row r="83" spans="1:27" x14ac:dyDescent="0.25">
      <c r="A83" s="10" t="s">
        <v>548</v>
      </c>
      <c r="B83" s="10" t="s">
        <v>549</v>
      </c>
      <c r="C83" s="13" t="str">
        <f>_xll.BDH("SRPT US Equity","ARDR_IN_PROCESS_R&amp;D_AFTER_TAX","FQ4 2018","FQ4 2018","Currency=USD","Period=FQ","BEST_FPERIOD_OVERRIDE=FQ","FILING_STATUS=MR","SCALING_FORMAT=MLN","Sort=A","Dates=H","DateFormat=P","Fill=—","Direction=H","UseDPDF=Y")</f>
        <v>—</v>
      </c>
      <c r="D83" s="13" t="str">
        <f>_xll.BDH("SRPT US Equity","ARDR_IN_PROCESS_R&amp;D_AFTER_TAX","FQ1 2019","FQ1 2019","Currency=USD","Period=FQ","BEST_FPERIOD_OVERRIDE=FQ","FILING_STATUS=MR","SCALING_FORMAT=MLN","Sort=A","Dates=H","DateFormat=P","Fill=—","Direction=H","UseDPDF=Y")</f>
        <v>—</v>
      </c>
      <c r="E83" s="13">
        <f>_xll.BDH("SRPT US Equity","ARDR_IN_PROCESS_R&amp;D_AFTER_TAX","FQ2 2019","FQ2 2019","Currency=USD","Period=FQ","BEST_FPERIOD_OVERRIDE=FQ","FILING_STATUS=MR","SCALING_FORMAT=MLN","Sort=A","Dates=H","DateFormat=P","Fill=—","Direction=H","UseDPDF=Y")</f>
        <v>173.24</v>
      </c>
      <c r="F83" s="13" t="str">
        <f>_xll.BDH("SRPT US Equity","ARDR_IN_PROCESS_R&amp;D_AFTER_TAX","FQ3 2019","FQ3 2019","Currency=USD","Period=FQ","BEST_FPERIOD_OVERRIDE=FQ","FILING_STATUS=MR","SCALING_FORMAT=MLN","Sort=A","Dates=H","DateFormat=P","Fill=—","Direction=H","UseDPDF=Y")</f>
        <v>—</v>
      </c>
      <c r="G83" s="13" t="str">
        <f>_xll.BDH("SRPT US Equity","ARDR_IN_PROCESS_R&amp;D_AFTER_TAX","FQ4 2019","FQ4 2019","Currency=USD","Period=FQ","BEST_FPERIOD_OVERRIDE=FQ","FILING_STATUS=MR","SCALING_FORMAT=MLN","Sort=A","Dates=H","DateFormat=P","Fill=—","Direction=H","UseDPDF=Y")</f>
        <v>—</v>
      </c>
      <c r="H83" s="13" t="str">
        <f>_xll.BDH("SRPT US Equity","ARDR_IN_PROCESS_R&amp;D_AFTER_TAX","FQ1 2020","FQ1 2020","Currency=USD","Period=FQ","BEST_FPERIOD_OVERRIDE=FQ","FILING_STATUS=MR","SCALING_FORMAT=MLN","Sort=A","Dates=H","DateFormat=P","Fill=—","Direction=H","UseDPDF=Y")</f>
        <v>—</v>
      </c>
      <c r="I83" s="13" t="str">
        <f>_xll.BDH("SRPT US Equity","ARDR_IN_PROCESS_R&amp;D_AFTER_TAX","FQ2 2020","FQ2 2020","Currency=USD","Period=FQ","BEST_FPERIOD_OVERRIDE=FQ","FILING_STATUS=MR","SCALING_FORMAT=MLN","Sort=A","Dates=H","DateFormat=P","Fill=—","Direction=H","UseDPDF=Y")</f>
        <v>—</v>
      </c>
      <c r="J83" s="13" t="str">
        <f>_xll.BDH("SRPT US Equity","ARDR_IN_PROCESS_R&amp;D_AFTER_TAX","FQ3 2020","FQ3 2020","Currency=USD","Period=FQ","BEST_FPERIOD_OVERRIDE=FQ","FILING_STATUS=MR","SCALING_FORMAT=MLN","Sort=A","Dates=H","DateFormat=P","Fill=—","Direction=H","UseDPDF=Y")</f>
        <v>—</v>
      </c>
      <c r="K83" s="13" t="str">
        <f>_xll.BDH("SRPT US Equity","ARDR_IN_PROCESS_R&amp;D_AFTER_TAX","FQ4 2020","FQ4 2020","Currency=USD","Period=FQ","BEST_FPERIOD_OVERRIDE=FQ","FILING_STATUS=MR","SCALING_FORMAT=MLN","Sort=A","Dates=H","DateFormat=P","Fill=—","Direction=H","UseDPDF=Y")</f>
        <v>—</v>
      </c>
      <c r="L83" s="13" t="str">
        <f>_xll.BDH("SRPT US Equity","ARDR_IN_PROCESS_R&amp;D_AFTER_TAX","FQ1 2021","FQ1 2021","Currency=USD","Period=FQ","BEST_FPERIOD_OVERRIDE=FQ","FILING_STATUS=MR","SCALING_FORMAT=MLN","Sort=A","Dates=H","DateFormat=P","Fill=—","Direction=H","UseDPDF=Y")</f>
        <v>—</v>
      </c>
      <c r="M83" s="13" t="str">
        <f>_xll.BDH("SRPT US Equity","ARDR_IN_PROCESS_R&amp;D_AFTER_TAX","FQ2 2021","FQ2 2021","Currency=USD","Period=FQ","BEST_FPERIOD_OVERRIDE=FQ","FILING_STATUS=MR","SCALING_FORMAT=MLN","Sort=A","Dates=H","DateFormat=P","Fill=—","Direction=H","UseDPDF=Y")</f>
        <v>—</v>
      </c>
      <c r="N83" s="13" t="str">
        <f>_xll.BDH("SRPT US Equity","ARDR_IN_PROCESS_R&amp;D_AFTER_TAX","FQ3 2021","FQ3 2021","Currency=USD","Period=FQ","BEST_FPERIOD_OVERRIDE=FQ","FILING_STATUS=MR","SCALING_FORMAT=MLN","Sort=A","Dates=H","DateFormat=P","Fill=—","Direction=H","UseDPDF=Y")</f>
        <v>—</v>
      </c>
      <c r="O83" s="13" t="str">
        <f>_xll.BDH("SRPT US Equity","ARDR_IN_PROCESS_R&amp;D_AFTER_TAX","FQ4 2021","FQ4 2021","Currency=USD","Period=FQ","BEST_FPERIOD_OVERRIDE=FQ","FILING_STATUS=MR","SCALING_FORMAT=MLN","Sort=A","Dates=H","DateFormat=P","Fill=—","Direction=H","UseDPDF=Y")</f>
        <v>—</v>
      </c>
      <c r="P83" s="13" t="str">
        <f>_xll.BDH("SRPT US Equity","ARDR_IN_PROCESS_R&amp;D_AFTER_TAX","FQ1 2022","FQ1 2022","Currency=USD","Period=FQ","BEST_FPERIOD_OVERRIDE=FQ","FILING_STATUS=MR","SCALING_FORMAT=MLN","Sort=A","Dates=H","DateFormat=P","Fill=—","Direction=H","UseDPDF=Y")</f>
        <v>—</v>
      </c>
      <c r="Q83" s="13" t="str">
        <f>_xll.BDH("SRPT US Equity","ARDR_IN_PROCESS_R&amp;D_AFTER_TAX","FQ2 2022","FQ2 2022","Currency=USD","Period=FQ","BEST_FPERIOD_OVERRIDE=FQ","FILING_STATUS=MR","SCALING_FORMAT=MLN","Sort=A","Dates=H","DateFormat=P","Fill=—","Direction=H","UseDPDF=Y")</f>
        <v>—</v>
      </c>
      <c r="R83" s="13" t="str">
        <f>_xll.BDH("SRPT US Equity","ARDR_IN_PROCESS_R&amp;D_AFTER_TAX","FQ3 2022","FQ3 2022","Currency=USD","Period=FQ","BEST_FPERIOD_OVERRIDE=FQ","FILING_STATUS=MR","SCALING_FORMAT=MLN","Sort=A","Dates=H","DateFormat=P","Fill=—","Direction=H","UseDPDF=Y")</f>
        <v>—</v>
      </c>
      <c r="S83" s="13" t="str">
        <f>_xll.BDH("SRPT US Equity","ARDR_IN_PROCESS_R&amp;D_AFTER_TAX","FQ4 2022","FQ4 2022","Currency=USD","Period=FQ","BEST_FPERIOD_OVERRIDE=FQ","FILING_STATUS=MR","SCALING_FORMAT=MLN","Sort=A","Dates=H","DateFormat=P","Fill=—","Direction=H","UseDPDF=Y")</f>
        <v>—</v>
      </c>
      <c r="T83" s="13" t="str">
        <f>_xll.BDH("SRPT US Equity","ARDR_IN_PROCESS_R&amp;D_AFTER_TAX","FQ1 2023","FQ1 2023","Currency=USD","Period=FQ","BEST_FPERIOD_OVERRIDE=FQ","FILING_STATUS=MR","SCALING_FORMAT=MLN","Sort=A","Dates=H","DateFormat=P","Fill=—","Direction=H","UseDPDF=Y")</f>
        <v>—</v>
      </c>
      <c r="U83" s="13" t="str">
        <f>_xll.BDH("SRPT US Equity","ARDR_IN_PROCESS_R&amp;D_AFTER_TAX","FQ2 2023","FQ2 2023","Currency=USD","Period=FQ","BEST_FPERIOD_OVERRIDE=FQ","FILING_STATUS=MR","SCALING_FORMAT=MLN","Sort=A","Dates=H","DateFormat=P","Fill=—","Direction=H","UseDPDF=Y")</f>
        <v>—</v>
      </c>
      <c r="V83" s="13" t="str">
        <f>_xll.BDH("SRPT US Equity","ARDR_IN_PROCESS_R&amp;D_AFTER_TAX","FQ3 2023","FQ3 2023","Currency=USD","Period=FQ","BEST_FPERIOD_OVERRIDE=FQ","FILING_STATUS=MR","SCALING_FORMAT=MLN","Sort=A","Dates=H","DateFormat=P","Fill=—","Direction=H","UseDPDF=Y")</f>
        <v>—</v>
      </c>
      <c r="W83" s="13" t="str">
        <f>_xll.BDH("SRPT US Equity","ARDR_IN_PROCESS_R&amp;D_AFTER_TAX","FQ4 2023","FQ4 2023","Currency=USD","Period=FQ","BEST_FPERIOD_OVERRIDE=FQ","FILING_STATUS=MR","SCALING_FORMAT=MLN","Sort=A","Dates=H","DateFormat=P","Fill=—","Direction=H","UseDPDF=Y")</f>
        <v>—</v>
      </c>
      <c r="X83" s="13" t="str">
        <f>_xll.BDH("SRPT US Equity","ARDR_IN_PROCESS_R&amp;D_AFTER_TAX","FQ1 2024","FQ1 2024","Currency=USD","Period=FQ","BEST_FPERIOD_OVERRIDE=FQ","FILING_STATUS=MR","SCALING_FORMAT=MLN","Sort=A","Dates=H","DateFormat=P","Fill=—","Direction=H","UseDPDF=Y")</f>
        <v>—</v>
      </c>
      <c r="Y83" s="13" t="str">
        <f>_xll.BDH("SRPT US Equity","ARDR_IN_PROCESS_R&amp;D_AFTER_TAX","FQ2 2024","FQ2 2024","Currency=USD","Period=FQ","BEST_FPERIOD_OVERRIDE=FQ","FILING_STATUS=MR","SCALING_FORMAT=MLN","Sort=A","Dates=H","DateFormat=P","Fill=—","Direction=H","UseDPDF=Y")</f>
        <v>—</v>
      </c>
      <c r="Z83" s="13" t="str">
        <f>_xll.BDH("SRPT US Equity","ARDR_IN_PROCESS_R&amp;D_AFTER_TAX","FQ3 2024","FQ3 2024","Currency=USD","Period=FQ","BEST_FPERIOD_OVERRIDE=FQ","FILING_STATUS=MR","SCALING_FORMAT=MLN","Sort=A","Dates=H","DateFormat=P","Fill=—","Direction=H","UseDPDF=Y")</f>
        <v>—</v>
      </c>
      <c r="AA83" s="13" t="str">
        <f>_xll.BDH("SRPT US Equity","ARDR_IN_PROCESS_R&amp;D_AFTER_TAX","FQ4 2024","FQ4 2024","Currency=USD","Period=FQ","BEST_FPERIOD_OVERRIDE=FQ","FILING_STATUS=MR","SCALING_FORMAT=MLN","Sort=A","Dates=H","DateFormat=P","Fill=—","Direction=H","UseDPDF=Y")</f>
        <v>—</v>
      </c>
    </row>
    <row r="84" spans="1:27" x14ac:dyDescent="0.25">
      <c r="A84" s="10" t="s">
        <v>550</v>
      </c>
      <c r="B84" s="10" t="s">
        <v>551</v>
      </c>
      <c r="C84" s="13" t="str">
        <f>_xll.BDH("SRPT US Equity","ARDR_DISPOSAL_ASSETS_AFTER_TAX","FQ4 2018","FQ4 2018","Currency=USD","Period=FQ","BEST_FPERIOD_OVERRIDE=FQ","FILING_STATUS=MR","SCALING_FORMAT=MLN","Sort=A","Dates=H","DateFormat=P","Fill=—","Direction=H","UseDPDF=Y")</f>
        <v>—</v>
      </c>
      <c r="D84" s="13" t="str">
        <f>_xll.BDH("SRPT US Equity","ARDR_DISPOSAL_ASSETS_AFTER_TAX","FQ1 2019","FQ1 2019","Currency=USD","Period=FQ","BEST_FPERIOD_OVERRIDE=FQ","FILING_STATUS=MR","SCALING_FORMAT=MLN","Sort=A","Dates=H","DateFormat=P","Fill=—","Direction=H","UseDPDF=Y")</f>
        <v>—</v>
      </c>
      <c r="E84" s="13" t="str">
        <f>_xll.BDH("SRPT US Equity","ARDR_DISPOSAL_ASSETS_AFTER_TAX","FQ2 2019","FQ2 2019","Currency=USD","Period=FQ","BEST_FPERIOD_OVERRIDE=FQ","FILING_STATUS=MR","SCALING_FORMAT=MLN","Sort=A","Dates=H","DateFormat=P","Fill=—","Direction=H","UseDPDF=Y")</f>
        <v>—</v>
      </c>
      <c r="F84" s="13" t="str">
        <f>_xll.BDH("SRPT US Equity","ARDR_DISPOSAL_ASSETS_AFTER_TAX","FQ3 2019","FQ3 2019","Currency=USD","Period=FQ","BEST_FPERIOD_OVERRIDE=FQ","FILING_STATUS=MR","SCALING_FORMAT=MLN","Sort=A","Dates=H","DateFormat=P","Fill=—","Direction=H","UseDPDF=Y")</f>
        <v>—</v>
      </c>
      <c r="G84" s="13" t="str">
        <f>_xll.BDH("SRPT US Equity","ARDR_DISPOSAL_ASSETS_AFTER_TAX","FQ4 2019","FQ4 2019","Currency=USD","Period=FQ","BEST_FPERIOD_OVERRIDE=FQ","FILING_STATUS=MR","SCALING_FORMAT=MLN","Sort=A","Dates=H","DateFormat=P","Fill=—","Direction=H","UseDPDF=Y")</f>
        <v>—</v>
      </c>
      <c r="H84" s="13" t="str">
        <f>_xll.BDH("SRPT US Equity","ARDR_DISPOSAL_ASSETS_AFTER_TAX","FQ1 2020","FQ1 2020","Currency=USD","Period=FQ","BEST_FPERIOD_OVERRIDE=FQ","FILING_STATUS=MR","SCALING_FORMAT=MLN","Sort=A","Dates=H","DateFormat=P","Fill=—","Direction=H","UseDPDF=Y")</f>
        <v>—</v>
      </c>
      <c r="I84" s="13" t="str">
        <f>_xll.BDH("SRPT US Equity","ARDR_DISPOSAL_ASSETS_AFTER_TAX","FQ2 2020","FQ2 2020","Currency=USD","Period=FQ","BEST_FPERIOD_OVERRIDE=FQ","FILING_STATUS=MR","SCALING_FORMAT=MLN","Sort=A","Dates=H","DateFormat=P","Fill=—","Direction=H","UseDPDF=Y")</f>
        <v>—</v>
      </c>
      <c r="J84" s="13" t="str">
        <f>_xll.BDH("SRPT US Equity","ARDR_DISPOSAL_ASSETS_AFTER_TAX","FQ3 2020","FQ3 2020","Currency=USD","Period=FQ","BEST_FPERIOD_OVERRIDE=FQ","FILING_STATUS=MR","SCALING_FORMAT=MLN","Sort=A","Dates=H","DateFormat=P","Fill=—","Direction=H","UseDPDF=Y")</f>
        <v>—</v>
      </c>
      <c r="K84" s="13" t="str">
        <f>_xll.BDH("SRPT US Equity","ARDR_DISPOSAL_ASSETS_AFTER_TAX","FQ4 2020","FQ4 2020","Currency=USD","Period=FQ","BEST_FPERIOD_OVERRIDE=FQ","FILING_STATUS=MR","SCALING_FORMAT=MLN","Sort=A","Dates=H","DateFormat=P","Fill=—","Direction=H","UseDPDF=Y")</f>
        <v>—</v>
      </c>
      <c r="L84" s="13" t="str">
        <f>_xll.BDH("SRPT US Equity","ARDR_DISPOSAL_ASSETS_AFTER_TAX","FQ1 2021","FQ1 2021","Currency=USD","Period=FQ","BEST_FPERIOD_OVERRIDE=FQ","FILING_STATUS=MR","SCALING_FORMAT=MLN","Sort=A","Dates=H","DateFormat=P","Fill=—","Direction=H","UseDPDF=Y")</f>
        <v>—</v>
      </c>
      <c r="M84" s="13">
        <f>_xll.BDH("SRPT US Equity","ARDR_DISPOSAL_ASSETS_AFTER_TAX","FQ2 2021","FQ2 2021","Currency=USD","Period=FQ","BEST_FPERIOD_OVERRIDE=FQ","FILING_STATUS=MR","SCALING_FORMAT=MLN","Sort=A","Dates=H","DateFormat=P","Fill=—","Direction=H","UseDPDF=Y")</f>
        <v>-102</v>
      </c>
      <c r="N84" s="13" t="str">
        <f>_xll.BDH("SRPT US Equity","ARDR_DISPOSAL_ASSETS_AFTER_TAX","FQ3 2021","FQ3 2021","Currency=USD","Period=FQ","BEST_FPERIOD_OVERRIDE=FQ","FILING_STATUS=MR","SCALING_FORMAT=MLN","Sort=A","Dates=H","DateFormat=P","Fill=—","Direction=H","UseDPDF=Y")</f>
        <v>—</v>
      </c>
      <c r="O84" s="13" t="str">
        <f>_xll.BDH("SRPT US Equity","ARDR_DISPOSAL_ASSETS_AFTER_TAX","FQ4 2021","FQ4 2021","Currency=USD","Period=FQ","BEST_FPERIOD_OVERRIDE=FQ","FILING_STATUS=MR","SCALING_FORMAT=MLN","Sort=A","Dates=H","DateFormat=P","Fill=—","Direction=H","UseDPDF=Y")</f>
        <v>—</v>
      </c>
      <c r="P84" s="13" t="str">
        <f>_xll.BDH("SRPT US Equity","ARDR_DISPOSAL_ASSETS_AFTER_TAX","FQ1 2022","FQ1 2022","Currency=USD","Period=FQ","BEST_FPERIOD_OVERRIDE=FQ","FILING_STATUS=MR","SCALING_FORMAT=MLN","Sort=A","Dates=H","DateFormat=P","Fill=—","Direction=H","UseDPDF=Y")</f>
        <v>—</v>
      </c>
      <c r="Q84" s="13">
        <f>_xll.BDH("SRPT US Equity","ARDR_DISPOSAL_ASSETS_AFTER_TAX","FQ2 2022","FQ2 2022","Currency=USD","Period=FQ","BEST_FPERIOD_OVERRIDE=FQ","FILING_STATUS=MR","SCALING_FORMAT=MLN","Sort=A","Dates=H","DateFormat=P","Fill=—","Direction=H","UseDPDF=Y")</f>
        <v>0</v>
      </c>
      <c r="R84" s="13" t="str">
        <f>_xll.BDH("SRPT US Equity","ARDR_DISPOSAL_ASSETS_AFTER_TAX","FQ3 2022","FQ3 2022","Currency=USD","Period=FQ","BEST_FPERIOD_OVERRIDE=FQ","FILING_STATUS=MR","SCALING_FORMAT=MLN","Sort=A","Dates=H","DateFormat=P","Fill=—","Direction=H","UseDPDF=Y")</f>
        <v>—</v>
      </c>
      <c r="S84" s="13" t="str">
        <f>_xll.BDH("SRPT US Equity","ARDR_DISPOSAL_ASSETS_AFTER_TAX","FQ4 2022","FQ4 2022","Currency=USD","Period=FQ","BEST_FPERIOD_OVERRIDE=FQ","FILING_STATUS=MR","SCALING_FORMAT=MLN","Sort=A","Dates=H","DateFormat=P","Fill=—","Direction=H","UseDPDF=Y")</f>
        <v>—</v>
      </c>
      <c r="T84" s="13" t="str">
        <f>_xll.BDH("SRPT US Equity","ARDR_DISPOSAL_ASSETS_AFTER_TAX","FQ1 2023","FQ1 2023","Currency=USD","Period=FQ","BEST_FPERIOD_OVERRIDE=FQ","FILING_STATUS=MR","SCALING_FORMAT=MLN","Sort=A","Dates=H","DateFormat=P","Fill=—","Direction=H","UseDPDF=Y")</f>
        <v>—</v>
      </c>
      <c r="U84" s="13" t="str">
        <f>_xll.BDH("SRPT US Equity","ARDR_DISPOSAL_ASSETS_AFTER_TAX","FQ2 2023","FQ2 2023","Currency=USD","Period=FQ","BEST_FPERIOD_OVERRIDE=FQ","FILING_STATUS=MR","SCALING_FORMAT=MLN","Sort=A","Dates=H","DateFormat=P","Fill=—","Direction=H","UseDPDF=Y")</f>
        <v>—</v>
      </c>
      <c r="V84" s="13" t="str">
        <f>_xll.BDH("SRPT US Equity","ARDR_DISPOSAL_ASSETS_AFTER_TAX","FQ3 2023","FQ3 2023","Currency=USD","Period=FQ","BEST_FPERIOD_OVERRIDE=FQ","FILING_STATUS=MR","SCALING_FORMAT=MLN","Sort=A","Dates=H","DateFormat=P","Fill=—","Direction=H","UseDPDF=Y")</f>
        <v>—</v>
      </c>
      <c r="W84" s="13" t="str">
        <f>_xll.BDH("SRPT US Equity","ARDR_DISPOSAL_ASSETS_AFTER_TAX","FQ4 2023","FQ4 2023","Currency=USD","Period=FQ","BEST_FPERIOD_OVERRIDE=FQ","FILING_STATUS=MR","SCALING_FORMAT=MLN","Sort=A","Dates=H","DateFormat=P","Fill=—","Direction=H","UseDPDF=Y")</f>
        <v>—</v>
      </c>
      <c r="X84" s="13" t="str">
        <f>_xll.BDH("SRPT US Equity","ARDR_DISPOSAL_ASSETS_AFTER_TAX","FQ1 2024","FQ1 2024","Currency=USD","Period=FQ","BEST_FPERIOD_OVERRIDE=FQ","FILING_STATUS=MR","SCALING_FORMAT=MLN","Sort=A","Dates=H","DateFormat=P","Fill=—","Direction=H","UseDPDF=Y")</f>
        <v>—</v>
      </c>
      <c r="Y84" s="13" t="str">
        <f>_xll.BDH("SRPT US Equity","ARDR_DISPOSAL_ASSETS_AFTER_TAX","FQ2 2024","FQ2 2024","Currency=USD","Period=FQ","BEST_FPERIOD_OVERRIDE=FQ","FILING_STATUS=MR","SCALING_FORMAT=MLN","Sort=A","Dates=H","DateFormat=P","Fill=—","Direction=H","UseDPDF=Y")</f>
        <v>—</v>
      </c>
      <c r="Z84" s="13" t="str">
        <f>_xll.BDH("SRPT US Equity","ARDR_DISPOSAL_ASSETS_AFTER_TAX","FQ3 2024","FQ3 2024","Currency=USD","Period=FQ","BEST_FPERIOD_OVERRIDE=FQ","FILING_STATUS=MR","SCALING_FORMAT=MLN","Sort=A","Dates=H","DateFormat=P","Fill=—","Direction=H","UseDPDF=Y")</f>
        <v>—</v>
      </c>
      <c r="AA84" s="13" t="str">
        <f>_xll.BDH("SRPT US Equity","ARDR_DISPOSAL_ASSETS_AFTER_TAX","FQ4 2024","FQ4 2024","Currency=USD","Period=FQ","BEST_FPERIOD_OVERRIDE=FQ","FILING_STATUS=MR","SCALING_FORMAT=MLN","Sort=A","Dates=H","DateFormat=P","Fill=—","Direction=H","UseDPDF=Y")</f>
        <v>—</v>
      </c>
    </row>
    <row r="85" spans="1:27" x14ac:dyDescent="0.25">
      <c r="A85" s="10" t="s">
        <v>552</v>
      </c>
      <c r="B85" s="10" t="s">
        <v>553</v>
      </c>
      <c r="C85" s="13" t="str">
        <f>_xll.BDH("SRPT US Equity","ARDR_OTHER_ONE_TIME_CHRG_AFT_TAX","FQ4 2018","FQ4 2018","Currency=USD","Period=FQ","BEST_FPERIOD_OVERRIDE=FQ","FILING_STATUS=MR","SCALING_FORMAT=MLN","Sort=A","Dates=H","DateFormat=P","Fill=—","Direction=H","UseDPDF=Y")</f>
        <v>—</v>
      </c>
      <c r="D85" s="13" t="str">
        <f>_xll.BDH("SRPT US Equity","ARDR_OTHER_ONE_TIME_CHRG_AFT_TAX","FQ1 2019","FQ1 2019","Currency=USD","Period=FQ","BEST_FPERIOD_OVERRIDE=FQ","FILING_STATUS=MR","SCALING_FORMAT=MLN","Sort=A","Dates=H","DateFormat=P","Fill=—","Direction=H","UseDPDF=Y")</f>
        <v>—</v>
      </c>
      <c r="E85" s="13">
        <f>_xll.BDH("SRPT US Equity","ARDR_OTHER_ONE_TIME_CHRG_AFT_TAX","FQ2 2019","FQ2 2019","Currency=USD","Period=FQ","BEST_FPERIOD_OVERRIDE=FQ","FILING_STATUS=MR","SCALING_FORMAT=MLN","Sort=A","Dates=H","DateFormat=P","Fill=—","Direction=H","UseDPDF=Y")</f>
        <v>15.077999999999999</v>
      </c>
      <c r="F85" s="13" t="str">
        <f>_xll.BDH("SRPT US Equity","ARDR_OTHER_ONE_TIME_CHRG_AFT_TAX","FQ3 2019","FQ3 2019","Currency=USD","Period=FQ","BEST_FPERIOD_OVERRIDE=FQ","FILING_STATUS=MR","SCALING_FORMAT=MLN","Sort=A","Dates=H","DateFormat=P","Fill=—","Direction=H","UseDPDF=Y")</f>
        <v>—</v>
      </c>
      <c r="G85" s="13" t="str">
        <f>_xll.BDH("SRPT US Equity","ARDR_OTHER_ONE_TIME_CHRG_AFT_TAX","FQ4 2019","FQ4 2019","Currency=USD","Period=FQ","BEST_FPERIOD_OVERRIDE=FQ","FILING_STATUS=MR","SCALING_FORMAT=MLN","Sort=A","Dates=H","DateFormat=P","Fill=—","Direction=H","UseDPDF=Y")</f>
        <v>—</v>
      </c>
      <c r="H85" s="13" t="str">
        <f>_xll.BDH("SRPT US Equity","ARDR_OTHER_ONE_TIME_CHRG_AFT_TAX","FQ1 2020","FQ1 2020","Currency=USD","Period=FQ","BEST_FPERIOD_OVERRIDE=FQ","FILING_STATUS=MR","SCALING_FORMAT=MLN","Sort=A","Dates=H","DateFormat=P","Fill=—","Direction=H","UseDPDF=Y")</f>
        <v>—</v>
      </c>
      <c r="I85" s="13" t="str">
        <f>_xll.BDH("SRPT US Equity","ARDR_OTHER_ONE_TIME_CHRG_AFT_TAX","FQ2 2020","FQ2 2020","Currency=USD","Period=FQ","BEST_FPERIOD_OVERRIDE=FQ","FILING_STATUS=MR","SCALING_FORMAT=MLN","Sort=A","Dates=H","DateFormat=P","Fill=—","Direction=H","UseDPDF=Y")</f>
        <v>—</v>
      </c>
      <c r="J85" s="13" t="str">
        <f>_xll.BDH("SRPT US Equity","ARDR_OTHER_ONE_TIME_CHRG_AFT_TAX","FQ3 2020","FQ3 2020","Currency=USD","Period=FQ","BEST_FPERIOD_OVERRIDE=FQ","FILING_STATUS=MR","SCALING_FORMAT=MLN","Sort=A","Dates=H","DateFormat=P","Fill=—","Direction=H","UseDPDF=Y")</f>
        <v>—</v>
      </c>
      <c r="K85" s="13" t="str">
        <f>_xll.BDH("SRPT US Equity","ARDR_OTHER_ONE_TIME_CHRG_AFT_TAX","FQ4 2020","FQ4 2020","Currency=USD","Period=FQ","BEST_FPERIOD_OVERRIDE=FQ","FILING_STATUS=MR","SCALING_FORMAT=MLN","Sort=A","Dates=H","DateFormat=P","Fill=—","Direction=H","UseDPDF=Y")</f>
        <v>—</v>
      </c>
      <c r="L85" s="13" t="str">
        <f>_xll.BDH("SRPT US Equity","ARDR_OTHER_ONE_TIME_CHRG_AFT_TAX","FQ1 2021","FQ1 2021","Currency=USD","Period=FQ","BEST_FPERIOD_OVERRIDE=FQ","FILING_STATUS=MR","SCALING_FORMAT=MLN","Sort=A","Dates=H","DateFormat=P","Fill=—","Direction=H","UseDPDF=Y")</f>
        <v>—</v>
      </c>
      <c r="M85" s="13">
        <f>_xll.BDH("SRPT US Equity","ARDR_OTHER_ONE_TIME_CHRG_AFT_TAX","FQ2 2021","FQ2 2021","Currency=USD","Period=FQ","BEST_FPERIOD_OVERRIDE=FQ","FILING_STATUS=MR","SCALING_FORMAT=MLN","Sort=A","Dates=H","DateFormat=P","Fill=—","Direction=H","UseDPDF=Y")</f>
        <v>31.677</v>
      </c>
      <c r="N85" s="13" t="str">
        <f>_xll.BDH("SRPT US Equity","ARDR_OTHER_ONE_TIME_CHRG_AFT_TAX","FQ3 2021","FQ3 2021","Currency=USD","Period=FQ","BEST_FPERIOD_OVERRIDE=FQ","FILING_STATUS=MR","SCALING_FORMAT=MLN","Sort=A","Dates=H","DateFormat=P","Fill=—","Direction=H","UseDPDF=Y")</f>
        <v>—</v>
      </c>
      <c r="O85" s="13" t="str">
        <f>_xll.BDH("SRPT US Equity","ARDR_OTHER_ONE_TIME_CHRG_AFT_TAX","FQ4 2021","FQ4 2021","Currency=USD","Period=FQ","BEST_FPERIOD_OVERRIDE=FQ","FILING_STATUS=MR","SCALING_FORMAT=MLN","Sort=A","Dates=H","DateFormat=P","Fill=—","Direction=H","UseDPDF=Y")</f>
        <v>—</v>
      </c>
      <c r="P85" s="13" t="str">
        <f>_xll.BDH("SRPT US Equity","ARDR_OTHER_ONE_TIME_CHRG_AFT_TAX","FQ1 2022","FQ1 2022","Currency=USD","Period=FQ","BEST_FPERIOD_OVERRIDE=FQ","FILING_STATUS=MR","SCALING_FORMAT=MLN","Sort=A","Dates=H","DateFormat=P","Fill=—","Direction=H","UseDPDF=Y")</f>
        <v>—</v>
      </c>
      <c r="Q85" s="13" t="str">
        <f>_xll.BDH("SRPT US Equity","ARDR_OTHER_ONE_TIME_CHRG_AFT_TAX","FQ2 2022","FQ2 2022","Currency=USD","Period=FQ","BEST_FPERIOD_OVERRIDE=FQ","FILING_STATUS=MR","SCALING_FORMAT=MLN","Sort=A","Dates=H","DateFormat=P","Fill=—","Direction=H","UseDPDF=Y")</f>
        <v>—</v>
      </c>
      <c r="R85" s="13" t="str">
        <f>_xll.BDH("SRPT US Equity","ARDR_OTHER_ONE_TIME_CHRG_AFT_TAX","FQ3 2022","FQ3 2022","Currency=USD","Period=FQ","BEST_FPERIOD_OVERRIDE=FQ","FILING_STATUS=MR","SCALING_FORMAT=MLN","Sort=A","Dates=H","DateFormat=P","Fill=—","Direction=H","UseDPDF=Y")</f>
        <v>—</v>
      </c>
      <c r="S85" s="13" t="str">
        <f>_xll.BDH("SRPT US Equity","ARDR_OTHER_ONE_TIME_CHRG_AFT_TAX","FQ4 2022","FQ4 2022","Currency=USD","Period=FQ","BEST_FPERIOD_OVERRIDE=FQ","FILING_STATUS=MR","SCALING_FORMAT=MLN","Sort=A","Dates=H","DateFormat=P","Fill=—","Direction=H","UseDPDF=Y")</f>
        <v>—</v>
      </c>
      <c r="T85" s="13" t="str">
        <f>_xll.BDH("SRPT US Equity","ARDR_OTHER_ONE_TIME_CHRG_AFT_TAX","FQ1 2023","FQ1 2023","Currency=USD","Period=FQ","BEST_FPERIOD_OVERRIDE=FQ","FILING_STATUS=MR","SCALING_FORMAT=MLN","Sort=A","Dates=H","DateFormat=P","Fill=—","Direction=H","UseDPDF=Y")</f>
        <v>—</v>
      </c>
      <c r="U85" s="13" t="str">
        <f>_xll.BDH("SRPT US Equity","ARDR_OTHER_ONE_TIME_CHRG_AFT_TAX","FQ2 2023","FQ2 2023","Currency=USD","Period=FQ","BEST_FPERIOD_OVERRIDE=FQ","FILING_STATUS=MR","SCALING_FORMAT=MLN","Sort=A","Dates=H","DateFormat=P","Fill=—","Direction=H","UseDPDF=Y")</f>
        <v>—</v>
      </c>
      <c r="V85" s="13" t="str">
        <f>_xll.BDH("SRPT US Equity","ARDR_OTHER_ONE_TIME_CHRG_AFT_TAX","FQ3 2023","FQ3 2023","Currency=USD","Period=FQ","BEST_FPERIOD_OVERRIDE=FQ","FILING_STATUS=MR","SCALING_FORMAT=MLN","Sort=A","Dates=H","DateFormat=P","Fill=—","Direction=H","UseDPDF=Y")</f>
        <v>—</v>
      </c>
      <c r="W85" s="13" t="str">
        <f>_xll.BDH("SRPT US Equity","ARDR_OTHER_ONE_TIME_CHRG_AFT_TAX","FQ4 2023","FQ4 2023","Currency=USD","Period=FQ","BEST_FPERIOD_OVERRIDE=FQ","FILING_STATUS=MR","SCALING_FORMAT=MLN","Sort=A","Dates=H","DateFormat=P","Fill=—","Direction=H","UseDPDF=Y")</f>
        <v>—</v>
      </c>
      <c r="X85" s="13" t="str">
        <f>_xll.BDH("SRPT US Equity","ARDR_OTHER_ONE_TIME_CHRG_AFT_TAX","FQ1 2024","FQ1 2024","Currency=USD","Period=FQ","BEST_FPERIOD_OVERRIDE=FQ","FILING_STATUS=MR","SCALING_FORMAT=MLN","Sort=A","Dates=H","DateFormat=P","Fill=—","Direction=H","UseDPDF=Y")</f>
        <v>—</v>
      </c>
      <c r="Y85" s="13" t="str">
        <f>_xll.BDH("SRPT US Equity","ARDR_OTHER_ONE_TIME_CHRG_AFT_TAX","FQ2 2024","FQ2 2024","Currency=USD","Period=FQ","BEST_FPERIOD_OVERRIDE=FQ","FILING_STATUS=MR","SCALING_FORMAT=MLN","Sort=A","Dates=H","DateFormat=P","Fill=—","Direction=H","UseDPDF=Y")</f>
        <v>—</v>
      </c>
      <c r="Z85" s="13" t="str">
        <f>_xll.BDH("SRPT US Equity","ARDR_OTHER_ONE_TIME_CHRG_AFT_TAX","FQ3 2024","FQ3 2024","Currency=USD","Period=FQ","BEST_FPERIOD_OVERRIDE=FQ","FILING_STATUS=MR","SCALING_FORMAT=MLN","Sort=A","Dates=H","DateFormat=P","Fill=—","Direction=H","UseDPDF=Y")</f>
        <v>—</v>
      </c>
      <c r="AA85" s="13" t="str">
        <f>_xll.BDH("SRPT US Equity","ARDR_OTHER_ONE_TIME_CHRG_AFT_TAX","FQ4 2024","FQ4 2024","Currency=USD","Period=FQ","BEST_FPERIOD_OVERRIDE=FQ","FILING_STATUS=MR","SCALING_FORMAT=MLN","Sort=A","Dates=H","DateFormat=P","Fill=—","Direction=H","UseDPDF=Y")</f>
        <v>—</v>
      </c>
    </row>
    <row r="86" spans="1:27" x14ac:dyDescent="0.25">
      <c r="A86" s="10" t="s">
        <v>554</v>
      </c>
      <c r="B86" s="10" t="s">
        <v>555</v>
      </c>
      <c r="C86" s="13" t="str">
        <f>_xll.BDH("SRPT US Equity","ARDR_STOCK_OPT_EXPENSE_BEF_TAX","FQ4 2018","FQ4 2018","Currency=USD","Period=FQ","BEST_FPERIOD_OVERRIDE=FQ","FILING_STATUS=MR","SCALING_FORMAT=MLN","Sort=A","Dates=H","DateFormat=P","Fill=—","Direction=H","UseDPDF=Y")</f>
        <v>—</v>
      </c>
      <c r="D86" s="13">
        <f>_xll.BDH("SRPT US Equity","ARDR_STOCK_OPT_EXPENSE_BEF_TAX","FQ1 2019","FQ1 2019","Currency=USD","Period=FQ","BEST_FPERIOD_OVERRIDE=FQ","FILING_STATUS=MR","SCALING_FORMAT=MLN","Sort=A","Dates=H","DateFormat=P","Fill=—","Direction=H","UseDPDF=Y")</f>
        <v>11.457000000000001</v>
      </c>
      <c r="E86" s="13" t="str">
        <f>_xll.BDH("SRPT US Equity","ARDR_STOCK_OPT_EXPENSE_BEF_TAX","FQ2 2019","FQ2 2019","Currency=USD","Period=FQ","BEST_FPERIOD_OVERRIDE=FQ","FILING_STATUS=MR","SCALING_FORMAT=MLN","Sort=A","Dates=H","DateFormat=P","Fill=—","Direction=H","UseDPDF=Y")</f>
        <v>—</v>
      </c>
      <c r="F86" s="13" t="str">
        <f>_xll.BDH("SRPT US Equity","ARDR_STOCK_OPT_EXPENSE_BEF_TAX","FQ3 2019","FQ3 2019","Currency=USD","Period=FQ","BEST_FPERIOD_OVERRIDE=FQ","FILING_STATUS=MR","SCALING_FORMAT=MLN","Sort=A","Dates=H","DateFormat=P","Fill=—","Direction=H","UseDPDF=Y")</f>
        <v>—</v>
      </c>
      <c r="G86" s="13" t="str">
        <f>_xll.BDH("SRPT US Equity","ARDR_STOCK_OPT_EXPENSE_BEF_TAX","FQ4 2019","FQ4 2019","Currency=USD","Period=FQ","BEST_FPERIOD_OVERRIDE=FQ","FILING_STATUS=MR","SCALING_FORMAT=MLN","Sort=A","Dates=H","DateFormat=P","Fill=—","Direction=H","UseDPDF=Y")</f>
        <v>—</v>
      </c>
      <c r="H86" s="13" t="str">
        <f>_xll.BDH("SRPT US Equity","ARDR_STOCK_OPT_EXPENSE_BEF_TAX","FQ1 2020","FQ1 2020","Currency=USD","Period=FQ","BEST_FPERIOD_OVERRIDE=FQ","FILING_STATUS=MR","SCALING_FORMAT=MLN","Sort=A","Dates=H","DateFormat=P","Fill=—","Direction=H","UseDPDF=Y")</f>
        <v>—</v>
      </c>
      <c r="I86" s="13" t="str">
        <f>_xll.BDH("SRPT US Equity","ARDR_STOCK_OPT_EXPENSE_BEF_TAX","FQ2 2020","FQ2 2020","Currency=USD","Period=FQ","BEST_FPERIOD_OVERRIDE=FQ","FILING_STATUS=MR","SCALING_FORMAT=MLN","Sort=A","Dates=H","DateFormat=P","Fill=—","Direction=H","UseDPDF=Y")</f>
        <v>—</v>
      </c>
      <c r="J86" s="13" t="str">
        <f>_xll.BDH("SRPT US Equity","ARDR_STOCK_OPT_EXPENSE_BEF_TAX","FQ3 2020","FQ3 2020","Currency=USD","Period=FQ","BEST_FPERIOD_OVERRIDE=FQ","FILING_STATUS=MR","SCALING_FORMAT=MLN","Sort=A","Dates=H","DateFormat=P","Fill=—","Direction=H","UseDPDF=Y")</f>
        <v>—</v>
      </c>
      <c r="K86" s="13" t="str">
        <f>_xll.BDH("SRPT US Equity","ARDR_STOCK_OPT_EXPENSE_BEF_TAX","FQ4 2020","FQ4 2020","Currency=USD","Period=FQ","BEST_FPERIOD_OVERRIDE=FQ","FILING_STATUS=MR","SCALING_FORMAT=MLN","Sort=A","Dates=H","DateFormat=P","Fill=—","Direction=H","UseDPDF=Y")</f>
        <v>—</v>
      </c>
      <c r="L86" s="13" t="str">
        <f>_xll.BDH("SRPT US Equity","ARDR_STOCK_OPT_EXPENSE_BEF_TAX","FQ1 2021","FQ1 2021","Currency=USD","Period=FQ","BEST_FPERIOD_OVERRIDE=FQ","FILING_STATUS=MR","SCALING_FORMAT=MLN","Sort=A","Dates=H","DateFormat=P","Fill=—","Direction=H","UseDPDF=Y")</f>
        <v>—</v>
      </c>
      <c r="M86" s="13" t="str">
        <f>_xll.BDH("SRPT US Equity","ARDR_STOCK_OPT_EXPENSE_BEF_TAX","FQ2 2021","FQ2 2021","Currency=USD","Period=FQ","BEST_FPERIOD_OVERRIDE=FQ","FILING_STATUS=MR","SCALING_FORMAT=MLN","Sort=A","Dates=H","DateFormat=P","Fill=—","Direction=H","UseDPDF=Y")</f>
        <v>—</v>
      </c>
      <c r="N86" s="13" t="str">
        <f>_xll.BDH("SRPT US Equity","ARDR_STOCK_OPT_EXPENSE_BEF_TAX","FQ3 2021","FQ3 2021","Currency=USD","Period=FQ","BEST_FPERIOD_OVERRIDE=FQ","FILING_STATUS=MR","SCALING_FORMAT=MLN","Sort=A","Dates=H","DateFormat=P","Fill=—","Direction=H","UseDPDF=Y")</f>
        <v>—</v>
      </c>
      <c r="O86" s="13">
        <f>_xll.BDH("SRPT US Equity","ARDR_STOCK_OPT_EXPENSE_BEF_TAX","FQ4 2021","FQ4 2021","Currency=USD","Period=FQ","BEST_FPERIOD_OVERRIDE=FQ","FILING_STATUS=MR","SCALING_FORMAT=MLN","Sort=A","Dates=H","DateFormat=P","Fill=—","Direction=H","UseDPDF=Y")</f>
        <v>29.782</v>
      </c>
      <c r="P86" s="13" t="str">
        <f>_xll.BDH("SRPT US Equity","ARDR_STOCK_OPT_EXPENSE_BEF_TAX","FQ1 2022","FQ1 2022","Currency=USD","Period=FQ","BEST_FPERIOD_OVERRIDE=FQ","FILING_STATUS=MR","SCALING_FORMAT=MLN","Sort=A","Dates=H","DateFormat=P","Fill=—","Direction=H","UseDPDF=Y")</f>
        <v>—</v>
      </c>
      <c r="Q86" s="13" t="str">
        <f>_xll.BDH("SRPT US Equity","ARDR_STOCK_OPT_EXPENSE_BEF_TAX","FQ2 2022","FQ2 2022","Currency=USD","Period=FQ","BEST_FPERIOD_OVERRIDE=FQ","FILING_STATUS=MR","SCALING_FORMAT=MLN","Sort=A","Dates=H","DateFormat=P","Fill=—","Direction=H","UseDPDF=Y")</f>
        <v>—</v>
      </c>
      <c r="R86" s="13" t="str">
        <f>_xll.BDH("SRPT US Equity","ARDR_STOCK_OPT_EXPENSE_BEF_TAX","FQ3 2022","FQ3 2022","Currency=USD","Period=FQ","BEST_FPERIOD_OVERRIDE=FQ","FILING_STATUS=MR","SCALING_FORMAT=MLN","Sort=A","Dates=H","DateFormat=P","Fill=—","Direction=H","UseDPDF=Y")</f>
        <v>—</v>
      </c>
      <c r="S86" s="13">
        <f>_xll.BDH("SRPT US Equity","ARDR_STOCK_OPT_EXPENSE_BEF_TAX","FQ4 2022","FQ4 2022","Currency=USD","Period=FQ","BEST_FPERIOD_OVERRIDE=FQ","FILING_STATUS=MR","SCALING_FORMAT=MLN","Sort=A","Dates=H","DateFormat=P","Fill=—","Direction=H","UseDPDF=Y")</f>
        <v>50.51</v>
      </c>
      <c r="T86" s="13" t="str">
        <f>_xll.BDH("SRPT US Equity","ARDR_STOCK_OPT_EXPENSE_BEF_TAX","FQ1 2023","FQ1 2023","Currency=USD","Period=FQ","BEST_FPERIOD_OVERRIDE=FQ","FILING_STATUS=MR","SCALING_FORMAT=MLN","Sort=A","Dates=H","DateFormat=P","Fill=—","Direction=H","UseDPDF=Y")</f>
        <v>—</v>
      </c>
      <c r="U86" s="13">
        <f>_xll.BDH("SRPT US Equity","ARDR_STOCK_OPT_EXPENSE_BEF_TAX","FQ2 2023","FQ2 2023","Currency=USD","Period=FQ","BEST_FPERIOD_OVERRIDE=FQ","FILING_STATUS=MR","SCALING_FORMAT=MLN","Sort=A","Dates=H","DateFormat=P","Fill=—","Direction=H","UseDPDF=Y")</f>
        <v>21.135000000000002</v>
      </c>
      <c r="V86" s="13">
        <f>_xll.BDH("SRPT US Equity","ARDR_STOCK_OPT_EXPENSE_BEF_TAX","FQ3 2023","FQ3 2023","Currency=USD","Period=FQ","BEST_FPERIOD_OVERRIDE=FQ","FILING_STATUS=MR","SCALING_FORMAT=MLN","Sort=A","Dates=H","DateFormat=P","Fill=—","Direction=H","UseDPDF=Y")</f>
        <v>48.061</v>
      </c>
      <c r="W86" s="13" t="str">
        <f>_xll.BDH("SRPT US Equity","ARDR_STOCK_OPT_EXPENSE_BEF_TAX","FQ4 2023","FQ4 2023","Currency=USD","Period=FQ","BEST_FPERIOD_OVERRIDE=FQ","FILING_STATUS=MR","SCALING_FORMAT=MLN","Sort=A","Dates=H","DateFormat=P","Fill=—","Direction=H","UseDPDF=Y")</f>
        <v>—</v>
      </c>
      <c r="X86" s="13" t="str">
        <f>_xll.BDH("SRPT US Equity","ARDR_STOCK_OPT_EXPENSE_BEF_TAX","FQ1 2024","FQ1 2024","Currency=USD","Period=FQ","BEST_FPERIOD_OVERRIDE=FQ","FILING_STATUS=MR","SCALING_FORMAT=MLN","Sort=A","Dates=H","DateFormat=P","Fill=—","Direction=H","UseDPDF=Y")</f>
        <v>—</v>
      </c>
      <c r="Y86" s="13">
        <f>_xll.BDH("SRPT US Equity","ARDR_STOCK_OPT_EXPENSE_BEF_TAX","FQ2 2024","FQ2 2024","Currency=USD","Period=FQ","BEST_FPERIOD_OVERRIDE=FQ","FILING_STATUS=MR","SCALING_FORMAT=MLN","Sort=A","Dates=H","DateFormat=P","Fill=—","Direction=H","UseDPDF=Y")</f>
        <v>15.515000000000001</v>
      </c>
      <c r="Z86" s="13" t="str">
        <f>_xll.BDH("SRPT US Equity","ARDR_STOCK_OPT_EXPENSE_BEF_TAX","FQ3 2024","FQ3 2024","Currency=USD","Period=FQ","BEST_FPERIOD_OVERRIDE=FQ","FILING_STATUS=MR","SCALING_FORMAT=MLN","Sort=A","Dates=H","DateFormat=P","Fill=—","Direction=H","UseDPDF=Y")</f>
        <v>—</v>
      </c>
      <c r="AA86" s="13" t="str">
        <f>_xll.BDH("SRPT US Equity","ARDR_STOCK_OPT_EXPENSE_BEF_TAX","FQ4 2024","FQ4 2024","Currency=USD","Period=FQ","BEST_FPERIOD_OVERRIDE=FQ","FILING_STATUS=MR","SCALING_FORMAT=MLN","Sort=A","Dates=H","DateFormat=P","Fill=—","Direction=H","UseDPDF=Y")</f>
        <v>—</v>
      </c>
    </row>
    <row r="87" spans="1:27" x14ac:dyDescent="0.25">
      <c r="A87" s="10" t="s">
        <v>556</v>
      </c>
      <c r="B87" s="10" t="s">
        <v>557</v>
      </c>
      <c r="C87" s="13" t="str">
        <f>_xll.BDH("SRPT US Equity","ARDR_STOCK_BASED_CMPNSTN_IN_R&amp;D","FQ4 2018","FQ4 2018","Currency=USD","Period=FQ","BEST_FPERIOD_OVERRIDE=FQ","FILING_STATUS=MR","Sort=A","Dates=H","DateFormat=P","Fill=—","Direction=H","UseDPDF=Y")</f>
        <v>—</v>
      </c>
      <c r="D87" s="13">
        <f>_xll.BDH("SRPT US Equity","ARDR_STOCK_BASED_CMPNSTN_IN_R&amp;D","FQ1 2019","FQ1 2019","Currency=USD","Period=FQ","BEST_FPERIOD_OVERRIDE=FQ","FILING_STATUS=MR","Sort=A","Dates=H","DateFormat=P","Fill=—","Direction=H","UseDPDF=Y")</f>
        <v>5.0869999999999997</v>
      </c>
      <c r="E87" s="13">
        <f>_xll.BDH("SRPT US Equity","ARDR_STOCK_BASED_CMPNSTN_IN_R&amp;D","FQ2 2019","FQ2 2019","Currency=USD","Period=FQ","BEST_FPERIOD_OVERRIDE=FQ","FILING_STATUS=MR","Sort=A","Dates=H","DateFormat=P","Fill=—","Direction=H","UseDPDF=Y")</f>
        <v>6.923</v>
      </c>
      <c r="F87" s="13">
        <f>_xll.BDH("SRPT US Equity","ARDR_STOCK_BASED_CMPNSTN_IN_R&amp;D","FQ3 2019","FQ3 2019","Currency=USD","Period=FQ","BEST_FPERIOD_OVERRIDE=FQ","FILING_STATUS=MR","Sort=A","Dates=H","DateFormat=P","Fill=—","Direction=H","UseDPDF=Y")</f>
        <v>6.9720000000000004</v>
      </c>
      <c r="G87" s="13">
        <f>_xll.BDH("SRPT US Equity","ARDR_STOCK_BASED_CMPNSTN_IN_R&amp;D","FQ4 2019","FQ4 2019","Currency=USD","Period=FQ","BEST_FPERIOD_OVERRIDE=FQ","FILING_STATUS=MR","Sort=A","Dates=H","DateFormat=P","Fill=—","Direction=H","UseDPDF=Y")</f>
        <v>-9.875</v>
      </c>
      <c r="H87" s="13">
        <f>_xll.BDH("SRPT US Equity","ARDR_STOCK_BASED_CMPNSTN_IN_R&amp;D","FQ1 2020","FQ1 2020","Currency=USD","Period=FQ","BEST_FPERIOD_OVERRIDE=FQ","FILING_STATUS=MR","Sort=A","Dates=H","DateFormat=P","Fill=—","Direction=H","UseDPDF=Y")</f>
        <v>9.2490000000000006</v>
      </c>
      <c r="I87" s="13">
        <f>_xll.BDH("SRPT US Equity","ARDR_STOCK_BASED_CMPNSTN_IN_R&amp;D","FQ2 2020","FQ2 2020","Currency=USD","Period=FQ","BEST_FPERIOD_OVERRIDE=FQ","FILING_STATUS=MR","Sort=A","Dates=H","DateFormat=P","Fill=—","Direction=H","UseDPDF=Y")</f>
        <v>11.14</v>
      </c>
      <c r="J87" s="13">
        <f>_xll.BDH("SRPT US Equity","ARDR_STOCK_BASED_CMPNSTN_IN_R&amp;D","FQ3 2020","FQ3 2020","Currency=USD","Period=FQ","BEST_FPERIOD_OVERRIDE=FQ","FILING_STATUS=MR","Sort=A","Dates=H","DateFormat=P","Fill=—","Direction=H","UseDPDF=Y")</f>
        <v>10.645</v>
      </c>
      <c r="K87" s="13">
        <f>_xll.BDH("SRPT US Equity","ARDR_STOCK_BASED_CMPNSTN_IN_R&amp;D","FQ4 2020","FQ4 2020","Currency=USD","Period=FQ","BEST_FPERIOD_OVERRIDE=FQ","FILING_STATUS=MR","Sort=A","Dates=H","DateFormat=P","Fill=—","Direction=H","UseDPDF=Y")</f>
        <v>10.637</v>
      </c>
      <c r="L87" s="13">
        <f>_xll.BDH("SRPT US Equity","ARDR_STOCK_BASED_CMPNSTN_IN_R&amp;D","FQ1 2021","FQ1 2021","Currency=USD","Period=FQ","BEST_FPERIOD_OVERRIDE=FQ","FILING_STATUS=MR","Sort=A","Dates=H","DateFormat=P","Fill=—","Direction=H","UseDPDF=Y")</f>
        <v>11.125999999999999</v>
      </c>
      <c r="M87" s="13">
        <f>_xll.BDH("SRPT US Equity","ARDR_STOCK_BASED_CMPNSTN_IN_R&amp;D","FQ2 2021","FQ2 2021","Currency=USD","Period=FQ","BEST_FPERIOD_OVERRIDE=FQ","FILING_STATUS=MR","Sort=A","Dates=H","DateFormat=P","Fill=—","Direction=H","UseDPDF=Y")</f>
        <v>12.86</v>
      </c>
      <c r="N87" s="13">
        <f>_xll.BDH("SRPT US Equity","ARDR_STOCK_BASED_CMPNSTN_IN_R&amp;D","FQ3 2021","FQ3 2021","Currency=USD","Period=FQ","BEST_FPERIOD_OVERRIDE=FQ","FILING_STATUS=MR","Sort=A","Dates=H","DateFormat=P","Fill=—","Direction=H","UseDPDF=Y")</f>
        <v>12.031000000000001</v>
      </c>
      <c r="O87" s="13">
        <f>_xll.BDH("SRPT US Equity","ARDR_STOCK_BASED_CMPNSTN_IN_R&amp;D","FQ4 2021","FQ4 2021","Currency=USD","Period=FQ","BEST_FPERIOD_OVERRIDE=FQ","FILING_STATUS=MR","Sort=A","Dates=H","DateFormat=P","Fill=—","Direction=H","UseDPDF=Y")</f>
        <v>14.509</v>
      </c>
      <c r="P87" s="13">
        <f>_xll.BDH("SRPT US Equity","ARDR_STOCK_BASED_CMPNSTN_IN_R&amp;D","FQ1 2022","FQ1 2022","Currency=USD","Period=FQ","BEST_FPERIOD_OVERRIDE=FQ","FILING_STATUS=MR","Sort=A","Dates=H","DateFormat=P","Fill=—","Direction=H","UseDPDF=Y")</f>
        <v>13.068</v>
      </c>
      <c r="Q87" s="13">
        <f>_xll.BDH("SRPT US Equity","ARDR_STOCK_BASED_CMPNSTN_IN_R&amp;D","FQ2 2022","FQ2 2022","Currency=USD","Period=FQ","BEST_FPERIOD_OVERRIDE=FQ","FILING_STATUS=MR","Sort=A","Dates=H","DateFormat=P","Fill=—","Direction=H","UseDPDF=Y")</f>
        <v>14.467000000000001</v>
      </c>
      <c r="R87" s="13">
        <f>_xll.BDH("SRPT US Equity","ARDR_STOCK_BASED_CMPNSTN_IN_R&amp;D","FQ3 2022","FQ3 2022","Currency=USD","Period=FQ","BEST_FPERIOD_OVERRIDE=FQ","FILING_STATUS=MR","Sort=A","Dates=H","DateFormat=P","Fill=—","Direction=H","UseDPDF=Y")</f>
        <v>14.795</v>
      </c>
      <c r="S87" s="13">
        <f>_xll.BDH("SRPT US Equity","ARDR_STOCK_BASED_CMPNSTN_IN_R&amp;D","FQ4 2022","FQ4 2022","Currency=USD","Period=FQ","BEST_FPERIOD_OVERRIDE=FQ","FILING_STATUS=MR","Sort=A","Dates=H","DateFormat=P","Fill=—","Direction=H","UseDPDF=Y")</f>
        <v>18.963000000000001</v>
      </c>
      <c r="T87" s="13">
        <f>_xll.BDH("SRPT US Equity","ARDR_STOCK_BASED_CMPNSTN_IN_R&amp;D","FQ1 2023","FQ1 2023","Currency=USD","Period=FQ","BEST_FPERIOD_OVERRIDE=FQ","FILING_STATUS=MR","Sort=A","Dates=H","DateFormat=P","Fill=—","Direction=H","UseDPDF=Y")</f>
        <v>16.413</v>
      </c>
      <c r="U87" s="13">
        <f>_xll.BDH("SRPT US Equity","ARDR_STOCK_BASED_CMPNSTN_IN_R&amp;D","FQ2 2023","FQ2 2023","Currency=USD","Period=FQ","BEST_FPERIOD_OVERRIDE=FQ","FILING_STATUS=MR","Sort=A","Dates=H","DateFormat=P","Fill=—","Direction=H","UseDPDF=Y")</f>
        <v>21.577000000000002</v>
      </c>
      <c r="V87" s="13">
        <f>_xll.BDH("SRPT US Equity","ARDR_STOCK_BASED_CMPNSTN_IN_R&amp;D","FQ3 2023","FQ3 2023","Currency=USD","Period=FQ","BEST_FPERIOD_OVERRIDE=FQ","FILING_STATUS=MR","Sort=A","Dates=H","DateFormat=P","Fill=—","Direction=H","UseDPDF=Y")</f>
        <v>22.324999999999999</v>
      </c>
      <c r="W87" s="13">
        <f>_xll.BDH("SRPT US Equity","ARDR_STOCK_BASED_CMPNSTN_IN_R&amp;D","FQ4 2023","FQ4 2023","Currency=USD","Period=FQ","BEST_FPERIOD_OVERRIDE=FQ","FILING_STATUS=MR","Sort=A","Dates=H","DateFormat=P","Fill=—","Direction=H","UseDPDF=Y")</f>
        <v>-22.173999999999999</v>
      </c>
      <c r="X87" s="13">
        <f>_xll.BDH("SRPT US Equity","ARDR_STOCK_BASED_CMPNSTN_IN_R&amp;D","FQ1 2024","FQ1 2024","Currency=USD","Period=FQ","BEST_FPERIOD_OVERRIDE=FQ","FILING_STATUS=MR","Sort=A","Dates=H","DateFormat=P","Fill=—","Direction=H","UseDPDF=Y")</f>
        <v>16.273</v>
      </c>
      <c r="Y87" s="13">
        <f>_xll.BDH("SRPT US Equity","ARDR_STOCK_BASED_CMPNSTN_IN_R&amp;D","FQ2 2024","FQ2 2024","Currency=USD","Period=FQ","BEST_FPERIOD_OVERRIDE=FQ","FILING_STATUS=MR","Sort=A","Dates=H","DateFormat=P","Fill=—","Direction=H","UseDPDF=Y")</f>
        <v>19.806000000000001</v>
      </c>
      <c r="Z87" s="13">
        <f>_xll.BDH("SRPT US Equity","ARDR_STOCK_BASED_CMPNSTN_IN_R&amp;D","FQ3 2024","FQ3 2024","Currency=USD","Period=FQ","BEST_FPERIOD_OVERRIDE=FQ","FILING_STATUS=MR","Sort=A","Dates=H","DateFormat=P","Fill=—","Direction=H","UseDPDF=Y")</f>
        <v>18.033999999999999</v>
      </c>
      <c r="AA87" s="13">
        <f>_xll.BDH("SRPT US Equity","ARDR_STOCK_BASED_CMPNSTN_IN_R&amp;D","FQ4 2024","FQ4 2024","Currency=USD","Period=FQ","BEST_FPERIOD_OVERRIDE=FQ","FILING_STATUS=MR","Sort=A","Dates=H","DateFormat=P","Fill=—","Direction=H","UseDPDF=Y")</f>
        <v>19.896999999999998</v>
      </c>
    </row>
    <row r="88" spans="1:27" x14ac:dyDescent="0.25">
      <c r="A88" s="10" t="s">
        <v>558</v>
      </c>
      <c r="B88" s="10" t="s">
        <v>559</v>
      </c>
      <c r="C88" s="13" t="str">
        <f>_xll.BDH("SRPT US Equity","ARDR_STOCK_BASED_CMPNSTN_IN_SG&amp;A","FQ4 2018","FQ4 2018","Currency=USD","Period=FQ","BEST_FPERIOD_OVERRIDE=FQ","FILING_STATUS=MR","Sort=A","Dates=H","DateFormat=P","Fill=—","Direction=H","UseDPDF=Y")</f>
        <v>—</v>
      </c>
      <c r="D88" s="13">
        <f>_xll.BDH("SRPT US Equity","ARDR_STOCK_BASED_CMPNSTN_IN_SG&amp;A","FQ1 2019","FQ1 2019","Currency=USD","Period=FQ","BEST_FPERIOD_OVERRIDE=FQ","FILING_STATUS=MR","Sort=A","Dates=H","DateFormat=P","Fill=—","Direction=H","UseDPDF=Y")</f>
        <v>11.052</v>
      </c>
      <c r="E88" s="13">
        <f>_xll.BDH("SRPT US Equity","ARDR_STOCK_BASED_CMPNSTN_IN_SG&amp;A","FQ2 2019","FQ2 2019","Currency=USD","Period=FQ","BEST_FPERIOD_OVERRIDE=FQ","FILING_STATUS=MR","Sort=A","Dates=H","DateFormat=P","Fill=—","Direction=H","UseDPDF=Y")</f>
        <v>12.839</v>
      </c>
      <c r="F88" s="13">
        <f>_xll.BDH("SRPT US Equity","ARDR_STOCK_BASED_CMPNSTN_IN_SG&amp;A","FQ3 2019","FQ3 2019","Currency=USD","Period=FQ","BEST_FPERIOD_OVERRIDE=FQ","FILING_STATUS=MR","Sort=A","Dates=H","DateFormat=P","Fill=—","Direction=H","UseDPDF=Y")</f>
        <v>13.664999999999999</v>
      </c>
      <c r="G88" s="13">
        <f>_xll.BDH("SRPT US Equity","ARDR_STOCK_BASED_CMPNSTN_IN_SG&amp;A","FQ4 2019","FQ4 2019","Currency=USD","Period=FQ","BEST_FPERIOD_OVERRIDE=FQ","FILING_STATUS=MR","Sort=A","Dates=H","DateFormat=P","Fill=—","Direction=H","UseDPDF=Y")</f>
        <v>31.939</v>
      </c>
      <c r="H88" s="13">
        <f>_xll.BDH("SRPT US Equity","ARDR_STOCK_BASED_CMPNSTN_IN_SG&amp;A","FQ1 2020","FQ1 2020","Currency=USD","Period=FQ","BEST_FPERIOD_OVERRIDE=FQ","FILING_STATUS=MR","Sort=A","Dates=H","DateFormat=P","Fill=—","Direction=H","UseDPDF=Y")</f>
        <v>14.775</v>
      </c>
      <c r="I88" s="13">
        <f>_xll.BDH("SRPT US Equity","ARDR_STOCK_BASED_CMPNSTN_IN_SG&amp;A","FQ2 2020","FQ2 2020","Currency=USD","Period=FQ","BEST_FPERIOD_OVERRIDE=FQ","FILING_STATUS=MR","Sort=A","Dates=H","DateFormat=P","Fill=—","Direction=H","UseDPDF=Y")</f>
        <v>16.475999999999999</v>
      </c>
      <c r="J88" s="13">
        <f>_xll.BDH("SRPT US Equity","ARDR_STOCK_BASED_CMPNSTN_IN_SG&amp;A","FQ3 2020","FQ3 2020","Currency=USD","Period=FQ","BEST_FPERIOD_OVERRIDE=FQ","FILING_STATUS=MR","Sort=A","Dates=H","DateFormat=P","Fill=—","Direction=H","UseDPDF=Y")</f>
        <v>16.257999999999999</v>
      </c>
      <c r="K88" s="13">
        <f>_xll.BDH("SRPT US Equity","ARDR_STOCK_BASED_CMPNSTN_IN_SG&amp;A","FQ4 2020","FQ4 2020","Currency=USD","Period=FQ","BEST_FPERIOD_OVERRIDE=FQ","FILING_STATUS=MR","Sort=A","Dates=H","DateFormat=P","Fill=—","Direction=H","UseDPDF=Y")</f>
        <v>18.89</v>
      </c>
      <c r="L88" s="13">
        <f>_xll.BDH("SRPT US Equity","ARDR_STOCK_BASED_CMPNSTN_IN_SG&amp;A","FQ1 2021","FQ1 2021","Currency=USD","Period=FQ","BEST_FPERIOD_OVERRIDE=FQ","FILING_STATUS=MR","Sort=A","Dates=H","DateFormat=P","Fill=—","Direction=H","UseDPDF=Y")</f>
        <v>17.382000000000001</v>
      </c>
      <c r="M88" s="13">
        <f>_xll.BDH("SRPT US Equity","ARDR_STOCK_BASED_CMPNSTN_IN_SG&amp;A","FQ2 2021","FQ2 2021","Currency=USD","Period=FQ","BEST_FPERIOD_OVERRIDE=FQ","FILING_STATUS=MR","Sort=A","Dates=H","DateFormat=P","Fill=—","Direction=H","UseDPDF=Y")</f>
        <v>16.109000000000002</v>
      </c>
      <c r="N88" s="13">
        <f>_xll.BDH("SRPT US Equity","ARDR_STOCK_BASED_CMPNSTN_IN_SG&amp;A","FQ3 2021","FQ3 2021","Currency=USD","Period=FQ","BEST_FPERIOD_OVERRIDE=FQ","FILING_STATUS=MR","Sort=A","Dates=H","DateFormat=P","Fill=—","Direction=H","UseDPDF=Y")</f>
        <v>14.653</v>
      </c>
      <c r="O88" s="13">
        <f>_xll.BDH("SRPT US Equity","ARDR_STOCK_BASED_CMPNSTN_IN_SG&amp;A","FQ4 2021","FQ4 2021","Currency=USD","Period=FQ","BEST_FPERIOD_OVERRIDE=FQ","FILING_STATUS=MR","Sort=A","Dates=H","DateFormat=P","Fill=—","Direction=H","UseDPDF=Y")</f>
        <v>29.782</v>
      </c>
      <c r="P88" s="13">
        <f>_xll.BDH("SRPT US Equity","ARDR_STOCK_BASED_CMPNSTN_IN_SG&amp;A","FQ1 2022","FQ1 2022","Currency=USD","Period=FQ","BEST_FPERIOD_OVERRIDE=FQ","FILING_STATUS=MR","Sort=A","Dates=H","DateFormat=P","Fill=—","Direction=H","UseDPDF=Y")</f>
        <v>16.13</v>
      </c>
      <c r="Q88" s="13">
        <f>_xll.BDH("SRPT US Equity","ARDR_STOCK_BASED_CMPNSTN_IN_SG&amp;A","FQ2 2022","FQ2 2022","Currency=USD","Period=FQ","BEST_FPERIOD_OVERRIDE=FQ","FILING_STATUS=MR","Sort=A","Dates=H","DateFormat=P","Fill=—","Direction=H","UseDPDF=Y")</f>
        <v>88.424999999999997</v>
      </c>
      <c r="R88" s="13">
        <f>_xll.BDH("SRPT US Equity","ARDR_STOCK_BASED_CMPNSTN_IN_SG&amp;A","FQ3 2022","FQ3 2022","Currency=USD","Period=FQ","BEST_FPERIOD_OVERRIDE=FQ","FILING_STATUS=MR","Sort=A","Dates=H","DateFormat=P","Fill=—","Direction=H","UseDPDF=Y")</f>
        <v>35.622999999999998</v>
      </c>
      <c r="S88" s="13">
        <f>_xll.BDH("SRPT US Equity","ARDR_STOCK_BASED_CMPNSTN_IN_SG&amp;A","FQ4 2022","FQ4 2022","Currency=USD","Period=FQ","BEST_FPERIOD_OVERRIDE=FQ","FILING_STATUS=MR","Sort=A","Dates=H","DateFormat=P","Fill=—","Direction=H","UseDPDF=Y")</f>
        <v>50.51</v>
      </c>
      <c r="T88" s="13">
        <f>_xll.BDH("SRPT US Equity","ARDR_STOCK_BASED_CMPNSTN_IN_SG&amp;A","FQ1 2023","FQ1 2023","Currency=USD","Period=FQ","BEST_FPERIOD_OVERRIDE=FQ","FILING_STATUS=MR","Sort=A","Dates=H","DateFormat=P","Fill=—","Direction=H","UseDPDF=Y")</f>
        <v>24.837</v>
      </c>
      <c r="U88" s="13">
        <f>_xll.BDH("SRPT US Equity","ARDR_STOCK_BASED_CMPNSTN_IN_SG&amp;A","FQ2 2023","FQ2 2023","Currency=USD","Period=FQ","BEST_FPERIOD_OVERRIDE=FQ","FILING_STATUS=MR","Sort=A","Dates=H","DateFormat=P","Fill=—","Direction=H","UseDPDF=Y")</f>
        <v>25.8</v>
      </c>
      <c r="V88" s="13">
        <f>_xll.BDH("SRPT US Equity","ARDR_STOCK_BASED_CMPNSTN_IN_SG&amp;A","FQ3 2023","FQ3 2023","Currency=USD","Period=FQ","BEST_FPERIOD_OVERRIDE=FQ","FILING_STATUS=MR","Sort=A","Dates=H","DateFormat=P","Fill=—","Direction=H","UseDPDF=Y")</f>
        <v>25.736000000000001</v>
      </c>
      <c r="W88" s="13">
        <f>_xll.BDH("SRPT US Equity","ARDR_STOCK_BASED_CMPNSTN_IN_SG&amp;A","FQ4 2023","FQ4 2023","Currency=USD","Period=FQ","BEST_FPERIOD_OVERRIDE=FQ","FILING_STATUS=MR","Sort=A","Dates=H","DateFormat=P","Fill=—","Direction=H","UseDPDF=Y")</f>
        <v>-45.826000000000001</v>
      </c>
      <c r="X88" s="13">
        <f>_xll.BDH("SRPT US Equity","ARDR_STOCK_BASED_CMPNSTN_IN_SG&amp;A","FQ1 2024","FQ1 2024","Currency=USD","Period=FQ","BEST_FPERIOD_OVERRIDE=FQ","FILING_STATUS=MR","Sort=A","Dates=H","DateFormat=P","Fill=—","Direction=H","UseDPDF=Y")</f>
        <v>24.419</v>
      </c>
      <c r="Y88" s="13">
        <f>_xll.BDH("SRPT US Equity","ARDR_STOCK_BASED_CMPNSTN_IN_SG&amp;A","FQ2 2024","FQ2 2024","Currency=USD","Period=FQ","BEST_FPERIOD_OVERRIDE=FQ","FILING_STATUS=MR","Sort=A","Dates=H","DateFormat=P","Fill=—","Direction=H","UseDPDF=Y")</f>
        <v>30.675999999999998</v>
      </c>
      <c r="Z88" s="13">
        <f>_xll.BDH("SRPT US Equity","ARDR_STOCK_BASED_CMPNSTN_IN_SG&amp;A","FQ3 2024","FQ3 2024","Currency=USD","Period=FQ","BEST_FPERIOD_OVERRIDE=FQ","FILING_STATUS=MR","Sort=A","Dates=H","DateFormat=P","Fill=—","Direction=H","UseDPDF=Y")</f>
        <v>25.416</v>
      </c>
      <c r="AA88" s="13">
        <f>_xll.BDH("SRPT US Equity","ARDR_STOCK_BASED_CMPNSTN_IN_SG&amp;A","FQ4 2024","FQ4 2024","Currency=USD","Period=FQ","BEST_FPERIOD_OVERRIDE=FQ","FILING_STATUS=MR","Sort=A","Dates=H","DateFormat=P","Fill=—","Direction=H","UseDPDF=Y")</f>
        <v>49.676000000000002</v>
      </c>
    </row>
    <row r="89" spans="1:27" x14ac:dyDescent="0.25">
      <c r="A89" s="10" t="s">
        <v>560</v>
      </c>
      <c r="B89" s="10" t="s">
        <v>561</v>
      </c>
      <c r="C89" s="13">
        <f>_xll.BDH("SRPT US Equity","ARDR_NON_GAAP_SG&amp;A","FQ4 2018","FQ4 2018","Currency=USD","Period=FQ","BEST_FPERIOD_OVERRIDE=FQ","FILING_STATUS=MR","SCALING_FORMAT=MLN","Sort=A","Dates=H","DateFormat=P","Fill=—","Direction=H","UseDPDF=Y")</f>
        <v>52.86</v>
      </c>
      <c r="D89" s="13">
        <f>_xll.BDH("SRPT US Equity","ARDR_NON_GAAP_SG&amp;A","FQ1 2019","FQ1 2019","Currency=USD","Period=FQ","BEST_FPERIOD_OVERRIDE=FQ","FILING_STATUS=MR","SCALING_FORMAT=MLN","Sort=A","Dates=H","DateFormat=P","Fill=—","Direction=H","UseDPDF=Y")</f>
        <v>47.811999999999998</v>
      </c>
      <c r="E89" s="13">
        <f>_xll.BDH("SRPT US Equity","ARDR_NON_GAAP_SG&amp;A","FQ2 2019","FQ2 2019","Currency=USD","Period=FQ","BEST_FPERIOD_OVERRIDE=FQ","FILING_STATUS=MR","SCALING_FORMAT=MLN","Sort=A","Dates=H","DateFormat=P","Fill=—","Direction=H","UseDPDF=Y")</f>
        <v>52.262999999999998</v>
      </c>
      <c r="F89" s="13">
        <f>_xll.BDH("SRPT US Equity","ARDR_NON_GAAP_SG&amp;A","FQ3 2019","FQ3 2019","Currency=USD","Period=FQ","BEST_FPERIOD_OVERRIDE=FQ","FILING_STATUS=MR","SCALING_FORMAT=MLN","Sort=A","Dates=H","DateFormat=P","Fill=—","Direction=H","UseDPDF=Y")</f>
        <v>59.603999999999999</v>
      </c>
      <c r="G89" s="13">
        <f>_xll.BDH("SRPT US Equity","ARDR_NON_GAAP_SG&amp;A","FQ4 2019","FQ4 2019","Currency=USD","Period=FQ","BEST_FPERIOD_OVERRIDE=FQ","FILING_STATUS=MR","SCALING_FORMAT=MLN","Sort=A","Dates=H","DateFormat=P","Fill=—","Direction=H","UseDPDF=Y")</f>
        <v>65.801000000000002</v>
      </c>
      <c r="H89" s="13">
        <f>_xll.BDH("SRPT US Equity","ARDR_NON_GAAP_SG&amp;A","FQ1 2020","FQ1 2020","Currency=USD","Period=FQ","BEST_FPERIOD_OVERRIDE=FQ","FILING_STATUS=MR","SCALING_FORMAT=MLN","Sort=A","Dates=H","DateFormat=P","Fill=—","Direction=H","UseDPDF=Y")</f>
        <v>54.515000000000001</v>
      </c>
      <c r="I89" s="13">
        <f>_xll.BDH("SRPT US Equity","ARDR_NON_GAAP_SG&amp;A","FQ2 2020","FQ2 2020","Currency=USD","Period=FQ","BEST_FPERIOD_OVERRIDE=FQ","FILING_STATUS=MR","SCALING_FORMAT=MLN","Sort=A","Dates=H","DateFormat=P","Fill=—","Direction=H","UseDPDF=Y")</f>
        <v>55.100999999999999</v>
      </c>
      <c r="J89" s="13">
        <f>_xll.BDH("SRPT US Equity","ARDR_NON_GAAP_SG&amp;A","FQ3 2020","FQ3 2020","Currency=USD","Period=FQ","BEST_FPERIOD_OVERRIDE=FQ","FILING_STATUS=MR","SCALING_FORMAT=MLN","Sort=A","Dates=H","DateFormat=P","Fill=—","Direction=H","UseDPDF=Y")</f>
        <v>57.177999999999997</v>
      </c>
      <c r="K89" s="13">
        <f>_xll.BDH("SRPT US Equity","ARDR_NON_GAAP_SG&amp;A","FQ4 2020","FQ4 2020","Currency=USD","Period=FQ","BEST_FPERIOD_OVERRIDE=FQ","FILING_STATUS=MR","SCALING_FORMAT=MLN","Sort=A","Dates=H","DateFormat=P","Fill=—","Direction=H","UseDPDF=Y")</f>
        <v>65.194999999999993</v>
      </c>
      <c r="L89" s="13">
        <f>_xll.BDH("SRPT US Equity","ARDR_NON_GAAP_SG&amp;A","FQ1 2021","FQ1 2021","Currency=USD","Period=FQ","BEST_FPERIOD_OVERRIDE=FQ","FILING_STATUS=MR","SCALING_FORMAT=MLN","Sort=A","Dates=H","DateFormat=P","Fill=—","Direction=H","UseDPDF=Y")</f>
        <v>51.527000000000001</v>
      </c>
      <c r="M89" s="13">
        <f>_xll.BDH("SRPT US Equity","ARDR_NON_GAAP_SG&amp;A","FQ2 2021","FQ2 2021","Currency=USD","Period=FQ","BEST_FPERIOD_OVERRIDE=FQ","FILING_STATUS=MR","SCALING_FORMAT=MLN","Sort=A","Dates=H","DateFormat=P","Fill=—","Direction=H","UseDPDF=Y")</f>
        <v>54.03</v>
      </c>
      <c r="N89" s="13">
        <f>_xll.BDH("SRPT US Equity","ARDR_NON_GAAP_SG&amp;A","FQ3 2021","FQ3 2021","Currency=USD","Period=FQ","BEST_FPERIOD_OVERRIDE=FQ","FILING_STATUS=MR","SCALING_FORMAT=MLN","Sort=A","Dates=H","DateFormat=P","Fill=—","Direction=H","UseDPDF=Y")</f>
        <v>43.601999999999997</v>
      </c>
      <c r="O89" s="13">
        <f>_xll.BDH("SRPT US Equity","ARDR_NON_GAAP_SG&amp;A","FQ4 2021","FQ4 2021","Currency=USD","Period=FQ","BEST_FPERIOD_OVERRIDE=FQ","FILING_STATUS=MR","SCALING_FORMAT=MLN","Sort=A","Dates=H","DateFormat=P","Fill=—","Direction=H","UseDPDF=Y")</f>
        <v>60.066000000000003</v>
      </c>
      <c r="P89" s="13">
        <f>_xll.BDH("SRPT US Equity","ARDR_NON_GAAP_SG&amp;A","FQ1 2022","FQ1 2022","Currency=USD","Period=FQ","BEST_FPERIOD_OVERRIDE=FQ","FILING_STATUS=MR","SCALING_FORMAT=MLN","Sort=A","Dates=H","DateFormat=P","Fill=—","Direction=H","UseDPDF=Y")</f>
        <v>53.191000000000003</v>
      </c>
      <c r="Q89" s="13">
        <f>_xll.BDH("SRPT US Equity","ARDR_NON_GAAP_SG&amp;A","FQ2 2022","FQ2 2022","Currency=USD","Period=FQ","BEST_FPERIOD_OVERRIDE=FQ","FILING_STATUS=MR","SCALING_FORMAT=MLN","Sort=A","Dates=H","DateFormat=P","Fill=—","Direction=H","UseDPDF=Y")</f>
        <v>63.692999999999998</v>
      </c>
      <c r="R89" s="13">
        <f>_xll.BDH("SRPT US Equity","ARDR_NON_GAAP_SG&amp;A","FQ3 2022","FQ3 2022","Currency=USD","Period=FQ","BEST_FPERIOD_OVERRIDE=FQ","FILING_STATUS=MR","SCALING_FORMAT=MLN","Sort=A","Dates=H","DateFormat=P","Fill=—","Direction=H","UseDPDF=Y")</f>
        <v>66.805000000000007</v>
      </c>
      <c r="S89" s="13">
        <f>_xll.BDH("SRPT US Equity","ARDR_NON_GAAP_SG&amp;A","FQ4 2022","FQ4 2022","Currency=USD","Period=FQ","BEST_FPERIOD_OVERRIDE=FQ","FILING_STATUS=MR","SCALING_FORMAT=MLN","Sort=A","Dates=H","DateFormat=P","Fill=—","Direction=H","UseDPDF=Y")</f>
        <v>86.57</v>
      </c>
      <c r="T89" s="13">
        <f>_xll.BDH("SRPT US Equity","ARDR_NON_GAAP_SG&amp;A","FQ1 2023","FQ1 2023","Currency=USD","Period=FQ","BEST_FPERIOD_OVERRIDE=FQ","FILING_STATUS=MR","SCALING_FORMAT=MLN","Sort=A","Dates=H","DateFormat=P","Fill=—","Direction=H","UseDPDF=Y")</f>
        <v>83.301000000000002</v>
      </c>
      <c r="U89" s="13">
        <f>_xll.BDH("SRPT US Equity","ARDR_NON_GAAP_SG&amp;A","FQ2 2023","FQ2 2023","Currency=USD","Period=FQ","BEST_FPERIOD_OVERRIDE=FQ","FILING_STATUS=MR","SCALING_FORMAT=MLN","Sort=A","Dates=H","DateFormat=P","Fill=—","Direction=H","UseDPDF=Y")</f>
        <v>90.284999999999997</v>
      </c>
      <c r="V89" s="13">
        <f>_xll.BDH("SRPT US Equity","ARDR_NON_GAAP_SG&amp;A","FQ3 2023","FQ3 2023","Currency=USD","Period=FQ","BEST_FPERIOD_OVERRIDE=FQ","FILING_STATUS=MR","SCALING_FORMAT=MLN","Sort=A","Dates=H","DateFormat=P","Fill=—","Direction=H","UseDPDF=Y")</f>
        <v>92.777000000000001</v>
      </c>
      <c r="W89" s="13">
        <f>_xll.BDH("SRPT US Equity","ARDR_NON_GAAP_SG&amp;A","FQ4 2023","FQ4 2023","Currency=USD","Period=FQ","BEST_FPERIOD_OVERRIDE=FQ","FILING_STATUS=MR","SCALING_FORMAT=MLN","Sort=A","Dates=H","DateFormat=P","Fill=—","Direction=H","UseDPDF=Y")</f>
        <v>105.65600000000001</v>
      </c>
      <c r="X89" s="13">
        <f>_xll.BDH("SRPT US Equity","ARDR_NON_GAAP_SG&amp;A","FQ1 2024","FQ1 2024","Currency=USD","Period=FQ","BEST_FPERIOD_OVERRIDE=FQ","FILING_STATUS=MR","SCALING_FORMAT=MLN","Sort=A","Dates=H","DateFormat=P","Fill=—","Direction=H","UseDPDF=Y")</f>
        <v>100.48699999999999</v>
      </c>
      <c r="Y89" s="13">
        <f>_xll.BDH("SRPT US Equity","ARDR_NON_GAAP_SG&amp;A","FQ2 2024","FQ2 2024","Currency=USD","Period=FQ","BEST_FPERIOD_OVERRIDE=FQ","FILING_STATUS=MR","SCALING_FORMAT=MLN","Sort=A","Dates=H","DateFormat=P","Fill=—","Direction=H","UseDPDF=Y")</f>
        <v>105.98399999999999</v>
      </c>
      <c r="Z89" s="13">
        <f>_xll.BDH("SRPT US Equity","ARDR_NON_GAAP_SG&amp;A","FQ3 2024","FQ3 2024","Currency=USD","Period=FQ","BEST_FPERIOD_OVERRIDE=FQ","FILING_STATUS=MR","SCALING_FORMAT=MLN","Sort=A","Dates=H","DateFormat=P","Fill=—","Direction=H","UseDPDF=Y")</f>
        <v>100.244</v>
      </c>
      <c r="AA89" s="13">
        <f>_xll.BDH("SRPT US Equity","ARDR_NON_GAAP_SG&amp;A","FQ4 2024","FQ4 2024","Currency=USD","Period=FQ","BEST_FPERIOD_OVERRIDE=FQ","FILING_STATUS=MR","SCALING_FORMAT=MLN","Sort=A","Dates=H","DateFormat=P","Fill=—","Direction=H","UseDPDF=Y")</f>
        <v>131.596</v>
      </c>
    </row>
    <row r="90" spans="1:27" x14ac:dyDescent="0.25">
      <c r="A90" s="10" t="s">
        <v>562</v>
      </c>
      <c r="B90" s="10" t="s">
        <v>563</v>
      </c>
      <c r="C90" s="13">
        <f>_xll.BDH("SRPT US Equity","ARDR_NON_GAAP_G&amp;A","FQ4 2018","FQ4 2018","Currency=USD","Period=FQ","BEST_FPERIOD_OVERRIDE=FQ","FILING_STATUS=MR","SCALING_FORMAT=MLN","Sort=A","Dates=H","DateFormat=P","Fill=—","Direction=H","UseDPDF=Y")</f>
        <v>52.86</v>
      </c>
      <c r="D90" s="13">
        <f>_xll.BDH("SRPT US Equity","ARDR_NON_GAAP_G&amp;A","FQ1 2019","FQ1 2019","Currency=USD","Period=FQ","BEST_FPERIOD_OVERRIDE=FQ","FILING_STATUS=MR","SCALING_FORMAT=MLN","Sort=A","Dates=H","DateFormat=P","Fill=—","Direction=H","UseDPDF=Y")</f>
        <v>-1.702</v>
      </c>
      <c r="E90" s="13">
        <f>_xll.BDH("SRPT US Equity","ARDR_NON_GAAP_G&amp;A","FQ2 2019","FQ2 2019","Currency=USD","Period=FQ","BEST_FPERIOD_OVERRIDE=FQ","FILING_STATUS=MR","SCALING_FORMAT=MLN","Sort=A","Dates=H","DateFormat=P","Fill=—","Direction=H","UseDPDF=Y")</f>
        <v>52.262999999999998</v>
      </c>
      <c r="F90" s="13">
        <f>_xll.BDH("SRPT US Equity","ARDR_NON_GAAP_G&amp;A","FQ3 2019","FQ3 2019","Currency=USD","Period=FQ","BEST_FPERIOD_OVERRIDE=FQ","FILING_STATUS=MR","SCALING_FORMAT=MLN","Sort=A","Dates=H","DateFormat=P","Fill=—","Direction=H","UseDPDF=Y")</f>
        <v>59.603999999999999</v>
      </c>
      <c r="G90" s="13">
        <f>_xll.BDH("SRPT US Equity","ARDR_NON_GAAP_G&amp;A","FQ4 2019","FQ4 2019","Currency=USD","Period=FQ","BEST_FPERIOD_OVERRIDE=FQ","FILING_STATUS=MR","SCALING_FORMAT=MLN","Sort=A","Dates=H","DateFormat=P","Fill=—","Direction=H","UseDPDF=Y")</f>
        <v>65.801000000000002</v>
      </c>
      <c r="H90" s="13">
        <f>_xll.BDH("SRPT US Equity","ARDR_NON_GAAP_G&amp;A","FQ1 2020","FQ1 2020","Currency=USD","Period=FQ","BEST_FPERIOD_OVERRIDE=FQ","FILING_STATUS=MR","SCALING_FORMAT=MLN","Sort=A","Dates=H","DateFormat=P","Fill=—","Direction=H","UseDPDF=Y")</f>
        <v>-2.1859999999999999</v>
      </c>
      <c r="I90" s="13">
        <f>_xll.BDH("SRPT US Equity","ARDR_NON_GAAP_G&amp;A","FQ2 2020","FQ2 2020","Currency=USD","Period=FQ","BEST_FPERIOD_OVERRIDE=FQ","FILING_STATUS=MR","SCALING_FORMAT=MLN","Sort=A","Dates=H","DateFormat=P","Fill=—","Direction=H","UseDPDF=Y")</f>
        <v>55.100999999999999</v>
      </c>
      <c r="J90" s="13">
        <f>_xll.BDH("SRPT US Equity","ARDR_NON_GAAP_G&amp;A","FQ3 2020","FQ3 2020","Currency=USD","Period=FQ","BEST_FPERIOD_OVERRIDE=FQ","FILING_STATUS=MR","SCALING_FORMAT=MLN","Sort=A","Dates=H","DateFormat=P","Fill=—","Direction=H","UseDPDF=Y")</f>
        <v>57.177999999999997</v>
      </c>
      <c r="K90" s="13">
        <f>_xll.BDH("SRPT US Equity","ARDR_NON_GAAP_G&amp;A","FQ4 2020","FQ4 2020","Currency=USD","Period=FQ","BEST_FPERIOD_OVERRIDE=FQ","FILING_STATUS=MR","SCALING_FORMAT=MLN","Sort=A","Dates=H","DateFormat=P","Fill=—","Direction=H","UseDPDF=Y")</f>
        <v>65.194999999999993</v>
      </c>
      <c r="L90" s="13">
        <f>_xll.BDH("SRPT US Equity","ARDR_NON_GAAP_G&amp;A","FQ1 2021","FQ1 2021","Currency=USD","Period=FQ","BEST_FPERIOD_OVERRIDE=FQ","FILING_STATUS=MR","SCALING_FORMAT=MLN","Sort=A","Dates=H","DateFormat=P","Fill=—","Direction=H","UseDPDF=Y")</f>
        <v>51.527000000000001</v>
      </c>
      <c r="M90" s="13">
        <f>_xll.BDH("SRPT US Equity","ARDR_NON_GAAP_G&amp;A","FQ2 2021","FQ2 2021","Currency=USD","Period=FQ","BEST_FPERIOD_OVERRIDE=FQ","FILING_STATUS=MR","SCALING_FORMAT=MLN","Sort=A","Dates=H","DateFormat=P","Fill=—","Direction=H","UseDPDF=Y")</f>
        <v>54.03</v>
      </c>
      <c r="N90" s="13">
        <f>_xll.BDH("SRPT US Equity","ARDR_NON_GAAP_G&amp;A","FQ3 2021","FQ3 2021","Currency=USD","Period=FQ","BEST_FPERIOD_OVERRIDE=FQ","FILING_STATUS=MR","SCALING_FORMAT=MLN","Sort=A","Dates=H","DateFormat=P","Fill=—","Direction=H","UseDPDF=Y")</f>
        <v>43.601999999999997</v>
      </c>
      <c r="O90" s="13" t="str">
        <f>_xll.BDH("SRPT US Equity","ARDR_NON_GAAP_G&amp;A","FQ4 2021","FQ4 2021","Currency=USD","Period=FQ","BEST_FPERIOD_OVERRIDE=FQ","FILING_STATUS=MR","SCALING_FORMAT=MLN","Sort=A","Dates=H","DateFormat=P","Fill=—","Direction=H","UseDPDF=Y")</f>
        <v>—</v>
      </c>
      <c r="P90" s="13" t="str">
        <f>_xll.BDH("SRPT US Equity","ARDR_NON_GAAP_G&amp;A","FQ1 2022","FQ1 2022","Currency=USD","Period=FQ","BEST_FPERIOD_OVERRIDE=FQ","FILING_STATUS=MR","SCALING_FORMAT=MLN","Sort=A","Dates=H","DateFormat=P","Fill=—","Direction=H","UseDPDF=Y")</f>
        <v>—</v>
      </c>
      <c r="Q90" s="13">
        <f>_xll.BDH("SRPT US Equity","ARDR_NON_GAAP_G&amp;A","FQ2 2022","FQ2 2022","Currency=USD","Period=FQ","BEST_FPERIOD_OVERRIDE=FQ","FILING_STATUS=MR","SCALING_FORMAT=MLN","Sort=A","Dates=H","DateFormat=P","Fill=—","Direction=H","UseDPDF=Y")</f>
        <v>63.692999999999998</v>
      </c>
      <c r="R90" s="13">
        <f>_xll.BDH("SRPT US Equity","ARDR_NON_GAAP_G&amp;A","FQ3 2022","FQ3 2022","Currency=USD","Period=FQ","BEST_FPERIOD_OVERRIDE=FQ","FILING_STATUS=MR","SCALING_FORMAT=MLN","Sort=A","Dates=H","DateFormat=P","Fill=—","Direction=H","UseDPDF=Y")</f>
        <v>66.805000000000007</v>
      </c>
      <c r="S90" s="13" t="str">
        <f>_xll.BDH("SRPT US Equity","ARDR_NON_GAAP_G&amp;A","FQ4 2022","FQ4 2022","Currency=USD","Period=FQ","BEST_FPERIOD_OVERRIDE=FQ","FILING_STATUS=MR","SCALING_FORMAT=MLN","Sort=A","Dates=H","DateFormat=P","Fill=—","Direction=H","UseDPDF=Y")</f>
        <v>—</v>
      </c>
      <c r="T90" s="13" t="str">
        <f>_xll.BDH("SRPT US Equity","ARDR_NON_GAAP_G&amp;A","FQ1 2023","FQ1 2023","Currency=USD","Period=FQ","BEST_FPERIOD_OVERRIDE=FQ","FILING_STATUS=MR","SCALING_FORMAT=MLN","Sort=A","Dates=H","DateFormat=P","Fill=—","Direction=H","UseDPDF=Y")</f>
        <v>—</v>
      </c>
      <c r="U90" s="13" t="str">
        <f>_xll.BDH("SRPT US Equity","ARDR_NON_GAAP_G&amp;A","FQ2 2023","FQ2 2023","Currency=USD","Period=FQ","BEST_FPERIOD_OVERRIDE=FQ","FILING_STATUS=MR","SCALING_FORMAT=MLN","Sort=A","Dates=H","DateFormat=P","Fill=—","Direction=H","UseDPDF=Y")</f>
        <v>—</v>
      </c>
      <c r="V90" s="13" t="str">
        <f>_xll.BDH("SRPT US Equity","ARDR_NON_GAAP_G&amp;A","FQ3 2023","FQ3 2023","Currency=USD","Period=FQ","BEST_FPERIOD_OVERRIDE=FQ","FILING_STATUS=MR","SCALING_FORMAT=MLN","Sort=A","Dates=H","DateFormat=P","Fill=—","Direction=H","UseDPDF=Y")</f>
        <v>—</v>
      </c>
      <c r="W90" s="13" t="str">
        <f>_xll.BDH("SRPT US Equity","ARDR_NON_GAAP_G&amp;A","FQ4 2023","FQ4 2023","Currency=USD","Period=FQ","BEST_FPERIOD_OVERRIDE=FQ","FILING_STATUS=MR","SCALING_FORMAT=MLN","Sort=A","Dates=H","DateFormat=P","Fill=—","Direction=H","UseDPDF=Y")</f>
        <v>—</v>
      </c>
      <c r="X90" s="13" t="str">
        <f>_xll.BDH("SRPT US Equity","ARDR_NON_GAAP_G&amp;A","FQ1 2024","FQ1 2024","Currency=USD","Period=FQ","BEST_FPERIOD_OVERRIDE=FQ","FILING_STATUS=MR","SCALING_FORMAT=MLN","Sort=A","Dates=H","DateFormat=P","Fill=—","Direction=H","UseDPDF=Y")</f>
        <v>—</v>
      </c>
      <c r="Y90" s="13" t="str">
        <f>_xll.BDH("SRPT US Equity","ARDR_NON_GAAP_G&amp;A","FQ2 2024","FQ2 2024","Currency=USD","Period=FQ","BEST_FPERIOD_OVERRIDE=FQ","FILING_STATUS=MR","SCALING_FORMAT=MLN","Sort=A","Dates=H","DateFormat=P","Fill=—","Direction=H","UseDPDF=Y")</f>
        <v>—</v>
      </c>
      <c r="Z90" s="13" t="str">
        <f>_xll.BDH("SRPT US Equity","ARDR_NON_GAAP_G&amp;A","FQ3 2024","FQ3 2024","Currency=USD","Period=FQ","BEST_FPERIOD_OVERRIDE=FQ","FILING_STATUS=MR","SCALING_FORMAT=MLN","Sort=A","Dates=H","DateFormat=P","Fill=—","Direction=H","UseDPDF=Y")</f>
        <v>—</v>
      </c>
      <c r="AA90" s="13" t="str">
        <f>_xll.BDH("SRPT US Equity","ARDR_NON_GAAP_G&amp;A","FQ4 2024","FQ4 2024","Currency=USD","Period=FQ","BEST_FPERIOD_OVERRIDE=FQ","FILING_STATUS=MR","SCALING_FORMAT=MLN","Sort=A","Dates=H","DateFormat=P","Fill=—","Direction=H","UseDPDF=Y")</f>
        <v>—</v>
      </c>
    </row>
    <row r="91" spans="1:27" x14ac:dyDescent="0.25">
      <c r="A91" s="10" t="s">
        <v>564</v>
      </c>
      <c r="B91" s="10" t="s">
        <v>565</v>
      </c>
      <c r="C91" s="13">
        <f>_xll.BDH("SRPT US Equity","ARDR_NON_GAAP_R&amp;D","FQ4 2018","FQ4 2018","Currency=USD","Period=FQ","BEST_FPERIOD_OVERRIDE=FQ","FILING_STATUS=MR","SCALING_FORMAT=MLN","Sort=A","Dates=H","DateFormat=P","Fill=—","Direction=H","UseDPDF=Y")</f>
        <v>77.004999999999995</v>
      </c>
      <c r="D91" s="13">
        <f>_xll.BDH("SRPT US Equity","ARDR_NON_GAAP_R&amp;D","FQ1 2019","FQ1 2019","Currency=USD","Period=FQ","BEST_FPERIOD_OVERRIDE=FQ","FILING_STATUS=MR","SCALING_FORMAT=MLN","Sort=A","Dates=H","DateFormat=P","Fill=—","Direction=H","UseDPDF=Y")</f>
        <v>81.382000000000005</v>
      </c>
      <c r="E91" s="13">
        <f>_xll.BDH("SRPT US Equity","ARDR_NON_GAAP_R&amp;D","FQ2 2019","FQ2 2019","Currency=USD","Period=FQ","BEST_FPERIOD_OVERRIDE=FQ","FILING_STATUS=MR","SCALING_FORMAT=MLN","Sort=A","Dates=H","DateFormat=P","Fill=—","Direction=H","UseDPDF=Y")</f>
        <v>87.54</v>
      </c>
      <c r="F91" s="13">
        <f>_xll.BDH("SRPT US Equity","ARDR_NON_GAAP_R&amp;D","FQ3 2019","FQ3 2019","Currency=USD","Period=FQ","BEST_FPERIOD_OVERRIDE=FQ","FILING_STATUS=MR","SCALING_FORMAT=MLN","Sort=A","Dates=H","DateFormat=P","Fill=—","Direction=H","UseDPDF=Y")</f>
        <v>110.46599999999999</v>
      </c>
      <c r="G91" s="13">
        <f>_xll.BDH("SRPT US Equity","ARDR_NON_GAAP_R&amp;D","FQ4 2019","FQ4 2019","Currency=USD","Period=FQ","BEST_FPERIOD_OVERRIDE=FQ","FILING_STATUS=MR","SCALING_FORMAT=MLN","Sort=A","Dates=H","DateFormat=P","Fill=—","Direction=H","UseDPDF=Y")</f>
        <v>135.43799999999999</v>
      </c>
      <c r="H91" s="13">
        <f>_xll.BDH("SRPT US Equity","ARDR_NON_GAAP_R&amp;D","FQ1 2020","FQ1 2020","Currency=USD","Period=FQ","BEST_FPERIOD_OVERRIDE=FQ","FILING_STATUS=MR","SCALING_FORMAT=MLN","Sort=A","Dates=H","DateFormat=P","Fill=—","Direction=H","UseDPDF=Y")</f>
        <v>114.185</v>
      </c>
      <c r="I91" s="13">
        <f>_xll.BDH("SRPT US Equity","ARDR_NON_GAAP_R&amp;D","FQ2 2020","FQ2 2020","Currency=USD","Period=FQ","BEST_FPERIOD_OVERRIDE=FQ","FILING_STATUS=MR","SCALING_FORMAT=MLN","Sort=A","Dates=H","DateFormat=P","Fill=—","Direction=H","UseDPDF=Y")</f>
        <v>160.43299999999999</v>
      </c>
      <c r="J91" s="13">
        <f>_xll.BDH("SRPT US Equity","ARDR_NON_GAAP_R&amp;D","FQ3 2020","FQ3 2020","Currency=USD","Period=FQ","BEST_FPERIOD_OVERRIDE=FQ","FILING_STATUS=MR","SCALING_FORMAT=MLN","Sort=A","Dates=H","DateFormat=P","Fill=—","Direction=H","UseDPDF=Y")</f>
        <v>159.90199999999999</v>
      </c>
      <c r="K91" s="13">
        <f>_xll.BDH("SRPT US Equity","ARDR_NON_GAAP_R&amp;D","FQ4 2020","FQ4 2020","Currency=USD","Period=FQ","BEST_FPERIOD_OVERRIDE=FQ","FILING_STATUS=MR","SCALING_FORMAT=MLN","Sort=A","Dates=H","DateFormat=P","Fill=—","Direction=H","UseDPDF=Y")</f>
        <v>180.81800000000001</v>
      </c>
      <c r="L91" s="13">
        <f>_xll.BDH("SRPT US Equity","ARDR_NON_GAAP_R&amp;D","FQ1 2021","FQ1 2021","Currency=USD","Period=FQ","BEST_FPERIOD_OVERRIDE=FQ","FILING_STATUS=MR","SCALING_FORMAT=MLN","Sort=A","Dates=H","DateFormat=P","Fill=—","Direction=H","UseDPDF=Y")</f>
        <v>173.48500000000001</v>
      </c>
      <c r="M91" s="13">
        <f>_xll.BDH("SRPT US Equity","ARDR_NON_GAAP_R&amp;D","FQ2 2021","FQ2 2021","Currency=USD","Period=FQ","BEST_FPERIOD_OVERRIDE=FQ","FILING_STATUS=MR","SCALING_FORMAT=MLN","Sort=A","Dates=H","DateFormat=P","Fill=—","Direction=H","UseDPDF=Y")</f>
        <v>189.02500000000001</v>
      </c>
      <c r="N91" s="13">
        <f>_xll.BDH("SRPT US Equity","ARDR_NON_GAAP_R&amp;D","FQ3 2021","FQ3 2021","Currency=USD","Period=FQ","BEST_FPERIOD_OVERRIDE=FQ","FILING_STATUS=MR","SCALING_FORMAT=MLN","Sort=A","Dates=H","DateFormat=P","Fill=—","Direction=H","UseDPDF=Y")</f>
        <v>115.124</v>
      </c>
      <c r="O91" s="13">
        <f>_xll.BDH("SRPT US Equity","ARDR_NON_GAAP_R&amp;D","FQ4 2021","FQ4 2021","Currency=USD","Period=FQ","BEST_FPERIOD_OVERRIDE=FQ","FILING_STATUS=MR","SCALING_FORMAT=MLN","Sort=A","Dates=H","DateFormat=P","Fill=—","Direction=H","UseDPDF=Y")</f>
        <v>175.53700000000001</v>
      </c>
      <c r="P91" s="13">
        <f>_xll.BDH("SRPT US Equity","ARDR_NON_GAAP_R&amp;D","FQ1 2022","FQ1 2022","Currency=USD","Period=FQ","BEST_FPERIOD_OVERRIDE=FQ","FILING_STATUS=MR","SCALING_FORMAT=MLN","Sort=A","Dates=H","DateFormat=P","Fill=—","Direction=H","UseDPDF=Y")</f>
        <v>173.16</v>
      </c>
      <c r="Q91" s="13">
        <f>_xll.BDH("SRPT US Equity","ARDR_NON_GAAP_R&amp;D","FQ2 2022","FQ2 2022","Currency=USD","Period=FQ","BEST_FPERIOD_OVERRIDE=FQ","FILING_STATUS=MR","SCALING_FORMAT=MLN","Sort=A","Dates=H","DateFormat=P","Fill=—","Direction=H","UseDPDF=Y")</f>
        <v>230.35</v>
      </c>
      <c r="R91" s="13">
        <f>_xll.BDH("SRPT US Equity","ARDR_NON_GAAP_R&amp;D","FQ3 2022","FQ3 2022","Currency=USD","Period=FQ","BEST_FPERIOD_OVERRIDE=FQ","FILING_STATUS=MR","SCALING_FORMAT=MLN","Sort=A","Dates=H","DateFormat=P","Fill=—","Direction=H","UseDPDF=Y")</f>
        <v>193.74600000000001</v>
      </c>
      <c r="S91" s="13">
        <f>_xll.BDH("SRPT US Equity","ARDR_NON_GAAP_R&amp;D","FQ4 2022","FQ4 2022","Currency=USD","Period=FQ","BEST_FPERIOD_OVERRIDE=FQ","FILING_STATUS=MR","SCALING_FORMAT=MLN","Sort=A","Dates=H","DateFormat=P","Fill=—","Direction=H","UseDPDF=Y")</f>
        <v>186.828</v>
      </c>
      <c r="T91" s="13">
        <f>_xll.BDH("SRPT US Equity","ARDR_NON_GAAP_R&amp;D","FQ1 2023","FQ1 2023","Currency=USD","Period=FQ","BEST_FPERIOD_OVERRIDE=FQ","FILING_STATUS=MR","SCALING_FORMAT=MLN","Sort=A","Dates=H","DateFormat=P","Fill=—","Direction=H","UseDPDF=Y")</f>
        <v>220.715</v>
      </c>
      <c r="U91" s="13">
        <f>_xll.BDH("SRPT US Equity","ARDR_NON_GAAP_R&amp;D","FQ2 2023","FQ2 2023","Currency=USD","Period=FQ","BEST_FPERIOD_OVERRIDE=FQ","FILING_STATUS=MR","SCALING_FORMAT=MLN","Sort=A","Dates=H","DateFormat=P","Fill=—","Direction=H","UseDPDF=Y")</f>
        <v>212.179</v>
      </c>
      <c r="V91" s="13">
        <f>_xll.BDH("SRPT US Equity","ARDR_NON_GAAP_R&amp;D","FQ3 2023","FQ3 2023","Currency=USD","Period=FQ","BEST_FPERIOD_OVERRIDE=FQ","FILING_STATUS=MR","SCALING_FORMAT=MLN","Sort=A","Dates=H","DateFormat=P","Fill=—","Direction=H","UseDPDF=Y")</f>
        <v>163.86699999999999</v>
      </c>
      <c r="W91" s="13">
        <f>_xll.BDH("SRPT US Equity","ARDR_NON_GAAP_R&amp;D","FQ4 2023","FQ4 2023","Currency=USD","Period=FQ","BEST_FPERIOD_OVERRIDE=FQ","FILING_STATUS=MR","SCALING_FORMAT=MLN","Sort=A","Dates=H","DateFormat=P","Fill=—","Direction=H","UseDPDF=Y")</f>
        <v>165.126</v>
      </c>
      <c r="X91" s="13">
        <f>_xll.BDH("SRPT US Equity","ARDR_NON_GAAP_R&amp;D","FQ1 2024","FQ1 2024","Currency=USD","Period=FQ","BEST_FPERIOD_OVERRIDE=FQ","FILING_STATUS=MR","SCALING_FORMAT=MLN","Sort=A","Dates=H","DateFormat=P","Fill=—","Direction=H","UseDPDF=Y")</f>
        <v>178.077</v>
      </c>
      <c r="Y91" s="13">
        <f>_xll.BDH("SRPT US Equity","ARDR_NON_GAAP_R&amp;D","FQ2 2024","FQ2 2024","Currency=USD","Period=FQ","BEST_FPERIOD_OVERRIDE=FQ","FILING_STATUS=MR","SCALING_FORMAT=MLN","Sort=A","Dates=H","DateFormat=P","Fill=—","Direction=H","UseDPDF=Y")</f>
        <v>153.90199999999999</v>
      </c>
      <c r="Z91" s="13">
        <f>_xll.BDH("SRPT US Equity","ARDR_NON_GAAP_R&amp;D","FQ3 2024","FQ3 2024","Currency=USD","Period=FQ","BEST_FPERIOD_OVERRIDE=FQ","FILING_STATUS=MR","SCALING_FORMAT=MLN","Sort=A","Dates=H","DateFormat=P","Fill=—","Direction=H","UseDPDF=Y")</f>
        <v>199.785</v>
      </c>
      <c r="AA91" s="13">
        <f>_xll.BDH("SRPT US Equity","ARDR_NON_GAAP_R&amp;D","FQ4 2024","FQ4 2024","Currency=USD","Period=FQ","BEST_FPERIOD_OVERRIDE=FQ","FILING_STATUS=MR","SCALING_FORMAT=MLN","Sort=A","Dates=H","DateFormat=P","Fill=—","Direction=H","UseDPDF=Y")</f>
        <v>172.7</v>
      </c>
    </row>
    <row r="92" spans="1:27" x14ac:dyDescent="0.25">
      <c r="A92" s="10" t="s">
        <v>566</v>
      </c>
      <c r="B92" s="10" t="s">
        <v>567</v>
      </c>
      <c r="C92" s="13" t="str">
        <f>_xll.BDH("SRPT US Equity","ARDR_NON_GAAP_OTHER_INCOME","FQ4 2018","FQ4 2018","Currency=USD","Period=FQ","BEST_FPERIOD_OVERRIDE=FQ","FILING_STATUS=MR","SCALING_FORMAT=MLN","Sort=A","Dates=H","DateFormat=P","Fill=—","Direction=H","UseDPDF=Y")</f>
        <v>—</v>
      </c>
      <c r="D92" s="13" t="str">
        <f>_xll.BDH("SRPT US Equity","ARDR_NON_GAAP_OTHER_INCOME","FQ1 2019","FQ1 2019","Currency=USD","Period=FQ","BEST_FPERIOD_OVERRIDE=FQ","FILING_STATUS=MR","SCALING_FORMAT=MLN","Sort=A","Dates=H","DateFormat=P","Fill=—","Direction=H","UseDPDF=Y")</f>
        <v>—</v>
      </c>
      <c r="E92" s="13" t="str">
        <f>_xll.BDH("SRPT US Equity","ARDR_NON_GAAP_OTHER_INCOME","FQ2 2019","FQ2 2019","Currency=USD","Period=FQ","BEST_FPERIOD_OVERRIDE=FQ","FILING_STATUS=MR","SCALING_FORMAT=MLN","Sort=A","Dates=H","DateFormat=P","Fill=—","Direction=H","UseDPDF=Y")</f>
        <v>—</v>
      </c>
      <c r="F92" s="13" t="str">
        <f>_xll.BDH("SRPT US Equity","ARDR_NON_GAAP_OTHER_INCOME","FQ3 2019","FQ3 2019","Currency=USD","Period=FQ","BEST_FPERIOD_OVERRIDE=FQ","FILING_STATUS=MR","SCALING_FORMAT=MLN","Sort=A","Dates=H","DateFormat=P","Fill=—","Direction=H","UseDPDF=Y")</f>
        <v>—</v>
      </c>
      <c r="G92" s="13" t="str">
        <f>_xll.BDH("SRPT US Equity","ARDR_NON_GAAP_OTHER_INCOME","FQ4 2019","FQ4 2019","Currency=USD","Period=FQ","BEST_FPERIOD_OVERRIDE=FQ","FILING_STATUS=MR","SCALING_FORMAT=MLN","Sort=A","Dates=H","DateFormat=P","Fill=—","Direction=H","UseDPDF=Y")</f>
        <v>—</v>
      </c>
      <c r="H92" s="13" t="str">
        <f>_xll.BDH("SRPT US Equity","ARDR_NON_GAAP_OTHER_INCOME","FQ1 2020","FQ1 2020","Currency=USD","Period=FQ","BEST_FPERIOD_OVERRIDE=FQ","FILING_STATUS=MR","SCALING_FORMAT=MLN","Sort=A","Dates=H","DateFormat=P","Fill=—","Direction=H","UseDPDF=Y")</f>
        <v>—</v>
      </c>
      <c r="I92" s="13" t="str">
        <f>_xll.BDH("SRPT US Equity","ARDR_NON_GAAP_OTHER_INCOME","FQ2 2020","FQ2 2020","Currency=USD","Period=FQ","BEST_FPERIOD_OVERRIDE=FQ","FILING_STATUS=MR","SCALING_FORMAT=MLN","Sort=A","Dates=H","DateFormat=P","Fill=—","Direction=H","UseDPDF=Y")</f>
        <v>—</v>
      </c>
      <c r="J92" s="13" t="str">
        <f>_xll.BDH("SRPT US Equity","ARDR_NON_GAAP_OTHER_INCOME","FQ3 2020","FQ3 2020","Currency=USD","Period=FQ","BEST_FPERIOD_OVERRIDE=FQ","FILING_STATUS=MR","SCALING_FORMAT=MLN","Sort=A","Dates=H","DateFormat=P","Fill=—","Direction=H","UseDPDF=Y")</f>
        <v>—</v>
      </c>
      <c r="K92" s="13" t="str">
        <f>_xll.BDH("SRPT US Equity","ARDR_NON_GAAP_OTHER_INCOME","FQ4 2020","FQ4 2020","Currency=USD","Period=FQ","BEST_FPERIOD_OVERRIDE=FQ","FILING_STATUS=MR","SCALING_FORMAT=MLN","Sort=A","Dates=H","DateFormat=P","Fill=—","Direction=H","UseDPDF=Y")</f>
        <v>—</v>
      </c>
      <c r="L92" s="13" t="str">
        <f>_xll.BDH("SRPT US Equity","ARDR_NON_GAAP_OTHER_INCOME","FQ1 2021","FQ1 2021","Currency=USD","Period=FQ","BEST_FPERIOD_OVERRIDE=FQ","FILING_STATUS=MR","SCALING_FORMAT=MLN","Sort=A","Dates=H","DateFormat=P","Fill=—","Direction=H","UseDPDF=Y")</f>
        <v>—</v>
      </c>
      <c r="M92" s="13" t="str">
        <f>_xll.BDH("SRPT US Equity","ARDR_NON_GAAP_OTHER_INCOME","FQ2 2021","FQ2 2021","Currency=USD","Period=FQ","BEST_FPERIOD_OVERRIDE=FQ","FILING_STATUS=MR","SCALING_FORMAT=MLN","Sort=A","Dates=H","DateFormat=P","Fill=—","Direction=H","UseDPDF=Y")</f>
        <v>—</v>
      </c>
      <c r="N92" s="13" t="str">
        <f>_xll.BDH("SRPT US Equity","ARDR_NON_GAAP_OTHER_INCOME","FQ3 2021","FQ3 2021","Currency=USD","Period=FQ","BEST_FPERIOD_OVERRIDE=FQ","FILING_STATUS=MR","SCALING_FORMAT=MLN","Sort=A","Dates=H","DateFormat=P","Fill=—","Direction=H","UseDPDF=Y")</f>
        <v>—</v>
      </c>
      <c r="O92" s="13" t="str">
        <f>_xll.BDH("SRPT US Equity","ARDR_NON_GAAP_OTHER_INCOME","FQ4 2021","FQ4 2021","Currency=USD","Period=FQ","BEST_FPERIOD_OVERRIDE=FQ","FILING_STATUS=MR","SCALING_FORMAT=MLN","Sort=A","Dates=H","DateFormat=P","Fill=—","Direction=H","UseDPDF=Y")</f>
        <v>—</v>
      </c>
      <c r="P92" s="13">
        <f>_xll.BDH("SRPT US Equity","ARDR_NON_GAAP_OTHER_INCOME","FQ1 2022","FQ1 2022","Currency=USD","Period=FQ","BEST_FPERIOD_OVERRIDE=FQ","FILING_STATUS=MR","SCALING_FORMAT=MLN","Sort=A","Dates=H","DateFormat=P","Fill=—","Direction=H","UseDPDF=Y")</f>
        <v>15.581</v>
      </c>
      <c r="Q92" s="13">
        <f>_xll.BDH("SRPT US Equity","ARDR_NON_GAAP_OTHER_INCOME","FQ2 2022","FQ2 2022","Currency=USD","Period=FQ","BEST_FPERIOD_OVERRIDE=FQ","FILING_STATUS=MR","SCALING_FORMAT=MLN","Sort=A","Dates=H","DateFormat=P","Fill=—","Direction=H","UseDPDF=Y")</f>
        <v>12.288</v>
      </c>
      <c r="R92" s="13">
        <f>_xll.BDH("SRPT US Equity","ARDR_NON_GAAP_OTHER_INCOME","FQ3 2022","FQ3 2022","Currency=USD","Period=FQ","BEST_FPERIOD_OVERRIDE=FQ","FILING_STATUS=MR","SCALING_FORMAT=MLN","Sort=A","Dates=H","DateFormat=P","Fill=—","Direction=H","UseDPDF=Y")</f>
        <v>6.5209999999999999</v>
      </c>
      <c r="S92" s="13" t="str">
        <f>_xll.BDH("SRPT US Equity","ARDR_NON_GAAP_OTHER_INCOME","FQ4 2022","FQ4 2022","Currency=USD","Period=FQ","BEST_FPERIOD_OVERRIDE=FQ","FILING_STATUS=MR","SCALING_FORMAT=MLN","Sort=A","Dates=H","DateFormat=P","Fill=—","Direction=H","UseDPDF=Y")</f>
        <v>—</v>
      </c>
      <c r="T92" s="13">
        <f>_xll.BDH("SRPT US Equity","ARDR_NON_GAAP_OTHER_INCOME","FQ1 2023","FQ1 2023","Currency=USD","Period=FQ","BEST_FPERIOD_OVERRIDE=FQ","FILING_STATUS=MR","SCALING_FORMAT=MLN","Sort=A","Dates=H","DateFormat=P","Fill=—","Direction=H","UseDPDF=Y")</f>
        <v>-12.992000000000001</v>
      </c>
      <c r="U92" s="13">
        <f>_xll.BDH("SRPT US Equity","ARDR_NON_GAAP_OTHER_INCOME","FQ2 2023","FQ2 2023","Currency=USD","Period=FQ","BEST_FPERIOD_OVERRIDE=FQ","FILING_STATUS=MR","SCALING_FORMAT=MLN","Sort=A","Dates=H","DateFormat=P","Fill=—","Direction=H","UseDPDF=Y")</f>
        <v>-15.98</v>
      </c>
      <c r="V92" s="13">
        <f>_xll.BDH("SRPT US Equity","ARDR_NON_GAAP_OTHER_INCOME","FQ3 2023","FQ3 2023","Currency=USD","Period=FQ","BEST_FPERIOD_OVERRIDE=FQ","FILING_STATUS=MR","SCALING_FORMAT=MLN","Sort=A","Dates=H","DateFormat=P","Fill=—","Direction=H","UseDPDF=Y")</f>
        <v>-17.593</v>
      </c>
      <c r="W92" s="13">
        <f>_xll.BDH("SRPT US Equity","ARDR_NON_GAAP_OTHER_INCOME","FQ4 2023","FQ4 2023","Currency=USD","Period=FQ","BEST_FPERIOD_OVERRIDE=FQ","FILING_STATUS=MR","SCALING_FORMAT=MLN","Sort=A","Dates=H","DateFormat=P","Fill=—","Direction=H","UseDPDF=Y")</f>
        <v>-17.469000000000001</v>
      </c>
      <c r="X92" s="13">
        <f>_xll.BDH("SRPT US Equity","ARDR_NON_GAAP_OTHER_INCOME","FQ1 2024","FQ1 2024","Currency=USD","Period=FQ","BEST_FPERIOD_OVERRIDE=FQ","FILING_STATUS=MR","SCALING_FORMAT=MLN","Sort=A","Dates=H","DateFormat=P","Fill=—","Direction=H","UseDPDF=Y")</f>
        <v>-15.731</v>
      </c>
      <c r="Y92" s="13">
        <f>_xll.BDH("SRPT US Equity","ARDR_NON_GAAP_OTHER_INCOME","FQ2 2024","FQ2 2024","Currency=USD","Period=FQ","BEST_FPERIOD_OVERRIDE=FQ","FILING_STATUS=MR","SCALING_FORMAT=MLN","Sort=A","Dates=H","DateFormat=P","Fill=—","Direction=H","UseDPDF=Y")</f>
        <v>-14.01</v>
      </c>
      <c r="Z92" s="13">
        <f>_xll.BDH("SRPT US Equity","ARDR_NON_GAAP_OTHER_INCOME","FQ3 2024","FQ3 2024","Currency=USD","Period=FQ","BEST_FPERIOD_OVERRIDE=FQ","FILING_STATUS=MR","SCALING_FORMAT=MLN","Sort=A","Dates=H","DateFormat=P","Fill=—","Direction=H","UseDPDF=Y")</f>
        <v>-74.849999999999994</v>
      </c>
      <c r="AA92" s="13" t="str">
        <f>_xll.BDH("SRPT US Equity","ARDR_NON_GAAP_OTHER_INCOME","FQ4 2024","FQ4 2024","Currency=USD","Period=FQ","BEST_FPERIOD_OVERRIDE=FQ","FILING_STATUS=MR","SCALING_FORMAT=MLN","Sort=A","Dates=H","DateFormat=P","Fill=—","Direction=H","UseDPDF=Y")</f>
        <v>—</v>
      </c>
    </row>
    <row r="93" spans="1:27" x14ac:dyDescent="0.25">
      <c r="A93" s="10" t="s">
        <v>568</v>
      </c>
      <c r="B93" s="10" t="s">
        <v>569</v>
      </c>
      <c r="C93" s="13">
        <f>_xll.BDH("SRPT US Equity","ARDR_SBC_NON_GAAP_SG&amp;A","FQ4 2018","FQ4 2018","Currency=USD","Period=FQ","BEST_FPERIOD_OVERRIDE=FQ","FILING_STATUS=MR","SCALING_FORMAT=MLN","Sort=A","Dates=H","DateFormat=P","Fill=—","Direction=H","UseDPDF=Y")</f>
        <v>8.9730000000000008</v>
      </c>
      <c r="D93" s="13">
        <f>_xll.BDH("SRPT US Equity","ARDR_SBC_NON_GAAP_SG&amp;A","FQ1 2019","FQ1 2019","Currency=USD","Period=FQ","BEST_FPERIOD_OVERRIDE=FQ","FILING_STATUS=MR","SCALING_FORMAT=MLN","Sort=A","Dates=H","DateFormat=P","Fill=—","Direction=H","UseDPDF=Y")</f>
        <v>11.052</v>
      </c>
      <c r="E93" s="13">
        <f>_xll.BDH("SRPT US Equity","ARDR_SBC_NON_GAAP_SG&amp;A","FQ2 2019","FQ2 2019","Currency=USD","Period=FQ","BEST_FPERIOD_OVERRIDE=FQ","FILING_STATUS=MR","SCALING_FORMAT=MLN","Sort=A","Dates=H","DateFormat=P","Fill=—","Direction=H","UseDPDF=Y")</f>
        <v>12.839</v>
      </c>
      <c r="F93" s="13">
        <f>_xll.BDH("SRPT US Equity","ARDR_SBC_NON_GAAP_SG&amp;A","FQ3 2019","FQ3 2019","Currency=USD","Period=FQ","BEST_FPERIOD_OVERRIDE=FQ","FILING_STATUS=MR","SCALING_FORMAT=MLN","Sort=A","Dates=H","DateFormat=P","Fill=—","Direction=H","UseDPDF=Y")</f>
        <v>13.664999999999999</v>
      </c>
      <c r="G93" s="13">
        <f>_xll.BDH("SRPT US Equity","ARDR_SBC_NON_GAAP_SG&amp;A","FQ4 2019","FQ4 2019","Currency=USD","Period=FQ","BEST_FPERIOD_OVERRIDE=FQ","FILING_STATUS=MR","SCALING_FORMAT=MLN","Sort=A","Dates=H","DateFormat=P","Fill=—","Direction=H","UseDPDF=Y")</f>
        <v>13.365</v>
      </c>
      <c r="H93" s="13">
        <f>_xll.BDH("SRPT US Equity","ARDR_SBC_NON_GAAP_SG&amp;A","FQ1 2020","FQ1 2020","Currency=USD","Period=FQ","BEST_FPERIOD_OVERRIDE=FQ","FILING_STATUS=MR","SCALING_FORMAT=MLN","Sort=A","Dates=H","DateFormat=P","Fill=—","Direction=H","UseDPDF=Y")</f>
        <v>14.775</v>
      </c>
      <c r="I93" s="13">
        <f>_xll.BDH("SRPT US Equity","ARDR_SBC_NON_GAAP_SG&amp;A","FQ2 2020","FQ2 2020","Currency=USD","Period=FQ","BEST_FPERIOD_OVERRIDE=FQ","FILING_STATUS=MR","SCALING_FORMAT=MLN","Sort=A","Dates=H","DateFormat=P","Fill=—","Direction=H","UseDPDF=Y")</f>
        <v>16.475999999999999</v>
      </c>
      <c r="J93" s="13">
        <f>_xll.BDH("SRPT US Equity","ARDR_SBC_NON_GAAP_SG&amp;A","FQ3 2020","FQ3 2020","Currency=USD","Period=FQ","BEST_FPERIOD_OVERRIDE=FQ","FILING_STATUS=MR","SCALING_FORMAT=MLN","Sort=A","Dates=H","DateFormat=P","Fill=—","Direction=H","UseDPDF=Y")</f>
        <v>16.257999999999999</v>
      </c>
      <c r="K93" s="13">
        <f>_xll.BDH("SRPT US Equity","ARDR_SBC_NON_GAAP_SG&amp;A","FQ4 2020","FQ4 2020","Currency=USD","Period=FQ","BEST_FPERIOD_OVERRIDE=FQ","FILING_STATUS=MR","SCALING_FORMAT=MLN","Sort=A","Dates=H","DateFormat=P","Fill=—","Direction=H","UseDPDF=Y")</f>
        <v>18.89</v>
      </c>
      <c r="L93" s="13">
        <f>_xll.BDH("SRPT US Equity","ARDR_SBC_NON_GAAP_SG&amp;A","FQ1 2021","FQ1 2021","Currency=USD","Period=FQ","BEST_FPERIOD_OVERRIDE=FQ","FILING_STATUS=MR","SCALING_FORMAT=MLN","Sort=A","Dates=H","DateFormat=P","Fill=—","Direction=H","UseDPDF=Y")</f>
        <v>17.382000000000001</v>
      </c>
      <c r="M93" s="13">
        <f>_xll.BDH("SRPT US Equity","ARDR_SBC_NON_GAAP_SG&amp;A","FQ2 2021","FQ2 2021","Currency=USD","Period=FQ","BEST_FPERIOD_OVERRIDE=FQ","FILING_STATUS=MR","SCALING_FORMAT=MLN","Sort=A","Dates=H","DateFormat=P","Fill=—","Direction=H","UseDPDF=Y")</f>
        <v>16.109000000000002</v>
      </c>
      <c r="N93" s="13">
        <f>_xll.BDH("SRPT US Equity","ARDR_SBC_NON_GAAP_SG&amp;A","FQ3 2021","FQ3 2021","Currency=USD","Period=FQ","BEST_FPERIOD_OVERRIDE=FQ","FILING_STATUS=MR","SCALING_FORMAT=MLN","Sort=A","Dates=H","DateFormat=P","Fill=—","Direction=H","UseDPDF=Y")</f>
        <v>14.653</v>
      </c>
      <c r="O93" s="13">
        <f>_xll.BDH("SRPT US Equity","ARDR_SBC_NON_GAAP_SG&amp;A","FQ4 2021","FQ4 2021","Currency=USD","Period=FQ","BEST_FPERIOD_OVERRIDE=FQ","FILING_STATUS=MR","SCALING_FORMAT=MLN","Sort=A","Dates=H","DateFormat=P","Fill=—","Direction=H","UseDPDF=Y")</f>
        <v>15.273</v>
      </c>
      <c r="P93" s="13" t="str">
        <f>_xll.BDH("SRPT US Equity","ARDR_SBC_NON_GAAP_SG&amp;A","FQ1 2022","FQ1 2022","Currency=USD","Period=FQ","BEST_FPERIOD_OVERRIDE=FQ","FILING_STATUS=MR","SCALING_FORMAT=MLN","Sort=A","Dates=H","DateFormat=P","Fill=—","Direction=H","UseDPDF=Y")</f>
        <v>—</v>
      </c>
      <c r="Q93" s="13">
        <f>_xll.BDH("SRPT US Equity","ARDR_SBC_NON_GAAP_SG&amp;A","FQ2 2022","FQ2 2022","Currency=USD","Period=FQ","BEST_FPERIOD_OVERRIDE=FQ","FILING_STATUS=MR","SCALING_FORMAT=MLN","Sort=A","Dates=H","DateFormat=P","Fill=—","Direction=H","UseDPDF=Y")</f>
        <v>88.424999999999997</v>
      </c>
      <c r="R93" s="13">
        <f>_xll.BDH("SRPT US Equity","ARDR_SBC_NON_GAAP_SG&amp;A","FQ3 2022","FQ3 2022","Currency=USD","Period=FQ","BEST_FPERIOD_OVERRIDE=FQ","FILING_STATUS=MR","SCALING_FORMAT=MLN","Sort=A","Dates=H","DateFormat=P","Fill=—","Direction=H","UseDPDF=Y")</f>
        <v>35.622999999999998</v>
      </c>
      <c r="S93" s="13">
        <f>_xll.BDH("SRPT US Equity","ARDR_SBC_NON_GAAP_SG&amp;A","FQ4 2022","FQ4 2022","Currency=USD","Period=FQ","BEST_FPERIOD_OVERRIDE=FQ","FILING_STATUS=MR","SCALING_FORMAT=MLN","Sort=A","Dates=H","DateFormat=P","Fill=—","Direction=H","UseDPDF=Y")</f>
        <v>31.547000000000001</v>
      </c>
      <c r="T93" s="13">
        <f>_xll.BDH("SRPT US Equity","ARDR_SBC_NON_GAAP_SG&amp;A","FQ1 2023","FQ1 2023","Currency=USD","Period=FQ","BEST_FPERIOD_OVERRIDE=FQ","FILING_STATUS=MR","SCALING_FORMAT=MLN","Sort=A","Dates=H","DateFormat=P","Fill=—","Direction=H","UseDPDF=Y")</f>
        <v>24.837</v>
      </c>
      <c r="U93" s="13">
        <f>_xll.BDH("SRPT US Equity","ARDR_SBC_NON_GAAP_SG&amp;A","FQ2 2023","FQ2 2023","Currency=USD","Period=FQ","BEST_FPERIOD_OVERRIDE=FQ","FILING_STATUS=MR","SCALING_FORMAT=MLN","Sort=A","Dates=H","DateFormat=P","Fill=—","Direction=H","UseDPDF=Y")</f>
        <v>25.8</v>
      </c>
      <c r="V93" s="13">
        <f>_xll.BDH("SRPT US Equity","ARDR_SBC_NON_GAAP_SG&amp;A","FQ3 2023","FQ3 2023","Currency=USD","Period=FQ","BEST_FPERIOD_OVERRIDE=FQ","FILING_STATUS=MR","SCALING_FORMAT=MLN","Sort=A","Dates=H","DateFormat=P","Fill=—","Direction=H","UseDPDF=Y")</f>
        <v>25.736000000000001</v>
      </c>
      <c r="W93" s="13">
        <f>_xll.BDH("SRPT US Equity","ARDR_SBC_NON_GAAP_SG&amp;A","FQ4 2023","FQ4 2023","Currency=USD","Period=FQ","BEST_FPERIOD_OVERRIDE=FQ","FILING_STATUS=MR","SCALING_FORMAT=MLN","Sort=A","Dates=H","DateFormat=P","Fill=—","Direction=H","UseDPDF=Y")</f>
        <v>-23.652000000000001</v>
      </c>
      <c r="X93" s="13">
        <f>_xll.BDH("SRPT US Equity","ARDR_SBC_NON_GAAP_SG&amp;A","FQ1 2024","FQ1 2024","Currency=USD","Period=FQ","BEST_FPERIOD_OVERRIDE=FQ","FILING_STATUS=MR","SCALING_FORMAT=MLN","Sort=A","Dates=H","DateFormat=P","Fill=—","Direction=H","UseDPDF=Y")</f>
        <v>24.419</v>
      </c>
      <c r="Y93" s="13">
        <f>_xll.BDH("SRPT US Equity","ARDR_SBC_NON_GAAP_SG&amp;A","FQ2 2024","FQ2 2024","Currency=USD","Period=FQ","BEST_FPERIOD_OVERRIDE=FQ","FILING_STATUS=MR","SCALING_FORMAT=MLN","Sort=A","Dates=H","DateFormat=P","Fill=—","Direction=H","UseDPDF=Y")</f>
        <v>30.675999999999998</v>
      </c>
      <c r="Z93" s="13">
        <f>_xll.BDH("SRPT US Equity","ARDR_SBC_NON_GAAP_SG&amp;A","FQ3 2024","FQ3 2024","Currency=USD","Period=FQ","BEST_FPERIOD_OVERRIDE=FQ","FILING_STATUS=MR","SCALING_FORMAT=MLN","Sort=A","Dates=H","DateFormat=P","Fill=—","Direction=H","UseDPDF=Y")</f>
        <v>25.416</v>
      </c>
      <c r="AA93" s="13">
        <f>_xll.BDH("SRPT US Equity","ARDR_SBC_NON_GAAP_SG&amp;A","FQ4 2024","FQ4 2024","Currency=USD","Period=FQ","BEST_FPERIOD_OVERRIDE=FQ","FILING_STATUS=MR","SCALING_FORMAT=MLN","Sort=A","Dates=H","DateFormat=P","Fill=—","Direction=H","UseDPDF=Y")</f>
        <v>29.779</v>
      </c>
    </row>
    <row r="94" spans="1:27" x14ac:dyDescent="0.25">
      <c r="A94" s="10" t="s">
        <v>570</v>
      </c>
      <c r="B94" s="10" t="s">
        <v>571</v>
      </c>
      <c r="C94" s="13" t="str">
        <f>_xll.BDH("SRPT US Equity","ARDR_SBC_NON_GAAP_G&amp;A","FQ4 2018","FQ4 2018","Currency=USD","Period=FQ","BEST_FPERIOD_OVERRIDE=FQ","FILING_STATUS=MR","SCALING_FORMAT=MLN","Sort=A","Dates=H","DateFormat=P","Fill=—","Direction=H","UseDPDF=Y")</f>
        <v>—</v>
      </c>
      <c r="D94" s="13" t="str">
        <f>_xll.BDH("SRPT US Equity","ARDR_SBC_NON_GAAP_G&amp;A","FQ1 2019","FQ1 2019","Currency=USD","Period=FQ","BEST_FPERIOD_OVERRIDE=FQ","FILING_STATUS=MR","SCALING_FORMAT=MLN","Sort=A","Dates=H","DateFormat=P","Fill=—","Direction=H","UseDPDF=Y")</f>
        <v>—</v>
      </c>
      <c r="E94" s="13" t="str">
        <f>_xll.BDH("SRPT US Equity","ARDR_SBC_NON_GAAP_G&amp;A","FQ2 2019","FQ2 2019","Currency=USD","Period=FQ","BEST_FPERIOD_OVERRIDE=FQ","FILING_STATUS=MR","SCALING_FORMAT=MLN","Sort=A","Dates=H","DateFormat=P","Fill=—","Direction=H","UseDPDF=Y")</f>
        <v>—</v>
      </c>
      <c r="F94" s="13" t="str">
        <f>_xll.BDH("SRPT US Equity","ARDR_SBC_NON_GAAP_G&amp;A","FQ3 2019","FQ3 2019","Currency=USD","Period=FQ","BEST_FPERIOD_OVERRIDE=FQ","FILING_STATUS=MR","SCALING_FORMAT=MLN","Sort=A","Dates=H","DateFormat=P","Fill=—","Direction=H","UseDPDF=Y")</f>
        <v>—</v>
      </c>
      <c r="G94" s="13" t="str">
        <f>_xll.BDH("SRPT US Equity","ARDR_SBC_NON_GAAP_G&amp;A","FQ4 2019","FQ4 2019","Currency=USD","Period=FQ","BEST_FPERIOD_OVERRIDE=FQ","FILING_STATUS=MR","SCALING_FORMAT=MLN","Sort=A","Dates=H","DateFormat=P","Fill=—","Direction=H","UseDPDF=Y")</f>
        <v>—</v>
      </c>
      <c r="H94" s="13" t="str">
        <f>_xll.BDH("SRPT US Equity","ARDR_SBC_NON_GAAP_G&amp;A","FQ1 2020","FQ1 2020","Currency=USD","Period=FQ","BEST_FPERIOD_OVERRIDE=FQ","FILING_STATUS=MR","SCALING_FORMAT=MLN","Sort=A","Dates=H","DateFormat=P","Fill=—","Direction=H","UseDPDF=Y")</f>
        <v>—</v>
      </c>
      <c r="I94" s="13" t="str">
        <f>_xll.BDH("SRPT US Equity","ARDR_SBC_NON_GAAP_G&amp;A","FQ2 2020","FQ2 2020","Currency=USD","Period=FQ","BEST_FPERIOD_OVERRIDE=FQ","FILING_STATUS=MR","SCALING_FORMAT=MLN","Sort=A","Dates=H","DateFormat=P","Fill=—","Direction=H","UseDPDF=Y")</f>
        <v>—</v>
      </c>
      <c r="J94" s="13" t="str">
        <f>_xll.BDH("SRPT US Equity","ARDR_SBC_NON_GAAP_G&amp;A","FQ3 2020","FQ3 2020","Currency=USD","Period=FQ","BEST_FPERIOD_OVERRIDE=FQ","FILING_STATUS=MR","SCALING_FORMAT=MLN","Sort=A","Dates=H","DateFormat=P","Fill=—","Direction=H","UseDPDF=Y")</f>
        <v>—</v>
      </c>
      <c r="K94" s="13" t="str">
        <f>_xll.BDH("SRPT US Equity","ARDR_SBC_NON_GAAP_G&amp;A","FQ4 2020","FQ4 2020","Currency=USD","Period=FQ","BEST_FPERIOD_OVERRIDE=FQ","FILING_STATUS=MR","SCALING_FORMAT=MLN","Sort=A","Dates=H","DateFormat=P","Fill=—","Direction=H","UseDPDF=Y")</f>
        <v>—</v>
      </c>
      <c r="L94" s="13" t="str">
        <f>_xll.BDH("SRPT US Equity","ARDR_SBC_NON_GAAP_G&amp;A","FQ1 2021","FQ1 2021","Currency=USD","Period=FQ","BEST_FPERIOD_OVERRIDE=FQ","FILING_STATUS=MR","SCALING_FORMAT=MLN","Sort=A","Dates=H","DateFormat=P","Fill=—","Direction=H","UseDPDF=Y")</f>
        <v>—</v>
      </c>
      <c r="M94" s="13" t="str">
        <f>_xll.BDH("SRPT US Equity","ARDR_SBC_NON_GAAP_G&amp;A","FQ2 2021","FQ2 2021","Currency=USD","Period=FQ","BEST_FPERIOD_OVERRIDE=FQ","FILING_STATUS=MR","SCALING_FORMAT=MLN","Sort=A","Dates=H","DateFormat=P","Fill=—","Direction=H","UseDPDF=Y")</f>
        <v>—</v>
      </c>
      <c r="N94" s="13" t="str">
        <f>_xll.BDH("SRPT US Equity","ARDR_SBC_NON_GAAP_G&amp;A","FQ3 2021","FQ3 2021","Currency=USD","Period=FQ","BEST_FPERIOD_OVERRIDE=FQ","FILING_STATUS=MR","SCALING_FORMAT=MLN","Sort=A","Dates=H","DateFormat=P","Fill=—","Direction=H","UseDPDF=Y")</f>
        <v>—</v>
      </c>
      <c r="O94" s="13" t="str">
        <f>_xll.BDH("SRPT US Equity","ARDR_SBC_NON_GAAP_G&amp;A","FQ4 2021","FQ4 2021","Currency=USD","Period=FQ","BEST_FPERIOD_OVERRIDE=FQ","FILING_STATUS=MR","SCALING_FORMAT=MLN","Sort=A","Dates=H","DateFormat=P","Fill=—","Direction=H","UseDPDF=Y")</f>
        <v>—</v>
      </c>
      <c r="P94" s="13" t="str">
        <f>_xll.BDH("SRPT US Equity","ARDR_SBC_NON_GAAP_G&amp;A","FQ1 2022","FQ1 2022","Currency=USD","Period=FQ","BEST_FPERIOD_OVERRIDE=FQ","FILING_STATUS=MR","SCALING_FORMAT=MLN","Sort=A","Dates=H","DateFormat=P","Fill=—","Direction=H","UseDPDF=Y")</f>
        <v>—</v>
      </c>
      <c r="Q94" s="13" t="str">
        <f>_xll.BDH("SRPT US Equity","ARDR_SBC_NON_GAAP_G&amp;A","FQ2 2022","FQ2 2022","Currency=USD","Period=FQ","BEST_FPERIOD_OVERRIDE=FQ","FILING_STATUS=MR","SCALING_FORMAT=MLN","Sort=A","Dates=H","DateFormat=P","Fill=—","Direction=H","UseDPDF=Y")</f>
        <v>—</v>
      </c>
      <c r="R94" s="13" t="str">
        <f>_xll.BDH("SRPT US Equity","ARDR_SBC_NON_GAAP_G&amp;A","FQ3 2022","FQ3 2022","Currency=USD","Period=FQ","BEST_FPERIOD_OVERRIDE=FQ","FILING_STATUS=MR","SCALING_FORMAT=MLN","Sort=A","Dates=H","DateFormat=P","Fill=—","Direction=H","UseDPDF=Y")</f>
        <v>—</v>
      </c>
      <c r="S94" s="13" t="str">
        <f>_xll.BDH("SRPT US Equity","ARDR_SBC_NON_GAAP_G&amp;A","FQ4 2022","FQ4 2022","Currency=USD","Period=FQ","BEST_FPERIOD_OVERRIDE=FQ","FILING_STATUS=MR","SCALING_FORMAT=MLN","Sort=A","Dates=H","DateFormat=P","Fill=—","Direction=H","UseDPDF=Y")</f>
        <v>—</v>
      </c>
      <c r="T94" s="13" t="str">
        <f>_xll.BDH("SRPT US Equity","ARDR_SBC_NON_GAAP_G&amp;A","FQ1 2023","FQ1 2023","Currency=USD","Period=FQ","BEST_FPERIOD_OVERRIDE=FQ","FILING_STATUS=MR","SCALING_FORMAT=MLN","Sort=A","Dates=H","DateFormat=P","Fill=—","Direction=H","UseDPDF=Y")</f>
        <v>—</v>
      </c>
      <c r="U94" s="13" t="str">
        <f>_xll.BDH("SRPT US Equity","ARDR_SBC_NON_GAAP_G&amp;A","FQ2 2023","FQ2 2023","Currency=USD","Period=FQ","BEST_FPERIOD_OVERRIDE=FQ","FILING_STATUS=MR","SCALING_FORMAT=MLN","Sort=A","Dates=H","DateFormat=P","Fill=—","Direction=H","UseDPDF=Y")</f>
        <v>—</v>
      </c>
      <c r="V94" s="13" t="str">
        <f>_xll.BDH("SRPT US Equity","ARDR_SBC_NON_GAAP_G&amp;A","FQ3 2023","FQ3 2023","Currency=USD","Period=FQ","BEST_FPERIOD_OVERRIDE=FQ","FILING_STATUS=MR","SCALING_FORMAT=MLN","Sort=A","Dates=H","DateFormat=P","Fill=—","Direction=H","UseDPDF=Y")</f>
        <v>—</v>
      </c>
      <c r="W94" s="13" t="str">
        <f>_xll.BDH("SRPT US Equity","ARDR_SBC_NON_GAAP_G&amp;A","FQ4 2023","FQ4 2023","Currency=USD","Period=FQ","BEST_FPERIOD_OVERRIDE=FQ","FILING_STATUS=MR","SCALING_FORMAT=MLN","Sort=A","Dates=H","DateFormat=P","Fill=—","Direction=H","UseDPDF=Y")</f>
        <v>—</v>
      </c>
      <c r="X94" s="13" t="str">
        <f>_xll.BDH("SRPT US Equity","ARDR_SBC_NON_GAAP_G&amp;A","FQ1 2024","FQ1 2024","Currency=USD","Period=FQ","BEST_FPERIOD_OVERRIDE=FQ","FILING_STATUS=MR","SCALING_FORMAT=MLN","Sort=A","Dates=H","DateFormat=P","Fill=—","Direction=H","UseDPDF=Y")</f>
        <v>—</v>
      </c>
      <c r="Y94" s="13" t="str">
        <f>_xll.BDH("SRPT US Equity","ARDR_SBC_NON_GAAP_G&amp;A","FQ2 2024","FQ2 2024","Currency=USD","Period=FQ","BEST_FPERIOD_OVERRIDE=FQ","FILING_STATUS=MR","SCALING_FORMAT=MLN","Sort=A","Dates=H","DateFormat=P","Fill=—","Direction=H","UseDPDF=Y")</f>
        <v>—</v>
      </c>
      <c r="Z94" s="13" t="str">
        <f>_xll.BDH("SRPT US Equity","ARDR_SBC_NON_GAAP_G&amp;A","FQ3 2024","FQ3 2024","Currency=USD","Period=FQ","BEST_FPERIOD_OVERRIDE=FQ","FILING_STATUS=MR","SCALING_FORMAT=MLN","Sort=A","Dates=H","DateFormat=P","Fill=—","Direction=H","UseDPDF=Y")</f>
        <v>—</v>
      </c>
      <c r="AA94" s="13" t="str">
        <f>_xll.BDH("SRPT US Equity","ARDR_SBC_NON_GAAP_G&amp;A","FQ4 2024","FQ4 2024","Currency=USD","Period=FQ","BEST_FPERIOD_OVERRIDE=FQ","FILING_STATUS=MR","SCALING_FORMAT=MLN","Sort=A","Dates=H","DateFormat=P","Fill=—","Direction=H","UseDPDF=Y")</f>
        <v>—</v>
      </c>
    </row>
    <row r="95" spans="1:27" x14ac:dyDescent="0.25">
      <c r="A95" s="10" t="s">
        <v>572</v>
      </c>
      <c r="B95" s="10" t="s">
        <v>573</v>
      </c>
      <c r="C95" s="13">
        <f>_xll.BDH("SRPT US Equity","ARDR_SBC_NON_GAAP_R&amp;D","FQ4 2018","FQ4 2018","Currency=USD","Period=FQ","BEST_FPERIOD_OVERRIDE=FQ","FILING_STATUS=MR","SCALING_FORMAT=MLN","Sort=A","Dates=H","DateFormat=P","Fill=—","Direction=H","UseDPDF=Y")</f>
        <v>3.8650000000000002</v>
      </c>
      <c r="D95" s="13">
        <f>_xll.BDH("SRPT US Equity","ARDR_SBC_NON_GAAP_R&amp;D","FQ1 2019","FQ1 2019","Currency=USD","Period=FQ","BEST_FPERIOD_OVERRIDE=FQ","FILING_STATUS=MR","SCALING_FORMAT=MLN","Sort=A","Dates=H","DateFormat=P","Fill=—","Direction=H","UseDPDF=Y")</f>
        <v>5.0869999999999997</v>
      </c>
      <c r="E95" s="13">
        <f>_xll.BDH("SRPT US Equity","ARDR_SBC_NON_GAAP_R&amp;D","FQ2 2019","FQ2 2019","Currency=USD","Period=FQ","BEST_FPERIOD_OVERRIDE=FQ","FILING_STATUS=MR","SCALING_FORMAT=MLN","Sort=A","Dates=H","DateFormat=P","Fill=—","Direction=H","UseDPDF=Y")</f>
        <v>6.923</v>
      </c>
      <c r="F95" s="13">
        <f>_xll.BDH("SRPT US Equity","ARDR_SBC_NON_GAAP_R&amp;D","FQ3 2019","FQ3 2019","Currency=USD","Period=FQ","BEST_FPERIOD_OVERRIDE=FQ","FILING_STATUS=MR","SCALING_FORMAT=MLN","Sort=A","Dates=H","DateFormat=P","Fill=—","Direction=H","UseDPDF=Y")</f>
        <v>6.9720000000000004</v>
      </c>
      <c r="G95" s="13">
        <f>_xll.BDH("SRPT US Equity","ARDR_SBC_NON_GAAP_R&amp;D","FQ4 2019","FQ4 2019","Currency=USD","Period=FQ","BEST_FPERIOD_OVERRIDE=FQ","FILING_STATUS=MR","SCALING_FORMAT=MLN","Sort=A","Dates=H","DateFormat=P","Fill=—","Direction=H","UseDPDF=Y")</f>
        <v>8.6989999999999998</v>
      </c>
      <c r="H95" s="13">
        <f>_xll.BDH("SRPT US Equity","ARDR_SBC_NON_GAAP_R&amp;D","FQ1 2020","FQ1 2020","Currency=USD","Period=FQ","BEST_FPERIOD_OVERRIDE=FQ","FILING_STATUS=MR","SCALING_FORMAT=MLN","Sort=A","Dates=H","DateFormat=P","Fill=—","Direction=H","UseDPDF=Y")</f>
        <v>9.2490000000000006</v>
      </c>
      <c r="I95" s="13">
        <f>_xll.BDH("SRPT US Equity","ARDR_SBC_NON_GAAP_R&amp;D","FQ2 2020","FQ2 2020","Currency=USD","Period=FQ","BEST_FPERIOD_OVERRIDE=FQ","FILING_STATUS=MR","SCALING_FORMAT=MLN","Sort=A","Dates=H","DateFormat=P","Fill=—","Direction=H","UseDPDF=Y")</f>
        <v>11.14</v>
      </c>
      <c r="J95" s="13">
        <f>_xll.BDH("SRPT US Equity","ARDR_SBC_NON_GAAP_R&amp;D","FQ3 2020","FQ3 2020","Currency=USD","Period=FQ","BEST_FPERIOD_OVERRIDE=FQ","FILING_STATUS=MR","SCALING_FORMAT=MLN","Sort=A","Dates=H","DateFormat=P","Fill=—","Direction=H","UseDPDF=Y")</f>
        <v>10.645</v>
      </c>
      <c r="K95" s="13">
        <f>_xll.BDH("SRPT US Equity","ARDR_SBC_NON_GAAP_R&amp;D","FQ4 2020","FQ4 2020","Currency=USD","Period=FQ","BEST_FPERIOD_OVERRIDE=FQ","FILING_STATUS=MR","SCALING_FORMAT=MLN","Sort=A","Dates=H","DateFormat=P","Fill=—","Direction=H","UseDPDF=Y")</f>
        <v>10.637</v>
      </c>
      <c r="L95" s="13">
        <f>_xll.BDH("SRPT US Equity","ARDR_SBC_NON_GAAP_R&amp;D","FQ1 2021","FQ1 2021","Currency=USD","Period=FQ","BEST_FPERIOD_OVERRIDE=FQ","FILING_STATUS=MR","SCALING_FORMAT=MLN","Sort=A","Dates=H","DateFormat=P","Fill=—","Direction=H","UseDPDF=Y")</f>
        <v>11.125999999999999</v>
      </c>
      <c r="M95" s="13">
        <f>_xll.BDH("SRPT US Equity","ARDR_SBC_NON_GAAP_R&amp;D","FQ2 2021","FQ2 2021","Currency=USD","Period=FQ","BEST_FPERIOD_OVERRIDE=FQ","FILING_STATUS=MR","SCALING_FORMAT=MLN","Sort=A","Dates=H","DateFormat=P","Fill=—","Direction=H","UseDPDF=Y")</f>
        <v>12.86</v>
      </c>
      <c r="N95" s="13">
        <f>_xll.BDH("SRPT US Equity","ARDR_SBC_NON_GAAP_R&amp;D","FQ3 2021","FQ3 2021","Currency=USD","Period=FQ","BEST_FPERIOD_OVERRIDE=FQ","FILING_STATUS=MR","SCALING_FORMAT=MLN","Sort=A","Dates=H","DateFormat=P","Fill=—","Direction=H","UseDPDF=Y")</f>
        <v>12.031000000000001</v>
      </c>
      <c r="O95" s="13">
        <f>_xll.BDH("SRPT US Equity","ARDR_SBC_NON_GAAP_R&amp;D","FQ4 2021","FQ4 2021","Currency=USD","Period=FQ","BEST_FPERIOD_OVERRIDE=FQ","FILING_STATUS=MR","SCALING_FORMAT=MLN","Sort=A","Dates=H","DateFormat=P","Fill=—","Direction=H","UseDPDF=Y")</f>
        <v>14.509</v>
      </c>
      <c r="P95" s="13">
        <f>_xll.BDH("SRPT US Equity","ARDR_SBC_NON_GAAP_R&amp;D","FQ1 2022","FQ1 2022","Currency=USD","Period=FQ","BEST_FPERIOD_OVERRIDE=FQ","FILING_STATUS=MR","SCALING_FORMAT=MLN","Sort=A","Dates=H","DateFormat=P","Fill=—","Direction=H","UseDPDF=Y")</f>
        <v>13.068</v>
      </c>
      <c r="Q95" s="13">
        <f>_xll.BDH("SRPT US Equity","ARDR_SBC_NON_GAAP_R&amp;D","FQ2 2022","FQ2 2022","Currency=USD","Period=FQ","BEST_FPERIOD_OVERRIDE=FQ","FILING_STATUS=MR","SCALING_FORMAT=MLN","Sort=A","Dates=H","DateFormat=P","Fill=—","Direction=H","UseDPDF=Y")</f>
        <v>14.467000000000001</v>
      </c>
      <c r="R95" s="13">
        <f>_xll.BDH("SRPT US Equity","ARDR_SBC_NON_GAAP_R&amp;D","FQ3 2022","FQ3 2022","Currency=USD","Period=FQ","BEST_FPERIOD_OVERRIDE=FQ","FILING_STATUS=MR","SCALING_FORMAT=MLN","Sort=A","Dates=H","DateFormat=P","Fill=—","Direction=H","UseDPDF=Y")</f>
        <v>14.795</v>
      </c>
      <c r="S95" s="13">
        <f>_xll.BDH("SRPT US Equity","ARDR_SBC_NON_GAAP_R&amp;D","FQ4 2022","FQ4 2022","Currency=USD","Period=FQ","BEST_FPERIOD_OVERRIDE=FQ","FILING_STATUS=MR","SCALING_FORMAT=MLN","Sort=A","Dates=H","DateFormat=P","Fill=—","Direction=H","UseDPDF=Y")</f>
        <v>18.963000000000001</v>
      </c>
      <c r="T95" s="13">
        <f>_xll.BDH("SRPT US Equity","ARDR_SBC_NON_GAAP_R&amp;D","FQ1 2023","FQ1 2023","Currency=USD","Period=FQ","BEST_FPERIOD_OVERRIDE=FQ","FILING_STATUS=MR","SCALING_FORMAT=MLN","Sort=A","Dates=H","DateFormat=P","Fill=—","Direction=H","UseDPDF=Y")</f>
        <v>16.413</v>
      </c>
      <c r="U95" s="13">
        <f>_xll.BDH("SRPT US Equity","ARDR_SBC_NON_GAAP_R&amp;D","FQ2 2023","FQ2 2023","Currency=USD","Period=FQ","BEST_FPERIOD_OVERRIDE=FQ","FILING_STATUS=MR","SCALING_FORMAT=MLN","Sort=A","Dates=H","DateFormat=P","Fill=—","Direction=H","UseDPDF=Y")</f>
        <v>21.577000000000002</v>
      </c>
      <c r="V95" s="13">
        <f>_xll.BDH("SRPT US Equity","ARDR_SBC_NON_GAAP_R&amp;D","FQ3 2023","FQ3 2023","Currency=USD","Period=FQ","BEST_FPERIOD_OVERRIDE=FQ","FILING_STATUS=MR","SCALING_FORMAT=MLN","Sort=A","Dates=H","DateFormat=P","Fill=—","Direction=H","UseDPDF=Y")</f>
        <v>22.324999999999999</v>
      </c>
      <c r="W95" s="13">
        <f>_xll.BDH("SRPT US Equity","ARDR_SBC_NON_GAAP_R&amp;D","FQ4 2023","FQ4 2023","Currency=USD","Period=FQ","BEST_FPERIOD_OVERRIDE=FQ","FILING_STATUS=MR","SCALING_FORMAT=MLN","Sort=A","Dates=H","DateFormat=P","Fill=—","Direction=H","UseDPDF=Y")</f>
        <v>-22.173999999999999</v>
      </c>
      <c r="X95" s="13">
        <f>_xll.BDH("SRPT US Equity","ARDR_SBC_NON_GAAP_R&amp;D","FQ1 2024","FQ1 2024","Currency=USD","Period=FQ","BEST_FPERIOD_OVERRIDE=FQ","FILING_STATUS=MR","SCALING_FORMAT=MLN","Sort=A","Dates=H","DateFormat=P","Fill=—","Direction=H","UseDPDF=Y")</f>
        <v>16.273</v>
      </c>
      <c r="Y95" s="13">
        <f>_xll.BDH("SRPT US Equity","ARDR_SBC_NON_GAAP_R&amp;D","FQ2 2024","FQ2 2024","Currency=USD","Period=FQ","BEST_FPERIOD_OVERRIDE=FQ","FILING_STATUS=MR","SCALING_FORMAT=MLN","Sort=A","Dates=H","DateFormat=P","Fill=—","Direction=H","UseDPDF=Y")</f>
        <v>19.806000000000001</v>
      </c>
      <c r="Z95" s="13">
        <f>_xll.BDH("SRPT US Equity","ARDR_SBC_NON_GAAP_R&amp;D","FQ3 2024","FQ3 2024","Currency=USD","Period=FQ","BEST_FPERIOD_OVERRIDE=FQ","FILING_STATUS=MR","SCALING_FORMAT=MLN","Sort=A","Dates=H","DateFormat=P","Fill=—","Direction=H","UseDPDF=Y")</f>
        <v>18.033999999999999</v>
      </c>
      <c r="AA95" s="13">
        <f>_xll.BDH("SRPT US Equity","ARDR_SBC_NON_GAAP_R&amp;D","FQ4 2024","FQ4 2024","Currency=USD","Period=FQ","BEST_FPERIOD_OVERRIDE=FQ","FILING_STATUS=MR","SCALING_FORMAT=MLN","Sort=A","Dates=H","DateFormat=P","Fill=—","Direction=H","UseDPDF=Y")</f>
        <v>19.896999999999998</v>
      </c>
    </row>
    <row r="96" spans="1:27" x14ac:dyDescent="0.25">
      <c r="A96" s="10" t="s">
        <v>574</v>
      </c>
      <c r="B96" s="10" t="s">
        <v>575</v>
      </c>
      <c r="C96" s="13" t="str">
        <f>_xll.BDH("SRPT US Equity","ARDR_OTH_ADJ_NON_GAAP_R&amp;D","FQ4 2018","FQ4 2018","Currency=USD","Period=FQ","BEST_FPERIOD_OVERRIDE=FQ","FILING_STATUS=MR","SCALING_FORMAT=MLN","Sort=A","Dates=H","DateFormat=P","Fill=—","Direction=H","UseDPDF=Y")</f>
        <v>—</v>
      </c>
      <c r="D96" s="13" t="str">
        <f>_xll.BDH("SRPT US Equity","ARDR_OTH_ADJ_NON_GAAP_R&amp;D","FQ1 2019","FQ1 2019","Currency=USD","Period=FQ","BEST_FPERIOD_OVERRIDE=FQ","FILING_STATUS=MR","SCALING_FORMAT=MLN","Sort=A","Dates=H","DateFormat=P","Fill=—","Direction=H","UseDPDF=Y")</f>
        <v>—</v>
      </c>
      <c r="E96" s="13" t="str">
        <f>_xll.BDH("SRPT US Equity","ARDR_OTH_ADJ_NON_GAAP_R&amp;D","FQ2 2019","FQ2 2019","Currency=USD","Period=FQ","BEST_FPERIOD_OVERRIDE=FQ","FILING_STATUS=MR","SCALING_FORMAT=MLN","Sort=A","Dates=H","DateFormat=P","Fill=—","Direction=H","UseDPDF=Y")</f>
        <v>—</v>
      </c>
      <c r="F96" s="13">
        <f>_xll.BDH("SRPT US Equity","ARDR_OTH_ADJ_NON_GAAP_R&amp;D","FQ3 2019","FQ3 2019","Currency=USD","Period=FQ","BEST_FPERIOD_OVERRIDE=FQ","FILING_STATUS=MR","SCALING_FORMAT=MLN","Sort=A","Dates=H","DateFormat=P","Fill=—","Direction=H","UseDPDF=Y")</f>
        <v>12.146000000000001</v>
      </c>
      <c r="G96" s="13" t="str">
        <f>_xll.BDH("SRPT US Equity","ARDR_OTH_ADJ_NON_GAAP_R&amp;D","FQ4 2019","FQ4 2019","Currency=USD","Period=FQ","BEST_FPERIOD_OVERRIDE=FQ","FILING_STATUS=MR","SCALING_FORMAT=MLN","Sort=A","Dates=H","DateFormat=P","Fill=—","Direction=H","UseDPDF=Y")</f>
        <v>—</v>
      </c>
      <c r="H96" s="13" t="str">
        <f>_xll.BDH("SRPT US Equity","ARDR_OTH_ADJ_NON_GAAP_R&amp;D","FQ1 2020","FQ1 2020","Currency=USD","Period=FQ","BEST_FPERIOD_OVERRIDE=FQ","FILING_STATUS=MR","SCALING_FORMAT=MLN","Sort=A","Dates=H","DateFormat=P","Fill=—","Direction=H","UseDPDF=Y")</f>
        <v>—</v>
      </c>
      <c r="I96" s="13" t="str">
        <f>_xll.BDH("SRPT US Equity","ARDR_OTH_ADJ_NON_GAAP_R&amp;D","FQ2 2020","FQ2 2020","Currency=USD","Period=FQ","BEST_FPERIOD_OVERRIDE=FQ","FILING_STATUS=MR","SCALING_FORMAT=MLN","Sort=A","Dates=H","DateFormat=P","Fill=—","Direction=H","UseDPDF=Y")</f>
        <v>—</v>
      </c>
      <c r="J96" s="13" t="str">
        <f>_xll.BDH("SRPT US Equity","ARDR_OTH_ADJ_NON_GAAP_R&amp;D","FQ3 2020","FQ3 2020","Currency=USD","Period=FQ","BEST_FPERIOD_OVERRIDE=FQ","FILING_STATUS=MR","SCALING_FORMAT=MLN","Sort=A","Dates=H","DateFormat=P","Fill=—","Direction=H","UseDPDF=Y")</f>
        <v>—</v>
      </c>
      <c r="K96" s="13" t="str">
        <f>_xll.BDH("SRPT US Equity","ARDR_OTH_ADJ_NON_GAAP_R&amp;D","FQ4 2020","FQ4 2020","Currency=USD","Period=FQ","BEST_FPERIOD_OVERRIDE=FQ","FILING_STATUS=MR","SCALING_FORMAT=MLN","Sort=A","Dates=H","DateFormat=P","Fill=—","Direction=H","UseDPDF=Y")</f>
        <v>—</v>
      </c>
      <c r="L96" s="13" t="str">
        <f>_xll.BDH("SRPT US Equity","ARDR_OTH_ADJ_NON_GAAP_R&amp;D","FQ1 2021","FQ1 2021","Currency=USD","Period=FQ","BEST_FPERIOD_OVERRIDE=FQ","FILING_STATUS=MR","SCALING_FORMAT=MLN","Sort=A","Dates=H","DateFormat=P","Fill=—","Direction=H","UseDPDF=Y")</f>
        <v>—</v>
      </c>
      <c r="M96" s="13" t="str">
        <f>_xll.BDH("SRPT US Equity","ARDR_OTH_ADJ_NON_GAAP_R&amp;D","FQ2 2021","FQ2 2021","Currency=USD","Period=FQ","BEST_FPERIOD_OVERRIDE=FQ","FILING_STATUS=MR","SCALING_FORMAT=MLN","Sort=A","Dates=H","DateFormat=P","Fill=—","Direction=H","UseDPDF=Y")</f>
        <v>—</v>
      </c>
      <c r="N96" s="13" t="str">
        <f>_xll.BDH("SRPT US Equity","ARDR_OTH_ADJ_NON_GAAP_R&amp;D","FQ3 2021","FQ3 2021","Currency=USD","Period=FQ","BEST_FPERIOD_OVERRIDE=FQ","FILING_STATUS=MR","SCALING_FORMAT=MLN","Sort=A","Dates=H","DateFormat=P","Fill=—","Direction=H","UseDPDF=Y")</f>
        <v>—</v>
      </c>
      <c r="O96" s="13" t="str">
        <f>_xll.BDH("SRPT US Equity","ARDR_OTH_ADJ_NON_GAAP_R&amp;D","FQ4 2021","FQ4 2021","Currency=USD","Period=FQ","BEST_FPERIOD_OVERRIDE=FQ","FILING_STATUS=MR","SCALING_FORMAT=MLN","Sort=A","Dates=H","DateFormat=P","Fill=—","Direction=H","UseDPDF=Y")</f>
        <v>—</v>
      </c>
      <c r="P96" s="13" t="str">
        <f>_xll.BDH("SRPT US Equity","ARDR_OTH_ADJ_NON_GAAP_R&amp;D","FQ1 2022","FQ1 2022","Currency=USD","Period=FQ","BEST_FPERIOD_OVERRIDE=FQ","FILING_STATUS=MR","SCALING_FORMAT=MLN","Sort=A","Dates=H","DateFormat=P","Fill=—","Direction=H","UseDPDF=Y")</f>
        <v>—</v>
      </c>
      <c r="Q96" s="13" t="str">
        <f>_xll.BDH("SRPT US Equity","ARDR_OTH_ADJ_NON_GAAP_R&amp;D","FQ2 2022","FQ2 2022","Currency=USD","Period=FQ","BEST_FPERIOD_OVERRIDE=FQ","FILING_STATUS=MR","SCALING_FORMAT=MLN","Sort=A","Dates=H","DateFormat=P","Fill=—","Direction=H","UseDPDF=Y")</f>
        <v>—</v>
      </c>
      <c r="R96" s="13" t="str">
        <f>_xll.BDH("SRPT US Equity","ARDR_OTH_ADJ_NON_GAAP_R&amp;D","FQ3 2022","FQ3 2022","Currency=USD","Period=FQ","BEST_FPERIOD_OVERRIDE=FQ","FILING_STATUS=MR","SCALING_FORMAT=MLN","Sort=A","Dates=H","DateFormat=P","Fill=—","Direction=H","UseDPDF=Y")</f>
        <v>—</v>
      </c>
      <c r="S96" s="13" t="str">
        <f>_xll.BDH("SRPT US Equity","ARDR_OTH_ADJ_NON_GAAP_R&amp;D","FQ4 2022","FQ4 2022","Currency=USD","Period=FQ","BEST_FPERIOD_OVERRIDE=FQ","FILING_STATUS=MR","SCALING_FORMAT=MLN","Sort=A","Dates=H","DateFormat=P","Fill=—","Direction=H","UseDPDF=Y")</f>
        <v>—</v>
      </c>
      <c r="T96" s="13" t="str">
        <f>_xll.BDH("SRPT US Equity","ARDR_OTH_ADJ_NON_GAAP_R&amp;D","FQ1 2023","FQ1 2023","Currency=USD","Period=FQ","BEST_FPERIOD_OVERRIDE=FQ","FILING_STATUS=MR","SCALING_FORMAT=MLN","Sort=A","Dates=H","DateFormat=P","Fill=—","Direction=H","UseDPDF=Y")</f>
        <v>—</v>
      </c>
      <c r="U96" s="13" t="str">
        <f>_xll.BDH("SRPT US Equity","ARDR_OTH_ADJ_NON_GAAP_R&amp;D","FQ2 2023","FQ2 2023","Currency=USD","Period=FQ","BEST_FPERIOD_OVERRIDE=FQ","FILING_STATUS=MR","SCALING_FORMAT=MLN","Sort=A","Dates=H","DateFormat=P","Fill=—","Direction=H","UseDPDF=Y")</f>
        <v>—</v>
      </c>
      <c r="V96" s="13" t="str">
        <f>_xll.BDH("SRPT US Equity","ARDR_OTH_ADJ_NON_GAAP_R&amp;D","FQ3 2023","FQ3 2023","Currency=USD","Period=FQ","BEST_FPERIOD_OVERRIDE=FQ","FILING_STATUS=MR","SCALING_FORMAT=MLN","Sort=A","Dates=H","DateFormat=P","Fill=—","Direction=H","UseDPDF=Y")</f>
        <v>—</v>
      </c>
      <c r="W96" s="13" t="str">
        <f>_xll.BDH("SRPT US Equity","ARDR_OTH_ADJ_NON_GAAP_R&amp;D","FQ4 2023","FQ4 2023","Currency=USD","Period=FQ","BEST_FPERIOD_OVERRIDE=FQ","FILING_STATUS=MR","SCALING_FORMAT=MLN","Sort=A","Dates=H","DateFormat=P","Fill=—","Direction=H","UseDPDF=Y")</f>
        <v>—</v>
      </c>
      <c r="X96" s="13" t="str">
        <f>_xll.BDH("SRPT US Equity","ARDR_OTH_ADJ_NON_GAAP_R&amp;D","FQ1 2024","FQ1 2024","Currency=USD","Period=FQ","BEST_FPERIOD_OVERRIDE=FQ","FILING_STATUS=MR","SCALING_FORMAT=MLN","Sort=A","Dates=H","DateFormat=P","Fill=—","Direction=H","UseDPDF=Y")</f>
        <v>—</v>
      </c>
      <c r="Y96" s="13" t="str">
        <f>_xll.BDH("SRPT US Equity","ARDR_OTH_ADJ_NON_GAAP_R&amp;D","FQ2 2024","FQ2 2024","Currency=USD","Period=FQ","BEST_FPERIOD_OVERRIDE=FQ","FILING_STATUS=MR","SCALING_FORMAT=MLN","Sort=A","Dates=H","DateFormat=P","Fill=—","Direction=H","UseDPDF=Y")</f>
        <v>—</v>
      </c>
      <c r="Z96" s="13" t="str">
        <f>_xll.BDH("SRPT US Equity","ARDR_OTH_ADJ_NON_GAAP_R&amp;D","FQ3 2024","FQ3 2024","Currency=USD","Period=FQ","BEST_FPERIOD_OVERRIDE=FQ","FILING_STATUS=MR","SCALING_FORMAT=MLN","Sort=A","Dates=H","DateFormat=P","Fill=—","Direction=H","UseDPDF=Y")</f>
        <v>—</v>
      </c>
      <c r="AA96" s="13" t="str">
        <f>_xll.BDH("SRPT US Equity","ARDR_OTH_ADJ_NON_GAAP_R&amp;D","FQ4 2024","FQ4 2024","Currency=USD","Period=FQ","BEST_FPERIOD_OVERRIDE=FQ","FILING_STATUS=MR","SCALING_FORMAT=MLN","Sort=A","Dates=H","DateFormat=P","Fill=—","Direction=H","UseDPDF=Y")</f>
        <v>—</v>
      </c>
    </row>
    <row r="97" spans="1:27" x14ac:dyDescent="0.25">
      <c r="A97" s="10" t="s">
        <v>576</v>
      </c>
      <c r="B97" s="10" t="s">
        <v>577</v>
      </c>
      <c r="C97" s="13">
        <f>_xll.BDH("SRPT US Equity","ARDR_TAX_EFFECT_NON_GAAP_ADJ","FQ4 2018","FQ4 2018","Currency=USD","Period=FQ","BEST_FPERIOD_OVERRIDE=FQ","FILING_STATUS=MR","SCALING_FORMAT=MLN","Sort=A","Dates=H","DateFormat=P","Fill=—","Direction=H","UseDPDF=Y")</f>
        <v>-0.77900000000000003</v>
      </c>
      <c r="D97" s="13" t="str">
        <f>_xll.BDH("SRPT US Equity","ARDR_TAX_EFFECT_NON_GAAP_ADJ","FQ1 2019","FQ1 2019","Currency=USD","Period=FQ","BEST_FPERIOD_OVERRIDE=FQ","FILING_STATUS=MR","SCALING_FORMAT=MLN","Sort=A","Dates=H","DateFormat=P","Fill=—","Direction=H","UseDPDF=Y")</f>
        <v>—</v>
      </c>
      <c r="E97" s="13" t="str">
        <f>_xll.BDH("SRPT US Equity","ARDR_TAX_EFFECT_NON_GAAP_ADJ","FQ2 2019","FQ2 2019","Currency=USD","Period=FQ","BEST_FPERIOD_OVERRIDE=FQ","FILING_STATUS=MR","SCALING_FORMAT=MLN","Sort=A","Dates=H","DateFormat=P","Fill=—","Direction=H","UseDPDF=Y")</f>
        <v>—</v>
      </c>
      <c r="F97" s="13" t="str">
        <f>_xll.BDH("SRPT US Equity","ARDR_TAX_EFFECT_NON_GAAP_ADJ","FQ3 2019","FQ3 2019","Currency=USD","Period=FQ","BEST_FPERIOD_OVERRIDE=FQ","FILING_STATUS=MR","SCALING_FORMAT=MLN","Sort=A","Dates=H","DateFormat=P","Fill=—","Direction=H","UseDPDF=Y")</f>
        <v>—</v>
      </c>
      <c r="G97" s="13" t="str">
        <f>_xll.BDH("SRPT US Equity","ARDR_TAX_EFFECT_NON_GAAP_ADJ","FQ4 2019","FQ4 2019","Currency=USD","Period=FQ","BEST_FPERIOD_OVERRIDE=FQ","FILING_STATUS=MR","SCALING_FORMAT=MLN","Sort=A","Dates=H","DateFormat=P","Fill=—","Direction=H","UseDPDF=Y")</f>
        <v>—</v>
      </c>
      <c r="H97" s="13">
        <f>_xll.BDH("SRPT US Equity","ARDR_TAX_EFFECT_NON_GAAP_ADJ","FQ1 2020","FQ1 2020","Currency=USD","Period=FQ","BEST_FPERIOD_OVERRIDE=FQ","FILING_STATUS=MR","SCALING_FORMAT=MLN","Sort=A","Dates=H","DateFormat=P","Fill=—","Direction=H","UseDPDF=Y")</f>
        <v>0.115</v>
      </c>
      <c r="I97" s="13" t="str">
        <f>_xll.BDH("SRPT US Equity","ARDR_TAX_EFFECT_NON_GAAP_ADJ","FQ2 2020","FQ2 2020","Currency=USD","Period=FQ","BEST_FPERIOD_OVERRIDE=FQ","FILING_STATUS=MR","SCALING_FORMAT=MLN","Sort=A","Dates=H","DateFormat=P","Fill=—","Direction=H","UseDPDF=Y")</f>
        <v>—</v>
      </c>
      <c r="J97" s="13" t="str">
        <f>_xll.BDH("SRPT US Equity","ARDR_TAX_EFFECT_NON_GAAP_ADJ","FQ3 2020","FQ3 2020","Currency=USD","Period=FQ","BEST_FPERIOD_OVERRIDE=FQ","FILING_STATUS=MR","SCALING_FORMAT=MLN","Sort=A","Dates=H","DateFormat=P","Fill=—","Direction=H","UseDPDF=Y")</f>
        <v>—</v>
      </c>
      <c r="K97" s="13" t="str">
        <f>_xll.BDH("SRPT US Equity","ARDR_TAX_EFFECT_NON_GAAP_ADJ","FQ4 2020","FQ4 2020","Currency=USD","Period=FQ","BEST_FPERIOD_OVERRIDE=FQ","FILING_STATUS=MR","SCALING_FORMAT=MLN","Sort=A","Dates=H","DateFormat=P","Fill=—","Direction=H","UseDPDF=Y")</f>
        <v>—</v>
      </c>
      <c r="L97" s="13">
        <f>_xll.BDH("SRPT US Equity","ARDR_TAX_EFFECT_NON_GAAP_ADJ","FQ1 2021","FQ1 2021","Currency=USD","Period=FQ","BEST_FPERIOD_OVERRIDE=FQ","FILING_STATUS=MR","SCALING_FORMAT=MLN","Sort=A","Dates=H","DateFormat=P","Fill=—","Direction=H","UseDPDF=Y")</f>
        <v>-0.14299999999999999</v>
      </c>
      <c r="M97" s="13" t="str">
        <f>_xll.BDH("SRPT US Equity","ARDR_TAX_EFFECT_NON_GAAP_ADJ","FQ2 2021","FQ2 2021","Currency=USD","Period=FQ","BEST_FPERIOD_OVERRIDE=FQ","FILING_STATUS=MR","SCALING_FORMAT=MLN","Sort=A","Dates=H","DateFormat=P","Fill=—","Direction=H","UseDPDF=Y")</f>
        <v>—</v>
      </c>
      <c r="N97" s="13" t="str">
        <f>_xll.BDH("SRPT US Equity","ARDR_TAX_EFFECT_NON_GAAP_ADJ","FQ3 2021","FQ3 2021","Currency=USD","Period=FQ","BEST_FPERIOD_OVERRIDE=FQ","FILING_STATUS=MR","SCALING_FORMAT=MLN","Sort=A","Dates=H","DateFormat=P","Fill=—","Direction=H","UseDPDF=Y")</f>
        <v>—</v>
      </c>
      <c r="O97" s="13">
        <f>_xll.BDH("SRPT US Equity","ARDR_TAX_EFFECT_NON_GAAP_ADJ","FQ4 2021","FQ4 2021","Currency=USD","Period=FQ","BEST_FPERIOD_OVERRIDE=FQ","FILING_STATUS=MR","SCALING_FORMAT=MLN","Sort=A","Dates=H","DateFormat=P","Fill=—","Direction=H","UseDPDF=Y")</f>
        <v>9.1999999999999998E-2</v>
      </c>
      <c r="P97" s="13" t="str">
        <f>_xll.BDH("SRPT US Equity","ARDR_TAX_EFFECT_NON_GAAP_ADJ","FQ1 2022","FQ1 2022","Currency=USD","Period=FQ","BEST_FPERIOD_OVERRIDE=FQ","FILING_STATUS=MR","SCALING_FORMAT=MLN","Sort=A","Dates=H","DateFormat=P","Fill=—","Direction=H","UseDPDF=Y")</f>
        <v>—</v>
      </c>
      <c r="Q97" s="13" t="str">
        <f>_xll.BDH("SRPT US Equity","ARDR_TAX_EFFECT_NON_GAAP_ADJ","FQ2 2022","FQ2 2022","Currency=USD","Period=FQ","BEST_FPERIOD_OVERRIDE=FQ","FILING_STATUS=MR","SCALING_FORMAT=MLN","Sort=A","Dates=H","DateFormat=P","Fill=—","Direction=H","UseDPDF=Y")</f>
        <v>—</v>
      </c>
      <c r="R97" s="13" t="str">
        <f>_xll.BDH("SRPT US Equity","ARDR_TAX_EFFECT_NON_GAAP_ADJ","FQ3 2022","FQ3 2022","Currency=USD","Period=FQ","BEST_FPERIOD_OVERRIDE=FQ","FILING_STATUS=MR","SCALING_FORMAT=MLN","Sort=A","Dates=H","DateFormat=P","Fill=—","Direction=H","UseDPDF=Y")</f>
        <v>—</v>
      </c>
      <c r="S97" s="13" t="str">
        <f>_xll.BDH("SRPT US Equity","ARDR_TAX_EFFECT_NON_GAAP_ADJ","FQ4 2022","FQ4 2022","Currency=USD","Period=FQ","BEST_FPERIOD_OVERRIDE=FQ","FILING_STATUS=MR","SCALING_FORMAT=MLN","Sort=A","Dates=H","DateFormat=P","Fill=—","Direction=H","UseDPDF=Y")</f>
        <v>—</v>
      </c>
      <c r="T97" s="13" t="str">
        <f>_xll.BDH("SRPT US Equity","ARDR_TAX_EFFECT_NON_GAAP_ADJ","FQ1 2023","FQ1 2023","Currency=USD","Period=FQ","BEST_FPERIOD_OVERRIDE=FQ","FILING_STATUS=MR","SCALING_FORMAT=MLN","Sort=A","Dates=H","DateFormat=P","Fill=—","Direction=H","UseDPDF=Y")</f>
        <v>—</v>
      </c>
      <c r="U97" s="13" t="str">
        <f>_xll.BDH("SRPT US Equity","ARDR_TAX_EFFECT_NON_GAAP_ADJ","FQ2 2023","FQ2 2023","Currency=USD","Period=FQ","BEST_FPERIOD_OVERRIDE=FQ","FILING_STATUS=MR","SCALING_FORMAT=MLN","Sort=A","Dates=H","DateFormat=P","Fill=—","Direction=H","UseDPDF=Y")</f>
        <v>—</v>
      </c>
      <c r="V97" s="13" t="str">
        <f>_xll.BDH("SRPT US Equity","ARDR_TAX_EFFECT_NON_GAAP_ADJ","FQ3 2023","FQ3 2023","Currency=USD","Period=FQ","BEST_FPERIOD_OVERRIDE=FQ","FILING_STATUS=MR","SCALING_FORMAT=MLN","Sort=A","Dates=H","DateFormat=P","Fill=—","Direction=H","UseDPDF=Y")</f>
        <v>—</v>
      </c>
      <c r="W97" s="13">
        <f>_xll.BDH("SRPT US Equity","ARDR_TAX_EFFECT_NON_GAAP_ADJ","FQ4 2023","FQ4 2023","Currency=USD","Period=FQ","BEST_FPERIOD_OVERRIDE=FQ","FILING_STATUS=MR","SCALING_FORMAT=MLN","Sort=A","Dates=H","DateFormat=P","Fill=—","Direction=H","UseDPDF=Y")</f>
        <v>-5.2839999999999998</v>
      </c>
      <c r="X97" s="13">
        <f>_xll.BDH("SRPT US Equity","ARDR_TAX_EFFECT_NON_GAAP_ADJ","FQ1 2024","FQ1 2024","Currency=USD","Period=FQ","BEST_FPERIOD_OVERRIDE=FQ","FILING_STATUS=MR","SCALING_FORMAT=MLN","Sort=A","Dates=H","DateFormat=P","Fill=—","Direction=H","UseDPDF=Y")</f>
        <v>-1.083</v>
      </c>
      <c r="Y97" s="13">
        <f>_xll.BDH("SRPT US Equity","ARDR_TAX_EFFECT_NON_GAAP_ADJ","FQ2 2024","FQ2 2024","Currency=USD","Period=FQ","BEST_FPERIOD_OVERRIDE=FQ","FILING_STATUS=MR","SCALING_FORMAT=MLN","Sort=A","Dates=H","DateFormat=P","Fill=—","Direction=H","UseDPDF=Y")</f>
        <v>-4.3890000000000002</v>
      </c>
      <c r="Z97" s="13">
        <f>_xll.BDH("SRPT US Equity","ARDR_TAX_EFFECT_NON_GAAP_ADJ","FQ3 2024","FQ3 2024","Currency=USD","Period=FQ","BEST_FPERIOD_OVERRIDE=FQ","FILING_STATUS=MR","SCALING_FORMAT=MLN","Sort=A","Dates=H","DateFormat=P","Fill=—","Direction=H","UseDPDF=Y")</f>
        <v>-4.3</v>
      </c>
      <c r="AA97" s="13">
        <f>_xll.BDH("SRPT US Equity","ARDR_TAX_EFFECT_NON_GAAP_ADJ","FQ4 2024","FQ4 2024","Currency=USD","Period=FQ","BEST_FPERIOD_OVERRIDE=FQ","FILING_STATUS=MR","SCALING_FORMAT=MLN","Sort=A","Dates=H","DateFormat=P","Fill=—","Direction=H","UseDPDF=Y")</f>
        <v>-1.0920000000000001</v>
      </c>
    </row>
    <row r="98" spans="1:27" x14ac:dyDescent="0.25">
      <c r="A98" s="10" t="s">
        <v>578</v>
      </c>
      <c r="B98" s="10" t="s">
        <v>579</v>
      </c>
      <c r="C98" s="13">
        <f>_xll.BDH("SRPT US Equity","ARDR_NON_GAAP_DIL_WAVG_SHRS","FQ4 2018","FQ4 2018","Currency=USD","Period=FQ","BEST_FPERIOD_OVERRIDE=FQ","FILING_STATUS=MR","Sort=A","Dates=H","DateFormat=P","Fill=—","Direction=H","UseDPDF=Y")</f>
        <v>68.653000000000006</v>
      </c>
      <c r="D98" s="13">
        <f>_xll.BDH("SRPT US Equity","ARDR_NON_GAAP_DIL_WAVG_SHRS","FQ1 2019","FQ1 2019","Currency=USD","Period=FQ","BEST_FPERIOD_OVERRIDE=FQ","FILING_STATUS=MR","Sort=A","Dates=H","DateFormat=P","Fill=—","Direction=H","UseDPDF=Y")</f>
        <v>71.730999999999995</v>
      </c>
      <c r="E98" s="13">
        <f>_xll.BDH("SRPT US Equity","ARDR_NON_GAAP_DIL_WAVG_SHRS","FQ2 2019","FQ2 2019","Currency=USD","Period=FQ","BEST_FPERIOD_OVERRIDE=FQ","FILING_STATUS=MR","Sort=A","Dates=H","DateFormat=P","Fill=—","Direction=H","UseDPDF=Y")</f>
        <v>73.957999999999998</v>
      </c>
      <c r="F98" s="13">
        <f>_xll.BDH("SRPT US Equity","ARDR_NON_GAAP_DIL_WAVG_SHRS","FQ3 2019","FQ3 2019","Currency=USD","Period=FQ","BEST_FPERIOD_OVERRIDE=FQ","FILING_STATUS=MR","Sort=A","Dates=H","DateFormat=P","Fill=—","Direction=H","UseDPDF=Y")</f>
        <v>74.177000000000007</v>
      </c>
      <c r="G98" s="13">
        <f>_xll.BDH("SRPT US Equity","ARDR_NON_GAAP_DIL_WAVG_SHRS","FQ4 2019","FQ4 2019","Currency=USD","Period=FQ","BEST_FPERIOD_OVERRIDE=FQ","FILING_STATUS=MR","Sort=A","Dates=H","DateFormat=P","Fill=—","Direction=H","UseDPDF=Y")</f>
        <v>74.557000000000002</v>
      </c>
      <c r="H98" s="13">
        <f>_xll.BDH("SRPT US Equity","ARDR_NON_GAAP_DIL_WAVG_SHRS","FQ1 2020","FQ1 2020","Currency=USD","Period=FQ","BEST_FPERIOD_OVERRIDE=FQ","FILING_STATUS=MR","Sort=A","Dates=H","DateFormat=P","Fill=—","Direction=H","UseDPDF=Y")</f>
        <v>76.432000000000002</v>
      </c>
      <c r="I98" s="13">
        <f>_xll.BDH("SRPT US Equity","ARDR_NON_GAAP_DIL_WAVG_SHRS","FQ2 2020","FQ2 2020","Currency=USD","Period=FQ","BEST_FPERIOD_OVERRIDE=FQ","FILING_STATUS=MR","Sort=A","Dates=H","DateFormat=P","Fill=—","Direction=H","UseDPDF=Y")</f>
        <v>77.968000000000004</v>
      </c>
      <c r="J98" s="13">
        <f>_xll.BDH("SRPT US Equity","ARDR_NON_GAAP_DIL_WAVG_SHRS","FQ3 2020","FQ3 2020","Currency=USD","Period=FQ","BEST_FPERIOD_OVERRIDE=FQ","FILING_STATUS=MR","Sort=A","Dates=H","DateFormat=P","Fill=—","Direction=H","UseDPDF=Y")</f>
        <v>78.501000000000005</v>
      </c>
      <c r="K98" s="13">
        <f>_xll.BDH("SRPT US Equity","ARDR_NON_GAAP_DIL_WAVG_SHRS","FQ4 2020","FQ4 2020","Currency=USD","Period=FQ","BEST_FPERIOD_OVERRIDE=FQ","FILING_STATUS=MR","Sort=A","Dates=H","DateFormat=P","Fill=—","Direction=H","UseDPDF=Y")</f>
        <v>78.905000000000001</v>
      </c>
      <c r="L98" s="13">
        <f>_xll.BDH("SRPT US Equity","ARDR_NON_GAAP_DIL_WAVG_SHRS","FQ1 2021","FQ1 2021","Currency=USD","Period=FQ","BEST_FPERIOD_OVERRIDE=FQ","FILING_STATUS=MR","Sort=A","Dates=H","DateFormat=P","Fill=—","Direction=H","UseDPDF=Y")</f>
        <v>79.453999999999994</v>
      </c>
      <c r="M98" s="13">
        <f>_xll.BDH("SRPT US Equity","ARDR_NON_GAAP_DIL_WAVG_SHRS","FQ2 2021","FQ2 2021","Currency=USD","Period=FQ","BEST_FPERIOD_OVERRIDE=FQ","FILING_STATUS=MR","Sort=A","Dates=H","DateFormat=P","Fill=—","Direction=H","UseDPDF=Y")</f>
        <v>79.745999999999995</v>
      </c>
      <c r="N98" s="13">
        <f>_xll.BDH("SRPT US Equity","ARDR_NON_GAAP_DIL_WAVG_SHRS","FQ3 2021","FQ3 2021","Currency=USD","Period=FQ","BEST_FPERIOD_OVERRIDE=FQ","FILING_STATUS=MR","Sort=A","Dates=H","DateFormat=P","Fill=—","Direction=H","UseDPDF=Y")</f>
        <v>79.88</v>
      </c>
      <c r="O98" s="13">
        <f>_xll.BDH("SRPT US Equity","ARDR_NON_GAAP_DIL_WAVG_SHRS","FQ4 2021","FQ4 2021","Currency=USD","Period=FQ","BEST_FPERIOD_OVERRIDE=FQ","FILING_STATUS=MR","Sort=A","Dates=H","DateFormat=P","Fill=—","Direction=H","UseDPDF=Y")</f>
        <v>85.950999999999993</v>
      </c>
      <c r="P98" s="13">
        <f>_xll.BDH("SRPT US Equity","ARDR_NON_GAAP_DIL_WAVG_SHRS","FQ1 2022","FQ1 2022","Currency=USD","Period=FQ","BEST_FPERIOD_OVERRIDE=FQ","FILING_STATUS=MR","Sort=A","Dates=H","DateFormat=P","Fill=—","Direction=H","UseDPDF=Y")</f>
        <v>87.253</v>
      </c>
      <c r="Q98" s="13">
        <f>_xll.BDH("SRPT US Equity","ARDR_NON_GAAP_DIL_WAVG_SHRS","FQ2 2022","FQ2 2022","Currency=USD","Period=FQ","BEST_FPERIOD_OVERRIDE=FQ","FILING_STATUS=MR","Sort=A","Dates=H","DateFormat=P","Fill=—","Direction=H","UseDPDF=Y")</f>
        <v>87.510999999999996</v>
      </c>
      <c r="R98" s="13">
        <f>_xll.BDH("SRPT US Equity","ARDR_NON_GAAP_DIL_WAVG_SHRS","FQ3 2022","FQ3 2022","Currency=USD","Period=FQ","BEST_FPERIOD_OVERRIDE=FQ","FILING_STATUS=MR","Sort=A","Dates=H","DateFormat=P","Fill=—","Direction=H","UseDPDF=Y")</f>
        <v>87.628</v>
      </c>
      <c r="S98" s="13">
        <f>_xll.BDH("SRPT US Equity","ARDR_NON_GAAP_DIL_WAVG_SHRS","FQ4 2022","FQ4 2022","Currency=USD","Period=FQ","BEST_FPERIOD_OVERRIDE=FQ","FILING_STATUS=MR","Sort=A","Dates=H","DateFormat=P","Fill=—","Direction=H","UseDPDF=Y")</f>
        <v>87.837999999999994</v>
      </c>
      <c r="T98" s="13">
        <f>_xll.BDH("SRPT US Equity","ARDR_NON_GAAP_DIL_WAVG_SHRS","FQ1 2023","FQ1 2023","Currency=USD","Period=FQ","BEST_FPERIOD_OVERRIDE=FQ","FILING_STATUS=MR","Sort=A","Dates=H","DateFormat=P","Fill=—","Direction=H","UseDPDF=Y")</f>
        <v>88.186000000000007</v>
      </c>
      <c r="U98" s="13">
        <f>_xll.BDH("SRPT US Equity","ARDR_NON_GAAP_DIL_WAVG_SHRS","FQ2 2023","FQ2 2023","Currency=USD","Period=FQ","BEST_FPERIOD_OVERRIDE=FQ","FILING_STATUS=MR","Sort=A","Dates=H","DateFormat=P","Fill=—","Direction=H","UseDPDF=Y")</f>
        <v>88.742999999999995</v>
      </c>
      <c r="V98" s="13">
        <f>_xll.BDH("SRPT US Equity","ARDR_NON_GAAP_DIL_WAVG_SHRS","FQ3 2023","FQ3 2023","Currency=USD","Period=FQ","BEST_FPERIOD_OVERRIDE=FQ","FILING_STATUS=MR","Sort=A","Dates=H","DateFormat=P","Fill=—","Direction=H","UseDPDF=Y")</f>
        <v>101.72199999999999</v>
      </c>
      <c r="W98" s="13">
        <f>_xll.BDH("SRPT US Equity","ARDR_NON_GAAP_DIL_WAVG_SHRS","FQ4 2023","FQ4 2023","Currency=USD","Period=FQ","BEST_FPERIOD_OVERRIDE=FQ","FILING_STATUS=MR","Sort=A","Dates=H","DateFormat=P","Fill=—","Direction=H","UseDPDF=Y")</f>
        <v>105.59399999999999</v>
      </c>
      <c r="X98" s="13">
        <f>_xll.BDH("SRPT US Equity","ARDR_NON_GAAP_DIL_WAVG_SHRS","FQ1 2024","FQ1 2024","Currency=USD","Period=FQ","BEST_FPERIOD_OVERRIDE=FQ","FILING_STATUS=MR","Sort=A","Dates=H","DateFormat=P","Fill=—","Direction=H","UseDPDF=Y")</f>
        <v>107.215</v>
      </c>
      <c r="Y98" s="13">
        <f>_xll.BDH("SRPT US Equity","ARDR_NON_GAAP_DIL_WAVG_SHRS","FQ2 2024","FQ2 2024","Currency=USD","Period=FQ","BEST_FPERIOD_OVERRIDE=FQ","FILING_STATUS=MR","Sort=A","Dates=H","DateFormat=P","Fill=—","Direction=H","UseDPDF=Y")</f>
        <v>107.245</v>
      </c>
      <c r="Z98" s="13">
        <f>_xll.BDH("SRPT US Equity","ARDR_NON_GAAP_DIL_WAVG_SHRS","FQ3 2024","FQ3 2024","Currency=USD","Period=FQ","BEST_FPERIOD_OVERRIDE=FQ","FILING_STATUS=MR","Sort=A","Dates=H","DateFormat=P","Fill=—","Direction=H","UseDPDF=Y")</f>
        <v>108.548</v>
      </c>
      <c r="AA98" s="13">
        <f>_xll.BDH("SRPT US Equity","ARDR_NON_GAAP_DIL_WAVG_SHRS","FQ4 2024","FQ4 2024","Currency=USD","Period=FQ","BEST_FPERIOD_OVERRIDE=FQ","FILING_STATUS=MR","Sort=A","Dates=H","DateFormat=P","Fill=—","Direction=H","UseDPDF=Y")</f>
        <v>172.7</v>
      </c>
    </row>
    <row r="99" spans="1:27" x14ac:dyDescent="0.25">
      <c r="A99" s="10" t="s">
        <v>580</v>
      </c>
      <c r="B99" s="10" t="s">
        <v>581</v>
      </c>
      <c r="C99" s="14" t="str">
        <f>_xll.BDH("SRPT US Equity","ARDR_REVENUE_GROWTH","FQ4 2018","FQ4 2018","Currency=USD","Period=FQ","BEST_FPERIOD_OVERRIDE=FQ","FILING_STATUS=MR","Sort=A","Dates=H","DateFormat=P","Fill=—","Direction=H","UseDPDF=Y")</f>
        <v>—</v>
      </c>
      <c r="D99" s="14">
        <f>_xll.BDH("SRPT US Equity","ARDR_REVENUE_GROWTH","FQ1 2019","FQ1 2019","Currency=USD","Period=FQ","BEST_FPERIOD_OVERRIDE=FQ","FILING_STATUS=MR","Sort=A","Dates=H","DateFormat=P","Fill=—","Direction=H","UseDPDF=Y")</f>
        <v>35</v>
      </c>
      <c r="E99" s="14">
        <f>_xll.BDH("SRPT US Equity","ARDR_REVENUE_GROWTH","FQ2 2019","FQ2 2019","Currency=USD","Period=FQ","BEST_FPERIOD_OVERRIDE=FQ","FILING_STATUS=MR","Sort=A","Dates=H","DateFormat=P","Fill=—","Direction=H","UseDPDF=Y")</f>
        <v>29</v>
      </c>
      <c r="F99" s="14">
        <f>_xll.BDH("SRPT US Equity","ARDR_REVENUE_GROWTH","FQ3 2019","FQ3 2019","Currency=USD","Period=FQ","BEST_FPERIOD_OVERRIDE=FQ","FILING_STATUS=MR","Sort=A","Dates=H","DateFormat=P","Fill=—","Direction=H","UseDPDF=Y")</f>
        <v>26</v>
      </c>
      <c r="G99" s="14">
        <f>_xll.BDH("SRPT US Equity","ARDR_REVENUE_GROWTH","FQ4 2019","FQ4 2019","Currency=USD","Period=FQ","BEST_FPERIOD_OVERRIDE=FQ","FILING_STATUS=MR","Sort=A","Dates=H","DateFormat=P","Fill=—","Direction=H","UseDPDF=Y")</f>
        <v>26</v>
      </c>
      <c r="H99" s="14">
        <f>_xll.BDH("SRPT US Equity","ARDR_REVENUE_GROWTH","FQ1 2020","FQ1 2020","Currency=USD","Period=FQ","BEST_FPERIOD_OVERRIDE=FQ","FILING_STATUS=MR","Sort=A","Dates=H","DateFormat=P","Fill=—","Direction=H","UseDPDF=Y")</f>
        <v>31</v>
      </c>
      <c r="I99" s="14">
        <f>_xll.BDH("SRPT US Equity","ARDR_REVENUE_GROWTH","FQ2 2020","FQ2 2020","Currency=USD","Period=FQ","BEST_FPERIOD_OVERRIDE=FQ","FILING_STATUS=MR","Sort=A","Dates=H","DateFormat=P","Fill=—","Direction=H","UseDPDF=Y")</f>
        <v>45</v>
      </c>
      <c r="J99" s="14">
        <f>_xll.BDH("SRPT US Equity","ARDR_REVENUE_GROWTH","FQ3 2020","FQ3 2020","Currency=USD","Period=FQ","BEST_FPERIOD_OVERRIDE=FQ","FILING_STATUS=MR","Sort=A","Dates=H","DateFormat=P","Fill=—","Direction=H","UseDPDF=Y")</f>
        <v>45</v>
      </c>
      <c r="K99" s="14">
        <f>_xll.BDH("SRPT US Equity","ARDR_REVENUE_GROWTH","FQ4 2020","FQ4 2020","Currency=USD","Period=FQ","BEST_FPERIOD_OVERRIDE=FQ","FILING_STATUS=MR","Sort=A","Dates=H","DateFormat=P","Fill=—","Direction=H","UseDPDF=Y")</f>
        <v>20</v>
      </c>
      <c r="L99" s="14">
        <f>_xll.BDH("SRPT US Equity","ARDR_REVENUE_GROWTH","FQ1 2021","FQ1 2021","Currency=USD","Period=FQ","BEST_FPERIOD_OVERRIDE=FQ","FILING_STATUS=MR","Sort=A","Dates=H","DateFormat=P","Fill=—","Direction=H","UseDPDF=Y")</f>
        <v>29</v>
      </c>
      <c r="M99" s="14">
        <f>_xll.BDH("SRPT US Equity","ARDR_REVENUE_GROWTH","FQ2 2021","FQ2 2021","Currency=USD","Period=FQ","BEST_FPERIOD_OVERRIDE=FQ","FILING_STATUS=MR","Sort=A","Dates=H","DateFormat=P","Fill=—","Direction=H","UseDPDF=Y")</f>
        <v>19</v>
      </c>
      <c r="N99" s="14">
        <f>_xll.BDH("SRPT US Equity","ARDR_REVENUE_GROWTH","FQ3 2021","FQ3 2021","Currency=USD","Period=FQ","BEST_FPERIOD_OVERRIDE=FQ","FILING_STATUS=MR","Sort=A","Dates=H","DateFormat=P","Fill=—","Direction=H","UseDPDF=Y")</f>
        <v>32</v>
      </c>
      <c r="O99" s="14">
        <f>_xll.BDH("SRPT US Equity","ARDR_REVENUE_GROWTH","FQ4 2021","FQ4 2021","Currency=USD","Period=FQ","BEST_FPERIOD_OVERRIDE=FQ","FILING_STATUS=MR","Sort=A","Dates=H","DateFormat=P","Fill=—","Direction=H","UseDPDF=Y")</f>
        <v>46</v>
      </c>
      <c r="P99" s="14">
        <f>_xll.BDH("SRPT US Equity","ARDR_REVENUE_GROWTH","FQ1 2022","FQ1 2022","Currency=USD","Period=FQ","BEST_FPERIOD_OVERRIDE=FQ","FILING_STATUS=MR","Sort=A","Dates=H","DateFormat=P","Fill=—","Direction=H","UseDPDF=Y")</f>
        <v>43</v>
      </c>
      <c r="Q99" s="14">
        <f>_xll.BDH("SRPT US Equity","ARDR_REVENUE_GROWTH","FQ2 2022","FQ2 2022","Currency=USD","Period=FQ","BEST_FPERIOD_OVERRIDE=FQ","FILING_STATUS=MR","Sort=A","Dates=H","DateFormat=P","Fill=—","Direction=H","UseDPDF=Y")</f>
        <v>42</v>
      </c>
      <c r="R99" s="14">
        <f>_xll.BDH("SRPT US Equity","ARDR_REVENUE_GROWTH","FQ3 2022","FQ3 2022","Currency=USD","Period=FQ","BEST_FPERIOD_OVERRIDE=FQ","FILING_STATUS=MR","Sort=A","Dates=H","DateFormat=P","Fill=—","Direction=H","UseDPDF=Y")</f>
        <v>22</v>
      </c>
      <c r="S99" s="14">
        <f>_xll.BDH("SRPT US Equity","ARDR_REVENUE_GROWTH","FQ4 2022","FQ4 2022","Currency=USD","Period=FQ","BEST_FPERIOD_OVERRIDE=FQ","FILING_STATUS=MR","Sort=A","Dates=H","DateFormat=P","Fill=—","Direction=H","UseDPDF=Y")</f>
        <v>32</v>
      </c>
      <c r="T99" s="14">
        <f>_xll.BDH("SRPT US Equity","ARDR_REVENUE_GROWTH","FQ1 2023","FQ1 2023","Currency=USD","Period=FQ","BEST_FPERIOD_OVERRIDE=FQ","FILING_STATUS=MR","Sort=A","Dates=H","DateFormat=P","Fill=—","Direction=H","UseDPDF=Y")</f>
        <v>20</v>
      </c>
      <c r="U99" s="14">
        <f>_xll.BDH("SRPT US Equity","ARDR_REVENUE_GROWTH","FQ2 2023","FQ2 2023","Currency=USD","Period=FQ","BEST_FPERIOD_OVERRIDE=FQ","FILING_STATUS=MR","Sort=A","Dates=H","DateFormat=P","Fill=—","Direction=H","UseDPDF=Y")</f>
        <v>12</v>
      </c>
      <c r="V99" s="14">
        <f>_xll.BDH("SRPT US Equity","ARDR_REVENUE_GROWTH","FQ3 2023","FQ3 2023","Currency=USD","Period=FQ","BEST_FPERIOD_OVERRIDE=FQ","FILING_STATUS=MR","Sort=A","Dates=H","DateFormat=P","Fill=—","Direction=H","UseDPDF=Y")</f>
        <v>44</v>
      </c>
      <c r="W99" s="14">
        <f>_xll.BDH("SRPT US Equity","ARDR_REVENUE_GROWTH","FQ4 2023","FQ4 2023","Currency=USD","Period=FQ","BEST_FPERIOD_OVERRIDE=FQ","FILING_STATUS=MR","Sort=A","Dates=H","DateFormat=P","Fill=—","Direction=H","UseDPDF=Y")</f>
        <v>55</v>
      </c>
      <c r="X99" s="14">
        <f>_xll.BDH("SRPT US Equity","ARDR_REVENUE_GROWTH","FQ1 2024","FQ1 2024","Currency=USD","Period=FQ","BEST_FPERIOD_OVERRIDE=FQ","FILING_STATUS=MR","Sort=A","Dates=H","DateFormat=P","Fill=—","Direction=H","UseDPDF=Y")</f>
        <v>55</v>
      </c>
      <c r="Y99" s="14">
        <f>_xll.BDH("SRPT US Equity","ARDR_REVENUE_GROWTH","FQ2 2024","FQ2 2024","Currency=USD","Period=FQ","BEST_FPERIOD_OVERRIDE=FQ","FILING_STATUS=MR","Sort=A","Dates=H","DateFormat=P","Fill=—","Direction=H","UseDPDF=Y")</f>
        <v>39</v>
      </c>
      <c r="Z99" s="14">
        <f>_xll.BDH("SRPT US Equity","ARDR_REVENUE_GROWTH","FQ3 2024","FQ3 2024","Currency=USD","Period=FQ","BEST_FPERIOD_OVERRIDE=FQ","FILING_STATUS=MR","Sort=A","Dates=H","DateFormat=P","Fill=—","Direction=H","UseDPDF=Y")</f>
        <v>39</v>
      </c>
      <c r="AA99" s="14">
        <f>_xll.BDH("SRPT US Equity","ARDR_REVENUE_GROWTH","FQ4 2024","FQ4 2024","Currency=USD","Period=FQ","BEST_FPERIOD_OVERRIDE=FQ","FILING_STATUS=MR","Sort=A","Dates=H","DateFormat=P","Fill=—","Direction=H","UseDPDF=Y")</f>
        <v>75</v>
      </c>
    </row>
    <row r="100" spans="1:27" x14ac:dyDescent="0.25">
      <c r="A100" s="10" t="s">
        <v>582</v>
      </c>
      <c r="B100" s="10" t="s">
        <v>583</v>
      </c>
      <c r="C100" s="13">
        <f>_xll.BDH("SRPT US Equity","ARDR_STK_BSD_CMPNSTN_CF_PRE_TAX","FQ4 2018","FQ4 2018","Currency=USD","Period=FQ","BEST_FPERIOD_OVERRIDE=FQ","FILING_STATUS=MR","SCALING_FORMAT=MLN","Sort=A","Dates=H","DateFormat=P","Fill=—","Direction=H","UseDPDF=Y")</f>
        <v>12.837999999999999</v>
      </c>
      <c r="D100" s="13">
        <f>_xll.BDH("SRPT US Equity","ARDR_STK_BSD_CMPNSTN_CF_PRE_TAX","FQ1 2019","FQ1 2019","Currency=USD","Period=FQ","BEST_FPERIOD_OVERRIDE=FQ","FILING_STATUS=MR","SCALING_FORMAT=MLN","Sort=A","Dates=H","DateFormat=P","Fill=—","Direction=H","UseDPDF=Y")</f>
        <v>16.138999999999999</v>
      </c>
      <c r="E100" s="13">
        <f>_xll.BDH("SRPT US Equity","ARDR_STK_BSD_CMPNSTN_CF_PRE_TAX","FQ2 2019","FQ2 2019","Currency=USD","Period=FQ","BEST_FPERIOD_OVERRIDE=FQ","FILING_STATUS=MR","SCALING_FORMAT=MLN","Sort=A","Dates=H","DateFormat=P","Fill=—","Direction=H","UseDPDF=Y")</f>
        <v>19.762</v>
      </c>
      <c r="F100" s="13">
        <f>_xll.BDH("SRPT US Equity","ARDR_STK_BSD_CMPNSTN_CF_PRE_TAX","FQ3 2019","FQ3 2019","Currency=USD","Period=FQ","BEST_FPERIOD_OVERRIDE=FQ","FILING_STATUS=MR","SCALING_FORMAT=MLN","Sort=A","Dates=H","DateFormat=P","Fill=—","Direction=H","UseDPDF=Y")</f>
        <v>20.637</v>
      </c>
      <c r="G100" s="13">
        <f>_xll.BDH("SRPT US Equity","ARDR_STK_BSD_CMPNSTN_CF_PRE_TAX","FQ4 2019","FQ4 2019","Currency=USD","Period=FQ","BEST_FPERIOD_OVERRIDE=FQ","FILING_STATUS=MR","SCALING_FORMAT=MLN","Sort=A","Dates=H","DateFormat=P","Fill=—","Direction=H","UseDPDF=Y")</f>
        <v>22.064</v>
      </c>
      <c r="H100" s="13">
        <f>_xll.BDH("SRPT US Equity","ARDR_STK_BSD_CMPNSTN_CF_PRE_TAX","FQ1 2020","FQ1 2020","Currency=USD","Period=FQ","BEST_FPERIOD_OVERRIDE=FQ","FILING_STATUS=MR","SCALING_FORMAT=MLN","Sort=A","Dates=H","DateFormat=P","Fill=—","Direction=H","UseDPDF=Y")</f>
        <v>24.024000000000001</v>
      </c>
      <c r="I100" s="13">
        <f>_xll.BDH("SRPT US Equity","ARDR_STK_BSD_CMPNSTN_CF_PRE_TAX","FQ2 2020","FQ2 2020","Currency=USD","Period=FQ","BEST_FPERIOD_OVERRIDE=FQ","FILING_STATUS=MR","SCALING_FORMAT=MLN","Sort=A","Dates=H","DateFormat=P","Fill=—","Direction=H","UseDPDF=Y")</f>
        <v>27.616</v>
      </c>
      <c r="J100" s="13" t="str">
        <f>_xll.BDH("SRPT US Equity","ARDR_STK_BSD_CMPNSTN_CF_PRE_TAX","FQ3 2020","FQ3 2020","Currency=USD","Period=FQ","BEST_FPERIOD_OVERRIDE=FQ","FILING_STATUS=MR","SCALING_FORMAT=MLN","Sort=A","Dates=H","DateFormat=P","Fill=—","Direction=H","UseDPDF=Y")</f>
        <v>—</v>
      </c>
      <c r="K100" s="13">
        <f>_xll.BDH("SRPT US Equity","ARDR_STK_BSD_CMPNSTN_CF_PRE_TAX","FQ4 2020","FQ4 2020","Currency=USD","Period=FQ","BEST_FPERIOD_OVERRIDE=FQ","FILING_STATUS=MR","SCALING_FORMAT=MLN","Sort=A","Dates=H","DateFormat=P","Fill=—","Direction=H","UseDPDF=Y")</f>
        <v>29.527000000000001</v>
      </c>
      <c r="L100" s="13">
        <f>_xll.BDH("SRPT US Equity","ARDR_STK_BSD_CMPNSTN_CF_PRE_TAX","FQ1 2021","FQ1 2021","Currency=USD","Period=FQ","BEST_FPERIOD_OVERRIDE=FQ","FILING_STATUS=MR","SCALING_FORMAT=MLN","Sort=A","Dates=H","DateFormat=P","Fill=—","Direction=H","UseDPDF=Y")</f>
        <v>28.507999999999999</v>
      </c>
      <c r="M100" s="13">
        <f>_xll.BDH("SRPT US Equity","ARDR_STK_BSD_CMPNSTN_CF_PRE_TAX","FQ2 2021","FQ2 2021","Currency=USD","Period=FQ","BEST_FPERIOD_OVERRIDE=FQ","FILING_STATUS=MR","SCALING_FORMAT=MLN","Sort=A","Dates=H","DateFormat=P","Fill=—","Direction=H","UseDPDF=Y")</f>
        <v>28.969000000000001</v>
      </c>
      <c r="N100" s="13">
        <f>_xll.BDH("SRPT US Equity","ARDR_STK_BSD_CMPNSTN_CF_PRE_TAX","FQ3 2021","FQ3 2021","Currency=USD","Period=FQ","BEST_FPERIOD_OVERRIDE=FQ","FILING_STATUS=MR","SCALING_FORMAT=MLN","Sort=A","Dates=H","DateFormat=P","Fill=—","Direction=H","UseDPDF=Y")</f>
        <v>26.684000000000001</v>
      </c>
      <c r="O100" s="13">
        <f>_xll.BDH("SRPT US Equity","ARDR_STK_BSD_CMPNSTN_CF_PRE_TAX","FQ4 2021","FQ4 2021","Currency=USD","Period=FQ","BEST_FPERIOD_OVERRIDE=FQ","FILING_STATUS=MR","SCALING_FORMAT=MLN","Sort=A","Dates=H","DateFormat=P","Fill=—","Direction=H","UseDPDF=Y")</f>
        <v>29.782</v>
      </c>
      <c r="P100" s="13">
        <f>_xll.BDH("SRPT US Equity","ARDR_STK_BSD_CMPNSTN_CF_PRE_TAX","FQ1 2022","FQ1 2022","Currency=USD","Period=FQ","BEST_FPERIOD_OVERRIDE=FQ","FILING_STATUS=MR","SCALING_FORMAT=MLN","Sort=A","Dates=H","DateFormat=P","Fill=—","Direction=H","UseDPDF=Y")</f>
        <v>29.198</v>
      </c>
      <c r="Q100" s="13">
        <f>_xll.BDH("SRPT US Equity","ARDR_STK_BSD_CMPNSTN_CF_PRE_TAX","FQ2 2022","FQ2 2022","Currency=USD","Period=FQ","BEST_FPERIOD_OVERRIDE=FQ","FILING_STATUS=MR","SCALING_FORMAT=MLN","Sort=A","Dates=H","DateFormat=P","Fill=—","Direction=H","UseDPDF=Y")</f>
        <v>102.892</v>
      </c>
      <c r="R100" s="13">
        <f>_xll.BDH("SRPT US Equity","ARDR_STK_BSD_CMPNSTN_CF_PRE_TAX","FQ3 2022","FQ3 2022","Currency=USD","Period=FQ","BEST_FPERIOD_OVERRIDE=FQ","FILING_STATUS=MR","SCALING_FORMAT=MLN","Sort=A","Dates=H","DateFormat=P","Fill=—","Direction=H","UseDPDF=Y")</f>
        <v>50.417999999999999</v>
      </c>
      <c r="S100" s="13">
        <f>_xll.BDH("SRPT US Equity","ARDR_STK_BSD_CMPNSTN_CF_PRE_TAX","FQ4 2022","FQ4 2022","Currency=USD","Period=FQ","BEST_FPERIOD_OVERRIDE=FQ","FILING_STATUS=MR","SCALING_FORMAT=MLN","Sort=A","Dates=H","DateFormat=P","Fill=—","Direction=H","UseDPDF=Y")</f>
        <v>18.963000000000001</v>
      </c>
      <c r="T100" s="13">
        <f>_xll.BDH("SRPT US Equity","ARDR_STK_BSD_CMPNSTN_CF_PRE_TAX","FQ1 2023","FQ1 2023","Currency=USD","Period=FQ","BEST_FPERIOD_OVERRIDE=FQ","FILING_STATUS=MR","SCALING_FORMAT=MLN","Sort=A","Dates=H","DateFormat=P","Fill=—","Direction=H","UseDPDF=Y")</f>
        <v>41.25</v>
      </c>
      <c r="U100" s="13">
        <f>_xll.BDH("SRPT US Equity","ARDR_STK_BSD_CMPNSTN_CF_PRE_TAX","FQ2 2023","FQ2 2023","Currency=USD","Period=FQ","BEST_FPERIOD_OVERRIDE=FQ","FILING_STATUS=MR","SCALING_FORMAT=MLN","Sort=A","Dates=H","DateFormat=P","Fill=—","Direction=H","UseDPDF=Y")</f>
        <v>47.377000000000002</v>
      </c>
      <c r="V100" s="13">
        <f>_xll.BDH("SRPT US Equity","ARDR_STK_BSD_CMPNSTN_CF_PRE_TAX","FQ3 2023","FQ3 2023","Currency=USD","Period=FQ","BEST_FPERIOD_OVERRIDE=FQ","FILING_STATUS=MR","SCALING_FORMAT=MLN","Sort=A","Dates=H","DateFormat=P","Fill=—","Direction=H","UseDPDF=Y")</f>
        <v>48.061</v>
      </c>
      <c r="W100" s="13">
        <f>_xll.BDH("SRPT US Equity","ARDR_STK_BSD_CMPNSTN_CF_PRE_TAX","FQ4 2023","FQ4 2023","Currency=USD","Period=FQ","BEST_FPERIOD_OVERRIDE=FQ","FILING_STATUS=MR","SCALING_FORMAT=MLN","Sort=A","Dates=H","DateFormat=P","Fill=—","Direction=H","UseDPDF=Y")</f>
        <v>22.173999999999999</v>
      </c>
      <c r="X100" s="13">
        <f>_xll.BDH("SRPT US Equity","ARDR_STK_BSD_CMPNSTN_CF_PRE_TAX","FQ1 2024","FQ1 2024","Currency=USD","Period=FQ","BEST_FPERIOD_OVERRIDE=FQ","FILING_STATUS=MR","SCALING_FORMAT=MLN","Sort=A","Dates=H","DateFormat=P","Fill=—","Direction=H","UseDPDF=Y")</f>
        <v>40.692</v>
      </c>
      <c r="Y100" s="13">
        <f>_xll.BDH("SRPT US Equity","ARDR_STK_BSD_CMPNSTN_CF_PRE_TAX","FQ2 2024","FQ2 2024","Currency=USD","Period=FQ","BEST_FPERIOD_OVERRIDE=FQ","FILING_STATUS=MR","SCALING_FORMAT=MLN","Sort=A","Dates=H","DateFormat=P","Fill=—","Direction=H","UseDPDF=Y")</f>
        <v>50.481999999999999</v>
      </c>
      <c r="Z100" s="13">
        <f>_xll.BDH("SRPT US Equity","ARDR_STK_BSD_CMPNSTN_CF_PRE_TAX","FQ3 2024","FQ3 2024","Currency=USD","Period=FQ","BEST_FPERIOD_OVERRIDE=FQ","FILING_STATUS=MR","SCALING_FORMAT=MLN","Sort=A","Dates=H","DateFormat=P","Fill=—","Direction=H","UseDPDF=Y")</f>
        <v>43.45</v>
      </c>
      <c r="AA100" s="13">
        <f>_xll.BDH("SRPT US Equity","ARDR_STK_BSD_CMPNSTN_CF_PRE_TAX","FQ4 2024","FQ4 2024","Currency=USD","Period=FQ","BEST_FPERIOD_OVERRIDE=FQ","FILING_STATUS=MR","SCALING_FORMAT=MLN","Sort=A","Dates=H","DateFormat=P","Fill=—","Direction=H","UseDPDF=Y")</f>
        <v>79.454999999999998</v>
      </c>
    </row>
    <row r="101" spans="1:27" x14ac:dyDescent="0.25">
      <c r="A101" s="7" t="s">
        <v>90</v>
      </c>
      <c r="B101" s="7"/>
      <c r="C101" s="7" t="s">
        <v>5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74"/>
  <sheetViews>
    <sheetView topLeftCell="F54"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584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585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6" t="s">
        <v>586</v>
      </c>
      <c r="B7" s="6" t="s">
        <v>99</v>
      </c>
      <c r="C7" s="19">
        <f>_xll.BDH("SRPT US Equity","IS_OPER_INC","FQ4 2018","FQ4 2018","Currency=USD","Period=FQ","BEST_FPERIOD_OVERRIDE=FQ","FILING_STATUS=MR","SCALING_FORMAT=MLN","FA_ADJUSTED=GAAP","Sort=A","Dates=H","DateFormat=P","Fill=—","Direction=H","UseDPDF=Y")</f>
        <v>-139.363</v>
      </c>
      <c r="D7" s="19">
        <f>_xll.BDH("SRPT US Equity","IS_OPER_INC","FQ1 2019","FQ1 2019","Currency=USD","Period=FQ","BEST_FPERIOD_OVERRIDE=FQ","FILING_STATUS=MR","SCALING_FORMAT=MLN","FA_ADJUSTED=GAAP","Sort=A","Dates=H","DateFormat=P","Fill=—","Direction=H","UseDPDF=Y")</f>
        <v>-76.387</v>
      </c>
      <c r="E7" s="19">
        <f>_xll.BDH("SRPT US Equity","IS_OPER_INC","FQ2 2019","FQ2 2019","Currency=USD","Period=FQ","BEST_FPERIOD_OVERRIDE=FQ","FILING_STATUS=MR","SCALING_FORMAT=MLN","FA_ADJUSTED=GAAP","Sort=A","Dates=H","DateFormat=P","Fill=—","Direction=H","UseDPDF=Y")</f>
        <v>-275.36700000000002</v>
      </c>
      <c r="F7" s="19">
        <f>_xll.BDH("SRPT US Equity","IS_OPER_INC","FQ3 2019","FQ3 2019","Currency=USD","Period=FQ","BEST_FPERIOD_OVERRIDE=FQ","FILING_STATUS=MR","SCALING_FORMAT=MLN","FA_ADJUSTED=GAAP","Sort=A","Dates=H","DateFormat=P","Fill=—","Direction=H","UseDPDF=Y")</f>
        <v>-123.59</v>
      </c>
      <c r="G7" s="19">
        <f>_xll.BDH("SRPT US Equity","IS_OPER_INC","FQ4 2019","FQ4 2019","Currency=USD","Period=FQ","BEST_FPERIOD_OVERRIDE=FQ","FILING_STATUS=MR","SCALING_FORMAT=MLN","FA_ADJUSTED=GAAP","Sort=A","Dates=H","DateFormat=P","Fill=—","Direction=H","UseDPDF=Y")</f>
        <v>-230.21899999999999</v>
      </c>
      <c r="H7" s="19">
        <f>_xll.BDH("SRPT US Equity","IS_OPER_INC","FQ1 2020","FQ1 2020","Currency=USD","Period=FQ","BEST_FPERIOD_OVERRIDE=FQ","FILING_STATUS=MR","SCALING_FORMAT=MLN","FA_ADJUSTED=GAAP","Sort=A","Dates=H","DateFormat=P","Fill=—","Direction=H","UseDPDF=Y")</f>
        <v>-118.026</v>
      </c>
      <c r="I7" s="19">
        <f>_xll.BDH("SRPT US Equity","IS_OPER_INC","FQ2 2020","FQ2 2020","Currency=USD","Period=FQ","BEST_FPERIOD_OVERRIDE=FQ","FILING_STATUS=MR","SCALING_FORMAT=MLN","FA_ADJUSTED=GAAP","Sort=A","Dates=H","DateFormat=P","Fill=—","Direction=H","UseDPDF=Y")</f>
        <v>-138.35300000000001</v>
      </c>
      <c r="J7" s="19">
        <f>_xll.BDH("SRPT US Equity","IS_OPER_INC","FQ3 2020","FQ3 2020","Currency=USD","Period=FQ","BEST_FPERIOD_OVERRIDE=FQ","FILING_STATUS=MR","SCALING_FORMAT=MLN","FA_ADJUSTED=GAAP","Sort=A","Dates=H","DateFormat=P","Fill=—","Direction=H","UseDPDF=Y")</f>
        <v>-137.06800000000001</v>
      </c>
      <c r="K7" s="19">
        <f>_xll.BDH("SRPT US Equity","IS_OPER_INC","FQ4 2020","FQ4 2020","Currency=USD","Period=FQ","BEST_FPERIOD_OVERRIDE=FQ","FILING_STATUS=MR","SCALING_FORMAT=MLN","FA_ADJUSTED=GAAP","Sort=A","Dates=H","DateFormat=P","Fill=—","Direction=H","UseDPDF=Y")</f>
        <v>-170.71600000000001</v>
      </c>
      <c r="L7" s="19">
        <f>_xll.BDH("SRPT US Equity","IS_OPER_INC","FQ1 2021","FQ1 2021","Currency=USD","Period=FQ","BEST_FPERIOD_OVERRIDE=FQ","FILING_STATUS=MR","SCALING_FORMAT=MLN","FA_ADJUSTED=GAAP","Sort=A","Dates=H","DateFormat=P","Fill=—","Direction=H","UseDPDF=Y")</f>
        <v>-151.86500000000001</v>
      </c>
      <c r="M7" s="19">
        <f>_xll.BDH("SRPT US Equity","IS_OPER_INC","FQ2 2021","FQ2 2021","Currency=USD","Period=FQ","BEST_FPERIOD_OVERRIDE=FQ","FILING_STATUS=MR","SCALING_FORMAT=MLN","FA_ADJUSTED=GAAP","Sort=A","Dates=H","DateFormat=P","Fill=—","Direction=H","UseDPDF=Y")</f>
        <v>-167.57400000000001</v>
      </c>
      <c r="N7" s="19">
        <f>_xll.BDH("SRPT US Equity","IS_OPER_INC","FQ3 2021","FQ3 2021","Currency=USD","Period=FQ","BEST_FPERIOD_OVERRIDE=FQ","FILING_STATUS=MR","SCALING_FORMAT=MLN","FA_ADJUSTED=GAAP","Sort=A","Dates=H","DateFormat=P","Fill=—","Direction=H","UseDPDF=Y")</f>
        <v>-34.457999999999998</v>
      </c>
      <c r="O7" s="19">
        <f>_xll.BDH("SRPT US Equity","IS_OPER_INC","FQ4 2021","FQ4 2021","Currency=USD","Period=FQ","BEST_FPERIOD_OVERRIDE=FQ","FILING_STATUS=MR","SCALING_FORMAT=MLN","FA_ADJUSTED=GAAP","Sort=A","Dates=H","DateFormat=P","Fill=—","Direction=H","UseDPDF=Y")</f>
        <v>-105.813</v>
      </c>
      <c r="P7" s="19">
        <f>_xll.BDH("SRPT US Equity","IS_OPER_INC","FQ1 2022","FQ1 2022","Currency=USD","Period=FQ","BEST_FPERIOD_OVERRIDE=FQ","FILING_STATUS=MR","SCALING_FORMAT=MLN","FA_ADJUSTED=GAAP","Sort=A","Dates=H","DateFormat=P","Fill=—","Direction=H","UseDPDF=Y")</f>
        <v>-86.881</v>
      </c>
      <c r="Q7" s="19">
        <f>_xll.BDH("SRPT US Equity","IS_OPER_INC","FQ2 2022","FQ2 2022","Currency=USD","Period=FQ","BEST_FPERIOD_OVERRIDE=FQ","FILING_STATUS=MR","SCALING_FORMAT=MLN","FA_ADJUSTED=GAAP","Sort=A","Dates=H","DateFormat=P","Fill=—","Direction=H","UseDPDF=Y")</f>
        <v>-211.13200000000001</v>
      </c>
      <c r="R7" s="19">
        <f>_xll.BDH("SRPT US Equity","IS_OPER_INC","FQ3 2022","FQ3 2022","Currency=USD","Period=FQ","BEST_FPERIOD_OVERRIDE=FQ","FILING_STATUS=MR","SCALING_FORMAT=MLN","FA_ADJUSTED=GAAP","Sort=A","Dates=H","DateFormat=P","Fill=—","Direction=H","UseDPDF=Y")</f>
        <v>-131.35499999999999</v>
      </c>
      <c r="S7" s="19">
        <f>_xll.BDH("SRPT US Equity","IS_OPER_INC","FQ4 2022","FQ4 2022","Currency=USD","Period=FQ","BEST_FPERIOD_OVERRIDE=FQ","FILING_STATUS=MR","SCALING_FORMAT=MLN","FA_ADJUSTED=GAAP","Sort=A","Dates=H","DateFormat=P","Fill=—","Direction=H","UseDPDF=Y")</f>
        <v>-106.833</v>
      </c>
      <c r="T7" s="19">
        <f>_xll.BDH("SRPT US Equity","IS_OPER_INC","FQ1 2023","FQ1 2023","Currency=USD","Period=FQ","BEST_FPERIOD_OVERRIDE=FQ","FILING_STATUS=MR","SCALING_FORMAT=MLN","FA_ADJUSTED=GAAP","Sort=A","Dates=H","DateFormat=P","Fill=—","Direction=H","UseDPDF=Y")</f>
        <v>-138.08799999999999</v>
      </c>
      <c r="U7" s="19">
        <f>_xll.BDH("SRPT US Equity","IS_OPER_INC","FQ2 2023","FQ2 2023","Currency=USD","Period=FQ","BEST_FPERIOD_OVERRIDE=FQ","FILING_STATUS=MR","SCALING_FORMAT=MLN","FA_ADJUSTED=GAAP","Sort=A","Dates=H","DateFormat=P","Fill=—","Direction=H","UseDPDF=Y")</f>
        <v>-133.51900000000001</v>
      </c>
      <c r="V7" s="19">
        <f>_xll.BDH("SRPT US Equity","IS_OPER_INC","FQ3 2023","FQ3 2023","Currency=USD","Period=FQ","BEST_FPERIOD_OVERRIDE=FQ","FILING_STATUS=MR","SCALING_FORMAT=MLN","FA_ADJUSTED=GAAP","Sort=A","Dates=H","DateFormat=P","Fill=—","Direction=H","UseDPDF=Y")</f>
        <v>-20.841999999999999</v>
      </c>
      <c r="W7" s="19">
        <f>_xll.BDH("SRPT US Equity","IS_OPER_INC","FQ4 2023","FQ4 2023","Currency=USD","Period=FQ","BEST_FPERIOD_OVERRIDE=FQ","FILING_STATUS=MR","SCALING_FORMAT=MLN","FA_ADJUSTED=GAAP","Sort=A","Dates=H","DateFormat=P","Fill=—","Direction=H","UseDPDF=Y")</f>
        <v>24.625</v>
      </c>
      <c r="X7" s="19">
        <f>_xll.BDH("SRPT US Equity","IS_OPER_INC","FQ1 2024","FQ1 2024","Currency=USD","Period=FQ","BEST_FPERIOD_OVERRIDE=FQ","FILING_STATUS=MR","SCALING_FORMAT=MLN","FA_ADJUSTED=GAAP","Sort=A","Dates=H","DateFormat=P","Fill=—","Direction=H","UseDPDF=Y")</f>
        <v>34.905000000000001</v>
      </c>
      <c r="Y7" s="19">
        <f>_xll.BDH("SRPT US Equity","IS_OPER_INC","FQ2 2024","FQ2 2024","Currency=USD","Period=FQ","BEST_FPERIOD_OVERRIDE=FQ","FILING_STATUS=MR","SCALING_FORMAT=MLN","FA_ADJUSTED=GAAP","Sort=A","Dates=H","DateFormat=P","Fill=—","Direction=H","UseDPDF=Y")</f>
        <v>-0.70099999999999996</v>
      </c>
      <c r="Z7" s="19">
        <f>_xll.BDH("SRPT US Equity","IS_OPER_INC","FQ3 2024","FQ3 2024","Currency=USD","Period=FQ","BEST_FPERIOD_OVERRIDE=FQ","FILING_STATUS=MR","SCALING_FORMAT=MLN","FA_ADJUSTED=GAAP","Sort=A","Dates=H","DateFormat=P","Fill=—","Direction=H","UseDPDF=Y")</f>
        <v>22.196000000000002</v>
      </c>
      <c r="AA7" s="19">
        <f>_xll.BDH("SRPT US Equity","IS_OPER_INC","FQ4 2024","FQ4 2024","Currency=USD","Period=FQ","BEST_FPERIOD_OVERRIDE=FQ","FILING_STATUS=MR","SCALING_FORMAT=MLN","FA_ADJUSTED=GAAP","Sort=A","Dates=H","DateFormat=P","Fill=—","Direction=H","UseDPDF=Y")</f>
        <v>161.68100000000001</v>
      </c>
    </row>
    <row r="8" spans="1:27" x14ac:dyDescent="0.25">
      <c r="A8" s="10" t="s">
        <v>587</v>
      </c>
      <c r="B8" s="10" t="s">
        <v>588</v>
      </c>
      <c r="C8" s="13">
        <f>_xll.BDH("SRPT US Equity","IS_REVENUE_ADJUSTMENTS","FQ4 2018","FQ4 2018","Currency=USD","Period=FQ","BEST_FPERIOD_OVERRIDE=FQ","FILING_STATUS=MR","SCALING_FORMAT=MLN","Sort=A","Dates=H","DateFormat=P","Fill=—","Direction=H","UseDPDF=Y")</f>
        <v>0</v>
      </c>
      <c r="D8" s="13">
        <f>_xll.BDH("SRPT US Equity","IS_REVENUE_ADJUSTMENTS","FQ1 2019","FQ1 2019","Currency=USD","Period=FQ","BEST_FPERIOD_OVERRIDE=FQ","FILING_STATUS=MR","SCALING_FORMAT=MLN","Sort=A","Dates=H","DateFormat=P","Fill=—","Direction=H","UseDPDF=Y")</f>
        <v>0</v>
      </c>
      <c r="E8" s="13">
        <f>_xll.BDH("SRPT US Equity","IS_REVENUE_ADJUSTMENTS","FQ2 2019","FQ2 2019","Currency=USD","Period=FQ","BEST_FPERIOD_OVERRIDE=FQ","FILING_STATUS=MR","SCALING_FORMAT=MLN","Sort=A","Dates=H","DateFormat=P","Fill=—","Direction=H","UseDPDF=Y")</f>
        <v>0</v>
      </c>
      <c r="F8" s="13">
        <f>_xll.BDH("SRPT US Equity","IS_REVENUE_ADJUSTMENTS","FQ3 2019","FQ3 2019","Currency=USD","Period=FQ","BEST_FPERIOD_OVERRIDE=FQ","FILING_STATUS=MR","SCALING_FORMAT=MLN","Sort=A","Dates=H","DateFormat=P","Fill=—","Direction=H","UseDPDF=Y")</f>
        <v>0</v>
      </c>
      <c r="G8" s="13">
        <f>_xll.BDH("SRPT US Equity","IS_REVENUE_ADJUSTMENTS","FQ4 2019","FQ4 2019","Currency=USD","Period=FQ","BEST_FPERIOD_OVERRIDE=FQ","FILING_STATUS=MR","SCALING_FORMAT=MLN","Sort=A","Dates=H","DateFormat=P","Fill=—","Direction=H","UseDPDF=Y")</f>
        <v>0</v>
      </c>
      <c r="H8" s="13">
        <f>_xll.BDH("SRPT US Equity","IS_REVENUE_ADJUSTMENTS","FQ1 2020","FQ1 2020","Currency=USD","Period=FQ","BEST_FPERIOD_OVERRIDE=FQ","FILING_STATUS=MR","SCALING_FORMAT=MLN","Sort=A","Dates=H","DateFormat=P","Fill=—","Direction=H","UseDPDF=Y")</f>
        <v>0</v>
      </c>
      <c r="I8" s="13">
        <f>_xll.BDH("SRPT US Equity","IS_REVENUE_ADJUSTMENTS","FQ2 2020","FQ2 2020","Currency=USD","Period=FQ","BEST_FPERIOD_OVERRIDE=FQ","FILING_STATUS=MR","SCALING_FORMAT=MLN","Sort=A","Dates=H","DateFormat=P","Fill=—","Direction=H","UseDPDF=Y")</f>
        <v>0</v>
      </c>
      <c r="J8" s="13">
        <f>_xll.BDH("SRPT US Equity","IS_REVENUE_ADJUSTMENTS","FQ3 2020","FQ3 2020","Currency=USD","Period=FQ","BEST_FPERIOD_OVERRIDE=FQ","FILING_STATUS=MR","SCALING_FORMAT=MLN","Sort=A","Dates=H","DateFormat=P","Fill=—","Direction=H","UseDPDF=Y")</f>
        <v>0</v>
      </c>
      <c r="K8" s="13">
        <f>_xll.BDH("SRPT US Equity","IS_REVENUE_ADJUSTMENTS","FQ4 2020","FQ4 2020","Currency=USD","Period=FQ","BEST_FPERIOD_OVERRIDE=FQ","FILING_STATUS=MR","SCALING_FORMAT=MLN","Sort=A","Dates=H","DateFormat=P","Fill=—","Direction=H","UseDPDF=Y")</f>
        <v>0</v>
      </c>
      <c r="L8" s="13">
        <f>_xll.BDH("SRPT US Equity","IS_REVENUE_ADJUSTMENTS","FQ1 2021","FQ1 2021","Currency=USD","Period=FQ","BEST_FPERIOD_OVERRIDE=FQ","FILING_STATUS=MR","SCALING_FORMAT=MLN","Sort=A","Dates=H","DateFormat=P","Fill=—","Direction=H","UseDPDF=Y")</f>
        <v>0</v>
      </c>
      <c r="M8" s="13">
        <f>_xll.BDH("SRPT US Equity","IS_REVENUE_ADJUSTMENTS","FQ2 2021","FQ2 2021","Currency=USD","Period=FQ","BEST_FPERIOD_OVERRIDE=FQ","FILING_STATUS=MR","SCALING_FORMAT=MLN","Sort=A","Dates=H","DateFormat=P","Fill=—","Direction=H","UseDPDF=Y")</f>
        <v>0</v>
      </c>
      <c r="N8" s="13">
        <f>_xll.BDH("SRPT US Equity","IS_REVENUE_ADJUSTMENTS","FQ3 2021","FQ3 2021","Currency=USD","Period=FQ","BEST_FPERIOD_OVERRIDE=FQ","FILING_STATUS=MR","SCALING_FORMAT=MLN","Sort=A","Dates=H","DateFormat=P","Fill=—","Direction=H","UseDPDF=Y")</f>
        <v>0</v>
      </c>
      <c r="O8" s="13">
        <f>_xll.BDH("SRPT US Equity","IS_REVENUE_ADJUSTMENTS","FQ4 2021","FQ4 2021","Currency=USD","Period=FQ","BEST_FPERIOD_OVERRIDE=FQ","FILING_STATUS=MR","SCALING_FORMAT=MLN","Sort=A","Dates=H","DateFormat=P","Fill=—","Direction=H","UseDPDF=Y")</f>
        <v>0</v>
      </c>
      <c r="P8" s="13">
        <f>_xll.BDH("SRPT US Equity","IS_REVENUE_ADJUSTMENTS","FQ1 2022","FQ1 2022","Currency=USD","Period=FQ","BEST_FPERIOD_OVERRIDE=FQ","FILING_STATUS=MR","SCALING_FORMAT=MLN","Sort=A","Dates=H","DateFormat=P","Fill=—","Direction=H","UseDPDF=Y")</f>
        <v>0</v>
      </c>
      <c r="Q8" s="13">
        <f>_xll.BDH("SRPT US Equity","IS_REVENUE_ADJUSTMENTS","FQ2 2022","FQ2 2022","Currency=USD","Period=FQ","BEST_FPERIOD_OVERRIDE=FQ","FILING_STATUS=MR","SCALING_FORMAT=MLN","Sort=A","Dates=H","DateFormat=P","Fill=—","Direction=H","UseDPDF=Y")</f>
        <v>0</v>
      </c>
      <c r="R8" s="13">
        <f>_xll.BDH("SRPT US Equity","IS_REVENUE_ADJUSTMENTS","FQ3 2022","FQ3 2022","Currency=USD","Period=FQ","BEST_FPERIOD_OVERRIDE=FQ","FILING_STATUS=MR","SCALING_FORMAT=MLN","Sort=A","Dates=H","DateFormat=P","Fill=—","Direction=H","UseDPDF=Y")</f>
        <v>0</v>
      </c>
      <c r="S8" s="13">
        <f>_xll.BDH("SRPT US Equity","IS_REVENUE_ADJUSTMENTS","FQ4 2022","FQ4 2022","Currency=USD","Period=FQ","BEST_FPERIOD_OVERRIDE=FQ","FILING_STATUS=MR","SCALING_FORMAT=MLN","Sort=A","Dates=H","DateFormat=P","Fill=—","Direction=H","UseDPDF=Y")</f>
        <v>0</v>
      </c>
      <c r="T8" s="13">
        <f>_xll.BDH("SRPT US Equity","IS_REVENUE_ADJUSTMENTS","FQ1 2023","FQ1 2023","Currency=USD","Period=FQ","BEST_FPERIOD_OVERRIDE=FQ","FILING_STATUS=MR","SCALING_FORMAT=MLN","Sort=A","Dates=H","DateFormat=P","Fill=—","Direction=H","UseDPDF=Y")</f>
        <v>0</v>
      </c>
      <c r="U8" s="13">
        <f>_xll.BDH("SRPT US Equity","IS_REVENUE_ADJUSTMENTS","FQ2 2023","FQ2 2023","Currency=USD","Period=FQ","BEST_FPERIOD_OVERRIDE=FQ","FILING_STATUS=MR","SCALING_FORMAT=MLN","Sort=A","Dates=H","DateFormat=P","Fill=—","Direction=H","UseDPDF=Y")</f>
        <v>0</v>
      </c>
      <c r="V8" s="13">
        <f>_xll.BDH("SRPT US Equity","IS_REVENUE_ADJUSTMENTS","FQ3 2023","FQ3 2023","Currency=USD","Period=FQ","BEST_FPERIOD_OVERRIDE=FQ","FILING_STATUS=MR","SCALING_FORMAT=MLN","Sort=A","Dates=H","DateFormat=P","Fill=—","Direction=H","UseDPDF=Y")</f>
        <v>0</v>
      </c>
      <c r="W8" s="13">
        <f>_xll.BDH("SRPT US Equity","IS_REVENUE_ADJUSTMENTS","FQ4 2023","FQ4 2023","Currency=USD","Period=FQ","BEST_FPERIOD_OVERRIDE=FQ","FILING_STATUS=MR","SCALING_FORMAT=MLN","Sort=A","Dates=H","DateFormat=P","Fill=—","Direction=H","UseDPDF=Y")</f>
        <v>0</v>
      </c>
      <c r="X8" s="13">
        <f>_xll.BDH("SRPT US Equity","IS_REVENUE_ADJUSTMENTS","FQ1 2024","FQ1 2024","Currency=USD","Period=FQ","BEST_FPERIOD_OVERRIDE=FQ","FILING_STATUS=MR","SCALING_FORMAT=MLN","Sort=A","Dates=H","DateFormat=P","Fill=—","Direction=H","UseDPDF=Y")</f>
        <v>0</v>
      </c>
      <c r="Y8" s="13">
        <f>_xll.BDH("SRPT US Equity","IS_REVENUE_ADJUSTMENTS","FQ2 2024","FQ2 2024","Currency=USD","Period=FQ","BEST_FPERIOD_OVERRIDE=FQ","FILING_STATUS=MR","SCALING_FORMAT=MLN","Sort=A","Dates=H","DateFormat=P","Fill=—","Direction=H","UseDPDF=Y")</f>
        <v>0</v>
      </c>
      <c r="Z8" s="13">
        <f>_xll.BDH("SRPT US Equity","IS_REVENUE_ADJUSTMENTS","FQ3 2024","FQ3 2024","Currency=USD","Period=FQ","BEST_FPERIOD_OVERRIDE=FQ","FILING_STATUS=MR","SCALING_FORMAT=MLN","Sort=A","Dates=H","DateFormat=P","Fill=—","Direction=H","UseDPDF=Y")</f>
        <v>0</v>
      </c>
      <c r="AA8" s="13">
        <f>_xll.BDH("SRPT US Equity","IS_REVENUE_ADJUSTMENTS","FQ4 2024","FQ4 2024","Currency=USD","Period=FQ","BEST_FPERIOD_OVERRIDE=FQ","FILING_STATUS=MR","SCALING_FORMAT=MLN","Sort=A","Dates=H","DateFormat=P","Fill=—","Direction=H","UseDPDF=Y")</f>
        <v>0</v>
      </c>
    </row>
    <row r="9" spans="1:27" x14ac:dyDescent="0.25">
      <c r="A9" s="10" t="s">
        <v>589</v>
      </c>
      <c r="B9" s="10" t="s">
        <v>590</v>
      </c>
      <c r="C9" s="13">
        <f>_xll.BDH("SRPT US Equity","IS_COST_OF_REVENUE_ADJUSTMENTS","FQ4 2018","FQ4 2018","Currency=USD","Period=FQ","BEST_FPERIOD_OVERRIDE=FQ","FILING_STATUS=MR","SCALING_FORMAT=MLN","Sort=A","Dates=H","DateFormat=P","Fill=—","Direction=H","UseDPDF=Y")</f>
        <v>0</v>
      </c>
      <c r="D9" s="13">
        <f>_xll.BDH("SRPT US Equity","IS_COST_OF_REVENUE_ADJUSTMENTS","FQ1 2019","FQ1 2019","Currency=USD","Period=FQ","BEST_FPERIOD_OVERRIDE=FQ","FILING_STATUS=MR","SCALING_FORMAT=MLN","Sort=A","Dates=H","DateFormat=P","Fill=—","Direction=H","UseDPDF=Y")</f>
        <v>0</v>
      </c>
      <c r="E9" s="13">
        <f>_xll.BDH("SRPT US Equity","IS_COST_OF_REVENUE_ADJUSTMENTS","FQ2 2019","FQ2 2019","Currency=USD","Period=FQ","BEST_FPERIOD_OVERRIDE=FQ","FILING_STATUS=MR","SCALING_FORMAT=MLN","Sort=A","Dates=H","DateFormat=P","Fill=—","Direction=H","UseDPDF=Y")</f>
        <v>0</v>
      </c>
      <c r="F9" s="13">
        <f>_xll.BDH("SRPT US Equity","IS_COST_OF_REVENUE_ADJUSTMENTS","FQ3 2019","FQ3 2019","Currency=USD","Period=FQ","BEST_FPERIOD_OVERRIDE=FQ","FILING_STATUS=MR","SCALING_FORMAT=MLN","Sort=A","Dates=H","DateFormat=P","Fill=—","Direction=H","UseDPDF=Y")</f>
        <v>0</v>
      </c>
      <c r="G9" s="13">
        <f>_xll.BDH("SRPT US Equity","IS_COST_OF_REVENUE_ADJUSTMENTS","FQ4 2019","FQ4 2019","Currency=USD","Period=FQ","BEST_FPERIOD_OVERRIDE=FQ","FILING_STATUS=MR","SCALING_FORMAT=MLN","Sort=A","Dates=H","DateFormat=P","Fill=—","Direction=H","UseDPDF=Y")</f>
        <v>0</v>
      </c>
      <c r="H9" s="13">
        <f>_xll.BDH("SRPT US Equity","IS_COST_OF_REVENUE_ADJUSTMENTS","FQ1 2020","FQ1 2020","Currency=USD","Period=FQ","BEST_FPERIOD_OVERRIDE=FQ","FILING_STATUS=MR","SCALING_FORMAT=MLN","Sort=A","Dates=H","DateFormat=P","Fill=—","Direction=H","UseDPDF=Y")</f>
        <v>0</v>
      </c>
      <c r="I9" s="13">
        <f>_xll.BDH("SRPT US Equity","IS_COST_OF_REVENUE_ADJUSTMENTS","FQ2 2020","FQ2 2020","Currency=USD","Period=FQ","BEST_FPERIOD_OVERRIDE=FQ","FILING_STATUS=MR","SCALING_FORMAT=MLN","Sort=A","Dates=H","DateFormat=P","Fill=—","Direction=H","UseDPDF=Y")</f>
        <v>0</v>
      </c>
      <c r="J9" s="13">
        <f>_xll.BDH("SRPT US Equity","IS_COST_OF_REVENUE_ADJUSTMENTS","FQ3 2020","FQ3 2020","Currency=USD","Period=FQ","BEST_FPERIOD_OVERRIDE=FQ","FILING_STATUS=MR","SCALING_FORMAT=MLN","Sort=A","Dates=H","DateFormat=P","Fill=—","Direction=H","UseDPDF=Y")</f>
        <v>0</v>
      </c>
      <c r="K9" s="13">
        <f>_xll.BDH("SRPT US Equity","IS_COST_OF_REVENUE_ADJUSTMENTS","FQ4 2020","FQ4 2020","Currency=USD","Period=FQ","BEST_FPERIOD_OVERRIDE=FQ","FILING_STATUS=MR","SCALING_FORMAT=MLN","Sort=A","Dates=H","DateFormat=P","Fill=—","Direction=H","UseDPDF=Y")</f>
        <v>0</v>
      </c>
      <c r="L9" s="13">
        <f>_xll.BDH("SRPT US Equity","IS_COST_OF_REVENUE_ADJUSTMENTS","FQ1 2021","FQ1 2021","Currency=USD","Period=FQ","BEST_FPERIOD_OVERRIDE=FQ","FILING_STATUS=MR","SCALING_FORMAT=MLN","Sort=A","Dates=H","DateFormat=P","Fill=—","Direction=H","UseDPDF=Y")</f>
        <v>0</v>
      </c>
      <c r="M9" s="13">
        <f>_xll.BDH("SRPT US Equity","IS_COST_OF_REVENUE_ADJUSTMENTS","FQ2 2021","FQ2 2021","Currency=USD","Period=FQ","BEST_FPERIOD_OVERRIDE=FQ","FILING_STATUS=MR","SCALING_FORMAT=MLN","Sort=A","Dates=H","DateFormat=P","Fill=—","Direction=H","UseDPDF=Y")</f>
        <v>0</v>
      </c>
      <c r="N9" s="13">
        <f>_xll.BDH("SRPT US Equity","IS_COST_OF_REVENUE_ADJUSTMENTS","FQ3 2021","FQ3 2021","Currency=USD","Period=FQ","BEST_FPERIOD_OVERRIDE=FQ","FILING_STATUS=MR","SCALING_FORMAT=MLN","Sort=A","Dates=H","DateFormat=P","Fill=—","Direction=H","UseDPDF=Y")</f>
        <v>0</v>
      </c>
      <c r="O9" s="13">
        <f>_xll.BDH("SRPT US Equity","IS_COST_OF_REVENUE_ADJUSTMENTS","FQ4 2021","FQ4 2021","Currency=USD","Period=FQ","BEST_FPERIOD_OVERRIDE=FQ","FILING_STATUS=MR","SCALING_FORMAT=MLN","Sort=A","Dates=H","DateFormat=P","Fill=—","Direction=H","UseDPDF=Y")</f>
        <v>0</v>
      </c>
      <c r="P9" s="13">
        <f>_xll.BDH("SRPT US Equity","IS_COST_OF_REVENUE_ADJUSTMENTS","FQ1 2022","FQ1 2022","Currency=USD","Period=FQ","BEST_FPERIOD_OVERRIDE=FQ","FILING_STATUS=MR","SCALING_FORMAT=MLN","Sort=A","Dates=H","DateFormat=P","Fill=—","Direction=H","UseDPDF=Y")</f>
        <v>0</v>
      </c>
      <c r="Q9" s="13">
        <f>_xll.BDH("SRPT US Equity","IS_COST_OF_REVENUE_ADJUSTMENTS","FQ2 2022","FQ2 2022","Currency=USD","Period=FQ","BEST_FPERIOD_OVERRIDE=FQ","FILING_STATUS=MR","SCALING_FORMAT=MLN","Sort=A","Dates=H","DateFormat=P","Fill=—","Direction=H","UseDPDF=Y")</f>
        <v>0</v>
      </c>
      <c r="R9" s="13">
        <f>_xll.BDH("SRPT US Equity","IS_COST_OF_REVENUE_ADJUSTMENTS","FQ3 2022","FQ3 2022","Currency=USD","Period=FQ","BEST_FPERIOD_OVERRIDE=FQ","FILING_STATUS=MR","SCALING_FORMAT=MLN","Sort=A","Dates=H","DateFormat=P","Fill=—","Direction=H","UseDPDF=Y")</f>
        <v>0</v>
      </c>
      <c r="S9" s="13">
        <f>_xll.BDH("SRPT US Equity","IS_COST_OF_REVENUE_ADJUSTMENTS","FQ4 2022","FQ4 2022","Currency=USD","Period=FQ","BEST_FPERIOD_OVERRIDE=FQ","FILING_STATUS=MR","SCALING_FORMAT=MLN","Sort=A","Dates=H","DateFormat=P","Fill=—","Direction=H","UseDPDF=Y")</f>
        <v>0</v>
      </c>
      <c r="T9" s="13">
        <f>_xll.BDH("SRPT US Equity","IS_COST_OF_REVENUE_ADJUSTMENTS","FQ1 2023","FQ1 2023","Currency=USD","Period=FQ","BEST_FPERIOD_OVERRIDE=FQ","FILING_STATUS=MR","SCALING_FORMAT=MLN","Sort=A","Dates=H","DateFormat=P","Fill=—","Direction=H","UseDPDF=Y")</f>
        <v>0</v>
      </c>
      <c r="U9" s="13">
        <f>_xll.BDH("SRPT US Equity","IS_COST_OF_REVENUE_ADJUSTMENTS","FQ2 2023","FQ2 2023","Currency=USD","Period=FQ","BEST_FPERIOD_OVERRIDE=FQ","FILING_STATUS=MR","SCALING_FORMAT=MLN","Sort=A","Dates=H","DateFormat=P","Fill=—","Direction=H","UseDPDF=Y")</f>
        <v>0</v>
      </c>
      <c r="V9" s="13">
        <f>_xll.BDH("SRPT US Equity","IS_COST_OF_REVENUE_ADJUSTMENTS","FQ3 2023","FQ3 2023","Currency=USD","Period=FQ","BEST_FPERIOD_OVERRIDE=FQ","FILING_STATUS=MR","SCALING_FORMAT=MLN","Sort=A","Dates=H","DateFormat=P","Fill=—","Direction=H","UseDPDF=Y")</f>
        <v>0</v>
      </c>
      <c r="W9" s="13">
        <f>_xll.BDH("SRPT US Equity","IS_COST_OF_REVENUE_ADJUSTMENTS","FQ4 2023","FQ4 2023","Currency=USD","Period=FQ","BEST_FPERIOD_OVERRIDE=FQ","FILING_STATUS=MR","SCALING_FORMAT=MLN","Sort=A","Dates=H","DateFormat=P","Fill=—","Direction=H","UseDPDF=Y")</f>
        <v>0</v>
      </c>
      <c r="X9" s="13">
        <f>_xll.BDH("SRPT US Equity","IS_COST_OF_REVENUE_ADJUSTMENTS","FQ1 2024","FQ1 2024","Currency=USD","Period=FQ","BEST_FPERIOD_OVERRIDE=FQ","FILING_STATUS=MR","SCALING_FORMAT=MLN","Sort=A","Dates=H","DateFormat=P","Fill=—","Direction=H","UseDPDF=Y")</f>
        <v>0</v>
      </c>
      <c r="Y9" s="13">
        <f>_xll.BDH("SRPT US Equity","IS_COST_OF_REVENUE_ADJUSTMENTS","FQ2 2024","FQ2 2024","Currency=USD","Period=FQ","BEST_FPERIOD_OVERRIDE=FQ","FILING_STATUS=MR","SCALING_FORMAT=MLN","Sort=A","Dates=H","DateFormat=P","Fill=—","Direction=H","UseDPDF=Y")</f>
        <v>0</v>
      </c>
      <c r="Z9" s="13">
        <f>_xll.BDH("SRPT US Equity","IS_COST_OF_REVENUE_ADJUSTMENTS","FQ3 2024","FQ3 2024","Currency=USD","Period=FQ","BEST_FPERIOD_OVERRIDE=FQ","FILING_STATUS=MR","SCALING_FORMAT=MLN","Sort=A","Dates=H","DateFormat=P","Fill=—","Direction=H","UseDPDF=Y")</f>
        <v>0</v>
      </c>
      <c r="AA9" s="13">
        <f>_xll.BDH("SRPT US Equity","IS_COST_OF_REVENUE_ADJUSTMENTS","FQ4 2024","FQ4 2024","Currency=USD","Period=FQ","BEST_FPERIOD_OVERRIDE=FQ","FILING_STATUS=MR","SCALING_FORMAT=MLN","Sort=A","Dates=H","DateFormat=P","Fill=—","Direction=H","UseDPDF=Y")</f>
        <v>0</v>
      </c>
    </row>
    <row r="10" spans="1:27" x14ac:dyDescent="0.25">
      <c r="A10" s="10" t="s">
        <v>591</v>
      </c>
      <c r="B10" s="10" t="s">
        <v>592</v>
      </c>
      <c r="C10" s="13">
        <f>_xll.BDH("SRPT US Equity","IS_OTHER_OPER_INC_NONGAAP_ADJUST","FQ4 2018","FQ4 2018","Currency=USD","Period=FQ","BEST_FPERIOD_OVERRIDE=FQ","FILING_STATUS=MR","SCALING_FORMAT=MLN","Sort=A","Dates=H","DateFormat=P","Fill=—","Direction=H","UseDPDF=Y")</f>
        <v>0</v>
      </c>
      <c r="D10" s="13">
        <f>_xll.BDH("SRPT US Equity","IS_OTHER_OPER_INC_NONGAAP_ADJUST","FQ1 2019","FQ1 2019","Currency=USD","Period=FQ","BEST_FPERIOD_OVERRIDE=FQ","FILING_STATUS=MR","SCALING_FORMAT=MLN","Sort=A","Dates=H","DateFormat=P","Fill=—","Direction=H","UseDPDF=Y")</f>
        <v>0</v>
      </c>
      <c r="E10" s="13">
        <f>_xll.BDH("SRPT US Equity","IS_OTHER_OPER_INC_NONGAAP_ADJUST","FQ2 2019","FQ2 2019","Currency=USD","Period=FQ","BEST_FPERIOD_OVERRIDE=FQ","FILING_STATUS=MR","SCALING_FORMAT=MLN","Sort=A","Dates=H","DateFormat=P","Fill=—","Direction=H","UseDPDF=Y")</f>
        <v>0</v>
      </c>
      <c r="F10" s="13">
        <f>_xll.BDH("SRPT US Equity","IS_OTHER_OPER_INC_NONGAAP_ADJUST","FQ3 2019","FQ3 2019","Currency=USD","Period=FQ","BEST_FPERIOD_OVERRIDE=FQ","FILING_STATUS=MR","SCALING_FORMAT=MLN","Sort=A","Dates=H","DateFormat=P","Fill=—","Direction=H","UseDPDF=Y")</f>
        <v>0</v>
      </c>
      <c r="G10" s="13">
        <f>_xll.BDH("SRPT US Equity","IS_OTHER_OPER_INC_NONGAAP_ADJUST","FQ4 2019","FQ4 2019","Currency=USD","Period=FQ","BEST_FPERIOD_OVERRIDE=FQ","FILING_STATUS=MR","SCALING_FORMAT=MLN","Sort=A","Dates=H","DateFormat=P","Fill=—","Direction=H","UseDPDF=Y")</f>
        <v>0</v>
      </c>
      <c r="H10" s="13">
        <f>_xll.BDH("SRPT US Equity","IS_OTHER_OPER_INC_NONGAAP_ADJUST","FQ1 2020","FQ1 2020","Currency=USD","Period=FQ","BEST_FPERIOD_OVERRIDE=FQ","FILING_STATUS=MR","SCALING_FORMAT=MLN","Sort=A","Dates=H","DateFormat=P","Fill=—","Direction=H","UseDPDF=Y")</f>
        <v>0</v>
      </c>
      <c r="I10" s="13">
        <f>_xll.BDH("SRPT US Equity","IS_OTHER_OPER_INC_NONGAAP_ADJUST","FQ2 2020","FQ2 2020","Currency=USD","Period=FQ","BEST_FPERIOD_OVERRIDE=FQ","FILING_STATUS=MR","SCALING_FORMAT=MLN","Sort=A","Dates=H","DateFormat=P","Fill=—","Direction=H","UseDPDF=Y")</f>
        <v>0</v>
      </c>
      <c r="J10" s="13">
        <f>_xll.BDH("SRPT US Equity","IS_OTHER_OPER_INC_NONGAAP_ADJUST","FQ3 2020","FQ3 2020","Currency=USD","Period=FQ","BEST_FPERIOD_OVERRIDE=FQ","FILING_STATUS=MR","SCALING_FORMAT=MLN","Sort=A","Dates=H","DateFormat=P","Fill=—","Direction=H","UseDPDF=Y")</f>
        <v>0</v>
      </c>
      <c r="K10" s="13">
        <f>_xll.BDH("SRPT US Equity","IS_OTHER_OPER_INC_NONGAAP_ADJUST","FQ4 2020","FQ4 2020","Currency=USD","Period=FQ","BEST_FPERIOD_OVERRIDE=FQ","FILING_STATUS=MR","SCALING_FORMAT=MLN","Sort=A","Dates=H","DateFormat=P","Fill=—","Direction=H","UseDPDF=Y")</f>
        <v>0</v>
      </c>
      <c r="L10" s="13">
        <f>_xll.BDH("SRPT US Equity","IS_OTHER_OPER_INC_NONGAAP_ADJUST","FQ1 2021","FQ1 2021","Currency=USD","Period=FQ","BEST_FPERIOD_OVERRIDE=FQ","FILING_STATUS=MR","SCALING_FORMAT=MLN","Sort=A","Dates=H","DateFormat=P","Fill=—","Direction=H","UseDPDF=Y")</f>
        <v>0</v>
      </c>
      <c r="M10" s="13">
        <f>_xll.BDH("SRPT US Equity","IS_OTHER_OPER_INC_NONGAAP_ADJUST","FQ2 2021","FQ2 2021","Currency=USD","Period=FQ","BEST_FPERIOD_OVERRIDE=FQ","FILING_STATUS=MR","SCALING_FORMAT=MLN","Sort=A","Dates=H","DateFormat=P","Fill=—","Direction=H","UseDPDF=Y")</f>
        <v>0</v>
      </c>
      <c r="N10" s="13">
        <f>_xll.BDH("SRPT US Equity","IS_OTHER_OPER_INC_NONGAAP_ADJUST","FQ3 2021","FQ3 2021","Currency=USD","Period=FQ","BEST_FPERIOD_OVERRIDE=FQ","FILING_STATUS=MR","SCALING_FORMAT=MLN","Sort=A","Dates=H","DateFormat=P","Fill=—","Direction=H","UseDPDF=Y")</f>
        <v>0</v>
      </c>
      <c r="O10" s="13">
        <f>_xll.BDH("SRPT US Equity","IS_OTHER_OPER_INC_NONGAAP_ADJUST","FQ4 2021","FQ4 2021","Currency=USD","Period=FQ","BEST_FPERIOD_OVERRIDE=FQ","FILING_STATUS=MR","SCALING_FORMAT=MLN","Sort=A","Dates=H","DateFormat=P","Fill=—","Direction=H","UseDPDF=Y")</f>
        <v>0</v>
      </c>
      <c r="P10" s="13">
        <f>_xll.BDH("SRPT US Equity","IS_OTHER_OPER_INC_NONGAAP_ADJUST","FQ1 2022","FQ1 2022","Currency=USD","Period=FQ","BEST_FPERIOD_OVERRIDE=FQ","FILING_STATUS=MR","SCALING_FORMAT=MLN","Sort=A","Dates=H","DateFormat=P","Fill=—","Direction=H","UseDPDF=Y")</f>
        <v>0</v>
      </c>
      <c r="Q10" s="13">
        <f>_xll.BDH("SRPT US Equity","IS_OTHER_OPER_INC_NONGAAP_ADJUST","FQ2 2022","FQ2 2022","Currency=USD","Period=FQ","BEST_FPERIOD_OVERRIDE=FQ","FILING_STATUS=MR","SCALING_FORMAT=MLN","Sort=A","Dates=H","DateFormat=P","Fill=—","Direction=H","UseDPDF=Y")</f>
        <v>0</v>
      </c>
      <c r="R10" s="13">
        <f>_xll.BDH("SRPT US Equity","IS_OTHER_OPER_INC_NONGAAP_ADJUST","FQ3 2022","FQ3 2022","Currency=USD","Period=FQ","BEST_FPERIOD_OVERRIDE=FQ","FILING_STATUS=MR","SCALING_FORMAT=MLN","Sort=A","Dates=H","DateFormat=P","Fill=—","Direction=H","UseDPDF=Y")</f>
        <v>0</v>
      </c>
      <c r="S10" s="13">
        <f>_xll.BDH("SRPT US Equity","IS_OTHER_OPER_INC_NONGAAP_ADJUST","FQ4 2022","FQ4 2022","Currency=USD","Period=FQ","BEST_FPERIOD_OVERRIDE=FQ","FILING_STATUS=MR","SCALING_FORMAT=MLN","Sort=A","Dates=H","DateFormat=P","Fill=—","Direction=H","UseDPDF=Y")</f>
        <v>0</v>
      </c>
      <c r="T10" s="13">
        <f>_xll.BDH("SRPT US Equity","IS_OTHER_OPER_INC_NONGAAP_ADJUST","FQ1 2023","FQ1 2023","Currency=USD","Period=FQ","BEST_FPERIOD_OVERRIDE=FQ","FILING_STATUS=MR","SCALING_FORMAT=MLN","Sort=A","Dates=H","DateFormat=P","Fill=—","Direction=H","UseDPDF=Y")</f>
        <v>0</v>
      </c>
      <c r="U10" s="13">
        <f>_xll.BDH("SRPT US Equity","IS_OTHER_OPER_INC_NONGAAP_ADJUST","FQ2 2023","FQ2 2023","Currency=USD","Period=FQ","BEST_FPERIOD_OVERRIDE=FQ","FILING_STATUS=MR","SCALING_FORMAT=MLN","Sort=A","Dates=H","DateFormat=P","Fill=—","Direction=H","UseDPDF=Y")</f>
        <v>0</v>
      </c>
      <c r="V10" s="13">
        <f>_xll.BDH("SRPT US Equity","IS_OTHER_OPER_INC_NONGAAP_ADJUST","FQ3 2023","FQ3 2023","Currency=USD","Period=FQ","BEST_FPERIOD_OVERRIDE=FQ","FILING_STATUS=MR","SCALING_FORMAT=MLN","Sort=A","Dates=H","DateFormat=P","Fill=—","Direction=H","UseDPDF=Y")</f>
        <v>0</v>
      </c>
      <c r="W10" s="13">
        <f>_xll.BDH("SRPT US Equity","IS_OTHER_OPER_INC_NONGAAP_ADJUST","FQ4 2023","FQ4 2023","Currency=USD","Period=FQ","BEST_FPERIOD_OVERRIDE=FQ","FILING_STATUS=MR","SCALING_FORMAT=MLN","Sort=A","Dates=H","DateFormat=P","Fill=—","Direction=H","UseDPDF=Y")</f>
        <v>0</v>
      </c>
      <c r="X10" s="13">
        <f>_xll.BDH("SRPT US Equity","IS_OTHER_OPER_INC_NONGAAP_ADJUST","FQ1 2024","FQ1 2024","Currency=USD","Period=FQ","BEST_FPERIOD_OVERRIDE=FQ","FILING_STATUS=MR","SCALING_FORMAT=MLN","Sort=A","Dates=H","DateFormat=P","Fill=—","Direction=H","UseDPDF=Y")</f>
        <v>0</v>
      </c>
      <c r="Y10" s="13">
        <f>_xll.BDH("SRPT US Equity","IS_OTHER_OPER_INC_NONGAAP_ADJUST","FQ2 2024","FQ2 2024","Currency=USD","Period=FQ","BEST_FPERIOD_OVERRIDE=FQ","FILING_STATUS=MR","SCALING_FORMAT=MLN","Sort=A","Dates=H","DateFormat=P","Fill=—","Direction=H","UseDPDF=Y")</f>
        <v>0</v>
      </c>
      <c r="Z10" s="13">
        <f>_xll.BDH("SRPT US Equity","IS_OTHER_OPER_INC_NONGAAP_ADJUST","FQ3 2024","FQ3 2024","Currency=USD","Period=FQ","BEST_FPERIOD_OVERRIDE=FQ","FILING_STATUS=MR","SCALING_FORMAT=MLN","Sort=A","Dates=H","DateFormat=P","Fill=—","Direction=H","UseDPDF=Y")</f>
        <v>0</v>
      </c>
      <c r="AA10" s="13">
        <f>_xll.BDH("SRPT US Equity","IS_OTHER_OPER_INC_NONGAAP_ADJUST","FQ4 2024","FQ4 2024","Currency=USD","Period=FQ","BEST_FPERIOD_OVERRIDE=FQ","FILING_STATUS=MR","SCALING_FORMAT=MLN","Sort=A","Dates=H","DateFormat=P","Fill=—","Direction=H","UseDPDF=Y")</f>
        <v>0</v>
      </c>
    </row>
    <row r="11" spans="1:27" x14ac:dyDescent="0.25">
      <c r="A11" s="10" t="s">
        <v>593</v>
      </c>
      <c r="B11" s="10" t="s">
        <v>594</v>
      </c>
      <c r="C11" s="13">
        <f>_xll.BDH("SRPT US Equity","IS_SGA_ADJ","FQ4 2018","FQ4 2018","Currency=USD","Period=FQ","BEST_FPERIOD_OVERRIDE=FQ","FILING_STATUS=MR","SCALING_FORMAT=MLN","Sort=A","Dates=H","DateFormat=P","Fill=—","Direction=H","UseDPDF=Y")</f>
        <v>0</v>
      </c>
      <c r="D11" s="13">
        <f>_xll.BDH("SRPT US Equity","IS_SGA_ADJ","FQ1 2019","FQ1 2019","Currency=USD","Period=FQ","BEST_FPERIOD_OVERRIDE=FQ","FILING_STATUS=MR","SCALING_FORMAT=MLN","Sort=A","Dates=H","DateFormat=P","Fill=—","Direction=H","UseDPDF=Y")</f>
        <v>0</v>
      </c>
      <c r="E11" s="13">
        <f>_xll.BDH("SRPT US Equity","IS_SGA_ADJ","FQ2 2019","FQ2 2019","Currency=USD","Period=FQ","BEST_FPERIOD_OVERRIDE=FQ","FILING_STATUS=MR","SCALING_FORMAT=MLN","Sort=A","Dates=H","DateFormat=P","Fill=—","Direction=H","UseDPDF=Y")</f>
        <v>0</v>
      </c>
      <c r="F11" s="13">
        <f>_xll.BDH("SRPT US Equity","IS_SGA_ADJ","FQ3 2019","FQ3 2019","Currency=USD","Period=FQ","BEST_FPERIOD_OVERRIDE=FQ","FILING_STATUS=MR","SCALING_FORMAT=MLN","Sort=A","Dates=H","DateFormat=P","Fill=—","Direction=H","UseDPDF=Y")</f>
        <v>0</v>
      </c>
      <c r="G11" s="13">
        <f>_xll.BDH("SRPT US Equity","IS_SGA_ADJ","FQ4 2019","FQ4 2019","Currency=USD","Period=FQ","BEST_FPERIOD_OVERRIDE=FQ","FILING_STATUS=MR","SCALING_FORMAT=MLN","Sort=A","Dates=H","DateFormat=P","Fill=—","Direction=H","UseDPDF=Y")</f>
        <v>0</v>
      </c>
      <c r="H11" s="13">
        <f>_xll.BDH("SRPT US Equity","IS_SGA_ADJ","FQ1 2020","FQ1 2020","Currency=USD","Period=FQ","BEST_FPERIOD_OVERRIDE=FQ","FILING_STATUS=MR","SCALING_FORMAT=MLN","Sort=A","Dates=H","DateFormat=P","Fill=—","Direction=H","UseDPDF=Y")</f>
        <v>0</v>
      </c>
      <c r="I11" s="13">
        <f>_xll.BDH("SRPT US Equity","IS_SGA_ADJ","FQ2 2020","FQ2 2020","Currency=USD","Period=FQ","BEST_FPERIOD_OVERRIDE=FQ","FILING_STATUS=MR","SCALING_FORMAT=MLN","Sort=A","Dates=H","DateFormat=P","Fill=—","Direction=H","UseDPDF=Y")</f>
        <v>0</v>
      </c>
      <c r="J11" s="13">
        <f>_xll.BDH("SRPT US Equity","IS_SGA_ADJ","FQ3 2020","FQ3 2020","Currency=USD","Period=FQ","BEST_FPERIOD_OVERRIDE=FQ","FILING_STATUS=MR","SCALING_FORMAT=MLN","Sort=A","Dates=H","DateFormat=P","Fill=—","Direction=H","UseDPDF=Y")</f>
        <v>0</v>
      </c>
      <c r="K11" s="13">
        <f>_xll.BDH("SRPT US Equity","IS_SGA_ADJ","FQ4 2020","FQ4 2020","Currency=USD","Period=FQ","BEST_FPERIOD_OVERRIDE=FQ","FILING_STATUS=MR","SCALING_FORMAT=MLN","Sort=A","Dates=H","DateFormat=P","Fill=—","Direction=H","UseDPDF=Y")</f>
        <v>0</v>
      </c>
      <c r="L11" s="13">
        <f>_xll.BDH("SRPT US Equity","IS_SGA_ADJ","FQ1 2021","FQ1 2021","Currency=USD","Period=FQ","BEST_FPERIOD_OVERRIDE=FQ","FILING_STATUS=MR","SCALING_FORMAT=MLN","Sort=A","Dates=H","DateFormat=P","Fill=—","Direction=H","UseDPDF=Y")</f>
        <v>0</v>
      </c>
      <c r="M11" s="13">
        <f>_xll.BDH("SRPT US Equity","IS_SGA_ADJ","FQ2 2021","FQ2 2021","Currency=USD","Period=FQ","BEST_FPERIOD_OVERRIDE=FQ","FILING_STATUS=MR","SCALING_FORMAT=MLN","Sort=A","Dates=H","DateFormat=P","Fill=—","Direction=H","UseDPDF=Y")</f>
        <v>0</v>
      </c>
      <c r="N11" s="13">
        <f>_xll.BDH("SRPT US Equity","IS_SGA_ADJ","FQ3 2021","FQ3 2021","Currency=USD","Period=FQ","BEST_FPERIOD_OVERRIDE=FQ","FILING_STATUS=MR","SCALING_FORMAT=MLN","Sort=A","Dates=H","DateFormat=P","Fill=—","Direction=H","UseDPDF=Y")</f>
        <v>0</v>
      </c>
      <c r="O11" s="13">
        <f>_xll.BDH("SRPT US Equity","IS_SGA_ADJ","FQ4 2021","FQ4 2021","Currency=USD","Period=FQ","BEST_FPERIOD_OVERRIDE=FQ","FILING_STATUS=MR","SCALING_FORMAT=MLN","Sort=A","Dates=H","DateFormat=P","Fill=—","Direction=H","UseDPDF=Y")</f>
        <v>0</v>
      </c>
      <c r="P11" s="13">
        <f>_xll.BDH("SRPT US Equity","IS_SGA_ADJ","FQ1 2022","FQ1 2022","Currency=USD","Period=FQ","BEST_FPERIOD_OVERRIDE=FQ","FILING_STATUS=MR","SCALING_FORMAT=MLN","Sort=A","Dates=H","DateFormat=P","Fill=—","Direction=H","UseDPDF=Y")</f>
        <v>0</v>
      </c>
      <c r="Q11" s="13">
        <f>_xll.BDH("SRPT US Equity","IS_SGA_ADJ","FQ2 2022","FQ2 2022","Currency=USD","Period=FQ","BEST_FPERIOD_OVERRIDE=FQ","FILING_STATUS=MR","SCALING_FORMAT=MLN","Sort=A","Dates=H","DateFormat=P","Fill=—","Direction=H","UseDPDF=Y")</f>
        <v>0</v>
      </c>
      <c r="R11" s="13">
        <f>_xll.BDH("SRPT US Equity","IS_SGA_ADJ","FQ3 2022","FQ3 2022","Currency=USD","Period=FQ","BEST_FPERIOD_OVERRIDE=FQ","FILING_STATUS=MR","SCALING_FORMAT=MLN","Sort=A","Dates=H","DateFormat=P","Fill=—","Direction=H","UseDPDF=Y")</f>
        <v>0</v>
      </c>
      <c r="S11" s="13">
        <f>_xll.BDH("SRPT US Equity","IS_SGA_ADJ","FQ4 2022","FQ4 2022","Currency=USD","Period=FQ","BEST_FPERIOD_OVERRIDE=FQ","FILING_STATUS=MR","SCALING_FORMAT=MLN","Sort=A","Dates=H","DateFormat=P","Fill=—","Direction=H","UseDPDF=Y")</f>
        <v>0</v>
      </c>
      <c r="T11" s="13">
        <f>_xll.BDH("SRPT US Equity","IS_SGA_ADJ","FQ1 2023","FQ1 2023","Currency=USD","Period=FQ","BEST_FPERIOD_OVERRIDE=FQ","FILING_STATUS=MR","SCALING_FORMAT=MLN","Sort=A","Dates=H","DateFormat=P","Fill=—","Direction=H","UseDPDF=Y")</f>
        <v>0</v>
      </c>
      <c r="U11" s="13">
        <f>_xll.BDH("SRPT US Equity","IS_SGA_ADJ","FQ2 2023","FQ2 2023","Currency=USD","Period=FQ","BEST_FPERIOD_OVERRIDE=FQ","FILING_STATUS=MR","SCALING_FORMAT=MLN","Sort=A","Dates=H","DateFormat=P","Fill=—","Direction=H","UseDPDF=Y")</f>
        <v>0</v>
      </c>
      <c r="V11" s="13">
        <f>_xll.BDH("SRPT US Equity","IS_SGA_ADJ","FQ3 2023","FQ3 2023","Currency=USD","Period=FQ","BEST_FPERIOD_OVERRIDE=FQ","FILING_STATUS=MR","SCALING_FORMAT=MLN","Sort=A","Dates=H","DateFormat=P","Fill=—","Direction=H","UseDPDF=Y")</f>
        <v>0</v>
      </c>
      <c r="W11" s="13">
        <f>_xll.BDH("SRPT US Equity","IS_SGA_ADJ","FQ4 2023","FQ4 2023","Currency=USD","Period=FQ","BEST_FPERIOD_OVERRIDE=FQ","FILING_STATUS=MR","SCALING_FORMAT=MLN","Sort=A","Dates=H","DateFormat=P","Fill=—","Direction=H","UseDPDF=Y")</f>
        <v>0</v>
      </c>
      <c r="X11" s="13">
        <f>_xll.BDH("SRPT US Equity","IS_SGA_ADJ","FQ1 2024","FQ1 2024","Currency=USD","Period=FQ","BEST_FPERIOD_OVERRIDE=FQ","FILING_STATUS=MR","SCALING_FORMAT=MLN","Sort=A","Dates=H","DateFormat=P","Fill=—","Direction=H","UseDPDF=Y")</f>
        <v>0</v>
      </c>
      <c r="Y11" s="13">
        <f>_xll.BDH("SRPT US Equity","IS_SGA_ADJ","FQ2 2024","FQ2 2024","Currency=USD","Period=FQ","BEST_FPERIOD_OVERRIDE=FQ","FILING_STATUS=MR","SCALING_FORMAT=MLN","Sort=A","Dates=H","DateFormat=P","Fill=—","Direction=H","UseDPDF=Y")</f>
        <v>0</v>
      </c>
      <c r="Z11" s="13">
        <f>_xll.BDH("SRPT US Equity","IS_SGA_ADJ","FQ3 2024","FQ3 2024","Currency=USD","Period=FQ","BEST_FPERIOD_OVERRIDE=FQ","FILING_STATUS=MR","SCALING_FORMAT=MLN","Sort=A","Dates=H","DateFormat=P","Fill=—","Direction=H","UseDPDF=Y")</f>
        <v>0</v>
      </c>
      <c r="AA11" s="13">
        <f>_xll.BDH("SRPT US Equity","IS_SGA_ADJ","FQ4 2024","FQ4 2024","Currency=USD","Period=FQ","BEST_FPERIOD_OVERRIDE=FQ","FILING_STATUS=MR","SCALING_FORMAT=MLN","Sort=A","Dates=H","DateFormat=P","Fill=—","Direction=H","UseDPDF=Y")</f>
        <v>0</v>
      </c>
    </row>
    <row r="12" spans="1:27" x14ac:dyDescent="0.25">
      <c r="A12" s="10" t="s">
        <v>595</v>
      </c>
      <c r="B12" s="10" t="s">
        <v>596</v>
      </c>
      <c r="C12" s="13">
        <f>_xll.BDH("SRPT US Equity","IS_RD_EXPENSE_NON_GAAP_ADJ","FQ4 2018","FQ4 2018","Currency=USD","Period=FQ","BEST_FPERIOD_OVERRIDE=FQ","FILING_STATUS=MR","SCALING_FORMAT=MLN","Sort=A","Dates=H","DateFormat=P","Fill=—","Direction=H","UseDPDF=Y")</f>
        <v>0</v>
      </c>
      <c r="D12" s="13">
        <f>_xll.BDH("SRPT US Equity","IS_RD_EXPENSE_NON_GAAP_ADJ","FQ1 2019","FQ1 2019","Currency=USD","Period=FQ","BEST_FPERIOD_OVERRIDE=FQ","FILING_STATUS=MR","SCALING_FORMAT=MLN","Sort=A","Dates=H","DateFormat=P","Fill=—","Direction=H","UseDPDF=Y")</f>
        <v>0</v>
      </c>
      <c r="E12" s="13">
        <f>_xll.BDH("SRPT US Equity","IS_RD_EXPENSE_NON_GAAP_ADJ","FQ2 2019","FQ2 2019","Currency=USD","Period=FQ","BEST_FPERIOD_OVERRIDE=FQ","FILING_STATUS=MR","SCALING_FORMAT=MLN","Sort=A","Dates=H","DateFormat=P","Fill=—","Direction=H","UseDPDF=Y")</f>
        <v>0</v>
      </c>
      <c r="F12" s="13">
        <f>_xll.BDH("SRPT US Equity","IS_RD_EXPENSE_NON_GAAP_ADJ","FQ3 2019","FQ3 2019","Currency=USD","Period=FQ","BEST_FPERIOD_OVERRIDE=FQ","FILING_STATUS=MR","SCALING_FORMAT=MLN","Sort=A","Dates=H","DateFormat=P","Fill=—","Direction=H","UseDPDF=Y")</f>
        <v>12.146000000000001</v>
      </c>
      <c r="G12" s="13">
        <f>_xll.BDH("SRPT US Equity","IS_RD_EXPENSE_NON_GAAP_ADJ","FQ4 2019","FQ4 2019","Currency=USD","Period=FQ","BEST_FPERIOD_OVERRIDE=FQ","FILING_STATUS=MR","SCALING_FORMAT=MLN","Sort=A","Dates=H","DateFormat=P","Fill=—","Direction=H","UseDPDF=Y")</f>
        <v>0</v>
      </c>
      <c r="H12" s="13">
        <f>_xll.BDH("SRPT US Equity","IS_RD_EXPENSE_NON_GAAP_ADJ","FQ1 2020","FQ1 2020","Currency=USD","Period=FQ","BEST_FPERIOD_OVERRIDE=FQ","FILING_STATUS=MR","SCALING_FORMAT=MLN","Sort=A","Dates=H","DateFormat=P","Fill=—","Direction=H","UseDPDF=Y")</f>
        <v>0</v>
      </c>
      <c r="I12" s="13">
        <f>_xll.BDH("SRPT US Equity","IS_RD_EXPENSE_NON_GAAP_ADJ","FQ2 2020","FQ2 2020","Currency=USD","Period=FQ","BEST_FPERIOD_OVERRIDE=FQ","FILING_STATUS=MR","SCALING_FORMAT=MLN","Sort=A","Dates=H","DateFormat=P","Fill=—","Direction=H","UseDPDF=Y")</f>
        <v>0</v>
      </c>
      <c r="J12" s="13">
        <f>_xll.BDH("SRPT US Equity","IS_RD_EXPENSE_NON_GAAP_ADJ","FQ3 2020","FQ3 2020","Currency=USD","Period=FQ","BEST_FPERIOD_OVERRIDE=FQ","FILING_STATUS=MR","SCALING_FORMAT=MLN","Sort=A","Dates=H","DateFormat=P","Fill=—","Direction=H","UseDPDF=Y")</f>
        <v>0</v>
      </c>
      <c r="K12" s="13">
        <f>_xll.BDH("SRPT US Equity","IS_RD_EXPENSE_NON_GAAP_ADJ","FQ4 2020","FQ4 2020","Currency=USD","Period=FQ","BEST_FPERIOD_OVERRIDE=FQ","FILING_STATUS=MR","SCALING_FORMAT=MLN","Sort=A","Dates=H","DateFormat=P","Fill=—","Direction=H","UseDPDF=Y")</f>
        <v>0</v>
      </c>
      <c r="L12" s="13">
        <f>_xll.BDH("SRPT US Equity","IS_RD_EXPENSE_NON_GAAP_ADJ","FQ1 2021","FQ1 2021","Currency=USD","Period=FQ","BEST_FPERIOD_OVERRIDE=FQ","FILING_STATUS=MR","SCALING_FORMAT=MLN","Sort=A","Dates=H","DateFormat=P","Fill=—","Direction=H","UseDPDF=Y")</f>
        <v>0</v>
      </c>
      <c r="M12" s="13">
        <f>_xll.BDH("SRPT US Equity","IS_RD_EXPENSE_NON_GAAP_ADJ","FQ2 2021","FQ2 2021","Currency=USD","Period=FQ","BEST_FPERIOD_OVERRIDE=FQ","FILING_STATUS=MR","SCALING_FORMAT=MLN","Sort=A","Dates=H","DateFormat=P","Fill=—","Direction=H","UseDPDF=Y")</f>
        <v>0</v>
      </c>
      <c r="N12" s="13">
        <f>_xll.BDH("SRPT US Equity","IS_RD_EXPENSE_NON_GAAP_ADJ","FQ3 2021","FQ3 2021","Currency=USD","Period=FQ","BEST_FPERIOD_OVERRIDE=FQ","FILING_STATUS=MR","SCALING_FORMAT=MLN","Sort=A","Dates=H","DateFormat=P","Fill=—","Direction=H","UseDPDF=Y")</f>
        <v>0</v>
      </c>
      <c r="O12" s="13">
        <f>_xll.BDH("SRPT US Equity","IS_RD_EXPENSE_NON_GAAP_ADJ","FQ4 2021","FQ4 2021","Currency=USD","Period=FQ","BEST_FPERIOD_OVERRIDE=FQ","FILING_STATUS=MR","SCALING_FORMAT=MLN","Sort=A","Dates=H","DateFormat=P","Fill=—","Direction=H","UseDPDF=Y")</f>
        <v>0</v>
      </c>
      <c r="P12" s="13">
        <f>_xll.BDH("SRPT US Equity","IS_RD_EXPENSE_NON_GAAP_ADJ","FQ1 2022","FQ1 2022","Currency=USD","Period=FQ","BEST_FPERIOD_OVERRIDE=FQ","FILING_STATUS=MR","SCALING_FORMAT=MLN","Sort=A","Dates=H","DateFormat=P","Fill=—","Direction=H","UseDPDF=Y")</f>
        <v>0</v>
      </c>
      <c r="Q12" s="13">
        <f>_xll.BDH("SRPT US Equity","IS_RD_EXPENSE_NON_GAAP_ADJ","FQ2 2022","FQ2 2022","Currency=USD","Period=FQ","BEST_FPERIOD_OVERRIDE=FQ","FILING_STATUS=MR","SCALING_FORMAT=MLN","Sort=A","Dates=H","DateFormat=P","Fill=—","Direction=H","UseDPDF=Y")</f>
        <v>0</v>
      </c>
      <c r="R12" s="13">
        <f>_xll.BDH("SRPT US Equity","IS_RD_EXPENSE_NON_GAAP_ADJ","FQ3 2022","FQ3 2022","Currency=USD","Period=FQ","BEST_FPERIOD_OVERRIDE=FQ","FILING_STATUS=MR","SCALING_FORMAT=MLN","Sort=A","Dates=H","DateFormat=P","Fill=—","Direction=H","UseDPDF=Y")</f>
        <v>0</v>
      </c>
      <c r="S12" s="13">
        <f>_xll.BDH("SRPT US Equity","IS_RD_EXPENSE_NON_GAAP_ADJ","FQ4 2022","FQ4 2022","Currency=USD","Period=FQ","BEST_FPERIOD_OVERRIDE=FQ","FILING_STATUS=MR","SCALING_FORMAT=MLN","Sort=A","Dates=H","DateFormat=P","Fill=—","Direction=H","UseDPDF=Y")</f>
        <v>0</v>
      </c>
      <c r="T12" s="13">
        <f>_xll.BDH("SRPT US Equity","IS_RD_EXPENSE_NON_GAAP_ADJ","FQ1 2023","FQ1 2023","Currency=USD","Period=FQ","BEST_FPERIOD_OVERRIDE=FQ","FILING_STATUS=MR","SCALING_FORMAT=MLN","Sort=A","Dates=H","DateFormat=P","Fill=—","Direction=H","UseDPDF=Y")</f>
        <v>0</v>
      </c>
      <c r="U12" s="13">
        <f>_xll.BDH("SRPT US Equity","IS_RD_EXPENSE_NON_GAAP_ADJ","FQ2 2023","FQ2 2023","Currency=USD","Period=FQ","BEST_FPERIOD_OVERRIDE=FQ","FILING_STATUS=MR","SCALING_FORMAT=MLN","Sort=A","Dates=H","DateFormat=P","Fill=—","Direction=H","UseDPDF=Y")</f>
        <v>0</v>
      </c>
      <c r="V12" s="13">
        <f>_xll.BDH("SRPT US Equity","IS_RD_EXPENSE_NON_GAAP_ADJ","FQ3 2023","FQ3 2023","Currency=USD","Period=FQ","BEST_FPERIOD_OVERRIDE=FQ","FILING_STATUS=MR","SCALING_FORMAT=MLN","Sort=A","Dates=H","DateFormat=P","Fill=—","Direction=H","UseDPDF=Y")</f>
        <v>0</v>
      </c>
      <c r="W12" s="13">
        <f>_xll.BDH("SRPT US Equity","IS_RD_EXPENSE_NON_GAAP_ADJ","FQ4 2023","FQ4 2023","Currency=USD","Period=FQ","BEST_FPERIOD_OVERRIDE=FQ","FILING_STATUS=MR","SCALING_FORMAT=MLN","Sort=A","Dates=H","DateFormat=P","Fill=—","Direction=H","UseDPDF=Y")</f>
        <v>0</v>
      </c>
      <c r="X12" s="13">
        <f>_xll.BDH("SRPT US Equity","IS_RD_EXPENSE_NON_GAAP_ADJ","FQ1 2024","FQ1 2024","Currency=USD","Period=FQ","BEST_FPERIOD_OVERRIDE=FQ","FILING_STATUS=MR","SCALING_FORMAT=MLN","Sort=A","Dates=H","DateFormat=P","Fill=—","Direction=H","UseDPDF=Y")</f>
        <v>0</v>
      </c>
      <c r="Y12" s="13">
        <f>_xll.BDH("SRPT US Equity","IS_RD_EXPENSE_NON_GAAP_ADJ","FQ2 2024","FQ2 2024","Currency=USD","Period=FQ","BEST_FPERIOD_OVERRIDE=FQ","FILING_STATUS=MR","SCALING_FORMAT=MLN","Sort=A","Dates=H","DateFormat=P","Fill=—","Direction=H","UseDPDF=Y")</f>
        <v>0</v>
      </c>
      <c r="Z12" s="13">
        <f>_xll.BDH("SRPT US Equity","IS_RD_EXPENSE_NON_GAAP_ADJ","FQ3 2024","FQ3 2024","Currency=USD","Period=FQ","BEST_FPERIOD_OVERRIDE=FQ","FILING_STATUS=MR","SCALING_FORMAT=MLN","Sort=A","Dates=H","DateFormat=P","Fill=—","Direction=H","UseDPDF=Y")</f>
        <v>0</v>
      </c>
      <c r="AA12" s="13">
        <f>_xll.BDH("SRPT US Equity","IS_RD_EXPENSE_NON_GAAP_ADJ","FQ4 2024","FQ4 2024","Currency=USD","Period=FQ","BEST_FPERIOD_OVERRIDE=FQ","FILING_STATUS=MR","SCALING_FORMAT=MLN","Sort=A","Dates=H","DateFormat=P","Fill=—","Direction=H","UseDPDF=Y")</f>
        <v>0</v>
      </c>
    </row>
    <row r="13" spans="1:27" x14ac:dyDescent="0.25">
      <c r="A13" s="10" t="s">
        <v>597</v>
      </c>
      <c r="B13" s="10" t="s">
        <v>598</v>
      </c>
      <c r="C13" s="13">
        <f>_xll.BDH("SRPT US Equity","IS_DA_NON_GAAP_ADJ","FQ4 2018","FQ4 2018","Currency=USD","Period=FQ","BEST_FPERIOD_OVERRIDE=FQ","FILING_STATUS=MR","SCALING_FORMAT=MLN","Sort=A","Dates=H","DateFormat=P","Fill=—","Direction=H","UseDPDF=Y")</f>
        <v>0</v>
      </c>
      <c r="D13" s="13">
        <f>_xll.BDH("SRPT US Equity","IS_DA_NON_GAAP_ADJ","FQ1 2019","FQ1 2019","Currency=USD","Period=FQ","BEST_FPERIOD_OVERRIDE=FQ","FILING_STATUS=MR","SCALING_FORMAT=MLN","Sort=A","Dates=H","DateFormat=P","Fill=—","Direction=H","UseDPDF=Y")</f>
        <v>0</v>
      </c>
      <c r="E13" s="13">
        <f>_xll.BDH("SRPT US Equity","IS_DA_NON_GAAP_ADJ","FQ2 2019","FQ2 2019","Currency=USD","Period=FQ","BEST_FPERIOD_OVERRIDE=FQ","FILING_STATUS=MR","SCALING_FORMAT=MLN","Sort=A","Dates=H","DateFormat=P","Fill=—","Direction=H","UseDPDF=Y")</f>
        <v>0</v>
      </c>
      <c r="F13" s="13">
        <f>_xll.BDH("SRPT US Equity","IS_DA_NON_GAAP_ADJ","FQ3 2019","FQ3 2019","Currency=USD","Period=FQ","BEST_FPERIOD_OVERRIDE=FQ","FILING_STATUS=MR","SCALING_FORMAT=MLN","Sort=A","Dates=H","DateFormat=P","Fill=—","Direction=H","UseDPDF=Y")</f>
        <v>0</v>
      </c>
      <c r="G13" s="13">
        <f>_xll.BDH("SRPT US Equity","IS_DA_NON_GAAP_ADJ","FQ4 2019","FQ4 2019","Currency=USD","Period=FQ","BEST_FPERIOD_OVERRIDE=FQ","FILING_STATUS=MR","SCALING_FORMAT=MLN","Sort=A","Dates=H","DateFormat=P","Fill=—","Direction=H","UseDPDF=Y")</f>
        <v>0</v>
      </c>
      <c r="H13" s="13">
        <f>_xll.BDH("SRPT US Equity","IS_DA_NON_GAAP_ADJ","FQ1 2020","FQ1 2020","Currency=USD","Period=FQ","BEST_FPERIOD_OVERRIDE=FQ","FILING_STATUS=MR","SCALING_FORMAT=MLN","Sort=A","Dates=H","DateFormat=P","Fill=—","Direction=H","UseDPDF=Y")</f>
        <v>0</v>
      </c>
      <c r="I13" s="13">
        <f>_xll.BDH("SRPT US Equity","IS_DA_NON_GAAP_ADJ","FQ2 2020","FQ2 2020","Currency=USD","Period=FQ","BEST_FPERIOD_OVERRIDE=FQ","FILING_STATUS=MR","SCALING_FORMAT=MLN","Sort=A","Dates=H","DateFormat=P","Fill=—","Direction=H","UseDPDF=Y")</f>
        <v>0</v>
      </c>
      <c r="J13" s="13">
        <f>_xll.BDH("SRPT US Equity","IS_DA_NON_GAAP_ADJ","FQ3 2020","FQ3 2020","Currency=USD","Period=FQ","BEST_FPERIOD_OVERRIDE=FQ","FILING_STATUS=MR","SCALING_FORMAT=MLN","Sort=A","Dates=H","DateFormat=P","Fill=—","Direction=H","UseDPDF=Y")</f>
        <v>0</v>
      </c>
      <c r="K13" s="13">
        <f>_xll.BDH("SRPT US Equity","IS_DA_NON_GAAP_ADJ","FQ4 2020","FQ4 2020","Currency=USD","Period=FQ","BEST_FPERIOD_OVERRIDE=FQ","FILING_STATUS=MR","SCALING_FORMAT=MLN","Sort=A","Dates=H","DateFormat=P","Fill=—","Direction=H","UseDPDF=Y")</f>
        <v>0</v>
      </c>
      <c r="L13" s="13">
        <f>_xll.BDH("SRPT US Equity","IS_DA_NON_GAAP_ADJ","FQ1 2021","FQ1 2021","Currency=USD","Period=FQ","BEST_FPERIOD_OVERRIDE=FQ","FILING_STATUS=MR","SCALING_FORMAT=MLN","Sort=A","Dates=H","DateFormat=P","Fill=—","Direction=H","UseDPDF=Y")</f>
        <v>0</v>
      </c>
      <c r="M13" s="13">
        <f>_xll.BDH("SRPT US Equity","IS_DA_NON_GAAP_ADJ","FQ2 2021","FQ2 2021","Currency=USD","Period=FQ","BEST_FPERIOD_OVERRIDE=FQ","FILING_STATUS=MR","SCALING_FORMAT=MLN","Sort=A","Dates=H","DateFormat=P","Fill=—","Direction=H","UseDPDF=Y")</f>
        <v>0</v>
      </c>
      <c r="N13" s="13">
        <f>_xll.BDH("SRPT US Equity","IS_DA_NON_GAAP_ADJ","FQ3 2021","FQ3 2021","Currency=USD","Period=FQ","BEST_FPERIOD_OVERRIDE=FQ","FILING_STATUS=MR","SCALING_FORMAT=MLN","Sort=A","Dates=H","DateFormat=P","Fill=—","Direction=H","UseDPDF=Y")</f>
        <v>0</v>
      </c>
      <c r="O13" s="13">
        <f>_xll.BDH("SRPT US Equity","IS_DA_NON_GAAP_ADJ","FQ4 2021","FQ4 2021","Currency=USD","Period=FQ","BEST_FPERIOD_OVERRIDE=FQ","FILING_STATUS=MR","SCALING_FORMAT=MLN","Sort=A","Dates=H","DateFormat=P","Fill=—","Direction=H","UseDPDF=Y")</f>
        <v>0</v>
      </c>
      <c r="P13" s="13">
        <f>_xll.BDH("SRPT US Equity","IS_DA_NON_GAAP_ADJ","FQ1 2022","FQ1 2022","Currency=USD","Period=FQ","BEST_FPERIOD_OVERRIDE=FQ","FILING_STATUS=MR","SCALING_FORMAT=MLN","Sort=A","Dates=H","DateFormat=P","Fill=—","Direction=H","UseDPDF=Y")</f>
        <v>0</v>
      </c>
      <c r="Q13" s="13">
        <f>_xll.BDH("SRPT US Equity","IS_DA_NON_GAAP_ADJ","FQ2 2022","FQ2 2022","Currency=USD","Period=FQ","BEST_FPERIOD_OVERRIDE=FQ","FILING_STATUS=MR","SCALING_FORMAT=MLN","Sort=A","Dates=H","DateFormat=P","Fill=—","Direction=H","UseDPDF=Y")</f>
        <v>0</v>
      </c>
      <c r="R13" s="13">
        <f>_xll.BDH("SRPT US Equity","IS_DA_NON_GAAP_ADJ","FQ3 2022","FQ3 2022","Currency=USD","Period=FQ","BEST_FPERIOD_OVERRIDE=FQ","FILING_STATUS=MR","SCALING_FORMAT=MLN","Sort=A","Dates=H","DateFormat=P","Fill=—","Direction=H","UseDPDF=Y")</f>
        <v>0</v>
      </c>
      <c r="S13" s="13">
        <f>_xll.BDH("SRPT US Equity","IS_DA_NON_GAAP_ADJ","FQ4 2022","FQ4 2022","Currency=USD","Period=FQ","BEST_FPERIOD_OVERRIDE=FQ","FILING_STATUS=MR","SCALING_FORMAT=MLN","Sort=A","Dates=H","DateFormat=P","Fill=—","Direction=H","UseDPDF=Y")</f>
        <v>0</v>
      </c>
      <c r="T13" s="13">
        <f>_xll.BDH("SRPT US Equity","IS_DA_NON_GAAP_ADJ","FQ1 2023","FQ1 2023","Currency=USD","Period=FQ","BEST_FPERIOD_OVERRIDE=FQ","FILING_STATUS=MR","SCALING_FORMAT=MLN","Sort=A","Dates=H","DateFormat=P","Fill=—","Direction=H","UseDPDF=Y")</f>
        <v>0</v>
      </c>
      <c r="U13" s="13">
        <f>_xll.BDH("SRPT US Equity","IS_DA_NON_GAAP_ADJ","FQ2 2023","FQ2 2023","Currency=USD","Period=FQ","BEST_FPERIOD_OVERRIDE=FQ","FILING_STATUS=MR","SCALING_FORMAT=MLN","Sort=A","Dates=H","DateFormat=P","Fill=—","Direction=H","UseDPDF=Y")</f>
        <v>0</v>
      </c>
      <c r="V13" s="13">
        <f>_xll.BDH("SRPT US Equity","IS_DA_NON_GAAP_ADJ","FQ3 2023","FQ3 2023","Currency=USD","Period=FQ","BEST_FPERIOD_OVERRIDE=FQ","FILING_STATUS=MR","SCALING_FORMAT=MLN","Sort=A","Dates=H","DateFormat=P","Fill=—","Direction=H","UseDPDF=Y")</f>
        <v>0</v>
      </c>
      <c r="W13" s="13">
        <f>_xll.BDH("SRPT US Equity","IS_DA_NON_GAAP_ADJ","FQ4 2023","FQ4 2023","Currency=USD","Period=FQ","BEST_FPERIOD_OVERRIDE=FQ","FILING_STATUS=MR","SCALING_FORMAT=MLN","Sort=A","Dates=H","DateFormat=P","Fill=—","Direction=H","UseDPDF=Y")</f>
        <v>0</v>
      </c>
      <c r="X13" s="13">
        <f>_xll.BDH("SRPT US Equity","IS_DA_NON_GAAP_ADJ","FQ1 2024","FQ1 2024","Currency=USD","Period=FQ","BEST_FPERIOD_OVERRIDE=FQ","FILING_STATUS=MR","SCALING_FORMAT=MLN","Sort=A","Dates=H","DateFormat=P","Fill=—","Direction=H","UseDPDF=Y")</f>
        <v>0</v>
      </c>
      <c r="Y13" s="13">
        <f>_xll.BDH("SRPT US Equity","IS_DA_NON_GAAP_ADJ","FQ2 2024","FQ2 2024","Currency=USD","Period=FQ","BEST_FPERIOD_OVERRIDE=FQ","FILING_STATUS=MR","SCALING_FORMAT=MLN","Sort=A","Dates=H","DateFormat=P","Fill=—","Direction=H","UseDPDF=Y")</f>
        <v>0</v>
      </c>
      <c r="Z13" s="13">
        <f>_xll.BDH("SRPT US Equity","IS_DA_NON_GAAP_ADJ","FQ3 2024","FQ3 2024","Currency=USD","Period=FQ","BEST_FPERIOD_OVERRIDE=FQ","FILING_STATUS=MR","SCALING_FORMAT=MLN","Sort=A","Dates=H","DateFormat=P","Fill=—","Direction=H","UseDPDF=Y")</f>
        <v>0</v>
      </c>
      <c r="AA13" s="13">
        <f>_xll.BDH("SRPT US Equity","IS_DA_NON_GAAP_ADJ","FQ4 2024","FQ4 2024","Currency=USD","Period=FQ","BEST_FPERIOD_OVERRIDE=FQ","FILING_STATUS=MR","SCALING_FORMAT=MLN","Sort=A","Dates=H","DateFormat=P","Fill=—","Direction=H","UseDPDF=Y")</f>
        <v>0</v>
      </c>
    </row>
    <row r="14" spans="1:27" x14ac:dyDescent="0.25">
      <c r="A14" s="10" t="s">
        <v>599</v>
      </c>
      <c r="B14" s="10" t="s">
        <v>600</v>
      </c>
      <c r="C14" s="13">
        <f>_xll.BDH("SRPT US Equity","IS_PDA_NONGAAP_ADJUSTMENTS","FQ4 2018","FQ4 2018","Currency=USD","Period=FQ","BEST_FPERIOD_OVERRIDE=FQ","FILING_STATUS=MR","SCALING_FORMAT=MLN","Sort=A","Dates=H","DateFormat=P","Fill=—","Direction=H","UseDPDF=Y")</f>
        <v>0</v>
      </c>
      <c r="D14" s="13">
        <f>_xll.BDH("SRPT US Equity","IS_PDA_NONGAAP_ADJUSTMENTS","FQ1 2019","FQ1 2019","Currency=USD","Period=FQ","BEST_FPERIOD_OVERRIDE=FQ","FILING_STATUS=MR","SCALING_FORMAT=MLN","Sort=A","Dates=H","DateFormat=P","Fill=—","Direction=H","UseDPDF=Y")</f>
        <v>0</v>
      </c>
      <c r="E14" s="13">
        <f>_xll.BDH("SRPT US Equity","IS_PDA_NONGAAP_ADJUSTMENTS","FQ2 2019","FQ2 2019","Currency=USD","Period=FQ","BEST_FPERIOD_OVERRIDE=FQ","FILING_STATUS=MR","SCALING_FORMAT=MLN","Sort=A","Dates=H","DateFormat=P","Fill=—","Direction=H","UseDPDF=Y")</f>
        <v>0</v>
      </c>
      <c r="F14" s="13">
        <f>_xll.BDH("SRPT US Equity","IS_PDA_NONGAAP_ADJUSTMENTS","FQ3 2019","FQ3 2019","Currency=USD","Period=FQ","BEST_FPERIOD_OVERRIDE=FQ","FILING_STATUS=MR","SCALING_FORMAT=MLN","Sort=A","Dates=H","DateFormat=P","Fill=—","Direction=H","UseDPDF=Y")</f>
        <v>0</v>
      </c>
      <c r="G14" s="13">
        <f>_xll.BDH("SRPT US Equity","IS_PDA_NONGAAP_ADJUSTMENTS","FQ4 2019","FQ4 2019","Currency=USD","Period=FQ","BEST_FPERIOD_OVERRIDE=FQ","FILING_STATUS=MR","SCALING_FORMAT=MLN","Sort=A","Dates=H","DateFormat=P","Fill=—","Direction=H","UseDPDF=Y")</f>
        <v>0</v>
      </c>
      <c r="H14" s="13">
        <f>_xll.BDH("SRPT US Equity","IS_PDA_NONGAAP_ADJUSTMENTS","FQ1 2020","FQ1 2020","Currency=USD","Period=FQ","BEST_FPERIOD_OVERRIDE=FQ","FILING_STATUS=MR","SCALING_FORMAT=MLN","Sort=A","Dates=H","DateFormat=P","Fill=—","Direction=H","UseDPDF=Y")</f>
        <v>0</v>
      </c>
      <c r="I14" s="13">
        <f>_xll.BDH("SRPT US Equity","IS_PDA_NONGAAP_ADJUSTMENTS","FQ2 2020","FQ2 2020","Currency=USD","Period=FQ","BEST_FPERIOD_OVERRIDE=FQ","FILING_STATUS=MR","SCALING_FORMAT=MLN","Sort=A","Dates=H","DateFormat=P","Fill=—","Direction=H","UseDPDF=Y")</f>
        <v>0</v>
      </c>
      <c r="J14" s="13">
        <f>_xll.BDH("SRPT US Equity","IS_PDA_NONGAAP_ADJUSTMENTS","FQ3 2020","FQ3 2020","Currency=USD","Period=FQ","BEST_FPERIOD_OVERRIDE=FQ","FILING_STATUS=MR","SCALING_FORMAT=MLN","Sort=A","Dates=H","DateFormat=P","Fill=—","Direction=H","UseDPDF=Y")</f>
        <v>0</v>
      </c>
      <c r="K14" s="13">
        <f>_xll.BDH("SRPT US Equity","IS_PDA_NONGAAP_ADJUSTMENTS","FQ4 2020","FQ4 2020","Currency=USD","Period=FQ","BEST_FPERIOD_OVERRIDE=FQ","FILING_STATUS=MR","SCALING_FORMAT=MLN","Sort=A","Dates=H","DateFormat=P","Fill=—","Direction=H","UseDPDF=Y")</f>
        <v>0</v>
      </c>
      <c r="L14" s="13">
        <f>_xll.BDH("SRPT US Equity","IS_PDA_NONGAAP_ADJUSTMENTS","FQ1 2021","FQ1 2021","Currency=USD","Period=FQ","BEST_FPERIOD_OVERRIDE=FQ","FILING_STATUS=MR","SCALING_FORMAT=MLN","Sort=A","Dates=H","DateFormat=P","Fill=—","Direction=H","UseDPDF=Y")</f>
        <v>0</v>
      </c>
      <c r="M14" s="13">
        <f>_xll.BDH("SRPT US Equity","IS_PDA_NONGAAP_ADJUSTMENTS","FQ2 2021","FQ2 2021","Currency=USD","Period=FQ","BEST_FPERIOD_OVERRIDE=FQ","FILING_STATUS=MR","SCALING_FORMAT=MLN","Sort=A","Dates=H","DateFormat=P","Fill=—","Direction=H","UseDPDF=Y")</f>
        <v>0</v>
      </c>
      <c r="N14" s="13">
        <f>_xll.BDH("SRPT US Equity","IS_PDA_NONGAAP_ADJUSTMENTS","FQ3 2021","FQ3 2021","Currency=USD","Period=FQ","BEST_FPERIOD_OVERRIDE=FQ","FILING_STATUS=MR","SCALING_FORMAT=MLN","Sort=A","Dates=H","DateFormat=P","Fill=—","Direction=H","UseDPDF=Y")</f>
        <v>0</v>
      </c>
      <c r="O14" s="13">
        <f>_xll.BDH("SRPT US Equity","IS_PDA_NONGAAP_ADJUSTMENTS","FQ4 2021","FQ4 2021","Currency=USD","Period=FQ","BEST_FPERIOD_OVERRIDE=FQ","FILING_STATUS=MR","SCALING_FORMAT=MLN","Sort=A","Dates=H","DateFormat=P","Fill=—","Direction=H","UseDPDF=Y")</f>
        <v>0</v>
      </c>
      <c r="P14" s="13">
        <f>_xll.BDH("SRPT US Equity","IS_PDA_NONGAAP_ADJUSTMENTS","FQ1 2022","FQ1 2022","Currency=USD","Period=FQ","BEST_FPERIOD_OVERRIDE=FQ","FILING_STATUS=MR","SCALING_FORMAT=MLN","Sort=A","Dates=H","DateFormat=P","Fill=—","Direction=H","UseDPDF=Y")</f>
        <v>0</v>
      </c>
      <c r="Q14" s="13">
        <f>_xll.BDH("SRPT US Equity","IS_PDA_NONGAAP_ADJUSTMENTS","FQ2 2022","FQ2 2022","Currency=USD","Period=FQ","BEST_FPERIOD_OVERRIDE=FQ","FILING_STATUS=MR","SCALING_FORMAT=MLN","Sort=A","Dates=H","DateFormat=P","Fill=—","Direction=H","UseDPDF=Y")</f>
        <v>0</v>
      </c>
      <c r="R14" s="13">
        <f>_xll.BDH("SRPT US Equity","IS_PDA_NONGAAP_ADJUSTMENTS","FQ3 2022","FQ3 2022","Currency=USD","Period=FQ","BEST_FPERIOD_OVERRIDE=FQ","FILING_STATUS=MR","SCALING_FORMAT=MLN","Sort=A","Dates=H","DateFormat=P","Fill=—","Direction=H","UseDPDF=Y")</f>
        <v>0</v>
      </c>
      <c r="S14" s="13">
        <f>_xll.BDH("SRPT US Equity","IS_PDA_NONGAAP_ADJUSTMENTS","FQ4 2022","FQ4 2022","Currency=USD","Period=FQ","BEST_FPERIOD_OVERRIDE=FQ","FILING_STATUS=MR","SCALING_FORMAT=MLN","Sort=A","Dates=H","DateFormat=P","Fill=—","Direction=H","UseDPDF=Y")</f>
        <v>0</v>
      </c>
      <c r="T14" s="13">
        <f>_xll.BDH("SRPT US Equity","IS_PDA_NONGAAP_ADJUSTMENTS","FQ1 2023","FQ1 2023","Currency=USD","Period=FQ","BEST_FPERIOD_OVERRIDE=FQ","FILING_STATUS=MR","SCALING_FORMAT=MLN","Sort=A","Dates=H","DateFormat=P","Fill=—","Direction=H","UseDPDF=Y")</f>
        <v>0</v>
      </c>
      <c r="U14" s="13">
        <f>_xll.BDH("SRPT US Equity","IS_PDA_NONGAAP_ADJUSTMENTS","FQ2 2023","FQ2 2023","Currency=USD","Period=FQ","BEST_FPERIOD_OVERRIDE=FQ","FILING_STATUS=MR","SCALING_FORMAT=MLN","Sort=A","Dates=H","DateFormat=P","Fill=—","Direction=H","UseDPDF=Y")</f>
        <v>0</v>
      </c>
      <c r="V14" s="13">
        <f>_xll.BDH("SRPT US Equity","IS_PDA_NONGAAP_ADJUSTMENTS","FQ3 2023","FQ3 2023","Currency=USD","Period=FQ","BEST_FPERIOD_OVERRIDE=FQ","FILING_STATUS=MR","SCALING_FORMAT=MLN","Sort=A","Dates=H","DateFormat=P","Fill=—","Direction=H","UseDPDF=Y")</f>
        <v>0</v>
      </c>
      <c r="W14" s="13">
        <f>_xll.BDH("SRPT US Equity","IS_PDA_NONGAAP_ADJUSTMENTS","FQ4 2023","FQ4 2023","Currency=USD","Period=FQ","BEST_FPERIOD_OVERRIDE=FQ","FILING_STATUS=MR","SCALING_FORMAT=MLN","Sort=A","Dates=H","DateFormat=P","Fill=—","Direction=H","UseDPDF=Y")</f>
        <v>0</v>
      </c>
      <c r="X14" s="13">
        <f>_xll.BDH("SRPT US Equity","IS_PDA_NONGAAP_ADJUSTMENTS","FQ1 2024","FQ1 2024","Currency=USD","Period=FQ","BEST_FPERIOD_OVERRIDE=FQ","FILING_STATUS=MR","SCALING_FORMAT=MLN","Sort=A","Dates=H","DateFormat=P","Fill=—","Direction=H","UseDPDF=Y")</f>
        <v>0</v>
      </c>
      <c r="Y14" s="13">
        <f>_xll.BDH("SRPT US Equity","IS_PDA_NONGAAP_ADJUSTMENTS","FQ2 2024","FQ2 2024","Currency=USD","Period=FQ","BEST_FPERIOD_OVERRIDE=FQ","FILING_STATUS=MR","SCALING_FORMAT=MLN","Sort=A","Dates=H","DateFormat=P","Fill=—","Direction=H","UseDPDF=Y")</f>
        <v>0</v>
      </c>
      <c r="Z14" s="13">
        <f>_xll.BDH("SRPT US Equity","IS_PDA_NONGAAP_ADJUSTMENTS","FQ3 2024","FQ3 2024","Currency=USD","Period=FQ","BEST_FPERIOD_OVERRIDE=FQ","FILING_STATUS=MR","SCALING_FORMAT=MLN","Sort=A","Dates=H","DateFormat=P","Fill=—","Direction=H","UseDPDF=Y")</f>
        <v>0</v>
      </c>
      <c r="AA14" s="13">
        <f>_xll.BDH("SRPT US Equity","IS_PDA_NONGAAP_ADJUSTMENTS","FQ4 2024","FQ4 2024","Currency=USD","Period=FQ","BEST_FPERIOD_OVERRIDE=FQ","FILING_STATUS=MR","SCALING_FORMAT=MLN","Sort=A","Dates=H","DateFormat=P","Fill=—","Direction=H","UseDPDF=Y")</f>
        <v>0</v>
      </c>
    </row>
    <row r="15" spans="1:27" x14ac:dyDescent="0.25">
      <c r="A15" s="10" t="s">
        <v>601</v>
      </c>
      <c r="B15" s="10" t="s">
        <v>602</v>
      </c>
      <c r="C15" s="13">
        <f>_xll.BDH("SRPT US Equity","IS_OTHER_OPERATING_EXPN_ADJUST","FQ4 2018","FQ4 2018","Currency=USD","Period=FQ","BEST_FPERIOD_OVERRIDE=FQ","FILING_STATUS=MR","SCALING_FORMAT=MLN","Sort=A","Dates=H","DateFormat=P","Fill=—","Direction=H","UseDPDF=Y")</f>
        <v>3.8439999999999999</v>
      </c>
      <c r="D15" s="13">
        <f>_xll.BDH("SRPT US Equity","IS_OTHER_OPERATING_EXPN_ADJUST","FQ1 2019","FQ1 2019","Currency=USD","Period=FQ","BEST_FPERIOD_OVERRIDE=FQ","FILING_STATUS=MR","SCALING_FORMAT=MLN","Sort=A","Dates=H","DateFormat=P","Fill=—","Direction=H","UseDPDF=Y")</f>
        <v>1.21</v>
      </c>
      <c r="E15" s="13">
        <f>_xll.BDH("SRPT US Equity","IS_OTHER_OPERATING_EXPN_ADJUST","FQ2 2019","FQ2 2019","Currency=USD","Period=FQ","BEST_FPERIOD_OVERRIDE=FQ","FILING_STATUS=MR","SCALING_FORMAT=MLN","Sort=A","Dates=H","DateFormat=P","Fill=—","Direction=H","UseDPDF=Y")</f>
        <v>188.31800000000001</v>
      </c>
      <c r="F15" s="13">
        <f>_xll.BDH("SRPT US Equity","IS_OTHER_OPERATING_EXPN_ADJUST","FQ3 2019","FQ3 2019","Currency=USD","Period=FQ","BEST_FPERIOD_OVERRIDE=FQ","FILING_STATUS=MR","SCALING_FORMAT=MLN","Sort=A","Dates=H","DateFormat=P","Fill=—","Direction=H","UseDPDF=Y")</f>
        <v>0</v>
      </c>
      <c r="G15" s="13">
        <f>_xll.BDH("SRPT US Equity","IS_OTHER_OPERATING_EXPN_ADJUST","FQ4 2019","FQ4 2019","Currency=USD","Period=FQ","BEST_FPERIOD_OVERRIDE=FQ","FILING_STATUS=MR","SCALING_FORMAT=MLN","Sort=A","Dates=H","DateFormat=P","Fill=—","Direction=H","UseDPDF=Y")</f>
        <v>84.816000000000003</v>
      </c>
      <c r="H15" s="13">
        <f>_xll.BDH("SRPT US Equity","IS_OTHER_OPERATING_EXPN_ADJUST","FQ1 2020","FQ1 2020","Currency=USD","Period=FQ","BEST_FPERIOD_OVERRIDE=FQ","FILING_STATUS=MR","SCALING_FORMAT=MLN","Sort=A","Dates=H","DateFormat=P","Fill=—","Direction=H","UseDPDF=Y")</f>
        <v>11.292</v>
      </c>
      <c r="I15" s="13">
        <f>_xll.BDH("SRPT US Equity","IS_OTHER_OPERATING_EXPN_ADJUST","FQ2 2020","FQ2 2020","Currency=USD","Period=FQ","BEST_FPERIOD_OVERRIDE=FQ","FILING_STATUS=MR","SCALING_FORMAT=MLN","Sort=A","Dates=H","DateFormat=P","Fill=—","Direction=H","UseDPDF=Y")</f>
        <v>0</v>
      </c>
      <c r="J15" s="13">
        <f>_xll.BDH("SRPT US Equity","IS_OTHER_OPERATING_EXPN_ADJUST","FQ3 2020","FQ3 2020","Currency=USD","Period=FQ","BEST_FPERIOD_OVERRIDE=FQ","FILING_STATUS=MR","SCALING_FORMAT=MLN","Sort=A","Dates=H","DateFormat=P","Fill=—","Direction=H","UseDPDF=Y")</f>
        <v>15.375</v>
      </c>
      <c r="K15" s="13">
        <f>_xll.BDH("SRPT US Equity","IS_OTHER_OPERATING_EXPN_ADJUST","FQ4 2020","FQ4 2020","Currency=USD","Period=FQ","BEST_FPERIOD_OVERRIDE=FQ","FILING_STATUS=MR","SCALING_FORMAT=MLN","Sort=A","Dates=H","DateFormat=P","Fill=—","Direction=H","UseDPDF=Y")</f>
        <v>10.622</v>
      </c>
      <c r="L15" s="13">
        <f>_xll.BDH("SRPT US Equity","IS_OTHER_OPERATING_EXPN_ADJUST","FQ1 2021","FQ1 2021","Currency=USD","Period=FQ","BEST_FPERIOD_OVERRIDE=FQ","FILING_STATUS=MR","SCALING_FORMAT=MLN","Sort=A","Dates=H","DateFormat=P","Fill=—","Direction=H","UseDPDF=Y")</f>
        <v>14</v>
      </c>
      <c r="M15" s="13">
        <f>_xll.BDH("SRPT US Equity","IS_OTHER_OPERATING_EXPN_ADJUST","FQ2 2021","FQ2 2021","Currency=USD","Period=FQ","BEST_FPERIOD_OVERRIDE=FQ","FILING_STATUS=MR","SCALING_FORMAT=MLN","Sort=A","Dates=H","DateFormat=P","Fill=—","Direction=H","UseDPDF=Y")</f>
        <v>-70.322999999999993</v>
      </c>
      <c r="N15" s="13">
        <f>_xll.BDH("SRPT US Equity","IS_OTHER_OPERATING_EXPN_ADJUST","FQ3 2021","FQ3 2021","Currency=USD","Period=FQ","BEST_FPERIOD_OVERRIDE=FQ","FILING_STATUS=MR","SCALING_FORMAT=MLN","Sort=A","Dates=H","DateFormat=P","Fill=—","Direction=H","UseDPDF=Y")</f>
        <v>0</v>
      </c>
      <c r="O15" s="13">
        <f>_xll.BDH("SRPT US Equity","IS_OTHER_OPERATING_EXPN_ADJUST","FQ4 2021","FQ4 2021","Currency=USD","Period=FQ","BEST_FPERIOD_OVERRIDE=FQ","FILING_STATUS=MR","SCALING_FORMAT=MLN","Sort=A","Dates=H","DateFormat=P","Fill=—","Direction=H","UseDPDF=Y")</f>
        <v>0</v>
      </c>
      <c r="P15" s="13">
        <f>_xll.BDH("SRPT US Equity","IS_OTHER_OPERATING_EXPN_ADJUST","FQ1 2022","FQ1 2022","Currency=USD","Period=FQ","BEST_FPERIOD_OVERRIDE=FQ","FILING_STATUS=MR","SCALING_FORMAT=MLN","Sort=A","Dates=H","DateFormat=P","Fill=—","Direction=H","UseDPDF=Y")</f>
        <v>0</v>
      </c>
      <c r="Q15" s="13">
        <f>_xll.BDH("SRPT US Equity","IS_OTHER_OPERATING_EXPN_ADJUST","FQ2 2022","FQ2 2022","Currency=USD","Period=FQ","BEST_FPERIOD_OVERRIDE=FQ","FILING_STATUS=MR","SCALING_FORMAT=MLN","Sort=A","Dates=H","DateFormat=P","Fill=—","Direction=H","UseDPDF=Y")</f>
        <v>0</v>
      </c>
      <c r="R15" s="13">
        <f>_xll.BDH("SRPT US Equity","IS_OTHER_OPERATING_EXPN_ADJUST","FQ3 2022","FQ3 2022","Currency=USD","Period=FQ","BEST_FPERIOD_OVERRIDE=FQ","FILING_STATUS=MR","SCALING_FORMAT=MLN","Sort=A","Dates=H","DateFormat=P","Fill=—","Direction=H","UseDPDF=Y")</f>
        <v>0</v>
      </c>
      <c r="S15" s="13">
        <f>_xll.BDH("SRPT US Equity","IS_OTHER_OPERATING_EXPN_ADJUST","FQ4 2022","FQ4 2022","Currency=USD","Period=FQ","BEST_FPERIOD_OVERRIDE=FQ","FILING_STATUS=MR","SCALING_FORMAT=MLN","Sort=A","Dates=H","DateFormat=P","Fill=—","Direction=H","UseDPDF=Y")</f>
        <v>0</v>
      </c>
      <c r="T15" s="13">
        <f>_xll.BDH("SRPT US Equity","IS_OTHER_OPERATING_EXPN_ADJUST","FQ1 2023","FQ1 2023","Currency=USD","Period=FQ","BEST_FPERIOD_OVERRIDE=FQ","FILING_STATUS=MR","SCALING_FORMAT=MLN","Sort=A","Dates=H","DateFormat=P","Fill=—","Direction=H","UseDPDF=Y")</f>
        <v>0</v>
      </c>
      <c r="U15" s="13">
        <f>_xll.BDH("SRPT US Equity","IS_OTHER_OPERATING_EXPN_ADJUST","FQ2 2023","FQ2 2023","Currency=USD","Period=FQ","BEST_FPERIOD_OVERRIDE=FQ","FILING_STATUS=MR","SCALING_FORMAT=MLN","Sort=A","Dates=H","DateFormat=P","Fill=—","Direction=H","UseDPDF=Y")</f>
        <v>0</v>
      </c>
      <c r="V15" s="13">
        <f>_xll.BDH("SRPT US Equity","IS_OTHER_OPERATING_EXPN_ADJUST","FQ3 2023","FQ3 2023","Currency=USD","Period=FQ","BEST_FPERIOD_OVERRIDE=FQ","FILING_STATUS=MR","SCALING_FORMAT=MLN","Sort=A","Dates=H","DateFormat=P","Fill=—","Direction=H","UseDPDF=Y")</f>
        <v>0</v>
      </c>
      <c r="W15" s="13">
        <f>_xll.BDH("SRPT US Equity","IS_OTHER_OPERATING_EXPN_ADJUST","FQ4 2023","FQ4 2023","Currency=USD","Period=FQ","BEST_FPERIOD_OVERRIDE=FQ","FILING_STATUS=MR","SCALING_FORMAT=MLN","Sort=A","Dates=H","DateFormat=P","Fill=—","Direction=H","UseDPDF=Y")</f>
        <v>0</v>
      </c>
      <c r="X15" s="13">
        <f>_xll.BDH("SRPT US Equity","IS_OTHER_OPERATING_EXPN_ADJUST","FQ1 2024","FQ1 2024","Currency=USD","Period=FQ","BEST_FPERIOD_OVERRIDE=FQ","FILING_STATUS=MR","SCALING_FORMAT=MLN","Sort=A","Dates=H","DateFormat=P","Fill=—","Direction=H","UseDPDF=Y")</f>
        <v>0</v>
      </c>
      <c r="Y15" s="13">
        <f>_xll.BDH("SRPT US Equity","IS_OTHER_OPERATING_EXPN_ADJUST","FQ2 2024","FQ2 2024","Currency=USD","Period=FQ","BEST_FPERIOD_OVERRIDE=FQ","FILING_STATUS=MR","SCALING_FORMAT=MLN","Sort=A","Dates=H","DateFormat=P","Fill=—","Direction=H","UseDPDF=Y")</f>
        <v>0</v>
      </c>
      <c r="Z15" s="13">
        <f>_xll.BDH("SRPT US Equity","IS_OTHER_OPERATING_EXPN_ADJUST","FQ3 2024","FQ3 2024","Currency=USD","Period=FQ","BEST_FPERIOD_OVERRIDE=FQ","FILING_STATUS=MR","SCALING_FORMAT=MLN","Sort=A","Dates=H","DateFormat=P","Fill=—","Direction=H","UseDPDF=Y")</f>
        <v>0</v>
      </c>
      <c r="AA15" s="13">
        <f>_xll.BDH("SRPT US Equity","IS_OTHER_OPERATING_EXPN_ADJUST","FQ4 2024","FQ4 2024","Currency=USD","Period=FQ","BEST_FPERIOD_OVERRIDE=FQ","FILING_STATUS=MR","SCALING_FORMAT=MLN","Sort=A","Dates=H","DateFormat=P","Fill=—","Direction=H","UseDPDF=Y")</f>
        <v>0</v>
      </c>
    </row>
    <row r="16" spans="1:27" x14ac:dyDescent="0.25">
      <c r="A16" s="6" t="s">
        <v>603</v>
      </c>
      <c r="B16" s="6" t="s">
        <v>99</v>
      </c>
      <c r="C16" s="19">
        <f>_xll.BDH("SRPT US Equity","IS_OPER_INC","FQ4 2018","FQ4 2018","Currency=USD","Period=FQ","BEST_FPERIOD_OVERRIDE=FQ","FILING_STATUS=MR","SCALING_FORMAT=MLN","FA_ADJUSTED=Adjusted","Sort=A","Dates=H","DateFormat=P","Fill=—","Direction=H","UseDPDF=Y")</f>
        <v>-135.51900000000001</v>
      </c>
      <c r="D16" s="19">
        <f>_xll.BDH("SRPT US Equity","IS_OPER_INC","FQ1 2019","FQ1 2019","Currency=USD","Period=FQ","BEST_FPERIOD_OVERRIDE=FQ","FILING_STATUS=MR","SCALING_FORMAT=MLN","FA_ADJUSTED=Adjusted","Sort=A","Dates=H","DateFormat=P","Fill=—","Direction=H","UseDPDF=Y")</f>
        <v>-75.177000000000007</v>
      </c>
      <c r="E16" s="19">
        <f>_xll.BDH("SRPT US Equity","IS_OPER_INC","FQ2 2019","FQ2 2019","Currency=USD","Period=FQ","BEST_FPERIOD_OVERRIDE=FQ","FILING_STATUS=MR","SCALING_FORMAT=MLN","FA_ADJUSTED=Adjusted","Sort=A","Dates=H","DateFormat=P","Fill=—","Direction=H","UseDPDF=Y")</f>
        <v>-87.049000000000007</v>
      </c>
      <c r="F16" s="19">
        <f>_xll.BDH("SRPT US Equity","IS_OPER_INC","FQ3 2019","FQ3 2019","Currency=USD","Period=FQ","BEST_FPERIOD_OVERRIDE=FQ","FILING_STATUS=MR","SCALING_FORMAT=MLN","FA_ADJUSTED=Adjusted","Sort=A","Dates=H","DateFormat=P","Fill=—","Direction=H","UseDPDF=Y")</f>
        <v>-111.444</v>
      </c>
      <c r="G16" s="19">
        <f>_xll.BDH("SRPT US Equity","IS_OPER_INC","FQ4 2019","FQ4 2019","Currency=USD","Period=FQ","BEST_FPERIOD_OVERRIDE=FQ","FILING_STATUS=MR","SCALING_FORMAT=MLN","FA_ADJUSTED=Adjusted","Sort=A","Dates=H","DateFormat=P","Fill=—","Direction=H","UseDPDF=Y")</f>
        <v>-145.40299999999999</v>
      </c>
      <c r="H16" s="19">
        <f>_xll.BDH("SRPT US Equity","IS_OPER_INC","FQ1 2020","FQ1 2020","Currency=USD","Period=FQ","BEST_FPERIOD_OVERRIDE=FQ","FILING_STATUS=MR","SCALING_FORMAT=MLN","FA_ADJUSTED=Adjusted","Sort=A","Dates=H","DateFormat=P","Fill=—","Direction=H","UseDPDF=Y")</f>
        <v>-106.73399999999999</v>
      </c>
      <c r="I16" s="19">
        <f>_xll.BDH("SRPT US Equity","IS_OPER_INC","FQ2 2020","FQ2 2020","Currency=USD","Period=FQ","BEST_FPERIOD_OVERRIDE=FQ","FILING_STATUS=MR","SCALING_FORMAT=MLN","FA_ADJUSTED=Adjusted","Sort=A","Dates=H","DateFormat=P","Fill=—","Direction=H","UseDPDF=Y")</f>
        <v>-138.35300000000001</v>
      </c>
      <c r="J16" s="19">
        <f>_xll.BDH("SRPT US Equity","IS_OPER_INC","FQ3 2020","FQ3 2020","Currency=USD","Period=FQ","BEST_FPERIOD_OVERRIDE=FQ","FILING_STATUS=MR","SCALING_FORMAT=MLN","FA_ADJUSTED=Adjusted","Sort=A","Dates=H","DateFormat=P","Fill=—","Direction=H","UseDPDF=Y")</f>
        <v>-121.693</v>
      </c>
      <c r="K16" s="19">
        <f>_xll.BDH("SRPT US Equity","IS_OPER_INC","FQ4 2020","FQ4 2020","Currency=USD","Period=FQ","BEST_FPERIOD_OVERRIDE=FQ","FILING_STATUS=MR","SCALING_FORMAT=MLN","FA_ADJUSTED=Adjusted","Sort=A","Dates=H","DateFormat=P","Fill=—","Direction=H","UseDPDF=Y")</f>
        <v>-160.09399999999999</v>
      </c>
      <c r="L16" s="19">
        <f>_xll.BDH("SRPT US Equity","IS_OPER_INC","FQ1 2021","FQ1 2021","Currency=USD","Period=FQ","BEST_FPERIOD_OVERRIDE=FQ","FILING_STATUS=MR","SCALING_FORMAT=MLN","FA_ADJUSTED=Adjusted","Sort=A","Dates=H","DateFormat=P","Fill=—","Direction=H","UseDPDF=Y")</f>
        <v>-137.86500000000001</v>
      </c>
      <c r="M16" s="19">
        <f>_xll.BDH("SRPT US Equity","IS_OPER_INC","FQ2 2021","FQ2 2021","Currency=USD","Period=FQ","BEST_FPERIOD_OVERRIDE=FQ","FILING_STATUS=MR","SCALING_FORMAT=MLN","FA_ADJUSTED=Adjusted","Sort=A","Dates=H","DateFormat=P","Fill=—","Direction=H","UseDPDF=Y")</f>
        <v>-237.89699999999999</v>
      </c>
      <c r="N16" s="19">
        <f>_xll.BDH("SRPT US Equity","IS_OPER_INC","FQ3 2021","FQ3 2021","Currency=USD","Period=FQ","BEST_FPERIOD_OVERRIDE=FQ","FILING_STATUS=MR","SCALING_FORMAT=MLN","FA_ADJUSTED=Adjusted","Sort=A","Dates=H","DateFormat=P","Fill=—","Direction=H","UseDPDF=Y")</f>
        <v>-34.457999999999998</v>
      </c>
      <c r="O16" s="19">
        <f>_xll.BDH("SRPT US Equity","IS_OPER_INC","FQ4 2021","FQ4 2021","Currency=USD","Period=FQ","BEST_FPERIOD_OVERRIDE=FQ","FILING_STATUS=MR","SCALING_FORMAT=MLN","FA_ADJUSTED=Adjusted","Sort=A","Dates=H","DateFormat=P","Fill=—","Direction=H","UseDPDF=Y")</f>
        <v>-105.813</v>
      </c>
      <c r="P16" s="19">
        <f>_xll.BDH("SRPT US Equity","IS_OPER_INC","FQ1 2022","FQ1 2022","Currency=USD","Period=FQ","BEST_FPERIOD_OVERRIDE=FQ","FILING_STATUS=MR","SCALING_FORMAT=MLN","FA_ADJUSTED=Adjusted","Sort=A","Dates=H","DateFormat=P","Fill=—","Direction=H","UseDPDF=Y")</f>
        <v>-86.881</v>
      </c>
      <c r="Q16" s="19">
        <f>_xll.BDH("SRPT US Equity","IS_OPER_INC","FQ2 2022","FQ2 2022","Currency=USD","Period=FQ","BEST_FPERIOD_OVERRIDE=FQ","FILING_STATUS=MR","SCALING_FORMAT=MLN","FA_ADJUSTED=Adjusted","Sort=A","Dates=H","DateFormat=P","Fill=—","Direction=H","UseDPDF=Y")</f>
        <v>-211.13200000000001</v>
      </c>
      <c r="R16" s="19">
        <f>_xll.BDH("SRPT US Equity","IS_OPER_INC","FQ3 2022","FQ3 2022","Currency=USD","Period=FQ","BEST_FPERIOD_OVERRIDE=FQ","FILING_STATUS=MR","SCALING_FORMAT=MLN","FA_ADJUSTED=Adjusted","Sort=A","Dates=H","DateFormat=P","Fill=—","Direction=H","UseDPDF=Y")</f>
        <v>-131.35499999999999</v>
      </c>
      <c r="S16" s="19">
        <f>_xll.BDH("SRPT US Equity","IS_OPER_INC","FQ4 2022","FQ4 2022","Currency=USD","Period=FQ","BEST_FPERIOD_OVERRIDE=FQ","FILING_STATUS=MR","SCALING_FORMAT=MLN","FA_ADJUSTED=Adjusted","Sort=A","Dates=H","DateFormat=P","Fill=—","Direction=H","UseDPDF=Y")</f>
        <v>-106.833</v>
      </c>
      <c r="T16" s="19">
        <f>_xll.BDH("SRPT US Equity","IS_OPER_INC","FQ1 2023","FQ1 2023","Currency=USD","Period=FQ","BEST_FPERIOD_OVERRIDE=FQ","FILING_STATUS=MR","SCALING_FORMAT=MLN","FA_ADJUSTED=Adjusted","Sort=A","Dates=H","DateFormat=P","Fill=—","Direction=H","UseDPDF=Y")</f>
        <v>-138.08799999999999</v>
      </c>
      <c r="U16" s="19">
        <f>_xll.BDH("SRPT US Equity","IS_OPER_INC","FQ2 2023","FQ2 2023","Currency=USD","Period=FQ","BEST_FPERIOD_OVERRIDE=FQ","FILING_STATUS=MR","SCALING_FORMAT=MLN","FA_ADJUSTED=Adjusted","Sort=A","Dates=H","DateFormat=P","Fill=—","Direction=H","UseDPDF=Y")</f>
        <v>-133.51900000000001</v>
      </c>
      <c r="V16" s="19">
        <f>_xll.BDH("SRPT US Equity","IS_OPER_INC","FQ3 2023","FQ3 2023","Currency=USD","Period=FQ","BEST_FPERIOD_OVERRIDE=FQ","FILING_STATUS=MR","SCALING_FORMAT=MLN","FA_ADJUSTED=Adjusted","Sort=A","Dates=H","DateFormat=P","Fill=—","Direction=H","UseDPDF=Y")</f>
        <v>-20.841999999999999</v>
      </c>
      <c r="W16" s="19">
        <f>_xll.BDH("SRPT US Equity","IS_OPER_INC","FQ4 2023","FQ4 2023","Currency=USD","Period=FQ","BEST_FPERIOD_OVERRIDE=FQ","FILING_STATUS=MR","SCALING_FORMAT=MLN","FA_ADJUSTED=Adjusted","Sort=A","Dates=H","DateFormat=P","Fill=—","Direction=H","UseDPDF=Y")</f>
        <v>24.625</v>
      </c>
      <c r="X16" s="19">
        <f>_xll.BDH("SRPT US Equity","IS_OPER_INC","FQ1 2024","FQ1 2024","Currency=USD","Period=FQ","BEST_FPERIOD_OVERRIDE=FQ","FILING_STATUS=MR","SCALING_FORMAT=MLN","FA_ADJUSTED=Adjusted","Sort=A","Dates=H","DateFormat=P","Fill=—","Direction=H","UseDPDF=Y")</f>
        <v>34.905000000000001</v>
      </c>
      <c r="Y16" s="19">
        <f>_xll.BDH("SRPT US Equity","IS_OPER_INC","FQ2 2024","FQ2 2024","Currency=USD","Period=FQ","BEST_FPERIOD_OVERRIDE=FQ","FILING_STATUS=MR","SCALING_FORMAT=MLN","FA_ADJUSTED=Adjusted","Sort=A","Dates=H","DateFormat=P","Fill=—","Direction=H","UseDPDF=Y")</f>
        <v>-0.70099999999999996</v>
      </c>
      <c r="Z16" s="19">
        <f>_xll.BDH("SRPT US Equity","IS_OPER_INC","FQ3 2024","FQ3 2024","Currency=USD","Period=FQ","BEST_FPERIOD_OVERRIDE=FQ","FILING_STATUS=MR","SCALING_FORMAT=MLN","FA_ADJUSTED=Adjusted","Sort=A","Dates=H","DateFormat=P","Fill=—","Direction=H","UseDPDF=Y")</f>
        <v>22.196000000000002</v>
      </c>
      <c r="AA16" s="19">
        <f>_xll.BDH("SRPT US Equity","IS_OPER_INC","FQ4 2024","FQ4 2024","Currency=USD","Period=FQ","BEST_FPERIOD_OVERRIDE=FQ","FILING_STATUS=MR","SCALING_FORMAT=MLN","FA_ADJUSTED=Adjusted","Sort=A","Dates=H","DateFormat=P","Fill=—","Direction=H","UseDPDF=Y")</f>
        <v>161.68100000000001</v>
      </c>
    </row>
    <row r="17" spans="1:27" x14ac:dyDescent="0.25">
      <c r="A17" s="10" t="s">
        <v>604</v>
      </c>
      <c r="B17" s="10" t="s">
        <v>605</v>
      </c>
      <c r="C17" s="13">
        <f>_xll.BDH("SRPT US Equity","ADJUSTED_DA_EXPENSES","FQ4 2018","FQ4 2018","Currency=USD","Period=FQ","BEST_FPERIOD_OVERRIDE=FQ","FILING_STATUS=MR","SCALING_FORMAT=MLN","Sort=A","Dates=H","DateFormat=P","Fill=—","Direction=H","UseDPDF=Y")</f>
        <v>3.5270000000000001</v>
      </c>
      <c r="D17" s="13">
        <f>_xll.BDH("SRPT US Equity","ADJUSTED_DA_EXPENSES","FQ1 2019","FQ1 2019","Currency=USD","Period=FQ","BEST_FPERIOD_OVERRIDE=FQ","FILING_STATUS=MR","SCALING_FORMAT=MLN","Sort=A","Dates=H","DateFormat=P","Fill=—","Direction=H","UseDPDF=Y")</f>
        <v>6.37</v>
      </c>
      <c r="E17" s="13">
        <f>_xll.BDH("SRPT US Equity","ADJUSTED_DA_EXPENSES","FQ2 2019","FQ2 2019","Currency=USD","Period=FQ","BEST_FPERIOD_OVERRIDE=FQ","FILING_STATUS=MR","SCALING_FORMAT=MLN","Sort=A","Dates=H","DateFormat=P","Fill=—","Direction=H","UseDPDF=Y")</f>
        <v>7.694</v>
      </c>
      <c r="F17" s="13">
        <f>_xll.BDH("SRPT US Equity","ADJUSTED_DA_EXPENSES","FQ3 2019","FQ3 2019","Currency=USD","Period=FQ","BEST_FPERIOD_OVERRIDE=FQ","FILING_STATUS=MR","SCALING_FORMAT=MLN","Sort=A","Dates=H","DateFormat=P","Fill=—","Direction=H","UseDPDF=Y")</f>
        <v>8.2769999999999992</v>
      </c>
      <c r="G17" s="13">
        <f>_xll.BDH("SRPT US Equity","ADJUSTED_DA_EXPENSES","FQ4 2019","FQ4 2019","Currency=USD","Period=FQ","BEST_FPERIOD_OVERRIDE=FQ","FILING_STATUS=MR","SCALING_FORMAT=MLN","Sort=A","Dates=H","DateFormat=P","Fill=—","Direction=H","UseDPDF=Y")</f>
        <v>8.2059999999999995</v>
      </c>
      <c r="H17" s="13">
        <f>_xll.BDH("SRPT US Equity","ADJUSTED_DA_EXPENSES","FQ1 2020","FQ1 2020","Currency=USD","Period=FQ","BEST_FPERIOD_OVERRIDE=FQ","FILING_STATUS=MR","SCALING_FORMAT=MLN","Sort=A","Dates=H","DateFormat=P","Fill=—","Direction=H","UseDPDF=Y")</f>
        <v>6.5289999999999999</v>
      </c>
      <c r="I17" s="13">
        <f>_xll.BDH("SRPT US Equity","ADJUSTED_DA_EXPENSES","FQ2 2020","FQ2 2020","Currency=USD","Period=FQ","BEST_FPERIOD_OVERRIDE=FQ","FILING_STATUS=MR","SCALING_FORMAT=MLN","Sort=A","Dates=H","DateFormat=P","Fill=—","Direction=H","UseDPDF=Y")</f>
        <v>6.4749999999999996</v>
      </c>
      <c r="J17" s="13">
        <f>_xll.BDH("SRPT US Equity","ADJUSTED_DA_EXPENSES","FQ3 2020","FQ3 2020","Currency=USD","Period=FQ","BEST_FPERIOD_OVERRIDE=FQ","FILING_STATUS=MR","SCALING_FORMAT=MLN","Sort=A","Dates=H","DateFormat=P","Fill=—","Direction=H","UseDPDF=Y")</f>
        <v>6.6189999999999998</v>
      </c>
      <c r="K17" s="13">
        <f>_xll.BDH("SRPT US Equity","ADJUSTED_DA_EXPENSES","FQ4 2020","FQ4 2020","Currency=USD","Period=FQ","BEST_FPERIOD_OVERRIDE=FQ","FILING_STATUS=MR","SCALING_FORMAT=MLN","Sort=A","Dates=H","DateFormat=P","Fill=—","Direction=H","UseDPDF=Y")</f>
        <v>7.2880000000000003</v>
      </c>
      <c r="L17" s="13">
        <f>_xll.BDH("SRPT US Equity","ADJUSTED_DA_EXPENSES","FQ1 2021","FQ1 2021","Currency=USD","Period=FQ","BEST_FPERIOD_OVERRIDE=FQ","FILING_STATUS=MR","SCALING_FORMAT=MLN","Sort=A","Dates=H","DateFormat=P","Fill=—","Direction=H","UseDPDF=Y")</f>
        <v>8.93</v>
      </c>
      <c r="M17" s="13">
        <f>_xll.BDH("SRPT US Equity","ADJUSTED_DA_EXPENSES","FQ2 2021","FQ2 2021","Currency=USD","Period=FQ","BEST_FPERIOD_OVERRIDE=FQ","FILING_STATUS=MR","SCALING_FORMAT=MLN","Sort=A","Dates=H","DateFormat=P","Fill=—","Direction=H","UseDPDF=Y")</f>
        <v>8.4469999999999992</v>
      </c>
      <c r="N17" s="13">
        <f>_xll.BDH("SRPT US Equity","ADJUSTED_DA_EXPENSES","FQ3 2021","FQ3 2021","Currency=USD","Period=FQ","BEST_FPERIOD_OVERRIDE=FQ","FILING_STATUS=MR","SCALING_FORMAT=MLN","Sort=A","Dates=H","DateFormat=P","Fill=—","Direction=H","UseDPDF=Y")</f>
        <v>10.494999999999999</v>
      </c>
      <c r="O17" s="13">
        <f>_xll.BDH("SRPT US Equity","ADJUSTED_DA_EXPENSES","FQ4 2021","FQ4 2021","Currency=USD","Period=FQ","BEST_FPERIOD_OVERRIDE=FQ","FILING_STATUS=MR","SCALING_FORMAT=MLN","Sort=A","Dates=H","DateFormat=P","Fill=—","Direction=H","UseDPDF=Y")</f>
        <v>10.145</v>
      </c>
      <c r="P17" s="13">
        <f>_xll.BDH("SRPT US Equity","ADJUSTED_DA_EXPENSES","FQ1 2022","FQ1 2022","Currency=USD","Period=FQ","BEST_FPERIOD_OVERRIDE=FQ","FILING_STATUS=MR","SCALING_FORMAT=MLN","Sort=A","Dates=H","DateFormat=P","Fill=—","Direction=H","UseDPDF=Y")</f>
        <v>10.718999999999999</v>
      </c>
      <c r="Q17" s="13">
        <f>_xll.BDH("SRPT US Equity","ADJUSTED_DA_EXPENSES","FQ2 2022","FQ2 2022","Currency=USD","Period=FQ","BEST_FPERIOD_OVERRIDE=FQ","FILING_STATUS=MR","SCALING_FORMAT=MLN","Sort=A","Dates=H","DateFormat=P","Fill=—","Direction=H","UseDPDF=Y")</f>
        <v>9.8889999999999993</v>
      </c>
      <c r="R17" s="13">
        <f>_xll.BDH("SRPT US Equity","ADJUSTED_DA_EXPENSES","FQ3 2022","FQ3 2022","Currency=USD","Period=FQ","BEST_FPERIOD_OVERRIDE=FQ","FILING_STATUS=MR","SCALING_FORMAT=MLN","Sort=A","Dates=H","DateFormat=P","Fill=—","Direction=H","UseDPDF=Y")</f>
        <v>10.702999999999999</v>
      </c>
      <c r="S17" s="13">
        <f>_xll.BDH("SRPT US Equity","ADJUSTED_DA_EXPENSES","FQ4 2022","FQ4 2022","Currency=USD","Period=FQ","BEST_FPERIOD_OVERRIDE=FQ","FILING_STATUS=MR","SCALING_FORMAT=MLN","Sort=A","Dates=H","DateFormat=P","Fill=—","Direction=H","UseDPDF=Y")</f>
        <v>10.553000000000001</v>
      </c>
      <c r="T17" s="13">
        <f>_xll.BDH("SRPT US Equity","ADJUSTED_DA_EXPENSES","FQ1 2023","FQ1 2023","Currency=USD","Period=FQ","BEST_FPERIOD_OVERRIDE=FQ","FILING_STATUS=MR","SCALING_FORMAT=MLN","Sort=A","Dates=H","DateFormat=P","Fill=—","Direction=H","UseDPDF=Y")</f>
        <v>11.305</v>
      </c>
      <c r="U17" s="13">
        <f>_xll.BDH("SRPT US Equity","ADJUSTED_DA_EXPENSES","FQ2 2023","FQ2 2023","Currency=USD","Period=FQ","BEST_FPERIOD_OVERRIDE=FQ","FILING_STATUS=MR","SCALING_FORMAT=MLN","Sort=A","Dates=H","DateFormat=P","Fill=—","Direction=H","UseDPDF=Y")</f>
        <v>10.792</v>
      </c>
      <c r="V17" s="13">
        <f>_xll.BDH("SRPT US Equity","ADJUSTED_DA_EXPENSES","FQ3 2023","FQ3 2023","Currency=USD","Period=FQ","BEST_FPERIOD_OVERRIDE=FQ","FILING_STATUS=MR","SCALING_FORMAT=MLN","Sort=A","Dates=H","DateFormat=P","Fill=—","Direction=H","UseDPDF=Y")</f>
        <v>10.928000000000001</v>
      </c>
      <c r="W17" s="13">
        <f>_xll.BDH("SRPT US Equity","ADJUSTED_DA_EXPENSES","FQ4 2023","FQ4 2023","Currency=USD","Period=FQ","BEST_FPERIOD_OVERRIDE=FQ","FILING_STATUS=MR","SCALING_FORMAT=MLN","Sort=A","Dates=H","DateFormat=P","Fill=—","Direction=H","UseDPDF=Y")</f>
        <v>11.372</v>
      </c>
      <c r="X17" s="13">
        <f>_xll.BDH("SRPT US Equity","ADJUSTED_DA_EXPENSES","FQ1 2024","FQ1 2024","Currency=USD","Period=FQ","BEST_FPERIOD_OVERRIDE=FQ","FILING_STATUS=MR","SCALING_FORMAT=MLN","Sort=A","Dates=H","DateFormat=P","Fill=—","Direction=H","UseDPDF=Y")</f>
        <v>8.7439999999999998</v>
      </c>
      <c r="Y17" s="13">
        <f>_xll.BDH("SRPT US Equity","ADJUSTED_DA_EXPENSES","FQ2 2024","FQ2 2024","Currency=USD","Period=FQ","BEST_FPERIOD_OVERRIDE=FQ","FILING_STATUS=MR","SCALING_FORMAT=MLN","Sort=A","Dates=H","DateFormat=P","Fill=—","Direction=H","UseDPDF=Y")</f>
        <v>8.7189999999999994</v>
      </c>
      <c r="Z17" s="13">
        <f>_xll.BDH("SRPT US Equity","ADJUSTED_DA_EXPENSES","FQ3 2024","FQ3 2024","Currency=USD","Period=FQ","BEST_FPERIOD_OVERRIDE=FQ","FILING_STATUS=MR","SCALING_FORMAT=MLN","Sort=A","Dates=H","DateFormat=P","Fill=—","Direction=H","UseDPDF=Y")</f>
        <v>9.8059999999999992</v>
      </c>
      <c r="AA17" s="13">
        <f>_xll.BDH("SRPT US Equity","ADJUSTED_DA_EXPENSES","FQ4 2024","FQ4 2024","Currency=USD","Period=FQ","BEST_FPERIOD_OVERRIDE=FQ","FILING_STATUS=MR","SCALING_FORMAT=MLN","Sort=A","Dates=H","DateFormat=P","Fill=—","Direction=H","UseDPDF=Y")</f>
        <v>10.455</v>
      </c>
    </row>
    <row r="18" spans="1:27" x14ac:dyDescent="0.25">
      <c r="A18" s="10" t="s">
        <v>606</v>
      </c>
      <c r="B18" s="10" t="s">
        <v>607</v>
      </c>
      <c r="C18" s="13">
        <f>_xll.BDH("SRPT US Equity","COST_CAPITALIZED_OPERATING_LEAS","FQ4 2018","FQ4 2018","Currency=USD","Period=FQ","BEST_FPERIOD_OVERRIDE=FQ","FILING_STATUS=MR","SCALING_FORMAT=MLN","Sort=A","Dates=H","DateFormat=P","Fill=—","Direction=H","UseDPDF=Y")</f>
        <v>0</v>
      </c>
      <c r="D18" s="13">
        <f>_xll.BDH("SRPT US Equity","COST_CAPITALIZED_OPERATING_LEAS","FQ1 2019","FQ1 2019","Currency=USD","Period=FQ","BEST_FPERIOD_OVERRIDE=FQ","FILING_STATUS=MR","SCALING_FORMAT=MLN","Sort=A","Dates=H","DateFormat=P","Fill=—","Direction=H","UseDPDF=Y")</f>
        <v>2.6019999999999999</v>
      </c>
      <c r="E18" s="13">
        <f>_xll.BDH("SRPT US Equity","COST_CAPITALIZED_OPERATING_LEAS","FQ2 2019","FQ2 2019","Currency=USD","Period=FQ","BEST_FPERIOD_OVERRIDE=FQ","FILING_STATUS=MR","SCALING_FORMAT=MLN","Sort=A","Dates=H","DateFormat=P","Fill=—","Direction=H","UseDPDF=Y")</f>
        <v>2.5299999999999998</v>
      </c>
      <c r="F18" s="13">
        <f>_xll.BDH("SRPT US Equity","COST_CAPITALIZED_OPERATING_LEAS","FQ3 2019","FQ3 2019","Currency=USD","Period=FQ","BEST_FPERIOD_OVERRIDE=FQ","FILING_STATUS=MR","SCALING_FORMAT=MLN","Sort=A","Dates=H","DateFormat=P","Fill=—","Direction=H","UseDPDF=Y")</f>
        <v>2.6059999999999999</v>
      </c>
      <c r="G18" s="13">
        <f>_xll.BDH("SRPT US Equity","COST_CAPITALIZED_OPERATING_LEAS","FQ4 2019","FQ4 2019","Currency=USD","Period=FQ","BEST_FPERIOD_OVERRIDE=FQ","FILING_STATUS=MR","SCALING_FORMAT=MLN","Sort=A","Dates=H","DateFormat=P","Fill=—","Direction=H","UseDPDF=Y")</f>
        <v>2.597</v>
      </c>
      <c r="H18" s="13">
        <f>_xll.BDH("SRPT US Equity","COST_CAPITALIZED_OPERATING_LEAS","FQ1 2020","FQ1 2020","Currency=USD","Period=FQ","BEST_FPERIOD_OVERRIDE=FQ","FILING_STATUS=MR","SCALING_FORMAT=MLN","Sort=A","Dates=H","DateFormat=P","Fill=—","Direction=H","UseDPDF=Y")</f>
        <v>0.8</v>
      </c>
      <c r="I18" s="13">
        <f>_xll.BDH("SRPT US Equity","COST_CAPITALIZED_OPERATING_LEAS","FQ2 2020","FQ2 2020","Currency=USD","Period=FQ","BEST_FPERIOD_OVERRIDE=FQ","FILING_STATUS=MR","SCALING_FORMAT=MLN","Sort=A","Dates=H","DateFormat=P","Fill=—","Direction=H","UseDPDF=Y")</f>
        <v>2</v>
      </c>
      <c r="J18" s="13">
        <f>_xll.BDH("SRPT US Equity","COST_CAPITALIZED_OPERATING_LEAS","FQ3 2020","FQ3 2020","Currency=USD","Period=FQ","BEST_FPERIOD_OVERRIDE=FQ","FILING_STATUS=MR","SCALING_FORMAT=MLN","Sort=A","Dates=H","DateFormat=P","Fill=—","Direction=H","UseDPDF=Y")</f>
        <v>2.2000000000000002</v>
      </c>
      <c r="K18" s="13">
        <f>_xll.BDH("SRPT US Equity","COST_CAPITALIZED_OPERATING_LEAS","FQ4 2020","FQ4 2020","Currency=USD","Period=FQ","BEST_FPERIOD_OVERRIDE=FQ","FILING_STATUS=MR","SCALING_FORMAT=MLN","Sort=A","Dates=H","DateFormat=P","Fill=—","Direction=H","UseDPDF=Y")</f>
        <v>13.978</v>
      </c>
      <c r="L18" s="13">
        <f>_xll.BDH("SRPT US Equity","COST_CAPITALIZED_OPERATING_LEAS","FQ1 2021","FQ1 2021","Currency=USD","Period=FQ","BEST_FPERIOD_OVERRIDE=FQ","FILING_STATUS=MR","SCALING_FORMAT=MLN","Sort=A","Dates=H","DateFormat=P","Fill=—","Direction=H","UseDPDF=Y")</f>
        <v>0</v>
      </c>
      <c r="M18" s="13">
        <f>_xll.BDH("SRPT US Equity","COST_CAPITALIZED_OPERATING_LEAS","FQ2 2021","FQ2 2021","Currency=USD","Period=FQ","BEST_FPERIOD_OVERRIDE=FQ","FILING_STATUS=MR","SCALING_FORMAT=MLN","Sort=A","Dates=H","DateFormat=P","Fill=—","Direction=H","UseDPDF=Y")</f>
        <v>0</v>
      </c>
      <c r="N18" s="13">
        <f>_xll.BDH("SRPT US Equity","COST_CAPITALIZED_OPERATING_LEAS","FQ3 2021","FQ3 2021","Currency=USD","Period=FQ","BEST_FPERIOD_OVERRIDE=FQ","FILING_STATUS=MR","SCALING_FORMAT=MLN","Sort=A","Dates=H","DateFormat=P","Fill=—","Direction=H","UseDPDF=Y")</f>
        <v>0</v>
      </c>
      <c r="O18" s="13">
        <f>_xll.BDH("SRPT US Equity","COST_CAPITALIZED_OPERATING_LEAS","FQ4 2021","FQ4 2021","Currency=USD","Period=FQ","BEST_FPERIOD_OVERRIDE=FQ","FILING_STATUS=MR","SCALING_FORMAT=MLN","Sort=A","Dates=H","DateFormat=P","Fill=—","Direction=H","UseDPDF=Y")</f>
        <v>0</v>
      </c>
      <c r="P18" s="13">
        <f>_xll.BDH("SRPT US Equity","COST_CAPITALIZED_OPERATING_LEAS","FQ1 2022","FQ1 2022","Currency=USD","Period=FQ","BEST_FPERIOD_OVERRIDE=FQ","FILING_STATUS=MR","SCALING_FORMAT=MLN","Sort=A","Dates=H","DateFormat=P","Fill=—","Direction=H","UseDPDF=Y")</f>
        <v>0</v>
      </c>
      <c r="Q18" s="13">
        <f>_xll.BDH("SRPT US Equity","COST_CAPITALIZED_OPERATING_LEAS","FQ2 2022","FQ2 2022","Currency=USD","Period=FQ","BEST_FPERIOD_OVERRIDE=FQ","FILING_STATUS=MR","SCALING_FORMAT=MLN","Sort=A","Dates=H","DateFormat=P","Fill=—","Direction=H","UseDPDF=Y")</f>
        <v>0</v>
      </c>
      <c r="R18" s="13">
        <f>_xll.BDH("SRPT US Equity","COST_CAPITALIZED_OPERATING_LEAS","FQ3 2022","FQ3 2022","Currency=USD","Period=FQ","BEST_FPERIOD_OVERRIDE=FQ","FILING_STATUS=MR","SCALING_FORMAT=MLN","Sort=A","Dates=H","DateFormat=P","Fill=—","Direction=H","UseDPDF=Y")</f>
        <v>0</v>
      </c>
      <c r="S18" s="13">
        <f>_xll.BDH("SRPT US Equity","COST_CAPITALIZED_OPERATING_LEAS","FQ4 2022","FQ4 2022","Currency=USD","Period=FQ","BEST_FPERIOD_OVERRIDE=FQ","FILING_STATUS=MR","SCALING_FORMAT=MLN","Sort=A","Dates=H","DateFormat=P","Fill=—","Direction=H","UseDPDF=Y")</f>
        <v>0</v>
      </c>
      <c r="T18" s="13">
        <f>_xll.BDH("SRPT US Equity","COST_CAPITALIZED_OPERATING_LEAS","FQ1 2023","FQ1 2023","Currency=USD","Period=FQ","BEST_FPERIOD_OVERRIDE=FQ","FILING_STATUS=MR","SCALING_FORMAT=MLN","Sort=A","Dates=H","DateFormat=P","Fill=—","Direction=H","UseDPDF=Y")</f>
        <v>0</v>
      </c>
      <c r="U18" s="13">
        <f>_xll.BDH("SRPT US Equity","COST_CAPITALIZED_OPERATING_LEAS","FQ2 2023","FQ2 2023","Currency=USD","Period=FQ","BEST_FPERIOD_OVERRIDE=FQ","FILING_STATUS=MR","SCALING_FORMAT=MLN","Sort=A","Dates=H","DateFormat=P","Fill=—","Direction=H","UseDPDF=Y")</f>
        <v>0</v>
      </c>
      <c r="V18" s="13">
        <f>_xll.BDH("SRPT US Equity","COST_CAPITALIZED_OPERATING_LEAS","FQ3 2023","FQ3 2023","Currency=USD","Period=FQ","BEST_FPERIOD_OVERRIDE=FQ","FILING_STATUS=MR","SCALING_FORMAT=MLN","Sort=A","Dates=H","DateFormat=P","Fill=—","Direction=H","UseDPDF=Y")</f>
        <v>0</v>
      </c>
      <c r="W18" s="13">
        <f>_xll.BDH("SRPT US Equity","COST_CAPITALIZED_OPERATING_LEAS","FQ4 2023","FQ4 2023","Currency=USD","Period=FQ","BEST_FPERIOD_OVERRIDE=FQ","FILING_STATUS=MR","SCALING_FORMAT=MLN","Sort=A","Dates=H","DateFormat=P","Fill=—","Direction=H","UseDPDF=Y")</f>
        <v>0</v>
      </c>
      <c r="X18" s="13">
        <f>_xll.BDH("SRPT US Equity","COST_CAPITALIZED_OPERATING_LEAS","FQ1 2024","FQ1 2024","Currency=USD","Period=FQ","BEST_FPERIOD_OVERRIDE=FQ","FILING_STATUS=MR","SCALING_FORMAT=MLN","Sort=A","Dates=H","DateFormat=P","Fill=—","Direction=H","UseDPDF=Y")</f>
        <v>0</v>
      </c>
      <c r="Y18" s="13">
        <f>_xll.BDH("SRPT US Equity","COST_CAPITALIZED_OPERATING_LEAS","FQ2 2024","FQ2 2024","Currency=USD","Period=FQ","BEST_FPERIOD_OVERRIDE=FQ","FILING_STATUS=MR","SCALING_FORMAT=MLN","Sort=A","Dates=H","DateFormat=P","Fill=—","Direction=H","UseDPDF=Y")</f>
        <v>0</v>
      </c>
      <c r="Z18" s="13">
        <f>_xll.BDH("SRPT US Equity","COST_CAPITALIZED_OPERATING_LEAS","FQ3 2024","FQ3 2024","Currency=USD","Period=FQ","BEST_FPERIOD_OVERRIDE=FQ","FILING_STATUS=MR","SCALING_FORMAT=MLN","Sort=A","Dates=H","DateFormat=P","Fill=—","Direction=H","UseDPDF=Y")</f>
        <v>0</v>
      </c>
      <c r="AA18" s="13">
        <f>_xll.BDH("SRPT US Equity","COST_CAPITALIZED_OPERATING_LEAS","FQ4 2024","FQ4 2024","Currency=USD","Period=FQ","BEST_FPERIOD_OVERRIDE=FQ","FILING_STATUS=MR","SCALING_FORMAT=MLN","Sort=A","Dates=H","DateFormat=P","Fill=—","Direction=H","UseDPDF=Y")</f>
        <v>0</v>
      </c>
    </row>
    <row r="19" spans="1:27" x14ac:dyDescent="0.25">
      <c r="A19" s="6" t="s">
        <v>608</v>
      </c>
      <c r="B19" s="6" t="s">
        <v>78</v>
      </c>
      <c r="C19" s="19">
        <f>_xll.BDH("SRPT US Equity","EBITDA","FQ4 2018","FQ4 2018","Currency=USD","Period=FQ","BEST_FPERIOD_OVERRIDE=FQ","FILING_STATUS=MR","SCALING_FORMAT=MLN","FA_ADJUSTED=Adjusted","Sort=A","Dates=H","DateFormat=P","Fill=—","Direction=H","UseDPDF=Y")</f>
        <v>-131.99199999999999</v>
      </c>
      <c r="D19" s="19">
        <f>_xll.BDH("SRPT US Equity","EBITDA","FQ1 2019","FQ1 2019","Currency=USD","Period=FQ","BEST_FPERIOD_OVERRIDE=FQ","FILING_STATUS=MR","SCALING_FORMAT=MLN","FA_ADJUSTED=Adjusted","Sort=A","Dates=H","DateFormat=P","Fill=—","Direction=H","UseDPDF=Y")</f>
        <v>-66.204999999999998</v>
      </c>
      <c r="E19" s="19">
        <f>_xll.BDH("SRPT US Equity","EBITDA","FQ2 2019","FQ2 2019","Currency=USD","Period=FQ","BEST_FPERIOD_OVERRIDE=FQ","FILING_STATUS=MR","SCALING_FORMAT=MLN","FA_ADJUSTED=Adjusted","Sort=A","Dates=H","DateFormat=P","Fill=—","Direction=H","UseDPDF=Y")</f>
        <v>-76.825000000000003</v>
      </c>
      <c r="F19" s="19">
        <f>_xll.BDH("SRPT US Equity","EBITDA","FQ3 2019","FQ3 2019","Currency=USD","Period=FQ","BEST_FPERIOD_OVERRIDE=FQ","FILING_STATUS=MR","SCALING_FORMAT=MLN","FA_ADJUSTED=Adjusted","Sort=A","Dates=H","DateFormat=P","Fill=—","Direction=H","UseDPDF=Y")</f>
        <v>-100.56100000000001</v>
      </c>
      <c r="G19" s="19">
        <f>_xll.BDH("SRPT US Equity","EBITDA","FQ4 2019","FQ4 2019","Currency=USD","Period=FQ","BEST_FPERIOD_OVERRIDE=FQ","FILING_STATUS=MR","SCALING_FORMAT=MLN","FA_ADJUSTED=Adjusted","Sort=A","Dates=H","DateFormat=P","Fill=—","Direction=H","UseDPDF=Y")</f>
        <v>-134.6</v>
      </c>
      <c r="H19" s="19">
        <f>_xll.BDH("SRPT US Equity","EBITDA","FQ1 2020","FQ1 2020","Currency=USD","Period=FQ","BEST_FPERIOD_OVERRIDE=FQ","FILING_STATUS=MR","SCALING_FORMAT=MLN","FA_ADJUSTED=Adjusted","Sort=A","Dates=H","DateFormat=P","Fill=—","Direction=H","UseDPDF=Y")</f>
        <v>-99.405000000000001</v>
      </c>
      <c r="I19" s="19">
        <f>_xll.BDH("SRPT US Equity","EBITDA","FQ2 2020","FQ2 2020","Currency=USD","Period=FQ","BEST_FPERIOD_OVERRIDE=FQ","FILING_STATUS=MR","SCALING_FORMAT=MLN","FA_ADJUSTED=Adjusted","Sort=A","Dates=H","DateFormat=P","Fill=—","Direction=H","UseDPDF=Y")</f>
        <v>-129.87799999999999</v>
      </c>
      <c r="J19" s="19">
        <f>_xll.BDH("SRPT US Equity","EBITDA","FQ3 2020","FQ3 2020","Currency=USD","Period=FQ","BEST_FPERIOD_OVERRIDE=FQ","FILING_STATUS=MR","SCALING_FORMAT=MLN","FA_ADJUSTED=Adjusted","Sort=A","Dates=H","DateFormat=P","Fill=—","Direction=H","UseDPDF=Y")</f>
        <v>-112.874</v>
      </c>
      <c r="K19" s="19">
        <f>_xll.BDH("SRPT US Equity","EBITDA","FQ4 2020","FQ4 2020","Currency=USD","Period=FQ","BEST_FPERIOD_OVERRIDE=FQ","FILING_STATUS=MR","SCALING_FORMAT=MLN","FA_ADJUSTED=Adjusted","Sort=A","Dates=H","DateFormat=P","Fill=—","Direction=H","UseDPDF=Y")</f>
        <v>-138.828</v>
      </c>
      <c r="L19" s="19">
        <f>_xll.BDH("SRPT US Equity","EBITDA","FQ1 2021","FQ1 2021","Currency=USD","Period=FQ","BEST_FPERIOD_OVERRIDE=FQ","FILING_STATUS=MR","SCALING_FORMAT=MLN","FA_ADJUSTED=Adjusted","Sort=A","Dates=H","DateFormat=P","Fill=—","Direction=H","UseDPDF=Y")</f>
        <v>-128.935</v>
      </c>
      <c r="M19" s="19">
        <f>_xll.BDH("SRPT US Equity","EBITDA","FQ2 2021","FQ2 2021","Currency=USD","Period=FQ","BEST_FPERIOD_OVERRIDE=FQ","FILING_STATUS=MR","SCALING_FORMAT=MLN","FA_ADJUSTED=Adjusted","Sort=A","Dates=H","DateFormat=P","Fill=—","Direction=H","UseDPDF=Y")</f>
        <v>-229.45</v>
      </c>
      <c r="N19" s="19">
        <f>_xll.BDH("SRPT US Equity","EBITDA","FQ3 2021","FQ3 2021","Currency=USD","Period=FQ","BEST_FPERIOD_OVERRIDE=FQ","FILING_STATUS=MR","SCALING_FORMAT=MLN","FA_ADJUSTED=Adjusted","Sort=A","Dates=H","DateFormat=P","Fill=—","Direction=H","UseDPDF=Y")</f>
        <v>-23.963000000000001</v>
      </c>
      <c r="O19" s="19">
        <f>_xll.BDH("SRPT US Equity","EBITDA","FQ4 2021","FQ4 2021","Currency=USD","Period=FQ","BEST_FPERIOD_OVERRIDE=FQ","FILING_STATUS=MR","SCALING_FORMAT=MLN","FA_ADJUSTED=Adjusted","Sort=A","Dates=H","DateFormat=P","Fill=—","Direction=H","UseDPDF=Y")</f>
        <v>-95.668000000000006</v>
      </c>
      <c r="P19" s="19">
        <f>_xll.BDH("SRPT US Equity","EBITDA","FQ1 2022","FQ1 2022","Currency=USD","Period=FQ","BEST_FPERIOD_OVERRIDE=FQ","FILING_STATUS=MR","SCALING_FORMAT=MLN","FA_ADJUSTED=Adjusted","Sort=A","Dates=H","DateFormat=P","Fill=—","Direction=H","UseDPDF=Y")</f>
        <v>-76.162000000000006</v>
      </c>
      <c r="Q19" s="19">
        <f>_xll.BDH("SRPT US Equity","EBITDA","FQ2 2022","FQ2 2022","Currency=USD","Period=FQ","BEST_FPERIOD_OVERRIDE=FQ","FILING_STATUS=MR","SCALING_FORMAT=MLN","FA_ADJUSTED=Adjusted","Sort=A","Dates=H","DateFormat=P","Fill=—","Direction=H","UseDPDF=Y")</f>
        <v>-201.24299999999999</v>
      </c>
      <c r="R19" s="19">
        <f>_xll.BDH("SRPT US Equity","EBITDA","FQ3 2022","FQ3 2022","Currency=USD","Period=FQ","BEST_FPERIOD_OVERRIDE=FQ","FILING_STATUS=MR","SCALING_FORMAT=MLN","FA_ADJUSTED=Adjusted","Sort=A","Dates=H","DateFormat=P","Fill=—","Direction=H","UseDPDF=Y")</f>
        <v>-120.652</v>
      </c>
      <c r="S19" s="19">
        <f>_xll.BDH("SRPT US Equity","EBITDA","FQ4 2022","FQ4 2022","Currency=USD","Period=FQ","BEST_FPERIOD_OVERRIDE=FQ","FILING_STATUS=MR","SCALING_FORMAT=MLN","FA_ADJUSTED=Adjusted","Sort=A","Dates=H","DateFormat=P","Fill=—","Direction=H","UseDPDF=Y")</f>
        <v>-96.28</v>
      </c>
      <c r="T19" s="19">
        <f>_xll.BDH("SRPT US Equity","EBITDA","FQ1 2023","FQ1 2023","Currency=USD","Period=FQ","BEST_FPERIOD_OVERRIDE=FQ","FILING_STATUS=MR","SCALING_FORMAT=MLN","FA_ADJUSTED=Adjusted","Sort=A","Dates=H","DateFormat=P","Fill=—","Direction=H","UseDPDF=Y")</f>
        <v>-126.783</v>
      </c>
      <c r="U19" s="19">
        <f>_xll.BDH("SRPT US Equity","EBITDA","FQ2 2023","FQ2 2023","Currency=USD","Period=FQ","BEST_FPERIOD_OVERRIDE=FQ","FILING_STATUS=MR","SCALING_FORMAT=MLN","FA_ADJUSTED=Adjusted","Sort=A","Dates=H","DateFormat=P","Fill=—","Direction=H","UseDPDF=Y")</f>
        <v>-122.727</v>
      </c>
      <c r="V19" s="19">
        <f>_xll.BDH("SRPT US Equity","EBITDA","FQ3 2023","FQ3 2023","Currency=USD","Period=FQ","BEST_FPERIOD_OVERRIDE=FQ","FILING_STATUS=MR","SCALING_FORMAT=MLN","FA_ADJUSTED=Adjusted","Sort=A","Dates=H","DateFormat=P","Fill=—","Direction=H","UseDPDF=Y")</f>
        <v>-9.9139999999999997</v>
      </c>
      <c r="W19" s="19">
        <f>_xll.BDH("SRPT US Equity","EBITDA","FQ4 2023","FQ4 2023","Currency=USD","Period=FQ","BEST_FPERIOD_OVERRIDE=FQ","FILING_STATUS=MR","SCALING_FORMAT=MLN","FA_ADJUSTED=Adjusted","Sort=A","Dates=H","DateFormat=P","Fill=—","Direction=H","UseDPDF=Y")</f>
        <v>35.997</v>
      </c>
      <c r="X19" s="19">
        <f>_xll.BDH("SRPT US Equity","EBITDA","FQ1 2024","FQ1 2024","Currency=USD","Period=FQ","BEST_FPERIOD_OVERRIDE=FQ","FILING_STATUS=MR","SCALING_FORMAT=MLN","FA_ADJUSTED=Adjusted","Sort=A","Dates=H","DateFormat=P","Fill=—","Direction=H","UseDPDF=Y")</f>
        <v>43.649000000000001</v>
      </c>
      <c r="Y19" s="19">
        <f>_xll.BDH("SRPT US Equity","EBITDA","FQ2 2024","FQ2 2024","Currency=USD","Period=FQ","BEST_FPERIOD_OVERRIDE=FQ","FILING_STATUS=MR","SCALING_FORMAT=MLN","FA_ADJUSTED=Adjusted","Sort=A","Dates=H","DateFormat=P","Fill=—","Direction=H","UseDPDF=Y")</f>
        <v>8.0180000000000007</v>
      </c>
      <c r="Z19" s="19">
        <f>_xll.BDH("SRPT US Equity","EBITDA","FQ3 2024","FQ3 2024","Currency=USD","Period=FQ","BEST_FPERIOD_OVERRIDE=FQ","FILING_STATUS=MR","SCALING_FORMAT=MLN","FA_ADJUSTED=Adjusted","Sort=A","Dates=H","DateFormat=P","Fill=—","Direction=H","UseDPDF=Y")</f>
        <v>32.002000000000002</v>
      </c>
      <c r="AA19" s="19">
        <f>_xll.BDH("SRPT US Equity","EBITDA","FQ4 2024","FQ4 2024","Currency=USD","Period=FQ","BEST_FPERIOD_OVERRIDE=FQ","FILING_STATUS=MR","SCALING_FORMAT=MLN","FA_ADJUSTED=Adjusted","Sort=A","Dates=H","DateFormat=P","Fill=—","Direction=H","UseDPDF=Y")</f>
        <v>172.136</v>
      </c>
    </row>
    <row r="20" spans="1:27" x14ac:dyDescent="0.25">
      <c r="A20" s="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x14ac:dyDescent="0.25">
      <c r="A21" s="6" t="s">
        <v>609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x14ac:dyDescent="0.25">
      <c r="A22" s="6" t="s">
        <v>586</v>
      </c>
      <c r="B22" s="6" t="s">
        <v>99</v>
      </c>
      <c r="C22" s="19">
        <f>_xll.BDH("SRPT US Equity","IS_OPER_INC","FQ4 2018","FQ4 2018","Currency=USD","Period=FQ","BEST_FPERIOD_OVERRIDE=FQ","FILING_STATUS=MR","SCALING_FORMAT=MLN","FA_ADJUSTED=GAAP","Sort=A","Dates=H","DateFormat=P","Fill=—","Direction=H","UseDPDF=Y")</f>
        <v>-139.363</v>
      </c>
      <c r="D22" s="19">
        <f>_xll.BDH("SRPT US Equity","IS_OPER_INC","FQ1 2019","FQ1 2019","Currency=USD","Period=FQ","BEST_FPERIOD_OVERRIDE=FQ","FILING_STATUS=MR","SCALING_FORMAT=MLN","FA_ADJUSTED=GAAP","Sort=A","Dates=H","DateFormat=P","Fill=—","Direction=H","UseDPDF=Y")</f>
        <v>-76.387</v>
      </c>
      <c r="E22" s="19">
        <f>_xll.BDH("SRPT US Equity","IS_OPER_INC","FQ2 2019","FQ2 2019","Currency=USD","Period=FQ","BEST_FPERIOD_OVERRIDE=FQ","FILING_STATUS=MR","SCALING_FORMAT=MLN","FA_ADJUSTED=GAAP","Sort=A","Dates=H","DateFormat=P","Fill=—","Direction=H","UseDPDF=Y")</f>
        <v>-275.36700000000002</v>
      </c>
      <c r="F22" s="19">
        <f>_xll.BDH("SRPT US Equity","IS_OPER_INC","FQ3 2019","FQ3 2019","Currency=USD","Period=FQ","BEST_FPERIOD_OVERRIDE=FQ","FILING_STATUS=MR","SCALING_FORMAT=MLN","FA_ADJUSTED=GAAP","Sort=A","Dates=H","DateFormat=P","Fill=—","Direction=H","UseDPDF=Y")</f>
        <v>-123.59</v>
      </c>
      <c r="G22" s="19">
        <f>_xll.BDH("SRPT US Equity","IS_OPER_INC","FQ4 2019","FQ4 2019","Currency=USD","Period=FQ","BEST_FPERIOD_OVERRIDE=FQ","FILING_STATUS=MR","SCALING_FORMAT=MLN","FA_ADJUSTED=GAAP","Sort=A","Dates=H","DateFormat=P","Fill=—","Direction=H","UseDPDF=Y")</f>
        <v>-230.21899999999999</v>
      </c>
      <c r="H22" s="19">
        <f>_xll.BDH("SRPT US Equity","IS_OPER_INC","FQ1 2020","FQ1 2020","Currency=USD","Period=FQ","BEST_FPERIOD_OVERRIDE=FQ","FILING_STATUS=MR","SCALING_FORMAT=MLN","FA_ADJUSTED=GAAP","Sort=A","Dates=H","DateFormat=P","Fill=—","Direction=H","UseDPDF=Y")</f>
        <v>-118.026</v>
      </c>
      <c r="I22" s="19">
        <f>_xll.BDH("SRPT US Equity","IS_OPER_INC","FQ2 2020","FQ2 2020","Currency=USD","Period=FQ","BEST_FPERIOD_OVERRIDE=FQ","FILING_STATUS=MR","SCALING_FORMAT=MLN","FA_ADJUSTED=GAAP","Sort=A","Dates=H","DateFormat=P","Fill=—","Direction=H","UseDPDF=Y")</f>
        <v>-138.35300000000001</v>
      </c>
      <c r="J22" s="19">
        <f>_xll.BDH("SRPT US Equity","IS_OPER_INC","FQ3 2020","FQ3 2020","Currency=USD","Period=FQ","BEST_FPERIOD_OVERRIDE=FQ","FILING_STATUS=MR","SCALING_FORMAT=MLN","FA_ADJUSTED=GAAP","Sort=A","Dates=H","DateFormat=P","Fill=—","Direction=H","UseDPDF=Y")</f>
        <v>-137.06800000000001</v>
      </c>
      <c r="K22" s="19">
        <f>_xll.BDH("SRPT US Equity","IS_OPER_INC","FQ4 2020","FQ4 2020","Currency=USD","Period=FQ","BEST_FPERIOD_OVERRIDE=FQ","FILING_STATUS=MR","SCALING_FORMAT=MLN","FA_ADJUSTED=GAAP","Sort=A","Dates=H","DateFormat=P","Fill=—","Direction=H","UseDPDF=Y")</f>
        <v>-170.71600000000001</v>
      </c>
      <c r="L22" s="19">
        <f>_xll.BDH("SRPT US Equity","IS_OPER_INC","FQ1 2021","FQ1 2021","Currency=USD","Period=FQ","BEST_FPERIOD_OVERRIDE=FQ","FILING_STATUS=MR","SCALING_FORMAT=MLN","FA_ADJUSTED=GAAP","Sort=A","Dates=H","DateFormat=P","Fill=—","Direction=H","UseDPDF=Y")</f>
        <v>-151.86500000000001</v>
      </c>
      <c r="M22" s="19">
        <f>_xll.BDH("SRPT US Equity","IS_OPER_INC","FQ2 2021","FQ2 2021","Currency=USD","Period=FQ","BEST_FPERIOD_OVERRIDE=FQ","FILING_STATUS=MR","SCALING_FORMAT=MLN","FA_ADJUSTED=GAAP","Sort=A","Dates=H","DateFormat=P","Fill=—","Direction=H","UseDPDF=Y")</f>
        <v>-167.57400000000001</v>
      </c>
      <c r="N22" s="19">
        <f>_xll.BDH("SRPT US Equity","IS_OPER_INC","FQ3 2021","FQ3 2021","Currency=USD","Period=FQ","BEST_FPERIOD_OVERRIDE=FQ","FILING_STATUS=MR","SCALING_FORMAT=MLN","FA_ADJUSTED=GAAP","Sort=A","Dates=H","DateFormat=P","Fill=—","Direction=H","UseDPDF=Y")</f>
        <v>-34.457999999999998</v>
      </c>
      <c r="O22" s="19">
        <f>_xll.BDH("SRPT US Equity","IS_OPER_INC","FQ4 2021","FQ4 2021","Currency=USD","Period=FQ","BEST_FPERIOD_OVERRIDE=FQ","FILING_STATUS=MR","SCALING_FORMAT=MLN","FA_ADJUSTED=GAAP","Sort=A","Dates=H","DateFormat=P","Fill=—","Direction=H","UseDPDF=Y")</f>
        <v>-105.813</v>
      </c>
      <c r="P22" s="19">
        <f>_xll.BDH("SRPT US Equity","IS_OPER_INC","FQ1 2022","FQ1 2022","Currency=USD","Period=FQ","BEST_FPERIOD_OVERRIDE=FQ","FILING_STATUS=MR","SCALING_FORMAT=MLN","FA_ADJUSTED=GAAP","Sort=A","Dates=H","DateFormat=P","Fill=—","Direction=H","UseDPDF=Y")</f>
        <v>-86.881</v>
      </c>
      <c r="Q22" s="19">
        <f>_xll.BDH("SRPT US Equity","IS_OPER_INC","FQ2 2022","FQ2 2022","Currency=USD","Period=FQ","BEST_FPERIOD_OVERRIDE=FQ","FILING_STATUS=MR","SCALING_FORMAT=MLN","FA_ADJUSTED=GAAP","Sort=A","Dates=H","DateFormat=P","Fill=—","Direction=H","UseDPDF=Y")</f>
        <v>-211.13200000000001</v>
      </c>
      <c r="R22" s="19">
        <f>_xll.BDH("SRPT US Equity","IS_OPER_INC","FQ3 2022","FQ3 2022","Currency=USD","Period=FQ","BEST_FPERIOD_OVERRIDE=FQ","FILING_STATUS=MR","SCALING_FORMAT=MLN","FA_ADJUSTED=GAAP","Sort=A","Dates=H","DateFormat=P","Fill=—","Direction=H","UseDPDF=Y")</f>
        <v>-131.35499999999999</v>
      </c>
      <c r="S22" s="19">
        <f>_xll.BDH("SRPT US Equity","IS_OPER_INC","FQ4 2022","FQ4 2022","Currency=USD","Period=FQ","BEST_FPERIOD_OVERRIDE=FQ","FILING_STATUS=MR","SCALING_FORMAT=MLN","FA_ADJUSTED=GAAP","Sort=A","Dates=H","DateFormat=P","Fill=—","Direction=H","UseDPDF=Y")</f>
        <v>-106.833</v>
      </c>
      <c r="T22" s="19">
        <f>_xll.BDH("SRPT US Equity","IS_OPER_INC","FQ1 2023","FQ1 2023","Currency=USD","Period=FQ","BEST_FPERIOD_OVERRIDE=FQ","FILING_STATUS=MR","SCALING_FORMAT=MLN","FA_ADJUSTED=GAAP","Sort=A","Dates=H","DateFormat=P","Fill=—","Direction=H","UseDPDF=Y")</f>
        <v>-138.08799999999999</v>
      </c>
      <c r="U22" s="19">
        <f>_xll.BDH("SRPT US Equity","IS_OPER_INC","FQ2 2023","FQ2 2023","Currency=USD","Period=FQ","BEST_FPERIOD_OVERRIDE=FQ","FILING_STATUS=MR","SCALING_FORMAT=MLN","FA_ADJUSTED=GAAP","Sort=A","Dates=H","DateFormat=P","Fill=—","Direction=H","UseDPDF=Y")</f>
        <v>-133.51900000000001</v>
      </c>
      <c r="V22" s="19">
        <f>_xll.BDH("SRPT US Equity","IS_OPER_INC","FQ3 2023","FQ3 2023","Currency=USD","Period=FQ","BEST_FPERIOD_OVERRIDE=FQ","FILING_STATUS=MR","SCALING_FORMAT=MLN","FA_ADJUSTED=GAAP","Sort=A","Dates=H","DateFormat=P","Fill=—","Direction=H","UseDPDF=Y")</f>
        <v>-20.841999999999999</v>
      </c>
      <c r="W22" s="19">
        <f>_xll.BDH("SRPT US Equity","IS_OPER_INC","FQ4 2023","FQ4 2023","Currency=USD","Period=FQ","BEST_FPERIOD_OVERRIDE=FQ","FILING_STATUS=MR","SCALING_FORMAT=MLN","FA_ADJUSTED=GAAP","Sort=A","Dates=H","DateFormat=P","Fill=—","Direction=H","UseDPDF=Y")</f>
        <v>24.625</v>
      </c>
      <c r="X22" s="19">
        <f>_xll.BDH("SRPT US Equity","IS_OPER_INC","FQ1 2024","FQ1 2024","Currency=USD","Period=FQ","BEST_FPERIOD_OVERRIDE=FQ","FILING_STATUS=MR","SCALING_FORMAT=MLN","FA_ADJUSTED=GAAP","Sort=A","Dates=H","DateFormat=P","Fill=—","Direction=H","UseDPDF=Y")</f>
        <v>34.905000000000001</v>
      </c>
      <c r="Y22" s="19">
        <f>_xll.BDH("SRPT US Equity","IS_OPER_INC","FQ2 2024","FQ2 2024","Currency=USD","Period=FQ","BEST_FPERIOD_OVERRIDE=FQ","FILING_STATUS=MR","SCALING_FORMAT=MLN","FA_ADJUSTED=GAAP","Sort=A","Dates=H","DateFormat=P","Fill=—","Direction=H","UseDPDF=Y")</f>
        <v>-0.70099999999999996</v>
      </c>
      <c r="Z22" s="19">
        <f>_xll.BDH("SRPT US Equity","IS_OPER_INC","FQ3 2024","FQ3 2024","Currency=USD","Period=FQ","BEST_FPERIOD_OVERRIDE=FQ","FILING_STATUS=MR","SCALING_FORMAT=MLN","FA_ADJUSTED=GAAP","Sort=A","Dates=H","DateFormat=P","Fill=—","Direction=H","UseDPDF=Y")</f>
        <v>22.196000000000002</v>
      </c>
      <c r="AA22" s="19">
        <f>_xll.BDH("SRPT US Equity","IS_OPER_INC","FQ4 2024","FQ4 2024","Currency=USD","Period=FQ","BEST_FPERIOD_OVERRIDE=FQ","FILING_STATUS=MR","SCALING_FORMAT=MLN","FA_ADJUSTED=GAAP","Sort=A","Dates=H","DateFormat=P","Fill=—","Direction=H","UseDPDF=Y")</f>
        <v>161.68100000000001</v>
      </c>
    </row>
    <row r="23" spans="1:27" x14ac:dyDescent="0.25">
      <c r="A23" s="10" t="s">
        <v>610</v>
      </c>
      <c r="B23" s="10" t="s">
        <v>611</v>
      </c>
      <c r="C23" s="13" t="str">
        <f>_xll.BDH("SRPT US Equity","IS_AIP_RD_EXPENSE_OPERATING","FQ4 2018","FQ4 2018","Currency=USD","Period=FQ","BEST_FPERIOD_OVERRIDE=FQ","FILING_STATUS=MR","SCALING_FORMAT=MLN","Sort=A","Dates=H","DateFormat=P","Fill=—","Direction=H","UseDPDF=Y")</f>
        <v>—</v>
      </c>
      <c r="D23" s="13" t="str">
        <f>_xll.BDH("SRPT US Equity","IS_AIP_RD_EXPENSE_OPERATING","FQ1 2019","FQ1 2019","Currency=USD","Period=FQ","BEST_FPERIOD_OVERRIDE=FQ","FILING_STATUS=MR","SCALING_FORMAT=MLN","Sort=A","Dates=H","DateFormat=P","Fill=—","Direction=H","UseDPDF=Y")</f>
        <v>—</v>
      </c>
      <c r="E23" s="13">
        <f>_xll.BDH("SRPT US Equity","IS_AIP_RD_EXPENSE_OPERATING","FQ2 2019","FQ2 2019","Currency=USD","Period=FQ","BEST_FPERIOD_OVERRIDE=FQ","FILING_STATUS=MR","SCALING_FORMAT=MLN","Sort=A","Dates=H","DateFormat=P","Fill=—","Direction=H","UseDPDF=Y")</f>
        <v>173.24</v>
      </c>
      <c r="F23" s="13" t="str">
        <f>_xll.BDH("SRPT US Equity","IS_AIP_RD_EXPENSE_OPERATING","FQ3 2019","FQ3 2019","Currency=USD","Period=FQ","BEST_FPERIOD_OVERRIDE=FQ","FILING_STATUS=MR","SCALING_FORMAT=MLN","Sort=A","Dates=H","DateFormat=P","Fill=—","Direction=H","UseDPDF=Y")</f>
        <v>—</v>
      </c>
      <c r="G23" s="13" t="str">
        <f>_xll.BDH("SRPT US Equity","IS_AIP_RD_EXPENSE_OPERATING","FQ4 2019","FQ4 2019","Currency=USD","Period=FQ","BEST_FPERIOD_OVERRIDE=FQ","FILING_STATUS=MR","SCALING_FORMAT=MLN","Sort=A","Dates=H","DateFormat=P","Fill=—","Direction=H","UseDPDF=Y")</f>
        <v>—</v>
      </c>
      <c r="H23" s="13" t="str">
        <f>_xll.BDH("SRPT US Equity","IS_AIP_RD_EXPENSE_OPERATING","FQ1 2020","FQ1 2020","Currency=USD","Period=FQ","BEST_FPERIOD_OVERRIDE=FQ","FILING_STATUS=MR","SCALING_FORMAT=MLN","Sort=A","Dates=H","DateFormat=P","Fill=—","Direction=H","UseDPDF=Y")</f>
        <v>—</v>
      </c>
      <c r="I23" s="13" t="str">
        <f>_xll.BDH("SRPT US Equity","IS_AIP_RD_EXPENSE_OPERATING","FQ2 2020","FQ2 2020","Currency=USD","Period=FQ","BEST_FPERIOD_OVERRIDE=FQ","FILING_STATUS=MR","SCALING_FORMAT=MLN","Sort=A","Dates=H","DateFormat=P","Fill=—","Direction=H","UseDPDF=Y")</f>
        <v>—</v>
      </c>
      <c r="J23" s="13" t="str">
        <f>_xll.BDH("SRPT US Equity","IS_AIP_RD_EXPENSE_OPERATING","FQ3 2020","FQ3 2020","Currency=USD","Period=FQ","BEST_FPERIOD_OVERRIDE=FQ","FILING_STATUS=MR","SCALING_FORMAT=MLN","Sort=A","Dates=H","DateFormat=P","Fill=—","Direction=H","UseDPDF=Y")</f>
        <v>—</v>
      </c>
      <c r="K23" s="13" t="str">
        <f>_xll.BDH("SRPT US Equity","IS_AIP_RD_EXPENSE_OPERATING","FQ4 2020","FQ4 2020","Currency=USD","Period=FQ","BEST_FPERIOD_OVERRIDE=FQ","FILING_STATUS=MR","SCALING_FORMAT=MLN","Sort=A","Dates=H","DateFormat=P","Fill=—","Direction=H","UseDPDF=Y")</f>
        <v>—</v>
      </c>
      <c r="L23" s="13" t="str">
        <f>_xll.BDH("SRPT US Equity","IS_AIP_RD_EXPENSE_OPERATING","FQ1 2021","FQ1 2021","Currency=USD","Period=FQ","BEST_FPERIOD_OVERRIDE=FQ","FILING_STATUS=MR","SCALING_FORMAT=MLN","Sort=A","Dates=H","DateFormat=P","Fill=—","Direction=H","UseDPDF=Y")</f>
        <v>—</v>
      </c>
      <c r="M23" s="13" t="str">
        <f>_xll.BDH("SRPT US Equity","IS_AIP_RD_EXPENSE_OPERATING","FQ2 2021","FQ2 2021","Currency=USD","Period=FQ","BEST_FPERIOD_OVERRIDE=FQ","FILING_STATUS=MR","SCALING_FORMAT=MLN","Sort=A","Dates=H","DateFormat=P","Fill=—","Direction=H","UseDPDF=Y")</f>
        <v>—</v>
      </c>
      <c r="N23" s="13" t="str">
        <f>_xll.BDH("SRPT US Equity","IS_AIP_RD_EXPENSE_OPERATING","FQ3 2021","FQ3 2021","Currency=USD","Period=FQ","BEST_FPERIOD_OVERRIDE=FQ","FILING_STATUS=MR","SCALING_FORMAT=MLN","Sort=A","Dates=H","DateFormat=P","Fill=—","Direction=H","UseDPDF=Y")</f>
        <v>—</v>
      </c>
      <c r="O23" s="13" t="str">
        <f>_xll.BDH("SRPT US Equity","IS_AIP_RD_EXPENSE_OPERATING","FQ4 2021","FQ4 2021","Currency=USD","Period=FQ","BEST_FPERIOD_OVERRIDE=FQ","FILING_STATUS=MR","SCALING_FORMAT=MLN","Sort=A","Dates=H","DateFormat=P","Fill=—","Direction=H","UseDPDF=Y")</f>
        <v>—</v>
      </c>
      <c r="P23" s="13" t="str">
        <f>_xll.BDH("SRPT US Equity","IS_AIP_RD_EXPENSE_OPERATING","FQ1 2022","FQ1 2022","Currency=USD","Period=FQ","BEST_FPERIOD_OVERRIDE=FQ","FILING_STATUS=MR","SCALING_FORMAT=MLN","Sort=A","Dates=H","DateFormat=P","Fill=—","Direction=H","UseDPDF=Y")</f>
        <v>—</v>
      </c>
      <c r="Q23" s="13" t="str">
        <f>_xll.BDH("SRPT US Equity","IS_AIP_RD_EXPENSE_OPERATING","FQ2 2022","FQ2 2022","Currency=USD","Period=FQ","BEST_FPERIOD_OVERRIDE=FQ","FILING_STATUS=MR","SCALING_FORMAT=MLN","Sort=A","Dates=H","DateFormat=P","Fill=—","Direction=H","UseDPDF=Y")</f>
        <v>—</v>
      </c>
      <c r="R23" s="13" t="str">
        <f>_xll.BDH("SRPT US Equity","IS_AIP_RD_EXPENSE_OPERATING","FQ3 2022","FQ3 2022","Currency=USD","Period=FQ","BEST_FPERIOD_OVERRIDE=FQ","FILING_STATUS=MR","SCALING_FORMAT=MLN","Sort=A","Dates=H","DateFormat=P","Fill=—","Direction=H","UseDPDF=Y")</f>
        <v>—</v>
      </c>
      <c r="S23" s="13" t="str">
        <f>_xll.BDH("SRPT US Equity","IS_AIP_RD_EXPENSE_OPERATING","FQ4 2022","FQ4 2022","Currency=USD","Period=FQ","BEST_FPERIOD_OVERRIDE=FQ","FILING_STATUS=MR","SCALING_FORMAT=MLN","Sort=A","Dates=H","DateFormat=P","Fill=—","Direction=H","UseDPDF=Y")</f>
        <v>—</v>
      </c>
      <c r="T23" s="13" t="str">
        <f>_xll.BDH("SRPT US Equity","IS_AIP_RD_EXPENSE_OPERATING","FQ1 2023","FQ1 2023","Currency=USD","Period=FQ","BEST_FPERIOD_OVERRIDE=FQ","FILING_STATUS=MR","SCALING_FORMAT=MLN","Sort=A","Dates=H","DateFormat=P","Fill=—","Direction=H","UseDPDF=Y")</f>
        <v>—</v>
      </c>
      <c r="U23" s="13" t="str">
        <f>_xll.BDH("SRPT US Equity","IS_AIP_RD_EXPENSE_OPERATING","FQ2 2023","FQ2 2023","Currency=USD","Period=FQ","BEST_FPERIOD_OVERRIDE=FQ","FILING_STATUS=MR","SCALING_FORMAT=MLN","Sort=A","Dates=H","DateFormat=P","Fill=—","Direction=H","UseDPDF=Y")</f>
        <v>—</v>
      </c>
      <c r="V23" s="13" t="str">
        <f>_xll.BDH("SRPT US Equity","IS_AIP_RD_EXPENSE_OPERATING","FQ3 2023","FQ3 2023","Currency=USD","Period=FQ","BEST_FPERIOD_OVERRIDE=FQ","FILING_STATUS=MR","SCALING_FORMAT=MLN","Sort=A","Dates=H","DateFormat=P","Fill=—","Direction=H","UseDPDF=Y")</f>
        <v>—</v>
      </c>
      <c r="W23" s="13" t="str">
        <f>_xll.BDH("SRPT US Equity","IS_AIP_RD_EXPENSE_OPERATING","FQ4 2023","FQ4 2023","Currency=USD","Period=FQ","BEST_FPERIOD_OVERRIDE=FQ","FILING_STATUS=MR","SCALING_FORMAT=MLN","Sort=A","Dates=H","DateFormat=P","Fill=—","Direction=H","UseDPDF=Y")</f>
        <v>—</v>
      </c>
      <c r="X23" s="13" t="str">
        <f>_xll.BDH("SRPT US Equity","IS_AIP_RD_EXPENSE_OPERATING","FQ1 2024","FQ1 2024","Currency=USD","Period=FQ","BEST_FPERIOD_OVERRIDE=FQ","FILING_STATUS=MR","SCALING_FORMAT=MLN","Sort=A","Dates=H","DateFormat=P","Fill=—","Direction=H","UseDPDF=Y")</f>
        <v>—</v>
      </c>
      <c r="Y23" s="13" t="str">
        <f>_xll.BDH("SRPT US Equity","IS_AIP_RD_EXPENSE_OPERATING","FQ2 2024","FQ2 2024","Currency=USD","Period=FQ","BEST_FPERIOD_OVERRIDE=FQ","FILING_STATUS=MR","SCALING_FORMAT=MLN","Sort=A","Dates=H","DateFormat=P","Fill=—","Direction=H","UseDPDF=Y")</f>
        <v>—</v>
      </c>
      <c r="Z23" s="13" t="str">
        <f>_xll.BDH("SRPT US Equity","IS_AIP_RD_EXPENSE_OPERATING","FQ3 2024","FQ3 2024","Currency=USD","Period=FQ","BEST_FPERIOD_OVERRIDE=FQ","FILING_STATUS=MR","SCALING_FORMAT=MLN","Sort=A","Dates=H","DateFormat=P","Fill=—","Direction=H","UseDPDF=Y")</f>
        <v>—</v>
      </c>
      <c r="AA23" s="13" t="str">
        <f>_xll.BDH("SRPT US Equity","IS_AIP_RD_EXPENSE_OPERATING","FQ4 2024","FQ4 2024","Currency=USD","Period=FQ","BEST_FPERIOD_OVERRIDE=FQ","FILING_STATUS=MR","SCALING_FORMAT=MLN","Sort=A","Dates=H","DateFormat=P","Fill=—","Direction=H","UseDPDF=Y")</f>
        <v>—</v>
      </c>
    </row>
    <row r="24" spans="1:27" x14ac:dyDescent="0.25">
      <c r="A24" s="10" t="s">
        <v>612</v>
      </c>
      <c r="B24" s="10" t="s">
        <v>613</v>
      </c>
      <c r="C24" s="13" t="str">
        <f>_xll.BDH("SRPT US Equity","IS_MERGER_ACQ_EXPENSE_OPERATING","FQ4 2018","FQ4 2018","Currency=USD","Period=FQ","BEST_FPERIOD_OVERRIDE=FQ","FILING_STATUS=MR","SCALING_FORMAT=MLN","Sort=A","Dates=H","DateFormat=P","Fill=—","Direction=H","UseDPDF=Y")</f>
        <v>—</v>
      </c>
      <c r="D24" s="13" t="str">
        <f>_xll.BDH("SRPT US Equity","IS_MERGER_ACQ_EXPENSE_OPERATING","FQ1 2019","FQ1 2019","Currency=USD","Period=FQ","BEST_FPERIOD_OVERRIDE=FQ","FILING_STATUS=MR","SCALING_FORMAT=MLN","Sort=A","Dates=H","DateFormat=P","Fill=—","Direction=H","UseDPDF=Y")</f>
        <v>—</v>
      </c>
      <c r="E24" s="13" t="str">
        <f>_xll.BDH("SRPT US Equity","IS_MERGER_ACQ_EXPENSE_OPERATING","FQ2 2019","FQ2 2019","Currency=USD","Period=FQ","BEST_FPERIOD_OVERRIDE=FQ","FILING_STATUS=MR","SCALING_FORMAT=MLN","Sort=A","Dates=H","DateFormat=P","Fill=—","Direction=H","UseDPDF=Y")</f>
        <v>—</v>
      </c>
      <c r="F24" s="13" t="str">
        <f>_xll.BDH("SRPT US Equity","IS_MERGER_ACQ_EXPENSE_OPERATING","FQ3 2019","FQ3 2019","Currency=USD","Period=FQ","BEST_FPERIOD_OVERRIDE=FQ","FILING_STATUS=MR","SCALING_FORMAT=MLN","Sort=A","Dates=H","DateFormat=P","Fill=—","Direction=H","UseDPDF=Y")</f>
        <v>—</v>
      </c>
      <c r="G24" s="13" t="str">
        <f>_xll.BDH("SRPT US Equity","IS_MERGER_ACQ_EXPENSE_OPERATING","FQ4 2019","FQ4 2019","Currency=USD","Period=FQ","BEST_FPERIOD_OVERRIDE=FQ","FILING_STATUS=MR","SCALING_FORMAT=MLN","Sort=A","Dates=H","DateFormat=P","Fill=—","Direction=H","UseDPDF=Y")</f>
        <v>—</v>
      </c>
      <c r="H24" s="13">
        <f>_xll.BDH("SRPT US Equity","IS_MERGER_ACQ_EXPENSE_OPERATING","FQ1 2020","FQ1 2020","Currency=USD","Period=FQ","BEST_FPERIOD_OVERRIDE=FQ","FILING_STATUS=MR","SCALING_FORMAT=MLN","Sort=A","Dates=H","DateFormat=P","Fill=—","Direction=H","UseDPDF=Y")</f>
        <v>11.292</v>
      </c>
      <c r="I24" s="13" t="str">
        <f>_xll.BDH("SRPT US Equity","IS_MERGER_ACQ_EXPENSE_OPERATING","FQ2 2020","FQ2 2020","Currency=USD","Period=FQ","BEST_FPERIOD_OVERRIDE=FQ","FILING_STATUS=MR","SCALING_FORMAT=MLN","Sort=A","Dates=H","DateFormat=P","Fill=—","Direction=H","UseDPDF=Y")</f>
        <v>—</v>
      </c>
      <c r="J24" s="13" t="str">
        <f>_xll.BDH("SRPT US Equity","IS_MERGER_ACQ_EXPENSE_OPERATING","FQ3 2020","FQ3 2020","Currency=USD","Period=FQ","BEST_FPERIOD_OVERRIDE=FQ","FILING_STATUS=MR","SCALING_FORMAT=MLN","Sort=A","Dates=H","DateFormat=P","Fill=—","Direction=H","UseDPDF=Y")</f>
        <v>—</v>
      </c>
      <c r="K24" s="13" t="str">
        <f>_xll.BDH("SRPT US Equity","IS_MERGER_ACQ_EXPENSE_OPERATING","FQ4 2020","FQ4 2020","Currency=USD","Period=FQ","BEST_FPERIOD_OVERRIDE=FQ","FILING_STATUS=MR","SCALING_FORMAT=MLN","Sort=A","Dates=H","DateFormat=P","Fill=—","Direction=H","UseDPDF=Y")</f>
        <v>—</v>
      </c>
      <c r="L24" s="13" t="str">
        <f>_xll.BDH("SRPT US Equity","IS_MERGER_ACQ_EXPENSE_OPERATING","FQ1 2021","FQ1 2021","Currency=USD","Period=FQ","BEST_FPERIOD_OVERRIDE=FQ","FILING_STATUS=MR","SCALING_FORMAT=MLN","Sort=A","Dates=H","DateFormat=P","Fill=—","Direction=H","UseDPDF=Y")</f>
        <v>—</v>
      </c>
      <c r="M24" s="13" t="str">
        <f>_xll.BDH("SRPT US Equity","IS_MERGER_ACQ_EXPENSE_OPERATING","FQ2 2021","FQ2 2021","Currency=USD","Period=FQ","BEST_FPERIOD_OVERRIDE=FQ","FILING_STATUS=MR","SCALING_FORMAT=MLN","Sort=A","Dates=H","DateFormat=P","Fill=—","Direction=H","UseDPDF=Y")</f>
        <v>—</v>
      </c>
      <c r="N24" s="13" t="str">
        <f>_xll.BDH("SRPT US Equity","IS_MERGER_ACQ_EXPENSE_OPERATING","FQ3 2021","FQ3 2021","Currency=USD","Period=FQ","BEST_FPERIOD_OVERRIDE=FQ","FILING_STATUS=MR","SCALING_FORMAT=MLN","Sort=A","Dates=H","DateFormat=P","Fill=—","Direction=H","UseDPDF=Y")</f>
        <v>—</v>
      </c>
      <c r="O24" s="13" t="str">
        <f>_xll.BDH("SRPT US Equity","IS_MERGER_ACQ_EXPENSE_OPERATING","FQ4 2021","FQ4 2021","Currency=USD","Period=FQ","BEST_FPERIOD_OVERRIDE=FQ","FILING_STATUS=MR","SCALING_FORMAT=MLN","Sort=A","Dates=H","DateFormat=P","Fill=—","Direction=H","UseDPDF=Y")</f>
        <v>—</v>
      </c>
      <c r="P24" s="13" t="str">
        <f>_xll.BDH("SRPT US Equity","IS_MERGER_ACQ_EXPENSE_OPERATING","FQ1 2022","FQ1 2022","Currency=USD","Period=FQ","BEST_FPERIOD_OVERRIDE=FQ","FILING_STATUS=MR","SCALING_FORMAT=MLN","Sort=A","Dates=H","DateFormat=P","Fill=—","Direction=H","UseDPDF=Y")</f>
        <v>—</v>
      </c>
      <c r="Q24" s="13" t="str">
        <f>_xll.BDH("SRPT US Equity","IS_MERGER_ACQ_EXPENSE_OPERATING","FQ2 2022","FQ2 2022","Currency=USD","Period=FQ","BEST_FPERIOD_OVERRIDE=FQ","FILING_STATUS=MR","SCALING_FORMAT=MLN","Sort=A","Dates=H","DateFormat=P","Fill=—","Direction=H","UseDPDF=Y")</f>
        <v>—</v>
      </c>
      <c r="R24" s="13" t="str">
        <f>_xll.BDH("SRPT US Equity","IS_MERGER_ACQ_EXPENSE_OPERATING","FQ3 2022","FQ3 2022","Currency=USD","Period=FQ","BEST_FPERIOD_OVERRIDE=FQ","FILING_STATUS=MR","SCALING_FORMAT=MLN","Sort=A","Dates=H","DateFormat=P","Fill=—","Direction=H","UseDPDF=Y")</f>
        <v>—</v>
      </c>
      <c r="S24" s="13" t="str">
        <f>_xll.BDH("SRPT US Equity","IS_MERGER_ACQ_EXPENSE_OPERATING","FQ4 2022","FQ4 2022","Currency=USD","Period=FQ","BEST_FPERIOD_OVERRIDE=FQ","FILING_STATUS=MR","SCALING_FORMAT=MLN","Sort=A","Dates=H","DateFormat=P","Fill=—","Direction=H","UseDPDF=Y")</f>
        <v>—</v>
      </c>
      <c r="T24" s="13" t="str">
        <f>_xll.BDH("SRPT US Equity","IS_MERGER_ACQ_EXPENSE_OPERATING","FQ1 2023","FQ1 2023","Currency=USD","Period=FQ","BEST_FPERIOD_OVERRIDE=FQ","FILING_STATUS=MR","SCALING_FORMAT=MLN","Sort=A","Dates=H","DateFormat=P","Fill=—","Direction=H","UseDPDF=Y")</f>
        <v>—</v>
      </c>
      <c r="U24" s="13" t="str">
        <f>_xll.BDH("SRPT US Equity","IS_MERGER_ACQ_EXPENSE_OPERATING","FQ2 2023","FQ2 2023","Currency=USD","Period=FQ","BEST_FPERIOD_OVERRIDE=FQ","FILING_STATUS=MR","SCALING_FORMAT=MLN","Sort=A","Dates=H","DateFormat=P","Fill=—","Direction=H","UseDPDF=Y")</f>
        <v>—</v>
      </c>
      <c r="V24" s="13" t="str">
        <f>_xll.BDH("SRPT US Equity","IS_MERGER_ACQ_EXPENSE_OPERATING","FQ3 2023","FQ3 2023","Currency=USD","Period=FQ","BEST_FPERIOD_OVERRIDE=FQ","FILING_STATUS=MR","SCALING_FORMAT=MLN","Sort=A","Dates=H","DateFormat=P","Fill=—","Direction=H","UseDPDF=Y")</f>
        <v>—</v>
      </c>
      <c r="W24" s="13" t="str">
        <f>_xll.BDH("SRPT US Equity","IS_MERGER_ACQ_EXPENSE_OPERATING","FQ4 2023","FQ4 2023","Currency=USD","Period=FQ","BEST_FPERIOD_OVERRIDE=FQ","FILING_STATUS=MR","SCALING_FORMAT=MLN","Sort=A","Dates=H","DateFormat=P","Fill=—","Direction=H","UseDPDF=Y")</f>
        <v>—</v>
      </c>
      <c r="X24" s="13" t="str">
        <f>_xll.BDH("SRPT US Equity","IS_MERGER_ACQ_EXPENSE_OPERATING","FQ1 2024","FQ1 2024","Currency=USD","Period=FQ","BEST_FPERIOD_OVERRIDE=FQ","FILING_STATUS=MR","SCALING_FORMAT=MLN","Sort=A","Dates=H","DateFormat=P","Fill=—","Direction=H","UseDPDF=Y")</f>
        <v>—</v>
      </c>
      <c r="Y24" s="13" t="str">
        <f>_xll.BDH("SRPT US Equity","IS_MERGER_ACQ_EXPENSE_OPERATING","FQ2 2024","FQ2 2024","Currency=USD","Period=FQ","BEST_FPERIOD_OVERRIDE=FQ","FILING_STATUS=MR","SCALING_FORMAT=MLN","Sort=A","Dates=H","DateFormat=P","Fill=—","Direction=H","UseDPDF=Y")</f>
        <v>—</v>
      </c>
      <c r="Z24" s="13" t="str">
        <f>_xll.BDH("SRPT US Equity","IS_MERGER_ACQ_EXPENSE_OPERATING","FQ3 2024","FQ3 2024","Currency=USD","Period=FQ","BEST_FPERIOD_OVERRIDE=FQ","FILING_STATUS=MR","SCALING_FORMAT=MLN","Sort=A","Dates=H","DateFormat=P","Fill=—","Direction=H","UseDPDF=Y")</f>
        <v>—</v>
      </c>
      <c r="AA24" s="13" t="str">
        <f>_xll.BDH("SRPT US Equity","IS_MERGER_ACQ_EXPENSE_OPERATING","FQ4 2024","FQ4 2024","Currency=USD","Period=FQ","BEST_FPERIOD_OVERRIDE=FQ","FILING_STATUS=MR","SCALING_FORMAT=MLN","Sort=A","Dates=H","DateFormat=P","Fill=—","Direction=H","UseDPDF=Y")</f>
        <v>—</v>
      </c>
    </row>
    <row r="25" spans="1:27" x14ac:dyDescent="0.25">
      <c r="A25" s="10" t="s">
        <v>614</v>
      </c>
      <c r="B25" s="10" t="s">
        <v>615</v>
      </c>
      <c r="C25" s="13">
        <f>_xll.BDH("SRPT US Equity","IS_GAIN_LOSS_ON_DISP_OF_AST_OP","FQ4 2018","FQ4 2018","Currency=USD","Period=FQ","BEST_FPERIOD_OVERRIDE=FQ","FILING_STATUS=MR","SCALING_FORMAT=MLN","Sort=A","Dates=H","DateFormat=P","Fill=—","Direction=H","UseDPDF=Y")</f>
        <v>3.8439999999999999</v>
      </c>
      <c r="D25" s="13">
        <f>_xll.BDH("SRPT US Equity","IS_GAIN_LOSS_ON_DISP_OF_AST_OP","FQ1 2019","FQ1 2019","Currency=USD","Period=FQ","BEST_FPERIOD_OVERRIDE=FQ","FILING_STATUS=MR","SCALING_FORMAT=MLN","Sort=A","Dates=H","DateFormat=P","Fill=—","Direction=H","UseDPDF=Y")</f>
        <v>8.7999999999999995E-2</v>
      </c>
      <c r="E25" s="13" t="str">
        <f>_xll.BDH("SRPT US Equity","IS_GAIN_LOSS_ON_DISP_OF_AST_OP","FQ2 2019","FQ2 2019","Currency=USD","Period=FQ","BEST_FPERIOD_OVERRIDE=FQ","FILING_STATUS=MR","SCALING_FORMAT=MLN","Sort=A","Dates=H","DateFormat=P","Fill=—","Direction=H","UseDPDF=Y")</f>
        <v>—</v>
      </c>
      <c r="F25" s="13" t="str">
        <f>_xll.BDH("SRPT US Equity","IS_GAIN_LOSS_ON_DISP_OF_AST_OP","FQ3 2019","FQ3 2019","Currency=USD","Period=FQ","BEST_FPERIOD_OVERRIDE=FQ","FILING_STATUS=MR","SCALING_FORMAT=MLN","Sort=A","Dates=H","DateFormat=P","Fill=—","Direction=H","UseDPDF=Y")</f>
        <v>—</v>
      </c>
      <c r="G25" s="13" t="str">
        <f>_xll.BDH("SRPT US Equity","IS_GAIN_LOSS_ON_DISP_OF_AST_OP","FQ4 2019","FQ4 2019","Currency=USD","Period=FQ","BEST_FPERIOD_OVERRIDE=FQ","FILING_STATUS=MR","SCALING_FORMAT=MLN","Sort=A","Dates=H","DateFormat=P","Fill=—","Direction=H","UseDPDF=Y")</f>
        <v>—</v>
      </c>
      <c r="H25" s="13" t="str">
        <f>_xll.BDH("SRPT US Equity","IS_GAIN_LOSS_ON_DISP_OF_AST_OP","FQ1 2020","FQ1 2020","Currency=USD","Period=FQ","BEST_FPERIOD_OVERRIDE=FQ","FILING_STATUS=MR","SCALING_FORMAT=MLN","Sort=A","Dates=H","DateFormat=P","Fill=—","Direction=H","UseDPDF=Y")</f>
        <v>—</v>
      </c>
      <c r="I25" s="13" t="str">
        <f>_xll.BDH("SRPT US Equity","IS_GAIN_LOSS_ON_DISP_OF_AST_OP","FQ2 2020","FQ2 2020","Currency=USD","Period=FQ","BEST_FPERIOD_OVERRIDE=FQ","FILING_STATUS=MR","SCALING_FORMAT=MLN","Sort=A","Dates=H","DateFormat=P","Fill=—","Direction=H","UseDPDF=Y")</f>
        <v>—</v>
      </c>
      <c r="J25" s="13" t="str">
        <f>_xll.BDH("SRPT US Equity","IS_GAIN_LOSS_ON_DISP_OF_AST_OP","FQ3 2020","FQ3 2020","Currency=USD","Period=FQ","BEST_FPERIOD_OVERRIDE=FQ","FILING_STATUS=MR","SCALING_FORMAT=MLN","Sort=A","Dates=H","DateFormat=P","Fill=—","Direction=H","UseDPDF=Y")</f>
        <v>—</v>
      </c>
      <c r="K25" s="13" t="str">
        <f>_xll.BDH("SRPT US Equity","IS_GAIN_LOSS_ON_DISP_OF_AST_OP","FQ4 2020","FQ4 2020","Currency=USD","Period=FQ","BEST_FPERIOD_OVERRIDE=FQ","FILING_STATUS=MR","SCALING_FORMAT=MLN","Sort=A","Dates=H","DateFormat=P","Fill=—","Direction=H","UseDPDF=Y")</f>
        <v>—</v>
      </c>
      <c r="L25" s="13" t="str">
        <f>_xll.BDH("SRPT US Equity","IS_GAIN_LOSS_ON_DISP_OF_AST_OP","FQ1 2021","FQ1 2021","Currency=USD","Period=FQ","BEST_FPERIOD_OVERRIDE=FQ","FILING_STATUS=MR","SCALING_FORMAT=MLN","Sort=A","Dates=H","DateFormat=P","Fill=—","Direction=H","UseDPDF=Y")</f>
        <v>—</v>
      </c>
      <c r="M25" s="13">
        <f>_xll.BDH("SRPT US Equity","IS_GAIN_LOSS_ON_DISP_OF_AST_OP","FQ2 2021","FQ2 2021","Currency=USD","Period=FQ","BEST_FPERIOD_OVERRIDE=FQ","FILING_STATUS=MR","SCALING_FORMAT=MLN","Sort=A","Dates=H","DateFormat=P","Fill=—","Direction=H","UseDPDF=Y")</f>
        <v>-102</v>
      </c>
      <c r="N25" s="13" t="str">
        <f>_xll.BDH("SRPT US Equity","IS_GAIN_LOSS_ON_DISP_OF_AST_OP","FQ3 2021","FQ3 2021","Currency=USD","Period=FQ","BEST_FPERIOD_OVERRIDE=FQ","FILING_STATUS=MR","SCALING_FORMAT=MLN","Sort=A","Dates=H","DateFormat=P","Fill=—","Direction=H","UseDPDF=Y")</f>
        <v>—</v>
      </c>
      <c r="O25" s="13" t="str">
        <f>_xll.BDH("SRPT US Equity","IS_GAIN_LOSS_ON_DISP_OF_AST_OP","FQ4 2021","FQ4 2021","Currency=USD","Period=FQ","BEST_FPERIOD_OVERRIDE=FQ","FILING_STATUS=MR","SCALING_FORMAT=MLN","Sort=A","Dates=H","DateFormat=P","Fill=—","Direction=H","UseDPDF=Y")</f>
        <v>—</v>
      </c>
      <c r="P25" s="13" t="str">
        <f>_xll.BDH("SRPT US Equity","IS_GAIN_LOSS_ON_DISP_OF_AST_OP","FQ1 2022","FQ1 2022","Currency=USD","Period=FQ","BEST_FPERIOD_OVERRIDE=FQ","FILING_STATUS=MR","SCALING_FORMAT=MLN","Sort=A","Dates=H","DateFormat=P","Fill=—","Direction=H","UseDPDF=Y")</f>
        <v>—</v>
      </c>
      <c r="Q25" s="13" t="str">
        <f>_xll.BDH("SRPT US Equity","IS_GAIN_LOSS_ON_DISP_OF_AST_OP","FQ2 2022","FQ2 2022","Currency=USD","Period=FQ","BEST_FPERIOD_OVERRIDE=FQ","FILING_STATUS=MR","SCALING_FORMAT=MLN","Sort=A","Dates=H","DateFormat=P","Fill=—","Direction=H","UseDPDF=Y")</f>
        <v>—</v>
      </c>
      <c r="R25" s="13" t="str">
        <f>_xll.BDH("SRPT US Equity","IS_GAIN_LOSS_ON_DISP_OF_AST_OP","FQ3 2022","FQ3 2022","Currency=USD","Period=FQ","BEST_FPERIOD_OVERRIDE=FQ","FILING_STATUS=MR","SCALING_FORMAT=MLN","Sort=A","Dates=H","DateFormat=P","Fill=—","Direction=H","UseDPDF=Y")</f>
        <v>—</v>
      </c>
      <c r="S25" s="13" t="str">
        <f>_xll.BDH("SRPT US Equity","IS_GAIN_LOSS_ON_DISP_OF_AST_OP","FQ4 2022","FQ4 2022","Currency=USD","Period=FQ","BEST_FPERIOD_OVERRIDE=FQ","FILING_STATUS=MR","SCALING_FORMAT=MLN","Sort=A","Dates=H","DateFormat=P","Fill=—","Direction=H","UseDPDF=Y")</f>
        <v>—</v>
      </c>
      <c r="T25" s="13" t="str">
        <f>_xll.BDH("SRPT US Equity","IS_GAIN_LOSS_ON_DISP_OF_AST_OP","FQ1 2023","FQ1 2023","Currency=USD","Period=FQ","BEST_FPERIOD_OVERRIDE=FQ","FILING_STATUS=MR","SCALING_FORMAT=MLN","Sort=A","Dates=H","DateFormat=P","Fill=—","Direction=H","UseDPDF=Y")</f>
        <v>—</v>
      </c>
      <c r="U25" s="13" t="str">
        <f>_xll.BDH("SRPT US Equity","IS_GAIN_LOSS_ON_DISP_OF_AST_OP","FQ2 2023","FQ2 2023","Currency=USD","Period=FQ","BEST_FPERIOD_OVERRIDE=FQ","FILING_STATUS=MR","SCALING_FORMAT=MLN","Sort=A","Dates=H","DateFormat=P","Fill=—","Direction=H","UseDPDF=Y")</f>
        <v>—</v>
      </c>
      <c r="V25" s="13" t="str">
        <f>_xll.BDH("SRPT US Equity","IS_GAIN_LOSS_ON_DISP_OF_AST_OP","FQ3 2023","FQ3 2023","Currency=USD","Period=FQ","BEST_FPERIOD_OVERRIDE=FQ","FILING_STATUS=MR","SCALING_FORMAT=MLN","Sort=A","Dates=H","DateFormat=P","Fill=—","Direction=H","UseDPDF=Y")</f>
        <v>—</v>
      </c>
      <c r="W25" s="13" t="str">
        <f>_xll.BDH("SRPT US Equity","IS_GAIN_LOSS_ON_DISP_OF_AST_OP","FQ4 2023","FQ4 2023","Currency=USD","Period=FQ","BEST_FPERIOD_OVERRIDE=FQ","FILING_STATUS=MR","SCALING_FORMAT=MLN","Sort=A","Dates=H","DateFormat=P","Fill=—","Direction=H","UseDPDF=Y")</f>
        <v>—</v>
      </c>
      <c r="X25" s="13" t="str">
        <f>_xll.BDH("SRPT US Equity","IS_GAIN_LOSS_ON_DISP_OF_AST_OP","FQ1 2024","FQ1 2024","Currency=USD","Period=FQ","BEST_FPERIOD_OVERRIDE=FQ","FILING_STATUS=MR","SCALING_FORMAT=MLN","Sort=A","Dates=H","DateFormat=P","Fill=—","Direction=H","UseDPDF=Y")</f>
        <v>—</v>
      </c>
      <c r="Y25" s="13" t="str">
        <f>_xll.BDH("SRPT US Equity","IS_GAIN_LOSS_ON_DISP_OF_AST_OP","FQ2 2024","FQ2 2024","Currency=USD","Period=FQ","BEST_FPERIOD_OVERRIDE=FQ","FILING_STATUS=MR","SCALING_FORMAT=MLN","Sort=A","Dates=H","DateFormat=P","Fill=—","Direction=H","UseDPDF=Y")</f>
        <v>—</v>
      </c>
      <c r="Z25" s="13" t="str">
        <f>_xll.BDH("SRPT US Equity","IS_GAIN_LOSS_ON_DISP_OF_AST_OP","FQ3 2024","FQ3 2024","Currency=USD","Period=FQ","BEST_FPERIOD_OVERRIDE=FQ","FILING_STATUS=MR","SCALING_FORMAT=MLN","Sort=A","Dates=H","DateFormat=P","Fill=—","Direction=H","UseDPDF=Y")</f>
        <v>—</v>
      </c>
      <c r="AA25" s="13" t="str">
        <f>_xll.BDH("SRPT US Equity","IS_GAIN_LOSS_ON_DISP_OF_AST_OP","FQ4 2024","FQ4 2024","Currency=USD","Period=FQ","BEST_FPERIOD_OVERRIDE=FQ","FILING_STATUS=MR","SCALING_FORMAT=MLN","Sort=A","Dates=H","DateFormat=P","Fill=—","Direction=H","UseDPDF=Y")</f>
        <v>—</v>
      </c>
    </row>
    <row r="26" spans="1:27" x14ac:dyDescent="0.25">
      <c r="A26" s="10" t="s">
        <v>616</v>
      </c>
      <c r="B26" s="10" t="s">
        <v>617</v>
      </c>
      <c r="C26" s="13" t="str">
        <f>_xll.BDH("SRPT US Equity","IS_LEGAL_LIT_SETTLE_EXPN_OP","FQ4 2018","FQ4 2018","Currency=USD","Period=FQ","BEST_FPERIOD_OVERRIDE=FQ","FILING_STATUS=MR","SCALING_FORMAT=MLN","Sort=A","Dates=H","DateFormat=P","Fill=—","Direction=H","UseDPDF=Y")</f>
        <v>—</v>
      </c>
      <c r="D26" s="13" t="str">
        <f>_xll.BDH("SRPT US Equity","IS_LEGAL_LIT_SETTLE_EXPN_OP","FQ1 2019","FQ1 2019","Currency=USD","Period=FQ","BEST_FPERIOD_OVERRIDE=FQ","FILING_STATUS=MR","SCALING_FORMAT=MLN","Sort=A","Dates=H","DateFormat=P","Fill=—","Direction=H","UseDPDF=Y")</f>
        <v>—</v>
      </c>
      <c r="E26" s="13" t="str">
        <f>_xll.BDH("SRPT US Equity","IS_LEGAL_LIT_SETTLE_EXPN_OP","FQ2 2019","FQ2 2019","Currency=USD","Period=FQ","BEST_FPERIOD_OVERRIDE=FQ","FILING_STATUS=MR","SCALING_FORMAT=MLN","Sort=A","Dates=H","DateFormat=P","Fill=—","Direction=H","UseDPDF=Y")</f>
        <v>—</v>
      </c>
      <c r="F26" s="13" t="str">
        <f>_xll.BDH("SRPT US Equity","IS_LEGAL_LIT_SETTLE_EXPN_OP","FQ3 2019","FQ3 2019","Currency=USD","Period=FQ","BEST_FPERIOD_OVERRIDE=FQ","FILING_STATUS=MR","SCALING_FORMAT=MLN","Sort=A","Dates=H","DateFormat=P","Fill=—","Direction=H","UseDPDF=Y")</f>
        <v>—</v>
      </c>
      <c r="G26" s="13">
        <f>_xll.BDH("SRPT US Equity","IS_LEGAL_LIT_SETTLE_EXPN_OP","FQ4 2019","FQ4 2019","Currency=USD","Period=FQ","BEST_FPERIOD_OVERRIDE=FQ","FILING_STATUS=MR","SCALING_FORMAT=MLN","Sort=A","Dates=H","DateFormat=P","Fill=—","Direction=H","UseDPDF=Y")</f>
        <v>10</v>
      </c>
      <c r="H26" s="13" t="str">
        <f>_xll.BDH("SRPT US Equity","IS_LEGAL_LIT_SETTLE_EXPN_OP","FQ1 2020","FQ1 2020","Currency=USD","Period=FQ","BEST_FPERIOD_OVERRIDE=FQ","FILING_STATUS=MR","SCALING_FORMAT=MLN","Sort=A","Dates=H","DateFormat=P","Fill=—","Direction=H","UseDPDF=Y")</f>
        <v>—</v>
      </c>
      <c r="I26" s="13" t="str">
        <f>_xll.BDH("SRPT US Equity","IS_LEGAL_LIT_SETTLE_EXPN_OP","FQ2 2020","FQ2 2020","Currency=USD","Period=FQ","BEST_FPERIOD_OVERRIDE=FQ","FILING_STATUS=MR","SCALING_FORMAT=MLN","Sort=A","Dates=H","DateFormat=P","Fill=—","Direction=H","UseDPDF=Y")</f>
        <v>—</v>
      </c>
      <c r="J26" s="13" t="str">
        <f>_xll.BDH("SRPT US Equity","IS_LEGAL_LIT_SETTLE_EXPN_OP","FQ3 2020","FQ3 2020","Currency=USD","Period=FQ","BEST_FPERIOD_OVERRIDE=FQ","FILING_STATUS=MR","SCALING_FORMAT=MLN","Sort=A","Dates=H","DateFormat=P","Fill=—","Direction=H","UseDPDF=Y")</f>
        <v>—</v>
      </c>
      <c r="K26" s="13" t="str">
        <f>_xll.BDH("SRPT US Equity","IS_LEGAL_LIT_SETTLE_EXPN_OP","FQ4 2020","FQ4 2020","Currency=USD","Period=FQ","BEST_FPERIOD_OVERRIDE=FQ","FILING_STATUS=MR","SCALING_FORMAT=MLN","Sort=A","Dates=H","DateFormat=P","Fill=—","Direction=H","UseDPDF=Y")</f>
        <v>—</v>
      </c>
      <c r="L26" s="13">
        <f>_xll.BDH("SRPT US Equity","IS_LEGAL_LIT_SETTLE_EXPN_OP","FQ1 2021","FQ1 2021","Currency=USD","Period=FQ","BEST_FPERIOD_OVERRIDE=FQ","FILING_STATUS=MR","SCALING_FORMAT=MLN","Sort=A","Dates=H","DateFormat=P","Fill=—","Direction=H","UseDPDF=Y")</f>
        <v>10</v>
      </c>
      <c r="M26" s="13" t="str">
        <f>_xll.BDH("SRPT US Equity","IS_LEGAL_LIT_SETTLE_EXPN_OP","FQ2 2021","FQ2 2021","Currency=USD","Period=FQ","BEST_FPERIOD_OVERRIDE=FQ","FILING_STATUS=MR","SCALING_FORMAT=MLN","Sort=A","Dates=H","DateFormat=P","Fill=—","Direction=H","UseDPDF=Y")</f>
        <v>—</v>
      </c>
      <c r="N26" s="13" t="str">
        <f>_xll.BDH("SRPT US Equity","IS_LEGAL_LIT_SETTLE_EXPN_OP","FQ3 2021","FQ3 2021","Currency=USD","Period=FQ","BEST_FPERIOD_OVERRIDE=FQ","FILING_STATUS=MR","SCALING_FORMAT=MLN","Sort=A","Dates=H","DateFormat=P","Fill=—","Direction=H","UseDPDF=Y")</f>
        <v>—</v>
      </c>
      <c r="O26" s="13" t="str">
        <f>_xll.BDH("SRPT US Equity","IS_LEGAL_LIT_SETTLE_EXPN_OP","FQ4 2021","FQ4 2021","Currency=USD","Period=FQ","BEST_FPERIOD_OVERRIDE=FQ","FILING_STATUS=MR","SCALING_FORMAT=MLN","Sort=A","Dates=H","DateFormat=P","Fill=—","Direction=H","UseDPDF=Y")</f>
        <v>—</v>
      </c>
      <c r="P26" s="13" t="str">
        <f>_xll.BDH("SRPT US Equity","IS_LEGAL_LIT_SETTLE_EXPN_OP","FQ1 2022","FQ1 2022","Currency=USD","Period=FQ","BEST_FPERIOD_OVERRIDE=FQ","FILING_STATUS=MR","SCALING_FORMAT=MLN","Sort=A","Dates=H","DateFormat=P","Fill=—","Direction=H","UseDPDF=Y")</f>
        <v>—</v>
      </c>
      <c r="Q26" s="13" t="str">
        <f>_xll.BDH("SRPT US Equity","IS_LEGAL_LIT_SETTLE_EXPN_OP","FQ2 2022","FQ2 2022","Currency=USD","Period=FQ","BEST_FPERIOD_OVERRIDE=FQ","FILING_STATUS=MR","SCALING_FORMAT=MLN","Sort=A","Dates=H","DateFormat=P","Fill=—","Direction=H","UseDPDF=Y")</f>
        <v>—</v>
      </c>
      <c r="R26" s="13" t="str">
        <f>_xll.BDH("SRPT US Equity","IS_LEGAL_LIT_SETTLE_EXPN_OP","FQ3 2022","FQ3 2022","Currency=USD","Period=FQ","BEST_FPERIOD_OVERRIDE=FQ","FILING_STATUS=MR","SCALING_FORMAT=MLN","Sort=A","Dates=H","DateFormat=P","Fill=—","Direction=H","UseDPDF=Y")</f>
        <v>—</v>
      </c>
      <c r="S26" s="13" t="str">
        <f>_xll.BDH("SRPT US Equity","IS_LEGAL_LIT_SETTLE_EXPN_OP","FQ4 2022","FQ4 2022","Currency=USD","Period=FQ","BEST_FPERIOD_OVERRIDE=FQ","FILING_STATUS=MR","SCALING_FORMAT=MLN","Sort=A","Dates=H","DateFormat=P","Fill=—","Direction=H","UseDPDF=Y")</f>
        <v>—</v>
      </c>
      <c r="T26" s="13" t="str">
        <f>_xll.BDH("SRPT US Equity","IS_LEGAL_LIT_SETTLE_EXPN_OP","FQ1 2023","FQ1 2023","Currency=USD","Period=FQ","BEST_FPERIOD_OVERRIDE=FQ","FILING_STATUS=MR","SCALING_FORMAT=MLN","Sort=A","Dates=H","DateFormat=P","Fill=—","Direction=H","UseDPDF=Y")</f>
        <v>—</v>
      </c>
      <c r="U26" s="13" t="str">
        <f>_xll.BDH("SRPT US Equity","IS_LEGAL_LIT_SETTLE_EXPN_OP","FQ2 2023","FQ2 2023","Currency=USD","Period=FQ","BEST_FPERIOD_OVERRIDE=FQ","FILING_STATUS=MR","SCALING_FORMAT=MLN","Sort=A","Dates=H","DateFormat=P","Fill=—","Direction=H","UseDPDF=Y")</f>
        <v>—</v>
      </c>
      <c r="V26" s="13" t="str">
        <f>_xll.BDH("SRPT US Equity","IS_LEGAL_LIT_SETTLE_EXPN_OP","FQ3 2023","FQ3 2023","Currency=USD","Period=FQ","BEST_FPERIOD_OVERRIDE=FQ","FILING_STATUS=MR","SCALING_FORMAT=MLN","Sort=A","Dates=H","DateFormat=P","Fill=—","Direction=H","UseDPDF=Y")</f>
        <v>—</v>
      </c>
      <c r="W26" s="13" t="str">
        <f>_xll.BDH("SRPT US Equity","IS_LEGAL_LIT_SETTLE_EXPN_OP","FQ4 2023","FQ4 2023","Currency=USD","Period=FQ","BEST_FPERIOD_OVERRIDE=FQ","FILING_STATUS=MR","SCALING_FORMAT=MLN","Sort=A","Dates=H","DateFormat=P","Fill=—","Direction=H","UseDPDF=Y")</f>
        <v>—</v>
      </c>
      <c r="X26" s="13" t="str">
        <f>_xll.BDH("SRPT US Equity","IS_LEGAL_LIT_SETTLE_EXPN_OP","FQ1 2024","FQ1 2024","Currency=USD","Period=FQ","BEST_FPERIOD_OVERRIDE=FQ","FILING_STATUS=MR","SCALING_FORMAT=MLN","Sort=A","Dates=H","DateFormat=P","Fill=—","Direction=H","UseDPDF=Y")</f>
        <v>—</v>
      </c>
      <c r="Y26" s="13" t="str">
        <f>_xll.BDH("SRPT US Equity","IS_LEGAL_LIT_SETTLE_EXPN_OP","FQ2 2024","FQ2 2024","Currency=USD","Period=FQ","BEST_FPERIOD_OVERRIDE=FQ","FILING_STATUS=MR","SCALING_FORMAT=MLN","Sort=A","Dates=H","DateFormat=P","Fill=—","Direction=H","UseDPDF=Y")</f>
        <v>—</v>
      </c>
      <c r="Z26" s="13" t="str">
        <f>_xll.BDH("SRPT US Equity","IS_LEGAL_LIT_SETTLE_EXPN_OP","FQ3 2024","FQ3 2024","Currency=USD","Period=FQ","BEST_FPERIOD_OVERRIDE=FQ","FILING_STATUS=MR","SCALING_FORMAT=MLN","Sort=A","Dates=H","DateFormat=P","Fill=—","Direction=H","UseDPDF=Y")</f>
        <v>—</v>
      </c>
      <c r="AA26" s="13" t="str">
        <f>_xll.BDH("SRPT US Equity","IS_LEGAL_LIT_SETTLE_EXPN_OP","FQ4 2024","FQ4 2024","Currency=USD","Period=FQ","BEST_FPERIOD_OVERRIDE=FQ","FILING_STATUS=MR","SCALING_FORMAT=MLN","Sort=A","Dates=H","DateFormat=P","Fill=—","Direction=H","UseDPDF=Y")</f>
        <v>—</v>
      </c>
    </row>
    <row r="27" spans="1:27" x14ac:dyDescent="0.25">
      <c r="A27" s="10" t="s">
        <v>618</v>
      </c>
      <c r="B27" s="10" t="s">
        <v>619</v>
      </c>
      <c r="C27" s="13" t="str">
        <f>_xll.BDH("SRPT US Equity","IS_OTHER_ONE_TIME_ITEMS_OP","FQ4 2018","FQ4 2018","Currency=USD","Period=FQ","BEST_FPERIOD_OVERRIDE=FQ","FILING_STATUS=MR","SCALING_FORMAT=MLN","Sort=A","Dates=H","DateFormat=P","Fill=—","Direction=H","UseDPDF=Y")</f>
        <v>—</v>
      </c>
      <c r="D27" s="13">
        <f>_xll.BDH("SRPT US Equity","IS_OTHER_ONE_TIME_ITEMS_OP","FQ1 2019","FQ1 2019","Currency=USD","Period=FQ","BEST_FPERIOD_OVERRIDE=FQ","FILING_STATUS=MR","SCALING_FORMAT=MLN","Sort=A","Dates=H","DateFormat=P","Fill=—","Direction=H","UseDPDF=Y")</f>
        <v>1.1220000000000001</v>
      </c>
      <c r="E27" s="13">
        <f>_xll.BDH("SRPT US Equity","IS_OTHER_ONE_TIME_ITEMS_OP","FQ2 2019","FQ2 2019","Currency=USD","Period=FQ","BEST_FPERIOD_OVERRIDE=FQ","FILING_STATUS=MR","SCALING_FORMAT=MLN","Sort=A","Dates=H","DateFormat=P","Fill=—","Direction=H","UseDPDF=Y")</f>
        <v>15.077999999999999</v>
      </c>
      <c r="F27" s="13">
        <f>_xll.BDH("SRPT US Equity","IS_OTHER_ONE_TIME_ITEMS_OP","FQ3 2019","FQ3 2019","Currency=USD","Period=FQ","BEST_FPERIOD_OVERRIDE=FQ","FILING_STATUS=MR","SCALING_FORMAT=MLN","Sort=A","Dates=H","DateFormat=P","Fill=—","Direction=H","UseDPDF=Y")</f>
        <v>12.146000000000001</v>
      </c>
      <c r="G27" s="13">
        <f>_xll.BDH("SRPT US Equity","IS_OTHER_ONE_TIME_ITEMS_OP","FQ4 2019","FQ4 2019","Currency=USD","Period=FQ","BEST_FPERIOD_OVERRIDE=FQ","FILING_STATUS=MR","SCALING_FORMAT=MLN","Sort=A","Dates=H","DateFormat=P","Fill=—","Direction=H","UseDPDF=Y")</f>
        <v>74.816000000000003</v>
      </c>
      <c r="H27" s="13" t="str">
        <f>_xll.BDH("SRPT US Equity","IS_OTHER_ONE_TIME_ITEMS_OP","FQ1 2020","FQ1 2020","Currency=USD","Period=FQ","BEST_FPERIOD_OVERRIDE=FQ","FILING_STATUS=MR","SCALING_FORMAT=MLN","Sort=A","Dates=H","DateFormat=P","Fill=—","Direction=H","UseDPDF=Y")</f>
        <v>—</v>
      </c>
      <c r="I27" s="13" t="str">
        <f>_xll.BDH("SRPT US Equity","IS_OTHER_ONE_TIME_ITEMS_OP","FQ2 2020","FQ2 2020","Currency=USD","Period=FQ","BEST_FPERIOD_OVERRIDE=FQ","FILING_STATUS=MR","SCALING_FORMAT=MLN","Sort=A","Dates=H","DateFormat=P","Fill=—","Direction=H","UseDPDF=Y")</f>
        <v>—</v>
      </c>
      <c r="J27" s="13">
        <f>_xll.BDH("SRPT US Equity","IS_OTHER_ONE_TIME_ITEMS_OP","FQ3 2020","FQ3 2020","Currency=USD","Period=FQ","BEST_FPERIOD_OVERRIDE=FQ","FILING_STATUS=MR","SCALING_FORMAT=MLN","Sort=A","Dates=H","DateFormat=P","Fill=—","Direction=H","UseDPDF=Y")</f>
        <v>15.375</v>
      </c>
      <c r="K27" s="13">
        <f>_xll.BDH("SRPT US Equity","IS_OTHER_ONE_TIME_ITEMS_OP","FQ4 2020","FQ4 2020","Currency=USD","Period=FQ","BEST_FPERIOD_OVERRIDE=FQ","FILING_STATUS=MR","SCALING_FORMAT=MLN","Sort=A","Dates=H","DateFormat=P","Fill=—","Direction=H","UseDPDF=Y")</f>
        <v>10.622</v>
      </c>
      <c r="L27" s="13">
        <f>_xll.BDH("SRPT US Equity","IS_OTHER_ONE_TIME_ITEMS_OP","FQ1 2021","FQ1 2021","Currency=USD","Period=FQ","BEST_FPERIOD_OVERRIDE=FQ","FILING_STATUS=MR","SCALING_FORMAT=MLN","Sort=A","Dates=H","DateFormat=P","Fill=—","Direction=H","UseDPDF=Y")</f>
        <v>4</v>
      </c>
      <c r="M27" s="13">
        <f>_xll.BDH("SRPT US Equity","IS_OTHER_ONE_TIME_ITEMS_OP","FQ2 2021","FQ2 2021","Currency=USD","Period=FQ","BEST_FPERIOD_OVERRIDE=FQ","FILING_STATUS=MR","SCALING_FORMAT=MLN","Sort=A","Dates=H","DateFormat=P","Fill=—","Direction=H","UseDPDF=Y")</f>
        <v>31.677</v>
      </c>
      <c r="N27" s="13" t="str">
        <f>_xll.BDH("SRPT US Equity","IS_OTHER_ONE_TIME_ITEMS_OP","FQ3 2021","FQ3 2021","Currency=USD","Period=FQ","BEST_FPERIOD_OVERRIDE=FQ","FILING_STATUS=MR","SCALING_FORMAT=MLN","Sort=A","Dates=H","DateFormat=P","Fill=—","Direction=H","UseDPDF=Y")</f>
        <v>—</v>
      </c>
      <c r="O27" s="13" t="str">
        <f>_xll.BDH("SRPT US Equity","IS_OTHER_ONE_TIME_ITEMS_OP","FQ4 2021","FQ4 2021","Currency=USD","Period=FQ","BEST_FPERIOD_OVERRIDE=FQ","FILING_STATUS=MR","SCALING_FORMAT=MLN","Sort=A","Dates=H","DateFormat=P","Fill=—","Direction=H","UseDPDF=Y")</f>
        <v>—</v>
      </c>
      <c r="P27" s="13" t="str">
        <f>_xll.BDH("SRPT US Equity","IS_OTHER_ONE_TIME_ITEMS_OP","FQ1 2022","FQ1 2022","Currency=USD","Period=FQ","BEST_FPERIOD_OVERRIDE=FQ","FILING_STATUS=MR","SCALING_FORMAT=MLN","Sort=A","Dates=H","DateFormat=P","Fill=—","Direction=H","UseDPDF=Y")</f>
        <v>—</v>
      </c>
      <c r="Q27" s="13" t="str">
        <f>_xll.BDH("SRPT US Equity","IS_OTHER_ONE_TIME_ITEMS_OP","FQ2 2022","FQ2 2022","Currency=USD","Period=FQ","BEST_FPERIOD_OVERRIDE=FQ","FILING_STATUS=MR","SCALING_FORMAT=MLN","Sort=A","Dates=H","DateFormat=P","Fill=—","Direction=H","UseDPDF=Y")</f>
        <v>—</v>
      </c>
      <c r="R27" s="13" t="str">
        <f>_xll.BDH("SRPT US Equity","IS_OTHER_ONE_TIME_ITEMS_OP","FQ3 2022","FQ3 2022","Currency=USD","Period=FQ","BEST_FPERIOD_OVERRIDE=FQ","FILING_STATUS=MR","SCALING_FORMAT=MLN","Sort=A","Dates=H","DateFormat=P","Fill=—","Direction=H","UseDPDF=Y")</f>
        <v>—</v>
      </c>
      <c r="S27" s="13" t="str">
        <f>_xll.BDH("SRPT US Equity","IS_OTHER_ONE_TIME_ITEMS_OP","FQ4 2022","FQ4 2022","Currency=USD","Period=FQ","BEST_FPERIOD_OVERRIDE=FQ","FILING_STATUS=MR","SCALING_FORMAT=MLN","Sort=A","Dates=H","DateFormat=P","Fill=—","Direction=H","UseDPDF=Y")</f>
        <v>—</v>
      </c>
      <c r="T27" s="13" t="str">
        <f>_xll.BDH("SRPT US Equity","IS_OTHER_ONE_TIME_ITEMS_OP","FQ1 2023","FQ1 2023","Currency=USD","Period=FQ","BEST_FPERIOD_OVERRIDE=FQ","FILING_STATUS=MR","SCALING_FORMAT=MLN","Sort=A","Dates=H","DateFormat=P","Fill=—","Direction=H","UseDPDF=Y")</f>
        <v>—</v>
      </c>
      <c r="U27" s="13" t="str">
        <f>_xll.BDH("SRPT US Equity","IS_OTHER_ONE_TIME_ITEMS_OP","FQ2 2023","FQ2 2023","Currency=USD","Period=FQ","BEST_FPERIOD_OVERRIDE=FQ","FILING_STATUS=MR","SCALING_FORMAT=MLN","Sort=A","Dates=H","DateFormat=P","Fill=—","Direction=H","UseDPDF=Y")</f>
        <v>—</v>
      </c>
      <c r="V27" s="13" t="str">
        <f>_xll.BDH("SRPT US Equity","IS_OTHER_ONE_TIME_ITEMS_OP","FQ3 2023","FQ3 2023","Currency=USD","Period=FQ","BEST_FPERIOD_OVERRIDE=FQ","FILING_STATUS=MR","SCALING_FORMAT=MLN","Sort=A","Dates=H","DateFormat=P","Fill=—","Direction=H","UseDPDF=Y")</f>
        <v>—</v>
      </c>
      <c r="W27" s="13" t="str">
        <f>_xll.BDH("SRPT US Equity","IS_OTHER_ONE_TIME_ITEMS_OP","FQ4 2023","FQ4 2023","Currency=USD","Period=FQ","BEST_FPERIOD_OVERRIDE=FQ","FILING_STATUS=MR","SCALING_FORMAT=MLN","Sort=A","Dates=H","DateFormat=P","Fill=—","Direction=H","UseDPDF=Y")</f>
        <v>—</v>
      </c>
      <c r="X27" s="13" t="str">
        <f>_xll.BDH("SRPT US Equity","IS_OTHER_ONE_TIME_ITEMS_OP","FQ1 2024","FQ1 2024","Currency=USD","Period=FQ","BEST_FPERIOD_OVERRIDE=FQ","FILING_STATUS=MR","SCALING_FORMAT=MLN","Sort=A","Dates=H","DateFormat=P","Fill=—","Direction=H","UseDPDF=Y")</f>
        <v>—</v>
      </c>
      <c r="Y27" s="13" t="str">
        <f>_xll.BDH("SRPT US Equity","IS_OTHER_ONE_TIME_ITEMS_OP","FQ2 2024","FQ2 2024","Currency=USD","Period=FQ","BEST_FPERIOD_OVERRIDE=FQ","FILING_STATUS=MR","SCALING_FORMAT=MLN","Sort=A","Dates=H","DateFormat=P","Fill=—","Direction=H","UseDPDF=Y")</f>
        <v>—</v>
      </c>
      <c r="Z27" s="13" t="str">
        <f>_xll.BDH("SRPT US Equity","IS_OTHER_ONE_TIME_ITEMS_OP","FQ3 2024","FQ3 2024","Currency=USD","Period=FQ","BEST_FPERIOD_OVERRIDE=FQ","FILING_STATUS=MR","SCALING_FORMAT=MLN","Sort=A","Dates=H","DateFormat=P","Fill=—","Direction=H","UseDPDF=Y")</f>
        <v>—</v>
      </c>
      <c r="AA27" s="13" t="str">
        <f>_xll.BDH("SRPT US Equity","IS_OTHER_ONE_TIME_ITEMS_OP","FQ4 2024","FQ4 2024","Currency=USD","Period=FQ","BEST_FPERIOD_OVERRIDE=FQ","FILING_STATUS=MR","SCALING_FORMAT=MLN","Sort=A","Dates=H","DateFormat=P","Fill=—","Direction=H","UseDPDF=Y")</f>
        <v>—</v>
      </c>
    </row>
    <row r="28" spans="1:27" x14ac:dyDescent="0.25">
      <c r="A28" s="6" t="s">
        <v>603</v>
      </c>
      <c r="B28" s="6" t="s">
        <v>99</v>
      </c>
      <c r="C28" s="19">
        <f>_xll.BDH("SRPT US Equity","IS_OPER_INC","FQ4 2018","FQ4 2018","Currency=USD","Period=FQ","BEST_FPERIOD_OVERRIDE=FQ","FILING_STATUS=MR","SCALING_FORMAT=MLN","FA_ADJUSTED=Adjusted","Sort=A","Dates=H","DateFormat=P","Fill=—","Direction=H","UseDPDF=Y")</f>
        <v>-135.51900000000001</v>
      </c>
      <c r="D28" s="19">
        <f>_xll.BDH("SRPT US Equity","IS_OPER_INC","FQ1 2019","FQ1 2019","Currency=USD","Period=FQ","BEST_FPERIOD_OVERRIDE=FQ","FILING_STATUS=MR","SCALING_FORMAT=MLN","FA_ADJUSTED=Adjusted","Sort=A","Dates=H","DateFormat=P","Fill=—","Direction=H","UseDPDF=Y")</f>
        <v>-75.177000000000007</v>
      </c>
      <c r="E28" s="19">
        <f>_xll.BDH("SRPT US Equity","IS_OPER_INC","FQ2 2019","FQ2 2019","Currency=USD","Period=FQ","BEST_FPERIOD_OVERRIDE=FQ","FILING_STATUS=MR","SCALING_FORMAT=MLN","FA_ADJUSTED=Adjusted","Sort=A","Dates=H","DateFormat=P","Fill=—","Direction=H","UseDPDF=Y")</f>
        <v>-87.049000000000007</v>
      </c>
      <c r="F28" s="19">
        <f>_xll.BDH("SRPT US Equity","IS_OPER_INC","FQ3 2019","FQ3 2019","Currency=USD","Period=FQ","BEST_FPERIOD_OVERRIDE=FQ","FILING_STATUS=MR","SCALING_FORMAT=MLN","FA_ADJUSTED=Adjusted","Sort=A","Dates=H","DateFormat=P","Fill=—","Direction=H","UseDPDF=Y")</f>
        <v>-111.444</v>
      </c>
      <c r="G28" s="19">
        <f>_xll.BDH("SRPT US Equity","IS_OPER_INC","FQ4 2019","FQ4 2019","Currency=USD","Period=FQ","BEST_FPERIOD_OVERRIDE=FQ","FILING_STATUS=MR","SCALING_FORMAT=MLN","FA_ADJUSTED=Adjusted","Sort=A","Dates=H","DateFormat=P","Fill=—","Direction=H","UseDPDF=Y")</f>
        <v>-145.40299999999999</v>
      </c>
      <c r="H28" s="19">
        <f>_xll.BDH("SRPT US Equity","IS_OPER_INC","FQ1 2020","FQ1 2020","Currency=USD","Period=FQ","BEST_FPERIOD_OVERRIDE=FQ","FILING_STATUS=MR","SCALING_FORMAT=MLN","FA_ADJUSTED=Adjusted","Sort=A","Dates=H","DateFormat=P","Fill=—","Direction=H","UseDPDF=Y")</f>
        <v>-106.73399999999999</v>
      </c>
      <c r="I28" s="19">
        <f>_xll.BDH("SRPT US Equity","IS_OPER_INC","FQ2 2020","FQ2 2020","Currency=USD","Period=FQ","BEST_FPERIOD_OVERRIDE=FQ","FILING_STATUS=MR","SCALING_FORMAT=MLN","FA_ADJUSTED=Adjusted","Sort=A","Dates=H","DateFormat=P","Fill=—","Direction=H","UseDPDF=Y")</f>
        <v>-138.35300000000001</v>
      </c>
      <c r="J28" s="19">
        <f>_xll.BDH("SRPT US Equity","IS_OPER_INC","FQ3 2020","FQ3 2020","Currency=USD","Period=FQ","BEST_FPERIOD_OVERRIDE=FQ","FILING_STATUS=MR","SCALING_FORMAT=MLN","FA_ADJUSTED=Adjusted","Sort=A","Dates=H","DateFormat=P","Fill=—","Direction=H","UseDPDF=Y")</f>
        <v>-121.693</v>
      </c>
      <c r="K28" s="19">
        <f>_xll.BDH("SRPT US Equity","IS_OPER_INC","FQ4 2020","FQ4 2020","Currency=USD","Period=FQ","BEST_FPERIOD_OVERRIDE=FQ","FILING_STATUS=MR","SCALING_FORMAT=MLN","FA_ADJUSTED=Adjusted","Sort=A","Dates=H","DateFormat=P","Fill=—","Direction=H","UseDPDF=Y")</f>
        <v>-160.09399999999999</v>
      </c>
      <c r="L28" s="19">
        <f>_xll.BDH("SRPT US Equity","IS_OPER_INC","FQ1 2021","FQ1 2021","Currency=USD","Period=FQ","BEST_FPERIOD_OVERRIDE=FQ","FILING_STATUS=MR","SCALING_FORMAT=MLN","FA_ADJUSTED=Adjusted","Sort=A","Dates=H","DateFormat=P","Fill=—","Direction=H","UseDPDF=Y")</f>
        <v>-137.86500000000001</v>
      </c>
      <c r="M28" s="19">
        <f>_xll.BDH("SRPT US Equity","IS_OPER_INC","FQ2 2021","FQ2 2021","Currency=USD","Period=FQ","BEST_FPERIOD_OVERRIDE=FQ","FILING_STATUS=MR","SCALING_FORMAT=MLN","FA_ADJUSTED=Adjusted","Sort=A","Dates=H","DateFormat=P","Fill=—","Direction=H","UseDPDF=Y")</f>
        <v>-237.89699999999999</v>
      </c>
      <c r="N28" s="19">
        <f>_xll.BDH("SRPT US Equity","IS_OPER_INC","FQ3 2021","FQ3 2021","Currency=USD","Period=FQ","BEST_FPERIOD_OVERRIDE=FQ","FILING_STATUS=MR","SCALING_FORMAT=MLN","FA_ADJUSTED=Adjusted","Sort=A","Dates=H","DateFormat=P","Fill=—","Direction=H","UseDPDF=Y")</f>
        <v>-34.457999999999998</v>
      </c>
      <c r="O28" s="19">
        <f>_xll.BDH("SRPT US Equity","IS_OPER_INC","FQ4 2021","FQ4 2021","Currency=USD","Period=FQ","BEST_FPERIOD_OVERRIDE=FQ","FILING_STATUS=MR","SCALING_FORMAT=MLN","FA_ADJUSTED=Adjusted","Sort=A","Dates=H","DateFormat=P","Fill=—","Direction=H","UseDPDF=Y")</f>
        <v>-105.813</v>
      </c>
      <c r="P28" s="19">
        <f>_xll.BDH("SRPT US Equity","IS_OPER_INC","FQ1 2022","FQ1 2022","Currency=USD","Period=FQ","BEST_FPERIOD_OVERRIDE=FQ","FILING_STATUS=MR","SCALING_FORMAT=MLN","FA_ADJUSTED=Adjusted","Sort=A","Dates=H","DateFormat=P","Fill=—","Direction=H","UseDPDF=Y")</f>
        <v>-86.881</v>
      </c>
      <c r="Q28" s="19">
        <f>_xll.BDH("SRPT US Equity","IS_OPER_INC","FQ2 2022","FQ2 2022","Currency=USD","Period=FQ","BEST_FPERIOD_OVERRIDE=FQ","FILING_STATUS=MR","SCALING_FORMAT=MLN","FA_ADJUSTED=Adjusted","Sort=A","Dates=H","DateFormat=P","Fill=—","Direction=H","UseDPDF=Y")</f>
        <v>-211.13200000000001</v>
      </c>
      <c r="R28" s="19">
        <f>_xll.BDH("SRPT US Equity","IS_OPER_INC","FQ3 2022","FQ3 2022","Currency=USD","Period=FQ","BEST_FPERIOD_OVERRIDE=FQ","FILING_STATUS=MR","SCALING_FORMAT=MLN","FA_ADJUSTED=Adjusted","Sort=A","Dates=H","DateFormat=P","Fill=—","Direction=H","UseDPDF=Y")</f>
        <v>-131.35499999999999</v>
      </c>
      <c r="S28" s="19">
        <f>_xll.BDH("SRPT US Equity","IS_OPER_INC","FQ4 2022","FQ4 2022","Currency=USD","Period=FQ","BEST_FPERIOD_OVERRIDE=FQ","FILING_STATUS=MR","SCALING_FORMAT=MLN","FA_ADJUSTED=Adjusted","Sort=A","Dates=H","DateFormat=P","Fill=—","Direction=H","UseDPDF=Y")</f>
        <v>-106.833</v>
      </c>
      <c r="T28" s="19">
        <f>_xll.BDH("SRPT US Equity","IS_OPER_INC","FQ1 2023","FQ1 2023","Currency=USD","Period=FQ","BEST_FPERIOD_OVERRIDE=FQ","FILING_STATUS=MR","SCALING_FORMAT=MLN","FA_ADJUSTED=Adjusted","Sort=A","Dates=H","DateFormat=P","Fill=—","Direction=H","UseDPDF=Y")</f>
        <v>-138.08799999999999</v>
      </c>
      <c r="U28" s="19">
        <f>_xll.BDH("SRPT US Equity","IS_OPER_INC","FQ2 2023","FQ2 2023","Currency=USD","Period=FQ","BEST_FPERIOD_OVERRIDE=FQ","FILING_STATUS=MR","SCALING_FORMAT=MLN","FA_ADJUSTED=Adjusted","Sort=A","Dates=H","DateFormat=P","Fill=—","Direction=H","UseDPDF=Y")</f>
        <v>-133.51900000000001</v>
      </c>
      <c r="V28" s="19">
        <f>_xll.BDH("SRPT US Equity","IS_OPER_INC","FQ3 2023","FQ3 2023","Currency=USD","Period=FQ","BEST_FPERIOD_OVERRIDE=FQ","FILING_STATUS=MR","SCALING_FORMAT=MLN","FA_ADJUSTED=Adjusted","Sort=A","Dates=H","DateFormat=P","Fill=—","Direction=H","UseDPDF=Y")</f>
        <v>-20.841999999999999</v>
      </c>
      <c r="W28" s="19">
        <f>_xll.BDH("SRPT US Equity","IS_OPER_INC","FQ4 2023","FQ4 2023","Currency=USD","Period=FQ","BEST_FPERIOD_OVERRIDE=FQ","FILING_STATUS=MR","SCALING_FORMAT=MLN","FA_ADJUSTED=Adjusted","Sort=A","Dates=H","DateFormat=P","Fill=—","Direction=H","UseDPDF=Y")</f>
        <v>24.625</v>
      </c>
      <c r="X28" s="19">
        <f>_xll.BDH("SRPT US Equity","IS_OPER_INC","FQ1 2024","FQ1 2024","Currency=USD","Period=FQ","BEST_FPERIOD_OVERRIDE=FQ","FILING_STATUS=MR","SCALING_FORMAT=MLN","FA_ADJUSTED=Adjusted","Sort=A","Dates=H","DateFormat=P","Fill=—","Direction=H","UseDPDF=Y")</f>
        <v>34.905000000000001</v>
      </c>
      <c r="Y28" s="19">
        <f>_xll.BDH("SRPT US Equity","IS_OPER_INC","FQ2 2024","FQ2 2024","Currency=USD","Period=FQ","BEST_FPERIOD_OVERRIDE=FQ","FILING_STATUS=MR","SCALING_FORMAT=MLN","FA_ADJUSTED=Adjusted","Sort=A","Dates=H","DateFormat=P","Fill=—","Direction=H","UseDPDF=Y")</f>
        <v>-0.70099999999999996</v>
      </c>
      <c r="Z28" s="19">
        <f>_xll.BDH("SRPT US Equity","IS_OPER_INC","FQ3 2024","FQ3 2024","Currency=USD","Period=FQ","BEST_FPERIOD_OVERRIDE=FQ","FILING_STATUS=MR","SCALING_FORMAT=MLN","FA_ADJUSTED=Adjusted","Sort=A","Dates=H","DateFormat=P","Fill=—","Direction=H","UseDPDF=Y")</f>
        <v>22.196000000000002</v>
      </c>
      <c r="AA28" s="19">
        <f>_xll.BDH("SRPT US Equity","IS_OPER_INC","FQ4 2024","FQ4 2024","Currency=USD","Period=FQ","BEST_FPERIOD_OVERRIDE=FQ","FILING_STATUS=MR","SCALING_FORMAT=MLN","FA_ADJUSTED=Adjusted","Sort=A","Dates=H","DateFormat=P","Fill=—","Direction=H","UseDPDF=Y")</f>
        <v>161.68100000000001</v>
      </c>
    </row>
    <row r="29" spans="1:27" x14ac:dyDescent="0.25">
      <c r="A29" s="6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 x14ac:dyDescent="0.25">
      <c r="A30" s="6" t="s">
        <v>620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 x14ac:dyDescent="0.25">
      <c r="A31" s="6" t="s">
        <v>361</v>
      </c>
      <c r="B31" s="6" t="s">
        <v>158</v>
      </c>
      <c r="C31" s="19">
        <f>_xll.BDH("SRPT US Equity","PRETAX_INC","FQ4 2018","FQ4 2018","Currency=USD","Period=FQ","BEST_FPERIOD_OVERRIDE=FQ","FILING_STATUS=MR","SCALING_FORMAT=MLN","FA_ADJUSTED=GAAP","Sort=A","Dates=H","DateFormat=P","Fill=—","Direction=H","UseDPDF=Y")</f>
        <v>-141.67400000000001</v>
      </c>
      <c r="D31" s="19">
        <f>_xll.BDH("SRPT US Equity","PRETAX_INC","FQ1 2019","FQ1 2019","Currency=USD","Period=FQ","BEST_FPERIOD_OVERRIDE=FQ","FILING_STATUS=MR","SCALING_FORMAT=MLN","FA_ADJUSTED=GAAP","Sort=A","Dates=H","DateFormat=P","Fill=—","Direction=H","UseDPDF=Y")</f>
        <v>-76.558999999999997</v>
      </c>
      <c r="E31" s="19">
        <f>_xll.BDH("SRPT US Equity","PRETAX_INC","FQ2 2019","FQ2 2019","Currency=USD","Period=FQ","BEST_FPERIOD_OVERRIDE=FQ","FILING_STATUS=MR","SCALING_FORMAT=MLN","FA_ADJUSTED=GAAP","Sort=A","Dates=H","DateFormat=P","Fill=—","Direction=H","UseDPDF=Y")</f>
        <v>-276.22899999999998</v>
      </c>
      <c r="F31" s="19">
        <f>_xll.BDH("SRPT US Equity","PRETAX_INC","FQ3 2019","FQ3 2019","Currency=USD","Period=FQ","BEST_FPERIOD_OVERRIDE=FQ","FILING_STATUS=MR","SCALING_FORMAT=MLN","FA_ADJUSTED=GAAP","Sort=A","Dates=H","DateFormat=P","Fill=—","Direction=H","UseDPDF=Y")</f>
        <v>-126.1</v>
      </c>
      <c r="G31" s="19">
        <f>_xll.BDH("SRPT US Equity","PRETAX_INC","FQ4 2019","FQ4 2019","Currency=USD","Period=FQ","BEST_FPERIOD_OVERRIDE=FQ","FILING_STATUS=MR","SCALING_FORMAT=MLN","FA_ADJUSTED=GAAP","Sort=A","Dates=H","DateFormat=P","Fill=—","Direction=H","UseDPDF=Y")</f>
        <v>-234.99199999999999</v>
      </c>
      <c r="H31" s="19">
        <f>_xll.BDH("SRPT US Equity","PRETAX_INC","FQ1 2020","FQ1 2020","Currency=USD","Period=FQ","BEST_FPERIOD_OVERRIDE=FQ","FILING_STATUS=MR","SCALING_FORMAT=MLN","FA_ADJUSTED=GAAP","Sort=A","Dates=H","DateFormat=P","Fill=—","Direction=H","UseDPDF=Y")</f>
        <v>-17.376999999999999</v>
      </c>
      <c r="I31" s="19">
        <f>_xll.BDH("SRPT US Equity","PRETAX_INC","FQ2 2020","FQ2 2020","Currency=USD","Period=FQ","BEST_FPERIOD_OVERRIDE=FQ","FILING_STATUS=MR","SCALING_FORMAT=MLN","FA_ADJUSTED=GAAP","Sort=A","Dates=H","DateFormat=P","Fill=—","Direction=H","UseDPDF=Y")</f>
        <v>-150.80000000000001</v>
      </c>
      <c r="J31" s="19">
        <f>_xll.BDH("SRPT US Equity","PRETAX_INC","FQ3 2020","FQ3 2020","Currency=USD","Period=FQ","BEST_FPERIOD_OVERRIDE=FQ","FILING_STATUS=MR","SCALING_FORMAT=MLN","FA_ADJUSTED=GAAP","Sort=A","Dates=H","DateFormat=P","Fill=—","Direction=H","UseDPDF=Y")</f>
        <v>-196.40299999999999</v>
      </c>
      <c r="K31" s="19">
        <f>_xll.BDH("SRPT US Equity","PRETAX_INC","FQ4 2020","FQ4 2020","Currency=USD","Period=FQ","BEST_FPERIOD_OVERRIDE=FQ","FILING_STATUS=MR","SCALING_FORMAT=MLN","FA_ADJUSTED=GAAP","Sort=A","Dates=H","DateFormat=P","Fill=—","Direction=H","UseDPDF=Y")</f>
        <v>-188.48500000000001</v>
      </c>
      <c r="L31" s="19">
        <f>_xll.BDH("SRPT US Equity","PRETAX_INC","FQ1 2021","FQ1 2021","Currency=USD","Period=FQ","BEST_FPERIOD_OVERRIDE=FQ","FILING_STATUS=MR","SCALING_FORMAT=MLN","FA_ADJUSTED=GAAP","Sort=A","Dates=H","DateFormat=P","Fill=—","Direction=H","UseDPDF=Y")</f>
        <v>-167.393</v>
      </c>
      <c r="M31" s="19">
        <f>_xll.BDH("SRPT US Equity","PRETAX_INC","FQ2 2021","FQ2 2021","Currency=USD","Period=FQ","BEST_FPERIOD_OVERRIDE=FQ","FILING_STATUS=MR","SCALING_FORMAT=MLN","FA_ADJUSTED=GAAP","Sort=A","Dates=H","DateFormat=P","Fill=—","Direction=H","UseDPDF=Y")</f>
        <v>-81.759</v>
      </c>
      <c r="N31" s="19">
        <f>_xll.BDH("SRPT US Equity","PRETAX_INC","FQ3 2021","FQ3 2021","Currency=USD","Period=FQ","BEST_FPERIOD_OVERRIDE=FQ","FILING_STATUS=MR","SCALING_FORMAT=MLN","FA_ADJUSTED=GAAP","Sort=A","Dates=H","DateFormat=P","Fill=—","Direction=H","UseDPDF=Y")</f>
        <v>-47.906999999999996</v>
      </c>
      <c r="O31" s="19">
        <f>_xll.BDH("SRPT US Equity","PRETAX_INC","FQ4 2021","FQ4 2021","Currency=USD","Period=FQ","BEST_FPERIOD_OVERRIDE=FQ","FILING_STATUS=MR","SCALING_FORMAT=MLN","FA_ADJUSTED=GAAP","Sort=A","Dates=H","DateFormat=P","Fill=—","Direction=H","UseDPDF=Y")</f>
        <v>-121.889</v>
      </c>
      <c r="P31" s="19">
        <f>_xll.BDH("SRPT US Equity","PRETAX_INC","FQ1 2022","FQ1 2022","Currency=USD","Period=FQ","BEST_FPERIOD_OVERRIDE=FQ","FILING_STATUS=MR","SCALING_FORMAT=MLN","FA_ADJUSTED=GAAP","Sort=A","Dates=H","DateFormat=P","Fill=—","Direction=H","UseDPDF=Y")</f>
        <v>-104.146</v>
      </c>
      <c r="Q31" s="19">
        <f>_xll.BDH("SRPT US Equity","PRETAX_INC","FQ2 2022","FQ2 2022","Currency=USD","Period=FQ","BEST_FPERIOD_OVERRIDE=FQ","FILING_STATUS=MR","SCALING_FORMAT=MLN","FA_ADJUSTED=GAAP","Sort=A","Dates=H","DateFormat=P","Fill=—","Direction=H","UseDPDF=Y")</f>
        <v>-228.09299999999999</v>
      </c>
      <c r="R31" s="19">
        <f>_xll.BDH("SRPT US Equity","PRETAX_INC","FQ3 2022","FQ3 2022","Currency=USD","Period=FQ","BEST_FPERIOD_OVERRIDE=FQ","FILING_STATUS=MR","SCALING_FORMAT=MLN","FA_ADJUSTED=GAAP","Sort=A","Dates=H","DateFormat=P","Fill=—","Direction=H","UseDPDF=Y")</f>
        <v>-256.41800000000001</v>
      </c>
      <c r="S31" s="19">
        <f>_xll.BDH("SRPT US Equity","PRETAX_INC","FQ4 2022","FQ4 2022","Currency=USD","Period=FQ","BEST_FPERIOD_OVERRIDE=FQ","FILING_STATUS=MR","SCALING_FORMAT=MLN","FA_ADJUSTED=GAAP","Sort=A","Dates=H","DateFormat=P","Fill=—","Direction=H","UseDPDF=Y")</f>
        <v>-101.306</v>
      </c>
      <c r="T31" s="19">
        <f>_xll.BDH("SRPT US Equity","PRETAX_INC","FQ1 2023","FQ1 2023","Currency=USD","Period=FQ","BEST_FPERIOD_OVERRIDE=FQ","FILING_STATUS=MR","SCALING_FORMAT=MLN","FA_ADJUSTED=GAAP","Sort=A","Dates=H","DateFormat=P","Fill=—","Direction=H","UseDPDF=Y")</f>
        <v>-512.71</v>
      </c>
      <c r="U31" s="19">
        <f>_xll.BDH("SRPT US Equity","PRETAX_INC","FQ2 2023","FQ2 2023","Currency=USD","Period=FQ","BEST_FPERIOD_OVERRIDE=FQ","FILING_STATUS=MR","SCALING_FORMAT=MLN","FA_ADJUSTED=GAAP","Sort=A","Dates=H","DateFormat=P","Fill=—","Direction=H","UseDPDF=Y")</f>
        <v>-14.585000000000001</v>
      </c>
      <c r="V31" s="19">
        <f>_xll.BDH("SRPT US Equity","PRETAX_INC","FQ3 2023","FQ3 2023","Currency=USD","Period=FQ","BEST_FPERIOD_OVERRIDE=FQ","FILING_STATUS=MR","SCALING_FORMAT=MLN","FA_ADJUSTED=GAAP","Sort=A","Dates=H","DateFormat=P","Fill=—","Direction=H","UseDPDF=Y")</f>
        <v>-33.173999999999999</v>
      </c>
      <c r="W31" s="19">
        <f>_xll.BDH("SRPT US Equity","PRETAX_INC","FQ4 2023","FQ4 2023","Currency=USD","Period=FQ","BEST_FPERIOD_OVERRIDE=FQ","FILING_STATUS=MR","SCALING_FORMAT=MLN","FA_ADJUSTED=GAAP","Sort=A","Dates=H","DateFormat=P","Fill=—","Direction=H","UseDPDF=Y")</f>
        <v>40.371000000000002</v>
      </c>
      <c r="X31" s="19">
        <f>_xll.BDH("SRPT US Equity","PRETAX_INC","FQ1 2024","FQ1 2024","Currency=USD","Period=FQ","BEST_FPERIOD_OVERRIDE=FQ","FILING_STATUS=MR","SCALING_FORMAT=MLN","FA_ADJUSTED=GAAP","Sort=A","Dates=H","DateFormat=P","Fill=—","Direction=H","UseDPDF=Y")</f>
        <v>41.448</v>
      </c>
      <c r="Y31" s="19">
        <f>_xll.BDH("SRPT US Equity","PRETAX_INC","FQ2 2024","FQ2 2024","Currency=USD","Period=FQ","BEST_FPERIOD_OVERRIDE=FQ","FILING_STATUS=MR","SCALING_FORMAT=MLN","FA_ADJUSTED=GAAP","Sort=A","Dates=H","DateFormat=P","Fill=—","Direction=H","UseDPDF=Y")</f>
        <v>13.577</v>
      </c>
      <c r="Z31" s="19">
        <f>_xll.BDH("SRPT US Equity","PRETAX_INC","FQ3 2024","FQ3 2024","Currency=USD","Period=FQ","BEST_FPERIOD_OVERRIDE=FQ","FILING_STATUS=MR","SCALING_FORMAT=MLN","FA_ADJUSTED=GAAP","Sort=A","Dates=H","DateFormat=P","Fill=—","Direction=H","UseDPDF=Y")</f>
        <v>34.006</v>
      </c>
      <c r="AA31" s="19">
        <f>_xll.BDH("SRPT US Equity","PRETAX_INC","FQ4 2024","FQ4 2024","Currency=USD","Period=FQ","BEST_FPERIOD_OVERRIDE=FQ","FILING_STATUS=MR","SCALING_FORMAT=MLN","FA_ADJUSTED=GAAP","Sort=A","Dates=H","DateFormat=P","Fill=—","Direction=H","UseDPDF=Y")</f>
        <v>171.74299999999999</v>
      </c>
    </row>
    <row r="32" spans="1:27" x14ac:dyDescent="0.25">
      <c r="A32" s="10" t="s">
        <v>610</v>
      </c>
      <c r="B32" s="10" t="s">
        <v>344</v>
      </c>
      <c r="C32" s="13" t="str">
        <f>_xll.BDH("SRPT US Equity","IS_ACQUIRED_PROCESS_RD","FQ4 2018","FQ4 2018","Currency=USD","Period=FQ","BEST_FPERIOD_OVERRIDE=FQ","FILING_STATUS=MR","SCALING_FORMAT=MLN","Sort=A","Dates=H","DateFormat=P","Fill=—","Direction=H","UseDPDF=Y")</f>
        <v>—</v>
      </c>
      <c r="D32" s="13" t="str">
        <f>_xll.BDH("SRPT US Equity","IS_ACQUIRED_PROCESS_RD","FQ1 2019","FQ1 2019","Currency=USD","Period=FQ","BEST_FPERIOD_OVERRIDE=FQ","FILING_STATUS=MR","SCALING_FORMAT=MLN","Sort=A","Dates=H","DateFormat=P","Fill=—","Direction=H","UseDPDF=Y")</f>
        <v>—</v>
      </c>
      <c r="E32" s="13">
        <f>_xll.BDH("SRPT US Equity","IS_ACQUIRED_PROCESS_RD","FQ2 2019","FQ2 2019","Currency=USD","Period=FQ","BEST_FPERIOD_OVERRIDE=FQ","FILING_STATUS=MR","SCALING_FORMAT=MLN","Sort=A","Dates=H","DateFormat=P","Fill=—","Direction=H","UseDPDF=Y")</f>
        <v>173.24</v>
      </c>
      <c r="F32" s="13" t="str">
        <f>_xll.BDH("SRPT US Equity","IS_ACQUIRED_PROCESS_RD","FQ3 2019","FQ3 2019","Currency=USD","Period=FQ","BEST_FPERIOD_OVERRIDE=FQ","FILING_STATUS=MR","SCALING_FORMAT=MLN","Sort=A","Dates=H","DateFormat=P","Fill=—","Direction=H","UseDPDF=Y")</f>
        <v>—</v>
      </c>
      <c r="G32" s="13" t="str">
        <f>_xll.BDH("SRPT US Equity","IS_ACQUIRED_PROCESS_RD","FQ4 2019","FQ4 2019","Currency=USD","Period=FQ","BEST_FPERIOD_OVERRIDE=FQ","FILING_STATUS=MR","SCALING_FORMAT=MLN","Sort=A","Dates=H","DateFormat=P","Fill=—","Direction=H","UseDPDF=Y")</f>
        <v>—</v>
      </c>
      <c r="H32" s="13" t="str">
        <f>_xll.BDH("SRPT US Equity","IS_ACQUIRED_PROCESS_RD","FQ1 2020","FQ1 2020","Currency=USD","Period=FQ","BEST_FPERIOD_OVERRIDE=FQ","FILING_STATUS=MR","SCALING_FORMAT=MLN","Sort=A","Dates=H","DateFormat=P","Fill=—","Direction=H","UseDPDF=Y")</f>
        <v>—</v>
      </c>
      <c r="I32" s="13" t="str">
        <f>_xll.BDH("SRPT US Equity","IS_ACQUIRED_PROCESS_RD","FQ2 2020","FQ2 2020","Currency=USD","Period=FQ","BEST_FPERIOD_OVERRIDE=FQ","FILING_STATUS=MR","SCALING_FORMAT=MLN","Sort=A","Dates=H","DateFormat=P","Fill=—","Direction=H","UseDPDF=Y")</f>
        <v>—</v>
      </c>
      <c r="J32" s="13" t="str">
        <f>_xll.BDH("SRPT US Equity","IS_ACQUIRED_PROCESS_RD","FQ3 2020","FQ3 2020","Currency=USD","Period=FQ","BEST_FPERIOD_OVERRIDE=FQ","FILING_STATUS=MR","SCALING_FORMAT=MLN","Sort=A","Dates=H","DateFormat=P","Fill=—","Direction=H","UseDPDF=Y")</f>
        <v>—</v>
      </c>
      <c r="K32" s="13" t="str">
        <f>_xll.BDH("SRPT US Equity","IS_ACQUIRED_PROCESS_RD","FQ4 2020","FQ4 2020","Currency=USD","Period=FQ","BEST_FPERIOD_OVERRIDE=FQ","FILING_STATUS=MR","SCALING_FORMAT=MLN","Sort=A","Dates=H","DateFormat=P","Fill=—","Direction=H","UseDPDF=Y")</f>
        <v>—</v>
      </c>
      <c r="L32" s="13" t="str">
        <f>_xll.BDH("SRPT US Equity","IS_ACQUIRED_PROCESS_RD","FQ1 2021","FQ1 2021","Currency=USD","Period=FQ","BEST_FPERIOD_OVERRIDE=FQ","FILING_STATUS=MR","SCALING_FORMAT=MLN","Sort=A","Dates=H","DateFormat=P","Fill=—","Direction=H","UseDPDF=Y")</f>
        <v>—</v>
      </c>
      <c r="M32" s="13" t="str">
        <f>_xll.BDH("SRPT US Equity","IS_ACQUIRED_PROCESS_RD","FQ2 2021","FQ2 2021","Currency=USD","Period=FQ","BEST_FPERIOD_OVERRIDE=FQ","FILING_STATUS=MR","SCALING_FORMAT=MLN","Sort=A","Dates=H","DateFormat=P","Fill=—","Direction=H","UseDPDF=Y")</f>
        <v>—</v>
      </c>
      <c r="N32" s="13" t="str">
        <f>_xll.BDH("SRPT US Equity","IS_ACQUIRED_PROCESS_RD","FQ3 2021","FQ3 2021","Currency=USD","Period=FQ","BEST_FPERIOD_OVERRIDE=FQ","FILING_STATUS=MR","SCALING_FORMAT=MLN","Sort=A","Dates=H","DateFormat=P","Fill=—","Direction=H","UseDPDF=Y")</f>
        <v>—</v>
      </c>
      <c r="O32" s="13" t="str">
        <f>_xll.BDH("SRPT US Equity","IS_ACQUIRED_PROCESS_RD","FQ4 2021","FQ4 2021","Currency=USD","Period=FQ","BEST_FPERIOD_OVERRIDE=FQ","FILING_STATUS=MR","SCALING_FORMAT=MLN","Sort=A","Dates=H","DateFormat=P","Fill=—","Direction=H","UseDPDF=Y")</f>
        <v>—</v>
      </c>
      <c r="P32" s="13" t="str">
        <f>_xll.BDH("SRPT US Equity","IS_ACQUIRED_PROCESS_RD","FQ1 2022","FQ1 2022","Currency=USD","Period=FQ","BEST_FPERIOD_OVERRIDE=FQ","FILING_STATUS=MR","SCALING_FORMAT=MLN","Sort=A","Dates=H","DateFormat=P","Fill=—","Direction=H","UseDPDF=Y")</f>
        <v>—</v>
      </c>
      <c r="Q32" s="13" t="str">
        <f>_xll.BDH("SRPT US Equity","IS_ACQUIRED_PROCESS_RD","FQ2 2022","FQ2 2022","Currency=USD","Period=FQ","BEST_FPERIOD_OVERRIDE=FQ","FILING_STATUS=MR","SCALING_FORMAT=MLN","Sort=A","Dates=H","DateFormat=P","Fill=—","Direction=H","UseDPDF=Y")</f>
        <v>—</v>
      </c>
      <c r="R32" s="13" t="str">
        <f>_xll.BDH("SRPT US Equity","IS_ACQUIRED_PROCESS_RD","FQ3 2022","FQ3 2022","Currency=USD","Period=FQ","BEST_FPERIOD_OVERRIDE=FQ","FILING_STATUS=MR","SCALING_FORMAT=MLN","Sort=A","Dates=H","DateFormat=P","Fill=—","Direction=H","UseDPDF=Y")</f>
        <v>—</v>
      </c>
      <c r="S32" s="13" t="str">
        <f>_xll.BDH("SRPT US Equity","IS_ACQUIRED_PROCESS_RD","FQ4 2022","FQ4 2022","Currency=USD","Period=FQ","BEST_FPERIOD_OVERRIDE=FQ","FILING_STATUS=MR","SCALING_FORMAT=MLN","Sort=A","Dates=H","DateFormat=P","Fill=—","Direction=H","UseDPDF=Y")</f>
        <v>—</v>
      </c>
      <c r="T32" s="13" t="str">
        <f>_xll.BDH("SRPT US Equity","IS_ACQUIRED_PROCESS_RD","FQ1 2023","FQ1 2023","Currency=USD","Period=FQ","BEST_FPERIOD_OVERRIDE=FQ","FILING_STATUS=MR","SCALING_FORMAT=MLN","Sort=A","Dates=H","DateFormat=P","Fill=—","Direction=H","UseDPDF=Y")</f>
        <v>—</v>
      </c>
      <c r="U32" s="13" t="str">
        <f>_xll.BDH("SRPT US Equity","IS_ACQUIRED_PROCESS_RD","FQ2 2023","FQ2 2023","Currency=USD","Period=FQ","BEST_FPERIOD_OVERRIDE=FQ","FILING_STATUS=MR","SCALING_FORMAT=MLN","Sort=A","Dates=H","DateFormat=P","Fill=—","Direction=H","UseDPDF=Y")</f>
        <v>—</v>
      </c>
      <c r="V32" s="13" t="str">
        <f>_xll.BDH("SRPT US Equity","IS_ACQUIRED_PROCESS_RD","FQ3 2023","FQ3 2023","Currency=USD","Period=FQ","BEST_FPERIOD_OVERRIDE=FQ","FILING_STATUS=MR","SCALING_FORMAT=MLN","Sort=A","Dates=H","DateFormat=P","Fill=—","Direction=H","UseDPDF=Y")</f>
        <v>—</v>
      </c>
      <c r="W32" s="13" t="str">
        <f>_xll.BDH("SRPT US Equity","IS_ACQUIRED_PROCESS_RD","FQ4 2023","FQ4 2023","Currency=USD","Period=FQ","BEST_FPERIOD_OVERRIDE=FQ","FILING_STATUS=MR","SCALING_FORMAT=MLN","Sort=A","Dates=H","DateFormat=P","Fill=—","Direction=H","UseDPDF=Y")</f>
        <v>—</v>
      </c>
      <c r="X32" s="13" t="str">
        <f>_xll.BDH("SRPT US Equity","IS_ACQUIRED_PROCESS_RD","FQ1 2024","FQ1 2024","Currency=USD","Period=FQ","BEST_FPERIOD_OVERRIDE=FQ","FILING_STATUS=MR","SCALING_FORMAT=MLN","Sort=A","Dates=H","DateFormat=P","Fill=—","Direction=H","UseDPDF=Y")</f>
        <v>—</v>
      </c>
      <c r="Y32" s="13" t="str">
        <f>_xll.BDH("SRPT US Equity","IS_ACQUIRED_PROCESS_RD","FQ2 2024","FQ2 2024","Currency=USD","Period=FQ","BEST_FPERIOD_OVERRIDE=FQ","FILING_STATUS=MR","SCALING_FORMAT=MLN","Sort=A","Dates=H","DateFormat=P","Fill=—","Direction=H","UseDPDF=Y")</f>
        <v>—</v>
      </c>
      <c r="Z32" s="13" t="str">
        <f>_xll.BDH("SRPT US Equity","IS_ACQUIRED_PROCESS_RD","FQ3 2024","FQ3 2024","Currency=USD","Period=FQ","BEST_FPERIOD_OVERRIDE=FQ","FILING_STATUS=MR","SCALING_FORMAT=MLN","Sort=A","Dates=H","DateFormat=P","Fill=—","Direction=H","UseDPDF=Y")</f>
        <v>—</v>
      </c>
      <c r="AA32" s="13" t="str">
        <f>_xll.BDH("SRPT US Equity","IS_ACQUIRED_PROCESS_RD","FQ4 2024","FQ4 2024","Currency=USD","Period=FQ","BEST_FPERIOD_OVERRIDE=FQ","FILING_STATUS=MR","SCALING_FORMAT=MLN","Sort=A","Dates=H","DateFormat=P","Fill=—","Direction=H","UseDPDF=Y")</f>
        <v>—</v>
      </c>
    </row>
    <row r="33" spans="1:27" x14ac:dyDescent="0.25">
      <c r="A33" s="10" t="s">
        <v>612</v>
      </c>
      <c r="B33" s="10" t="s">
        <v>346</v>
      </c>
      <c r="C33" s="13" t="str">
        <f>_xll.BDH("SRPT US Equity","IS_MERGER_ACQUISITION_EXPENSE","FQ4 2018","FQ4 2018","Currency=USD","Period=FQ","BEST_FPERIOD_OVERRIDE=FQ","FILING_STATUS=MR","SCALING_FORMAT=MLN","Sort=A","Dates=H","DateFormat=P","Fill=—","Direction=H","UseDPDF=Y")</f>
        <v>—</v>
      </c>
      <c r="D33" s="13" t="str">
        <f>_xll.BDH("SRPT US Equity","IS_MERGER_ACQUISITION_EXPENSE","FQ1 2019","FQ1 2019","Currency=USD","Period=FQ","BEST_FPERIOD_OVERRIDE=FQ","FILING_STATUS=MR","SCALING_FORMAT=MLN","Sort=A","Dates=H","DateFormat=P","Fill=—","Direction=H","UseDPDF=Y")</f>
        <v>—</v>
      </c>
      <c r="E33" s="13" t="str">
        <f>_xll.BDH("SRPT US Equity","IS_MERGER_ACQUISITION_EXPENSE","FQ2 2019","FQ2 2019","Currency=USD","Period=FQ","BEST_FPERIOD_OVERRIDE=FQ","FILING_STATUS=MR","SCALING_FORMAT=MLN","Sort=A","Dates=H","DateFormat=P","Fill=—","Direction=H","UseDPDF=Y")</f>
        <v>—</v>
      </c>
      <c r="F33" s="13" t="str">
        <f>_xll.BDH("SRPT US Equity","IS_MERGER_ACQUISITION_EXPENSE","FQ3 2019","FQ3 2019","Currency=USD","Period=FQ","BEST_FPERIOD_OVERRIDE=FQ","FILING_STATUS=MR","SCALING_FORMAT=MLN","Sort=A","Dates=H","DateFormat=P","Fill=—","Direction=H","UseDPDF=Y")</f>
        <v>—</v>
      </c>
      <c r="G33" s="13" t="str">
        <f>_xll.BDH("SRPT US Equity","IS_MERGER_ACQUISITION_EXPENSE","FQ4 2019","FQ4 2019","Currency=USD","Period=FQ","BEST_FPERIOD_OVERRIDE=FQ","FILING_STATUS=MR","SCALING_FORMAT=MLN","Sort=A","Dates=H","DateFormat=P","Fill=—","Direction=H","UseDPDF=Y")</f>
        <v>—</v>
      </c>
      <c r="H33" s="13">
        <f>_xll.BDH("SRPT US Equity","IS_MERGER_ACQUISITION_EXPENSE","FQ1 2020","FQ1 2020","Currency=USD","Period=FQ","BEST_FPERIOD_OVERRIDE=FQ","FILING_STATUS=MR","SCALING_FORMAT=MLN","Sort=A","Dates=H","DateFormat=P","Fill=—","Direction=H","UseDPDF=Y")</f>
        <v>11.292</v>
      </c>
      <c r="I33" s="13" t="str">
        <f>_xll.BDH("SRPT US Equity","IS_MERGER_ACQUISITION_EXPENSE","FQ2 2020","FQ2 2020","Currency=USD","Period=FQ","BEST_FPERIOD_OVERRIDE=FQ","FILING_STATUS=MR","SCALING_FORMAT=MLN","Sort=A","Dates=H","DateFormat=P","Fill=—","Direction=H","UseDPDF=Y")</f>
        <v>—</v>
      </c>
      <c r="J33" s="13" t="str">
        <f>_xll.BDH("SRPT US Equity","IS_MERGER_ACQUISITION_EXPENSE","FQ3 2020","FQ3 2020","Currency=USD","Period=FQ","BEST_FPERIOD_OVERRIDE=FQ","FILING_STATUS=MR","SCALING_FORMAT=MLN","Sort=A","Dates=H","DateFormat=P","Fill=—","Direction=H","UseDPDF=Y")</f>
        <v>—</v>
      </c>
      <c r="K33" s="13" t="str">
        <f>_xll.BDH("SRPT US Equity","IS_MERGER_ACQUISITION_EXPENSE","FQ4 2020","FQ4 2020","Currency=USD","Period=FQ","BEST_FPERIOD_OVERRIDE=FQ","FILING_STATUS=MR","SCALING_FORMAT=MLN","Sort=A","Dates=H","DateFormat=P","Fill=—","Direction=H","UseDPDF=Y")</f>
        <v>—</v>
      </c>
      <c r="L33" s="13" t="str">
        <f>_xll.BDH("SRPT US Equity","IS_MERGER_ACQUISITION_EXPENSE","FQ1 2021","FQ1 2021","Currency=USD","Period=FQ","BEST_FPERIOD_OVERRIDE=FQ","FILING_STATUS=MR","SCALING_FORMAT=MLN","Sort=A","Dates=H","DateFormat=P","Fill=—","Direction=H","UseDPDF=Y")</f>
        <v>—</v>
      </c>
      <c r="M33" s="13" t="str">
        <f>_xll.BDH("SRPT US Equity","IS_MERGER_ACQUISITION_EXPENSE","FQ2 2021","FQ2 2021","Currency=USD","Period=FQ","BEST_FPERIOD_OVERRIDE=FQ","FILING_STATUS=MR","SCALING_FORMAT=MLN","Sort=A","Dates=H","DateFormat=P","Fill=—","Direction=H","UseDPDF=Y")</f>
        <v>—</v>
      </c>
      <c r="N33" s="13">
        <f>_xll.BDH("SRPT US Equity","IS_MERGER_ACQUISITION_EXPENSE","FQ3 2021","FQ3 2021","Currency=USD","Period=FQ","BEST_FPERIOD_OVERRIDE=FQ","FILING_STATUS=MR","SCALING_FORMAT=MLN","Sort=A","Dates=H","DateFormat=P","Fill=—","Direction=H","UseDPDF=Y")</f>
        <v>7.2</v>
      </c>
      <c r="O33" s="13" t="str">
        <f>_xll.BDH("SRPT US Equity","IS_MERGER_ACQUISITION_EXPENSE","FQ4 2021","FQ4 2021","Currency=USD","Period=FQ","BEST_FPERIOD_OVERRIDE=FQ","FILING_STATUS=MR","SCALING_FORMAT=MLN","Sort=A","Dates=H","DateFormat=P","Fill=—","Direction=H","UseDPDF=Y")</f>
        <v>—</v>
      </c>
      <c r="P33" s="13" t="str">
        <f>_xll.BDH("SRPT US Equity","IS_MERGER_ACQUISITION_EXPENSE","FQ1 2022","FQ1 2022","Currency=USD","Period=FQ","BEST_FPERIOD_OVERRIDE=FQ","FILING_STATUS=MR","SCALING_FORMAT=MLN","Sort=A","Dates=H","DateFormat=P","Fill=—","Direction=H","UseDPDF=Y")</f>
        <v>—</v>
      </c>
      <c r="Q33" s="13" t="str">
        <f>_xll.BDH("SRPT US Equity","IS_MERGER_ACQUISITION_EXPENSE","FQ2 2022","FQ2 2022","Currency=USD","Period=FQ","BEST_FPERIOD_OVERRIDE=FQ","FILING_STATUS=MR","SCALING_FORMAT=MLN","Sort=A","Dates=H","DateFormat=P","Fill=—","Direction=H","UseDPDF=Y")</f>
        <v>—</v>
      </c>
      <c r="R33" s="13" t="str">
        <f>_xll.BDH("SRPT US Equity","IS_MERGER_ACQUISITION_EXPENSE","FQ3 2022","FQ3 2022","Currency=USD","Period=FQ","BEST_FPERIOD_OVERRIDE=FQ","FILING_STATUS=MR","SCALING_FORMAT=MLN","Sort=A","Dates=H","DateFormat=P","Fill=—","Direction=H","UseDPDF=Y")</f>
        <v>—</v>
      </c>
      <c r="S33" s="13" t="str">
        <f>_xll.BDH("SRPT US Equity","IS_MERGER_ACQUISITION_EXPENSE","FQ4 2022","FQ4 2022","Currency=USD","Period=FQ","BEST_FPERIOD_OVERRIDE=FQ","FILING_STATUS=MR","SCALING_FORMAT=MLN","Sort=A","Dates=H","DateFormat=P","Fill=—","Direction=H","UseDPDF=Y")</f>
        <v>—</v>
      </c>
      <c r="T33" s="13" t="str">
        <f>_xll.BDH("SRPT US Equity","IS_MERGER_ACQUISITION_EXPENSE","FQ1 2023","FQ1 2023","Currency=USD","Period=FQ","BEST_FPERIOD_OVERRIDE=FQ","FILING_STATUS=MR","SCALING_FORMAT=MLN","Sort=A","Dates=H","DateFormat=P","Fill=—","Direction=H","UseDPDF=Y")</f>
        <v>—</v>
      </c>
      <c r="U33" s="13">
        <f>_xll.BDH("SRPT US Equity","IS_MERGER_ACQUISITION_EXPENSE","FQ2 2023","FQ2 2023","Currency=USD","Period=FQ","BEST_FPERIOD_OVERRIDE=FQ","FILING_STATUS=MR","SCALING_FORMAT=MLN","Sort=A","Dates=H","DateFormat=P","Fill=—","Direction=H","UseDPDF=Y")</f>
        <v>-0.8</v>
      </c>
      <c r="V33" s="13">
        <f>_xll.BDH("SRPT US Equity","IS_MERGER_ACQUISITION_EXPENSE","FQ3 2023","FQ3 2023","Currency=USD","Period=FQ","BEST_FPERIOD_OVERRIDE=FQ","FILING_STATUS=MR","SCALING_FORMAT=MLN","Sort=A","Dates=H","DateFormat=P","Fill=—","Direction=H","UseDPDF=Y")</f>
        <v>2</v>
      </c>
      <c r="W33" s="13" t="str">
        <f>_xll.BDH("SRPT US Equity","IS_MERGER_ACQUISITION_EXPENSE","FQ4 2023","FQ4 2023","Currency=USD","Period=FQ","BEST_FPERIOD_OVERRIDE=FQ","FILING_STATUS=MR","SCALING_FORMAT=MLN","Sort=A","Dates=H","DateFormat=P","Fill=—","Direction=H","UseDPDF=Y")</f>
        <v>—</v>
      </c>
      <c r="X33" s="13">
        <f>_xll.BDH("SRPT US Equity","IS_MERGER_ACQUISITION_EXPENSE","FQ1 2024","FQ1 2024","Currency=USD","Period=FQ","BEST_FPERIOD_OVERRIDE=FQ","FILING_STATUS=MR","SCALING_FORMAT=MLN","Sort=A","Dates=H","DateFormat=P","Fill=—","Direction=H","UseDPDF=Y")</f>
        <v>10.1</v>
      </c>
      <c r="Y33" s="13" t="str">
        <f>_xll.BDH("SRPT US Equity","IS_MERGER_ACQUISITION_EXPENSE","FQ2 2024","FQ2 2024","Currency=USD","Period=FQ","BEST_FPERIOD_OVERRIDE=FQ","FILING_STATUS=MR","SCALING_FORMAT=MLN","Sort=A","Dates=H","DateFormat=P","Fill=—","Direction=H","UseDPDF=Y")</f>
        <v>—</v>
      </c>
      <c r="Z33" s="13" t="str">
        <f>_xll.BDH("SRPT US Equity","IS_MERGER_ACQUISITION_EXPENSE","FQ3 2024","FQ3 2024","Currency=USD","Period=FQ","BEST_FPERIOD_OVERRIDE=FQ","FILING_STATUS=MR","SCALING_FORMAT=MLN","Sort=A","Dates=H","DateFormat=P","Fill=—","Direction=H","UseDPDF=Y")</f>
        <v>—</v>
      </c>
      <c r="AA33" s="13" t="str">
        <f>_xll.BDH("SRPT US Equity","IS_MERGER_ACQUISITION_EXPENSE","FQ4 2024","FQ4 2024","Currency=USD","Period=FQ","BEST_FPERIOD_OVERRIDE=FQ","FILING_STATUS=MR","SCALING_FORMAT=MLN","Sort=A","Dates=H","DateFormat=P","Fill=—","Direction=H","UseDPDF=Y")</f>
        <v>—</v>
      </c>
    </row>
    <row r="34" spans="1:27" x14ac:dyDescent="0.25">
      <c r="A34" s="10" t="s">
        <v>621</v>
      </c>
      <c r="B34" s="10" t="s">
        <v>348</v>
      </c>
      <c r="C34" s="13" t="str">
        <f>_xll.BDH("SRPT US Equity","IS_DERIVATIVES_HEDGING","FQ4 2018","FQ4 2018","Currency=USD","Period=FQ","BEST_FPERIOD_OVERRIDE=FQ","FILING_STATUS=MR","SCALING_FORMAT=MLN","Sort=A","Dates=H","DateFormat=P","Fill=—","Direction=H","UseDPDF=Y")</f>
        <v>—</v>
      </c>
      <c r="D34" s="13" t="str">
        <f>_xll.BDH("SRPT US Equity","IS_DERIVATIVES_HEDGING","FQ1 2019","FQ1 2019","Currency=USD","Period=FQ","BEST_FPERIOD_OVERRIDE=FQ","FILING_STATUS=MR","SCALING_FORMAT=MLN","Sort=A","Dates=H","DateFormat=P","Fill=—","Direction=H","UseDPDF=Y")</f>
        <v>—</v>
      </c>
      <c r="E34" s="13" t="str">
        <f>_xll.BDH("SRPT US Equity","IS_DERIVATIVES_HEDGING","FQ2 2019","FQ2 2019","Currency=USD","Period=FQ","BEST_FPERIOD_OVERRIDE=FQ","FILING_STATUS=MR","SCALING_FORMAT=MLN","Sort=A","Dates=H","DateFormat=P","Fill=—","Direction=H","UseDPDF=Y")</f>
        <v>—</v>
      </c>
      <c r="F34" s="13" t="str">
        <f>_xll.BDH("SRPT US Equity","IS_DERIVATIVES_HEDGING","FQ3 2019","FQ3 2019","Currency=USD","Period=FQ","BEST_FPERIOD_OVERRIDE=FQ","FILING_STATUS=MR","SCALING_FORMAT=MLN","Sort=A","Dates=H","DateFormat=P","Fill=—","Direction=H","UseDPDF=Y")</f>
        <v>—</v>
      </c>
      <c r="G34" s="13" t="str">
        <f>_xll.BDH("SRPT US Equity","IS_DERIVATIVES_HEDGING","FQ4 2019","FQ4 2019","Currency=USD","Period=FQ","BEST_FPERIOD_OVERRIDE=FQ","FILING_STATUS=MR","SCALING_FORMAT=MLN","Sort=A","Dates=H","DateFormat=P","Fill=—","Direction=H","UseDPDF=Y")</f>
        <v>—</v>
      </c>
      <c r="H34" s="13" t="str">
        <f>_xll.BDH("SRPT US Equity","IS_DERIVATIVES_HEDGING","FQ1 2020","FQ1 2020","Currency=USD","Period=FQ","BEST_FPERIOD_OVERRIDE=FQ","FILING_STATUS=MR","SCALING_FORMAT=MLN","Sort=A","Dates=H","DateFormat=P","Fill=—","Direction=H","UseDPDF=Y")</f>
        <v>—</v>
      </c>
      <c r="I34" s="13" t="str">
        <f>_xll.BDH("SRPT US Equity","IS_DERIVATIVES_HEDGING","FQ2 2020","FQ2 2020","Currency=USD","Period=FQ","BEST_FPERIOD_OVERRIDE=FQ","FILING_STATUS=MR","SCALING_FORMAT=MLN","Sort=A","Dates=H","DateFormat=P","Fill=—","Direction=H","UseDPDF=Y")</f>
        <v>—</v>
      </c>
      <c r="J34" s="13" t="str">
        <f>_xll.BDH("SRPT US Equity","IS_DERIVATIVES_HEDGING","FQ3 2020","FQ3 2020","Currency=USD","Period=FQ","BEST_FPERIOD_OVERRIDE=FQ","FILING_STATUS=MR","SCALING_FORMAT=MLN","Sort=A","Dates=H","DateFormat=P","Fill=—","Direction=H","UseDPDF=Y")</f>
        <v>—</v>
      </c>
      <c r="K34" s="13" t="str">
        <f>_xll.BDH("SRPT US Equity","IS_DERIVATIVES_HEDGING","FQ4 2020","FQ4 2020","Currency=USD","Period=FQ","BEST_FPERIOD_OVERRIDE=FQ","FILING_STATUS=MR","SCALING_FORMAT=MLN","Sort=A","Dates=H","DateFormat=P","Fill=—","Direction=H","UseDPDF=Y")</f>
        <v>—</v>
      </c>
      <c r="L34" s="13" t="str">
        <f>_xll.BDH("SRPT US Equity","IS_DERIVATIVES_HEDGING","FQ1 2021","FQ1 2021","Currency=USD","Period=FQ","BEST_FPERIOD_OVERRIDE=FQ","FILING_STATUS=MR","SCALING_FORMAT=MLN","Sort=A","Dates=H","DateFormat=P","Fill=—","Direction=H","UseDPDF=Y")</f>
        <v>—</v>
      </c>
      <c r="M34" s="13" t="str">
        <f>_xll.BDH("SRPT US Equity","IS_DERIVATIVES_HEDGING","FQ2 2021","FQ2 2021","Currency=USD","Period=FQ","BEST_FPERIOD_OVERRIDE=FQ","FILING_STATUS=MR","SCALING_FORMAT=MLN","Sort=A","Dates=H","DateFormat=P","Fill=—","Direction=H","UseDPDF=Y")</f>
        <v>—</v>
      </c>
      <c r="N34" s="13" t="str">
        <f>_xll.BDH("SRPT US Equity","IS_DERIVATIVES_HEDGING","FQ3 2021","FQ3 2021","Currency=USD","Period=FQ","BEST_FPERIOD_OVERRIDE=FQ","FILING_STATUS=MR","SCALING_FORMAT=MLN","Sort=A","Dates=H","DateFormat=P","Fill=—","Direction=H","UseDPDF=Y")</f>
        <v>—</v>
      </c>
      <c r="O34" s="13" t="str">
        <f>_xll.BDH("SRPT US Equity","IS_DERIVATIVES_HEDGING","FQ4 2021","FQ4 2021","Currency=USD","Period=FQ","BEST_FPERIOD_OVERRIDE=FQ","FILING_STATUS=MR","SCALING_FORMAT=MLN","Sort=A","Dates=H","DateFormat=P","Fill=—","Direction=H","UseDPDF=Y")</f>
        <v>—</v>
      </c>
      <c r="P34" s="13" t="str">
        <f>_xll.BDH("SRPT US Equity","IS_DERIVATIVES_HEDGING","FQ1 2022","FQ1 2022","Currency=USD","Period=FQ","BEST_FPERIOD_OVERRIDE=FQ","FILING_STATUS=MR","SCALING_FORMAT=MLN","Sort=A","Dates=H","DateFormat=P","Fill=—","Direction=H","UseDPDF=Y")</f>
        <v>—</v>
      </c>
      <c r="Q34" s="13" t="str">
        <f>_xll.BDH("SRPT US Equity","IS_DERIVATIVES_HEDGING","FQ2 2022","FQ2 2022","Currency=USD","Period=FQ","BEST_FPERIOD_OVERRIDE=FQ","FILING_STATUS=MR","SCALING_FORMAT=MLN","Sort=A","Dates=H","DateFormat=P","Fill=—","Direction=H","UseDPDF=Y")</f>
        <v>—</v>
      </c>
      <c r="R34" s="13" t="str">
        <f>_xll.BDH("SRPT US Equity","IS_DERIVATIVES_HEDGING","FQ3 2022","FQ3 2022","Currency=USD","Period=FQ","BEST_FPERIOD_OVERRIDE=FQ","FILING_STATUS=MR","SCALING_FORMAT=MLN","Sort=A","Dates=H","DateFormat=P","Fill=—","Direction=H","UseDPDF=Y")</f>
        <v>—</v>
      </c>
      <c r="S34" s="13" t="str">
        <f>_xll.BDH("SRPT US Equity","IS_DERIVATIVES_HEDGING","FQ4 2022","FQ4 2022","Currency=USD","Period=FQ","BEST_FPERIOD_OVERRIDE=FQ","FILING_STATUS=MR","SCALING_FORMAT=MLN","Sort=A","Dates=H","DateFormat=P","Fill=—","Direction=H","UseDPDF=Y")</f>
        <v>—</v>
      </c>
      <c r="T34" s="13" t="str">
        <f>_xll.BDH("SRPT US Equity","IS_DERIVATIVES_HEDGING","FQ1 2023","FQ1 2023","Currency=USD","Period=FQ","BEST_FPERIOD_OVERRIDE=FQ","FILING_STATUS=MR","SCALING_FORMAT=MLN","Sort=A","Dates=H","DateFormat=P","Fill=—","Direction=H","UseDPDF=Y")</f>
        <v>—</v>
      </c>
      <c r="U34" s="13" t="str">
        <f>_xll.BDH("SRPT US Equity","IS_DERIVATIVES_HEDGING","FQ2 2023","FQ2 2023","Currency=USD","Period=FQ","BEST_FPERIOD_OVERRIDE=FQ","FILING_STATUS=MR","SCALING_FORMAT=MLN","Sort=A","Dates=H","DateFormat=P","Fill=—","Direction=H","UseDPDF=Y")</f>
        <v>—</v>
      </c>
      <c r="V34" s="13" t="str">
        <f>_xll.BDH("SRPT US Equity","IS_DERIVATIVES_HEDGING","FQ3 2023","FQ3 2023","Currency=USD","Period=FQ","BEST_FPERIOD_OVERRIDE=FQ","FILING_STATUS=MR","SCALING_FORMAT=MLN","Sort=A","Dates=H","DateFormat=P","Fill=—","Direction=H","UseDPDF=Y")</f>
        <v>—</v>
      </c>
      <c r="W34" s="13" t="str">
        <f>_xll.BDH("SRPT US Equity","IS_DERIVATIVES_HEDGING","FQ4 2023","FQ4 2023","Currency=USD","Period=FQ","BEST_FPERIOD_OVERRIDE=FQ","FILING_STATUS=MR","SCALING_FORMAT=MLN","Sort=A","Dates=H","DateFormat=P","Fill=—","Direction=H","UseDPDF=Y")</f>
        <v>—</v>
      </c>
      <c r="X34" s="13" t="str">
        <f>_xll.BDH("SRPT US Equity","IS_DERIVATIVES_HEDGING","FQ1 2024","FQ1 2024","Currency=USD","Period=FQ","BEST_FPERIOD_OVERRIDE=FQ","FILING_STATUS=MR","SCALING_FORMAT=MLN","Sort=A","Dates=H","DateFormat=P","Fill=—","Direction=H","UseDPDF=Y")</f>
        <v>—</v>
      </c>
      <c r="Y34" s="13" t="str">
        <f>_xll.BDH("SRPT US Equity","IS_DERIVATIVES_HEDGING","FQ2 2024","FQ2 2024","Currency=USD","Period=FQ","BEST_FPERIOD_OVERRIDE=FQ","FILING_STATUS=MR","SCALING_FORMAT=MLN","Sort=A","Dates=H","DateFormat=P","Fill=—","Direction=H","UseDPDF=Y")</f>
        <v>—</v>
      </c>
      <c r="Z34" s="13">
        <f>_xll.BDH("SRPT US Equity","IS_DERIVATIVES_HEDGING","FQ3 2024","FQ3 2024","Currency=USD","Period=FQ","BEST_FPERIOD_OVERRIDE=FQ","FILING_STATUS=MR","SCALING_FORMAT=MLN","Sort=A","Dates=H","DateFormat=P","Fill=—","Direction=H","UseDPDF=Y")</f>
        <v>-1.5349999999999999</v>
      </c>
      <c r="AA34" s="13">
        <f>_xll.BDH("SRPT US Equity","IS_DERIVATIVES_HEDGING","FQ4 2024","FQ4 2024","Currency=USD","Period=FQ","BEST_FPERIOD_OVERRIDE=FQ","FILING_STATUS=MR","SCALING_FORMAT=MLN","Sort=A","Dates=H","DateFormat=P","Fill=—","Direction=H","UseDPDF=Y")</f>
        <v>-0.72699999999999998</v>
      </c>
    </row>
    <row r="35" spans="1:27" x14ac:dyDescent="0.25">
      <c r="A35" s="10" t="s">
        <v>614</v>
      </c>
      <c r="B35" s="10" t="s">
        <v>350</v>
      </c>
      <c r="C35" s="13">
        <f>_xll.BDH("SRPT US Equity","IS_GAIN_LOSS_DISPOSAL_ASSETS","FQ4 2018","FQ4 2018","Currency=USD","Period=FQ","BEST_FPERIOD_OVERRIDE=FQ","FILING_STATUS=MR","SCALING_FORMAT=MLN","Sort=A","Dates=H","DateFormat=P","Fill=—","Direction=H","UseDPDF=Y")</f>
        <v>3.8439999999999999</v>
      </c>
      <c r="D35" s="13">
        <f>_xll.BDH("SRPT US Equity","IS_GAIN_LOSS_DISPOSAL_ASSETS","FQ1 2019","FQ1 2019","Currency=USD","Period=FQ","BEST_FPERIOD_OVERRIDE=FQ","FILING_STATUS=MR","SCALING_FORMAT=MLN","Sort=A","Dates=H","DateFormat=P","Fill=—","Direction=H","UseDPDF=Y")</f>
        <v>8.7999999999999995E-2</v>
      </c>
      <c r="E35" s="13" t="str">
        <f>_xll.BDH("SRPT US Equity","IS_GAIN_LOSS_DISPOSAL_ASSETS","FQ2 2019","FQ2 2019","Currency=USD","Period=FQ","BEST_FPERIOD_OVERRIDE=FQ","FILING_STATUS=MR","SCALING_FORMAT=MLN","Sort=A","Dates=H","DateFormat=P","Fill=—","Direction=H","UseDPDF=Y")</f>
        <v>—</v>
      </c>
      <c r="F35" s="13" t="str">
        <f>_xll.BDH("SRPT US Equity","IS_GAIN_LOSS_DISPOSAL_ASSETS","FQ3 2019","FQ3 2019","Currency=USD","Period=FQ","BEST_FPERIOD_OVERRIDE=FQ","FILING_STATUS=MR","SCALING_FORMAT=MLN","Sort=A","Dates=H","DateFormat=P","Fill=—","Direction=H","UseDPDF=Y")</f>
        <v>—</v>
      </c>
      <c r="G35" s="13" t="str">
        <f>_xll.BDH("SRPT US Equity","IS_GAIN_LOSS_DISPOSAL_ASSETS","FQ4 2019","FQ4 2019","Currency=USD","Period=FQ","BEST_FPERIOD_OVERRIDE=FQ","FILING_STATUS=MR","SCALING_FORMAT=MLN","Sort=A","Dates=H","DateFormat=P","Fill=—","Direction=H","UseDPDF=Y")</f>
        <v>—</v>
      </c>
      <c r="H35" s="13">
        <f>_xll.BDH("SRPT US Equity","IS_GAIN_LOSS_DISPOSAL_ASSETS","FQ1 2020","FQ1 2020","Currency=USD","Period=FQ","BEST_FPERIOD_OVERRIDE=FQ","FILING_STATUS=MR","SCALING_FORMAT=MLN","Sort=A","Dates=H","DateFormat=P","Fill=—","Direction=H","UseDPDF=Y")</f>
        <v>-108.069</v>
      </c>
      <c r="I35" s="13" t="str">
        <f>_xll.BDH("SRPT US Equity","IS_GAIN_LOSS_DISPOSAL_ASSETS","FQ2 2020","FQ2 2020","Currency=USD","Period=FQ","BEST_FPERIOD_OVERRIDE=FQ","FILING_STATUS=MR","SCALING_FORMAT=MLN","Sort=A","Dates=H","DateFormat=P","Fill=—","Direction=H","UseDPDF=Y")</f>
        <v>—</v>
      </c>
      <c r="J35" s="13" t="str">
        <f>_xll.BDH("SRPT US Equity","IS_GAIN_LOSS_DISPOSAL_ASSETS","FQ3 2020","FQ3 2020","Currency=USD","Period=FQ","BEST_FPERIOD_OVERRIDE=FQ","FILING_STATUS=MR","SCALING_FORMAT=MLN","Sort=A","Dates=H","DateFormat=P","Fill=—","Direction=H","UseDPDF=Y")</f>
        <v>—</v>
      </c>
      <c r="K35" s="13" t="str">
        <f>_xll.BDH("SRPT US Equity","IS_GAIN_LOSS_DISPOSAL_ASSETS","FQ4 2020","FQ4 2020","Currency=USD","Period=FQ","BEST_FPERIOD_OVERRIDE=FQ","FILING_STATUS=MR","SCALING_FORMAT=MLN","Sort=A","Dates=H","DateFormat=P","Fill=—","Direction=H","UseDPDF=Y")</f>
        <v>—</v>
      </c>
      <c r="L35" s="13" t="str">
        <f>_xll.BDH("SRPT US Equity","IS_GAIN_LOSS_DISPOSAL_ASSETS","FQ1 2021","FQ1 2021","Currency=USD","Period=FQ","BEST_FPERIOD_OVERRIDE=FQ","FILING_STATUS=MR","SCALING_FORMAT=MLN","Sort=A","Dates=H","DateFormat=P","Fill=—","Direction=H","UseDPDF=Y")</f>
        <v>—</v>
      </c>
      <c r="M35" s="13">
        <f>_xll.BDH("SRPT US Equity","IS_GAIN_LOSS_DISPOSAL_ASSETS","FQ2 2021","FQ2 2021","Currency=USD","Period=FQ","BEST_FPERIOD_OVERRIDE=FQ","FILING_STATUS=MR","SCALING_FORMAT=MLN","Sort=A","Dates=H","DateFormat=P","Fill=—","Direction=H","UseDPDF=Y")</f>
        <v>-204</v>
      </c>
      <c r="N35" s="13" t="str">
        <f>_xll.BDH("SRPT US Equity","IS_GAIN_LOSS_DISPOSAL_ASSETS","FQ3 2021","FQ3 2021","Currency=USD","Period=FQ","BEST_FPERIOD_OVERRIDE=FQ","FILING_STATUS=MR","SCALING_FORMAT=MLN","Sort=A","Dates=H","DateFormat=P","Fill=—","Direction=H","UseDPDF=Y")</f>
        <v>—</v>
      </c>
      <c r="O35" s="13" t="str">
        <f>_xll.BDH("SRPT US Equity","IS_GAIN_LOSS_DISPOSAL_ASSETS","FQ4 2021","FQ4 2021","Currency=USD","Period=FQ","BEST_FPERIOD_OVERRIDE=FQ","FILING_STATUS=MR","SCALING_FORMAT=MLN","Sort=A","Dates=H","DateFormat=P","Fill=—","Direction=H","UseDPDF=Y")</f>
        <v>—</v>
      </c>
      <c r="P35" s="13" t="str">
        <f>_xll.BDH("SRPT US Equity","IS_GAIN_LOSS_DISPOSAL_ASSETS","FQ1 2022","FQ1 2022","Currency=USD","Period=FQ","BEST_FPERIOD_OVERRIDE=FQ","FILING_STATUS=MR","SCALING_FORMAT=MLN","Sort=A","Dates=H","DateFormat=P","Fill=—","Direction=H","UseDPDF=Y")</f>
        <v>—</v>
      </c>
      <c r="Q35" s="13" t="str">
        <f>_xll.BDH("SRPT US Equity","IS_GAIN_LOSS_DISPOSAL_ASSETS","FQ2 2022","FQ2 2022","Currency=USD","Period=FQ","BEST_FPERIOD_OVERRIDE=FQ","FILING_STATUS=MR","SCALING_FORMAT=MLN","Sort=A","Dates=H","DateFormat=P","Fill=—","Direction=H","UseDPDF=Y")</f>
        <v>—</v>
      </c>
      <c r="R35" s="13" t="str">
        <f>_xll.BDH("SRPT US Equity","IS_GAIN_LOSS_DISPOSAL_ASSETS","FQ3 2022","FQ3 2022","Currency=USD","Period=FQ","BEST_FPERIOD_OVERRIDE=FQ","FILING_STATUS=MR","SCALING_FORMAT=MLN","Sort=A","Dates=H","DateFormat=P","Fill=—","Direction=H","UseDPDF=Y")</f>
        <v>—</v>
      </c>
      <c r="S35" s="13" t="str">
        <f>_xll.BDH("SRPT US Equity","IS_GAIN_LOSS_DISPOSAL_ASSETS","FQ4 2022","FQ4 2022","Currency=USD","Period=FQ","BEST_FPERIOD_OVERRIDE=FQ","FILING_STATUS=MR","SCALING_FORMAT=MLN","Sort=A","Dates=H","DateFormat=P","Fill=—","Direction=H","UseDPDF=Y")</f>
        <v>—</v>
      </c>
      <c r="T35" s="13" t="str">
        <f>_xll.BDH("SRPT US Equity","IS_GAIN_LOSS_DISPOSAL_ASSETS","FQ1 2023","FQ1 2023","Currency=USD","Period=FQ","BEST_FPERIOD_OVERRIDE=FQ","FILING_STATUS=MR","SCALING_FORMAT=MLN","Sort=A","Dates=H","DateFormat=P","Fill=—","Direction=H","UseDPDF=Y")</f>
        <v>—</v>
      </c>
      <c r="U35" s="13">
        <f>_xll.BDH("SRPT US Equity","IS_GAIN_LOSS_DISPOSAL_ASSETS","FQ2 2023","FQ2 2023","Currency=USD","Period=FQ","BEST_FPERIOD_OVERRIDE=FQ","FILING_STATUS=MR","SCALING_FORMAT=MLN","Sort=A","Dates=H","DateFormat=P","Fill=—","Direction=H","UseDPDF=Y")</f>
        <v>-102</v>
      </c>
      <c r="V35" s="13" t="str">
        <f>_xll.BDH("SRPT US Equity","IS_GAIN_LOSS_DISPOSAL_ASSETS","FQ3 2023","FQ3 2023","Currency=USD","Period=FQ","BEST_FPERIOD_OVERRIDE=FQ","FILING_STATUS=MR","SCALING_FORMAT=MLN","Sort=A","Dates=H","DateFormat=P","Fill=—","Direction=H","UseDPDF=Y")</f>
        <v>—</v>
      </c>
      <c r="W35" s="13" t="str">
        <f>_xll.BDH("SRPT US Equity","IS_GAIN_LOSS_DISPOSAL_ASSETS","FQ4 2023","FQ4 2023","Currency=USD","Period=FQ","BEST_FPERIOD_OVERRIDE=FQ","FILING_STATUS=MR","SCALING_FORMAT=MLN","Sort=A","Dates=H","DateFormat=P","Fill=—","Direction=H","UseDPDF=Y")</f>
        <v>—</v>
      </c>
      <c r="X35" s="13" t="str">
        <f>_xll.BDH("SRPT US Equity","IS_GAIN_LOSS_DISPOSAL_ASSETS","FQ1 2024","FQ1 2024","Currency=USD","Period=FQ","BEST_FPERIOD_OVERRIDE=FQ","FILING_STATUS=MR","SCALING_FORMAT=MLN","Sort=A","Dates=H","DateFormat=P","Fill=—","Direction=H","UseDPDF=Y")</f>
        <v>—</v>
      </c>
      <c r="Y35" s="13" t="str">
        <f>_xll.BDH("SRPT US Equity","IS_GAIN_LOSS_DISPOSAL_ASSETS","FQ2 2024","FQ2 2024","Currency=USD","Period=FQ","BEST_FPERIOD_OVERRIDE=FQ","FILING_STATUS=MR","SCALING_FORMAT=MLN","Sort=A","Dates=H","DateFormat=P","Fill=—","Direction=H","UseDPDF=Y")</f>
        <v>—</v>
      </c>
      <c r="Z35" s="13" t="str">
        <f>_xll.BDH("SRPT US Equity","IS_GAIN_LOSS_DISPOSAL_ASSETS","FQ3 2024","FQ3 2024","Currency=USD","Period=FQ","BEST_FPERIOD_OVERRIDE=FQ","FILING_STATUS=MR","SCALING_FORMAT=MLN","Sort=A","Dates=H","DateFormat=P","Fill=—","Direction=H","UseDPDF=Y")</f>
        <v>—</v>
      </c>
      <c r="AA35" s="13" t="str">
        <f>_xll.BDH("SRPT US Equity","IS_GAIN_LOSS_DISPOSAL_ASSETS","FQ4 2024","FQ4 2024","Currency=USD","Period=FQ","BEST_FPERIOD_OVERRIDE=FQ","FILING_STATUS=MR","SCALING_FORMAT=MLN","Sort=A","Dates=H","DateFormat=P","Fill=—","Direction=H","UseDPDF=Y")</f>
        <v>—</v>
      </c>
    </row>
    <row r="36" spans="1:27" x14ac:dyDescent="0.25">
      <c r="A36" s="10" t="s">
        <v>622</v>
      </c>
      <c r="B36" s="10" t="s">
        <v>352</v>
      </c>
      <c r="C36" s="13" t="str">
        <f>_xll.BDH("SRPT US Equity","IS_G_L_ON_EXT_DBT_OR_SETTLE_DBT","FQ4 2018","FQ4 2018","Currency=USD","Period=FQ","BEST_FPERIOD_OVERRIDE=FQ","FILING_STATUS=MR","SCALING_FORMAT=MLN","Sort=A","Dates=H","DateFormat=P","Fill=—","Direction=H","UseDPDF=Y")</f>
        <v>—</v>
      </c>
      <c r="D36" s="13" t="str">
        <f>_xll.BDH("SRPT US Equity","IS_G_L_ON_EXT_DBT_OR_SETTLE_DBT","FQ1 2019","FQ1 2019","Currency=USD","Period=FQ","BEST_FPERIOD_OVERRIDE=FQ","FILING_STATUS=MR","SCALING_FORMAT=MLN","Sort=A","Dates=H","DateFormat=P","Fill=—","Direction=H","UseDPDF=Y")</f>
        <v>—</v>
      </c>
      <c r="E36" s="13" t="str">
        <f>_xll.BDH("SRPT US Equity","IS_G_L_ON_EXT_DBT_OR_SETTLE_DBT","FQ2 2019","FQ2 2019","Currency=USD","Period=FQ","BEST_FPERIOD_OVERRIDE=FQ","FILING_STATUS=MR","SCALING_FORMAT=MLN","Sort=A","Dates=H","DateFormat=P","Fill=—","Direction=H","UseDPDF=Y")</f>
        <v>—</v>
      </c>
      <c r="F36" s="13" t="str">
        <f>_xll.BDH("SRPT US Equity","IS_G_L_ON_EXT_DBT_OR_SETTLE_DBT","FQ3 2019","FQ3 2019","Currency=USD","Period=FQ","BEST_FPERIOD_OVERRIDE=FQ","FILING_STATUS=MR","SCALING_FORMAT=MLN","Sort=A","Dates=H","DateFormat=P","Fill=—","Direction=H","UseDPDF=Y")</f>
        <v>—</v>
      </c>
      <c r="G36" s="13" t="str">
        <f>_xll.BDH("SRPT US Equity","IS_G_L_ON_EXT_DBT_OR_SETTLE_DBT","FQ4 2019","FQ4 2019","Currency=USD","Period=FQ","BEST_FPERIOD_OVERRIDE=FQ","FILING_STATUS=MR","SCALING_FORMAT=MLN","Sort=A","Dates=H","DateFormat=P","Fill=—","Direction=H","UseDPDF=Y")</f>
        <v>—</v>
      </c>
      <c r="H36" s="13" t="str">
        <f>_xll.BDH("SRPT US Equity","IS_G_L_ON_EXT_DBT_OR_SETTLE_DBT","FQ1 2020","FQ1 2020","Currency=USD","Period=FQ","BEST_FPERIOD_OVERRIDE=FQ","FILING_STATUS=MR","SCALING_FORMAT=MLN","Sort=A","Dates=H","DateFormat=P","Fill=—","Direction=H","UseDPDF=Y")</f>
        <v>—</v>
      </c>
      <c r="I36" s="13" t="str">
        <f>_xll.BDH("SRPT US Equity","IS_G_L_ON_EXT_DBT_OR_SETTLE_DBT","FQ2 2020","FQ2 2020","Currency=USD","Period=FQ","BEST_FPERIOD_OVERRIDE=FQ","FILING_STATUS=MR","SCALING_FORMAT=MLN","Sort=A","Dates=H","DateFormat=P","Fill=—","Direction=H","UseDPDF=Y")</f>
        <v>—</v>
      </c>
      <c r="J36" s="13" t="str">
        <f>_xll.BDH("SRPT US Equity","IS_G_L_ON_EXT_DBT_OR_SETTLE_DBT","FQ3 2020","FQ3 2020","Currency=USD","Period=FQ","BEST_FPERIOD_OVERRIDE=FQ","FILING_STATUS=MR","SCALING_FORMAT=MLN","Sort=A","Dates=H","DateFormat=P","Fill=—","Direction=H","UseDPDF=Y")</f>
        <v>—</v>
      </c>
      <c r="K36" s="13" t="str">
        <f>_xll.BDH("SRPT US Equity","IS_G_L_ON_EXT_DBT_OR_SETTLE_DBT","FQ4 2020","FQ4 2020","Currency=USD","Period=FQ","BEST_FPERIOD_OVERRIDE=FQ","FILING_STATUS=MR","SCALING_FORMAT=MLN","Sort=A","Dates=H","DateFormat=P","Fill=—","Direction=H","UseDPDF=Y")</f>
        <v>—</v>
      </c>
      <c r="L36" s="13" t="str">
        <f>_xll.BDH("SRPT US Equity","IS_G_L_ON_EXT_DBT_OR_SETTLE_DBT","FQ1 2021","FQ1 2021","Currency=USD","Period=FQ","BEST_FPERIOD_OVERRIDE=FQ","FILING_STATUS=MR","SCALING_FORMAT=MLN","Sort=A","Dates=H","DateFormat=P","Fill=—","Direction=H","UseDPDF=Y")</f>
        <v>—</v>
      </c>
      <c r="M36" s="13" t="str">
        <f>_xll.BDH("SRPT US Equity","IS_G_L_ON_EXT_DBT_OR_SETTLE_DBT","FQ2 2021","FQ2 2021","Currency=USD","Period=FQ","BEST_FPERIOD_OVERRIDE=FQ","FILING_STATUS=MR","SCALING_FORMAT=MLN","Sort=A","Dates=H","DateFormat=P","Fill=—","Direction=H","UseDPDF=Y")</f>
        <v>—</v>
      </c>
      <c r="N36" s="13" t="str">
        <f>_xll.BDH("SRPT US Equity","IS_G_L_ON_EXT_DBT_OR_SETTLE_DBT","FQ3 2021","FQ3 2021","Currency=USD","Period=FQ","BEST_FPERIOD_OVERRIDE=FQ","FILING_STATUS=MR","SCALING_FORMAT=MLN","Sort=A","Dates=H","DateFormat=P","Fill=—","Direction=H","UseDPDF=Y")</f>
        <v>—</v>
      </c>
      <c r="O36" s="13" t="str">
        <f>_xll.BDH("SRPT US Equity","IS_G_L_ON_EXT_DBT_OR_SETTLE_DBT","FQ4 2021","FQ4 2021","Currency=USD","Period=FQ","BEST_FPERIOD_OVERRIDE=FQ","FILING_STATUS=MR","SCALING_FORMAT=MLN","Sort=A","Dates=H","DateFormat=P","Fill=—","Direction=H","UseDPDF=Y")</f>
        <v>—</v>
      </c>
      <c r="P36" s="13" t="str">
        <f>_xll.BDH("SRPT US Equity","IS_G_L_ON_EXT_DBT_OR_SETTLE_DBT","FQ1 2022","FQ1 2022","Currency=USD","Period=FQ","BEST_FPERIOD_OVERRIDE=FQ","FILING_STATUS=MR","SCALING_FORMAT=MLN","Sort=A","Dates=H","DateFormat=P","Fill=—","Direction=H","UseDPDF=Y")</f>
        <v>—</v>
      </c>
      <c r="Q36" s="13" t="str">
        <f>_xll.BDH("SRPT US Equity","IS_G_L_ON_EXT_DBT_OR_SETTLE_DBT","FQ2 2022","FQ2 2022","Currency=USD","Period=FQ","BEST_FPERIOD_OVERRIDE=FQ","FILING_STATUS=MR","SCALING_FORMAT=MLN","Sort=A","Dates=H","DateFormat=P","Fill=—","Direction=H","UseDPDF=Y")</f>
        <v>—</v>
      </c>
      <c r="R36" s="13">
        <f>_xll.BDH("SRPT US Equity","IS_G_L_ON_EXT_DBT_OR_SETTLE_DBT","FQ3 2022","FQ3 2022","Currency=USD","Period=FQ","BEST_FPERIOD_OVERRIDE=FQ","FILING_STATUS=MR","SCALING_FORMAT=MLN","Sort=A","Dates=H","DateFormat=P","Fill=—","Direction=H","UseDPDF=Y")</f>
        <v>125.441</v>
      </c>
      <c r="S36" s="13" t="str">
        <f>_xll.BDH("SRPT US Equity","IS_G_L_ON_EXT_DBT_OR_SETTLE_DBT","FQ4 2022","FQ4 2022","Currency=USD","Period=FQ","BEST_FPERIOD_OVERRIDE=FQ","FILING_STATUS=MR","SCALING_FORMAT=MLN","Sort=A","Dates=H","DateFormat=P","Fill=—","Direction=H","UseDPDF=Y")</f>
        <v>—</v>
      </c>
      <c r="T36" s="13">
        <f>_xll.BDH("SRPT US Equity","IS_G_L_ON_EXT_DBT_OR_SETTLE_DBT","FQ1 2023","FQ1 2023","Currency=USD","Period=FQ","BEST_FPERIOD_OVERRIDE=FQ","FILING_STATUS=MR","SCALING_FORMAT=MLN","Sort=A","Dates=H","DateFormat=P","Fill=—","Direction=H","UseDPDF=Y")</f>
        <v>387.32900000000001</v>
      </c>
      <c r="U36" s="13" t="str">
        <f>_xll.BDH("SRPT US Equity","IS_G_L_ON_EXT_DBT_OR_SETTLE_DBT","FQ2 2023","FQ2 2023","Currency=USD","Period=FQ","BEST_FPERIOD_OVERRIDE=FQ","FILING_STATUS=MR","SCALING_FORMAT=MLN","Sort=A","Dates=H","DateFormat=P","Fill=—","Direction=H","UseDPDF=Y")</f>
        <v>—</v>
      </c>
      <c r="V36" s="13" t="str">
        <f>_xll.BDH("SRPT US Equity","IS_G_L_ON_EXT_DBT_OR_SETTLE_DBT","FQ3 2023","FQ3 2023","Currency=USD","Period=FQ","BEST_FPERIOD_OVERRIDE=FQ","FILING_STATUS=MR","SCALING_FORMAT=MLN","Sort=A","Dates=H","DateFormat=P","Fill=—","Direction=H","UseDPDF=Y")</f>
        <v>—</v>
      </c>
      <c r="W36" s="13" t="str">
        <f>_xll.BDH("SRPT US Equity","IS_G_L_ON_EXT_DBT_OR_SETTLE_DBT","FQ4 2023","FQ4 2023","Currency=USD","Period=FQ","BEST_FPERIOD_OVERRIDE=FQ","FILING_STATUS=MR","SCALING_FORMAT=MLN","Sort=A","Dates=H","DateFormat=P","Fill=—","Direction=H","UseDPDF=Y")</f>
        <v>—</v>
      </c>
      <c r="X36" s="13" t="str">
        <f>_xll.BDH("SRPT US Equity","IS_G_L_ON_EXT_DBT_OR_SETTLE_DBT","FQ1 2024","FQ1 2024","Currency=USD","Period=FQ","BEST_FPERIOD_OVERRIDE=FQ","FILING_STATUS=MR","SCALING_FORMAT=MLN","Sort=A","Dates=H","DateFormat=P","Fill=—","Direction=H","UseDPDF=Y")</f>
        <v>—</v>
      </c>
      <c r="Y36" s="13" t="str">
        <f>_xll.BDH("SRPT US Equity","IS_G_L_ON_EXT_DBT_OR_SETTLE_DBT","FQ2 2024","FQ2 2024","Currency=USD","Period=FQ","BEST_FPERIOD_OVERRIDE=FQ","FILING_STATUS=MR","SCALING_FORMAT=MLN","Sort=A","Dates=H","DateFormat=P","Fill=—","Direction=H","UseDPDF=Y")</f>
        <v>—</v>
      </c>
      <c r="Z36" s="13" t="str">
        <f>_xll.BDH("SRPT US Equity","IS_G_L_ON_EXT_DBT_OR_SETTLE_DBT","FQ3 2024","FQ3 2024","Currency=USD","Period=FQ","BEST_FPERIOD_OVERRIDE=FQ","FILING_STATUS=MR","SCALING_FORMAT=MLN","Sort=A","Dates=H","DateFormat=P","Fill=—","Direction=H","UseDPDF=Y")</f>
        <v>—</v>
      </c>
      <c r="AA36" s="13" t="str">
        <f>_xll.BDH("SRPT US Equity","IS_G_L_ON_EXT_DBT_OR_SETTLE_DBT","FQ4 2024","FQ4 2024","Currency=USD","Period=FQ","BEST_FPERIOD_OVERRIDE=FQ","FILING_STATUS=MR","SCALING_FORMAT=MLN","Sort=A","Dates=H","DateFormat=P","Fill=—","Direction=H","UseDPDF=Y")</f>
        <v>—</v>
      </c>
    </row>
    <row r="37" spans="1:27" x14ac:dyDescent="0.25">
      <c r="A37" s="10" t="s">
        <v>623</v>
      </c>
      <c r="B37" s="10" t="s">
        <v>354</v>
      </c>
      <c r="C37" s="13" t="str">
        <f>_xll.BDH("SRPT US Equity","IS_IMPAIRMENT_ASSETS","FQ4 2018","FQ4 2018","Currency=USD","Period=FQ","BEST_FPERIOD_OVERRIDE=FQ","FILING_STATUS=MR","SCALING_FORMAT=MLN","Sort=A","Dates=H","DateFormat=P","Fill=—","Direction=H","UseDPDF=Y")</f>
        <v>—</v>
      </c>
      <c r="D37" s="13" t="str">
        <f>_xll.BDH("SRPT US Equity","IS_IMPAIRMENT_ASSETS","FQ1 2019","FQ1 2019","Currency=USD","Period=FQ","BEST_FPERIOD_OVERRIDE=FQ","FILING_STATUS=MR","SCALING_FORMAT=MLN","Sort=A","Dates=H","DateFormat=P","Fill=—","Direction=H","UseDPDF=Y")</f>
        <v>—</v>
      </c>
      <c r="E37" s="13" t="str">
        <f>_xll.BDH("SRPT US Equity","IS_IMPAIRMENT_ASSETS","FQ2 2019","FQ2 2019","Currency=USD","Period=FQ","BEST_FPERIOD_OVERRIDE=FQ","FILING_STATUS=MR","SCALING_FORMAT=MLN","Sort=A","Dates=H","DateFormat=P","Fill=—","Direction=H","UseDPDF=Y")</f>
        <v>—</v>
      </c>
      <c r="F37" s="13" t="str">
        <f>_xll.BDH("SRPT US Equity","IS_IMPAIRMENT_ASSETS","FQ3 2019","FQ3 2019","Currency=USD","Period=FQ","BEST_FPERIOD_OVERRIDE=FQ","FILING_STATUS=MR","SCALING_FORMAT=MLN","Sort=A","Dates=H","DateFormat=P","Fill=—","Direction=H","UseDPDF=Y")</f>
        <v>—</v>
      </c>
      <c r="G37" s="13" t="str">
        <f>_xll.BDH("SRPT US Equity","IS_IMPAIRMENT_ASSETS","FQ4 2019","FQ4 2019","Currency=USD","Period=FQ","BEST_FPERIOD_OVERRIDE=FQ","FILING_STATUS=MR","SCALING_FORMAT=MLN","Sort=A","Dates=H","DateFormat=P","Fill=—","Direction=H","UseDPDF=Y")</f>
        <v>—</v>
      </c>
      <c r="H37" s="13" t="str">
        <f>_xll.BDH("SRPT US Equity","IS_IMPAIRMENT_ASSETS","FQ1 2020","FQ1 2020","Currency=USD","Period=FQ","BEST_FPERIOD_OVERRIDE=FQ","FILING_STATUS=MR","SCALING_FORMAT=MLN","Sort=A","Dates=H","DateFormat=P","Fill=—","Direction=H","UseDPDF=Y")</f>
        <v>—</v>
      </c>
      <c r="I37" s="13" t="str">
        <f>_xll.BDH("SRPT US Equity","IS_IMPAIRMENT_ASSETS","FQ2 2020","FQ2 2020","Currency=USD","Period=FQ","BEST_FPERIOD_OVERRIDE=FQ","FILING_STATUS=MR","SCALING_FORMAT=MLN","Sort=A","Dates=H","DateFormat=P","Fill=—","Direction=H","UseDPDF=Y")</f>
        <v>—</v>
      </c>
      <c r="J37" s="13" t="str">
        <f>_xll.BDH("SRPT US Equity","IS_IMPAIRMENT_ASSETS","FQ3 2020","FQ3 2020","Currency=USD","Period=FQ","BEST_FPERIOD_OVERRIDE=FQ","FILING_STATUS=MR","SCALING_FORMAT=MLN","Sort=A","Dates=H","DateFormat=P","Fill=—","Direction=H","UseDPDF=Y")</f>
        <v>—</v>
      </c>
      <c r="K37" s="13" t="str">
        <f>_xll.BDH("SRPT US Equity","IS_IMPAIRMENT_ASSETS","FQ4 2020","FQ4 2020","Currency=USD","Period=FQ","BEST_FPERIOD_OVERRIDE=FQ","FILING_STATUS=MR","SCALING_FORMAT=MLN","Sort=A","Dates=H","DateFormat=P","Fill=—","Direction=H","UseDPDF=Y")</f>
        <v>—</v>
      </c>
      <c r="L37" s="13" t="str">
        <f>_xll.BDH("SRPT US Equity","IS_IMPAIRMENT_ASSETS","FQ1 2021","FQ1 2021","Currency=USD","Period=FQ","BEST_FPERIOD_OVERRIDE=FQ","FILING_STATUS=MR","SCALING_FORMAT=MLN","Sort=A","Dates=H","DateFormat=P","Fill=—","Direction=H","UseDPDF=Y")</f>
        <v>—</v>
      </c>
      <c r="M37" s="13" t="str">
        <f>_xll.BDH("SRPT US Equity","IS_IMPAIRMENT_ASSETS","FQ2 2021","FQ2 2021","Currency=USD","Period=FQ","BEST_FPERIOD_OVERRIDE=FQ","FILING_STATUS=MR","SCALING_FORMAT=MLN","Sort=A","Dates=H","DateFormat=P","Fill=—","Direction=H","UseDPDF=Y")</f>
        <v>—</v>
      </c>
      <c r="N37" s="13">
        <f>_xll.BDH("SRPT US Equity","IS_IMPAIRMENT_ASSETS","FQ3 2021","FQ3 2021","Currency=USD","Period=FQ","BEST_FPERIOD_OVERRIDE=FQ","FILING_STATUS=MR","SCALING_FORMAT=MLN","Sort=A","Dates=H","DateFormat=P","Fill=—","Direction=H","UseDPDF=Y")</f>
        <v>4.4880000000000004</v>
      </c>
      <c r="O37" s="13" t="str">
        <f>_xll.BDH("SRPT US Equity","IS_IMPAIRMENT_ASSETS","FQ4 2021","FQ4 2021","Currency=USD","Period=FQ","BEST_FPERIOD_OVERRIDE=FQ","FILING_STATUS=MR","SCALING_FORMAT=MLN","Sort=A","Dates=H","DateFormat=P","Fill=—","Direction=H","UseDPDF=Y")</f>
        <v>—</v>
      </c>
      <c r="P37" s="13" t="str">
        <f>_xll.BDH("SRPT US Equity","IS_IMPAIRMENT_ASSETS","FQ1 2022","FQ1 2022","Currency=USD","Period=FQ","BEST_FPERIOD_OVERRIDE=FQ","FILING_STATUS=MR","SCALING_FORMAT=MLN","Sort=A","Dates=H","DateFormat=P","Fill=—","Direction=H","UseDPDF=Y")</f>
        <v>—</v>
      </c>
      <c r="Q37" s="13" t="str">
        <f>_xll.BDH("SRPT US Equity","IS_IMPAIRMENT_ASSETS","FQ2 2022","FQ2 2022","Currency=USD","Period=FQ","BEST_FPERIOD_OVERRIDE=FQ","FILING_STATUS=MR","SCALING_FORMAT=MLN","Sort=A","Dates=H","DateFormat=P","Fill=—","Direction=H","UseDPDF=Y")</f>
        <v>—</v>
      </c>
      <c r="R37" s="13" t="str">
        <f>_xll.BDH("SRPT US Equity","IS_IMPAIRMENT_ASSETS","FQ3 2022","FQ3 2022","Currency=USD","Period=FQ","BEST_FPERIOD_OVERRIDE=FQ","FILING_STATUS=MR","SCALING_FORMAT=MLN","Sort=A","Dates=H","DateFormat=P","Fill=—","Direction=H","UseDPDF=Y")</f>
        <v>—</v>
      </c>
      <c r="S37" s="13" t="str">
        <f>_xll.BDH("SRPT US Equity","IS_IMPAIRMENT_ASSETS","FQ4 2022","FQ4 2022","Currency=USD","Period=FQ","BEST_FPERIOD_OVERRIDE=FQ","FILING_STATUS=MR","SCALING_FORMAT=MLN","Sort=A","Dates=H","DateFormat=P","Fill=—","Direction=H","UseDPDF=Y")</f>
        <v>—</v>
      </c>
      <c r="T37" s="13" t="str">
        <f>_xll.BDH("SRPT US Equity","IS_IMPAIRMENT_ASSETS","FQ1 2023","FQ1 2023","Currency=USD","Period=FQ","BEST_FPERIOD_OVERRIDE=FQ","FILING_STATUS=MR","SCALING_FORMAT=MLN","Sort=A","Dates=H","DateFormat=P","Fill=—","Direction=H","UseDPDF=Y")</f>
        <v>—</v>
      </c>
      <c r="U37" s="13" t="str">
        <f>_xll.BDH("SRPT US Equity","IS_IMPAIRMENT_ASSETS","FQ2 2023","FQ2 2023","Currency=USD","Period=FQ","BEST_FPERIOD_OVERRIDE=FQ","FILING_STATUS=MR","SCALING_FORMAT=MLN","Sort=A","Dates=H","DateFormat=P","Fill=—","Direction=H","UseDPDF=Y")</f>
        <v>—</v>
      </c>
      <c r="V37" s="13" t="str">
        <f>_xll.BDH("SRPT US Equity","IS_IMPAIRMENT_ASSETS","FQ3 2023","FQ3 2023","Currency=USD","Period=FQ","BEST_FPERIOD_OVERRIDE=FQ","FILING_STATUS=MR","SCALING_FORMAT=MLN","Sort=A","Dates=H","DateFormat=P","Fill=—","Direction=H","UseDPDF=Y")</f>
        <v>—</v>
      </c>
      <c r="W37" s="13" t="str">
        <f>_xll.BDH("SRPT US Equity","IS_IMPAIRMENT_ASSETS","FQ4 2023","FQ4 2023","Currency=USD","Period=FQ","BEST_FPERIOD_OVERRIDE=FQ","FILING_STATUS=MR","SCALING_FORMAT=MLN","Sort=A","Dates=H","DateFormat=P","Fill=—","Direction=H","UseDPDF=Y")</f>
        <v>—</v>
      </c>
      <c r="X37" s="13" t="str">
        <f>_xll.BDH("SRPT US Equity","IS_IMPAIRMENT_ASSETS","FQ1 2024","FQ1 2024","Currency=USD","Period=FQ","BEST_FPERIOD_OVERRIDE=FQ","FILING_STATUS=MR","SCALING_FORMAT=MLN","Sort=A","Dates=H","DateFormat=P","Fill=—","Direction=H","UseDPDF=Y")</f>
        <v>—</v>
      </c>
      <c r="Y37" s="13" t="str">
        <f>_xll.BDH("SRPT US Equity","IS_IMPAIRMENT_ASSETS","FQ2 2024","FQ2 2024","Currency=USD","Period=FQ","BEST_FPERIOD_OVERRIDE=FQ","FILING_STATUS=MR","SCALING_FORMAT=MLN","Sort=A","Dates=H","DateFormat=P","Fill=—","Direction=H","UseDPDF=Y")</f>
        <v>—</v>
      </c>
      <c r="Z37" s="13" t="str">
        <f>_xll.BDH("SRPT US Equity","IS_IMPAIRMENT_ASSETS","FQ3 2024","FQ3 2024","Currency=USD","Period=FQ","BEST_FPERIOD_OVERRIDE=FQ","FILING_STATUS=MR","SCALING_FORMAT=MLN","Sort=A","Dates=H","DateFormat=P","Fill=—","Direction=H","UseDPDF=Y")</f>
        <v>—</v>
      </c>
      <c r="AA37" s="13" t="str">
        <f>_xll.BDH("SRPT US Equity","IS_IMPAIRMENT_ASSETS","FQ4 2024","FQ4 2024","Currency=USD","Period=FQ","BEST_FPERIOD_OVERRIDE=FQ","FILING_STATUS=MR","SCALING_FORMAT=MLN","Sort=A","Dates=H","DateFormat=P","Fill=—","Direction=H","UseDPDF=Y")</f>
        <v>—</v>
      </c>
    </row>
    <row r="38" spans="1:27" x14ac:dyDescent="0.25">
      <c r="A38" s="10" t="s">
        <v>616</v>
      </c>
      <c r="B38" s="10" t="s">
        <v>356</v>
      </c>
      <c r="C38" s="13" t="str">
        <f>_xll.BDH("SRPT US Equity","IS_LEGAL_LITIGATION_SETTLEMENT","FQ4 2018","FQ4 2018","Currency=USD","Period=FQ","BEST_FPERIOD_OVERRIDE=FQ","FILING_STATUS=MR","SCALING_FORMAT=MLN","Sort=A","Dates=H","DateFormat=P","Fill=—","Direction=H","UseDPDF=Y")</f>
        <v>—</v>
      </c>
      <c r="D38" s="13" t="str">
        <f>_xll.BDH("SRPT US Equity","IS_LEGAL_LITIGATION_SETTLEMENT","FQ1 2019","FQ1 2019","Currency=USD","Period=FQ","BEST_FPERIOD_OVERRIDE=FQ","FILING_STATUS=MR","SCALING_FORMAT=MLN","Sort=A","Dates=H","DateFormat=P","Fill=—","Direction=H","UseDPDF=Y")</f>
        <v>—</v>
      </c>
      <c r="E38" s="13" t="str">
        <f>_xll.BDH("SRPT US Equity","IS_LEGAL_LITIGATION_SETTLEMENT","FQ2 2019","FQ2 2019","Currency=USD","Period=FQ","BEST_FPERIOD_OVERRIDE=FQ","FILING_STATUS=MR","SCALING_FORMAT=MLN","Sort=A","Dates=H","DateFormat=P","Fill=—","Direction=H","UseDPDF=Y")</f>
        <v>—</v>
      </c>
      <c r="F38" s="13" t="str">
        <f>_xll.BDH("SRPT US Equity","IS_LEGAL_LITIGATION_SETTLEMENT","FQ3 2019","FQ3 2019","Currency=USD","Period=FQ","BEST_FPERIOD_OVERRIDE=FQ","FILING_STATUS=MR","SCALING_FORMAT=MLN","Sort=A","Dates=H","DateFormat=P","Fill=—","Direction=H","UseDPDF=Y")</f>
        <v>—</v>
      </c>
      <c r="G38" s="13">
        <f>_xll.BDH("SRPT US Equity","IS_LEGAL_LITIGATION_SETTLEMENT","FQ4 2019","FQ4 2019","Currency=USD","Period=FQ","BEST_FPERIOD_OVERRIDE=FQ","FILING_STATUS=MR","SCALING_FORMAT=MLN","Sort=A","Dates=H","DateFormat=P","Fill=—","Direction=H","UseDPDF=Y")</f>
        <v>10</v>
      </c>
      <c r="H38" s="13" t="str">
        <f>_xll.BDH("SRPT US Equity","IS_LEGAL_LITIGATION_SETTLEMENT","FQ1 2020","FQ1 2020","Currency=USD","Period=FQ","BEST_FPERIOD_OVERRIDE=FQ","FILING_STATUS=MR","SCALING_FORMAT=MLN","Sort=A","Dates=H","DateFormat=P","Fill=—","Direction=H","UseDPDF=Y")</f>
        <v>—</v>
      </c>
      <c r="I38" s="13" t="str">
        <f>_xll.BDH("SRPT US Equity","IS_LEGAL_LITIGATION_SETTLEMENT","FQ2 2020","FQ2 2020","Currency=USD","Period=FQ","BEST_FPERIOD_OVERRIDE=FQ","FILING_STATUS=MR","SCALING_FORMAT=MLN","Sort=A","Dates=H","DateFormat=P","Fill=—","Direction=H","UseDPDF=Y")</f>
        <v>—</v>
      </c>
      <c r="J38" s="13" t="str">
        <f>_xll.BDH("SRPT US Equity","IS_LEGAL_LITIGATION_SETTLEMENT","FQ3 2020","FQ3 2020","Currency=USD","Period=FQ","BEST_FPERIOD_OVERRIDE=FQ","FILING_STATUS=MR","SCALING_FORMAT=MLN","Sort=A","Dates=H","DateFormat=P","Fill=—","Direction=H","UseDPDF=Y")</f>
        <v>—</v>
      </c>
      <c r="K38" s="13" t="str">
        <f>_xll.BDH("SRPT US Equity","IS_LEGAL_LITIGATION_SETTLEMENT","FQ4 2020","FQ4 2020","Currency=USD","Period=FQ","BEST_FPERIOD_OVERRIDE=FQ","FILING_STATUS=MR","SCALING_FORMAT=MLN","Sort=A","Dates=H","DateFormat=P","Fill=—","Direction=H","UseDPDF=Y")</f>
        <v>—</v>
      </c>
      <c r="L38" s="13">
        <f>_xll.BDH("SRPT US Equity","IS_LEGAL_LITIGATION_SETTLEMENT","FQ1 2021","FQ1 2021","Currency=USD","Period=FQ","BEST_FPERIOD_OVERRIDE=FQ","FILING_STATUS=MR","SCALING_FORMAT=MLN","Sort=A","Dates=H","DateFormat=P","Fill=—","Direction=H","UseDPDF=Y")</f>
        <v>10</v>
      </c>
      <c r="M38" s="13" t="str">
        <f>_xll.BDH("SRPT US Equity","IS_LEGAL_LITIGATION_SETTLEMENT","FQ2 2021","FQ2 2021","Currency=USD","Period=FQ","BEST_FPERIOD_OVERRIDE=FQ","FILING_STATUS=MR","SCALING_FORMAT=MLN","Sort=A","Dates=H","DateFormat=P","Fill=—","Direction=H","UseDPDF=Y")</f>
        <v>—</v>
      </c>
      <c r="N38" s="13" t="str">
        <f>_xll.BDH("SRPT US Equity","IS_LEGAL_LITIGATION_SETTLEMENT","FQ3 2021","FQ3 2021","Currency=USD","Period=FQ","BEST_FPERIOD_OVERRIDE=FQ","FILING_STATUS=MR","SCALING_FORMAT=MLN","Sort=A","Dates=H","DateFormat=P","Fill=—","Direction=H","UseDPDF=Y")</f>
        <v>—</v>
      </c>
      <c r="O38" s="13" t="str">
        <f>_xll.BDH("SRPT US Equity","IS_LEGAL_LITIGATION_SETTLEMENT","FQ4 2021","FQ4 2021","Currency=USD","Period=FQ","BEST_FPERIOD_OVERRIDE=FQ","FILING_STATUS=MR","SCALING_FORMAT=MLN","Sort=A","Dates=H","DateFormat=P","Fill=—","Direction=H","UseDPDF=Y")</f>
        <v>—</v>
      </c>
      <c r="P38" s="13" t="str">
        <f>_xll.BDH("SRPT US Equity","IS_LEGAL_LITIGATION_SETTLEMENT","FQ1 2022","FQ1 2022","Currency=USD","Period=FQ","BEST_FPERIOD_OVERRIDE=FQ","FILING_STATUS=MR","SCALING_FORMAT=MLN","Sort=A","Dates=H","DateFormat=P","Fill=—","Direction=H","UseDPDF=Y")</f>
        <v>—</v>
      </c>
      <c r="Q38" s="13" t="str">
        <f>_xll.BDH("SRPT US Equity","IS_LEGAL_LITIGATION_SETTLEMENT","FQ2 2022","FQ2 2022","Currency=USD","Period=FQ","BEST_FPERIOD_OVERRIDE=FQ","FILING_STATUS=MR","SCALING_FORMAT=MLN","Sort=A","Dates=H","DateFormat=P","Fill=—","Direction=H","UseDPDF=Y")</f>
        <v>—</v>
      </c>
      <c r="R38" s="13" t="str">
        <f>_xll.BDH("SRPT US Equity","IS_LEGAL_LITIGATION_SETTLEMENT","FQ3 2022","FQ3 2022","Currency=USD","Period=FQ","BEST_FPERIOD_OVERRIDE=FQ","FILING_STATUS=MR","SCALING_FORMAT=MLN","Sort=A","Dates=H","DateFormat=P","Fill=—","Direction=H","UseDPDF=Y")</f>
        <v>—</v>
      </c>
      <c r="S38" s="13" t="str">
        <f>_xll.BDH("SRPT US Equity","IS_LEGAL_LITIGATION_SETTLEMENT","FQ4 2022","FQ4 2022","Currency=USD","Period=FQ","BEST_FPERIOD_OVERRIDE=FQ","FILING_STATUS=MR","SCALING_FORMAT=MLN","Sort=A","Dates=H","DateFormat=P","Fill=—","Direction=H","UseDPDF=Y")</f>
        <v>—</v>
      </c>
      <c r="T38" s="13" t="str">
        <f>_xll.BDH("SRPT US Equity","IS_LEGAL_LITIGATION_SETTLEMENT","FQ1 2023","FQ1 2023","Currency=USD","Period=FQ","BEST_FPERIOD_OVERRIDE=FQ","FILING_STATUS=MR","SCALING_FORMAT=MLN","Sort=A","Dates=H","DateFormat=P","Fill=—","Direction=H","UseDPDF=Y")</f>
        <v>—</v>
      </c>
      <c r="U38" s="13" t="str">
        <f>_xll.BDH("SRPT US Equity","IS_LEGAL_LITIGATION_SETTLEMENT","FQ2 2023","FQ2 2023","Currency=USD","Period=FQ","BEST_FPERIOD_OVERRIDE=FQ","FILING_STATUS=MR","SCALING_FORMAT=MLN","Sort=A","Dates=H","DateFormat=P","Fill=—","Direction=H","UseDPDF=Y")</f>
        <v>—</v>
      </c>
      <c r="V38" s="13" t="str">
        <f>_xll.BDH("SRPT US Equity","IS_LEGAL_LITIGATION_SETTLEMENT","FQ3 2023","FQ3 2023","Currency=USD","Period=FQ","BEST_FPERIOD_OVERRIDE=FQ","FILING_STATUS=MR","SCALING_FORMAT=MLN","Sort=A","Dates=H","DateFormat=P","Fill=—","Direction=H","UseDPDF=Y")</f>
        <v>—</v>
      </c>
      <c r="W38" s="13" t="str">
        <f>_xll.BDH("SRPT US Equity","IS_LEGAL_LITIGATION_SETTLEMENT","FQ4 2023","FQ4 2023","Currency=USD","Period=FQ","BEST_FPERIOD_OVERRIDE=FQ","FILING_STATUS=MR","SCALING_FORMAT=MLN","Sort=A","Dates=H","DateFormat=P","Fill=—","Direction=H","UseDPDF=Y")</f>
        <v>—</v>
      </c>
      <c r="X38" s="13" t="str">
        <f>_xll.BDH("SRPT US Equity","IS_LEGAL_LITIGATION_SETTLEMENT","FQ1 2024","FQ1 2024","Currency=USD","Period=FQ","BEST_FPERIOD_OVERRIDE=FQ","FILING_STATUS=MR","SCALING_FORMAT=MLN","Sort=A","Dates=H","DateFormat=P","Fill=—","Direction=H","UseDPDF=Y")</f>
        <v>—</v>
      </c>
      <c r="Y38" s="13" t="str">
        <f>_xll.BDH("SRPT US Equity","IS_LEGAL_LITIGATION_SETTLEMENT","FQ2 2024","FQ2 2024","Currency=USD","Period=FQ","BEST_FPERIOD_OVERRIDE=FQ","FILING_STATUS=MR","SCALING_FORMAT=MLN","Sort=A","Dates=H","DateFormat=P","Fill=—","Direction=H","UseDPDF=Y")</f>
        <v>—</v>
      </c>
      <c r="Z38" s="13" t="str">
        <f>_xll.BDH("SRPT US Equity","IS_LEGAL_LITIGATION_SETTLEMENT","FQ3 2024","FQ3 2024","Currency=USD","Period=FQ","BEST_FPERIOD_OVERRIDE=FQ","FILING_STATUS=MR","SCALING_FORMAT=MLN","Sort=A","Dates=H","DateFormat=P","Fill=—","Direction=H","UseDPDF=Y")</f>
        <v>—</v>
      </c>
      <c r="AA38" s="13" t="str">
        <f>_xll.BDH("SRPT US Equity","IS_LEGAL_LITIGATION_SETTLEMENT","FQ4 2024","FQ4 2024","Currency=USD","Period=FQ","BEST_FPERIOD_OVERRIDE=FQ","FILING_STATUS=MR","SCALING_FORMAT=MLN","Sort=A","Dates=H","DateFormat=P","Fill=—","Direction=H","UseDPDF=Y")</f>
        <v>—</v>
      </c>
    </row>
    <row r="39" spans="1:27" x14ac:dyDescent="0.25">
      <c r="A39" s="10" t="s">
        <v>624</v>
      </c>
      <c r="B39" s="10" t="s">
        <v>358</v>
      </c>
      <c r="C39" s="13" t="str">
        <f>_xll.BDH("SRPT US Equity","IS_UNREALIZED_INVESTMENTS","FQ4 2018","FQ4 2018","Currency=USD","Period=FQ","BEST_FPERIOD_OVERRIDE=FQ","FILING_STATUS=MR","SCALING_FORMAT=MLN","Sort=A","Dates=H","DateFormat=P","Fill=—","Direction=H","UseDPDF=Y")</f>
        <v>—</v>
      </c>
      <c r="D39" s="13" t="str">
        <f>_xll.BDH("SRPT US Equity","IS_UNREALIZED_INVESTMENTS","FQ1 2019","FQ1 2019","Currency=USD","Period=FQ","BEST_FPERIOD_OVERRIDE=FQ","FILING_STATUS=MR","SCALING_FORMAT=MLN","Sort=A","Dates=H","DateFormat=P","Fill=—","Direction=H","UseDPDF=Y")</f>
        <v>—</v>
      </c>
      <c r="E39" s="13" t="str">
        <f>_xll.BDH("SRPT US Equity","IS_UNREALIZED_INVESTMENTS","FQ2 2019","FQ2 2019","Currency=USD","Period=FQ","BEST_FPERIOD_OVERRIDE=FQ","FILING_STATUS=MR","SCALING_FORMAT=MLN","Sort=A","Dates=H","DateFormat=P","Fill=—","Direction=H","UseDPDF=Y")</f>
        <v>—</v>
      </c>
      <c r="F39" s="13" t="str">
        <f>_xll.BDH("SRPT US Equity","IS_UNREALIZED_INVESTMENTS","FQ3 2019","FQ3 2019","Currency=USD","Period=FQ","BEST_FPERIOD_OVERRIDE=FQ","FILING_STATUS=MR","SCALING_FORMAT=MLN","Sort=A","Dates=H","DateFormat=P","Fill=—","Direction=H","UseDPDF=Y")</f>
        <v>—</v>
      </c>
      <c r="G39" s="13" t="str">
        <f>_xll.BDH("SRPT US Equity","IS_UNREALIZED_INVESTMENTS","FQ4 2019","FQ4 2019","Currency=USD","Period=FQ","BEST_FPERIOD_OVERRIDE=FQ","FILING_STATUS=MR","SCALING_FORMAT=MLN","Sort=A","Dates=H","DateFormat=P","Fill=—","Direction=H","UseDPDF=Y")</f>
        <v>—</v>
      </c>
      <c r="H39" s="13" t="str">
        <f>_xll.BDH("SRPT US Equity","IS_UNREALIZED_INVESTMENTS","FQ1 2020","FQ1 2020","Currency=USD","Period=FQ","BEST_FPERIOD_OVERRIDE=FQ","FILING_STATUS=MR","SCALING_FORMAT=MLN","Sort=A","Dates=H","DateFormat=P","Fill=—","Direction=H","UseDPDF=Y")</f>
        <v>—</v>
      </c>
      <c r="I39" s="13" t="str">
        <f>_xll.BDH("SRPT US Equity","IS_UNREALIZED_INVESTMENTS","FQ2 2020","FQ2 2020","Currency=USD","Period=FQ","BEST_FPERIOD_OVERRIDE=FQ","FILING_STATUS=MR","SCALING_FORMAT=MLN","Sort=A","Dates=H","DateFormat=P","Fill=—","Direction=H","UseDPDF=Y")</f>
        <v>—</v>
      </c>
      <c r="J39" s="13" t="str">
        <f>_xll.BDH("SRPT US Equity","IS_UNREALIZED_INVESTMENTS","FQ3 2020","FQ3 2020","Currency=USD","Period=FQ","BEST_FPERIOD_OVERRIDE=FQ","FILING_STATUS=MR","SCALING_FORMAT=MLN","Sort=A","Dates=H","DateFormat=P","Fill=—","Direction=H","UseDPDF=Y")</f>
        <v>—</v>
      </c>
      <c r="K39" s="13" t="str">
        <f>_xll.BDH("SRPT US Equity","IS_UNREALIZED_INVESTMENTS","FQ4 2020","FQ4 2020","Currency=USD","Period=FQ","BEST_FPERIOD_OVERRIDE=FQ","FILING_STATUS=MR","SCALING_FORMAT=MLN","Sort=A","Dates=H","DateFormat=P","Fill=—","Direction=H","UseDPDF=Y")</f>
        <v>—</v>
      </c>
      <c r="L39" s="13" t="str">
        <f>_xll.BDH("SRPT US Equity","IS_UNREALIZED_INVESTMENTS","FQ1 2021","FQ1 2021","Currency=USD","Period=FQ","BEST_FPERIOD_OVERRIDE=FQ","FILING_STATUS=MR","SCALING_FORMAT=MLN","Sort=A","Dates=H","DateFormat=P","Fill=—","Direction=H","UseDPDF=Y")</f>
        <v>—</v>
      </c>
      <c r="M39" s="13" t="str">
        <f>_xll.BDH("SRPT US Equity","IS_UNREALIZED_INVESTMENTS","FQ2 2021","FQ2 2021","Currency=USD","Period=FQ","BEST_FPERIOD_OVERRIDE=FQ","FILING_STATUS=MR","SCALING_FORMAT=MLN","Sort=A","Dates=H","DateFormat=P","Fill=—","Direction=H","UseDPDF=Y")</f>
        <v>—</v>
      </c>
      <c r="N39" s="13" t="str">
        <f>_xll.BDH("SRPT US Equity","IS_UNREALIZED_INVESTMENTS","FQ3 2021","FQ3 2021","Currency=USD","Period=FQ","BEST_FPERIOD_OVERRIDE=FQ","FILING_STATUS=MR","SCALING_FORMAT=MLN","Sort=A","Dates=H","DateFormat=P","Fill=—","Direction=H","UseDPDF=Y")</f>
        <v>—</v>
      </c>
      <c r="O39" s="13" t="str">
        <f>_xll.BDH("SRPT US Equity","IS_UNREALIZED_INVESTMENTS","FQ4 2021","FQ4 2021","Currency=USD","Period=FQ","BEST_FPERIOD_OVERRIDE=FQ","FILING_STATUS=MR","SCALING_FORMAT=MLN","Sort=A","Dates=H","DateFormat=P","Fill=—","Direction=H","UseDPDF=Y")</f>
        <v>—</v>
      </c>
      <c r="P39" s="13" t="str">
        <f>_xll.BDH("SRPT US Equity","IS_UNREALIZED_INVESTMENTS","FQ1 2022","FQ1 2022","Currency=USD","Period=FQ","BEST_FPERIOD_OVERRIDE=FQ","FILING_STATUS=MR","SCALING_FORMAT=MLN","Sort=A","Dates=H","DateFormat=P","Fill=—","Direction=H","UseDPDF=Y")</f>
        <v>—</v>
      </c>
      <c r="Q39" s="13" t="str">
        <f>_xll.BDH("SRPT US Equity","IS_UNREALIZED_INVESTMENTS","FQ2 2022","FQ2 2022","Currency=USD","Period=FQ","BEST_FPERIOD_OVERRIDE=FQ","FILING_STATUS=MR","SCALING_FORMAT=MLN","Sort=A","Dates=H","DateFormat=P","Fill=—","Direction=H","UseDPDF=Y")</f>
        <v>—</v>
      </c>
      <c r="R39" s="13" t="str">
        <f>_xll.BDH("SRPT US Equity","IS_UNREALIZED_INVESTMENTS","FQ3 2022","FQ3 2022","Currency=USD","Period=FQ","BEST_FPERIOD_OVERRIDE=FQ","FILING_STATUS=MR","SCALING_FORMAT=MLN","Sort=A","Dates=H","DateFormat=P","Fill=—","Direction=H","UseDPDF=Y")</f>
        <v>—</v>
      </c>
      <c r="S39" s="13">
        <f>_xll.BDH("SRPT US Equity","IS_UNREALIZED_INVESTMENTS","FQ4 2022","FQ4 2022","Currency=USD","Period=FQ","BEST_FPERIOD_OVERRIDE=FQ","FILING_STATUS=MR","SCALING_FORMAT=MLN","Sort=A","Dates=H","DateFormat=P","Fill=—","Direction=H","UseDPDF=Y")</f>
        <v>2.5750000000000002</v>
      </c>
      <c r="T39" s="13" t="str">
        <f>_xll.BDH("SRPT US Equity","IS_UNREALIZED_INVESTMENTS","FQ1 2023","FQ1 2023","Currency=USD","Period=FQ","BEST_FPERIOD_OVERRIDE=FQ","FILING_STATUS=MR","SCALING_FORMAT=MLN","Sort=A","Dates=H","DateFormat=P","Fill=—","Direction=H","UseDPDF=Y")</f>
        <v>—</v>
      </c>
      <c r="U39" s="13" t="str">
        <f>_xll.BDH("SRPT US Equity","IS_UNREALIZED_INVESTMENTS","FQ2 2023","FQ2 2023","Currency=USD","Period=FQ","BEST_FPERIOD_OVERRIDE=FQ","FILING_STATUS=MR","SCALING_FORMAT=MLN","Sort=A","Dates=H","DateFormat=P","Fill=—","Direction=H","UseDPDF=Y")</f>
        <v>—</v>
      </c>
      <c r="V39" s="13" t="str">
        <f>_xll.BDH("SRPT US Equity","IS_UNREALIZED_INVESTMENTS","FQ3 2023","FQ3 2023","Currency=USD","Period=FQ","BEST_FPERIOD_OVERRIDE=FQ","FILING_STATUS=MR","SCALING_FORMAT=MLN","Sort=A","Dates=H","DateFormat=P","Fill=—","Direction=H","UseDPDF=Y")</f>
        <v>—</v>
      </c>
      <c r="W39" s="13" t="str">
        <f>_xll.BDH("SRPT US Equity","IS_UNREALIZED_INVESTMENTS","FQ4 2023","FQ4 2023","Currency=USD","Period=FQ","BEST_FPERIOD_OVERRIDE=FQ","FILING_STATUS=MR","SCALING_FORMAT=MLN","Sort=A","Dates=H","DateFormat=P","Fill=—","Direction=H","UseDPDF=Y")</f>
        <v>—</v>
      </c>
      <c r="X39" s="13" t="str">
        <f>_xll.BDH("SRPT US Equity","IS_UNREALIZED_INVESTMENTS","FQ1 2024","FQ1 2024","Currency=USD","Period=FQ","BEST_FPERIOD_OVERRIDE=FQ","FILING_STATUS=MR","SCALING_FORMAT=MLN","Sort=A","Dates=H","DateFormat=P","Fill=—","Direction=H","UseDPDF=Y")</f>
        <v>—</v>
      </c>
      <c r="Y39" s="13" t="str">
        <f>_xll.BDH("SRPT US Equity","IS_UNREALIZED_INVESTMENTS","FQ2 2024","FQ2 2024","Currency=USD","Period=FQ","BEST_FPERIOD_OVERRIDE=FQ","FILING_STATUS=MR","SCALING_FORMAT=MLN","Sort=A","Dates=H","DateFormat=P","Fill=—","Direction=H","UseDPDF=Y")</f>
        <v>—</v>
      </c>
      <c r="Z39" s="13" t="str">
        <f>_xll.BDH("SRPT US Equity","IS_UNREALIZED_INVESTMENTS","FQ3 2024","FQ3 2024","Currency=USD","Period=FQ","BEST_FPERIOD_OVERRIDE=FQ","FILING_STATUS=MR","SCALING_FORMAT=MLN","Sort=A","Dates=H","DateFormat=P","Fill=—","Direction=H","UseDPDF=Y")</f>
        <v>—</v>
      </c>
      <c r="AA39" s="13" t="str">
        <f>_xll.BDH("SRPT US Equity","IS_UNREALIZED_INVESTMENTS","FQ4 2024","FQ4 2024","Currency=USD","Period=FQ","BEST_FPERIOD_OVERRIDE=FQ","FILING_STATUS=MR","SCALING_FORMAT=MLN","Sort=A","Dates=H","DateFormat=P","Fill=—","Direction=H","UseDPDF=Y")</f>
        <v>—</v>
      </c>
    </row>
    <row r="40" spans="1:27" x14ac:dyDescent="0.25">
      <c r="A40" s="10" t="s">
        <v>618</v>
      </c>
      <c r="B40" s="10" t="s">
        <v>360</v>
      </c>
      <c r="C40" s="13" t="str">
        <f>_xll.BDH("SRPT US Equity","IS_OTHER_ONE_TIME_ITEMS","FQ4 2018","FQ4 2018","Currency=USD","Period=FQ","BEST_FPERIOD_OVERRIDE=FQ","FILING_STATUS=MR","SCALING_FORMAT=MLN","Sort=A","Dates=H","DateFormat=P","Fill=—","Direction=H","UseDPDF=Y")</f>
        <v>—</v>
      </c>
      <c r="D40" s="13">
        <f>_xll.BDH("SRPT US Equity","IS_OTHER_ONE_TIME_ITEMS","FQ1 2019","FQ1 2019","Currency=USD","Period=FQ","BEST_FPERIOD_OVERRIDE=FQ","FILING_STATUS=MR","SCALING_FORMAT=MLN","Sort=A","Dates=H","DateFormat=P","Fill=—","Direction=H","UseDPDF=Y")</f>
        <v>1.1220000000000001</v>
      </c>
      <c r="E40" s="13">
        <f>_xll.BDH("SRPT US Equity","IS_OTHER_ONE_TIME_ITEMS","FQ2 2019","FQ2 2019","Currency=USD","Period=FQ","BEST_FPERIOD_OVERRIDE=FQ","FILING_STATUS=MR","SCALING_FORMAT=MLN","Sort=A","Dates=H","DateFormat=P","Fill=—","Direction=H","UseDPDF=Y")</f>
        <v>15.077999999999999</v>
      </c>
      <c r="F40" s="13">
        <f>_xll.BDH("SRPT US Equity","IS_OTHER_ONE_TIME_ITEMS","FQ3 2019","FQ3 2019","Currency=USD","Period=FQ","BEST_FPERIOD_OVERRIDE=FQ","FILING_STATUS=MR","SCALING_FORMAT=MLN","Sort=A","Dates=H","DateFormat=P","Fill=—","Direction=H","UseDPDF=Y")</f>
        <v>12.146000000000001</v>
      </c>
      <c r="G40" s="13">
        <f>_xll.BDH("SRPT US Equity","IS_OTHER_ONE_TIME_ITEMS","FQ4 2019","FQ4 2019","Currency=USD","Period=FQ","BEST_FPERIOD_OVERRIDE=FQ","FILING_STATUS=MR","SCALING_FORMAT=MLN","Sort=A","Dates=H","DateFormat=P","Fill=—","Direction=H","UseDPDF=Y")</f>
        <v>74.816000000000003</v>
      </c>
      <c r="H40" s="13" t="str">
        <f>_xll.BDH("SRPT US Equity","IS_OTHER_ONE_TIME_ITEMS","FQ1 2020","FQ1 2020","Currency=USD","Period=FQ","BEST_FPERIOD_OVERRIDE=FQ","FILING_STATUS=MR","SCALING_FORMAT=MLN","Sort=A","Dates=H","DateFormat=P","Fill=—","Direction=H","UseDPDF=Y")</f>
        <v>—</v>
      </c>
      <c r="I40" s="13" t="str">
        <f>_xll.BDH("SRPT US Equity","IS_OTHER_ONE_TIME_ITEMS","FQ2 2020","FQ2 2020","Currency=USD","Period=FQ","BEST_FPERIOD_OVERRIDE=FQ","FILING_STATUS=MR","SCALING_FORMAT=MLN","Sort=A","Dates=H","DateFormat=P","Fill=—","Direction=H","UseDPDF=Y")</f>
        <v>—</v>
      </c>
      <c r="J40" s="13">
        <f>_xll.BDH("SRPT US Equity","IS_OTHER_ONE_TIME_ITEMS","FQ3 2020","FQ3 2020","Currency=USD","Period=FQ","BEST_FPERIOD_OVERRIDE=FQ","FILING_STATUS=MR","SCALING_FORMAT=MLN","Sort=A","Dates=H","DateFormat=P","Fill=—","Direction=H","UseDPDF=Y")</f>
        <v>60.375</v>
      </c>
      <c r="K40" s="13">
        <f>_xll.BDH("SRPT US Equity","IS_OTHER_ONE_TIME_ITEMS","FQ4 2020","FQ4 2020","Currency=USD","Period=FQ","BEST_FPERIOD_OVERRIDE=FQ","FILING_STATUS=MR","SCALING_FORMAT=MLN","Sort=A","Dates=H","DateFormat=P","Fill=—","Direction=H","UseDPDF=Y")</f>
        <v>10.622</v>
      </c>
      <c r="L40" s="13">
        <f>_xll.BDH("SRPT US Equity","IS_OTHER_ONE_TIME_ITEMS","FQ1 2021","FQ1 2021","Currency=USD","Period=FQ","BEST_FPERIOD_OVERRIDE=FQ","FILING_STATUS=MR","SCALING_FORMAT=MLN","Sort=A","Dates=H","DateFormat=P","Fill=—","Direction=H","UseDPDF=Y")</f>
        <v>4</v>
      </c>
      <c r="M40" s="13">
        <f>_xll.BDH("SRPT US Equity","IS_OTHER_ONE_TIME_ITEMS","FQ2 2021","FQ2 2021","Currency=USD","Period=FQ","BEST_FPERIOD_OVERRIDE=FQ","FILING_STATUS=MR","SCALING_FORMAT=MLN","Sort=A","Dates=H","DateFormat=P","Fill=—","Direction=H","UseDPDF=Y")</f>
        <v>31.677</v>
      </c>
      <c r="N40" s="13">
        <f>_xll.BDH("SRPT US Equity","IS_OTHER_ONE_TIME_ITEMS","FQ3 2021","FQ3 2021","Currency=USD","Period=FQ","BEST_FPERIOD_OVERRIDE=FQ","FILING_STATUS=MR","SCALING_FORMAT=MLN","Sort=A","Dates=H","DateFormat=P","Fill=—","Direction=H","UseDPDF=Y")</f>
        <v>-7.2</v>
      </c>
      <c r="O40" s="13" t="str">
        <f>_xll.BDH("SRPT US Equity","IS_OTHER_ONE_TIME_ITEMS","FQ4 2021","FQ4 2021","Currency=USD","Period=FQ","BEST_FPERIOD_OVERRIDE=FQ","FILING_STATUS=MR","SCALING_FORMAT=MLN","Sort=A","Dates=H","DateFormat=P","Fill=—","Direction=H","UseDPDF=Y")</f>
        <v>—</v>
      </c>
      <c r="P40" s="13" t="str">
        <f>_xll.BDH("SRPT US Equity","IS_OTHER_ONE_TIME_ITEMS","FQ1 2022","FQ1 2022","Currency=USD","Period=FQ","BEST_FPERIOD_OVERRIDE=FQ","FILING_STATUS=MR","SCALING_FORMAT=MLN","Sort=A","Dates=H","DateFormat=P","Fill=—","Direction=H","UseDPDF=Y")</f>
        <v>—</v>
      </c>
      <c r="Q40" s="13" t="str">
        <f>_xll.BDH("SRPT US Equity","IS_OTHER_ONE_TIME_ITEMS","FQ2 2022","FQ2 2022","Currency=USD","Period=FQ","BEST_FPERIOD_OVERRIDE=FQ","FILING_STATUS=MR","SCALING_FORMAT=MLN","Sort=A","Dates=H","DateFormat=P","Fill=—","Direction=H","UseDPDF=Y")</f>
        <v>—</v>
      </c>
      <c r="R40" s="13">
        <f>_xll.BDH("SRPT US Equity","IS_OTHER_ONE_TIME_ITEMS","FQ3 2022","FQ3 2022","Currency=USD","Period=FQ","BEST_FPERIOD_OVERRIDE=FQ","FILING_STATUS=MR","SCALING_FORMAT=MLN","Sort=A","Dates=H","DateFormat=P","Fill=—","Direction=H","UseDPDF=Y")</f>
        <v>-6.7</v>
      </c>
      <c r="S40" s="13" t="str">
        <f>_xll.BDH("SRPT US Equity","IS_OTHER_ONE_TIME_ITEMS","FQ4 2022","FQ4 2022","Currency=USD","Period=FQ","BEST_FPERIOD_OVERRIDE=FQ","FILING_STATUS=MR","SCALING_FORMAT=MLN","Sort=A","Dates=H","DateFormat=P","Fill=—","Direction=H","UseDPDF=Y")</f>
        <v>—</v>
      </c>
      <c r="T40" s="13" t="str">
        <f>_xll.BDH("SRPT US Equity","IS_OTHER_ONE_TIME_ITEMS","FQ1 2023","FQ1 2023","Currency=USD","Period=FQ","BEST_FPERIOD_OVERRIDE=FQ","FILING_STATUS=MR","SCALING_FORMAT=MLN","Sort=A","Dates=H","DateFormat=P","Fill=—","Direction=H","UseDPDF=Y")</f>
        <v>—</v>
      </c>
      <c r="U40" s="13" t="str">
        <f>_xll.BDH("SRPT US Equity","IS_OTHER_ONE_TIME_ITEMS","FQ2 2023","FQ2 2023","Currency=USD","Period=FQ","BEST_FPERIOD_OVERRIDE=FQ","FILING_STATUS=MR","SCALING_FORMAT=MLN","Sort=A","Dates=H","DateFormat=P","Fill=—","Direction=H","UseDPDF=Y")</f>
        <v>—</v>
      </c>
      <c r="V40" s="13" t="str">
        <f>_xll.BDH("SRPT US Equity","IS_OTHER_ONE_TIME_ITEMS","FQ3 2023","FQ3 2023","Currency=USD","Period=FQ","BEST_FPERIOD_OVERRIDE=FQ","FILING_STATUS=MR","SCALING_FORMAT=MLN","Sort=A","Dates=H","DateFormat=P","Fill=—","Direction=H","UseDPDF=Y")</f>
        <v>—</v>
      </c>
      <c r="W40" s="13" t="str">
        <f>_xll.BDH("SRPT US Equity","IS_OTHER_ONE_TIME_ITEMS","FQ4 2023","FQ4 2023","Currency=USD","Period=FQ","BEST_FPERIOD_OVERRIDE=FQ","FILING_STATUS=MR","SCALING_FORMAT=MLN","Sort=A","Dates=H","DateFormat=P","Fill=—","Direction=H","UseDPDF=Y")</f>
        <v>—</v>
      </c>
      <c r="X40" s="13" t="str">
        <f>_xll.BDH("SRPT US Equity","IS_OTHER_ONE_TIME_ITEMS","FQ1 2024","FQ1 2024","Currency=USD","Period=FQ","BEST_FPERIOD_OVERRIDE=FQ","FILING_STATUS=MR","SCALING_FORMAT=MLN","Sort=A","Dates=H","DateFormat=P","Fill=—","Direction=H","UseDPDF=Y")</f>
        <v>—</v>
      </c>
      <c r="Y40" s="13" t="str">
        <f>_xll.BDH("SRPT US Equity","IS_OTHER_ONE_TIME_ITEMS","FQ2 2024","FQ2 2024","Currency=USD","Period=FQ","BEST_FPERIOD_OVERRIDE=FQ","FILING_STATUS=MR","SCALING_FORMAT=MLN","Sort=A","Dates=H","DateFormat=P","Fill=—","Direction=H","UseDPDF=Y")</f>
        <v>—</v>
      </c>
      <c r="Z40" s="13" t="str">
        <f>_xll.BDH("SRPT US Equity","IS_OTHER_ONE_TIME_ITEMS","FQ3 2024","FQ3 2024","Currency=USD","Period=FQ","BEST_FPERIOD_OVERRIDE=FQ","FILING_STATUS=MR","SCALING_FORMAT=MLN","Sort=A","Dates=H","DateFormat=P","Fill=—","Direction=H","UseDPDF=Y")</f>
        <v>—</v>
      </c>
      <c r="AA40" s="13" t="str">
        <f>_xll.BDH("SRPT US Equity","IS_OTHER_ONE_TIME_ITEMS","FQ4 2024","FQ4 2024","Currency=USD","Period=FQ","BEST_FPERIOD_OVERRIDE=FQ","FILING_STATUS=MR","SCALING_FORMAT=MLN","Sort=A","Dates=H","DateFormat=P","Fill=—","Direction=H","UseDPDF=Y")</f>
        <v>—</v>
      </c>
    </row>
    <row r="41" spans="1:27" x14ac:dyDescent="0.25">
      <c r="A41" s="6" t="s">
        <v>340</v>
      </c>
      <c r="B41" s="6" t="s">
        <v>158</v>
      </c>
      <c r="C41" s="19">
        <f>_xll.BDH("SRPT US Equity","PRETAX_INC","FQ4 2018","FQ4 2018","Currency=USD","Period=FQ","BEST_FPERIOD_OVERRIDE=FQ","FILING_STATUS=MR","SCALING_FORMAT=MLN","FA_ADJUSTED=Adjusted","Sort=A","Dates=H","DateFormat=P","Fill=—","Direction=H","UseDPDF=Y")</f>
        <v>-137.83000000000001</v>
      </c>
      <c r="D41" s="19">
        <f>_xll.BDH("SRPT US Equity","PRETAX_INC","FQ1 2019","FQ1 2019","Currency=USD","Period=FQ","BEST_FPERIOD_OVERRIDE=FQ","FILING_STATUS=MR","SCALING_FORMAT=MLN","FA_ADJUSTED=Adjusted","Sort=A","Dates=H","DateFormat=P","Fill=—","Direction=H","UseDPDF=Y")</f>
        <v>-75.349000000000004</v>
      </c>
      <c r="E41" s="19">
        <f>_xll.BDH("SRPT US Equity","PRETAX_INC","FQ2 2019","FQ2 2019","Currency=USD","Period=FQ","BEST_FPERIOD_OVERRIDE=FQ","FILING_STATUS=MR","SCALING_FORMAT=MLN","FA_ADJUSTED=Adjusted","Sort=A","Dates=H","DateFormat=P","Fill=—","Direction=H","UseDPDF=Y")</f>
        <v>-87.911000000000001</v>
      </c>
      <c r="F41" s="19">
        <f>_xll.BDH("SRPT US Equity","PRETAX_INC","FQ3 2019","FQ3 2019","Currency=USD","Period=FQ","BEST_FPERIOD_OVERRIDE=FQ","FILING_STATUS=MR","SCALING_FORMAT=MLN","FA_ADJUSTED=Adjusted","Sort=A","Dates=H","DateFormat=P","Fill=—","Direction=H","UseDPDF=Y")</f>
        <v>-113.95399999999999</v>
      </c>
      <c r="G41" s="19">
        <f>_xll.BDH("SRPT US Equity","PRETAX_INC","FQ4 2019","FQ4 2019","Currency=USD","Period=FQ","BEST_FPERIOD_OVERRIDE=FQ","FILING_STATUS=MR","SCALING_FORMAT=MLN","FA_ADJUSTED=Adjusted","Sort=A","Dates=H","DateFormat=P","Fill=—","Direction=H","UseDPDF=Y")</f>
        <v>-150.17599999999999</v>
      </c>
      <c r="H41" s="19">
        <f>_xll.BDH("SRPT US Equity","PRETAX_INC","FQ1 2020","FQ1 2020","Currency=USD","Period=FQ","BEST_FPERIOD_OVERRIDE=FQ","FILING_STATUS=MR","SCALING_FORMAT=MLN","FA_ADJUSTED=Adjusted","Sort=A","Dates=H","DateFormat=P","Fill=—","Direction=H","UseDPDF=Y")</f>
        <v>-114.154</v>
      </c>
      <c r="I41" s="19">
        <f>_xll.BDH("SRPT US Equity","PRETAX_INC","FQ2 2020","FQ2 2020","Currency=USD","Period=FQ","BEST_FPERIOD_OVERRIDE=FQ","FILING_STATUS=MR","SCALING_FORMAT=MLN","FA_ADJUSTED=Adjusted","Sort=A","Dates=H","DateFormat=P","Fill=—","Direction=H","UseDPDF=Y")</f>
        <v>-150.80000000000001</v>
      </c>
      <c r="J41" s="19">
        <f>_xll.BDH("SRPT US Equity","PRETAX_INC","FQ3 2020","FQ3 2020","Currency=USD","Period=FQ","BEST_FPERIOD_OVERRIDE=FQ","FILING_STATUS=MR","SCALING_FORMAT=MLN","FA_ADJUSTED=Adjusted","Sort=A","Dates=H","DateFormat=P","Fill=—","Direction=H","UseDPDF=Y")</f>
        <v>-136.02799999999999</v>
      </c>
      <c r="K41" s="19">
        <f>_xll.BDH("SRPT US Equity","PRETAX_INC","FQ4 2020","FQ4 2020","Currency=USD","Period=FQ","BEST_FPERIOD_OVERRIDE=FQ","FILING_STATUS=MR","SCALING_FORMAT=MLN","FA_ADJUSTED=Adjusted","Sort=A","Dates=H","DateFormat=P","Fill=—","Direction=H","UseDPDF=Y")</f>
        <v>-177.863</v>
      </c>
      <c r="L41" s="19">
        <f>_xll.BDH("SRPT US Equity","PRETAX_INC","FQ1 2021","FQ1 2021","Currency=USD","Period=FQ","BEST_FPERIOD_OVERRIDE=FQ","FILING_STATUS=MR","SCALING_FORMAT=MLN","FA_ADJUSTED=Adjusted","Sort=A","Dates=H","DateFormat=P","Fill=—","Direction=H","UseDPDF=Y")</f>
        <v>-153.393</v>
      </c>
      <c r="M41" s="19">
        <f>_xll.BDH("SRPT US Equity","PRETAX_INC","FQ2 2021","FQ2 2021","Currency=USD","Period=FQ","BEST_FPERIOD_OVERRIDE=FQ","FILING_STATUS=MR","SCALING_FORMAT=MLN","FA_ADJUSTED=Adjusted","Sort=A","Dates=H","DateFormat=P","Fill=—","Direction=H","UseDPDF=Y")</f>
        <v>-254.08199999999999</v>
      </c>
      <c r="N41" s="19">
        <f>_xll.BDH("SRPT US Equity","PRETAX_INC","FQ3 2021","FQ3 2021","Currency=USD","Period=FQ","BEST_FPERIOD_OVERRIDE=FQ","FILING_STATUS=MR","SCALING_FORMAT=MLN","FA_ADJUSTED=Adjusted","Sort=A","Dates=H","DateFormat=P","Fill=—","Direction=H","UseDPDF=Y")</f>
        <v>-43.418999999999997</v>
      </c>
      <c r="O41" s="19">
        <f>_xll.BDH("SRPT US Equity","PRETAX_INC","FQ4 2021","FQ4 2021","Currency=USD","Period=FQ","BEST_FPERIOD_OVERRIDE=FQ","FILING_STATUS=MR","SCALING_FORMAT=MLN","FA_ADJUSTED=Adjusted","Sort=A","Dates=H","DateFormat=P","Fill=—","Direction=H","UseDPDF=Y")</f>
        <v>-121.889</v>
      </c>
      <c r="P41" s="19">
        <f>_xll.BDH("SRPT US Equity","PRETAX_INC","FQ1 2022","FQ1 2022","Currency=USD","Period=FQ","BEST_FPERIOD_OVERRIDE=FQ","FILING_STATUS=MR","SCALING_FORMAT=MLN","FA_ADJUSTED=Adjusted","Sort=A","Dates=H","DateFormat=P","Fill=—","Direction=H","UseDPDF=Y")</f>
        <v>-104.146</v>
      </c>
      <c r="Q41" s="19">
        <f>_xll.BDH("SRPT US Equity","PRETAX_INC","FQ2 2022","FQ2 2022","Currency=USD","Period=FQ","BEST_FPERIOD_OVERRIDE=FQ","FILING_STATUS=MR","SCALING_FORMAT=MLN","FA_ADJUSTED=Adjusted","Sort=A","Dates=H","DateFormat=P","Fill=—","Direction=H","UseDPDF=Y")</f>
        <v>-228.09299999999999</v>
      </c>
      <c r="R41" s="19">
        <f>_xll.BDH("SRPT US Equity","PRETAX_INC","FQ3 2022","FQ3 2022","Currency=USD","Period=FQ","BEST_FPERIOD_OVERRIDE=FQ","FILING_STATUS=MR","SCALING_FORMAT=MLN","FA_ADJUSTED=Adjusted","Sort=A","Dates=H","DateFormat=P","Fill=—","Direction=H","UseDPDF=Y")</f>
        <v>-137.67699999999999</v>
      </c>
      <c r="S41" s="19">
        <f>_xll.BDH("SRPT US Equity","PRETAX_INC","FQ4 2022","FQ4 2022","Currency=USD","Period=FQ","BEST_FPERIOD_OVERRIDE=FQ","FILING_STATUS=MR","SCALING_FORMAT=MLN","FA_ADJUSTED=Adjusted","Sort=A","Dates=H","DateFormat=P","Fill=—","Direction=H","UseDPDF=Y")</f>
        <v>-98.730999999999995</v>
      </c>
      <c r="T41" s="19">
        <f>_xll.BDH("SRPT US Equity","PRETAX_INC","FQ1 2023","FQ1 2023","Currency=USD","Period=FQ","BEST_FPERIOD_OVERRIDE=FQ","FILING_STATUS=MR","SCALING_FORMAT=MLN","FA_ADJUSTED=Adjusted","Sort=A","Dates=H","DateFormat=P","Fill=—","Direction=H","UseDPDF=Y")</f>
        <v>-125.381</v>
      </c>
      <c r="U41" s="19">
        <f>_xll.BDH("SRPT US Equity","PRETAX_INC","FQ2 2023","FQ2 2023","Currency=USD","Period=FQ","BEST_FPERIOD_OVERRIDE=FQ","FILING_STATUS=MR","SCALING_FORMAT=MLN","FA_ADJUSTED=Adjusted","Sort=A","Dates=H","DateFormat=P","Fill=—","Direction=H","UseDPDF=Y")</f>
        <v>-117.38500000000001</v>
      </c>
      <c r="V41" s="19">
        <f>_xll.BDH("SRPT US Equity","PRETAX_INC","FQ3 2023","FQ3 2023","Currency=USD","Period=FQ","BEST_FPERIOD_OVERRIDE=FQ","FILING_STATUS=MR","SCALING_FORMAT=MLN","FA_ADJUSTED=Adjusted","Sort=A","Dates=H","DateFormat=P","Fill=—","Direction=H","UseDPDF=Y")</f>
        <v>-31.173999999999999</v>
      </c>
      <c r="W41" s="19">
        <f>_xll.BDH("SRPT US Equity","PRETAX_INC","FQ4 2023","FQ4 2023","Currency=USD","Period=FQ","BEST_FPERIOD_OVERRIDE=FQ","FILING_STATUS=MR","SCALING_FORMAT=MLN","FA_ADJUSTED=Adjusted","Sort=A","Dates=H","DateFormat=P","Fill=—","Direction=H","UseDPDF=Y")</f>
        <v>40.371000000000002</v>
      </c>
      <c r="X41" s="19">
        <f>_xll.BDH("SRPT US Equity","PRETAX_INC","FQ1 2024","FQ1 2024","Currency=USD","Period=FQ","BEST_FPERIOD_OVERRIDE=FQ","FILING_STATUS=MR","SCALING_FORMAT=MLN","FA_ADJUSTED=Adjusted","Sort=A","Dates=H","DateFormat=P","Fill=—","Direction=H","UseDPDF=Y")</f>
        <v>51.548000000000002</v>
      </c>
      <c r="Y41" s="19">
        <f>_xll.BDH("SRPT US Equity","PRETAX_INC","FQ2 2024","FQ2 2024","Currency=USD","Period=FQ","BEST_FPERIOD_OVERRIDE=FQ","FILING_STATUS=MR","SCALING_FORMAT=MLN","FA_ADJUSTED=Adjusted","Sort=A","Dates=H","DateFormat=P","Fill=—","Direction=H","UseDPDF=Y")</f>
        <v>13.577</v>
      </c>
      <c r="Z41" s="19">
        <f>_xll.BDH("SRPT US Equity","PRETAX_INC","FQ3 2024","FQ3 2024","Currency=USD","Period=FQ","BEST_FPERIOD_OVERRIDE=FQ","FILING_STATUS=MR","SCALING_FORMAT=MLN","FA_ADJUSTED=Adjusted","Sort=A","Dates=H","DateFormat=P","Fill=—","Direction=H","UseDPDF=Y")</f>
        <v>32.470999999999997</v>
      </c>
      <c r="AA41" s="19">
        <f>_xll.BDH("SRPT US Equity","PRETAX_INC","FQ4 2024","FQ4 2024","Currency=USD","Period=FQ","BEST_FPERIOD_OVERRIDE=FQ","FILING_STATUS=MR","SCALING_FORMAT=MLN","FA_ADJUSTED=Adjusted","Sort=A","Dates=H","DateFormat=P","Fill=—","Direction=H","UseDPDF=Y")</f>
        <v>171.01599999999999</v>
      </c>
    </row>
    <row r="42" spans="1:27" x14ac:dyDescent="0.25">
      <c r="A42" s="6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 x14ac:dyDescent="0.25">
      <c r="A43" s="6" t="s">
        <v>625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 x14ac:dyDescent="0.25">
      <c r="A44" s="6" t="s">
        <v>626</v>
      </c>
      <c r="B44" s="6" t="s">
        <v>80</v>
      </c>
      <c r="C44" s="19">
        <f>_xll.BDH("SRPT US Equity","EARN_FOR_COMMON","FQ4 2018","FQ4 2018","Currency=USD","Period=FQ","BEST_FPERIOD_OVERRIDE=FQ","FILING_STATUS=MR","SCALING_FORMAT=MLN","FA_ADJUSTED=GAAP","Sort=A","Dates=H","DateFormat=P","Fill=—","Direction=H","UseDPDF=Y")</f>
        <v>-140.89500000000001</v>
      </c>
      <c r="D44" s="19">
        <f>_xll.BDH("SRPT US Equity","EARN_FOR_COMMON","FQ1 2019","FQ1 2019","Currency=USD","Period=FQ","BEST_FPERIOD_OVERRIDE=FQ","FILING_STATUS=MR","SCALING_FORMAT=MLN","FA_ADJUSTED=GAAP","Sort=A","Dates=H","DateFormat=P","Fill=—","Direction=H","UseDPDF=Y")</f>
        <v>-76.643000000000001</v>
      </c>
      <c r="E44" s="19">
        <f>_xll.BDH("SRPT US Equity","EARN_FOR_COMMON","FQ2 2019","FQ2 2019","Currency=USD","Period=FQ","BEST_FPERIOD_OVERRIDE=FQ","FILING_STATUS=MR","SCALING_FORMAT=MLN","FA_ADJUSTED=GAAP","Sort=A","Dates=H","DateFormat=P","Fill=—","Direction=H","UseDPDF=Y")</f>
        <v>-276.40300000000002</v>
      </c>
      <c r="F44" s="19">
        <f>_xll.BDH("SRPT US Equity","EARN_FOR_COMMON","FQ3 2019","FQ3 2019","Currency=USD","Period=FQ","BEST_FPERIOD_OVERRIDE=FQ","FILING_STATUS=MR","SCALING_FORMAT=MLN","FA_ADJUSTED=GAAP","Sort=A","Dates=H","DateFormat=P","Fill=—","Direction=H","UseDPDF=Y")</f>
        <v>-126.32599999999999</v>
      </c>
      <c r="G44" s="19">
        <f>_xll.BDH("SRPT US Equity","EARN_FOR_COMMON","FQ4 2019","FQ4 2019","Currency=USD","Period=FQ","BEST_FPERIOD_OVERRIDE=FQ","FILING_STATUS=MR","SCALING_FORMAT=MLN","FA_ADJUSTED=GAAP","Sort=A","Dates=H","DateFormat=P","Fill=—","Direction=H","UseDPDF=Y")</f>
        <v>-235.703</v>
      </c>
      <c r="H44" s="19">
        <f>_xll.BDH("SRPT US Equity","EARN_FOR_COMMON","FQ1 2020","FQ1 2020","Currency=USD","Period=FQ","BEST_FPERIOD_OVERRIDE=FQ","FILING_STATUS=MR","SCALING_FORMAT=MLN","FA_ADJUSTED=GAAP","Sort=A","Dates=H","DateFormat=P","Fill=—","Direction=H","UseDPDF=Y")</f>
        <v>-17.492000000000001</v>
      </c>
      <c r="I44" s="19">
        <f>_xll.BDH("SRPT US Equity","EARN_FOR_COMMON","FQ2 2020","FQ2 2020","Currency=USD","Period=FQ","BEST_FPERIOD_OVERRIDE=FQ","FILING_STATUS=MR","SCALING_FORMAT=MLN","FA_ADJUSTED=GAAP","Sort=A","Dates=H","DateFormat=P","Fill=—","Direction=H","UseDPDF=Y")</f>
        <v>-150.82</v>
      </c>
      <c r="J44" s="19">
        <f>_xll.BDH("SRPT US Equity","EARN_FOR_COMMON","FQ3 2020","FQ3 2020","Currency=USD","Period=FQ","BEST_FPERIOD_OVERRIDE=FQ","FILING_STATUS=MR","SCALING_FORMAT=MLN","FA_ADJUSTED=GAAP","Sort=A","Dates=H","DateFormat=P","Fill=—","Direction=H","UseDPDF=Y")</f>
        <v>-196.499</v>
      </c>
      <c r="K44" s="19">
        <f>_xll.BDH("SRPT US Equity","EARN_FOR_COMMON","FQ4 2020","FQ4 2020","Currency=USD","Period=FQ","BEST_FPERIOD_OVERRIDE=FQ","FILING_STATUS=MR","SCALING_FORMAT=MLN","FA_ADJUSTED=GAAP","Sort=A","Dates=H","DateFormat=P","Fill=—","Direction=H","UseDPDF=Y")</f>
        <v>-189.31700000000001</v>
      </c>
      <c r="L44" s="19">
        <f>_xll.BDH("SRPT US Equity","EARN_FOR_COMMON","FQ1 2021","FQ1 2021","Currency=USD","Period=FQ","BEST_FPERIOD_OVERRIDE=FQ","FILING_STATUS=MR","SCALING_FORMAT=MLN","FA_ADJUSTED=GAAP","Sort=A","Dates=H","DateFormat=P","Fill=—","Direction=H","UseDPDF=Y")</f>
        <v>-167.25</v>
      </c>
      <c r="M44" s="19">
        <f>_xll.BDH("SRPT US Equity","EARN_FOR_COMMON","FQ2 2021","FQ2 2021","Currency=USD","Period=FQ","BEST_FPERIOD_OVERRIDE=FQ","FILING_STATUS=MR","SCALING_FORMAT=MLN","FA_ADJUSTED=GAAP","Sort=A","Dates=H","DateFormat=P","Fill=—","Direction=H","UseDPDF=Y")</f>
        <v>-81.405000000000001</v>
      </c>
      <c r="N44" s="19">
        <f>_xll.BDH("SRPT US Equity","EARN_FOR_COMMON","FQ3 2021","FQ3 2021","Currency=USD","Period=FQ","BEST_FPERIOD_OVERRIDE=FQ","FILING_STATUS=MR","SCALING_FORMAT=MLN","FA_ADJUSTED=GAAP","Sort=A","Dates=H","DateFormat=P","Fill=—","Direction=H","UseDPDF=Y")</f>
        <v>-48.143999999999998</v>
      </c>
      <c r="O44" s="19">
        <f>_xll.BDH("SRPT US Equity","EARN_FOR_COMMON","FQ4 2021","FQ4 2021","Currency=USD","Period=FQ","BEST_FPERIOD_OVERRIDE=FQ","FILING_STATUS=MR","SCALING_FORMAT=MLN","FA_ADJUSTED=GAAP","Sort=A","Dates=H","DateFormat=P","Fill=—","Direction=H","UseDPDF=Y")</f>
        <v>-121.98099999999999</v>
      </c>
      <c r="P44" s="19">
        <f>_xll.BDH("SRPT US Equity","EARN_FOR_COMMON","FQ1 2022","FQ1 2022","Currency=USD","Period=FQ","BEST_FPERIOD_OVERRIDE=FQ","FILING_STATUS=MR","SCALING_FORMAT=MLN","FA_ADJUSTED=GAAP","Sort=A","Dates=H","DateFormat=P","Fill=—","Direction=H","UseDPDF=Y")</f>
        <v>-105.02500000000001</v>
      </c>
      <c r="Q44" s="19">
        <f>_xll.BDH("SRPT US Equity","EARN_FOR_COMMON","FQ2 2022","FQ2 2022","Currency=USD","Period=FQ","BEST_FPERIOD_OVERRIDE=FQ","FILING_STATUS=MR","SCALING_FORMAT=MLN","FA_ADJUSTED=GAAP","Sort=A","Dates=H","DateFormat=P","Fill=—","Direction=H","UseDPDF=Y")</f>
        <v>-231.48099999999999</v>
      </c>
      <c r="R44" s="19">
        <f>_xll.BDH("SRPT US Equity","EARN_FOR_COMMON","FQ3 2022","FQ3 2022","Currency=USD","Period=FQ","BEST_FPERIOD_OVERRIDE=FQ","FILING_STATUS=MR","SCALING_FORMAT=MLN","FA_ADJUSTED=GAAP","Sort=A","Dates=H","DateFormat=P","Fill=—","Direction=H","UseDPDF=Y")</f>
        <v>-257.738</v>
      </c>
      <c r="S44" s="19">
        <f>_xll.BDH("SRPT US Equity","EARN_FOR_COMMON","FQ4 2022","FQ4 2022","Currency=USD","Period=FQ","BEST_FPERIOD_OVERRIDE=FQ","FILING_STATUS=MR","SCALING_FORMAT=MLN","FA_ADJUSTED=GAAP","Sort=A","Dates=H","DateFormat=P","Fill=—","Direction=H","UseDPDF=Y")</f>
        <v>-109.244</v>
      </c>
      <c r="T44" s="19">
        <f>_xll.BDH("SRPT US Equity","EARN_FOR_COMMON","FQ1 2023","FQ1 2023","Currency=USD","Period=FQ","BEST_FPERIOD_OVERRIDE=FQ","FILING_STATUS=MR","SCALING_FORMAT=MLN","FA_ADJUSTED=GAAP","Sort=A","Dates=H","DateFormat=P","Fill=—","Direction=H","UseDPDF=Y")</f>
        <v>-516.755</v>
      </c>
      <c r="U44" s="19">
        <f>_xll.BDH("SRPT US Equity","EARN_FOR_COMMON","FQ2 2023","FQ2 2023","Currency=USD","Period=FQ","BEST_FPERIOD_OVERRIDE=FQ","FILING_STATUS=MR","SCALING_FORMAT=MLN","FA_ADJUSTED=GAAP","Sort=A","Dates=H","DateFormat=P","Fill=—","Direction=H","UseDPDF=Y")</f>
        <v>-23.94</v>
      </c>
      <c r="V44" s="19">
        <f>_xll.BDH("SRPT US Equity","EARN_FOR_COMMON","FQ3 2023","FQ3 2023","Currency=USD","Period=FQ","BEST_FPERIOD_OVERRIDE=FQ","FILING_STATUS=MR","SCALING_FORMAT=MLN","FA_ADJUSTED=GAAP","Sort=A","Dates=H","DateFormat=P","Fill=—","Direction=H","UseDPDF=Y")</f>
        <v>-40.936999999999998</v>
      </c>
      <c r="W44" s="19">
        <f>_xll.BDH("SRPT US Equity","EARN_FOR_COMMON","FQ4 2023","FQ4 2023","Currency=USD","Period=FQ","BEST_FPERIOD_OVERRIDE=FQ","FILING_STATUS=MR","SCALING_FORMAT=MLN","FA_ADJUSTED=GAAP","Sort=A","Dates=H","DateFormat=P","Fill=—","Direction=H","UseDPDF=Y")</f>
        <v>45.655000000000001</v>
      </c>
      <c r="X44" s="19">
        <f>_xll.BDH("SRPT US Equity","EARN_FOR_COMMON","FQ1 2024","FQ1 2024","Currency=USD","Period=FQ","BEST_FPERIOD_OVERRIDE=FQ","FILING_STATUS=MR","SCALING_FORMAT=MLN","FA_ADJUSTED=GAAP","Sort=A","Dates=H","DateFormat=P","Fill=—","Direction=H","UseDPDF=Y")</f>
        <v>36.119</v>
      </c>
      <c r="Y44" s="19">
        <f>_xll.BDH("SRPT US Equity","EARN_FOR_COMMON","FQ2 2024","FQ2 2024","Currency=USD","Period=FQ","BEST_FPERIOD_OVERRIDE=FQ","FILING_STATUS=MR","SCALING_FORMAT=MLN","FA_ADJUSTED=GAAP","Sort=A","Dates=H","DateFormat=P","Fill=—","Direction=H","UseDPDF=Y")</f>
        <v>6.46</v>
      </c>
      <c r="Z44" s="19">
        <f>_xll.BDH("SRPT US Equity","EARN_FOR_COMMON","FQ3 2024","FQ3 2024","Currency=USD","Period=FQ","BEST_FPERIOD_OVERRIDE=FQ","FILING_STATUS=MR","SCALING_FORMAT=MLN","FA_ADJUSTED=GAAP","Sort=A","Dates=H","DateFormat=P","Fill=—","Direction=H","UseDPDF=Y")</f>
        <v>33.610999999999997</v>
      </c>
      <c r="AA44" s="19">
        <f>_xll.BDH("SRPT US Equity","EARN_FOR_COMMON","FQ4 2024","FQ4 2024","Currency=USD","Period=FQ","BEST_FPERIOD_OVERRIDE=FQ","FILING_STATUS=MR","SCALING_FORMAT=MLN","FA_ADJUSTED=GAAP","Sort=A","Dates=H","DateFormat=P","Fill=—","Direction=H","UseDPDF=Y")</f>
        <v>159.04900000000001</v>
      </c>
    </row>
    <row r="45" spans="1:27" x14ac:dyDescent="0.25">
      <c r="A45" s="10" t="s">
        <v>627</v>
      </c>
      <c r="B45" s="10" t="s">
        <v>373</v>
      </c>
      <c r="C45" s="13">
        <f>_xll.BDH("SRPT US Equity","IS_DISCONTINUED_OPERATIONS","FQ4 2018","FQ4 2018","Currency=USD","Period=FQ","BEST_FPERIOD_OVERRIDE=FQ","FILING_STATUS=MR","SCALING_FORMAT=MLN","Sort=A","Dates=H","DateFormat=P","Fill=—","Direction=H","UseDPDF=Y")</f>
        <v>0</v>
      </c>
      <c r="D45" s="13">
        <f>_xll.BDH("SRPT US Equity","IS_DISCONTINUED_OPERATIONS","FQ1 2019","FQ1 2019","Currency=USD","Period=FQ","BEST_FPERIOD_OVERRIDE=FQ","FILING_STATUS=MR","SCALING_FORMAT=MLN","Sort=A","Dates=H","DateFormat=P","Fill=—","Direction=H","UseDPDF=Y")</f>
        <v>0</v>
      </c>
      <c r="E45" s="13">
        <f>_xll.BDH("SRPT US Equity","IS_DISCONTINUED_OPERATIONS","FQ2 2019","FQ2 2019","Currency=USD","Period=FQ","BEST_FPERIOD_OVERRIDE=FQ","FILING_STATUS=MR","SCALING_FORMAT=MLN","Sort=A","Dates=H","DateFormat=P","Fill=—","Direction=H","UseDPDF=Y")</f>
        <v>0</v>
      </c>
      <c r="F45" s="13">
        <f>_xll.BDH("SRPT US Equity","IS_DISCONTINUED_OPERATIONS","FQ3 2019","FQ3 2019","Currency=USD","Period=FQ","BEST_FPERIOD_OVERRIDE=FQ","FILING_STATUS=MR","SCALING_FORMAT=MLN","Sort=A","Dates=H","DateFormat=P","Fill=—","Direction=H","UseDPDF=Y")</f>
        <v>0</v>
      </c>
      <c r="G45" s="13">
        <f>_xll.BDH("SRPT US Equity","IS_DISCONTINUED_OPERATIONS","FQ4 2019","FQ4 2019","Currency=USD","Period=FQ","BEST_FPERIOD_OVERRIDE=FQ","FILING_STATUS=MR","SCALING_FORMAT=MLN","Sort=A","Dates=H","DateFormat=P","Fill=—","Direction=H","UseDPDF=Y")</f>
        <v>0</v>
      </c>
      <c r="H45" s="13">
        <f>_xll.BDH("SRPT US Equity","IS_DISCONTINUED_OPERATIONS","FQ1 2020","FQ1 2020","Currency=USD","Period=FQ","BEST_FPERIOD_OVERRIDE=FQ","FILING_STATUS=MR","SCALING_FORMAT=MLN","Sort=A","Dates=H","DateFormat=P","Fill=—","Direction=H","UseDPDF=Y")</f>
        <v>0</v>
      </c>
      <c r="I45" s="13">
        <f>_xll.BDH("SRPT US Equity","IS_DISCONTINUED_OPERATIONS","FQ2 2020","FQ2 2020","Currency=USD","Period=FQ","BEST_FPERIOD_OVERRIDE=FQ","FILING_STATUS=MR","SCALING_FORMAT=MLN","Sort=A","Dates=H","DateFormat=P","Fill=—","Direction=H","UseDPDF=Y")</f>
        <v>0</v>
      </c>
      <c r="J45" s="13">
        <f>_xll.BDH("SRPT US Equity","IS_DISCONTINUED_OPERATIONS","FQ3 2020","FQ3 2020","Currency=USD","Period=FQ","BEST_FPERIOD_OVERRIDE=FQ","FILING_STATUS=MR","SCALING_FORMAT=MLN","Sort=A","Dates=H","DateFormat=P","Fill=—","Direction=H","UseDPDF=Y")</f>
        <v>0</v>
      </c>
      <c r="K45" s="13">
        <f>_xll.BDH("SRPT US Equity","IS_DISCONTINUED_OPERATIONS","FQ4 2020","FQ4 2020","Currency=USD","Period=FQ","BEST_FPERIOD_OVERRIDE=FQ","FILING_STATUS=MR","SCALING_FORMAT=MLN","Sort=A","Dates=H","DateFormat=P","Fill=—","Direction=H","UseDPDF=Y")</f>
        <v>0</v>
      </c>
      <c r="L45" s="13">
        <f>_xll.BDH("SRPT US Equity","IS_DISCONTINUED_OPERATIONS","FQ1 2021","FQ1 2021","Currency=USD","Period=FQ","BEST_FPERIOD_OVERRIDE=FQ","FILING_STATUS=MR","SCALING_FORMAT=MLN","Sort=A","Dates=H","DateFormat=P","Fill=—","Direction=H","UseDPDF=Y")</f>
        <v>0</v>
      </c>
      <c r="M45" s="13">
        <f>_xll.BDH("SRPT US Equity","IS_DISCONTINUED_OPERATIONS","FQ2 2021","FQ2 2021","Currency=USD","Period=FQ","BEST_FPERIOD_OVERRIDE=FQ","FILING_STATUS=MR","SCALING_FORMAT=MLN","Sort=A","Dates=H","DateFormat=P","Fill=—","Direction=H","UseDPDF=Y")</f>
        <v>0</v>
      </c>
      <c r="N45" s="13">
        <f>_xll.BDH("SRPT US Equity","IS_DISCONTINUED_OPERATIONS","FQ3 2021","FQ3 2021","Currency=USD","Period=FQ","BEST_FPERIOD_OVERRIDE=FQ","FILING_STATUS=MR","SCALING_FORMAT=MLN","Sort=A","Dates=H","DateFormat=P","Fill=—","Direction=H","UseDPDF=Y")</f>
        <v>0</v>
      </c>
      <c r="O45" s="13">
        <f>_xll.BDH("SRPT US Equity","IS_DISCONTINUED_OPERATIONS","FQ4 2021","FQ4 2021","Currency=USD","Period=FQ","BEST_FPERIOD_OVERRIDE=FQ","FILING_STATUS=MR","SCALING_FORMAT=MLN","Sort=A","Dates=H","DateFormat=P","Fill=—","Direction=H","UseDPDF=Y")</f>
        <v>0</v>
      </c>
      <c r="P45" s="13">
        <f>_xll.BDH("SRPT US Equity","IS_DISCONTINUED_OPERATIONS","FQ1 2022","FQ1 2022","Currency=USD","Period=FQ","BEST_FPERIOD_OVERRIDE=FQ","FILING_STATUS=MR","SCALING_FORMAT=MLN","Sort=A","Dates=H","DateFormat=P","Fill=—","Direction=H","UseDPDF=Y")</f>
        <v>0</v>
      </c>
      <c r="Q45" s="13">
        <f>_xll.BDH("SRPT US Equity","IS_DISCONTINUED_OPERATIONS","FQ2 2022","FQ2 2022","Currency=USD","Period=FQ","BEST_FPERIOD_OVERRIDE=FQ","FILING_STATUS=MR","SCALING_FORMAT=MLN","Sort=A","Dates=H","DateFormat=P","Fill=—","Direction=H","UseDPDF=Y")</f>
        <v>0</v>
      </c>
      <c r="R45" s="13">
        <f>_xll.BDH("SRPT US Equity","IS_DISCONTINUED_OPERATIONS","FQ3 2022","FQ3 2022","Currency=USD","Period=FQ","BEST_FPERIOD_OVERRIDE=FQ","FILING_STATUS=MR","SCALING_FORMAT=MLN","Sort=A","Dates=H","DateFormat=P","Fill=—","Direction=H","UseDPDF=Y")</f>
        <v>0</v>
      </c>
      <c r="S45" s="13">
        <f>_xll.BDH("SRPT US Equity","IS_DISCONTINUED_OPERATIONS","FQ4 2022","FQ4 2022","Currency=USD","Period=FQ","BEST_FPERIOD_OVERRIDE=FQ","FILING_STATUS=MR","SCALING_FORMAT=MLN","Sort=A","Dates=H","DateFormat=P","Fill=—","Direction=H","UseDPDF=Y")</f>
        <v>0</v>
      </c>
      <c r="T45" s="13">
        <f>_xll.BDH("SRPT US Equity","IS_DISCONTINUED_OPERATIONS","FQ1 2023","FQ1 2023","Currency=USD","Period=FQ","BEST_FPERIOD_OVERRIDE=FQ","FILING_STATUS=MR","SCALING_FORMAT=MLN","Sort=A","Dates=H","DateFormat=P","Fill=—","Direction=H","UseDPDF=Y")</f>
        <v>0</v>
      </c>
      <c r="U45" s="13">
        <f>_xll.BDH("SRPT US Equity","IS_DISCONTINUED_OPERATIONS","FQ2 2023","FQ2 2023","Currency=USD","Period=FQ","BEST_FPERIOD_OVERRIDE=FQ","FILING_STATUS=MR","SCALING_FORMAT=MLN","Sort=A","Dates=H","DateFormat=P","Fill=—","Direction=H","UseDPDF=Y")</f>
        <v>0</v>
      </c>
      <c r="V45" s="13">
        <f>_xll.BDH("SRPT US Equity","IS_DISCONTINUED_OPERATIONS","FQ3 2023","FQ3 2023","Currency=USD","Period=FQ","BEST_FPERIOD_OVERRIDE=FQ","FILING_STATUS=MR","SCALING_FORMAT=MLN","Sort=A","Dates=H","DateFormat=P","Fill=—","Direction=H","UseDPDF=Y")</f>
        <v>0</v>
      </c>
      <c r="W45" s="13">
        <f>_xll.BDH("SRPT US Equity","IS_DISCONTINUED_OPERATIONS","FQ4 2023","FQ4 2023","Currency=USD","Period=FQ","BEST_FPERIOD_OVERRIDE=FQ","FILING_STATUS=MR","SCALING_FORMAT=MLN","Sort=A","Dates=H","DateFormat=P","Fill=—","Direction=H","UseDPDF=Y")</f>
        <v>0</v>
      </c>
      <c r="X45" s="13">
        <f>_xll.BDH("SRPT US Equity","IS_DISCONTINUED_OPERATIONS","FQ1 2024","FQ1 2024","Currency=USD","Period=FQ","BEST_FPERIOD_OVERRIDE=FQ","FILING_STATUS=MR","SCALING_FORMAT=MLN","Sort=A","Dates=H","DateFormat=P","Fill=—","Direction=H","UseDPDF=Y")</f>
        <v>0</v>
      </c>
      <c r="Y45" s="13">
        <f>_xll.BDH("SRPT US Equity","IS_DISCONTINUED_OPERATIONS","FQ2 2024","FQ2 2024","Currency=USD","Period=FQ","BEST_FPERIOD_OVERRIDE=FQ","FILING_STATUS=MR","SCALING_FORMAT=MLN","Sort=A","Dates=H","DateFormat=P","Fill=—","Direction=H","UseDPDF=Y")</f>
        <v>0</v>
      </c>
      <c r="Z45" s="13">
        <f>_xll.BDH("SRPT US Equity","IS_DISCONTINUED_OPERATIONS","FQ3 2024","FQ3 2024","Currency=USD","Period=FQ","BEST_FPERIOD_OVERRIDE=FQ","FILING_STATUS=MR","SCALING_FORMAT=MLN","Sort=A","Dates=H","DateFormat=P","Fill=—","Direction=H","UseDPDF=Y")</f>
        <v>0</v>
      </c>
      <c r="AA45" s="13">
        <f>_xll.BDH("SRPT US Equity","IS_DISCONTINUED_OPERATIONS","FQ4 2024","FQ4 2024","Currency=USD","Period=FQ","BEST_FPERIOD_OVERRIDE=FQ","FILING_STATUS=MR","SCALING_FORMAT=MLN","Sort=A","Dates=H","DateFormat=P","Fill=—","Direction=H","UseDPDF=Y")</f>
        <v>0</v>
      </c>
    </row>
    <row r="46" spans="1:27" x14ac:dyDescent="0.25">
      <c r="A46" s="10" t="s">
        <v>628</v>
      </c>
      <c r="B46" s="10" t="s">
        <v>375</v>
      </c>
      <c r="C46" s="13">
        <f>_xll.BDH("SRPT US Equity","EXTRAORD_ITEMS_ACCOUNTING_CHANGS","FQ4 2018","FQ4 2018","Currency=USD","Period=FQ","BEST_FPERIOD_OVERRIDE=FQ","FILING_STATUS=MR","SCALING_FORMAT=MLN","Sort=A","Dates=H","DateFormat=P","Fill=—","Direction=H","UseDPDF=Y")</f>
        <v>0</v>
      </c>
      <c r="D46" s="13">
        <f>_xll.BDH("SRPT US Equity","EXTRAORD_ITEMS_ACCOUNTING_CHANGS","FQ1 2019","FQ1 2019","Currency=USD","Period=FQ","BEST_FPERIOD_OVERRIDE=FQ","FILING_STATUS=MR","SCALING_FORMAT=MLN","Sort=A","Dates=H","DateFormat=P","Fill=—","Direction=H","UseDPDF=Y")</f>
        <v>0</v>
      </c>
      <c r="E46" s="13">
        <f>_xll.BDH("SRPT US Equity","EXTRAORD_ITEMS_ACCOUNTING_CHANGS","FQ2 2019","FQ2 2019","Currency=USD","Period=FQ","BEST_FPERIOD_OVERRIDE=FQ","FILING_STATUS=MR","SCALING_FORMAT=MLN","Sort=A","Dates=H","DateFormat=P","Fill=—","Direction=H","UseDPDF=Y")</f>
        <v>0</v>
      </c>
      <c r="F46" s="13">
        <f>_xll.BDH("SRPT US Equity","EXTRAORD_ITEMS_ACCOUNTING_CHANGS","FQ3 2019","FQ3 2019","Currency=USD","Period=FQ","BEST_FPERIOD_OVERRIDE=FQ","FILING_STATUS=MR","SCALING_FORMAT=MLN","Sort=A","Dates=H","DateFormat=P","Fill=—","Direction=H","UseDPDF=Y")</f>
        <v>0</v>
      </c>
      <c r="G46" s="13">
        <f>_xll.BDH("SRPT US Equity","EXTRAORD_ITEMS_ACCOUNTING_CHANGS","FQ4 2019","FQ4 2019","Currency=USD","Period=FQ","BEST_FPERIOD_OVERRIDE=FQ","FILING_STATUS=MR","SCALING_FORMAT=MLN","Sort=A","Dates=H","DateFormat=P","Fill=—","Direction=H","UseDPDF=Y")</f>
        <v>0</v>
      </c>
      <c r="H46" s="13">
        <f>_xll.BDH("SRPT US Equity","EXTRAORD_ITEMS_ACCOUNTING_CHANGS","FQ1 2020","FQ1 2020","Currency=USD","Period=FQ","BEST_FPERIOD_OVERRIDE=FQ","FILING_STATUS=MR","SCALING_FORMAT=MLN","Sort=A","Dates=H","DateFormat=P","Fill=—","Direction=H","UseDPDF=Y")</f>
        <v>0</v>
      </c>
      <c r="I46" s="13">
        <f>_xll.BDH("SRPT US Equity","EXTRAORD_ITEMS_ACCOUNTING_CHANGS","FQ2 2020","FQ2 2020","Currency=USD","Period=FQ","BEST_FPERIOD_OVERRIDE=FQ","FILING_STATUS=MR","SCALING_FORMAT=MLN","Sort=A","Dates=H","DateFormat=P","Fill=—","Direction=H","UseDPDF=Y")</f>
        <v>0</v>
      </c>
      <c r="J46" s="13">
        <f>_xll.BDH("SRPT US Equity","EXTRAORD_ITEMS_ACCOUNTING_CHANGS","FQ3 2020","FQ3 2020","Currency=USD","Period=FQ","BEST_FPERIOD_OVERRIDE=FQ","FILING_STATUS=MR","SCALING_FORMAT=MLN","Sort=A","Dates=H","DateFormat=P","Fill=—","Direction=H","UseDPDF=Y")</f>
        <v>0</v>
      </c>
      <c r="K46" s="13">
        <f>_xll.BDH("SRPT US Equity","EXTRAORD_ITEMS_ACCOUNTING_CHANGS","FQ4 2020","FQ4 2020","Currency=USD","Period=FQ","BEST_FPERIOD_OVERRIDE=FQ","FILING_STATUS=MR","SCALING_FORMAT=MLN","Sort=A","Dates=H","DateFormat=P","Fill=—","Direction=H","UseDPDF=Y")</f>
        <v>0</v>
      </c>
      <c r="L46" s="13">
        <f>_xll.BDH("SRPT US Equity","EXTRAORD_ITEMS_ACCOUNTING_CHANGS","FQ1 2021","FQ1 2021","Currency=USD","Period=FQ","BEST_FPERIOD_OVERRIDE=FQ","FILING_STATUS=MR","SCALING_FORMAT=MLN","Sort=A","Dates=H","DateFormat=P","Fill=—","Direction=H","UseDPDF=Y")</f>
        <v>0</v>
      </c>
      <c r="M46" s="13">
        <f>_xll.BDH("SRPT US Equity","EXTRAORD_ITEMS_ACCOUNTING_CHANGS","FQ2 2021","FQ2 2021","Currency=USD","Period=FQ","BEST_FPERIOD_OVERRIDE=FQ","FILING_STATUS=MR","SCALING_FORMAT=MLN","Sort=A","Dates=H","DateFormat=P","Fill=—","Direction=H","UseDPDF=Y")</f>
        <v>0</v>
      </c>
      <c r="N46" s="13">
        <f>_xll.BDH("SRPT US Equity","EXTRAORD_ITEMS_ACCOUNTING_CHANGS","FQ3 2021","FQ3 2021","Currency=USD","Period=FQ","BEST_FPERIOD_OVERRIDE=FQ","FILING_STATUS=MR","SCALING_FORMAT=MLN","Sort=A","Dates=H","DateFormat=P","Fill=—","Direction=H","UseDPDF=Y")</f>
        <v>0</v>
      </c>
      <c r="O46" s="13">
        <f>_xll.BDH("SRPT US Equity","EXTRAORD_ITEMS_ACCOUNTING_CHANGS","FQ4 2021","FQ4 2021","Currency=USD","Period=FQ","BEST_FPERIOD_OVERRIDE=FQ","FILING_STATUS=MR","SCALING_FORMAT=MLN","Sort=A","Dates=H","DateFormat=P","Fill=—","Direction=H","UseDPDF=Y")</f>
        <v>0</v>
      </c>
      <c r="P46" s="13">
        <f>_xll.BDH("SRPT US Equity","EXTRAORD_ITEMS_ACCOUNTING_CHANGS","FQ1 2022","FQ1 2022","Currency=USD","Period=FQ","BEST_FPERIOD_OVERRIDE=FQ","FILING_STATUS=MR","SCALING_FORMAT=MLN","Sort=A","Dates=H","DateFormat=P","Fill=—","Direction=H","UseDPDF=Y")</f>
        <v>0</v>
      </c>
      <c r="Q46" s="13">
        <f>_xll.BDH("SRPT US Equity","EXTRAORD_ITEMS_ACCOUNTING_CHANGS","FQ2 2022","FQ2 2022","Currency=USD","Period=FQ","BEST_FPERIOD_OVERRIDE=FQ","FILING_STATUS=MR","SCALING_FORMAT=MLN","Sort=A","Dates=H","DateFormat=P","Fill=—","Direction=H","UseDPDF=Y")</f>
        <v>0</v>
      </c>
      <c r="R46" s="13">
        <f>_xll.BDH("SRPT US Equity","EXTRAORD_ITEMS_ACCOUNTING_CHANGS","FQ3 2022","FQ3 2022","Currency=USD","Period=FQ","BEST_FPERIOD_OVERRIDE=FQ","FILING_STATUS=MR","SCALING_FORMAT=MLN","Sort=A","Dates=H","DateFormat=P","Fill=—","Direction=H","UseDPDF=Y")</f>
        <v>0</v>
      </c>
      <c r="S46" s="13">
        <f>_xll.BDH("SRPT US Equity","EXTRAORD_ITEMS_ACCOUNTING_CHANGS","FQ4 2022","FQ4 2022","Currency=USD","Period=FQ","BEST_FPERIOD_OVERRIDE=FQ","FILING_STATUS=MR","SCALING_FORMAT=MLN","Sort=A","Dates=H","DateFormat=P","Fill=—","Direction=H","UseDPDF=Y")</f>
        <v>0</v>
      </c>
      <c r="T46" s="13">
        <f>_xll.BDH("SRPT US Equity","EXTRAORD_ITEMS_ACCOUNTING_CHANGS","FQ1 2023","FQ1 2023","Currency=USD","Period=FQ","BEST_FPERIOD_OVERRIDE=FQ","FILING_STATUS=MR","SCALING_FORMAT=MLN","Sort=A","Dates=H","DateFormat=P","Fill=—","Direction=H","UseDPDF=Y")</f>
        <v>0</v>
      </c>
      <c r="U46" s="13">
        <f>_xll.BDH("SRPT US Equity","EXTRAORD_ITEMS_ACCOUNTING_CHANGS","FQ2 2023","FQ2 2023","Currency=USD","Period=FQ","BEST_FPERIOD_OVERRIDE=FQ","FILING_STATUS=MR","SCALING_FORMAT=MLN","Sort=A","Dates=H","DateFormat=P","Fill=—","Direction=H","UseDPDF=Y")</f>
        <v>0</v>
      </c>
      <c r="V46" s="13">
        <f>_xll.BDH("SRPT US Equity","EXTRAORD_ITEMS_ACCOUNTING_CHANGS","FQ3 2023","FQ3 2023","Currency=USD","Period=FQ","BEST_FPERIOD_OVERRIDE=FQ","FILING_STATUS=MR","SCALING_FORMAT=MLN","Sort=A","Dates=H","DateFormat=P","Fill=—","Direction=H","UseDPDF=Y")</f>
        <v>0</v>
      </c>
      <c r="W46" s="13">
        <f>_xll.BDH("SRPT US Equity","EXTRAORD_ITEMS_ACCOUNTING_CHANGS","FQ4 2023","FQ4 2023","Currency=USD","Period=FQ","BEST_FPERIOD_OVERRIDE=FQ","FILING_STATUS=MR","SCALING_FORMAT=MLN","Sort=A","Dates=H","DateFormat=P","Fill=—","Direction=H","UseDPDF=Y")</f>
        <v>0</v>
      </c>
      <c r="X46" s="13">
        <f>_xll.BDH("SRPT US Equity","EXTRAORD_ITEMS_ACCOUNTING_CHANGS","FQ1 2024","FQ1 2024","Currency=USD","Period=FQ","BEST_FPERIOD_OVERRIDE=FQ","FILING_STATUS=MR","SCALING_FORMAT=MLN","Sort=A","Dates=H","DateFormat=P","Fill=—","Direction=H","UseDPDF=Y")</f>
        <v>0</v>
      </c>
      <c r="Y46" s="13">
        <f>_xll.BDH("SRPT US Equity","EXTRAORD_ITEMS_ACCOUNTING_CHANGS","FQ2 2024","FQ2 2024","Currency=USD","Period=FQ","BEST_FPERIOD_OVERRIDE=FQ","FILING_STATUS=MR","SCALING_FORMAT=MLN","Sort=A","Dates=H","DateFormat=P","Fill=—","Direction=H","UseDPDF=Y")</f>
        <v>0</v>
      </c>
      <c r="Z46" s="13">
        <f>_xll.BDH("SRPT US Equity","EXTRAORD_ITEMS_ACCOUNTING_CHANGS","FQ3 2024","FQ3 2024","Currency=USD","Period=FQ","BEST_FPERIOD_OVERRIDE=FQ","FILING_STATUS=MR","SCALING_FORMAT=MLN","Sort=A","Dates=H","DateFormat=P","Fill=—","Direction=H","UseDPDF=Y")</f>
        <v>0</v>
      </c>
      <c r="AA46" s="13">
        <f>_xll.BDH("SRPT US Equity","EXTRAORD_ITEMS_ACCOUNTING_CHANGS","FQ4 2024","FQ4 2024","Currency=USD","Period=FQ","BEST_FPERIOD_OVERRIDE=FQ","FILING_STATUS=MR","SCALING_FORMAT=MLN","Sort=A","Dates=H","DateFormat=P","Fill=—","Direction=H","UseDPDF=Y")</f>
        <v>0</v>
      </c>
    </row>
    <row r="47" spans="1:27" x14ac:dyDescent="0.25">
      <c r="A47" s="6" t="s">
        <v>629</v>
      </c>
      <c r="B47" s="6" t="s">
        <v>630</v>
      </c>
      <c r="C47" s="19">
        <f>_xll.BDH("SRPT US Equity","INC_BEF_XO_LESS_MIN_INT_PREF_DVD","FQ4 2018","FQ4 2018","Currency=USD","Period=FQ","BEST_FPERIOD_OVERRIDE=FQ","FILING_STATUS=MR","SCALING_FORMAT=MLN","FA_ADJUSTED=GAAP","Sort=A","Dates=H","DateFormat=P","Fill=—","Direction=H","UseDPDF=Y")</f>
        <v>-140.89500000000001</v>
      </c>
      <c r="D47" s="19">
        <f>_xll.BDH("SRPT US Equity","INC_BEF_XO_LESS_MIN_INT_PREF_DVD","FQ1 2019","FQ1 2019","Currency=USD","Period=FQ","BEST_FPERIOD_OVERRIDE=FQ","FILING_STATUS=MR","SCALING_FORMAT=MLN","FA_ADJUSTED=GAAP","Sort=A","Dates=H","DateFormat=P","Fill=—","Direction=H","UseDPDF=Y")</f>
        <v>-76.643000000000001</v>
      </c>
      <c r="E47" s="19">
        <f>_xll.BDH("SRPT US Equity","INC_BEF_XO_LESS_MIN_INT_PREF_DVD","FQ2 2019","FQ2 2019","Currency=USD","Period=FQ","BEST_FPERIOD_OVERRIDE=FQ","FILING_STATUS=MR","SCALING_FORMAT=MLN","FA_ADJUSTED=GAAP","Sort=A","Dates=H","DateFormat=P","Fill=—","Direction=H","UseDPDF=Y")</f>
        <v>-276.40300000000002</v>
      </c>
      <c r="F47" s="19">
        <f>_xll.BDH("SRPT US Equity","INC_BEF_XO_LESS_MIN_INT_PREF_DVD","FQ3 2019","FQ3 2019","Currency=USD","Period=FQ","BEST_FPERIOD_OVERRIDE=FQ","FILING_STATUS=MR","SCALING_FORMAT=MLN","FA_ADJUSTED=GAAP","Sort=A","Dates=H","DateFormat=P","Fill=—","Direction=H","UseDPDF=Y")</f>
        <v>-126.32599999999999</v>
      </c>
      <c r="G47" s="19">
        <f>_xll.BDH("SRPT US Equity","INC_BEF_XO_LESS_MIN_INT_PREF_DVD","FQ4 2019","FQ4 2019","Currency=USD","Period=FQ","BEST_FPERIOD_OVERRIDE=FQ","FILING_STATUS=MR","SCALING_FORMAT=MLN","FA_ADJUSTED=GAAP","Sort=A","Dates=H","DateFormat=P","Fill=—","Direction=H","UseDPDF=Y")</f>
        <v>-235.703</v>
      </c>
      <c r="H47" s="19">
        <f>_xll.BDH("SRPT US Equity","INC_BEF_XO_LESS_MIN_INT_PREF_DVD","FQ1 2020","FQ1 2020","Currency=USD","Period=FQ","BEST_FPERIOD_OVERRIDE=FQ","FILING_STATUS=MR","SCALING_FORMAT=MLN","FA_ADJUSTED=GAAP","Sort=A","Dates=H","DateFormat=P","Fill=—","Direction=H","UseDPDF=Y")</f>
        <v>-17.492000000000001</v>
      </c>
      <c r="I47" s="19">
        <f>_xll.BDH("SRPT US Equity","INC_BEF_XO_LESS_MIN_INT_PREF_DVD","FQ2 2020","FQ2 2020","Currency=USD","Period=FQ","BEST_FPERIOD_OVERRIDE=FQ","FILING_STATUS=MR","SCALING_FORMAT=MLN","FA_ADJUSTED=GAAP","Sort=A","Dates=H","DateFormat=P","Fill=—","Direction=H","UseDPDF=Y")</f>
        <v>-150.82</v>
      </c>
      <c r="J47" s="19">
        <f>_xll.BDH("SRPT US Equity","INC_BEF_XO_LESS_MIN_INT_PREF_DVD","FQ3 2020","FQ3 2020","Currency=USD","Period=FQ","BEST_FPERIOD_OVERRIDE=FQ","FILING_STATUS=MR","SCALING_FORMAT=MLN","FA_ADJUSTED=GAAP","Sort=A","Dates=H","DateFormat=P","Fill=—","Direction=H","UseDPDF=Y")</f>
        <v>-196.499</v>
      </c>
      <c r="K47" s="19">
        <f>_xll.BDH("SRPT US Equity","INC_BEF_XO_LESS_MIN_INT_PREF_DVD","FQ4 2020","FQ4 2020","Currency=USD","Period=FQ","BEST_FPERIOD_OVERRIDE=FQ","FILING_STATUS=MR","SCALING_FORMAT=MLN","FA_ADJUSTED=GAAP","Sort=A","Dates=H","DateFormat=P","Fill=—","Direction=H","UseDPDF=Y")</f>
        <v>-189.31700000000001</v>
      </c>
      <c r="L47" s="19">
        <f>_xll.BDH("SRPT US Equity","INC_BEF_XO_LESS_MIN_INT_PREF_DVD","FQ1 2021","FQ1 2021","Currency=USD","Period=FQ","BEST_FPERIOD_OVERRIDE=FQ","FILING_STATUS=MR","SCALING_FORMAT=MLN","FA_ADJUSTED=GAAP","Sort=A","Dates=H","DateFormat=P","Fill=—","Direction=H","UseDPDF=Y")</f>
        <v>-167.25</v>
      </c>
      <c r="M47" s="19">
        <f>_xll.BDH("SRPT US Equity","INC_BEF_XO_LESS_MIN_INT_PREF_DVD","FQ2 2021","FQ2 2021","Currency=USD","Period=FQ","BEST_FPERIOD_OVERRIDE=FQ","FILING_STATUS=MR","SCALING_FORMAT=MLN","FA_ADJUSTED=GAAP","Sort=A","Dates=H","DateFormat=P","Fill=—","Direction=H","UseDPDF=Y")</f>
        <v>-81.405000000000001</v>
      </c>
      <c r="N47" s="19">
        <f>_xll.BDH("SRPT US Equity","INC_BEF_XO_LESS_MIN_INT_PREF_DVD","FQ3 2021","FQ3 2021","Currency=USD","Period=FQ","BEST_FPERIOD_OVERRIDE=FQ","FILING_STATUS=MR","SCALING_FORMAT=MLN","FA_ADJUSTED=GAAP","Sort=A","Dates=H","DateFormat=P","Fill=—","Direction=H","UseDPDF=Y")</f>
        <v>-48.143999999999998</v>
      </c>
      <c r="O47" s="19">
        <f>_xll.BDH("SRPT US Equity","INC_BEF_XO_LESS_MIN_INT_PREF_DVD","FQ4 2021","FQ4 2021","Currency=USD","Period=FQ","BEST_FPERIOD_OVERRIDE=FQ","FILING_STATUS=MR","SCALING_FORMAT=MLN","FA_ADJUSTED=GAAP","Sort=A","Dates=H","DateFormat=P","Fill=—","Direction=H","UseDPDF=Y")</f>
        <v>-121.98099999999999</v>
      </c>
      <c r="P47" s="19">
        <f>_xll.BDH("SRPT US Equity","INC_BEF_XO_LESS_MIN_INT_PREF_DVD","FQ1 2022","FQ1 2022","Currency=USD","Period=FQ","BEST_FPERIOD_OVERRIDE=FQ","FILING_STATUS=MR","SCALING_FORMAT=MLN","FA_ADJUSTED=GAAP","Sort=A","Dates=H","DateFormat=P","Fill=—","Direction=H","UseDPDF=Y")</f>
        <v>-105.02500000000001</v>
      </c>
      <c r="Q47" s="19">
        <f>_xll.BDH("SRPT US Equity","INC_BEF_XO_LESS_MIN_INT_PREF_DVD","FQ2 2022","FQ2 2022","Currency=USD","Period=FQ","BEST_FPERIOD_OVERRIDE=FQ","FILING_STATUS=MR","SCALING_FORMAT=MLN","FA_ADJUSTED=GAAP","Sort=A","Dates=H","DateFormat=P","Fill=—","Direction=H","UseDPDF=Y")</f>
        <v>-231.48099999999999</v>
      </c>
      <c r="R47" s="19">
        <f>_xll.BDH("SRPT US Equity","INC_BEF_XO_LESS_MIN_INT_PREF_DVD","FQ3 2022","FQ3 2022","Currency=USD","Period=FQ","BEST_FPERIOD_OVERRIDE=FQ","FILING_STATUS=MR","SCALING_FORMAT=MLN","FA_ADJUSTED=GAAP","Sort=A","Dates=H","DateFormat=P","Fill=—","Direction=H","UseDPDF=Y")</f>
        <v>-257.738</v>
      </c>
      <c r="S47" s="19">
        <f>_xll.BDH("SRPT US Equity","INC_BEF_XO_LESS_MIN_INT_PREF_DVD","FQ4 2022","FQ4 2022","Currency=USD","Period=FQ","BEST_FPERIOD_OVERRIDE=FQ","FILING_STATUS=MR","SCALING_FORMAT=MLN","FA_ADJUSTED=GAAP","Sort=A","Dates=H","DateFormat=P","Fill=—","Direction=H","UseDPDF=Y")</f>
        <v>-109.244</v>
      </c>
      <c r="T47" s="19">
        <f>_xll.BDH("SRPT US Equity","INC_BEF_XO_LESS_MIN_INT_PREF_DVD","FQ1 2023","FQ1 2023","Currency=USD","Period=FQ","BEST_FPERIOD_OVERRIDE=FQ","FILING_STATUS=MR","SCALING_FORMAT=MLN","FA_ADJUSTED=GAAP","Sort=A","Dates=H","DateFormat=P","Fill=—","Direction=H","UseDPDF=Y")</f>
        <v>-516.755</v>
      </c>
      <c r="U47" s="19">
        <f>_xll.BDH("SRPT US Equity","INC_BEF_XO_LESS_MIN_INT_PREF_DVD","FQ2 2023","FQ2 2023","Currency=USD","Period=FQ","BEST_FPERIOD_OVERRIDE=FQ","FILING_STATUS=MR","SCALING_FORMAT=MLN","FA_ADJUSTED=GAAP","Sort=A","Dates=H","DateFormat=P","Fill=—","Direction=H","UseDPDF=Y")</f>
        <v>-23.94</v>
      </c>
      <c r="V47" s="19">
        <f>_xll.BDH("SRPT US Equity","INC_BEF_XO_LESS_MIN_INT_PREF_DVD","FQ3 2023","FQ3 2023","Currency=USD","Period=FQ","BEST_FPERIOD_OVERRIDE=FQ","FILING_STATUS=MR","SCALING_FORMAT=MLN","FA_ADJUSTED=GAAP","Sort=A","Dates=H","DateFormat=P","Fill=—","Direction=H","UseDPDF=Y")</f>
        <v>-40.936999999999998</v>
      </c>
      <c r="W47" s="19">
        <f>_xll.BDH("SRPT US Equity","INC_BEF_XO_LESS_MIN_INT_PREF_DVD","FQ4 2023","FQ4 2023","Currency=USD","Period=FQ","BEST_FPERIOD_OVERRIDE=FQ","FILING_STATUS=MR","SCALING_FORMAT=MLN","FA_ADJUSTED=GAAP","Sort=A","Dates=H","DateFormat=P","Fill=—","Direction=H","UseDPDF=Y")</f>
        <v>45.655000000000001</v>
      </c>
      <c r="X47" s="19">
        <f>_xll.BDH("SRPT US Equity","INC_BEF_XO_LESS_MIN_INT_PREF_DVD","FQ1 2024","FQ1 2024","Currency=USD","Period=FQ","BEST_FPERIOD_OVERRIDE=FQ","FILING_STATUS=MR","SCALING_FORMAT=MLN","FA_ADJUSTED=GAAP","Sort=A","Dates=H","DateFormat=P","Fill=—","Direction=H","UseDPDF=Y")</f>
        <v>36.119</v>
      </c>
      <c r="Y47" s="19">
        <f>_xll.BDH("SRPT US Equity","INC_BEF_XO_LESS_MIN_INT_PREF_DVD","FQ2 2024","FQ2 2024","Currency=USD","Period=FQ","BEST_FPERIOD_OVERRIDE=FQ","FILING_STATUS=MR","SCALING_FORMAT=MLN","FA_ADJUSTED=GAAP","Sort=A","Dates=H","DateFormat=P","Fill=—","Direction=H","UseDPDF=Y")</f>
        <v>6.46</v>
      </c>
      <c r="Z47" s="19">
        <f>_xll.BDH("SRPT US Equity","INC_BEF_XO_LESS_MIN_INT_PREF_DVD","FQ3 2024","FQ3 2024","Currency=USD","Period=FQ","BEST_FPERIOD_OVERRIDE=FQ","FILING_STATUS=MR","SCALING_FORMAT=MLN","FA_ADJUSTED=GAAP","Sort=A","Dates=H","DateFormat=P","Fill=—","Direction=H","UseDPDF=Y")</f>
        <v>33.610999999999997</v>
      </c>
      <c r="AA47" s="19">
        <f>_xll.BDH("SRPT US Equity","INC_BEF_XO_LESS_MIN_INT_PREF_DVD","FQ4 2024","FQ4 2024","Currency=USD","Period=FQ","BEST_FPERIOD_OVERRIDE=FQ","FILING_STATUS=MR","SCALING_FORMAT=MLN","FA_ADJUSTED=GAAP","Sort=A","Dates=H","DateFormat=P","Fill=—","Direction=H","UseDPDF=Y")</f>
        <v>159.04900000000001</v>
      </c>
    </row>
    <row r="48" spans="1:27" x14ac:dyDescent="0.25">
      <c r="A48" s="10" t="s">
        <v>610</v>
      </c>
      <c r="B48" s="10" t="s">
        <v>631</v>
      </c>
      <c r="C48" s="13" t="str">
        <f>_xll.BDH("SRPT US Equity","IS_AIP_RD_AFTER_TAX","FQ4 2018","FQ4 2018","Currency=USD","Period=FQ","BEST_FPERIOD_OVERRIDE=FQ","FILING_STATUS=MR","SCALING_FORMAT=MLN","Sort=A","Dates=H","DateFormat=P","Fill=—","Direction=H","UseDPDF=Y")</f>
        <v>—</v>
      </c>
      <c r="D48" s="13" t="str">
        <f>_xll.BDH("SRPT US Equity","IS_AIP_RD_AFTER_TAX","FQ1 2019","FQ1 2019","Currency=USD","Period=FQ","BEST_FPERIOD_OVERRIDE=FQ","FILING_STATUS=MR","SCALING_FORMAT=MLN","Sort=A","Dates=H","DateFormat=P","Fill=—","Direction=H","UseDPDF=Y")</f>
        <v>—</v>
      </c>
      <c r="E48" s="13">
        <f>_xll.BDH("SRPT US Equity","IS_AIP_RD_AFTER_TAX","FQ2 2019","FQ2 2019","Currency=USD","Period=FQ","BEST_FPERIOD_OVERRIDE=FQ","FILING_STATUS=MR","SCALING_FORMAT=MLN","Sort=A","Dates=H","DateFormat=P","Fill=—","Direction=H","UseDPDF=Y")</f>
        <v>173.24</v>
      </c>
      <c r="F48" s="13" t="str">
        <f>_xll.BDH("SRPT US Equity","IS_AIP_RD_AFTER_TAX","FQ3 2019","FQ3 2019","Currency=USD","Period=FQ","BEST_FPERIOD_OVERRIDE=FQ","FILING_STATUS=MR","SCALING_FORMAT=MLN","Sort=A","Dates=H","DateFormat=P","Fill=—","Direction=H","UseDPDF=Y")</f>
        <v>—</v>
      </c>
      <c r="G48" s="13" t="str">
        <f>_xll.BDH("SRPT US Equity","IS_AIP_RD_AFTER_TAX","FQ4 2019","FQ4 2019","Currency=USD","Period=FQ","BEST_FPERIOD_OVERRIDE=FQ","FILING_STATUS=MR","SCALING_FORMAT=MLN","Sort=A","Dates=H","DateFormat=P","Fill=—","Direction=H","UseDPDF=Y")</f>
        <v>—</v>
      </c>
      <c r="H48" s="13" t="str">
        <f>_xll.BDH("SRPT US Equity","IS_AIP_RD_AFTER_TAX","FQ1 2020","FQ1 2020","Currency=USD","Period=FQ","BEST_FPERIOD_OVERRIDE=FQ","FILING_STATUS=MR","SCALING_FORMAT=MLN","Sort=A","Dates=H","DateFormat=P","Fill=—","Direction=H","UseDPDF=Y")</f>
        <v>—</v>
      </c>
      <c r="I48" s="13" t="str">
        <f>_xll.BDH("SRPT US Equity","IS_AIP_RD_AFTER_TAX","FQ2 2020","FQ2 2020","Currency=USD","Period=FQ","BEST_FPERIOD_OVERRIDE=FQ","FILING_STATUS=MR","SCALING_FORMAT=MLN","Sort=A","Dates=H","DateFormat=P","Fill=—","Direction=H","UseDPDF=Y")</f>
        <v>—</v>
      </c>
      <c r="J48" s="13" t="str">
        <f>_xll.BDH("SRPT US Equity","IS_AIP_RD_AFTER_TAX","FQ3 2020","FQ3 2020","Currency=USD","Period=FQ","BEST_FPERIOD_OVERRIDE=FQ","FILING_STATUS=MR","SCALING_FORMAT=MLN","Sort=A","Dates=H","DateFormat=P","Fill=—","Direction=H","UseDPDF=Y")</f>
        <v>—</v>
      </c>
      <c r="K48" s="13" t="str">
        <f>_xll.BDH("SRPT US Equity","IS_AIP_RD_AFTER_TAX","FQ4 2020","FQ4 2020","Currency=USD","Period=FQ","BEST_FPERIOD_OVERRIDE=FQ","FILING_STATUS=MR","SCALING_FORMAT=MLN","Sort=A","Dates=H","DateFormat=P","Fill=—","Direction=H","UseDPDF=Y")</f>
        <v>—</v>
      </c>
      <c r="L48" s="13" t="str">
        <f>_xll.BDH("SRPT US Equity","IS_AIP_RD_AFTER_TAX","FQ1 2021","FQ1 2021","Currency=USD","Period=FQ","BEST_FPERIOD_OVERRIDE=FQ","FILING_STATUS=MR","SCALING_FORMAT=MLN","Sort=A","Dates=H","DateFormat=P","Fill=—","Direction=H","UseDPDF=Y")</f>
        <v>—</v>
      </c>
      <c r="M48" s="13" t="str">
        <f>_xll.BDH("SRPT US Equity","IS_AIP_RD_AFTER_TAX","FQ2 2021","FQ2 2021","Currency=USD","Period=FQ","BEST_FPERIOD_OVERRIDE=FQ","FILING_STATUS=MR","SCALING_FORMAT=MLN","Sort=A","Dates=H","DateFormat=P","Fill=—","Direction=H","UseDPDF=Y")</f>
        <v>—</v>
      </c>
      <c r="N48" s="13" t="str">
        <f>_xll.BDH("SRPT US Equity","IS_AIP_RD_AFTER_TAX","FQ3 2021","FQ3 2021","Currency=USD","Period=FQ","BEST_FPERIOD_OVERRIDE=FQ","FILING_STATUS=MR","SCALING_FORMAT=MLN","Sort=A","Dates=H","DateFormat=P","Fill=—","Direction=H","UseDPDF=Y")</f>
        <v>—</v>
      </c>
      <c r="O48" s="13" t="str">
        <f>_xll.BDH("SRPT US Equity","IS_AIP_RD_AFTER_TAX","FQ4 2021","FQ4 2021","Currency=USD","Period=FQ","BEST_FPERIOD_OVERRIDE=FQ","FILING_STATUS=MR","SCALING_FORMAT=MLN","Sort=A","Dates=H","DateFormat=P","Fill=—","Direction=H","UseDPDF=Y")</f>
        <v>—</v>
      </c>
      <c r="P48" s="13" t="str">
        <f>_xll.BDH("SRPT US Equity","IS_AIP_RD_AFTER_TAX","FQ1 2022","FQ1 2022","Currency=USD","Period=FQ","BEST_FPERIOD_OVERRIDE=FQ","FILING_STATUS=MR","SCALING_FORMAT=MLN","Sort=A","Dates=H","DateFormat=P","Fill=—","Direction=H","UseDPDF=Y")</f>
        <v>—</v>
      </c>
      <c r="Q48" s="13" t="str">
        <f>_xll.BDH("SRPT US Equity","IS_AIP_RD_AFTER_TAX","FQ2 2022","FQ2 2022","Currency=USD","Period=FQ","BEST_FPERIOD_OVERRIDE=FQ","FILING_STATUS=MR","SCALING_FORMAT=MLN","Sort=A","Dates=H","DateFormat=P","Fill=—","Direction=H","UseDPDF=Y")</f>
        <v>—</v>
      </c>
      <c r="R48" s="13" t="str">
        <f>_xll.BDH("SRPT US Equity","IS_AIP_RD_AFTER_TAX","FQ3 2022","FQ3 2022","Currency=USD","Period=FQ","BEST_FPERIOD_OVERRIDE=FQ","FILING_STATUS=MR","SCALING_FORMAT=MLN","Sort=A","Dates=H","DateFormat=P","Fill=—","Direction=H","UseDPDF=Y")</f>
        <v>—</v>
      </c>
      <c r="S48" s="13" t="str">
        <f>_xll.BDH("SRPT US Equity","IS_AIP_RD_AFTER_TAX","FQ4 2022","FQ4 2022","Currency=USD","Period=FQ","BEST_FPERIOD_OVERRIDE=FQ","FILING_STATUS=MR","SCALING_FORMAT=MLN","Sort=A","Dates=H","DateFormat=P","Fill=—","Direction=H","UseDPDF=Y")</f>
        <v>—</v>
      </c>
      <c r="T48" s="13" t="str">
        <f>_xll.BDH("SRPT US Equity","IS_AIP_RD_AFTER_TAX","FQ1 2023","FQ1 2023","Currency=USD","Period=FQ","BEST_FPERIOD_OVERRIDE=FQ","FILING_STATUS=MR","SCALING_FORMAT=MLN","Sort=A","Dates=H","DateFormat=P","Fill=—","Direction=H","UseDPDF=Y")</f>
        <v>—</v>
      </c>
      <c r="U48" s="13" t="str">
        <f>_xll.BDH("SRPT US Equity","IS_AIP_RD_AFTER_TAX","FQ2 2023","FQ2 2023","Currency=USD","Period=FQ","BEST_FPERIOD_OVERRIDE=FQ","FILING_STATUS=MR","SCALING_FORMAT=MLN","Sort=A","Dates=H","DateFormat=P","Fill=—","Direction=H","UseDPDF=Y")</f>
        <v>—</v>
      </c>
      <c r="V48" s="13" t="str">
        <f>_xll.BDH("SRPT US Equity","IS_AIP_RD_AFTER_TAX","FQ3 2023","FQ3 2023","Currency=USD","Period=FQ","BEST_FPERIOD_OVERRIDE=FQ","FILING_STATUS=MR","SCALING_FORMAT=MLN","Sort=A","Dates=H","DateFormat=P","Fill=—","Direction=H","UseDPDF=Y")</f>
        <v>—</v>
      </c>
      <c r="W48" s="13" t="str">
        <f>_xll.BDH("SRPT US Equity","IS_AIP_RD_AFTER_TAX","FQ4 2023","FQ4 2023","Currency=USD","Period=FQ","BEST_FPERIOD_OVERRIDE=FQ","FILING_STATUS=MR","SCALING_FORMAT=MLN","Sort=A","Dates=H","DateFormat=P","Fill=—","Direction=H","UseDPDF=Y")</f>
        <v>—</v>
      </c>
      <c r="X48" s="13" t="str">
        <f>_xll.BDH("SRPT US Equity","IS_AIP_RD_AFTER_TAX","FQ1 2024","FQ1 2024","Currency=USD","Period=FQ","BEST_FPERIOD_OVERRIDE=FQ","FILING_STATUS=MR","SCALING_FORMAT=MLN","Sort=A","Dates=H","DateFormat=P","Fill=—","Direction=H","UseDPDF=Y")</f>
        <v>—</v>
      </c>
      <c r="Y48" s="13" t="str">
        <f>_xll.BDH("SRPT US Equity","IS_AIP_RD_AFTER_TAX","FQ2 2024","FQ2 2024","Currency=USD","Period=FQ","BEST_FPERIOD_OVERRIDE=FQ","FILING_STATUS=MR","SCALING_FORMAT=MLN","Sort=A","Dates=H","DateFormat=P","Fill=—","Direction=H","UseDPDF=Y")</f>
        <v>—</v>
      </c>
      <c r="Z48" s="13" t="str">
        <f>_xll.BDH("SRPT US Equity","IS_AIP_RD_AFTER_TAX","FQ3 2024","FQ3 2024","Currency=USD","Period=FQ","BEST_FPERIOD_OVERRIDE=FQ","FILING_STATUS=MR","SCALING_FORMAT=MLN","Sort=A","Dates=H","DateFormat=P","Fill=—","Direction=H","UseDPDF=Y")</f>
        <v>—</v>
      </c>
      <c r="AA48" s="13" t="str">
        <f>_xll.BDH("SRPT US Equity","IS_AIP_RD_AFTER_TAX","FQ4 2024","FQ4 2024","Currency=USD","Period=FQ","BEST_FPERIOD_OVERRIDE=FQ","FILING_STATUS=MR","SCALING_FORMAT=MLN","Sort=A","Dates=H","DateFormat=P","Fill=—","Direction=H","UseDPDF=Y")</f>
        <v>—</v>
      </c>
    </row>
    <row r="49" spans="1:27" x14ac:dyDescent="0.25">
      <c r="A49" s="10" t="s">
        <v>612</v>
      </c>
      <c r="B49" s="10" t="s">
        <v>632</v>
      </c>
      <c r="C49" s="13" t="str">
        <f>_xll.BDH("SRPT US Equity","IS_MA_EXPENSE_AFTER_TAX","FQ4 2018","FQ4 2018","Currency=USD","Period=FQ","BEST_FPERIOD_OVERRIDE=FQ","FILING_STATUS=MR","SCALING_FORMAT=MLN","Sort=A","Dates=H","DateFormat=P","Fill=—","Direction=H","UseDPDF=Y")</f>
        <v>—</v>
      </c>
      <c r="D49" s="13" t="str">
        <f>_xll.BDH("SRPT US Equity","IS_MA_EXPENSE_AFTER_TAX","FQ1 2019","FQ1 2019","Currency=USD","Period=FQ","BEST_FPERIOD_OVERRIDE=FQ","FILING_STATUS=MR","SCALING_FORMAT=MLN","Sort=A","Dates=H","DateFormat=P","Fill=—","Direction=H","UseDPDF=Y")</f>
        <v>—</v>
      </c>
      <c r="E49" s="13" t="str">
        <f>_xll.BDH("SRPT US Equity","IS_MA_EXPENSE_AFTER_TAX","FQ2 2019","FQ2 2019","Currency=USD","Period=FQ","BEST_FPERIOD_OVERRIDE=FQ","FILING_STATUS=MR","SCALING_FORMAT=MLN","Sort=A","Dates=H","DateFormat=P","Fill=—","Direction=H","UseDPDF=Y")</f>
        <v>—</v>
      </c>
      <c r="F49" s="13" t="str">
        <f>_xll.BDH("SRPT US Equity","IS_MA_EXPENSE_AFTER_TAX","FQ3 2019","FQ3 2019","Currency=USD","Period=FQ","BEST_FPERIOD_OVERRIDE=FQ","FILING_STATUS=MR","SCALING_FORMAT=MLN","Sort=A","Dates=H","DateFormat=P","Fill=—","Direction=H","UseDPDF=Y")</f>
        <v>—</v>
      </c>
      <c r="G49" s="13" t="str">
        <f>_xll.BDH("SRPT US Equity","IS_MA_EXPENSE_AFTER_TAX","FQ4 2019","FQ4 2019","Currency=USD","Period=FQ","BEST_FPERIOD_OVERRIDE=FQ","FILING_STATUS=MR","SCALING_FORMAT=MLN","Sort=A","Dates=H","DateFormat=P","Fill=—","Direction=H","UseDPDF=Y")</f>
        <v>—</v>
      </c>
      <c r="H49" s="13">
        <f>_xll.BDH("SRPT US Equity","IS_MA_EXPENSE_AFTER_TAX","FQ1 2020","FQ1 2020","Currency=USD","Period=FQ","BEST_FPERIOD_OVERRIDE=FQ","FILING_STATUS=MR","SCALING_FORMAT=MLN","Sort=A","Dates=H","DateFormat=P","Fill=—","Direction=H","UseDPDF=Y")</f>
        <v>11.2712</v>
      </c>
      <c r="I49" s="13" t="str">
        <f>_xll.BDH("SRPT US Equity","IS_MA_EXPENSE_AFTER_TAX","FQ2 2020","FQ2 2020","Currency=USD","Period=FQ","BEST_FPERIOD_OVERRIDE=FQ","FILING_STATUS=MR","SCALING_FORMAT=MLN","Sort=A","Dates=H","DateFormat=P","Fill=—","Direction=H","UseDPDF=Y")</f>
        <v>—</v>
      </c>
      <c r="J49" s="13" t="str">
        <f>_xll.BDH("SRPT US Equity","IS_MA_EXPENSE_AFTER_TAX","FQ3 2020","FQ3 2020","Currency=USD","Period=FQ","BEST_FPERIOD_OVERRIDE=FQ","FILING_STATUS=MR","SCALING_FORMAT=MLN","Sort=A","Dates=H","DateFormat=P","Fill=—","Direction=H","UseDPDF=Y")</f>
        <v>—</v>
      </c>
      <c r="K49" s="13" t="str">
        <f>_xll.BDH("SRPT US Equity","IS_MA_EXPENSE_AFTER_TAX","FQ4 2020","FQ4 2020","Currency=USD","Period=FQ","BEST_FPERIOD_OVERRIDE=FQ","FILING_STATUS=MR","SCALING_FORMAT=MLN","Sort=A","Dates=H","DateFormat=P","Fill=—","Direction=H","UseDPDF=Y")</f>
        <v>—</v>
      </c>
      <c r="L49" s="13" t="str">
        <f>_xll.BDH("SRPT US Equity","IS_MA_EXPENSE_AFTER_TAX","FQ1 2021","FQ1 2021","Currency=USD","Period=FQ","BEST_FPERIOD_OVERRIDE=FQ","FILING_STATUS=MR","SCALING_FORMAT=MLN","Sort=A","Dates=H","DateFormat=P","Fill=—","Direction=H","UseDPDF=Y")</f>
        <v>—</v>
      </c>
      <c r="M49" s="13" t="str">
        <f>_xll.BDH("SRPT US Equity","IS_MA_EXPENSE_AFTER_TAX","FQ2 2021","FQ2 2021","Currency=USD","Period=FQ","BEST_FPERIOD_OVERRIDE=FQ","FILING_STATUS=MR","SCALING_FORMAT=MLN","Sort=A","Dates=H","DateFormat=P","Fill=—","Direction=H","UseDPDF=Y")</f>
        <v>—</v>
      </c>
      <c r="N49" s="13">
        <f>_xll.BDH("SRPT US Equity","IS_MA_EXPENSE_AFTER_TAX","FQ3 2021","FQ3 2021","Currency=USD","Period=FQ","BEST_FPERIOD_OVERRIDE=FQ","FILING_STATUS=MR","SCALING_FORMAT=MLN","Sort=A","Dates=H","DateFormat=P","Fill=—","Direction=H","UseDPDF=Y")</f>
        <v>5.6879999999999997</v>
      </c>
      <c r="O49" s="13" t="str">
        <f>_xll.BDH("SRPT US Equity","IS_MA_EXPENSE_AFTER_TAX","FQ4 2021","FQ4 2021","Currency=USD","Period=FQ","BEST_FPERIOD_OVERRIDE=FQ","FILING_STATUS=MR","SCALING_FORMAT=MLN","Sort=A","Dates=H","DateFormat=P","Fill=—","Direction=H","UseDPDF=Y")</f>
        <v>—</v>
      </c>
      <c r="P49" s="13" t="str">
        <f>_xll.BDH("SRPT US Equity","IS_MA_EXPENSE_AFTER_TAX","FQ1 2022","FQ1 2022","Currency=USD","Period=FQ","BEST_FPERIOD_OVERRIDE=FQ","FILING_STATUS=MR","SCALING_FORMAT=MLN","Sort=A","Dates=H","DateFormat=P","Fill=—","Direction=H","UseDPDF=Y")</f>
        <v>—</v>
      </c>
      <c r="Q49" s="13" t="str">
        <f>_xll.BDH("SRPT US Equity","IS_MA_EXPENSE_AFTER_TAX","FQ2 2022","FQ2 2022","Currency=USD","Period=FQ","BEST_FPERIOD_OVERRIDE=FQ","FILING_STATUS=MR","SCALING_FORMAT=MLN","Sort=A","Dates=H","DateFormat=P","Fill=—","Direction=H","UseDPDF=Y")</f>
        <v>—</v>
      </c>
      <c r="R49" s="13" t="str">
        <f>_xll.BDH("SRPT US Equity","IS_MA_EXPENSE_AFTER_TAX","FQ3 2022","FQ3 2022","Currency=USD","Period=FQ","BEST_FPERIOD_OVERRIDE=FQ","FILING_STATUS=MR","SCALING_FORMAT=MLN","Sort=A","Dates=H","DateFormat=P","Fill=—","Direction=H","UseDPDF=Y")</f>
        <v>—</v>
      </c>
      <c r="S49" s="13" t="str">
        <f>_xll.BDH("SRPT US Equity","IS_MA_EXPENSE_AFTER_TAX","FQ4 2022","FQ4 2022","Currency=USD","Period=FQ","BEST_FPERIOD_OVERRIDE=FQ","FILING_STATUS=MR","SCALING_FORMAT=MLN","Sort=A","Dates=H","DateFormat=P","Fill=—","Direction=H","UseDPDF=Y")</f>
        <v>—</v>
      </c>
      <c r="T49" s="13" t="str">
        <f>_xll.BDH("SRPT US Equity","IS_MA_EXPENSE_AFTER_TAX","FQ1 2023","FQ1 2023","Currency=USD","Period=FQ","BEST_FPERIOD_OVERRIDE=FQ","FILING_STATUS=MR","SCALING_FORMAT=MLN","Sort=A","Dates=H","DateFormat=P","Fill=—","Direction=H","UseDPDF=Y")</f>
        <v>—</v>
      </c>
      <c r="U49" s="13">
        <f>_xll.BDH("SRPT US Equity","IS_MA_EXPENSE_AFTER_TAX","FQ2 2023","FQ2 2023","Currency=USD","Period=FQ","BEST_FPERIOD_OVERRIDE=FQ","FILING_STATUS=MR","SCALING_FORMAT=MLN","Sort=A","Dates=H","DateFormat=P","Fill=—","Direction=H","UseDPDF=Y")</f>
        <v>-0.63200000000000001</v>
      </c>
      <c r="V49" s="13">
        <f>_xll.BDH("SRPT US Equity","IS_MA_EXPENSE_AFTER_TAX","FQ3 2023","FQ3 2023","Currency=USD","Period=FQ","BEST_FPERIOD_OVERRIDE=FQ","FILING_STATUS=MR","SCALING_FORMAT=MLN","Sort=A","Dates=H","DateFormat=P","Fill=—","Direction=H","UseDPDF=Y")</f>
        <v>1.58</v>
      </c>
      <c r="W49" s="13" t="str">
        <f>_xll.BDH("SRPT US Equity","IS_MA_EXPENSE_AFTER_TAX","FQ4 2023","FQ4 2023","Currency=USD","Period=FQ","BEST_FPERIOD_OVERRIDE=FQ","FILING_STATUS=MR","SCALING_FORMAT=MLN","Sort=A","Dates=H","DateFormat=P","Fill=—","Direction=H","UseDPDF=Y")</f>
        <v>—</v>
      </c>
      <c r="X49" s="13">
        <f>_xll.BDH("SRPT US Equity","IS_MA_EXPENSE_AFTER_TAX","FQ1 2024","FQ1 2024","Currency=USD","Period=FQ","BEST_FPERIOD_OVERRIDE=FQ","FILING_STATUS=MR","SCALING_FORMAT=MLN","Sort=A","Dates=H","DateFormat=P","Fill=—","Direction=H","UseDPDF=Y")</f>
        <v>9.7880000000000003</v>
      </c>
      <c r="Y49" s="13" t="str">
        <f>_xll.BDH("SRPT US Equity","IS_MA_EXPENSE_AFTER_TAX","FQ2 2024","FQ2 2024","Currency=USD","Period=FQ","BEST_FPERIOD_OVERRIDE=FQ","FILING_STATUS=MR","SCALING_FORMAT=MLN","Sort=A","Dates=H","DateFormat=P","Fill=—","Direction=H","UseDPDF=Y")</f>
        <v>—</v>
      </c>
      <c r="Z49" s="13" t="str">
        <f>_xll.BDH("SRPT US Equity","IS_MA_EXPENSE_AFTER_TAX","FQ3 2024","FQ3 2024","Currency=USD","Period=FQ","BEST_FPERIOD_OVERRIDE=FQ","FILING_STATUS=MR","SCALING_FORMAT=MLN","Sort=A","Dates=H","DateFormat=P","Fill=—","Direction=H","UseDPDF=Y")</f>
        <v>—</v>
      </c>
      <c r="AA49" s="13" t="str">
        <f>_xll.BDH("SRPT US Equity","IS_MA_EXPENSE_AFTER_TAX","FQ4 2024","FQ4 2024","Currency=USD","Period=FQ","BEST_FPERIOD_OVERRIDE=FQ","FILING_STATUS=MR","SCALING_FORMAT=MLN","Sort=A","Dates=H","DateFormat=P","Fill=—","Direction=H","UseDPDF=Y")</f>
        <v>—</v>
      </c>
    </row>
    <row r="50" spans="1:27" x14ac:dyDescent="0.25">
      <c r="A50" s="10" t="s">
        <v>621</v>
      </c>
      <c r="B50" s="10" t="s">
        <v>633</v>
      </c>
      <c r="C50" s="13" t="str">
        <f>_xll.BDH("SRPT US Equity","IS_DERIVATIVES_HEDGING_AFTER_TAX","FQ4 2018","FQ4 2018","Currency=USD","Period=FQ","BEST_FPERIOD_OVERRIDE=FQ","FILING_STATUS=MR","SCALING_FORMAT=MLN","Sort=A","Dates=H","DateFormat=P","Fill=—","Direction=H","UseDPDF=Y")</f>
        <v>—</v>
      </c>
      <c r="D50" s="13" t="str">
        <f>_xll.BDH("SRPT US Equity","IS_DERIVATIVES_HEDGING_AFTER_TAX","FQ1 2019","FQ1 2019","Currency=USD","Period=FQ","BEST_FPERIOD_OVERRIDE=FQ","FILING_STATUS=MR","SCALING_FORMAT=MLN","Sort=A","Dates=H","DateFormat=P","Fill=—","Direction=H","UseDPDF=Y")</f>
        <v>—</v>
      </c>
      <c r="E50" s="13" t="str">
        <f>_xll.BDH("SRPT US Equity","IS_DERIVATIVES_HEDGING_AFTER_TAX","FQ2 2019","FQ2 2019","Currency=USD","Period=FQ","BEST_FPERIOD_OVERRIDE=FQ","FILING_STATUS=MR","SCALING_FORMAT=MLN","Sort=A","Dates=H","DateFormat=P","Fill=—","Direction=H","UseDPDF=Y")</f>
        <v>—</v>
      </c>
      <c r="F50" s="13" t="str">
        <f>_xll.BDH("SRPT US Equity","IS_DERIVATIVES_HEDGING_AFTER_TAX","FQ3 2019","FQ3 2019","Currency=USD","Period=FQ","BEST_FPERIOD_OVERRIDE=FQ","FILING_STATUS=MR","SCALING_FORMAT=MLN","Sort=A","Dates=H","DateFormat=P","Fill=—","Direction=H","UseDPDF=Y")</f>
        <v>—</v>
      </c>
      <c r="G50" s="13" t="str">
        <f>_xll.BDH("SRPT US Equity","IS_DERIVATIVES_HEDGING_AFTER_TAX","FQ4 2019","FQ4 2019","Currency=USD","Period=FQ","BEST_FPERIOD_OVERRIDE=FQ","FILING_STATUS=MR","SCALING_FORMAT=MLN","Sort=A","Dates=H","DateFormat=P","Fill=—","Direction=H","UseDPDF=Y")</f>
        <v>—</v>
      </c>
      <c r="H50" s="13" t="str">
        <f>_xll.BDH("SRPT US Equity","IS_DERIVATIVES_HEDGING_AFTER_TAX","FQ1 2020","FQ1 2020","Currency=USD","Period=FQ","BEST_FPERIOD_OVERRIDE=FQ","FILING_STATUS=MR","SCALING_FORMAT=MLN","Sort=A","Dates=H","DateFormat=P","Fill=—","Direction=H","UseDPDF=Y")</f>
        <v>—</v>
      </c>
      <c r="I50" s="13" t="str">
        <f>_xll.BDH("SRPT US Equity","IS_DERIVATIVES_HEDGING_AFTER_TAX","FQ2 2020","FQ2 2020","Currency=USD","Period=FQ","BEST_FPERIOD_OVERRIDE=FQ","FILING_STATUS=MR","SCALING_FORMAT=MLN","Sort=A","Dates=H","DateFormat=P","Fill=—","Direction=H","UseDPDF=Y")</f>
        <v>—</v>
      </c>
      <c r="J50" s="13" t="str">
        <f>_xll.BDH("SRPT US Equity","IS_DERIVATIVES_HEDGING_AFTER_TAX","FQ3 2020","FQ3 2020","Currency=USD","Period=FQ","BEST_FPERIOD_OVERRIDE=FQ","FILING_STATUS=MR","SCALING_FORMAT=MLN","Sort=A","Dates=H","DateFormat=P","Fill=—","Direction=H","UseDPDF=Y")</f>
        <v>—</v>
      </c>
      <c r="K50" s="13" t="str">
        <f>_xll.BDH("SRPT US Equity","IS_DERIVATIVES_HEDGING_AFTER_TAX","FQ4 2020","FQ4 2020","Currency=USD","Period=FQ","BEST_FPERIOD_OVERRIDE=FQ","FILING_STATUS=MR","SCALING_FORMAT=MLN","Sort=A","Dates=H","DateFormat=P","Fill=—","Direction=H","UseDPDF=Y")</f>
        <v>—</v>
      </c>
      <c r="L50" s="13" t="str">
        <f>_xll.BDH("SRPT US Equity","IS_DERIVATIVES_HEDGING_AFTER_TAX","FQ1 2021","FQ1 2021","Currency=USD","Period=FQ","BEST_FPERIOD_OVERRIDE=FQ","FILING_STATUS=MR","SCALING_FORMAT=MLN","Sort=A","Dates=H","DateFormat=P","Fill=—","Direction=H","UseDPDF=Y")</f>
        <v>—</v>
      </c>
      <c r="M50" s="13" t="str">
        <f>_xll.BDH("SRPT US Equity","IS_DERIVATIVES_HEDGING_AFTER_TAX","FQ2 2021","FQ2 2021","Currency=USD","Period=FQ","BEST_FPERIOD_OVERRIDE=FQ","FILING_STATUS=MR","SCALING_FORMAT=MLN","Sort=A","Dates=H","DateFormat=P","Fill=—","Direction=H","UseDPDF=Y")</f>
        <v>—</v>
      </c>
      <c r="N50" s="13" t="str">
        <f>_xll.BDH("SRPT US Equity","IS_DERIVATIVES_HEDGING_AFTER_TAX","FQ3 2021","FQ3 2021","Currency=USD","Period=FQ","BEST_FPERIOD_OVERRIDE=FQ","FILING_STATUS=MR","SCALING_FORMAT=MLN","Sort=A","Dates=H","DateFormat=P","Fill=—","Direction=H","UseDPDF=Y")</f>
        <v>—</v>
      </c>
      <c r="O50" s="13" t="str">
        <f>_xll.BDH("SRPT US Equity","IS_DERIVATIVES_HEDGING_AFTER_TAX","FQ4 2021","FQ4 2021","Currency=USD","Period=FQ","BEST_FPERIOD_OVERRIDE=FQ","FILING_STATUS=MR","SCALING_FORMAT=MLN","Sort=A","Dates=H","DateFormat=P","Fill=—","Direction=H","UseDPDF=Y")</f>
        <v>—</v>
      </c>
      <c r="P50" s="13" t="str">
        <f>_xll.BDH("SRPT US Equity","IS_DERIVATIVES_HEDGING_AFTER_TAX","FQ1 2022","FQ1 2022","Currency=USD","Period=FQ","BEST_FPERIOD_OVERRIDE=FQ","FILING_STATUS=MR","SCALING_FORMAT=MLN","Sort=A","Dates=H","DateFormat=P","Fill=—","Direction=H","UseDPDF=Y")</f>
        <v>—</v>
      </c>
      <c r="Q50" s="13" t="str">
        <f>_xll.BDH("SRPT US Equity","IS_DERIVATIVES_HEDGING_AFTER_TAX","FQ2 2022","FQ2 2022","Currency=USD","Period=FQ","BEST_FPERIOD_OVERRIDE=FQ","FILING_STATUS=MR","SCALING_FORMAT=MLN","Sort=A","Dates=H","DateFormat=P","Fill=—","Direction=H","UseDPDF=Y")</f>
        <v>—</v>
      </c>
      <c r="R50" s="13" t="str">
        <f>_xll.BDH("SRPT US Equity","IS_DERIVATIVES_HEDGING_AFTER_TAX","FQ3 2022","FQ3 2022","Currency=USD","Period=FQ","BEST_FPERIOD_OVERRIDE=FQ","FILING_STATUS=MR","SCALING_FORMAT=MLN","Sort=A","Dates=H","DateFormat=P","Fill=—","Direction=H","UseDPDF=Y")</f>
        <v>—</v>
      </c>
      <c r="S50" s="13" t="str">
        <f>_xll.BDH("SRPT US Equity","IS_DERIVATIVES_HEDGING_AFTER_TAX","FQ4 2022","FQ4 2022","Currency=USD","Period=FQ","BEST_FPERIOD_OVERRIDE=FQ","FILING_STATUS=MR","SCALING_FORMAT=MLN","Sort=A","Dates=H","DateFormat=P","Fill=—","Direction=H","UseDPDF=Y")</f>
        <v>—</v>
      </c>
      <c r="T50" s="13" t="str">
        <f>_xll.BDH("SRPT US Equity","IS_DERIVATIVES_HEDGING_AFTER_TAX","FQ1 2023","FQ1 2023","Currency=USD","Period=FQ","BEST_FPERIOD_OVERRIDE=FQ","FILING_STATUS=MR","SCALING_FORMAT=MLN","Sort=A","Dates=H","DateFormat=P","Fill=—","Direction=H","UseDPDF=Y")</f>
        <v>—</v>
      </c>
      <c r="U50" s="13" t="str">
        <f>_xll.BDH("SRPT US Equity","IS_DERIVATIVES_HEDGING_AFTER_TAX","FQ2 2023","FQ2 2023","Currency=USD","Period=FQ","BEST_FPERIOD_OVERRIDE=FQ","FILING_STATUS=MR","SCALING_FORMAT=MLN","Sort=A","Dates=H","DateFormat=P","Fill=—","Direction=H","UseDPDF=Y")</f>
        <v>—</v>
      </c>
      <c r="V50" s="13" t="str">
        <f>_xll.BDH("SRPT US Equity","IS_DERIVATIVES_HEDGING_AFTER_TAX","FQ3 2023","FQ3 2023","Currency=USD","Period=FQ","BEST_FPERIOD_OVERRIDE=FQ","FILING_STATUS=MR","SCALING_FORMAT=MLN","Sort=A","Dates=H","DateFormat=P","Fill=—","Direction=H","UseDPDF=Y")</f>
        <v>—</v>
      </c>
      <c r="W50" s="13" t="str">
        <f>_xll.BDH("SRPT US Equity","IS_DERIVATIVES_HEDGING_AFTER_TAX","FQ4 2023","FQ4 2023","Currency=USD","Period=FQ","BEST_FPERIOD_OVERRIDE=FQ","FILING_STATUS=MR","SCALING_FORMAT=MLN","Sort=A","Dates=H","DateFormat=P","Fill=—","Direction=H","UseDPDF=Y")</f>
        <v>—</v>
      </c>
      <c r="X50" s="13" t="str">
        <f>_xll.BDH("SRPT US Equity","IS_DERIVATIVES_HEDGING_AFTER_TAX","FQ1 2024","FQ1 2024","Currency=USD","Period=FQ","BEST_FPERIOD_OVERRIDE=FQ","FILING_STATUS=MR","SCALING_FORMAT=MLN","Sort=A","Dates=H","DateFormat=P","Fill=—","Direction=H","UseDPDF=Y")</f>
        <v>—</v>
      </c>
      <c r="Y50" s="13" t="str">
        <f>_xll.BDH("SRPT US Equity","IS_DERIVATIVES_HEDGING_AFTER_TAX","FQ2 2024","FQ2 2024","Currency=USD","Period=FQ","BEST_FPERIOD_OVERRIDE=FQ","FILING_STATUS=MR","SCALING_FORMAT=MLN","Sort=A","Dates=H","DateFormat=P","Fill=—","Direction=H","UseDPDF=Y")</f>
        <v>—</v>
      </c>
      <c r="Z50" s="13">
        <f>_xll.BDH("SRPT US Equity","IS_DERIVATIVES_HEDGING_AFTER_TAX","FQ3 2024","FQ3 2024","Currency=USD","Period=FQ","BEST_FPERIOD_OVERRIDE=FQ","FILING_STATUS=MR","SCALING_FORMAT=MLN","Sort=A","Dates=H","DateFormat=P","Fill=—","Direction=H","UseDPDF=Y")</f>
        <v>-1.3599000000000001</v>
      </c>
      <c r="AA50" s="13">
        <f>_xll.BDH("SRPT US Equity","IS_DERIVATIVES_HEDGING_AFTER_TAX","FQ4 2024","FQ4 2024","Currency=USD","Period=FQ","BEST_FPERIOD_OVERRIDE=FQ","FILING_STATUS=MR","SCALING_FORMAT=MLN","Sort=A","Dates=H","DateFormat=P","Fill=—","Direction=H","UseDPDF=Y")</f>
        <v>-0.71050000000000002</v>
      </c>
    </row>
    <row r="51" spans="1:27" x14ac:dyDescent="0.25">
      <c r="A51" s="10" t="s">
        <v>614</v>
      </c>
      <c r="B51" s="10" t="s">
        <v>634</v>
      </c>
      <c r="C51" s="13">
        <f>_xll.BDH("SRPT US Equity","IS_DISPOSAL_ASSETS_AFTER_TAX","FQ4 2018","FQ4 2018","Currency=USD","Period=FQ","BEST_FPERIOD_OVERRIDE=FQ","FILING_STATUS=MR","SCALING_FORMAT=MLN","Sort=A","Dates=H","DateFormat=P","Fill=—","Direction=H","UseDPDF=Y")</f>
        <v>3.0367999999999999</v>
      </c>
      <c r="D51" s="13">
        <f>_xll.BDH("SRPT US Equity","IS_DISPOSAL_ASSETS_AFTER_TAX","FQ1 2019","FQ1 2019","Currency=USD","Period=FQ","BEST_FPERIOD_OVERRIDE=FQ","FILING_STATUS=MR","SCALING_FORMAT=MLN","Sort=A","Dates=H","DateFormat=P","Fill=—","Direction=H","UseDPDF=Y")</f>
        <v>6.9500000000000006E-2</v>
      </c>
      <c r="E51" s="13" t="str">
        <f>_xll.BDH("SRPT US Equity","IS_DISPOSAL_ASSETS_AFTER_TAX","FQ2 2019","FQ2 2019","Currency=USD","Period=FQ","BEST_FPERIOD_OVERRIDE=FQ","FILING_STATUS=MR","SCALING_FORMAT=MLN","Sort=A","Dates=H","DateFormat=P","Fill=—","Direction=H","UseDPDF=Y")</f>
        <v>—</v>
      </c>
      <c r="F51" s="13" t="str">
        <f>_xll.BDH("SRPT US Equity","IS_DISPOSAL_ASSETS_AFTER_TAX","FQ3 2019","FQ3 2019","Currency=USD","Period=FQ","BEST_FPERIOD_OVERRIDE=FQ","FILING_STATUS=MR","SCALING_FORMAT=MLN","Sort=A","Dates=H","DateFormat=P","Fill=—","Direction=H","UseDPDF=Y")</f>
        <v>—</v>
      </c>
      <c r="G51" s="13" t="str">
        <f>_xll.BDH("SRPT US Equity","IS_DISPOSAL_ASSETS_AFTER_TAX","FQ4 2019","FQ4 2019","Currency=USD","Period=FQ","BEST_FPERIOD_OVERRIDE=FQ","FILING_STATUS=MR","SCALING_FORMAT=MLN","Sort=A","Dates=H","DateFormat=P","Fill=—","Direction=H","UseDPDF=Y")</f>
        <v>—</v>
      </c>
      <c r="H51" s="13">
        <f>_xll.BDH("SRPT US Equity","IS_DISPOSAL_ASSETS_AFTER_TAX","FQ1 2020","FQ1 2020","Currency=USD","Period=FQ","BEST_FPERIOD_OVERRIDE=FQ","FILING_STATUS=MR","SCALING_FORMAT=MLN","Sort=A","Dates=H","DateFormat=P","Fill=—","Direction=H","UseDPDF=Y")</f>
        <v>-107.8699</v>
      </c>
      <c r="I51" s="13" t="str">
        <f>_xll.BDH("SRPT US Equity","IS_DISPOSAL_ASSETS_AFTER_TAX","FQ2 2020","FQ2 2020","Currency=USD","Period=FQ","BEST_FPERIOD_OVERRIDE=FQ","FILING_STATUS=MR","SCALING_FORMAT=MLN","Sort=A","Dates=H","DateFormat=P","Fill=—","Direction=H","UseDPDF=Y")</f>
        <v>—</v>
      </c>
      <c r="J51" s="13" t="str">
        <f>_xll.BDH("SRPT US Equity","IS_DISPOSAL_ASSETS_AFTER_TAX","FQ3 2020","FQ3 2020","Currency=USD","Period=FQ","BEST_FPERIOD_OVERRIDE=FQ","FILING_STATUS=MR","SCALING_FORMAT=MLN","Sort=A","Dates=H","DateFormat=P","Fill=—","Direction=H","UseDPDF=Y")</f>
        <v>—</v>
      </c>
      <c r="K51" s="13" t="str">
        <f>_xll.BDH("SRPT US Equity","IS_DISPOSAL_ASSETS_AFTER_TAX","FQ4 2020","FQ4 2020","Currency=USD","Period=FQ","BEST_FPERIOD_OVERRIDE=FQ","FILING_STATUS=MR","SCALING_FORMAT=MLN","Sort=A","Dates=H","DateFormat=P","Fill=—","Direction=H","UseDPDF=Y")</f>
        <v>—</v>
      </c>
      <c r="L51" s="13" t="str">
        <f>_xll.BDH("SRPT US Equity","IS_DISPOSAL_ASSETS_AFTER_TAX","FQ1 2021","FQ1 2021","Currency=USD","Period=FQ","BEST_FPERIOD_OVERRIDE=FQ","FILING_STATUS=MR","SCALING_FORMAT=MLN","Sort=A","Dates=H","DateFormat=P","Fill=—","Direction=H","UseDPDF=Y")</f>
        <v>—</v>
      </c>
      <c r="M51" s="13">
        <f>_xll.BDH("SRPT US Equity","IS_DISPOSAL_ASSETS_AFTER_TAX","FQ2 2021","FQ2 2021","Currency=USD","Period=FQ","BEST_FPERIOD_OVERRIDE=FQ","FILING_STATUS=MR","SCALING_FORMAT=MLN","Sort=A","Dates=H","DateFormat=P","Fill=—","Direction=H","UseDPDF=Y")</f>
        <v>-102</v>
      </c>
      <c r="N51" s="13" t="str">
        <f>_xll.BDH("SRPT US Equity","IS_DISPOSAL_ASSETS_AFTER_TAX","FQ3 2021","FQ3 2021","Currency=USD","Period=FQ","BEST_FPERIOD_OVERRIDE=FQ","FILING_STATUS=MR","SCALING_FORMAT=MLN","Sort=A","Dates=H","DateFormat=P","Fill=—","Direction=H","UseDPDF=Y")</f>
        <v>—</v>
      </c>
      <c r="O51" s="13" t="str">
        <f>_xll.BDH("SRPT US Equity","IS_DISPOSAL_ASSETS_AFTER_TAX","FQ4 2021","FQ4 2021","Currency=USD","Period=FQ","BEST_FPERIOD_OVERRIDE=FQ","FILING_STATUS=MR","SCALING_FORMAT=MLN","Sort=A","Dates=H","DateFormat=P","Fill=—","Direction=H","UseDPDF=Y")</f>
        <v>—</v>
      </c>
      <c r="P51" s="13" t="str">
        <f>_xll.BDH("SRPT US Equity","IS_DISPOSAL_ASSETS_AFTER_TAX","FQ1 2022","FQ1 2022","Currency=USD","Period=FQ","BEST_FPERIOD_OVERRIDE=FQ","FILING_STATUS=MR","SCALING_FORMAT=MLN","Sort=A","Dates=H","DateFormat=P","Fill=—","Direction=H","UseDPDF=Y")</f>
        <v>—</v>
      </c>
      <c r="Q51" s="13" t="str">
        <f>_xll.BDH("SRPT US Equity","IS_DISPOSAL_ASSETS_AFTER_TAX","FQ2 2022","FQ2 2022","Currency=USD","Period=FQ","BEST_FPERIOD_OVERRIDE=FQ","FILING_STATUS=MR","SCALING_FORMAT=MLN","Sort=A","Dates=H","DateFormat=P","Fill=—","Direction=H","UseDPDF=Y")</f>
        <v>—</v>
      </c>
      <c r="R51" s="13" t="str">
        <f>_xll.BDH("SRPT US Equity","IS_DISPOSAL_ASSETS_AFTER_TAX","FQ3 2022","FQ3 2022","Currency=USD","Period=FQ","BEST_FPERIOD_OVERRIDE=FQ","FILING_STATUS=MR","SCALING_FORMAT=MLN","Sort=A","Dates=H","DateFormat=P","Fill=—","Direction=H","UseDPDF=Y")</f>
        <v>—</v>
      </c>
      <c r="S51" s="13" t="str">
        <f>_xll.BDH("SRPT US Equity","IS_DISPOSAL_ASSETS_AFTER_TAX","FQ4 2022","FQ4 2022","Currency=USD","Period=FQ","BEST_FPERIOD_OVERRIDE=FQ","FILING_STATUS=MR","SCALING_FORMAT=MLN","Sort=A","Dates=H","DateFormat=P","Fill=—","Direction=H","UseDPDF=Y")</f>
        <v>—</v>
      </c>
      <c r="T51" s="13" t="str">
        <f>_xll.BDH("SRPT US Equity","IS_DISPOSAL_ASSETS_AFTER_TAX","FQ1 2023","FQ1 2023","Currency=USD","Period=FQ","BEST_FPERIOD_OVERRIDE=FQ","FILING_STATUS=MR","SCALING_FORMAT=MLN","Sort=A","Dates=H","DateFormat=P","Fill=—","Direction=H","UseDPDF=Y")</f>
        <v>—</v>
      </c>
      <c r="U51" s="13">
        <f>_xll.BDH("SRPT US Equity","IS_DISPOSAL_ASSETS_AFTER_TAX","FQ2 2023","FQ2 2023","Currency=USD","Period=FQ","BEST_FPERIOD_OVERRIDE=FQ","FILING_STATUS=MR","SCALING_FORMAT=MLN","Sort=A","Dates=H","DateFormat=P","Fill=—","Direction=H","UseDPDF=Y")</f>
        <v>-80.58</v>
      </c>
      <c r="V51" s="13" t="str">
        <f>_xll.BDH("SRPT US Equity","IS_DISPOSAL_ASSETS_AFTER_TAX","FQ3 2023","FQ3 2023","Currency=USD","Period=FQ","BEST_FPERIOD_OVERRIDE=FQ","FILING_STATUS=MR","SCALING_FORMAT=MLN","Sort=A","Dates=H","DateFormat=P","Fill=—","Direction=H","UseDPDF=Y")</f>
        <v>—</v>
      </c>
      <c r="W51" s="13" t="str">
        <f>_xll.BDH("SRPT US Equity","IS_DISPOSAL_ASSETS_AFTER_TAX","FQ4 2023","FQ4 2023","Currency=USD","Period=FQ","BEST_FPERIOD_OVERRIDE=FQ","FILING_STATUS=MR","SCALING_FORMAT=MLN","Sort=A","Dates=H","DateFormat=P","Fill=—","Direction=H","UseDPDF=Y")</f>
        <v>—</v>
      </c>
      <c r="X51" s="13" t="str">
        <f>_xll.BDH("SRPT US Equity","IS_DISPOSAL_ASSETS_AFTER_TAX","FQ1 2024","FQ1 2024","Currency=USD","Period=FQ","BEST_FPERIOD_OVERRIDE=FQ","FILING_STATUS=MR","SCALING_FORMAT=MLN","Sort=A","Dates=H","DateFormat=P","Fill=—","Direction=H","UseDPDF=Y")</f>
        <v>—</v>
      </c>
      <c r="Y51" s="13" t="str">
        <f>_xll.BDH("SRPT US Equity","IS_DISPOSAL_ASSETS_AFTER_TAX","FQ2 2024","FQ2 2024","Currency=USD","Period=FQ","BEST_FPERIOD_OVERRIDE=FQ","FILING_STATUS=MR","SCALING_FORMAT=MLN","Sort=A","Dates=H","DateFormat=P","Fill=—","Direction=H","UseDPDF=Y")</f>
        <v>—</v>
      </c>
      <c r="Z51" s="13" t="str">
        <f>_xll.BDH("SRPT US Equity","IS_DISPOSAL_ASSETS_AFTER_TAX","FQ3 2024","FQ3 2024","Currency=USD","Period=FQ","BEST_FPERIOD_OVERRIDE=FQ","FILING_STATUS=MR","SCALING_FORMAT=MLN","Sort=A","Dates=H","DateFormat=P","Fill=—","Direction=H","UseDPDF=Y")</f>
        <v>—</v>
      </c>
      <c r="AA51" s="13" t="str">
        <f>_xll.BDH("SRPT US Equity","IS_DISPOSAL_ASSETS_AFTER_TAX","FQ4 2024","FQ4 2024","Currency=USD","Period=FQ","BEST_FPERIOD_OVERRIDE=FQ","FILING_STATUS=MR","SCALING_FORMAT=MLN","Sort=A","Dates=H","DateFormat=P","Fill=—","Direction=H","UseDPDF=Y")</f>
        <v>—</v>
      </c>
    </row>
    <row r="52" spans="1:27" x14ac:dyDescent="0.25">
      <c r="A52" s="10" t="s">
        <v>622</v>
      </c>
      <c r="B52" s="10" t="s">
        <v>635</v>
      </c>
      <c r="C52" s="13" t="str">
        <f>_xll.BDH("SRPT US Equity","IS_EEOD_AFTER_TAX","FQ4 2018","FQ4 2018","Currency=USD","Period=FQ","BEST_FPERIOD_OVERRIDE=FQ","FILING_STATUS=MR","SCALING_FORMAT=MLN","Sort=A","Dates=H","DateFormat=P","Fill=—","Direction=H","UseDPDF=Y")</f>
        <v>—</v>
      </c>
      <c r="D52" s="13" t="str">
        <f>_xll.BDH("SRPT US Equity","IS_EEOD_AFTER_TAX","FQ1 2019","FQ1 2019","Currency=USD","Period=FQ","BEST_FPERIOD_OVERRIDE=FQ","FILING_STATUS=MR","SCALING_FORMAT=MLN","Sort=A","Dates=H","DateFormat=P","Fill=—","Direction=H","UseDPDF=Y")</f>
        <v>—</v>
      </c>
      <c r="E52" s="13" t="str">
        <f>_xll.BDH("SRPT US Equity","IS_EEOD_AFTER_TAX","FQ2 2019","FQ2 2019","Currency=USD","Period=FQ","BEST_FPERIOD_OVERRIDE=FQ","FILING_STATUS=MR","SCALING_FORMAT=MLN","Sort=A","Dates=H","DateFormat=P","Fill=—","Direction=H","UseDPDF=Y")</f>
        <v>—</v>
      </c>
      <c r="F52" s="13" t="str">
        <f>_xll.BDH("SRPT US Equity","IS_EEOD_AFTER_TAX","FQ3 2019","FQ3 2019","Currency=USD","Period=FQ","BEST_FPERIOD_OVERRIDE=FQ","FILING_STATUS=MR","SCALING_FORMAT=MLN","Sort=A","Dates=H","DateFormat=P","Fill=—","Direction=H","UseDPDF=Y")</f>
        <v>—</v>
      </c>
      <c r="G52" s="13" t="str">
        <f>_xll.BDH("SRPT US Equity","IS_EEOD_AFTER_TAX","FQ4 2019","FQ4 2019","Currency=USD","Period=FQ","BEST_FPERIOD_OVERRIDE=FQ","FILING_STATUS=MR","SCALING_FORMAT=MLN","Sort=A","Dates=H","DateFormat=P","Fill=—","Direction=H","UseDPDF=Y")</f>
        <v>—</v>
      </c>
      <c r="H52" s="13" t="str">
        <f>_xll.BDH("SRPT US Equity","IS_EEOD_AFTER_TAX","FQ1 2020","FQ1 2020","Currency=USD","Period=FQ","BEST_FPERIOD_OVERRIDE=FQ","FILING_STATUS=MR","SCALING_FORMAT=MLN","Sort=A","Dates=H","DateFormat=P","Fill=—","Direction=H","UseDPDF=Y")</f>
        <v>—</v>
      </c>
      <c r="I52" s="13" t="str">
        <f>_xll.BDH("SRPT US Equity","IS_EEOD_AFTER_TAX","FQ2 2020","FQ2 2020","Currency=USD","Period=FQ","BEST_FPERIOD_OVERRIDE=FQ","FILING_STATUS=MR","SCALING_FORMAT=MLN","Sort=A","Dates=H","DateFormat=P","Fill=—","Direction=H","UseDPDF=Y")</f>
        <v>—</v>
      </c>
      <c r="J52" s="13" t="str">
        <f>_xll.BDH("SRPT US Equity","IS_EEOD_AFTER_TAX","FQ3 2020","FQ3 2020","Currency=USD","Period=FQ","BEST_FPERIOD_OVERRIDE=FQ","FILING_STATUS=MR","SCALING_FORMAT=MLN","Sort=A","Dates=H","DateFormat=P","Fill=—","Direction=H","UseDPDF=Y")</f>
        <v>—</v>
      </c>
      <c r="K52" s="13" t="str">
        <f>_xll.BDH("SRPT US Equity","IS_EEOD_AFTER_TAX","FQ4 2020","FQ4 2020","Currency=USD","Period=FQ","BEST_FPERIOD_OVERRIDE=FQ","FILING_STATUS=MR","SCALING_FORMAT=MLN","Sort=A","Dates=H","DateFormat=P","Fill=—","Direction=H","UseDPDF=Y")</f>
        <v>—</v>
      </c>
      <c r="L52" s="13" t="str">
        <f>_xll.BDH("SRPT US Equity","IS_EEOD_AFTER_TAX","FQ1 2021","FQ1 2021","Currency=USD","Period=FQ","BEST_FPERIOD_OVERRIDE=FQ","FILING_STATUS=MR","SCALING_FORMAT=MLN","Sort=A","Dates=H","DateFormat=P","Fill=—","Direction=H","UseDPDF=Y")</f>
        <v>—</v>
      </c>
      <c r="M52" s="13" t="str">
        <f>_xll.BDH("SRPT US Equity","IS_EEOD_AFTER_TAX","FQ2 2021","FQ2 2021","Currency=USD","Period=FQ","BEST_FPERIOD_OVERRIDE=FQ","FILING_STATUS=MR","SCALING_FORMAT=MLN","Sort=A","Dates=H","DateFormat=P","Fill=—","Direction=H","UseDPDF=Y")</f>
        <v>—</v>
      </c>
      <c r="N52" s="13" t="str">
        <f>_xll.BDH("SRPT US Equity","IS_EEOD_AFTER_TAX","FQ3 2021","FQ3 2021","Currency=USD","Period=FQ","BEST_FPERIOD_OVERRIDE=FQ","FILING_STATUS=MR","SCALING_FORMAT=MLN","Sort=A","Dates=H","DateFormat=P","Fill=—","Direction=H","UseDPDF=Y")</f>
        <v>—</v>
      </c>
      <c r="O52" s="13" t="str">
        <f>_xll.BDH("SRPT US Equity","IS_EEOD_AFTER_TAX","FQ4 2021","FQ4 2021","Currency=USD","Period=FQ","BEST_FPERIOD_OVERRIDE=FQ","FILING_STATUS=MR","SCALING_FORMAT=MLN","Sort=A","Dates=H","DateFormat=P","Fill=—","Direction=H","UseDPDF=Y")</f>
        <v>—</v>
      </c>
      <c r="P52" s="13" t="str">
        <f>_xll.BDH("SRPT US Equity","IS_EEOD_AFTER_TAX","FQ1 2022","FQ1 2022","Currency=USD","Period=FQ","BEST_FPERIOD_OVERRIDE=FQ","FILING_STATUS=MR","SCALING_FORMAT=MLN","Sort=A","Dates=H","DateFormat=P","Fill=—","Direction=H","UseDPDF=Y")</f>
        <v>—</v>
      </c>
      <c r="Q52" s="13" t="str">
        <f>_xll.BDH("SRPT US Equity","IS_EEOD_AFTER_TAX","FQ2 2022","FQ2 2022","Currency=USD","Period=FQ","BEST_FPERIOD_OVERRIDE=FQ","FILING_STATUS=MR","SCALING_FORMAT=MLN","Sort=A","Dates=H","DateFormat=P","Fill=—","Direction=H","UseDPDF=Y")</f>
        <v>—</v>
      </c>
      <c r="R52" s="13">
        <f>_xll.BDH("SRPT US Equity","IS_EEOD_AFTER_TAX","FQ3 2022","FQ3 2022","Currency=USD","Period=FQ","BEST_FPERIOD_OVERRIDE=FQ","FILING_STATUS=MR","SCALING_FORMAT=MLN","Sort=A","Dates=H","DateFormat=P","Fill=—","Direction=H","UseDPDF=Y")</f>
        <v>99.098399999999998</v>
      </c>
      <c r="S52" s="13" t="str">
        <f>_xll.BDH("SRPT US Equity","IS_EEOD_AFTER_TAX","FQ4 2022","FQ4 2022","Currency=USD","Period=FQ","BEST_FPERIOD_OVERRIDE=FQ","FILING_STATUS=MR","SCALING_FORMAT=MLN","Sort=A","Dates=H","DateFormat=P","Fill=—","Direction=H","UseDPDF=Y")</f>
        <v>—</v>
      </c>
      <c r="T52" s="13">
        <f>_xll.BDH("SRPT US Equity","IS_EEOD_AFTER_TAX","FQ1 2023","FQ1 2023","Currency=USD","Period=FQ","BEST_FPERIOD_OVERRIDE=FQ","FILING_STATUS=MR","SCALING_FORMAT=MLN","Sort=A","Dates=H","DateFormat=P","Fill=—","Direction=H","UseDPDF=Y")</f>
        <v>305.98989999999998</v>
      </c>
      <c r="U52" s="13" t="str">
        <f>_xll.BDH("SRPT US Equity","IS_EEOD_AFTER_TAX","FQ2 2023","FQ2 2023","Currency=USD","Period=FQ","BEST_FPERIOD_OVERRIDE=FQ","FILING_STATUS=MR","SCALING_FORMAT=MLN","Sort=A","Dates=H","DateFormat=P","Fill=—","Direction=H","UseDPDF=Y")</f>
        <v>—</v>
      </c>
      <c r="V52" s="13" t="str">
        <f>_xll.BDH("SRPT US Equity","IS_EEOD_AFTER_TAX","FQ3 2023","FQ3 2023","Currency=USD","Period=FQ","BEST_FPERIOD_OVERRIDE=FQ","FILING_STATUS=MR","SCALING_FORMAT=MLN","Sort=A","Dates=H","DateFormat=P","Fill=—","Direction=H","UseDPDF=Y")</f>
        <v>—</v>
      </c>
      <c r="W52" s="13" t="str">
        <f>_xll.BDH("SRPT US Equity","IS_EEOD_AFTER_TAX","FQ4 2023","FQ4 2023","Currency=USD","Period=FQ","BEST_FPERIOD_OVERRIDE=FQ","FILING_STATUS=MR","SCALING_FORMAT=MLN","Sort=A","Dates=H","DateFormat=P","Fill=—","Direction=H","UseDPDF=Y")</f>
        <v>—</v>
      </c>
      <c r="X52" s="13" t="str">
        <f>_xll.BDH("SRPT US Equity","IS_EEOD_AFTER_TAX","FQ1 2024","FQ1 2024","Currency=USD","Period=FQ","BEST_FPERIOD_OVERRIDE=FQ","FILING_STATUS=MR","SCALING_FORMAT=MLN","Sort=A","Dates=H","DateFormat=P","Fill=—","Direction=H","UseDPDF=Y")</f>
        <v>—</v>
      </c>
      <c r="Y52" s="13" t="str">
        <f>_xll.BDH("SRPT US Equity","IS_EEOD_AFTER_TAX","FQ2 2024","FQ2 2024","Currency=USD","Period=FQ","BEST_FPERIOD_OVERRIDE=FQ","FILING_STATUS=MR","SCALING_FORMAT=MLN","Sort=A","Dates=H","DateFormat=P","Fill=—","Direction=H","UseDPDF=Y")</f>
        <v>—</v>
      </c>
      <c r="Z52" s="13" t="str">
        <f>_xll.BDH("SRPT US Equity","IS_EEOD_AFTER_TAX","FQ3 2024","FQ3 2024","Currency=USD","Period=FQ","BEST_FPERIOD_OVERRIDE=FQ","FILING_STATUS=MR","SCALING_FORMAT=MLN","Sort=A","Dates=H","DateFormat=P","Fill=—","Direction=H","UseDPDF=Y")</f>
        <v>—</v>
      </c>
      <c r="AA52" s="13" t="str">
        <f>_xll.BDH("SRPT US Equity","IS_EEOD_AFTER_TAX","FQ4 2024","FQ4 2024","Currency=USD","Period=FQ","BEST_FPERIOD_OVERRIDE=FQ","FILING_STATUS=MR","SCALING_FORMAT=MLN","Sort=A","Dates=H","DateFormat=P","Fill=—","Direction=H","UseDPDF=Y")</f>
        <v>—</v>
      </c>
    </row>
    <row r="53" spans="1:27" x14ac:dyDescent="0.25">
      <c r="A53" s="10" t="s">
        <v>623</v>
      </c>
      <c r="B53" s="10" t="s">
        <v>636</v>
      </c>
      <c r="C53" s="13" t="str">
        <f>_xll.BDH("SRPT US Equity","IS_WRTOFF_IMPAIR_ASSET_AFTER_TAX","FQ4 2018","FQ4 2018","Currency=USD","Period=FQ","BEST_FPERIOD_OVERRIDE=FQ","FILING_STATUS=MR","SCALING_FORMAT=MLN","Sort=A","Dates=H","DateFormat=P","Fill=—","Direction=H","UseDPDF=Y")</f>
        <v>—</v>
      </c>
      <c r="D53" s="13" t="str">
        <f>_xll.BDH("SRPT US Equity","IS_WRTOFF_IMPAIR_ASSET_AFTER_TAX","FQ1 2019","FQ1 2019","Currency=USD","Period=FQ","BEST_FPERIOD_OVERRIDE=FQ","FILING_STATUS=MR","SCALING_FORMAT=MLN","Sort=A","Dates=H","DateFormat=P","Fill=—","Direction=H","UseDPDF=Y")</f>
        <v>—</v>
      </c>
      <c r="E53" s="13" t="str">
        <f>_xll.BDH("SRPT US Equity","IS_WRTOFF_IMPAIR_ASSET_AFTER_TAX","FQ2 2019","FQ2 2019","Currency=USD","Period=FQ","BEST_FPERIOD_OVERRIDE=FQ","FILING_STATUS=MR","SCALING_FORMAT=MLN","Sort=A","Dates=H","DateFormat=P","Fill=—","Direction=H","UseDPDF=Y")</f>
        <v>—</v>
      </c>
      <c r="F53" s="13" t="str">
        <f>_xll.BDH("SRPT US Equity","IS_WRTOFF_IMPAIR_ASSET_AFTER_TAX","FQ3 2019","FQ3 2019","Currency=USD","Period=FQ","BEST_FPERIOD_OVERRIDE=FQ","FILING_STATUS=MR","SCALING_FORMAT=MLN","Sort=A","Dates=H","DateFormat=P","Fill=—","Direction=H","UseDPDF=Y")</f>
        <v>—</v>
      </c>
      <c r="G53" s="13" t="str">
        <f>_xll.BDH("SRPT US Equity","IS_WRTOFF_IMPAIR_ASSET_AFTER_TAX","FQ4 2019","FQ4 2019","Currency=USD","Period=FQ","BEST_FPERIOD_OVERRIDE=FQ","FILING_STATUS=MR","SCALING_FORMAT=MLN","Sort=A","Dates=H","DateFormat=P","Fill=—","Direction=H","UseDPDF=Y")</f>
        <v>—</v>
      </c>
      <c r="H53" s="13" t="str">
        <f>_xll.BDH("SRPT US Equity","IS_WRTOFF_IMPAIR_ASSET_AFTER_TAX","FQ1 2020","FQ1 2020","Currency=USD","Period=FQ","BEST_FPERIOD_OVERRIDE=FQ","FILING_STATUS=MR","SCALING_FORMAT=MLN","Sort=A","Dates=H","DateFormat=P","Fill=—","Direction=H","UseDPDF=Y")</f>
        <v>—</v>
      </c>
      <c r="I53" s="13" t="str">
        <f>_xll.BDH("SRPT US Equity","IS_WRTOFF_IMPAIR_ASSET_AFTER_TAX","FQ2 2020","FQ2 2020","Currency=USD","Period=FQ","BEST_FPERIOD_OVERRIDE=FQ","FILING_STATUS=MR","SCALING_FORMAT=MLN","Sort=A","Dates=H","DateFormat=P","Fill=—","Direction=H","UseDPDF=Y")</f>
        <v>—</v>
      </c>
      <c r="J53" s="13" t="str">
        <f>_xll.BDH("SRPT US Equity","IS_WRTOFF_IMPAIR_ASSET_AFTER_TAX","FQ3 2020","FQ3 2020","Currency=USD","Period=FQ","BEST_FPERIOD_OVERRIDE=FQ","FILING_STATUS=MR","SCALING_FORMAT=MLN","Sort=A","Dates=H","DateFormat=P","Fill=—","Direction=H","UseDPDF=Y")</f>
        <v>—</v>
      </c>
      <c r="K53" s="13" t="str">
        <f>_xll.BDH("SRPT US Equity","IS_WRTOFF_IMPAIR_ASSET_AFTER_TAX","FQ4 2020","FQ4 2020","Currency=USD","Period=FQ","BEST_FPERIOD_OVERRIDE=FQ","FILING_STATUS=MR","SCALING_FORMAT=MLN","Sort=A","Dates=H","DateFormat=P","Fill=—","Direction=H","UseDPDF=Y")</f>
        <v>—</v>
      </c>
      <c r="L53" s="13" t="str">
        <f>_xll.BDH("SRPT US Equity","IS_WRTOFF_IMPAIR_ASSET_AFTER_TAX","FQ1 2021","FQ1 2021","Currency=USD","Period=FQ","BEST_FPERIOD_OVERRIDE=FQ","FILING_STATUS=MR","SCALING_FORMAT=MLN","Sort=A","Dates=H","DateFormat=P","Fill=—","Direction=H","UseDPDF=Y")</f>
        <v>—</v>
      </c>
      <c r="M53" s="13" t="str">
        <f>_xll.BDH("SRPT US Equity","IS_WRTOFF_IMPAIR_ASSET_AFTER_TAX","FQ2 2021","FQ2 2021","Currency=USD","Period=FQ","BEST_FPERIOD_OVERRIDE=FQ","FILING_STATUS=MR","SCALING_FORMAT=MLN","Sort=A","Dates=H","DateFormat=P","Fill=—","Direction=H","UseDPDF=Y")</f>
        <v>—</v>
      </c>
      <c r="N53" s="13">
        <f>_xll.BDH("SRPT US Equity","IS_WRTOFF_IMPAIR_ASSET_AFTER_TAX","FQ3 2021","FQ3 2021","Currency=USD","Period=FQ","BEST_FPERIOD_OVERRIDE=FQ","FILING_STATUS=MR","SCALING_FORMAT=MLN","Sort=A","Dates=H","DateFormat=P","Fill=—","Direction=H","UseDPDF=Y")</f>
        <v>3.5455000000000001</v>
      </c>
      <c r="O53" s="13" t="str">
        <f>_xll.BDH("SRPT US Equity","IS_WRTOFF_IMPAIR_ASSET_AFTER_TAX","FQ4 2021","FQ4 2021","Currency=USD","Period=FQ","BEST_FPERIOD_OVERRIDE=FQ","FILING_STATUS=MR","SCALING_FORMAT=MLN","Sort=A","Dates=H","DateFormat=P","Fill=—","Direction=H","UseDPDF=Y")</f>
        <v>—</v>
      </c>
      <c r="P53" s="13" t="str">
        <f>_xll.BDH("SRPT US Equity","IS_WRTOFF_IMPAIR_ASSET_AFTER_TAX","FQ1 2022","FQ1 2022","Currency=USD","Period=FQ","BEST_FPERIOD_OVERRIDE=FQ","FILING_STATUS=MR","SCALING_FORMAT=MLN","Sort=A","Dates=H","DateFormat=P","Fill=—","Direction=H","UseDPDF=Y")</f>
        <v>—</v>
      </c>
      <c r="Q53" s="13" t="str">
        <f>_xll.BDH("SRPT US Equity","IS_WRTOFF_IMPAIR_ASSET_AFTER_TAX","FQ2 2022","FQ2 2022","Currency=USD","Period=FQ","BEST_FPERIOD_OVERRIDE=FQ","FILING_STATUS=MR","SCALING_FORMAT=MLN","Sort=A","Dates=H","DateFormat=P","Fill=—","Direction=H","UseDPDF=Y")</f>
        <v>—</v>
      </c>
      <c r="R53" s="13" t="str">
        <f>_xll.BDH("SRPT US Equity","IS_WRTOFF_IMPAIR_ASSET_AFTER_TAX","FQ3 2022","FQ3 2022","Currency=USD","Period=FQ","BEST_FPERIOD_OVERRIDE=FQ","FILING_STATUS=MR","SCALING_FORMAT=MLN","Sort=A","Dates=H","DateFormat=P","Fill=—","Direction=H","UseDPDF=Y")</f>
        <v>—</v>
      </c>
      <c r="S53" s="13" t="str">
        <f>_xll.BDH("SRPT US Equity","IS_WRTOFF_IMPAIR_ASSET_AFTER_TAX","FQ4 2022","FQ4 2022","Currency=USD","Period=FQ","BEST_FPERIOD_OVERRIDE=FQ","FILING_STATUS=MR","SCALING_FORMAT=MLN","Sort=A","Dates=H","DateFormat=P","Fill=—","Direction=H","UseDPDF=Y")</f>
        <v>—</v>
      </c>
      <c r="T53" s="13" t="str">
        <f>_xll.BDH("SRPT US Equity","IS_WRTOFF_IMPAIR_ASSET_AFTER_TAX","FQ1 2023","FQ1 2023","Currency=USD","Period=FQ","BEST_FPERIOD_OVERRIDE=FQ","FILING_STATUS=MR","SCALING_FORMAT=MLN","Sort=A","Dates=H","DateFormat=P","Fill=—","Direction=H","UseDPDF=Y")</f>
        <v>—</v>
      </c>
      <c r="U53" s="13" t="str">
        <f>_xll.BDH("SRPT US Equity","IS_WRTOFF_IMPAIR_ASSET_AFTER_TAX","FQ2 2023","FQ2 2023","Currency=USD","Period=FQ","BEST_FPERIOD_OVERRIDE=FQ","FILING_STATUS=MR","SCALING_FORMAT=MLN","Sort=A","Dates=H","DateFormat=P","Fill=—","Direction=H","UseDPDF=Y")</f>
        <v>—</v>
      </c>
      <c r="V53" s="13" t="str">
        <f>_xll.BDH("SRPT US Equity","IS_WRTOFF_IMPAIR_ASSET_AFTER_TAX","FQ3 2023","FQ3 2023","Currency=USD","Period=FQ","BEST_FPERIOD_OVERRIDE=FQ","FILING_STATUS=MR","SCALING_FORMAT=MLN","Sort=A","Dates=H","DateFormat=P","Fill=—","Direction=H","UseDPDF=Y")</f>
        <v>—</v>
      </c>
      <c r="W53" s="13" t="str">
        <f>_xll.BDH("SRPT US Equity","IS_WRTOFF_IMPAIR_ASSET_AFTER_TAX","FQ4 2023","FQ4 2023","Currency=USD","Period=FQ","BEST_FPERIOD_OVERRIDE=FQ","FILING_STATUS=MR","SCALING_FORMAT=MLN","Sort=A","Dates=H","DateFormat=P","Fill=—","Direction=H","UseDPDF=Y")</f>
        <v>—</v>
      </c>
      <c r="X53" s="13" t="str">
        <f>_xll.BDH("SRPT US Equity","IS_WRTOFF_IMPAIR_ASSET_AFTER_TAX","FQ1 2024","FQ1 2024","Currency=USD","Period=FQ","BEST_FPERIOD_OVERRIDE=FQ","FILING_STATUS=MR","SCALING_FORMAT=MLN","Sort=A","Dates=H","DateFormat=P","Fill=—","Direction=H","UseDPDF=Y")</f>
        <v>—</v>
      </c>
      <c r="Y53" s="13" t="str">
        <f>_xll.BDH("SRPT US Equity","IS_WRTOFF_IMPAIR_ASSET_AFTER_TAX","FQ2 2024","FQ2 2024","Currency=USD","Period=FQ","BEST_FPERIOD_OVERRIDE=FQ","FILING_STATUS=MR","SCALING_FORMAT=MLN","Sort=A","Dates=H","DateFormat=P","Fill=—","Direction=H","UseDPDF=Y")</f>
        <v>—</v>
      </c>
      <c r="Z53" s="13" t="str">
        <f>_xll.BDH("SRPT US Equity","IS_WRTOFF_IMPAIR_ASSET_AFTER_TAX","FQ3 2024","FQ3 2024","Currency=USD","Period=FQ","BEST_FPERIOD_OVERRIDE=FQ","FILING_STATUS=MR","SCALING_FORMAT=MLN","Sort=A","Dates=H","DateFormat=P","Fill=—","Direction=H","UseDPDF=Y")</f>
        <v>—</v>
      </c>
      <c r="AA53" s="13" t="str">
        <f>_xll.BDH("SRPT US Equity","IS_WRTOFF_IMPAIR_ASSET_AFTER_TAX","FQ4 2024","FQ4 2024","Currency=USD","Period=FQ","BEST_FPERIOD_OVERRIDE=FQ","FILING_STATUS=MR","SCALING_FORMAT=MLN","Sort=A","Dates=H","DateFormat=P","Fill=—","Direction=H","UseDPDF=Y")</f>
        <v>—</v>
      </c>
    </row>
    <row r="54" spans="1:27" x14ac:dyDescent="0.25">
      <c r="A54" s="10" t="s">
        <v>616</v>
      </c>
      <c r="B54" s="10" t="s">
        <v>637</v>
      </c>
      <c r="C54" s="13" t="str">
        <f>_xll.BDH("SRPT US Equity","IS_LEGAL_LITIG_SETTLE_AFTER_TAX","FQ4 2018","FQ4 2018","Currency=USD","Period=FQ","BEST_FPERIOD_OVERRIDE=FQ","FILING_STATUS=MR","SCALING_FORMAT=MLN","Sort=A","Dates=H","DateFormat=P","Fill=—","Direction=H","UseDPDF=Y")</f>
        <v>—</v>
      </c>
      <c r="D54" s="13" t="str">
        <f>_xll.BDH("SRPT US Equity","IS_LEGAL_LITIG_SETTLE_AFTER_TAX","FQ1 2019","FQ1 2019","Currency=USD","Period=FQ","BEST_FPERIOD_OVERRIDE=FQ","FILING_STATUS=MR","SCALING_FORMAT=MLN","Sort=A","Dates=H","DateFormat=P","Fill=—","Direction=H","UseDPDF=Y")</f>
        <v>—</v>
      </c>
      <c r="E54" s="13" t="str">
        <f>_xll.BDH("SRPT US Equity","IS_LEGAL_LITIG_SETTLE_AFTER_TAX","FQ2 2019","FQ2 2019","Currency=USD","Period=FQ","BEST_FPERIOD_OVERRIDE=FQ","FILING_STATUS=MR","SCALING_FORMAT=MLN","Sort=A","Dates=H","DateFormat=P","Fill=—","Direction=H","UseDPDF=Y")</f>
        <v>—</v>
      </c>
      <c r="F54" s="13" t="str">
        <f>_xll.BDH("SRPT US Equity","IS_LEGAL_LITIG_SETTLE_AFTER_TAX","FQ3 2019","FQ3 2019","Currency=USD","Period=FQ","BEST_FPERIOD_OVERRIDE=FQ","FILING_STATUS=MR","SCALING_FORMAT=MLN","Sort=A","Dates=H","DateFormat=P","Fill=—","Direction=H","UseDPDF=Y")</f>
        <v>—</v>
      </c>
      <c r="G54" s="13">
        <f>_xll.BDH("SRPT US Equity","IS_LEGAL_LITIG_SETTLE_AFTER_TAX","FQ4 2019","FQ4 2019","Currency=USD","Period=FQ","BEST_FPERIOD_OVERRIDE=FQ","FILING_STATUS=MR","SCALING_FORMAT=MLN","Sort=A","Dates=H","DateFormat=P","Fill=—","Direction=H","UseDPDF=Y")</f>
        <v>7.9</v>
      </c>
      <c r="H54" s="13" t="str">
        <f>_xll.BDH("SRPT US Equity","IS_LEGAL_LITIG_SETTLE_AFTER_TAX","FQ1 2020","FQ1 2020","Currency=USD","Period=FQ","BEST_FPERIOD_OVERRIDE=FQ","FILING_STATUS=MR","SCALING_FORMAT=MLN","Sort=A","Dates=H","DateFormat=P","Fill=—","Direction=H","UseDPDF=Y")</f>
        <v>—</v>
      </c>
      <c r="I54" s="13" t="str">
        <f>_xll.BDH("SRPT US Equity","IS_LEGAL_LITIG_SETTLE_AFTER_TAX","FQ2 2020","FQ2 2020","Currency=USD","Period=FQ","BEST_FPERIOD_OVERRIDE=FQ","FILING_STATUS=MR","SCALING_FORMAT=MLN","Sort=A","Dates=H","DateFormat=P","Fill=—","Direction=H","UseDPDF=Y")</f>
        <v>—</v>
      </c>
      <c r="J54" s="13" t="str">
        <f>_xll.BDH("SRPT US Equity","IS_LEGAL_LITIG_SETTLE_AFTER_TAX","FQ3 2020","FQ3 2020","Currency=USD","Period=FQ","BEST_FPERIOD_OVERRIDE=FQ","FILING_STATUS=MR","SCALING_FORMAT=MLN","Sort=A","Dates=H","DateFormat=P","Fill=—","Direction=H","UseDPDF=Y")</f>
        <v>—</v>
      </c>
      <c r="K54" s="13" t="str">
        <f>_xll.BDH("SRPT US Equity","IS_LEGAL_LITIG_SETTLE_AFTER_TAX","FQ4 2020","FQ4 2020","Currency=USD","Period=FQ","BEST_FPERIOD_OVERRIDE=FQ","FILING_STATUS=MR","SCALING_FORMAT=MLN","Sort=A","Dates=H","DateFormat=P","Fill=—","Direction=H","UseDPDF=Y")</f>
        <v>—</v>
      </c>
      <c r="L54" s="13">
        <f>_xll.BDH("SRPT US Equity","IS_LEGAL_LITIG_SETTLE_AFTER_TAX","FQ1 2021","FQ1 2021","Currency=USD","Period=FQ","BEST_FPERIOD_OVERRIDE=FQ","FILING_STATUS=MR","SCALING_FORMAT=MLN","Sort=A","Dates=H","DateFormat=P","Fill=—","Direction=H","UseDPDF=Y")</f>
        <v>9.9680999999999997</v>
      </c>
      <c r="M54" s="13" t="str">
        <f>_xll.BDH("SRPT US Equity","IS_LEGAL_LITIG_SETTLE_AFTER_TAX","FQ2 2021","FQ2 2021","Currency=USD","Period=FQ","BEST_FPERIOD_OVERRIDE=FQ","FILING_STATUS=MR","SCALING_FORMAT=MLN","Sort=A","Dates=H","DateFormat=P","Fill=—","Direction=H","UseDPDF=Y")</f>
        <v>—</v>
      </c>
      <c r="N54" s="13" t="str">
        <f>_xll.BDH("SRPT US Equity","IS_LEGAL_LITIG_SETTLE_AFTER_TAX","FQ3 2021","FQ3 2021","Currency=USD","Period=FQ","BEST_FPERIOD_OVERRIDE=FQ","FILING_STATUS=MR","SCALING_FORMAT=MLN","Sort=A","Dates=H","DateFormat=P","Fill=—","Direction=H","UseDPDF=Y")</f>
        <v>—</v>
      </c>
      <c r="O54" s="13" t="str">
        <f>_xll.BDH("SRPT US Equity","IS_LEGAL_LITIG_SETTLE_AFTER_TAX","FQ4 2021","FQ4 2021","Currency=USD","Period=FQ","BEST_FPERIOD_OVERRIDE=FQ","FILING_STATUS=MR","SCALING_FORMAT=MLN","Sort=A","Dates=H","DateFormat=P","Fill=—","Direction=H","UseDPDF=Y")</f>
        <v>—</v>
      </c>
      <c r="P54" s="13" t="str">
        <f>_xll.BDH("SRPT US Equity","IS_LEGAL_LITIG_SETTLE_AFTER_TAX","FQ1 2022","FQ1 2022","Currency=USD","Period=FQ","BEST_FPERIOD_OVERRIDE=FQ","FILING_STATUS=MR","SCALING_FORMAT=MLN","Sort=A","Dates=H","DateFormat=P","Fill=—","Direction=H","UseDPDF=Y")</f>
        <v>—</v>
      </c>
      <c r="Q54" s="13" t="str">
        <f>_xll.BDH("SRPT US Equity","IS_LEGAL_LITIG_SETTLE_AFTER_TAX","FQ2 2022","FQ2 2022","Currency=USD","Period=FQ","BEST_FPERIOD_OVERRIDE=FQ","FILING_STATUS=MR","SCALING_FORMAT=MLN","Sort=A","Dates=H","DateFormat=P","Fill=—","Direction=H","UseDPDF=Y")</f>
        <v>—</v>
      </c>
      <c r="R54" s="13" t="str">
        <f>_xll.BDH("SRPT US Equity","IS_LEGAL_LITIG_SETTLE_AFTER_TAX","FQ3 2022","FQ3 2022","Currency=USD","Period=FQ","BEST_FPERIOD_OVERRIDE=FQ","FILING_STATUS=MR","SCALING_FORMAT=MLN","Sort=A","Dates=H","DateFormat=P","Fill=—","Direction=H","UseDPDF=Y")</f>
        <v>—</v>
      </c>
      <c r="S54" s="13" t="str">
        <f>_xll.BDH("SRPT US Equity","IS_LEGAL_LITIG_SETTLE_AFTER_TAX","FQ4 2022","FQ4 2022","Currency=USD","Period=FQ","BEST_FPERIOD_OVERRIDE=FQ","FILING_STATUS=MR","SCALING_FORMAT=MLN","Sort=A","Dates=H","DateFormat=P","Fill=—","Direction=H","UseDPDF=Y")</f>
        <v>—</v>
      </c>
      <c r="T54" s="13" t="str">
        <f>_xll.BDH("SRPT US Equity","IS_LEGAL_LITIG_SETTLE_AFTER_TAX","FQ1 2023","FQ1 2023","Currency=USD","Period=FQ","BEST_FPERIOD_OVERRIDE=FQ","FILING_STATUS=MR","SCALING_FORMAT=MLN","Sort=A","Dates=H","DateFormat=P","Fill=—","Direction=H","UseDPDF=Y")</f>
        <v>—</v>
      </c>
      <c r="U54" s="13" t="str">
        <f>_xll.BDH("SRPT US Equity","IS_LEGAL_LITIG_SETTLE_AFTER_TAX","FQ2 2023","FQ2 2023","Currency=USD","Period=FQ","BEST_FPERIOD_OVERRIDE=FQ","FILING_STATUS=MR","SCALING_FORMAT=MLN","Sort=A","Dates=H","DateFormat=P","Fill=—","Direction=H","UseDPDF=Y")</f>
        <v>—</v>
      </c>
      <c r="V54" s="13" t="str">
        <f>_xll.BDH("SRPT US Equity","IS_LEGAL_LITIG_SETTLE_AFTER_TAX","FQ3 2023","FQ3 2023","Currency=USD","Period=FQ","BEST_FPERIOD_OVERRIDE=FQ","FILING_STATUS=MR","SCALING_FORMAT=MLN","Sort=A","Dates=H","DateFormat=P","Fill=—","Direction=H","UseDPDF=Y")</f>
        <v>—</v>
      </c>
      <c r="W54" s="13" t="str">
        <f>_xll.BDH("SRPT US Equity","IS_LEGAL_LITIG_SETTLE_AFTER_TAX","FQ4 2023","FQ4 2023","Currency=USD","Period=FQ","BEST_FPERIOD_OVERRIDE=FQ","FILING_STATUS=MR","SCALING_FORMAT=MLN","Sort=A","Dates=H","DateFormat=P","Fill=—","Direction=H","UseDPDF=Y")</f>
        <v>—</v>
      </c>
      <c r="X54" s="13" t="str">
        <f>_xll.BDH("SRPT US Equity","IS_LEGAL_LITIG_SETTLE_AFTER_TAX","FQ1 2024","FQ1 2024","Currency=USD","Period=FQ","BEST_FPERIOD_OVERRIDE=FQ","FILING_STATUS=MR","SCALING_FORMAT=MLN","Sort=A","Dates=H","DateFormat=P","Fill=—","Direction=H","UseDPDF=Y")</f>
        <v>—</v>
      </c>
      <c r="Y54" s="13" t="str">
        <f>_xll.BDH("SRPT US Equity","IS_LEGAL_LITIG_SETTLE_AFTER_TAX","FQ2 2024","FQ2 2024","Currency=USD","Period=FQ","BEST_FPERIOD_OVERRIDE=FQ","FILING_STATUS=MR","SCALING_FORMAT=MLN","Sort=A","Dates=H","DateFormat=P","Fill=—","Direction=H","UseDPDF=Y")</f>
        <v>—</v>
      </c>
      <c r="Z54" s="13" t="str">
        <f>_xll.BDH("SRPT US Equity","IS_LEGAL_LITIG_SETTLE_AFTER_TAX","FQ3 2024","FQ3 2024","Currency=USD","Period=FQ","BEST_FPERIOD_OVERRIDE=FQ","FILING_STATUS=MR","SCALING_FORMAT=MLN","Sort=A","Dates=H","DateFormat=P","Fill=—","Direction=H","UseDPDF=Y")</f>
        <v>—</v>
      </c>
      <c r="AA54" s="13" t="str">
        <f>_xll.BDH("SRPT US Equity","IS_LEGAL_LITIG_SETTLE_AFTER_TAX","FQ4 2024","FQ4 2024","Currency=USD","Period=FQ","BEST_FPERIOD_OVERRIDE=FQ","FILING_STATUS=MR","SCALING_FORMAT=MLN","Sort=A","Dates=H","DateFormat=P","Fill=—","Direction=H","UseDPDF=Y")</f>
        <v>—</v>
      </c>
    </row>
    <row r="55" spans="1:27" x14ac:dyDescent="0.25">
      <c r="A55" s="10" t="s">
        <v>624</v>
      </c>
      <c r="B55" s="10" t="s">
        <v>638</v>
      </c>
      <c r="C55" s="13" t="str">
        <f>_xll.BDH("SRPT US Equity","IS_UNREALIZED_INVEST_AFT_TAX","FQ4 2018","FQ4 2018","Currency=USD","Period=FQ","BEST_FPERIOD_OVERRIDE=FQ","FILING_STATUS=MR","SCALING_FORMAT=MLN","Sort=A","Dates=H","DateFormat=P","Fill=—","Direction=H","UseDPDF=Y")</f>
        <v>—</v>
      </c>
      <c r="D55" s="13" t="str">
        <f>_xll.BDH("SRPT US Equity","IS_UNREALIZED_INVEST_AFT_TAX","FQ1 2019","FQ1 2019","Currency=USD","Period=FQ","BEST_FPERIOD_OVERRIDE=FQ","FILING_STATUS=MR","SCALING_FORMAT=MLN","Sort=A","Dates=H","DateFormat=P","Fill=—","Direction=H","UseDPDF=Y")</f>
        <v>—</v>
      </c>
      <c r="E55" s="13" t="str">
        <f>_xll.BDH("SRPT US Equity","IS_UNREALIZED_INVEST_AFT_TAX","FQ2 2019","FQ2 2019","Currency=USD","Period=FQ","BEST_FPERIOD_OVERRIDE=FQ","FILING_STATUS=MR","SCALING_FORMAT=MLN","Sort=A","Dates=H","DateFormat=P","Fill=—","Direction=H","UseDPDF=Y")</f>
        <v>—</v>
      </c>
      <c r="F55" s="13" t="str">
        <f>_xll.BDH("SRPT US Equity","IS_UNREALIZED_INVEST_AFT_TAX","FQ3 2019","FQ3 2019","Currency=USD","Period=FQ","BEST_FPERIOD_OVERRIDE=FQ","FILING_STATUS=MR","SCALING_FORMAT=MLN","Sort=A","Dates=H","DateFormat=P","Fill=—","Direction=H","UseDPDF=Y")</f>
        <v>—</v>
      </c>
      <c r="G55" s="13" t="str">
        <f>_xll.BDH("SRPT US Equity","IS_UNREALIZED_INVEST_AFT_TAX","FQ4 2019","FQ4 2019","Currency=USD","Period=FQ","BEST_FPERIOD_OVERRIDE=FQ","FILING_STATUS=MR","SCALING_FORMAT=MLN","Sort=A","Dates=H","DateFormat=P","Fill=—","Direction=H","UseDPDF=Y")</f>
        <v>—</v>
      </c>
      <c r="H55" s="13" t="str">
        <f>_xll.BDH("SRPT US Equity","IS_UNREALIZED_INVEST_AFT_TAX","FQ1 2020","FQ1 2020","Currency=USD","Period=FQ","BEST_FPERIOD_OVERRIDE=FQ","FILING_STATUS=MR","SCALING_FORMAT=MLN","Sort=A","Dates=H","DateFormat=P","Fill=—","Direction=H","UseDPDF=Y")</f>
        <v>—</v>
      </c>
      <c r="I55" s="13" t="str">
        <f>_xll.BDH("SRPT US Equity","IS_UNREALIZED_INVEST_AFT_TAX","FQ2 2020","FQ2 2020","Currency=USD","Period=FQ","BEST_FPERIOD_OVERRIDE=FQ","FILING_STATUS=MR","SCALING_FORMAT=MLN","Sort=A","Dates=H","DateFormat=P","Fill=—","Direction=H","UseDPDF=Y")</f>
        <v>—</v>
      </c>
      <c r="J55" s="13" t="str">
        <f>_xll.BDH("SRPT US Equity","IS_UNREALIZED_INVEST_AFT_TAX","FQ3 2020","FQ3 2020","Currency=USD","Period=FQ","BEST_FPERIOD_OVERRIDE=FQ","FILING_STATUS=MR","SCALING_FORMAT=MLN","Sort=A","Dates=H","DateFormat=P","Fill=—","Direction=H","UseDPDF=Y")</f>
        <v>—</v>
      </c>
      <c r="K55" s="13" t="str">
        <f>_xll.BDH("SRPT US Equity","IS_UNREALIZED_INVEST_AFT_TAX","FQ4 2020","FQ4 2020","Currency=USD","Period=FQ","BEST_FPERIOD_OVERRIDE=FQ","FILING_STATUS=MR","SCALING_FORMAT=MLN","Sort=A","Dates=H","DateFormat=P","Fill=—","Direction=H","UseDPDF=Y")</f>
        <v>—</v>
      </c>
      <c r="L55" s="13" t="str">
        <f>_xll.BDH("SRPT US Equity","IS_UNREALIZED_INVEST_AFT_TAX","FQ1 2021","FQ1 2021","Currency=USD","Period=FQ","BEST_FPERIOD_OVERRIDE=FQ","FILING_STATUS=MR","SCALING_FORMAT=MLN","Sort=A","Dates=H","DateFormat=P","Fill=—","Direction=H","UseDPDF=Y")</f>
        <v>—</v>
      </c>
      <c r="M55" s="13" t="str">
        <f>_xll.BDH("SRPT US Equity","IS_UNREALIZED_INVEST_AFT_TAX","FQ2 2021","FQ2 2021","Currency=USD","Period=FQ","BEST_FPERIOD_OVERRIDE=FQ","FILING_STATUS=MR","SCALING_FORMAT=MLN","Sort=A","Dates=H","DateFormat=P","Fill=—","Direction=H","UseDPDF=Y")</f>
        <v>—</v>
      </c>
      <c r="N55" s="13" t="str">
        <f>_xll.BDH("SRPT US Equity","IS_UNREALIZED_INVEST_AFT_TAX","FQ3 2021","FQ3 2021","Currency=USD","Period=FQ","BEST_FPERIOD_OVERRIDE=FQ","FILING_STATUS=MR","SCALING_FORMAT=MLN","Sort=A","Dates=H","DateFormat=P","Fill=—","Direction=H","UseDPDF=Y")</f>
        <v>—</v>
      </c>
      <c r="O55" s="13" t="str">
        <f>_xll.BDH("SRPT US Equity","IS_UNREALIZED_INVEST_AFT_TAX","FQ4 2021","FQ4 2021","Currency=USD","Period=FQ","BEST_FPERIOD_OVERRIDE=FQ","FILING_STATUS=MR","SCALING_FORMAT=MLN","Sort=A","Dates=H","DateFormat=P","Fill=—","Direction=H","UseDPDF=Y")</f>
        <v>—</v>
      </c>
      <c r="P55" s="13" t="str">
        <f>_xll.BDH("SRPT US Equity","IS_UNREALIZED_INVEST_AFT_TAX","FQ1 2022","FQ1 2022","Currency=USD","Period=FQ","BEST_FPERIOD_OVERRIDE=FQ","FILING_STATUS=MR","SCALING_FORMAT=MLN","Sort=A","Dates=H","DateFormat=P","Fill=—","Direction=H","UseDPDF=Y")</f>
        <v>—</v>
      </c>
      <c r="Q55" s="13" t="str">
        <f>_xll.BDH("SRPT US Equity","IS_UNREALIZED_INVEST_AFT_TAX","FQ2 2022","FQ2 2022","Currency=USD","Period=FQ","BEST_FPERIOD_OVERRIDE=FQ","FILING_STATUS=MR","SCALING_FORMAT=MLN","Sort=A","Dates=H","DateFormat=P","Fill=—","Direction=H","UseDPDF=Y")</f>
        <v>—</v>
      </c>
      <c r="R55" s="13" t="str">
        <f>_xll.BDH("SRPT US Equity","IS_UNREALIZED_INVEST_AFT_TAX","FQ3 2022","FQ3 2022","Currency=USD","Period=FQ","BEST_FPERIOD_OVERRIDE=FQ","FILING_STATUS=MR","SCALING_FORMAT=MLN","Sort=A","Dates=H","DateFormat=P","Fill=—","Direction=H","UseDPDF=Y")</f>
        <v>—</v>
      </c>
      <c r="S55" s="13">
        <f>_xll.BDH("SRPT US Equity","IS_UNREALIZED_INVEST_AFT_TAX","FQ4 2022","FQ4 2022","Currency=USD","Period=FQ","BEST_FPERIOD_OVERRIDE=FQ","FILING_STATUS=MR","SCALING_FORMAT=MLN","Sort=A","Dates=H","DateFormat=P","Fill=—","Direction=H","UseDPDF=Y")</f>
        <v>2.0343</v>
      </c>
      <c r="T55" s="13" t="str">
        <f>_xll.BDH("SRPT US Equity","IS_UNREALIZED_INVEST_AFT_TAX","FQ1 2023","FQ1 2023","Currency=USD","Period=FQ","BEST_FPERIOD_OVERRIDE=FQ","FILING_STATUS=MR","SCALING_FORMAT=MLN","Sort=A","Dates=H","DateFormat=P","Fill=—","Direction=H","UseDPDF=Y")</f>
        <v>—</v>
      </c>
      <c r="U55" s="13" t="str">
        <f>_xll.BDH("SRPT US Equity","IS_UNREALIZED_INVEST_AFT_TAX","FQ2 2023","FQ2 2023","Currency=USD","Period=FQ","BEST_FPERIOD_OVERRIDE=FQ","FILING_STATUS=MR","SCALING_FORMAT=MLN","Sort=A","Dates=H","DateFormat=P","Fill=—","Direction=H","UseDPDF=Y")</f>
        <v>—</v>
      </c>
      <c r="V55" s="13" t="str">
        <f>_xll.BDH("SRPT US Equity","IS_UNREALIZED_INVEST_AFT_TAX","FQ3 2023","FQ3 2023","Currency=USD","Period=FQ","BEST_FPERIOD_OVERRIDE=FQ","FILING_STATUS=MR","SCALING_FORMAT=MLN","Sort=A","Dates=H","DateFormat=P","Fill=—","Direction=H","UseDPDF=Y")</f>
        <v>—</v>
      </c>
      <c r="W55" s="13" t="str">
        <f>_xll.BDH("SRPT US Equity","IS_UNREALIZED_INVEST_AFT_TAX","FQ4 2023","FQ4 2023","Currency=USD","Period=FQ","BEST_FPERIOD_OVERRIDE=FQ","FILING_STATUS=MR","SCALING_FORMAT=MLN","Sort=A","Dates=H","DateFormat=P","Fill=—","Direction=H","UseDPDF=Y")</f>
        <v>—</v>
      </c>
      <c r="X55" s="13" t="str">
        <f>_xll.BDH("SRPT US Equity","IS_UNREALIZED_INVEST_AFT_TAX","FQ1 2024","FQ1 2024","Currency=USD","Period=FQ","BEST_FPERIOD_OVERRIDE=FQ","FILING_STATUS=MR","SCALING_FORMAT=MLN","Sort=A","Dates=H","DateFormat=P","Fill=—","Direction=H","UseDPDF=Y")</f>
        <v>—</v>
      </c>
      <c r="Y55" s="13" t="str">
        <f>_xll.BDH("SRPT US Equity","IS_UNREALIZED_INVEST_AFT_TAX","FQ2 2024","FQ2 2024","Currency=USD","Period=FQ","BEST_FPERIOD_OVERRIDE=FQ","FILING_STATUS=MR","SCALING_FORMAT=MLN","Sort=A","Dates=H","DateFormat=P","Fill=—","Direction=H","UseDPDF=Y")</f>
        <v>—</v>
      </c>
      <c r="Z55" s="13" t="str">
        <f>_xll.BDH("SRPT US Equity","IS_UNREALIZED_INVEST_AFT_TAX","FQ3 2024","FQ3 2024","Currency=USD","Period=FQ","BEST_FPERIOD_OVERRIDE=FQ","FILING_STATUS=MR","SCALING_FORMAT=MLN","Sort=A","Dates=H","DateFormat=P","Fill=—","Direction=H","UseDPDF=Y")</f>
        <v>—</v>
      </c>
      <c r="AA55" s="13" t="str">
        <f>_xll.BDH("SRPT US Equity","IS_UNREALIZED_INVEST_AFT_TAX","FQ4 2024","FQ4 2024","Currency=USD","Period=FQ","BEST_FPERIOD_OVERRIDE=FQ","FILING_STATUS=MR","SCALING_FORMAT=MLN","Sort=A","Dates=H","DateFormat=P","Fill=—","Direction=H","UseDPDF=Y")</f>
        <v>—</v>
      </c>
    </row>
    <row r="56" spans="1:27" x14ac:dyDescent="0.25">
      <c r="A56" s="10" t="s">
        <v>618</v>
      </c>
      <c r="B56" s="10" t="s">
        <v>639</v>
      </c>
      <c r="C56" s="13" t="str">
        <f>_xll.BDH("SRPT US Equity","IS_OTH_ONE_TIME_ITEMS_AFTER_TAX","FQ4 2018","FQ4 2018","Currency=USD","Period=FQ","BEST_FPERIOD_OVERRIDE=FQ","FILING_STATUS=MR","SCALING_FORMAT=MLN","Sort=A","Dates=H","DateFormat=P","Fill=—","Direction=H","UseDPDF=Y")</f>
        <v>—</v>
      </c>
      <c r="D56" s="13">
        <f>_xll.BDH("SRPT US Equity","IS_OTH_ONE_TIME_ITEMS_AFTER_TAX","FQ1 2019","FQ1 2019","Currency=USD","Period=FQ","BEST_FPERIOD_OVERRIDE=FQ","FILING_STATUS=MR","SCALING_FORMAT=MLN","Sort=A","Dates=H","DateFormat=P","Fill=—","Direction=H","UseDPDF=Y")</f>
        <v>0.88639999999999997</v>
      </c>
      <c r="E56" s="13">
        <f>_xll.BDH("SRPT US Equity","IS_OTH_ONE_TIME_ITEMS_AFTER_TAX","FQ2 2019","FQ2 2019","Currency=USD","Period=FQ","BEST_FPERIOD_OVERRIDE=FQ","FILING_STATUS=MR","SCALING_FORMAT=MLN","Sort=A","Dates=H","DateFormat=P","Fill=—","Direction=H","UseDPDF=Y")</f>
        <v>15.077999999999999</v>
      </c>
      <c r="F56" s="13">
        <f>_xll.BDH("SRPT US Equity","IS_OTH_ONE_TIME_ITEMS_AFTER_TAX","FQ3 2019","FQ3 2019","Currency=USD","Period=FQ","BEST_FPERIOD_OVERRIDE=FQ","FILING_STATUS=MR","SCALING_FORMAT=MLN","Sort=A","Dates=H","DateFormat=P","Fill=—","Direction=H","UseDPDF=Y")</f>
        <v>9.5952999999999999</v>
      </c>
      <c r="G56" s="13">
        <f>_xll.BDH("SRPT US Equity","IS_OTH_ONE_TIME_ITEMS_AFTER_TAX","FQ4 2019","FQ4 2019","Currency=USD","Period=FQ","BEST_FPERIOD_OVERRIDE=FQ","FILING_STATUS=MR","SCALING_FORMAT=MLN","Sort=A","Dates=H","DateFormat=P","Fill=—","Direction=H","UseDPDF=Y")</f>
        <v>59.104599999999998</v>
      </c>
      <c r="H56" s="13" t="str">
        <f>_xll.BDH("SRPT US Equity","IS_OTH_ONE_TIME_ITEMS_AFTER_TAX","FQ1 2020","FQ1 2020","Currency=USD","Period=FQ","BEST_FPERIOD_OVERRIDE=FQ","FILING_STATUS=MR","SCALING_FORMAT=MLN","Sort=A","Dates=H","DateFormat=P","Fill=—","Direction=H","UseDPDF=Y")</f>
        <v>—</v>
      </c>
      <c r="I56" s="13" t="str">
        <f>_xll.BDH("SRPT US Equity","IS_OTH_ONE_TIME_ITEMS_AFTER_TAX","FQ2 2020","FQ2 2020","Currency=USD","Period=FQ","BEST_FPERIOD_OVERRIDE=FQ","FILING_STATUS=MR","SCALING_FORMAT=MLN","Sort=A","Dates=H","DateFormat=P","Fill=—","Direction=H","UseDPDF=Y")</f>
        <v>—</v>
      </c>
      <c r="J56" s="13">
        <f>_xll.BDH("SRPT US Equity","IS_OTH_ONE_TIME_ITEMS_AFTER_TAX","FQ3 2020","FQ3 2020","Currency=USD","Period=FQ","BEST_FPERIOD_OVERRIDE=FQ","FILING_STATUS=MR","SCALING_FORMAT=MLN","Sort=A","Dates=H","DateFormat=P","Fill=—","Direction=H","UseDPDF=Y")</f>
        <v>47.696300000000001</v>
      </c>
      <c r="K56" s="13">
        <f>_xll.BDH("SRPT US Equity","IS_OTH_ONE_TIME_ITEMS_AFTER_TAX","FQ4 2020","FQ4 2020","Currency=USD","Period=FQ","BEST_FPERIOD_OVERRIDE=FQ","FILING_STATUS=MR","SCALING_FORMAT=MLN","Sort=A","Dates=H","DateFormat=P","Fill=—","Direction=H","UseDPDF=Y")</f>
        <v>8.3914000000000009</v>
      </c>
      <c r="L56" s="13">
        <f>_xll.BDH("SRPT US Equity","IS_OTH_ONE_TIME_ITEMS_AFTER_TAX","FQ1 2021","FQ1 2021","Currency=USD","Period=FQ","BEST_FPERIOD_OVERRIDE=FQ","FILING_STATUS=MR","SCALING_FORMAT=MLN","Sort=A","Dates=H","DateFormat=P","Fill=—","Direction=H","UseDPDF=Y")</f>
        <v>3.9872999999999998</v>
      </c>
      <c r="M56" s="13">
        <f>_xll.BDH("SRPT US Equity","IS_OTH_ONE_TIME_ITEMS_AFTER_TAX","FQ2 2021","FQ2 2021","Currency=USD","Period=FQ","BEST_FPERIOD_OVERRIDE=FQ","FILING_STATUS=MR","SCALING_FORMAT=MLN","Sort=A","Dates=H","DateFormat=P","Fill=—","Direction=H","UseDPDF=Y")</f>
        <v>31.677</v>
      </c>
      <c r="N56" s="13">
        <f>_xll.BDH("SRPT US Equity","IS_OTH_ONE_TIME_ITEMS_AFTER_TAX","FQ3 2021","FQ3 2021","Currency=USD","Period=FQ","BEST_FPERIOD_OVERRIDE=FQ","FILING_STATUS=MR","SCALING_FORMAT=MLN","Sort=A","Dates=H","DateFormat=P","Fill=—","Direction=H","UseDPDF=Y")</f>
        <v>-5.6879999999999997</v>
      </c>
      <c r="O56" s="13" t="str">
        <f>_xll.BDH("SRPT US Equity","IS_OTH_ONE_TIME_ITEMS_AFTER_TAX","FQ4 2021","FQ4 2021","Currency=USD","Period=FQ","BEST_FPERIOD_OVERRIDE=FQ","FILING_STATUS=MR","SCALING_FORMAT=MLN","Sort=A","Dates=H","DateFormat=P","Fill=—","Direction=H","UseDPDF=Y")</f>
        <v>—</v>
      </c>
      <c r="P56" s="13" t="str">
        <f>_xll.BDH("SRPT US Equity","IS_OTH_ONE_TIME_ITEMS_AFTER_TAX","FQ1 2022","FQ1 2022","Currency=USD","Period=FQ","BEST_FPERIOD_OVERRIDE=FQ","FILING_STATUS=MR","SCALING_FORMAT=MLN","Sort=A","Dates=H","DateFormat=P","Fill=—","Direction=H","UseDPDF=Y")</f>
        <v>—</v>
      </c>
      <c r="Q56" s="13" t="str">
        <f>_xll.BDH("SRPT US Equity","IS_OTH_ONE_TIME_ITEMS_AFTER_TAX","FQ2 2022","FQ2 2022","Currency=USD","Period=FQ","BEST_FPERIOD_OVERRIDE=FQ","FILING_STATUS=MR","SCALING_FORMAT=MLN","Sort=A","Dates=H","DateFormat=P","Fill=—","Direction=H","UseDPDF=Y")</f>
        <v>—</v>
      </c>
      <c r="R56" s="13">
        <f>_xll.BDH("SRPT US Equity","IS_OTH_ONE_TIME_ITEMS_AFTER_TAX","FQ3 2022","FQ3 2022","Currency=USD","Period=FQ","BEST_FPERIOD_OVERRIDE=FQ","FILING_STATUS=MR","SCALING_FORMAT=MLN","Sort=A","Dates=H","DateFormat=P","Fill=—","Direction=H","UseDPDF=Y")</f>
        <v>-5.2930000000000001</v>
      </c>
      <c r="S56" s="13" t="str">
        <f>_xll.BDH("SRPT US Equity","IS_OTH_ONE_TIME_ITEMS_AFTER_TAX","FQ4 2022","FQ4 2022","Currency=USD","Period=FQ","BEST_FPERIOD_OVERRIDE=FQ","FILING_STATUS=MR","SCALING_FORMAT=MLN","Sort=A","Dates=H","DateFormat=P","Fill=—","Direction=H","UseDPDF=Y")</f>
        <v>—</v>
      </c>
      <c r="T56" s="13" t="str">
        <f>_xll.BDH("SRPT US Equity","IS_OTH_ONE_TIME_ITEMS_AFTER_TAX","FQ1 2023","FQ1 2023","Currency=USD","Period=FQ","BEST_FPERIOD_OVERRIDE=FQ","FILING_STATUS=MR","SCALING_FORMAT=MLN","Sort=A","Dates=H","DateFormat=P","Fill=—","Direction=H","UseDPDF=Y")</f>
        <v>—</v>
      </c>
      <c r="U56" s="13" t="str">
        <f>_xll.BDH("SRPT US Equity","IS_OTH_ONE_TIME_ITEMS_AFTER_TAX","FQ2 2023","FQ2 2023","Currency=USD","Period=FQ","BEST_FPERIOD_OVERRIDE=FQ","FILING_STATUS=MR","SCALING_FORMAT=MLN","Sort=A","Dates=H","DateFormat=P","Fill=—","Direction=H","UseDPDF=Y")</f>
        <v>—</v>
      </c>
      <c r="V56" s="13" t="str">
        <f>_xll.BDH("SRPT US Equity","IS_OTH_ONE_TIME_ITEMS_AFTER_TAX","FQ3 2023","FQ3 2023","Currency=USD","Period=FQ","BEST_FPERIOD_OVERRIDE=FQ","FILING_STATUS=MR","SCALING_FORMAT=MLN","Sort=A","Dates=H","DateFormat=P","Fill=—","Direction=H","UseDPDF=Y")</f>
        <v>—</v>
      </c>
      <c r="W56" s="13" t="str">
        <f>_xll.BDH("SRPT US Equity","IS_OTH_ONE_TIME_ITEMS_AFTER_TAX","FQ4 2023","FQ4 2023","Currency=USD","Period=FQ","BEST_FPERIOD_OVERRIDE=FQ","FILING_STATUS=MR","SCALING_FORMAT=MLN","Sort=A","Dates=H","DateFormat=P","Fill=—","Direction=H","UseDPDF=Y")</f>
        <v>—</v>
      </c>
      <c r="X56" s="13" t="str">
        <f>_xll.BDH("SRPT US Equity","IS_OTH_ONE_TIME_ITEMS_AFTER_TAX","FQ1 2024","FQ1 2024","Currency=USD","Period=FQ","BEST_FPERIOD_OVERRIDE=FQ","FILING_STATUS=MR","SCALING_FORMAT=MLN","Sort=A","Dates=H","DateFormat=P","Fill=—","Direction=H","UseDPDF=Y")</f>
        <v>—</v>
      </c>
      <c r="Y56" s="13" t="str">
        <f>_xll.BDH("SRPT US Equity","IS_OTH_ONE_TIME_ITEMS_AFTER_TAX","FQ2 2024","FQ2 2024","Currency=USD","Period=FQ","BEST_FPERIOD_OVERRIDE=FQ","FILING_STATUS=MR","SCALING_FORMAT=MLN","Sort=A","Dates=H","DateFormat=P","Fill=—","Direction=H","UseDPDF=Y")</f>
        <v>—</v>
      </c>
      <c r="Z56" s="13" t="str">
        <f>_xll.BDH("SRPT US Equity","IS_OTH_ONE_TIME_ITEMS_AFTER_TAX","FQ3 2024","FQ3 2024","Currency=USD","Period=FQ","BEST_FPERIOD_OVERRIDE=FQ","FILING_STATUS=MR","SCALING_FORMAT=MLN","Sort=A","Dates=H","DateFormat=P","Fill=—","Direction=H","UseDPDF=Y")</f>
        <v>—</v>
      </c>
      <c r="AA56" s="13" t="str">
        <f>_xll.BDH("SRPT US Equity","IS_OTH_ONE_TIME_ITEMS_AFTER_TAX","FQ4 2024","FQ4 2024","Currency=USD","Period=FQ","BEST_FPERIOD_OVERRIDE=FQ","FILING_STATUS=MR","SCALING_FORMAT=MLN","Sort=A","Dates=H","DateFormat=P","Fill=—","Direction=H","UseDPDF=Y")</f>
        <v>—</v>
      </c>
    </row>
    <row r="57" spans="1:27" x14ac:dyDescent="0.25">
      <c r="A57" s="6" t="s">
        <v>387</v>
      </c>
      <c r="B57" s="6" t="s">
        <v>80</v>
      </c>
      <c r="C57" s="19">
        <f>_xll.BDH("SRPT US Equity","EARN_FOR_COMMON","FQ4 2018","FQ4 2018","Currency=USD","Period=FQ","BEST_FPERIOD_OVERRIDE=FQ","FILING_STATUS=MR","SCALING_FORMAT=MLN","FA_ADJUSTED=Adjusted","Sort=A","Dates=H","DateFormat=P","Fill=—","Direction=H","UseDPDF=Y")</f>
        <v>-137.85820000000001</v>
      </c>
      <c r="D57" s="19">
        <f>_xll.BDH("SRPT US Equity","EARN_FOR_COMMON","FQ1 2019","FQ1 2019","Currency=USD","Period=FQ","BEST_FPERIOD_OVERRIDE=FQ","FILING_STATUS=MR","SCALING_FORMAT=MLN","FA_ADJUSTED=Adjusted","Sort=A","Dates=H","DateFormat=P","Fill=—","Direction=H","UseDPDF=Y")</f>
        <v>-75.687100000000001</v>
      </c>
      <c r="E57" s="19">
        <f>_xll.BDH("SRPT US Equity","EARN_FOR_COMMON","FQ2 2019","FQ2 2019","Currency=USD","Period=FQ","BEST_FPERIOD_OVERRIDE=FQ","FILING_STATUS=MR","SCALING_FORMAT=MLN","FA_ADJUSTED=Adjusted","Sort=A","Dates=H","DateFormat=P","Fill=—","Direction=H","UseDPDF=Y")</f>
        <v>-88.084999999999994</v>
      </c>
      <c r="F57" s="19">
        <f>_xll.BDH("SRPT US Equity","EARN_FOR_COMMON","FQ3 2019","FQ3 2019","Currency=USD","Period=FQ","BEST_FPERIOD_OVERRIDE=FQ","FILING_STATUS=MR","SCALING_FORMAT=MLN","FA_ADJUSTED=Adjusted","Sort=A","Dates=H","DateFormat=P","Fill=—","Direction=H","UseDPDF=Y")</f>
        <v>-116.7307</v>
      </c>
      <c r="G57" s="19">
        <f>_xll.BDH("SRPT US Equity","EARN_FOR_COMMON","FQ4 2019","FQ4 2019","Currency=USD","Period=FQ","BEST_FPERIOD_OVERRIDE=FQ","FILING_STATUS=MR","SCALING_FORMAT=MLN","FA_ADJUSTED=Adjusted","Sort=A","Dates=H","DateFormat=P","Fill=—","Direction=H","UseDPDF=Y")</f>
        <v>-168.69839999999999</v>
      </c>
      <c r="H57" s="19">
        <f>_xll.BDH("SRPT US Equity","EARN_FOR_COMMON","FQ1 2020","FQ1 2020","Currency=USD","Period=FQ","BEST_FPERIOD_OVERRIDE=FQ","FILING_STATUS=MR","SCALING_FORMAT=MLN","FA_ADJUSTED=Adjusted","Sort=A","Dates=H","DateFormat=P","Fill=—","Direction=H","UseDPDF=Y")</f>
        <v>-114.0907</v>
      </c>
      <c r="I57" s="19">
        <f>_xll.BDH("SRPT US Equity","EARN_FOR_COMMON","FQ2 2020","FQ2 2020","Currency=USD","Period=FQ","BEST_FPERIOD_OVERRIDE=FQ","FILING_STATUS=MR","SCALING_FORMAT=MLN","FA_ADJUSTED=Adjusted","Sort=A","Dates=H","DateFormat=P","Fill=—","Direction=H","UseDPDF=Y")</f>
        <v>-150.82</v>
      </c>
      <c r="J57" s="19">
        <f>_xll.BDH("SRPT US Equity","EARN_FOR_COMMON","FQ3 2020","FQ3 2020","Currency=USD","Period=FQ","BEST_FPERIOD_OVERRIDE=FQ","FILING_STATUS=MR","SCALING_FORMAT=MLN","FA_ADJUSTED=Adjusted","Sort=A","Dates=H","DateFormat=P","Fill=—","Direction=H","UseDPDF=Y")</f>
        <v>-148.80279999999999</v>
      </c>
      <c r="K57" s="19">
        <f>_xll.BDH("SRPT US Equity","EARN_FOR_COMMON","FQ4 2020","FQ4 2020","Currency=USD","Period=FQ","BEST_FPERIOD_OVERRIDE=FQ","FILING_STATUS=MR","SCALING_FORMAT=MLN","FA_ADJUSTED=Adjusted","Sort=A","Dates=H","DateFormat=P","Fill=—","Direction=H","UseDPDF=Y")</f>
        <v>-180.9256</v>
      </c>
      <c r="L57" s="19">
        <f>_xll.BDH("SRPT US Equity","EARN_FOR_COMMON","FQ1 2021","FQ1 2021","Currency=USD","Period=FQ","BEST_FPERIOD_OVERRIDE=FQ","FILING_STATUS=MR","SCALING_FORMAT=MLN","FA_ADJUSTED=Adjusted","Sort=A","Dates=H","DateFormat=P","Fill=—","Direction=H","UseDPDF=Y")</f>
        <v>-153.2946</v>
      </c>
      <c r="M57" s="19">
        <f>_xll.BDH("SRPT US Equity","EARN_FOR_COMMON","FQ2 2021","FQ2 2021","Currency=USD","Period=FQ","BEST_FPERIOD_OVERRIDE=FQ","FILING_STATUS=MR","SCALING_FORMAT=MLN","FA_ADJUSTED=Adjusted","Sort=A","Dates=H","DateFormat=P","Fill=—","Direction=H","UseDPDF=Y")</f>
        <v>-151.72800000000001</v>
      </c>
      <c r="N57" s="19">
        <f>_xll.BDH("SRPT US Equity","EARN_FOR_COMMON","FQ3 2021","FQ3 2021","Currency=USD","Period=FQ","BEST_FPERIOD_OVERRIDE=FQ","FILING_STATUS=MR","SCALING_FORMAT=MLN","FA_ADJUSTED=Adjusted","Sort=A","Dates=H","DateFormat=P","Fill=—","Direction=H","UseDPDF=Y")</f>
        <v>-44.598500000000001</v>
      </c>
      <c r="O57" s="19">
        <f>_xll.BDH("SRPT US Equity","EARN_FOR_COMMON","FQ4 2021","FQ4 2021","Currency=USD","Period=FQ","BEST_FPERIOD_OVERRIDE=FQ","FILING_STATUS=MR","SCALING_FORMAT=MLN","FA_ADJUSTED=Adjusted","Sort=A","Dates=H","DateFormat=P","Fill=—","Direction=H","UseDPDF=Y")</f>
        <v>-121.98099999999999</v>
      </c>
      <c r="P57" s="19">
        <f>_xll.BDH("SRPT US Equity","EARN_FOR_COMMON","FQ1 2022","FQ1 2022","Currency=USD","Period=FQ","BEST_FPERIOD_OVERRIDE=FQ","FILING_STATUS=MR","SCALING_FORMAT=MLN","FA_ADJUSTED=Adjusted","Sort=A","Dates=H","DateFormat=P","Fill=—","Direction=H","UseDPDF=Y")</f>
        <v>-105.02500000000001</v>
      </c>
      <c r="Q57" s="19">
        <f>_xll.BDH("SRPT US Equity","EARN_FOR_COMMON","FQ2 2022","FQ2 2022","Currency=USD","Period=FQ","BEST_FPERIOD_OVERRIDE=FQ","FILING_STATUS=MR","SCALING_FORMAT=MLN","FA_ADJUSTED=Adjusted","Sort=A","Dates=H","DateFormat=P","Fill=—","Direction=H","UseDPDF=Y")</f>
        <v>-231.48099999999999</v>
      </c>
      <c r="R57" s="19">
        <f>_xll.BDH("SRPT US Equity","EARN_FOR_COMMON","FQ3 2022","FQ3 2022","Currency=USD","Period=FQ","BEST_FPERIOD_OVERRIDE=FQ","FILING_STATUS=MR","SCALING_FORMAT=MLN","FA_ADJUSTED=Adjusted","Sort=A","Dates=H","DateFormat=P","Fill=—","Direction=H","UseDPDF=Y")</f>
        <v>-163.93260000000001</v>
      </c>
      <c r="S57" s="19">
        <f>_xll.BDH("SRPT US Equity","EARN_FOR_COMMON","FQ4 2022","FQ4 2022","Currency=USD","Period=FQ","BEST_FPERIOD_OVERRIDE=FQ","FILING_STATUS=MR","SCALING_FORMAT=MLN","FA_ADJUSTED=Adjusted","Sort=A","Dates=H","DateFormat=P","Fill=—","Direction=H","UseDPDF=Y")</f>
        <v>-107.2098</v>
      </c>
      <c r="T57" s="19">
        <f>_xll.BDH("SRPT US Equity","EARN_FOR_COMMON","FQ1 2023","FQ1 2023","Currency=USD","Period=FQ","BEST_FPERIOD_OVERRIDE=FQ","FILING_STATUS=MR","SCALING_FORMAT=MLN","FA_ADJUSTED=Adjusted","Sort=A","Dates=H","DateFormat=P","Fill=—","Direction=H","UseDPDF=Y")</f>
        <v>-210.76509999999999</v>
      </c>
      <c r="U57" s="19">
        <f>_xll.BDH("SRPT US Equity","EARN_FOR_COMMON","FQ2 2023","FQ2 2023","Currency=USD","Period=FQ","BEST_FPERIOD_OVERRIDE=FQ","FILING_STATUS=MR","SCALING_FORMAT=MLN","FA_ADJUSTED=Adjusted","Sort=A","Dates=H","DateFormat=P","Fill=—","Direction=H","UseDPDF=Y")</f>
        <v>-105.152</v>
      </c>
      <c r="V57" s="19">
        <f>_xll.BDH("SRPT US Equity","EARN_FOR_COMMON","FQ3 2023","FQ3 2023","Currency=USD","Period=FQ","BEST_FPERIOD_OVERRIDE=FQ","FILING_STATUS=MR","SCALING_FORMAT=MLN","FA_ADJUSTED=Adjusted","Sort=A","Dates=H","DateFormat=P","Fill=—","Direction=H","UseDPDF=Y")</f>
        <v>-39.356999999999999</v>
      </c>
      <c r="W57" s="19">
        <f>_xll.BDH("SRPT US Equity","EARN_FOR_COMMON","FQ4 2023","FQ4 2023","Currency=USD","Period=FQ","BEST_FPERIOD_OVERRIDE=FQ","FILING_STATUS=MR","SCALING_FORMAT=MLN","FA_ADJUSTED=Adjusted","Sort=A","Dates=H","DateFormat=P","Fill=—","Direction=H","UseDPDF=Y")</f>
        <v>45.655000000000001</v>
      </c>
      <c r="X57" s="19">
        <f>_xll.BDH("SRPT US Equity","EARN_FOR_COMMON","FQ1 2024","FQ1 2024","Currency=USD","Period=FQ","BEST_FPERIOD_OVERRIDE=FQ","FILING_STATUS=MR","SCALING_FORMAT=MLN","FA_ADJUSTED=Adjusted","Sort=A","Dates=H","DateFormat=P","Fill=—","Direction=H","UseDPDF=Y")</f>
        <v>45.906999999999996</v>
      </c>
      <c r="Y57" s="19">
        <f>_xll.BDH("SRPT US Equity","EARN_FOR_COMMON","FQ2 2024","FQ2 2024","Currency=USD","Period=FQ","BEST_FPERIOD_OVERRIDE=FQ","FILING_STATUS=MR","SCALING_FORMAT=MLN","FA_ADJUSTED=Adjusted","Sort=A","Dates=H","DateFormat=P","Fill=—","Direction=H","UseDPDF=Y")</f>
        <v>6.46</v>
      </c>
      <c r="Z57" s="19">
        <f>_xll.BDH("SRPT US Equity","EARN_FOR_COMMON","FQ3 2024","FQ3 2024","Currency=USD","Period=FQ","BEST_FPERIOD_OVERRIDE=FQ","FILING_STATUS=MR","SCALING_FORMAT=MLN","FA_ADJUSTED=Adjusted","Sort=A","Dates=H","DateFormat=P","Fill=—","Direction=H","UseDPDF=Y")</f>
        <v>32.251100000000001</v>
      </c>
      <c r="AA57" s="19">
        <f>_xll.BDH("SRPT US Equity","EARN_FOR_COMMON","FQ4 2024","FQ4 2024","Currency=USD","Period=FQ","BEST_FPERIOD_OVERRIDE=FQ","FILING_STATUS=MR","SCALING_FORMAT=MLN","FA_ADJUSTED=Adjusted","Sort=A","Dates=H","DateFormat=P","Fill=—","Direction=H","UseDPDF=Y")</f>
        <v>158.33850000000001</v>
      </c>
    </row>
    <row r="58" spans="1:27" x14ac:dyDescent="0.25">
      <c r="A58" s="6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x14ac:dyDescent="0.25">
      <c r="A59" s="6" t="s">
        <v>640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 x14ac:dyDescent="0.25">
      <c r="A60" s="6" t="s">
        <v>103</v>
      </c>
      <c r="B60" s="6" t="s">
        <v>104</v>
      </c>
      <c r="C60" s="20">
        <f>_xll.BDH("SRPT US Equity","IS_DILUTED_EPS","FQ4 2018","FQ4 2018","Currency=USD","Period=FQ","BEST_FPERIOD_OVERRIDE=FQ","FILING_STATUS=MR","FA_ADJUSTED=GAAP","Sort=A","Dates=H","DateFormat=P","Fill=—","Direction=H","UseDPDF=Y")</f>
        <v>-2.0499999999999998</v>
      </c>
      <c r="D60" s="20">
        <f>_xll.BDH("SRPT US Equity","IS_DILUTED_EPS","FQ1 2019","FQ1 2019","Currency=USD","Period=FQ","BEST_FPERIOD_OVERRIDE=FQ","FILING_STATUS=MR","FA_ADJUSTED=GAAP","Sort=A","Dates=H","DateFormat=P","Fill=—","Direction=H","UseDPDF=Y")</f>
        <v>-1.07</v>
      </c>
      <c r="E60" s="20">
        <f>_xll.BDH("SRPT US Equity","IS_DILUTED_EPS","FQ2 2019","FQ2 2019","Currency=USD","Period=FQ","BEST_FPERIOD_OVERRIDE=FQ","FILING_STATUS=MR","FA_ADJUSTED=GAAP","Sort=A","Dates=H","DateFormat=P","Fill=—","Direction=H","UseDPDF=Y")</f>
        <v>-3.74</v>
      </c>
      <c r="F60" s="20">
        <f>_xll.BDH("SRPT US Equity","IS_DILUTED_EPS","FQ3 2019","FQ3 2019","Currency=USD","Period=FQ","BEST_FPERIOD_OVERRIDE=FQ","FILING_STATUS=MR","FA_ADJUSTED=GAAP","Sort=A","Dates=H","DateFormat=P","Fill=—","Direction=H","UseDPDF=Y")</f>
        <v>-1.7</v>
      </c>
      <c r="G60" s="20">
        <f>_xll.BDH("SRPT US Equity","IS_DILUTED_EPS","FQ4 2019","FQ4 2019","Currency=USD","Period=FQ","BEST_FPERIOD_OVERRIDE=FQ","FILING_STATUS=MR","FA_ADJUSTED=GAAP","Sort=A","Dates=H","DateFormat=P","Fill=—","Direction=H","UseDPDF=Y")</f>
        <v>-3.16</v>
      </c>
      <c r="H60" s="20">
        <f>_xll.BDH("SRPT US Equity","IS_DILUTED_EPS","FQ1 2020","FQ1 2020","Currency=USD","Period=FQ","BEST_FPERIOD_OVERRIDE=FQ","FILING_STATUS=MR","FA_ADJUSTED=GAAP","Sort=A","Dates=H","DateFormat=P","Fill=—","Direction=H","UseDPDF=Y")</f>
        <v>-0.23</v>
      </c>
      <c r="I60" s="20">
        <f>_xll.BDH("SRPT US Equity","IS_DILUTED_EPS","FQ2 2020","FQ2 2020","Currency=USD","Period=FQ","BEST_FPERIOD_OVERRIDE=FQ","FILING_STATUS=MR","FA_ADJUSTED=GAAP","Sort=A","Dates=H","DateFormat=P","Fill=—","Direction=H","UseDPDF=Y")</f>
        <v>-1.93</v>
      </c>
      <c r="J60" s="20">
        <f>_xll.BDH("SRPT US Equity","IS_DILUTED_EPS","FQ3 2020","FQ3 2020","Currency=USD","Period=FQ","BEST_FPERIOD_OVERRIDE=FQ","FILING_STATUS=MR","FA_ADJUSTED=GAAP","Sort=A","Dates=H","DateFormat=P","Fill=—","Direction=H","UseDPDF=Y")</f>
        <v>-2.5</v>
      </c>
      <c r="K60" s="20">
        <f>_xll.BDH("SRPT US Equity","IS_DILUTED_EPS","FQ4 2020","FQ4 2020","Currency=USD","Period=FQ","BEST_FPERIOD_OVERRIDE=FQ","FILING_STATUS=MR","FA_ADJUSTED=GAAP","Sort=A","Dates=H","DateFormat=P","Fill=—","Direction=H","UseDPDF=Y")</f>
        <v>-2.4</v>
      </c>
      <c r="L60" s="20">
        <f>_xll.BDH("SRPT US Equity","IS_DILUTED_EPS","FQ1 2021","FQ1 2021","Currency=USD","Period=FQ","BEST_FPERIOD_OVERRIDE=FQ","FILING_STATUS=MR","FA_ADJUSTED=GAAP","Sort=A","Dates=H","DateFormat=P","Fill=—","Direction=H","UseDPDF=Y")</f>
        <v>-2.1</v>
      </c>
      <c r="M60" s="20">
        <f>_xll.BDH("SRPT US Equity","IS_DILUTED_EPS","FQ2 2021","FQ2 2021","Currency=USD","Period=FQ","BEST_FPERIOD_OVERRIDE=FQ","FILING_STATUS=MR","FA_ADJUSTED=GAAP","Sort=A","Dates=H","DateFormat=P","Fill=—","Direction=H","UseDPDF=Y")</f>
        <v>-1.02</v>
      </c>
      <c r="N60" s="20">
        <f>_xll.BDH("SRPT US Equity","IS_DILUTED_EPS","FQ3 2021","FQ3 2021","Currency=USD","Period=FQ","BEST_FPERIOD_OVERRIDE=FQ","FILING_STATUS=MR","FA_ADJUSTED=GAAP","Sort=A","Dates=H","DateFormat=P","Fill=—","Direction=H","UseDPDF=Y")</f>
        <v>-0.6</v>
      </c>
      <c r="O60" s="20">
        <f>_xll.BDH("SRPT US Equity","IS_DILUTED_EPS","FQ4 2021","FQ4 2021","Currency=USD","Period=FQ","BEST_FPERIOD_OVERRIDE=FQ","FILING_STATUS=MR","FA_ADJUSTED=GAAP","Sort=A","Dates=H","DateFormat=P","Fill=—","Direction=H","UseDPDF=Y")</f>
        <v>-1.42</v>
      </c>
      <c r="P60" s="20">
        <f>_xll.BDH("SRPT US Equity","IS_DILUTED_EPS","FQ1 2022","FQ1 2022","Currency=USD","Period=FQ","BEST_FPERIOD_OVERRIDE=FQ","FILING_STATUS=MR","FA_ADJUSTED=GAAP","Sort=A","Dates=H","DateFormat=P","Fill=—","Direction=H","UseDPDF=Y")</f>
        <v>-1.2</v>
      </c>
      <c r="Q60" s="20">
        <f>_xll.BDH("SRPT US Equity","IS_DILUTED_EPS","FQ2 2022","FQ2 2022","Currency=USD","Period=FQ","BEST_FPERIOD_OVERRIDE=FQ","FILING_STATUS=MR","FA_ADJUSTED=GAAP","Sort=A","Dates=H","DateFormat=P","Fill=—","Direction=H","UseDPDF=Y")</f>
        <v>-2.65</v>
      </c>
      <c r="R60" s="20">
        <f>_xll.BDH("SRPT US Equity","IS_DILUTED_EPS","FQ3 2022","FQ3 2022","Currency=USD","Period=FQ","BEST_FPERIOD_OVERRIDE=FQ","FILING_STATUS=MR","FA_ADJUSTED=GAAP","Sort=A","Dates=H","DateFormat=P","Fill=—","Direction=H","UseDPDF=Y")</f>
        <v>-2.94</v>
      </c>
      <c r="S60" s="20">
        <f>_xll.BDH("SRPT US Equity","IS_DILUTED_EPS","FQ4 2022","FQ4 2022","Currency=USD","Period=FQ","BEST_FPERIOD_OVERRIDE=FQ","FILING_STATUS=MR","FA_ADJUSTED=GAAP","Sort=A","Dates=H","DateFormat=P","Fill=—","Direction=H","UseDPDF=Y")</f>
        <v>-1.24</v>
      </c>
      <c r="T60" s="20">
        <f>_xll.BDH("SRPT US Equity","IS_DILUTED_EPS","FQ1 2023","FQ1 2023","Currency=USD","Period=FQ","BEST_FPERIOD_OVERRIDE=FQ","FILING_STATUS=MR","FA_ADJUSTED=GAAP","Sort=A","Dates=H","DateFormat=P","Fill=—","Direction=H","UseDPDF=Y")</f>
        <v>-5.86</v>
      </c>
      <c r="U60" s="20">
        <f>_xll.BDH("SRPT US Equity","IS_DILUTED_EPS","FQ2 2023","FQ2 2023","Currency=USD","Period=FQ","BEST_FPERIOD_OVERRIDE=FQ","FILING_STATUS=MR","FA_ADJUSTED=GAAP","Sort=A","Dates=H","DateFormat=P","Fill=—","Direction=H","UseDPDF=Y")</f>
        <v>-0.27</v>
      </c>
      <c r="V60" s="20">
        <f>_xll.BDH("SRPT US Equity","IS_DILUTED_EPS","FQ3 2023","FQ3 2023","Currency=USD","Period=FQ","BEST_FPERIOD_OVERRIDE=FQ","FILING_STATUS=MR","FA_ADJUSTED=GAAP","Sort=A","Dates=H","DateFormat=P","Fill=—","Direction=H","UseDPDF=Y")</f>
        <v>-0.46</v>
      </c>
      <c r="W60" s="20">
        <f>_xll.BDH("SRPT US Equity","IS_DILUTED_EPS","FQ4 2023","FQ4 2023","Currency=USD","Period=FQ","BEST_FPERIOD_OVERRIDE=FQ","FILING_STATUS=MR","FA_ADJUSTED=GAAP","Sort=A","Dates=H","DateFormat=P","Fill=—","Direction=H","UseDPDF=Y")</f>
        <v>0.47</v>
      </c>
      <c r="X60" s="20">
        <f>_xll.BDH("SRPT US Equity","IS_DILUTED_EPS","FQ1 2024","FQ1 2024","Currency=USD","Period=FQ","BEST_FPERIOD_OVERRIDE=FQ","FILING_STATUS=MR","FA_ADJUSTED=GAAP","Sort=A","Dates=H","DateFormat=P","Fill=—","Direction=H","UseDPDF=Y")</f>
        <v>0.37</v>
      </c>
      <c r="Y60" s="20">
        <f>_xll.BDH("SRPT US Equity","IS_DILUTED_EPS","FQ2 2024","FQ2 2024","Currency=USD","Period=FQ","BEST_FPERIOD_OVERRIDE=FQ","FILING_STATUS=MR","FA_ADJUSTED=GAAP","Sort=A","Dates=H","DateFormat=P","Fill=—","Direction=H","UseDPDF=Y")</f>
        <v>7.0000000000000007E-2</v>
      </c>
      <c r="Z60" s="20">
        <f>_xll.BDH("SRPT US Equity","IS_DILUTED_EPS","FQ3 2024","FQ3 2024","Currency=USD","Period=FQ","BEST_FPERIOD_OVERRIDE=FQ","FILING_STATUS=MR","FA_ADJUSTED=GAAP","Sort=A","Dates=H","DateFormat=P","Fill=—","Direction=H","UseDPDF=Y")</f>
        <v>0.34</v>
      </c>
      <c r="AA60" s="20">
        <f>_xll.BDH("SRPT US Equity","IS_DILUTED_EPS","FQ4 2024","FQ4 2024","Currency=USD","Period=FQ","BEST_FPERIOD_OVERRIDE=FQ","FILING_STATUS=MR","FA_ADJUSTED=GAAP","Sort=A","Dates=H","DateFormat=P","Fill=—","Direction=H","UseDPDF=Y")</f>
        <v>1.5</v>
      </c>
    </row>
    <row r="61" spans="1:27" x14ac:dyDescent="0.25">
      <c r="A61" s="10" t="s">
        <v>627</v>
      </c>
      <c r="B61" s="10" t="s">
        <v>641</v>
      </c>
      <c r="C61" s="14" t="str">
        <f>_xll.BDH("SRPT US Equity","IS_DISC_OPS_DILUTED_SH","FQ4 2018","FQ4 2018","Currency=USD","Period=FQ","BEST_FPERIOD_OVERRIDE=FQ","FILING_STATUS=MR","Sort=A","Dates=H","DateFormat=P","Fill=—","Direction=H","UseDPDF=Y")</f>
        <v>—</v>
      </c>
      <c r="D61" s="14" t="str">
        <f>_xll.BDH("SRPT US Equity","IS_DISC_OPS_DILUTED_SH","FQ1 2019","FQ1 2019","Currency=USD","Period=FQ","BEST_FPERIOD_OVERRIDE=FQ","FILING_STATUS=MR","Sort=A","Dates=H","DateFormat=P","Fill=—","Direction=H","UseDPDF=Y")</f>
        <v>—</v>
      </c>
      <c r="E61" s="14" t="str">
        <f>_xll.BDH("SRPT US Equity","IS_DISC_OPS_DILUTED_SH","FQ2 2019","FQ2 2019","Currency=USD","Period=FQ","BEST_FPERIOD_OVERRIDE=FQ","FILING_STATUS=MR","Sort=A","Dates=H","DateFormat=P","Fill=—","Direction=H","UseDPDF=Y")</f>
        <v>—</v>
      </c>
      <c r="F61" s="14">
        <f>_xll.BDH("SRPT US Equity","IS_DISC_OPS_DILUTED_SH","FQ3 2019","FQ3 2019","Currency=USD","Period=FQ","BEST_FPERIOD_OVERRIDE=FQ","FILING_STATUS=MR","Sort=A","Dates=H","DateFormat=P","Fill=—","Direction=H","UseDPDF=Y")</f>
        <v>0</v>
      </c>
      <c r="G61" s="14">
        <f>_xll.BDH("SRPT US Equity","IS_DISC_OPS_DILUTED_SH","FQ4 2019","FQ4 2019","Currency=USD","Period=FQ","BEST_FPERIOD_OVERRIDE=FQ","FILING_STATUS=MR","Sort=A","Dates=H","DateFormat=P","Fill=—","Direction=H","UseDPDF=Y")</f>
        <v>0</v>
      </c>
      <c r="H61" s="14">
        <f>_xll.BDH("SRPT US Equity","IS_DISC_OPS_DILUTED_SH","FQ1 2020","FQ1 2020","Currency=USD","Period=FQ","BEST_FPERIOD_OVERRIDE=FQ","FILING_STATUS=MR","Sort=A","Dates=H","DateFormat=P","Fill=—","Direction=H","UseDPDF=Y")</f>
        <v>0</v>
      </c>
      <c r="I61" s="14">
        <f>_xll.BDH("SRPT US Equity","IS_DISC_OPS_DILUTED_SH","FQ2 2020","FQ2 2020","Currency=USD","Period=FQ","BEST_FPERIOD_OVERRIDE=FQ","FILING_STATUS=MR","Sort=A","Dates=H","DateFormat=P","Fill=—","Direction=H","UseDPDF=Y")</f>
        <v>0</v>
      </c>
      <c r="J61" s="14">
        <f>_xll.BDH("SRPT US Equity","IS_DISC_OPS_DILUTED_SH","FQ3 2020","FQ3 2020","Currency=USD","Period=FQ","BEST_FPERIOD_OVERRIDE=FQ","FILING_STATUS=MR","Sort=A","Dates=H","DateFormat=P","Fill=—","Direction=H","UseDPDF=Y")</f>
        <v>0</v>
      </c>
      <c r="K61" s="14">
        <f>_xll.BDH("SRPT US Equity","IS_DISC_OPS_DILUTED_SH","FQ4 2020","FQ4 2020","Currency=USD","Period=FQ","BEST_FPERIOD_OVERRIDE=FQ","FILING_STATUS=MR","Sort=A","Dates=H","DateFormat=P","Fill=—","Direction=H","UseDPDF=Y")</f>
        <v>0</v>
      </c>
      <c r="L61" s="14">
        <f>_xll.BDH("SRPT US Equity","IS_DISC_OPS_DILUTED_SH","FQ1 2021","FQ1 2021","Currency=USD","Period=FQ","BEST_FPERIOD_OVERRIDE=FQ","FILING_STATUS=MR","Sort=A","Dates=H","DateFormat=P","Fill=—","Direction=H","UseDPDF=Y")</f>
        <v>0</v>
      </c>
      <c r="M61" s="14">
        <f>_xll.BDH("SRPT US Equity","IS_DISC_OPS_DILUTED_SH","FQ2 2021","FQ2 2021","Currency=USD","Period=FQ","BEST_FPERIOD_OVERRIDE=FQ","FILING_STATUS=MR","Sort=A","Dates=H","DateFormat=P","Fill=—","Direction=H","UseDPDF=Y")</f>
        <v>0</v>
      </c>
      <c r="N61" s="14">
        <f>_xll.BDH("SRPT US Equity","IS_DISC_OPS_DILUTED_SH","FQ3 2021","FQ3 2021","Currency=USD","Period=FQ","BEST_FPERIOD_OVERRIDE=FQ","FILING_STATUS=MR","Sort=A","Dates=H","DateFormat=P","Fill=—","Direction=H","UseDPDF=Y")</f>
        <v>0</v>
      </c>
      <c r="O61" s="14">
        <f>_xll.BDH("SRPT US Equity","IS_DISC_OPS_DILUTED_SH","FQ4 2021","FQ4 2021","Currency=USD","Period=FQ","BEST_FPERIOD_OVERRIDE=FQ","FILING_STATUS=MR","Sort=A","Dates=H","DateFormat=P","Fill=—","Direction=H","UseDPDF=Y")</f>
        <v>0</v>
      </c>
      <c r="P61" s="14">
        <f>_xll.BDH("SRPT US Equity","IS_DISC_OPS_DILUTED_SH","FQ1 2022","FQ1 2022","Currency=USD","Period=FQ","BEST_FPERIOD_OVERRIDE=FQ","FILING_STATUS=MR","Sort=A","Dates=H","DateFormat=P","Fill=—","Direction=H","UseDPDF=Y")</f>
        <v>0</v>
      </c>
      <c r="Q61" s="14">
        <f>_xll.BDH("SRPT US Equity","IS_DISC_OPS_DILUTED_SH","FQ2 2022","FQ2 2022","Currency=USD","Period=FQ","BEST_FPERIOD_OVERRIDE=FQ","FILING_STATUS=MR","Sort=A","Dates=H","DateFormat=P","Fill=—","Direction=H","UseDPDF=Y")</f>
        <v>0</v>
      </c>
      <c r="R61" s="14">
        <f>_xll.BDH("SRPT US Equity","IS_DISC_OPS_DILUTED_SH","FQ3 2022","FQ3 2022","Currency=USD","Period=FQ","BEST_FPERIOD_OVERRIDE=FQ","FILING_STATUS=MR","Sort=A","Dates=H","DateFormat=P","Fill=—","Direction=H","UseDPDF=Y")</f>
        <v>0</v>
      </c>
      <c r="S61" s="14">
        <f>_xll.BDH("SRPT US Equity","IS_DISC_OPS_DILUTED_SH","FQ4 2022","FQ4 2022","Currency=USD","Period=FQ","BEST_FPERIOD_OVERRIDE=FQ","FILING_STATUS=MR","Sort=A","Dates=H","DateFormat=P","Fill=—","Direction=H","UseDPDF=Y")</f>
        <v>0</v>
      </c>
      <c r="T61" s="14">
        <f>_xll.BDH("SRPT US Equity","IS_DISC_OPS_DILUTED_SH","FQ1 2023","FQ1 2023","Currency=USD","Period=FQ","BEST_FPERIOD_OVERRIDE=FQ","FILING_STATUS=MR","Sort=A","Dates=H","DateFormat=P","Fill=—","Direction=H","UseDPDF=Y")</f>
        <v>0</v>
      </c>
      <c r="U61" s="14">
        <f>_xll.BDH("SRPT US Equity","IS_DISC_OPS_DILUTED_SH","FQ2 2023","FQ2 2023","Currency=USD","Period=FQ","BEST_FPERIOD_OVERRIDE=FQ","FILING_STATUS=MR","Sort=A","Dates=H","DateFormat=P","Fill=—","Direction=H","UseDPDF=Y")</f>
        <v>0</v>
      </c>
      <c r="V61" s="14">
        <f>_xll.BDH("SRPT US Equity","IS_DISC_OPS_DILUTED_SH","FQ3 2023","FQ3 2023","Currency=USD","Period=FQ","BEST_FPERIOD_OVERRIDE=FQ","FILING_STATUS=MR","Sort=A","Dates=H","DateFormat=P","Fill=—","Direction=H","UseDPDF=Y")</f>
        <v>0</v>
      </c>
      <c r="W61" s="14">
        <f>_xll.BDH("SRPT US Equity","IS_DISC_OPS_DILUTED_SH","FQ4 2023","FQ4 2023","Currency=USD","Period=FQ","BEST_FPERIOD_OVERRIDE=FQ","FILING_STATUS=MR","Sort=A","Dates=H","DateFormat=P","Fill=—","Direction=H","UseDPDF=Y")</f>
        <v>0</v>
      </c>
      <c r="X61" s="14">
        <f>_xll.BDH("SRPT US Equity","IS_DISC_OPS_DILUTED_SH","FQ1 2024","FQ1 2024","Currency=USD","Period=FQ","BEST_FPERIOD_OVERRIDE=FQ","FILING_STATUS=MR","Sort=A","Dates=H","DateFormat=P","Fill=—","Direction=H","UseDPDF=Y")</f>
        <v>0</v>
      </c>
      <c r="Y61" s="14">
        <f>_xll.BDH("SRPT US Equity","IS_DISC_OPS_DILUTED_SH","FQ2 2024","FQ2 2024","Currency=USD","Period=FQ","BEST_FPERIOD_OVERRIDE=FQ","FILING_STATUS=MR","Sort=A","Dates=H","DateFormat=P","Fill=—","Direction=H","UseDPDF=Y")</f>
        <v>0</v>
      </c>
      <c r="Z61" s="14">
        <f>_xll.BDH("SRPT US Equity","IS_DISC_OPS_DILUTED_SH","FQ3 2024","FQ3 2024","Currency=USD","Period=FQ","BEST_FPERIOD_OVERRIDE=FQ","FILING_STATUS=MR","Sort=A","Dates=H","DateFormat=P","Fill=—","Direction=H","UseDPDF=Y")</f>
        <v>0</v>
      </c>
      <c r="AA61" s="14">
        <f>_xll.BDH("SRPT US Equity","IS_DISC_OPS_DILUTED_SH","FQ4 2024","FQ4 2024","Currency=USD","Period=FQ","BEST_FPERIOD_OVERRIDE=FQ","FILING_STATUS=MR","Sort=A","Dates=H","DateFormat=P","Fill=—","Direction=H","UseDPDF=Y")</f>
        <v>0</v>
      </c>
    </row>
    <row r="62" spans="1:27" x14ac:dyDescent="0.25">
      <c r="A62" s="10" t="s">
        <v>628</v>
      </c>
      <c r="B62" s="10" t="s">
        <v>642</v>
      </c>
      <c r="C62" s="14">
        <f>_xll.BDH("SRPT US Equity","IS_XO_ITEMS_ACCT_CHG_DIL_SH","FQ4 2018","FQ4 2018","Currency=USD","Period=FQ","BEST_FPERIOD_OVERRIDE=FQ","FILING_STATUS=MR","Sort=A","Dates=H","DateFormat=P","Fill=—","Direction=H","UseDPDF=Y")</f>
        <v>0</v>
      </c>
      <c r="D62" s="14">
        <f>_xll.BDH("SRPT US Equity","IS_XO_ITEMS_ACCT_CHG_DIL_SH","FQ1 2019","FQ1 2019","Currency=USD","Period=FQ","BEST_FPERIOD_OVERRIDE=FQ","FILING_STATUS=MR","Sort=A","Dates=H","DateFormat=P","Fill=—","Direction=H","UseDPDF=Y")</f>
        <v>0</v>
      </c>
      <c r="E62" s="14">
        <f>_xll.BDH("SRPT US Equity","IS_XO_ITEMS_ACCT_CHG_DIL_SH","FQ2 2019","FQ2 2019","Currency=USD","Period=FQ","BEST_FPERIOD_OVERRIDE=FQ","FILING_STATUS=MR","Sort=A","Dates=H","DateFormat=P","Fill=—","Direction=H","UseDPDF=Y")</f>
        <v>0</v>
      </c>
      <c r="F62" s="14">
        <f>_xll.BDH("SRPT US Equity","IS_XO_ITEMS_ACCT_CHG_DIL_SH","FQ3 2019","FQ3 2019","Currency=USD","Period=FQ","BEST_FPERIOD_OVERRIDE=FQ","FILING_STATUS=MR","Sort=A","Dates=H","DateFormat=P","Fill=—","Direction=H","UseDPDF=Y")</f>
        <v>0</v>
      </c>
      <c r="G62" s="14">
        <f>_xll.BDH("SRPT US Equity","IS_XO_ITEMS_ACCT_CHG_DIL_SH","FQ4 2019","FQ4 2019","Currency=USD","Period=FQ","BEST_FPERIOD_OVERRIDE=FQ","FILING_STATUS=MR","Sort=A","Dates=H","DateFormat=P","Fill=—","Direction=H","UseDPDF=Y")</f>
        <v>0</v>
      </c>
      <c r="H62" s="14">
        <f>_xll.BDH("SRPT US Equity","IS_XO_ITEMS_ACCT_CHG_DIL_SH","FQ1 2020","FQ1 2020","Currency=USD","Period=FQ","BEST_FPERIOD_OVERRIDE=FQ","FILING_STATUS=MR","Sort=A","Dates=H","DateFormat=P","Fill=—","Direction=H","UseDPDF=Y")</f>
        <v>0</v>
      </c>
      <c r="I62" s="14">
        <f>_xll.BDH("SRPT US Equity","IS_XO_ITEMS_ACCT_CHG_DIL_SH","FQ2 2020","FQ2 2020","Currency=USD","Period=FQ","BEST_FPERIOD_OVERRIDE=FQ","FILING_STATUS=MR","Sort=A","Dates=H","DateFormat=P","Fill=—","Direction=H","UseDPDF=Y")</f>
        <v>0</v>
      </c>
      <c r="J62" s="14">
        <f>_xll.BDH("SRPT US Equity","IS_XO_ITEMS_ACCT_CHG_DIL_SH","FQ3 2020","FQ3 2020","Currency=USD","Period=FQ","BEST_FPERIOD_OVERRIDE=FQ","FILING_STATUS=MR","Sort=A","Dates=H","DateFormat=P","Fill=—","Direction=H","UseDPDF=Y")</f>
        <v>0</v>
      </c>
      <c r="K62" s="14">
        <f>_xll.BDH("SRPT US Equity","IS_XO_ITEMS_ACCT_CHG_DIL_SH","FQ4 2020","FQ4 2020","Currency=USD","Period=FQ","BEST_FPERIOD_OVERRIDE=FQ","FILING_STATUS=MR","Sort=A","Dates=H","DateFormat=P","Fill=—","Direction=H","UseDPDF=Y")</f>
        <v>0</v>
      </c>
      <c r="L62" s="14">
        <f>_xll.BDH("SRPT US Equity","IS_XO_ITEMS_ACCT_CHG_DIL_SH","FQ1 2021","FQ1 2021","Currency=USD","Period=FQ","BEST_FPERIOD_OVERRIDE=FQ","FILING_STATUS=MR","Sort=A","Dates=H","DateFormat=P","Fill=—","Direction=H","UseDPDF=Y")</f>
        <v>0</v>
      </c>
      <c r="M62" s="14">
        <f>_xll.BDH("SRPT US Equity","IS_XO_ITEMS_ACCT_CHG_DIL_SH","FQ2 2021","FQ2 2021","Currency=USD","Period=FQ","BEST_FPERIOD_OVERRIDE=FQ","FILING_STATUS=MR","Sort=A","Dates=H","DateFormat=P","Fill=—","Direction=H","UseDPDF=Y")</f>
        <v>0</v>
      </c>
      <c r="N62" s="14">
        <f>_xll.BDH("SRPT US Equity","IS_XO_ITEMS_ACCT_CHG_DIL_SH","FQ3 2021","FQ3 2021","Currency=USD","Period=FQ","BEST_FPERIOD_OVERRIDE=FQ","FILING_STATUS=MR","Sort=A","Dates=H","DateFormat=P","Fill=—","Direction=H","UseDPDF=Y")</f>
        <v>0</v>
      </c>
      <c r="O62" s="14">
        <f>_xll.BDH("SRPT US Equity","IS_XO_ITEMS_ACCT_CHG_DIL_SH","FQ4 2021","FQ4 2021","Currency=USD","Period=FQ","BEST_FPERIOD_OVERRIDE=FQ","FILING_STATUS=MR","Sort=A","Dates=H","DateFormat=P","Fill=—","Direction=H","UseDPDF=Y")</f>
        <v>0</v>
      </c>
      <c r="P62" s="14">
        <f>_xll.BDH("SRPT US Equity","IS_XO_ITEMS_ACCT_CHG_DIL_SH","FQ1 2022","FQ1 2022","Currency=USD","Period=FQ","BEST_FPERIOD_OVERRIDE=FQ","FILING_STATUS=MR","Sort=A","Dates=H","DateFormat=P","Fill=—","Direction=H","UseDPDF=Y")</f>
        <v>0</v>
      </c>
      <c r="Q62" s="14">
        <f>_xll.BDH("SRPT US Equity","IS_XO_ITEMS_ACCT_CHG_DIL_SH","FQ2 2022","FQ2 2022","Currency=USD","Period=FQ","BEST_FPERIOD_OVERRIDE=FQ","FILING_STATUS=MR","Sort=A","Dates=H","DateFormat=P","Fill=—","Direction=H","UseDPDF=Y")</f>
        <v>0</v>
      </c>
      <c r="R62" s="14">
        <f>_xll.BDH("SRPT US Equity","IS_XO_ITEMS_ACCT_CHG_DIL_SH","FQ3 2022","FQ3 2022","Currency=USD","Period=FQ","BEST_FPERIOD_OVERRIDE=FQ","FILING_STATUS=MR","Sort=A","Dates=H","DateFormat=P","Fill=—","Direction=H","UseDPDF=Y")</f>
        <v>0</v>
      </c>
      <c r="S62" s="14">
        <f>_xll.BDH("SRPT US Equity","IS_XO_ITEMS_ACCT_CHG_DIL_SH","FQ4 2022","FQ4 2022","Currency=USD","Period=FQ","BEST_FPERIOD_OVERRIDE=FQ","FILING_STATUS=MR","Sort=A","Dates=H","DateFormat=P","Fill=—","Direction=H","UseDPDF=Y")</f>
        <v>0</v>
      </c>
      <c r="T62" s="14">
        <f>_xll.BDH("SRPT US Equity","IS_XO_ITEMS_ACCT_CHG_DIL_SH","FQ1 2023","FQ1 2023","Currency=USD","Period=FQ","BEST_FPERIOD_OVERRIDE=FQ","FILING_STATUS=MR","Sort=A","Dates=H","DateFormat=P","Fill=—","Direction=H","UseDPDF=Y")</f>
        <v>0</v>
      </c>
      <c r="U62" s="14">
        <f>_xll.BDH("SRPT US Equity","IS_XO_ITEMS_ACCT_CHG_DIL_SH","FQ2 2023","FQ2 2023","Currency=USD","Period=FQ","BEST_FPERIOD_OVERRIDE=FQ","FILING_STATUS=MR","Sort=A","Dates=H","DateFormat=P","Fill=—","Direction=H","UseDPDF=Y")</f>
        <v>0</v>
      </c>
      <c r="V62" s="14">
        <f>_xll.BDH("SRPT US Equity","IS_XO_ITEMS_ACCT_CHG_DIL_SH","FQ3 2023","FQ3 2023","Currency=USD","Period=FQ","BEST_FPERIOD_OVERRIDE=FQ","FILING_STATUS=MR","Sort=A","Dates=H","DateFormat=P","Fill=—","Direction=H","UseDPDF=Y")</f>
        <v>0</v>
      </c>
      <c r="W62" s="14">
        <f>_xll.BDH("SRPT US Equity","IS_XO_ITEMS_ACCT_CHG_DIL_SH","FQ4 2023","FQ4 2023","Currency=USD","Period=FQ","BEST_FPERIOD_OVERRIDE=FQ","FILING_STATUS=MR","Sort=A","Dates=H","DateFormat=P","Fill=—","Direction=H","UseDPDF=Y")</f>
        <v>0</v>
      </c>
      <c r="X62" s="14">
        <f>_xll.BDH("SRPT US Equity","IS_XO_ITEMS_ACCT_CHG_DIL_SH","FQ1 2024","FQ1 2024","Currency=USD","Period=FQ","BEST_FPERIOD_OVERRIDE=FQ","FILING_STATUS=MR","Sort=A","Dates=H","DateFormat=P","Fill=—","Direction=H","UseDPDF=Y")</f>
        <v>0</v>
      </c>
      <c r="Y62" s="14">
        <f>_xll.BDH("SRPT US Equity","IS_XO_ITEMS_ACCT_CHG_DIL_SH","FQ2 2024","FQ2 2024","Currency=USD","Period=FQ","BEST_FPERIOD_OVERRIDE=FQ","FILING_STATUS=MR","Sort=A","Dates=H","DateFormat=P","Fill=—","Direction=H","UseDPDF=Y")</f>
        <v>0</v>
      </c>
      <c r="Z62" s="14">
        <f>_xll.BDH("SRPT US Equity","IS_XO_ITEMS_ACCT_CHG_DIL_SH","FQ3 2024","FQ3 2024","Currency=USD","Period=FQ","BEST_FPERIOD_OVERRIDE=FQ","FILING_STATUS=MR","Sort=A","Dates=H","DateFormat=P","Fill=—","Direction=H","UseDPDF=Y")</f>
        <v>0</v>
      </c>
      <c r="AA62" s="14">
        <f>_xll.BDH("SRPT US Equity","IS_XO_ITEMS_ACCT_CHG_DIL_SH","FQ4 2024","FQ4 2024","Currency=USD","Period=FQ","BEST_FPERIOD_OVERRIDE=FQ","FILING_STATUS=MR","Sort=A","Dates=H","DateFormat=P","Fill=—","Direction=H","UseDPDF=Y")</f>
        <v>0</v>
      </c>
    </row>
    <row r="63" spans="1:27" x14ac:dyDescent="0.25">
      <c r="A63" s="6" t="s">
        <v>393</v>
      </c>
      <c r="B63" s="6" t="s">
        <v>271</v>
      </c>
      <c r="C63" s="20">
        <f>_xll.BDH("SRPT US Equity","IS_DIL_EPS_BEF_XO","FQ4 2018","FQ4 2018","Currency=USD","Period=FQ","BEST_FPERIOD_OVERRIDE=FQ","FILING_STATUS=MR","Sort=A","Dates=H","DateFormat=P","Fill=—","Direction=H","UseDPDF=Y")</f>
        <v>-2.0499999999999998</v>
      </c>
      <c r="D63" s="20">
        <f>_xll.BDH("SRPT US Equity","IS_DIL_EPS_BEF_XO","FQ1 2019","FQ1 2019","Currency=USD","Period=FQ","BEST_FPERIOD_OVERRIDE=FQ","FILING_STATUS=MR","Sort=A","Dates=H","DateFormat=P","Fill=—","Direction=H","UseDPDF=Y")</f>
        <v>-1.07</v>
      </c>
      <c r="E63" s="20">
        <f>_xll.BDH("SRPT US Equity","IS_DIL_EPS_BEF_XO","FQ2 2019","FQ2 2019","Currency=USD","Period=FQ","BEST_FPERIOD_OVERRIDE=FQ","FILING_STATUS=MR","Sort=A","Dates=H","DateFormat=P","Fill=—","Direction=H","UseDPDF=Y")</f>
        <v>-3.74</v>
      </c>
      <c r="F63" s="20">
        <f>_xll.BDH("SRPT US Equity","IS_DIL_EPS_BEF_XO","FQ3 2019","FQ3 2019","Currency=USD","Period=FQ","BEST_FPERIOD_OVERRIDE=FQ","FILING_STATUS=MR","Sort=A","Dates=H","DateFormat=P","Fill=—","Direction=H","UseDPDF=Y")</f>
        <v>-1.7</v>
      </c>
      <c r="G63" s="20">
        <f>_xll.BDH("SRPT US Equity","IS_DIL_EPS_BEF_XO","FQ4 2019","FQ4 2019","Currency=USD","Period=FQ","BEST_FPERIOD_OVERRIDE=FQ","FILING_STATUS=MR","Sort=A","Dates=H","DateFormat=P","Fill=—","Direction=H","UseDPDF=Y")</f>
        <v>-3.16</v>
      </c>
      <c r="H63" s="20">
        <f>_xll.BDH("SRPT US Equity","IS_DIL_EPS_BEF_XO","FQ1 2020","FQ1 2020","Currency=USD","Period=FQ","BEST_FPERIOD_OVERRIDE=FQ","FILING_STATUS=MR","Sort=A","Dates=H","DateFormat=P","Fill=—","Direction=H","UseDPDF=Y")</f>
        <v>-0.23</v>
      </c>
      <c r="I63" s="20">
        <f>_xll.BDH("SRPT US Equity","IS_DIL_EPS_BEF_XO","FQ2 2020","FQ2 2020","Currency=USD","Period=FQ","BEST_FPERIOD_OVERRIDE=FQ","FILING_STATUS=MR","Sort=A","Dates=H","DateFormat=P","Fill=—","Direction=H","UseDPDF=Y")</f>
        <v>-1.93</v>
      </c>
      <c r="J63" s="20">
        <f>_xll.BDH("SRPT US Equity","IS_DIL_EPS_BEF_XO","FQ3 2020","FQ3 2020","Currency=USD","Period=FQ","BEST_FPERIOD_OVERRIDE=FQ","FILING_STATUS=MR","Sort=A","Dates=H","DateFormat=P","Fill=—","Direction=H","UseDPDF=Y")</f>
        <v>-2.5</v>
      </c>
      <c r="K63" s="20">
        <f>_xll.BDH("SRPT US Equity","IS_DIL_EPS_BEF_XO","FQ4 2020","FQ4 2020","Currency=USD","Period=FQ","BEST_FPERIOD_OVERRIDE=FQ","FILING_STATUS=MR","Sort=A","Dates=H","DateFormat=P","Fill=—","Direction=H","UseDPDF=Y")</f>
        <v>-2.4</v>
      </c>
      <c r="L63" s="20">
        <f>_xll.BDH("SRPT US Equity","IS_DIL_EPS_BEF_XO","FQ1 2021","FQ1 2021","Currency=USD","Period=FQ","BEST_FPERIOD_OVERRIDE=FQ","FILING_STATUS=MR","Sort=A","Dates=H","DateFormat=P","Fill=—","Direction=H","UseDPDF=Y")</f>
        <v>-2.1</v>
      </c>
      <c r="M63" s="20">
        <f>_xll.BDH("SRPT US Equity","IS_DIL_EPS_BEF_XO","FQ2 2021","FQ2 2021","Currency=USD","Period=FQ","BEST_FPERIOD_OVERRIDE=FQ","FILING_STATUS=MR","Sort=A","Dates=H","DateFormat=P","Fill=—","Direction=H","UseDPDF=Y")</f>
        <v>-1.02</v>
      </c>
      <c r="N63" s="20">
        <f>_xll.BDH("SRPT US Equity","IS_DIL_EPS_BEF_XO","FQ3 2021","FQ3 2021","Currency=USD","Period=FQ","BEST_FPERIOD_OVERRIDE=FQ","FILING_STATUS=MR","Sort=A","Dates=H","DateFormat=P","Fill=—","Direction=H","UseDPDF=Y")</f>
        <v>-0.6</v>
      </c>
      <c r="O63" s="20">
        <f>_xll.BDH("SRPT US Equity","IS_DIL_EPS_BEF_XO","FQ4 2021","FQ4 2021","Currency=USD","Period=FQ","BEST_FPERIOD_OVERRIDE=FQ","FILING_STATUS=MR","Sort=A","Dates=H","DateFormat=P","Fill=—","Direction=H","UseDPDF=Y")</f>
        <v>-1.42</v>
      </c>
      <c r="P63" s="20">
        <f>_xll.BDH("SRPT US Equity","IS_DIL_EPS_BEF_XO","FQ1 2022","FQ1 2022","Currency=USD","Period=FQ","BEST_FPERIOD_OVERRIDE=FQ","FILING_STATUS=MR","Sort=A","Dates=H","DateFormat=P","Fill=—","Direction=H","UseDPDF=Y")</f>
        <v>-1.2</v>
      </c>
      <c r="Q63" s="20">
        <f>_xll.BDH("SRPT US Equity","IS_DIL_EPS_BEF_XO","FQ2 2022","FQ2 2022","Currency=USD","Period=FQ","BEST_FPERIOD_OVERRIDE=FQ","FILING_STATUS=MR","Sort=A","Dates=H","DateFormat=P","Fill=—","Direction=H","UseDPDF=Y")</f>
        <v>-2.65</v>
      </c>
      <c r="R63" s="20">
        <f>_xll.BDH("SRPT US Equity","IS_DIL_EPS_BEF_XO","FQ3 2022","FQ3 2022","Currency=USD","Period=FQ","BEST_FPERIOD_OVERRIDE=FQ","FILING_STATUS=MR","Sort=A","Dates=H","DateFormat=P","Fill=—","Direction=H","UseDPDF=Y")</f>
        <v>-2.94</v>
      </c>
      <c r="S63" s="20">
        <f>_xll.BDH("SRPT US Equity","IS_DIL_EPS_BEF_XO","FQ4 2022","FQ4 2022","Currency=USD","Period=FQ","BEST_FPERIOD_OVERRIDE=FQ","FILING_STATUS=MR","Sort=A","Dates=H","DateFormat=P","Fill=—","Direction=H","UseDPDF=Y")</f>
        <v>-1.24</v>
      </c>
      <c r="T63" s="20">
        <f>_xll.BDH("SRPT US Equity","IS_DIL_EPS_BEF_XO","FQ1 2023","FQ1 2023","Currency=USD","Period=FQ","BEST_FPERIOD_OVERRIDE=FQ","FILING_STATUS=MR","Sort=A","Dates=H","DateFormat=P","Fill=—","Direction=H","UseDPDF=Y")</f>
        <v>-5.86</v>
      </c>
      <c r="U63" s="20">
        <f>_xll.BDH("SRPT US Equity","IS_DIL_EPS_BEF_XO","FQ2 2023","FQ2 2023","Currency=USD","Period=FQ","BEST_FPERIOD_OVERRIDE=FQ","FILING_STATUS=MR","Sort=A","Dates=H","DateFormat=P","Fill=—","Direction=H","UseDPDF=Y")</f>
        <v>-0.27</v>
      </c>
      <c r="V63" s="20">
        <f>_xll.BDH("SRPT US Equity","IS_DIL_EPS_BEF_XO","FQ3 2023","FQ3 2023","Currency=USD","Period=FQ","BEST_FPERIOD_OVERRIDE=FQ","FILING_STATUS=MR","Sort=A","Dates=H","DateFormat=P","Fill=—","Direction=H","UseDPDF=Y")</f>
        <v>-0.46</v>
      </c>
      <c r="W63" s="20">
        <f>_xll.BDH("SRPT US Equity","IS_DIL_EPS_BEF_XO","FQ4 2023","FQ4 2023","Currency=USD","Period=FQ","BEST_FPERIOD_OVERRIDE=FQ","FILING_STATUS=MR","Sort=A","Dates=H","DateFormat=P","Fill=—","Direction=H","UseDPDF=Y")</f>
        <v>0.47</v>
      </c>
      <c r="X63" s="20">
        <f>_xll.BDH("SRPT US Equity","IS_DIL_EPS_BEF_XO","FQ1 2024","FQ1 2024","Currency=USD","Period=FQ","BEST_FPERIOD_OVERRIDE=FQ","FILING_STATUS=MR","Sort=A","Dates=H","DateFormat=P","Fill=—","Direction=H","UseDPDF=Y")</f>
        <v>0.37</v>
      </c>
      <c r="Y63" s="20">
        <f>_xll.BDH("SRPT US Equity","IS_DIL_EPS_BEF_XO","FQ2 2024","FQ2 2024","Currency=USD","Period=FQ","BEST_FPERIOD_OVERRIDE=FQ","FILING_STATUS=MR","Sort=A","Dates=H","DateFormat=P","Fill=—","Direction=H","UseDPDF=Y")</f>
        <v>7.0000000000000007E-2</v>
      </c>
      <c r="Z63" s="20">
        <f>_xll.BDH("SRPT US Equity","IS_DIL_EPS_BEF_XO","FQ3 2024","FQ3 2024","Currency=USD","Period=FQ","BEST_FPERIOD_OVERRIDE=FQ","FILING_STATUS=MR","Sort=A","Dates=H","DateFormat=P","Fill=—","Direction=H","UseDPDF=Y")</f>
        <v>0.34</v>
      </c>
      <c r="AA63" s="20">
        <f>_xll.BDH("SRPT US Equity","IS_DIL_EPS_BEF_XO","FQ4 2024","FQ4 2024","Currency=USD","Period=FQ","BEST_FPERIOD_OVERRIDE=FQ","FILING_STATUS=MR","Sort=A","Dates=H","DateFormat=P","Fill=—","Direction=H","UseDPDF=Y")</f>
        <v>1.5</v>
      </c>
    </row>
    <row r="64" spans="1:27" x14ac:dyDescent="0.25">
      <c r="A64" s="10" t="s">
        <v>610</v>
      </c>
      <c r="B64" s="10" t="s">
        <v>643</v>
      </c>
      <c r="C64" s="14" t="str">
        <f>_xll.BDH("SRPT US Equity","IS_AIP_RD_PER_DILUTED_SHARE","FQ4 2018","FQ4 2018","Currency=USD","Period=FQ","BEST_FPERIOD_OVERRIDE=FQ","FILING_STATUS=MR","Sort=A","Dates=H","DateFormat=P","Fill=—","Direction=H","UseDPDF=Y")</f>
        <v>—</v>
      </c>
      <c r="D64" s="14" t="str">
        <f>_xll.BDH("SRPT US Equity","IS_AIP_RD_PER_DILUTED_SHARE","FQ1 2019","FQ1 2019","Currency=USD","Period=FQ","BEST_FPERIOD_OVERRIDE=FQ","FILING_STATUS=MR","Sort=A","Dates=H","DateFormat=P","Fill=—","Direction=H","UseDPDF=Y")</f>
        <v>—</v>
      </c>
      <c r="E64" s="14">
        <f>_xll.BDH("SRPT US Equity","IS_AIP_RD_PER_DILUTED_SHARE","FQ2 2019","FQ2 2019","Currency=USD","Period=FQ","BEST_FPERIOD_OVERRIDE=FQ","FILING_STATUS=MR","Sort=A","Dates=H","DateFormat=P","Fill=—","Direction=H","UseDPDF=Y")</f>
        <v>2.3424</v>
      </c>
      <c r="F64" s="14" t="str">
        <f>_xll.BDH("SRPT US Equity","IS_AIP_RD_PER_DILUTED_SHARE","FQ3 2019","FQ3 2019","Currency=USD","Period=FQ","BEST_FPERIOD_OVERRIDE=FQ","FILING_STATUS=MR","Sort=A","Dates=H","DateFormat=P","Fill=—","Direction=H","UseDPDF=Y")</f>
        <v>—</v>
      </c>
      <c r="G64" s="14" t="str">
        <f>_xll.BDH("SRPT US Equity","IS_AIP_RD_PER_DILUTED_SHARE","FQ4 2019","FQ4 2019","Currency=USD","Period=FQ","BEST_FPERIOD_OVERRIDE=FQ","FILING_STATUS=MR","Sort=A","Dates=H","DateFormat=P","Fill=—","Direction=H","UseDPDF=Y")</f>
        <v>—</v>
      </c>
      <c r="H64" s="14" t="str">
        <f>_xll.BDH("SRPT US Equity","IS_AIP_RD_PER_DILUTED_SHARE","FQ1 2020","FQ1 2020","Currency=USD","Period=FQ","BEST_FPERIOD_OVERRIDE=FQ","FILING_STATUS=MR","Sort=A","Dates=H","DateFormat=P","Fill=—","Direction=H","UseDPDF=Y")</f>
        <v>—</v>
      </c>
      <c r="I64" s="14" t="str">
        <f>_xll.BDH("SRPT US Equity","IS_AIP_RD_PER_DILUTED_SHARE","FQ2 2020","FQ2 2020","Currency=USD","Period=FQ","BEST_FPERIOD_OVERRIDE=FQ","FILING_STATUS=MR","Sort=A","Dates=H","DateFormat=P","Fill=—","Direction=H","UseDPDF=Y")</f>
        <v>—</v>
      </c>
      <c r="J64" s="14" t="str">
        <f>_xll.BDH("SRPT US Equity","IS_AIP_RD_PER_DILUTED_SHARE","FQ3 2020","FQ3 2020","Currency=USD","Period=FQ","BEST_FPERIOD_OVERRIDE=FQ","FILING_STATUS=MR","Sort=A","Dates=H","DateFormat=P","Fill=—","Direction=H","UseDPDF=Y")</f>
        <v>—</v>
      </c>
      <c r="K64" s="14" t="str">
        <f>_xll.BDH("SRPT US Equity","IS_AIP_RD_PER_DILUTED_SHARE","FQ4 2020","FQ4 2020","Currency=USD","Period=FQ","BEST_FPERIOD_OVERRIDE=FQ","FILING_STATUS=MR","Sort=A","Dates=H","DateFormat=P","Fill=—","Direction=H","UseDPDF=Y")</f>
        <v>—</v>
      </c>
      <c r="L64" s="14" t="str">
        <f>_xll.BDH("SRPT US Equity","IS_AIP_RD_PER_DILUTED_SHARE","FQ1 2021","FQ1 2021","Currency=USD","Period=FQ","BEST_FPERIOD_OVERRIDE=FQ","FILING_STATUS=MR","Sort=A","Dates=H","DateFormat=P","Fill=—","Direction=H","UseDPDF=Y")</f>
        <v>—</v>
      </c>
      <c r="M64" s="14" t="str">
        <f>_xll.BDH("SRPT US Equity","IS_AIP_RD_PER_DILUTED_SHARE","FQ2 2021","FQ2 2021","Currency=USD","Period=FQ","BEST_FPERIOD_OVERRIDE=FQ","FILING_STATUS=MR","Sort=A","Dates=H","DateFormat=P","Fill=—","Direction=H","UseDPDF=Y")</f>
        <v>—</v>
      </c>
      <c r="N64" s="14" t="str">
        <f>_xll.BDH("SRPT US Equity","IS_AIP_RD_PER_DILUTED_SHARE","FQ3 2021","FQ3 2021","Currency=USD","Period=FQ","BEST_FPERIOD_OVERRIDE=FQ","FILING_STATUS=MR","Sort=A","Dates=H","DateFormat=P","Fill=—","Direction=H","UseDPDF=Y")</f>
        <v>—</v>
      </c>
      <c r="O64" s="14" t="str">
        <f>_xll.BDH("SRPT US Equity","IS_AIP_RD_PER_DILUTED_SHARE","FQ4 2021","FQ4 2021","Currency=USD","Period=FQ","BEST_FPERIOD_OVERRIDE=FQ","FILING_STATUS=MR","Sort=A","Dates=H","DateFormat=P","Fill=—","Direction=H","UseDPDF=Y")</f>
        <v>—</v>
      </c>
      <c r="P64" s="14" t="str">
        <f>_xll.BDH("SRPT US Equity","IS_AIP_RD_PER_DILUTED_SHARE","FQ1 2022","FQ1 2022","Currency=USD","Period=FQ","BEST_FPERIOD_OVERRIDE=FQ","FILING_STATUS=MR","Sort=A","Dates=H","DateFormat=P","Fill=—","Direction=H","UseDPDF=Y")</f>
        <v>—</v>
      </c>
      <c r="Q64" s="14" t="str">
        <f>_xll.BDH("SRPT US Equity","IS_AIP_RD_PER_DILUTED_SHARE","FQ2 2022","FQ2 2022","Currency=USD","Period=FQ","BEST_FPERIOD_OVERRIDE=FQ","FILING_STATUS=MR","Sort=A","Dates=H","DateFormat=P","Fill=—","Direction=H","UseDPDF=Y")</f>
        <v>—</v>
      </c>
      <c r="R64" s="14" t="str">
        <f>_xll.BDH("SRPT US Equity","IS_AIP_RD_PER_DILUTED_SHARE","FQ3 2022","FQ3 2022","Currency=USD","Period=FQ","BEST_FPERIOD_OVERRIDE=FQ","FILING_STATUS=MR","Sort=A","Dates=H","DateFormat=P","Fill=—","Direction=H","UseDPDF=Y")</f>
        <v>—</v>
      </c>
      <c r="S64" s="14" t="str">
        <f>_xll.BDH("SRPT US Equity","IS_AIP_RD_PER_DILUTED_SHARE","FQ4 2022","FQ4 2022","Currency=USD","Period=FQ","BEST_FPERIOD_OVERRIDE=FQ","FILING_STATUS=MR","Sort=A","Dates=H","DateFormat=P","Fill=—","Direction=H","UseDPDF=Y")</f>
        <v>—</v>
      </c>
      <c r="T64" s="14" t="str">
        <f>_xll.BDH("SRPT US Equity","IS_AIP_RD_PER_DILUTED_SHARE","FQ1 2023","FQ1 2023","Currency=USD","Period=FQ","BEST_FPERIOD_OVERRIDE=FQ","FILING_STATUS=MR","Sort=A","Dates=H","DateFormat=P","Fill=—","Direction=H","UseDPDF=Y")</f>
        <v>—</v>
      </c>
      <c r="U64" s="14" t="str">
        <f>_xll.BDH("SRPT US Equity","IS_AIP_RD_PER_DILUTED_SHARE","FQ2 2023","FQ2 2023","Currency=USD","Period=FQ","BEST_FPERIOD_OVERRIDE=FQ","FILING_STATUS=MR","Sort=A","Dates=H","DateFormat=P","Fill=—","Direction=H","UseDPDF=Y")</f>
        <v>—</v>
      </c>
      <c r="V64" s="14" t="str">
        <f>_xll.BDH("SRPT US Equity","IS_AIP_RD_PER_DILUTED_SHARE","FQ3 2023","FQ3 2023","Currency=USD","Period=FQ","BEST_FPERIOD_OVERRIDE=FQ","FILING_STATUS=MR","Sort=A","Dates=H","DateFormat=P","Fill=—","Direction=H","UseDPDF=Y")</f>
        <v>—</v>
      </c>
      <c r="W64" s="14" t="str">
        <f>_xll.BDH("SRPT US Equity","IS_AIP_RD_PER_DILUTED_SHARE","FQ4 2023","FQ4 2023","Currency=USD","Period=FQ","BEST_FPERIOD_OVERRIDE=FQ","FILING_STATUS=MR","Sort=A","Dates=H","DateFormat=P","Fill=—","Direction=H","UseDPDF=Y")</f>
        <v>—</v>
      </c>
      <c r="X64" s="14" t="str">
        <f>_xll.BDH("SRPT US Equity","IS_AIP_RD_PER_DILUTED_SHARE","FQ1 2024","FQ1 2024","Currency=USD","Period=FQ","BEST_FPERIOD_OVERRIDE=FQ","FILING_STATUS=MR","Sort=A","Dates=H","DateFormat=P","Fill=—","Direction=H","UseDPDF=Y")</f>
        <v>—</v>
      </c>
      <c r="Y64" s="14" t="str">
        <f>_xll.BDH("SRPT US Equity","IS_AIP_RD_PER_DILUTED_SHARE","FQ2 2024","FQ2 2024","Currency=USD","Period=FQ","BEST_FPERIOD_OVERRIDE=FQ","FILING_STATUS=MR","Sort=A","Dates=H","DateFormat=P","Fill=—","Direction=H","UseDPDF=Y")</f>
        <v>—</v>
      </c>
      <c r="Z64" s="14" t="str">
        <f>_xll.BDH("SRPT US Equity","IS_AIP_RD_PER_DILUTED_SHARE","FQ3 2024","FQ3 2024","Currency=USD","Period=FQ","BEST_FPERIOD_OVERRIDE=FQ","FILING_STATUS=MR","Sort=A","Dates=H","DateFormat=P","Fill=—","Direction=H","UseDPDF=Y")</f>
        <v>—</v>
      </c>
      <c r="AA64" s="14" t="str">
        <f>_xll.BDH("SRPT US Equity","IS_AIP_RD_PER_DILUTED_SHARE","FQ4 2024","FQ4 2024","Currency=USD","Period=FQ","BEST_FPERIOD_OVERRIDE=FQ","FILING_STATUS=MR","Sort=A","Dates=H","DateFormat=P","Fill=—","Direction=H","UseDPDF=Y")</f>
        <v>—</v>
      </c>
    </row>
    <row r="65" spans="1:27" x14ac:dyDescent="0.25">
      <c r="A65" s="10" t="s">
        <v>612</v>
      </c>
      <c r="B65" s="10" t="s">
        <v>644</v>
      </c>
      <c r="C65" s="14" t="str">
        <f>_xll.BDH("SRPT US Equity","IS_MERGER_ACQUIS_EXPN_DILUTED_SH","FQ4 2018","FQ4 2018","Currency=USD","Period=FQ","BEST_FPERIOD_OVERRIDE=FQ","FILING_STATUS=MR","Sort=A","Dates=H","DateFormat=P","Fill=—","Direction=H","UseDPDF=Y")</f>
        <v>—</v>
      </c>
      <c r="D65" s="14" t="str">
        <f>_xll.BDH("SRPT US Equity","IS_MERGER_ACQUIS_EXPN_DILUTED_SH","FQ1 2019","FQ1 2019","Currency=USD","Period=FQ","BEST_FPERIOD_OVERRIDE=FQ","FILING_STATUS=MR","Sort=A","Dates=H","DateFormat=P","Fill=—","Direction=H","UseDPDF=Y")</f>
        <v>—</v>
      </c>
      <c r="E65" s="14" t="str">
        <f>_xll.BDH("SRPT US Equity","IS_MERGER_ACQUIS_EXPN_DILUTED_SH","FQ2 2019","FQ2 2019","Currency=USD","Period=FQ","BEST_FPERIOD_OVERRIDE=FQ","FILING_STATUS=MR","Sort=A","Dates=H","DateFormat=P","Fill=—","Direction=H","UseDPDF=Y")</f>
        <v>—</v>
      </c>
      <c r="F65" s="14" t="str">
        <f>_xll.BDH("SRPT US Equity","IS_MERGER_ACQUIS_EXPN_DILUTED_SH","FQ3 2019","FQ3 2019","Currency=USD","Period=FQ","BEST_FPERIOD_OVERRIDE=FQ","FILING_STATUS=MR","Sort=A","Dates=H","DateFormat=P","Fill=—","Direction=H","UseDPDF=Y")</f>
        <v>—</v>
      </c>
      <c r="G65" s="14" t="str">
        <f>_xll.BDH("SRPT US Equity","IS_MERGER_ACQUIS_EXPN_DILUTED_SH","FQ4 2019","FQ4 2019","Currency=USD","Period=FQ","BEST_FPERIOD_OVERRIDE=FQ","FILING_STATUS=MR","Sort=A","Dates=H","DateFormat=P","Fill=—","Direction=H","UseDPDF=Y")</f>
        <v>—</v>
      </c>
      <c r="H65" s="14">
        <f>_xll.BDH("SRPT US Equity","IS_MERGER_ACQUIS_EXPN_DILUTED_SH","FQ1 2020","FQ1 2020","Currency=USD","Period=FQ","BEST_FPERIOD_OVERRIDE=FQ","FILING_STATUS=MR","Sort=A","Dates=H","DateFormat=P","Fill=—","Direction=H","UseDPDF=Y")</f>
        <v>0.14749999999999999</v>
      </c>
      <c r="I65" s="14" t="str">
        <f>_xll.BDH("SRPT US Equity","IS_MERGER_ACQUIS_EXPN_DILUTED_SH","FQ2 2020","FQ2 2020","Currency=USD","Period=FQ","BEST_FPERIOD_OVERRIDE=FQ","FILING_STATUS=MR","Sort=A","Dates=H","DateFormat=P","Fill=—","Direction=H","UseDPDF=Y")</f>
        <v>—</v>
      </c>
      <c r="J65" s="14" t="str">
        <f>_xll.BDH("SRPT US Equity","IS_MERGER_ACQUIS_EXPN_DILUTED_SH","FQ3 2020","FQ3 2020","Currency=USD","Period=FQ","BEST_FPERIOD_OVERRIDE=FQ","FILING_STATUS=MR","Sort=A","Dates=H","DateFormat=P","Fill=—","Direction=H","UseDPDF=Y")</f>
        <v>—</v>
      </c>
      <c r="K65" s="14" t="str">
        <f>_xll.BDH("SRPT US Equity","IS_MERGER_ACQUIS_EXPN_DILUTED_SH","FQ4 2020","FQ4 2020","Currency=USD","Period=FQ","BEST_FPERIOD_OVERRIDE=FQ","FILING_STATUS=MR","Sort=A","Dates=H","DateFormat=P","Fill=—","Direction=H","UseDPDF=Y")</f>
        <v>—</v>
      </c>
      <c r="L65" s="14" t="str">
        <f>_xll.BDH("SRPT US Equity","IS_MERGER_ACQUIS_EXPN_DILUTED_SH","FQ1 2021","FQ1 2021","Currency=USD","Period=FQ","BEST_FPERIOD_OVERRIDE=FQ","FILING_STATUS=MR","Sort=A","Dates=H","DateFormat=P","Fill=—","Direction=H","UseDPDF=Y")</f>
        <v>—</v>
      </c>
      <c r="M65" s="14" t="str">
        <f>_xll.BDH("SRPT US Equity","IS_MERGER_ACQUIS_EXPN_DILUTED_SH","FQ2 2021","FQ2 2021","Currency=USD","Period=FQ","BEST_FPERIOD_OVERRIDE=FQ","FILING_STATUS=MR","Sort=A","Dates=H","DateFormat=P","Fill=—","Direction=H","UseDPDF=Y")</f>
        <v>—</v>
      </c>
      <c r="N65" s="14">
        <f>_xll.BDH("SRPT US Equity","IS_MERGER_ACQUIS_EXPN_DILUTED_SH","FQ3 2021","FQ3 2021","Currency=USD","Period=FQ","BEST_FPERIOD_OVERRIDE=FQ","FILING_STATUS=MR","Sort=A","Dates=H","DateFormat=P","Fill=—","Direction=H","UseDPDF=Y")</f>
        <v>7.1199999999999999E-2</v>
      </c>
      <c r="O65" s="14" t="str">
        <f>_xll.BDH("SRPT US Equity","IS_MERGER_ACQUIS_EXPN_DILUTED_SH","FQ4 2021","FQ4 2021","Currency=USD","Period=FQ","BEST_FPERIOD_OVERRIDE=FQ","FILING_STATUS=MR","Sort=A","Dates=H","DateFormat=P","Fill=—","Direction=H","UseDPDF=Y")</f>
        <v>—</v>
      </c>
      <c r="P65" s="14" t="str">
        <f>_xll.BDH("SRPT US Equity","IS_MERGER_ACQUIS_EXPN_DILUTED_SH","FQ1 2022","FQ1 2022","Currency=USD","Period=FQ","BEST_FPERIOD_OVERRIDE=FQ","FILING_STATUS=MR","Sort=A","Dates=H","DateFormat=P","Fill=—","Direction=H","UseDPDF=Y")</f>
        <v>—</v>
      </c>
      <c r="Q65" s="14" t="str">
        <f>_xll.BDH("SRPT US Equity","IS_MERGER_ACQUIS_EXPN_DILUTED_SH","FQ2 2022","FQ2 2022","Currency=USD","Period=FQ","BEST_FPERIOD_OVERRIDE=FQ","FILING_STATUS=MR","Sort=A","Dates=H","DateFormat=P","Fill=—","Direction=H","UseDPDF=Y")</f>
        <v>—</v>
      </c>
      <c r="R65" s="14" t="str">
        <f>_xll.BDH("SRPT US Equity","IS_MERGER_ACQUIS_EXPN_DILUTED_SH","FQ3 2022","FQ3 2022","Currency=USD","Period=FQ","BEST_FPERIOD_OVERRIDE=FQ","FILING_STATUS=MR","Sort=A","Dates=H","DateFormat=P","Fill=—","Direction=H","UseDPDF=Y")</f>
        <v>—</v>
      </c>
      <c r="S65" s="14" t="str">
        <f>_xll.BDH("SRPT US Equity","IS_MERGER_ACQUIS_EXPN_DILUTED_SH","FQ4 2022","FQ4 2022","Currency=USD","Period=FQ","BEST_FPERIOD_OVERRIDE=FQ","FILING_STATUS=MR","Sort=A","Dates=H","DateFormat=P","Fill=—","Direction=H","UseDPDF=Y")</f>
        <v>—</v>
      </c>
      <c r="T65" s="14" t="str">
        <f>_xll.BDH("SRPT US Equity","IS_MERGER_ACQUIS_EXPN_DILUTED_SH","FQ1 2023","FQ1 2023","Currency=USD","Period=FQ","BEST_FPERIOD_OVERRIDE=FQ","FILING_STATUS=MR","Sort=A","Dates=H","DateFormat=P","Fill=—","Direction=H","UseDPDF=Y")</f>
        <v>—</v>
      </c>
      <c r="U65" s="14">
        <f>_xll.BDH("SRPT US Equity","IS_MERGER_ACQUIS_EXPN_DILUTED_SH","FQ2 2023","FQ2 2023","Currency=USD","Period=FQ","BEST_FPERIOD_OVERRIDE=FQ","FILING_STATUS=MR","Sort=A","Dates=H","DateFormat=P","Fill=—","Direction=H","UseDPDF=Y")</f>
        <v>-7.1000000000000004E-3</v>
      </c>
      <c r="V65" s="14">
        <f>_xll.BDH("SRPT US Equity","IS_MERGER_ACQUIS_EXPN_DILUTED_SH","FQ3 2023","FQ3 2023","Currency=USD","Period=FQ","BEST_FPERIOD_OVERRIDE=FQ","FILING_STATUS=MR","Sort=A","Dates=H","DateFormat=P","Fill=—","Direction=H","UseDPDF=Y")</f>
        <v>1.78E-2</v>
      </c>
      <c r="W65" s="14" t="str">
        <f>_xll.BDH("SRPT US Equity","IS_MERGER_ACQUIS_EXPN_DILUTED_SH","FQ4 2023","FQ4 2023","Currency=USD","Period=FQ","BEST_FPERIOD_OVERRIDE=FQ","FILING_STATUS=MR","Sort=A","Dates=H","DateFormat=P","Fill=—","Direction=H","UseDPDF=Y")</f>
        <v>—</v>
      </c>
      <c r="X65" s="14">
        <f>_xll.BDH("SRPT US Equity","IS_MERGER_ACQUIS_EXPN_DILUTED_SH","FQ1 2024","FQ1 2024","Currency=USD","Period=FQ","BEST_FPERIOD_OVERRIDE=FQ","FILING_STATUS=MR","Sort=A","Dates=H","DateFormat=P","Fill=—","Direction=H","UseDPDF=Y")</f>
        <v>9.8799999999999999E-2</v>
      </c>
      <c r="Y65" s="14" t="str">
        <f>_xll.BDH("SRPT US Equity","IS_MERGER_ACQUIS_EXPN_DILUTED_SH","FQ2 2024","FQ2 2024","Currency=USD","Period=FQ","BEST_FPERIOD_OVERRIDE=FQ","FILING_STATUS=MR","Sort=A","Dates=H","DateFormat=P","Fill=—","Direction=H","UseDPDF=Y")</f>
        <v>—</v>
      </c>
      <c r="Z65" s="14" t="str">
        <f>_xll.BDH("SRPT US Equity","IS_MERGER_ACQUIS_EXPN_DILUTED_SH","FQ3 2024","FQ3 2024","Currency=USD","Period=FQ","BEST_FPERIOD_OVERRIDE=FQ","FILING_STATUS=MR","Sort=A","Dates=H","DateFormat=P","Fill=—","Direction=H","UseDPDF=Y")</f>
        <v>—</v>
      </c>
      <c r="AA65" s="14" t="str">
        <f>_xll.BDH("SRPT US Equity","IS_MERGER_ACQUIS_EXPN_DILUTED_SH","FQ4 2024","FQ4 2024","Currency=USD","Period=FQ","BEST_FPERIOD_OVERRIDE=FQ","FILING_STATUS=MR","Sort=A","Dates=H","DateFormat=P","Fill=—","Direction=H","UseDPDF=Y")</f>
        <v>—</v>
      </c>
    </row>
    <row r="66" spans="1:27" x14ac:dyDescent="0.25">
      <c r="A66" s="10" t="s">
        <v>621</v>
      </c>
      <c r="B66" s="10" t="s">
        <v>645</v>
      </c>
      <c r="C66" s="14" t="str">
        <f>_xll.BDH("SRPT US Equity","IS_DERIV_HEDGING_DILUTED_SHARE","FQ4 2018","FQ4 2018","Currency=USD","Period=FQ","BEST_FPERIOD_OVERRIDE=FQ","FILING_STATUS=MR","Sort=A","Dates=H","DateFormat=P","Fill=—","Direction=H","UseDPDF=Y")</f>
        <v>—</v>
      </c>
      <c r="D66" s="14" t="str">
        <f>_xll.BDH("SRPT US Equity","IS_DERIV_HEDGING_DILUTED_SHARE","FQ1 2019","FQ1 2019","Currency=USD","Period=FQ","BEST_FPERIOD_OVERRIDE=FQ","FILING_STATUS=MR","Sort=A","Dates=H","DateFormat=P","Fill=—","Direction=H","UseDPDF=Y")</f>
        <v>—</v>
      </c>
      <c r="E66" s="14" t="str">
        <f>_xll.BDH("SRPT US Equity","IS_DERIV_HEDGING_DILUTED_SHARE","FQ2 2019","FQ2 2019","Currency=USD","Period=FQ","BEST_FPERIOD_OVERRIDE=FQ","FILING_STATUS=MR","Sort=A","Dates=H","DateFormat=P","Fill=—","Direction=H","UseDPDF=Y")</f>
        <v>—</v>
      </c>
      <c r="F66" s="14" t="str">
        <f>_xll.BDH("SRPT US Equity","IS_DERIV_HEDGING_DILUTED_SHARE","FQ3 2019","FQ3 2019","Currency=USD","Period=FQ","BEST_FPERIOD_OVERRIDE=FQ","FILING_STATUS=MR","Sort=A","Dates=H","DateFormat=P","Fill=—","Direction=H","UseDPDF=Y")</f>
        <v>—</v>
      </c>
      <c r="G66" s="14" t="str">
        <f>_xll.BDH("SRPT US Equity","IS_DERIV_HEDGING_DILUTED_SHARE","FQ4 2019","FQ4 2019","Currency=USD","Period=FQ","BEST_FPERIOD_OVERRIDE=FQ","FILING_STATUS=MR","Sort=A","Dates=H","DateFormat=P","Fill=—","Direction=H","UseDPDF=Y")</f>
        <v>—</v>
      </c>
      <c r="H66" s="14" t="str">
        <f>_xll.BDH("SRPT US Equity","IS_DERIV_HEDGING_DILUTED_SHARE","FQ1 2020","FQ1 2020","Currency=USD","Period=FQ","BEST_FPERIOD_OVERRIDE=FQ","FILING_STATUS=MR","Sort=A","Dates=H","DateFormat=P","Fill=—","Direction=H","UseDPDF=Y")</f>
        <v>—</v>
      </c>
      <c r="I66" s="14" t="str">
        <f>_xll.BDH("SRPT US Equity","IS_DERIV_HEDGING_DILUTED_SHARE","FQ2 2020","FQ2 2020","Currency=USD","Period=FQ","BEST_FPERIOD_OVERRIDE=FQ","FILING_STATUS=MR","Sort=A","Dates=H","DateFormat=P","Fill=—","Direction=H","UseDPDF=Y")</f>
        <v>—</v>
      </c>
      <c r="J66" s="14" t="str">
        <f>_xll.BDH("SRPT US Equity","IS_DERIV_HEDGING_DILUTED_SHARE","FQ3 2020","FQ3 2020","Currency=USD","Period=FQ","BEST_FPERIOD_OVERRIDE=FQ","FILING_STATUS=MR","Sort=A","Dates=H","DateFormat=P","Fill=—","Direction=H","UseDPDF=Y")</f>
        <v>—</v>
      </c>
      <c r="K66" s="14" t="str">
        <f>_xll.BDH("SRPT US Equity","IS_DERIV_HEDGING_DILUTED_SHARE","FQ4 2020","FQ4 2020","Currency=USD","Period=FQ","BEST_FPERIOD_OVERRIDE=FQ","FILING_STATUS=MR","Sort=A","Dates=H","DateFormat=P","Fill=—","Direction=H","UseDPDF=Y")</f>
        <v>—</v>
      </c>
      <c r="L66" s="14" t="str">
        <f>_xll.BDH("SRPT US Equity","IS_DERIV_HEDGING_DILUTED_SHARE","FQ1 2021","FQ1 2021","Currency=USD","Period=FQ","BEST_FPERIOD_OVERRIDE=FQ","FILING_STATUS=MR","Sort=A","Dates=H","DateFormat=P","Fill=—","Direction=H","UseDPDF=Y")</f>
        <v>—</v>
      </c>
      <c r="M66" s="14" t="str">
        <f>_xll.BDH("SRPT US Equity","IS_DERIV_HEDGING_DILUTED_SHARE","FQ2 2021","FQ2 2021","Currency=USD","Period=FQ","BEST_FPERIOD_OVERRIDE=FQ","FILING_STATUS=MR","Sort=A","Dates=H","DateFormat=P","Fill=—","Direction=H","UseDPDF=Y")</f>
        <v>—</v>
      </c>
      <c r="N66" s="14" t="str">
        <f>_xll.BDH("SRPT US Equity","IS_DERIV_HEDGING_DILUTED_SHARE","FQ3 2021","FQ3 2021","Currency=USD","Period=FQ","BEST_FPERIOD_OVERRIDE=FQ","FILING_STATUS=MR","Sort=A","Dates=H","DateFormat=P","Fill=—","Direction=H","UseDPDF=Y")</f>
        <v>—</v>
      </c>
      <c r="O66" s="14" t="str">
        <f>_xll.BDH("SRPT US Equity","IS_DERIV_HEDGING_DILUTED_SHARE","FQ4 2021","FQ4 2021","Currency=USD","Period=FQ","BEST_FPERIOD_OVERRIDE=FQ","FILING_STATUS=MR","Sort=A","Dates=H","DateFormat=P","Fill=—","Direction=H","UseDPDF=Y")</f>
        <v>—</v>
      </c>
      <c r="P66" s="14" t="str">
        <f>_xll.BDH("SRPT US Equity","IS_DERIV_HEDGING_DILUTED_SHARE","FQ1 2022","FQ1 2022","Currency=USD","Period=FQ","BEST_FPERIOD_OVERRIDE=FQ","FILING_STATUS=MR","Sort=A","Dates=H","DateFormat=P","Fill=—","Direction=H","UseDPDF=Y")</f>
        <v>—</v>
      </c>
      <c r="Q66" s="14" t="str">
        <f>_xll.BDH("SRPT US Equity","IS_DERIV_HEDGING_DILUTED_SHARE","FQ2 2022","FQ2 2022","Currency=USD","Period=FQ","BEST_FPERIOD_OVERRIDE=FQ","FILING_STATUS=MR","Sort=A","Dates=H","DateFormat=P","Fill=—","Direction=H","UseDPDF=Y")</f>
        <v>—</v>
      </c>
      <c r="R66" s="14" t="str">
        <f>_xll.BDH("SRPT US Equity","IS_DERIV_HEDGING_DILUTED_SHARE","FQ3 2022","FQ3 2022","Currency=USD","Period=FQ","BEST_FPERIOD_OVERRIDE=FQ","FILING_STATUS=MR","Sort=A","Dates=H","DateFormat=P","Fill=—","Direction=H","UseDPDF=Y")</f>
        <v>—</v>
      </c>
      <c r="S66" s="14" t="str">
        <f>_xll.BDH("SRPT US Equity","IS_DERIV_HEDGING_DILUTED_SHARE","FQ4 2022","FQ4 2022","Currency=USD","Period=FQ","BEST_FPERIOD_OVERRIDE=FQ","FILING_STATUS=MR","Sort=A","Dates=H","DateFormat=P","Fill=—","Direction=H","UseDPDF=Y")</f>
        <v>—</v>
      </c>
      <c r="T66" s="14" t="str">
        <f>_xll.BDH("SRPT US Equity","IS_DERIV_HEDGING_DILUTED_SHARE","FQ1 2023","FQ1 2023","Currency=USD","Period=FQ","BEST_FPERIOD_OVERRIDE=FQ","FILING_STATUS=MR","Sort=A","Dates=H","DateFormat=P","Fill=—","Direction=H","UseDPDF=Y")</f>
        <v>—</v>
      </c>
      <c r="U66" s="14" t="str">
        <f>_xll.BDH("SRPT US Equity","IS_DERIV_HEDGING_DILUTED_SHARE","FQ2 2023","FQ2 2023","Currency=USD","Period=FQ","BEST_FPERIOD_OVERRIDE=FQ","FILING_STATUS=MR","Sort=A","Dates=H","DateFormat=P","Fill=—","Direction=H","UseDPDF=Y")</f>
        <v>—</v>
      </c>
      <c r="V66" s="14" t="str">
        <f>_xll.BDH("SRPT US Equity","IS_DERIV_HEDGING_DILUTED_SHARE","FQ3 2023","FQ3 2023","Currency=USD","Period=FQ","BEST_FPERIOD_OVERRIDE=FQ","FILING_STATUS=MR","Sort=A","Dates=H","DateFormat=P","Fill=—","Direction=H","UseDPDF=Y")</f>
        <v>—</v>
      </c>
      <c r="W66" s="14" t="str">
        <f>_xll.BDH("SRPT US Equity","IS_DERIV_HEDGING_DILUTED_SHARE","FQ4 2023","FQ4 2023","Currency=USD","Period=FQ","BEST_FPERIOD_OVERRIDE=FQ","FILING_STATUS=MR","Sort=A","Dates=H","DateFormat=P","Fill=—","Direction=H","UseDPDF=Y")</f>
        <v>—</v>
      </c>
      <c r="X66" s="14" t="str">
        <f>_xll.BDH("SRPT US Equity","IS_DERIV_HEDGING_DILUTED_SHARE","FQ1 2024","FQ1 2024","Currency=USD","Period=FQ","BEST_FPERIOD_OVERRIDE=FQ","FILING_STATUS=MR","Sort=A","Dates=H","DateFormat=P","Fill=—","Direction=H","UseDPDF=Y")</f>
        <v>—</v>
      </c>
      <c r="Y66" s="14" t="str">
        <f>_xll.BDH("SRPT US Equity","IS_DERIV_HEDGING_DILUTED_SHARE","FQ2 2024","FQ2 2024","Currency=USD","Period=FQ","BEST_FPERIOD_OVERRIDE=FQ","FILING_STATUS=MR","Sort=A","Dates=H","DateFormat=P","Fill=—","Direction=H","UseDPDF=Y")</f>
        <v>—</v>
      </c>
      <c r="Z66" s="14">
        <f>_xll.BDH("SRPT US Equity","IS_DERIV_HEDGING_DILUTED_SHARE","FQ3 2024","FQ3 2024","Currency=USD","Period=FQ","BEST_FPERIOD_OVERRIDE=FQ","FILING_STATUS=MR","Sort=A","Dates=H","DateFormat=P","Fill=—","Direction=H","UseDPDF=Y")</f>
        <v>-1.35E-2</v>
      </c>
      <c r="AA66" s="14">
        <f>_xll.BDH("SRPT US Equity","IS_DERIV_HEDGING_DILUTED_SHARE","FQ4 2024","FQ4 2024","Currency=USD","Period=FQ","BEST_FPERIOD_OVERRIDE=FQ","FILING_STATUS=MR","Sort=A","Dates=H","DateFormat=P","Fill=—","Direction=H","UseDPDF=Y")</f>
        <v>-6.6E-3</v>
      </c>
    </row>
    <row r="67" spans="1:27" x14ac:dyDescent="0.25">
      <c r="A67" s="10" t="s">
        <v>614</v>
      </c>
      <c r="B67" s="10" t="s">
        <v>646</v>
      </c>
      <c r="C67" s="14">
        <f>_xll.BDH("SRPT US Equity","IS_DISPOSAL_ASSETS_DILUTED_SHARE","FQ4 2018","FQ4 2018","Currency=USD","Period=FQ","BEST_FPERIOD_OVERRIDE=FQ","FILING_STATUS=MR","Sort=A","Dates=H","DateFormat=P","Fill=—","Direction=H","UseDPDF=Y")</f>
        <v>4.4200000000000003E-2</v>
      </c>
      <c r="D67" s="14">
        <f>_xll.BDH("SRPT US Equity","IS_DISPOSAL_ASSETS_DILUTED_SHARE","FQ1 2019","FQ1 2019","Currency=USD","Period=FQ","BEST_FPERIOD_OVERRIDE=FQ","FILING_STATUS=MR","Sort=A","Dates=H","DateFormat=P","Fill=—","Direction=H","UseDPDF=Y")</f>
        <v>1E-3</v>
      </c>
      <c r="E67" s="14" t="str">
        <f>_xll.BDH("SRPT US Equity","IS_DISPOSAL_ASSETS_DILUTED_SHARE","FQ2 2019","FQ2 2019","Currency=USD","Period=FQ","BEST_FPERIOD_OVERRIDE=FQ","FILING_STATUS=MR","Sort=A","Dates=H","DateFormat=P","Fill=—","Direction=H","UseDPDF=Y")</f>
        <v>—</v>
      </c>
      <c r="F67" s="14" t="str">
        <f>_xll.BDH("SRPT US Equity","IS_DISPOSAL_ASSETS_DILUTED_SHARE","FQ3 2019","FQ3 2019","Currency=USD","Period=FQ","BEST_FPERIOD_OVERRIDE=FQ","FILING_STATUS=MR","Sort=A","Dates=H","DateFormat=P","Fill=—","Direction=H","UseDPDF=Y")</f>
        <v>—</v>
      </c>
      <c r="G67" s="14" t="str">
        <f>_xll.BDH("SRPT US Equity","IS_DISPOSAL_ASSETS_DILUTED_SHARE","FQ4 2019","FQ4 2019","Currency=USD","Period=FQ","BEST_FPERIOD_OVERRIDE=FQ","FILING_STATUS=MR","Sort=A","Dates=H","DateFormat=P","Fill=—","Direction=H","UseDPDF=Y")</f>
        <v>—</v>
      </c>
      <c r="H67" s="14">
        <f>_xll.BDH("SRPT US Equity","IS_DISPOSAL_ASSETS_DILUTED_SHARE","FQ1 2020","FQ1 2020","Currency=USD","Period=FQ","BEST_FPERIOD_OVERRIDE=FQ","FILING_STATUS=MR","Sort=A","Dates=H","DateFormat=P","Fill=—","Direction=H","UseDPDF=Y")</f>
        <v>-1.4113</v>
      </c>
      <c r="I67" s="14" t="str">
        <f>_xll.BDH("SRPT US Equity","IS_DISPOSAL_ASSETS_DILUTED_SHARE","FQ2 2020","FQ2 2020","Currency=USD","Period=FQ","BEST_FPERIOD_OVERRIDE=FQ","FILING_STATUS=MR","Sort=A","Dates=H","DateFormat=P","Fill=—","Direction=H","UseDPDF=Y")</f>
        <v>—</v>
      </c>
      <c r="J67" s="14" t="str">
        <f>_xll.BDH("SRPT US Equity","IS_DISPOSAL_ASSETS_DILUTED_SHARE","FQ3 2020","FQ3 2020","Currency=USD","Period=FQ","BEST_FPERIOD_OVERRIDE=FQ","FILING_STATUS=MR","Sort=A","Dates=H","DateFormat=P","Fill=—","Direction=H","UseDPDF=Y")</f>
        <v>—</v>
      </c>
      <c r="K67" s="14" t="str">
        <f>_xll.BDH("SRPT US Equity","IS_DISPOSAL_ASSETS_DILUTED_SHARE","FQ4 2020","FQ4 2020","Currency=USD","Period=FQ","BEST_FPERIOD_OVERRIDE=FQ","FILING_STATUS=MR","Sort=A","Dates=H","DateFormat=P","Fill=—","Direction=H","UseDPDF=Y")</f>
        <v>—</v>
      </c>
      <c r="L67" s="14" t="str">
        <f>_xll.BDH("SRPT US Equity","IS_DISPOSAL_ASSETS_DILUTED_SHARE","FQ1 2021","FQ1 2021","Currency=USD","Period=FQ","BEST_FPERIOD_OVERRIDE=FQ","FILING_STATUS=MR","Sort=A","Dates=H","DateFormat=P","Fill=—","Direction=H","UseDPDF=Y")</f>
        <v>—</v>
      </c>
      <c r="M67" s="14">
        <f>_xll.BDH("SRPT US Equity","IS_DISPOSAL_ASSETS_DILUTED_SHARE","FQ2 2021","FQ2 2021","Currency=USD","Period=FQ","BEST_FPERIOD_OVERRIDE=FQ","FILING_STATUS=MR","Sort=A","Dates=H","DateFormat=P","Fill=—","Direction=H","UseDPDF=Y")</f>
        <v>-1.2790999999999999</v>
      </c>
      <c r="N67" s="14" t="str">
        <f>_xll.BDH("SRPT US Equity","IS_DISPOSAL_ASSETS_DILUTED_SHARE","FQ3 2021","FQ3 2021","Currency=USD","Period=FQ","BEST_FPERIOD_OVERRIDE=FQ","FILING_STATUS=MR","Sort=A","Dates=H","DateFormat=P","Fill=—","Direction=H","UseDPDF=Y")</f>
        <v>—</v>
      </c>
      <c r="O67" s="14" t="str">
        <f>_xll.BDH("SRPT US Equity","IS_DISPOSAL_ASSETS_DILUTED_SHARE","FQ4 2021","FQ4 2021","Currency=USD","Period=FQ","BEST_FPERIOD_OVERRIDE=FQ","FILING_STATUS=MR","Sort=A","Dates=H","DateFormat=P","Fill=—","Direction=H","UseDPDF=Y")</f>
        <v>—</v>
      </c>
      <c r="P67" s="14" t="str">
        <f>_xll.BDH("SRPT US Equity","IS_DISPOSAL_ASSETS_DILUTED_SHARE","FQ1 2022","FQ1 2022","Currency=USD","Period=FQ","BEST_FPERIOD_OVERRIDE=FQ","FILING_STATUS=MR","Sort=A","Dates=H","DateFormat=P","Fill=—","Direction=H","UseDPDF=Y")</f>
        <v>—</v>
      </c>
      <c r="Q67" s="14" t="str">
        <f>_xll.BDH("SRPT US Equity","IS_DISPOSAL_ASSETS_DILUTED_SHARE","FQ2 2022","FQ2 2022","Currency=USD","Period=FQ","BEST_FPERIOD_OVERRIDE=FQ","FILING_STATUS=MR","Sort=A","Dates=H","DateFormat=P","Fill=—","Direction=H","UseDPDF=Y")</f>
        <v>—</v>
      </c>
      <c r="R67" s="14" t="str">
        <f>_xll.BDH("SRPT US Equity","IS_DISPOSAL_ASSETS_DILUTED_SHARE","FQ3 2022","FQ3 2022","Currency=USD","Period=FQ","BEST_FPERIOD_OVERRIDE=FQ","FILING_STATUS=MR","Sort=A","Dates=H","DateFormat=P","Fill=—","Direction=H","UseDPDF=Y")</f>
        <v>—</v>
      </c>
      <c r="S67" s="14" t="str">
        <f>_xll.BDH("SRPT US Equity","IS_DISPOSAL_ASSETS_DILUTED_SHARE","FQ4 2022","FQ4 2022","Currency=USD","Period=FQ","BEST_FPERIOD_OVERRIDE=FQ","FILING_STATUS=MR","Sort=A","Dates=H","DateFormat=P","Fill=—","Direction=H","UseDPDF=Y")</f>
        <v>—</v>
      </c>
      <c r="T67" s="14" t="str">
        <f>_xll.BDH("SRPT US Equity","IS_DISPOSAL_ASSETS_DILUTED_SHARE","FQ1 2023","FQ1 2023","Currency=USD","Period=FQ","BEST_FPERIOD_OVERRIDE=FQ","FILING_STATUS=MR","Sort=A","Dates=H","DateFormat=P","Fill=—","Direction=H","UseDPDF=Y")</f>
        <v>—</v>
      </c>
      <c r="U67" s="14">
        <f>_xll.BDH("SRPT US Equity","IS_DISPOSAL_ASSETS_DILUTED_SHARE","FQ2 2023","FQ2 2023","Currency=USD","Period=FQ","BEST_FPERIOD_OVERRIDE=FQ","FILING_STATUS=MR","Sort=A","Dates=H","DateFormat=P","Fill=—","Direction=H","UseDPDF=Y")</f>
        <v>-0.90800000000000003</v>
      </c>
      <c r="V67" s="14" t="str">
        <f>_xll.BDH("SRPT US Equity","IS_DISPOSAL_ASSETS_DILUTED_SHARE","FQ3 2023","FQ3 2023","Currency=USD","Period=FQ","BEST_FPERIOD_OVERRIDE=FQ","FILING_STATUS=MR","Sort=A","Dates=H","DateFormat=P","Fill=—","Direction=H","UseDPDF=Y")</f>
        <v>—</v>
      </c>
      <c r="W67" s="14" t="str">
        <f>_xll.BDH("SRPT US Equity","IS_DISPOSAL_ASSETS_DILUTED_SHARE","FQ4 2023","FQ4 2023","Currency=USD","Period=FQ","BEST_FPERIOD_OVERRIDE=FQ","FILING_STATUS=MR","Sort=A","Dates=H","DateFormat=P","Fill=—","Direction=H","UseDPDF=Y")</f>
        <v>—</v>
      </c>
      <c r="X67" s="14" t="str">
        <f>_xll.BDH("SRPT US Equity","IS_DISPOSAL_ASSETS_DILUTED_SHARE","FQ1 2024","FQ1 2024","Currency=USD","Period=FQ","BEST_FPERIOD_OVERRIDE=FQ","FILING_STATUS=MR","Sort=A","Dates=H","DateFormat=P","Fill=—","Direction=H","UseDPDF=Y")</f>
        <v>—</v>
      </c>
      <c r="Y67" s="14" t="str">
        <f>_xll.BDH("SRPT US Equity","IS_DISPOSAL_ASSETS_DILUTED_SHARE","FQ2 2024","FQ2 2024","Currency=USD","Period=FQ","BEST_FPERIOD_OVERRIDE=FQ","FILING_STATUS=MR","Sort=A","Dates=H","DateFormat=P","Fill=—","Direction=H","UseDPDF=Y")</f>
        <v>—</v>
      </c>
      <c r="Z67" s="14" t="str">
        <f>_xll.BDH("SRPT US Equity","IS_DISPOSAL_ASSETS_DILUTED_SHARE","FQ3 2024","FQ3 2024","Currency=USD","Period=FQ","BEST_FPERIOD_OVERRIDE=FQ","FILING_STATUS=MR","Sort=A","Dates=H","DateFormat=P","Fill=—","Direction=H","UseDPDF=Y")</f>
        <v>—</v>
      </c>
      <c r="AA67" s="14" t="str">
        <f>_xll.BDH("SRPT US Equity","IS_DISPOSAL_ASSETS_DILUTED_SHARE","FQ4 2024","FQ4 2024","Currency=USD","Period=FQ","BEST_FPERIOD_OVERRIDE=FQ","FILING_STATUS=MR","Sort=A","Dates=H","DateFormat=P","Fill=—","Direction=H","UseDPDF=Y")</f>
        <v>—</v>
      </c>
    </row>
    <row r="68" spans="1:27" x14ac:dyDescent="0.25">
      <c r="A68" s="10" t="s">
        <v>622</v>
      </c>
      <c r="B68" s="10" t="s">
        <v>647</v>
      </c>
      <c r="C68" s="14" t="str">
        <f>_xll.BDH("SRPT US Equity","IS_EEOD_DILUTED_SHARE","FQ4 2018","FQ4 2018","Currency=USD","Period=FQ","BEST_FPERIOD_OVERRIDE=FQ","FILING_STATUS=MR","Sort=A","Dates=H","DateFormat=P","Fill=—","Direction=H","UseDPDF=Y")</f>
        <v>—</v>
      </c>
      <c r="D68" s="14" t="str">
        <f>_xll.BDH("SRPT US Equity","IS_EEOD_DILUTED_SHARE","FQ1 2019","FQ1 2019","Currency=USD","Period=FQ","BEST_FPERIOD_OVERRIDE=FQ","FILING_STATUS=MR","Sort=A","Dates=H","DateFormat=P","Fill=—","Direction=H","UseDPDF=Y")</f>
        <v>—</v>
      </c>
      <c r="E68" s="14" t="str">
        <f>_xll.BDH("SRPT US Equity","IS_EEOD_DILUTED_SHARE","FQ2 2019","FQ2 2019","Currency=USD","Period=FQ","BEST_FPERIOD_OVERRIDE=FQ","FILING_STATUS=MR","Sort=A","Dates=H","DateFormat=P","Fill=—","Direction=H","UseDPDF=Y")</f>
        <v>—</v>
      </c>
      <c r="F68" s="14" t="str">
        <f>_xll.BDH("SRPT US Equity","IS_EEOD_DILUTED_SHARE","FQ3 2019","FQ3 2019","Currency=USD","Period=FQ","BEST_FPERIOD_OVERRIDE=FQ","FILING_STATUS=MR","Sort=A","Dates=H","DateFormat=P","Fill=—","Direction=H","UseDPDF=Y")</f>
        <v>—</v>
      </c>
      <c r="G68" s="14" t="str">
        <f>_xll.BDH("SRPT US Equity","IS_EEOD_DILUTED_SHARE","FQ4 2019","FQ4 2019","Currency=USD","Period=FQ","BEST_FPERIOD_OVERRIDE=FQ","FILING_STATUS=MR","Sort=A","Dates=H","DateFormat=P","Fill=—","Direction=H","UseDPDF=Y")</f>
        <v>—</v>
      </c>
      <c r="H68" s="14" t="str">
        <f>_xll.BDH("SRPT US Equity","IS_EEOD_DILUTED_SHARE","FQ1 2020","FQ1 2020","Currency=USD","Period=FQ","BEST_FPERIOD_OVERRIDE=FQ","FILING_STATUS=MR","Sort=A","Dates=H","DateFormat=P","Fill=—","Direction=H","UseDPDF=Y")</f>
        <v>—</v>
      </c>
      <c r="I68" s="14" t="str">
        <f>_xll.BDH("SRPT US Equity","IS_EEOD_DILUTED_SHARE","FQ2 2020","FQ2 2020","Currency=USD","Period=FQ","BEST_FPERIOD_OVERRIDE=FQ","FILING_STATUS=MR","Sort=A","Dates=H","DateFormat=P","Fill=—","Direction=H","UseDPDF=Y")</f>
        <v>—</v>
      </c>
      <c r="J68" s="14" t="str">
        <f>_xll.BDH("SRPT US Equity","IS_EEOD_DILUTED_SHARE","FQ3 2020","FQ3 2020","Currency=USD","Period=FQ","BEST_FPERIOD_OVERRIDE=FQ","FILING_STATUS=MR","Sort=A","Dates=H","DateFormat=P","Fill=—","Direction=H","UseDPDF=Y")</f>
        <v>—</v>
      </c>
      <c r="K68" s="14" t="str">
        <f>_xll.BDH("SRPT US Equity","IS_EEOD_DILUTED_SHARE","FQ4 2020","FQ4 2020","Currency=USD","Period=FQ","BEST_FPERIOD_OVERRIDE=FQ","FILING_STATUS=MR","Sort=A","Dates=H","DateFormat=P","Fill=—","Direction=H","UseDPDF=Y")</f>
        <v>—</v>
      </c>
      <c r="L68" s="14" t="str">
        <f>_xll.BDH("SRPT US Equity","IS_EEOD_DILUTED_SHARE","FQ1 2021","FQ1 2021","Currency=USD","Period=FQ","BEST_FPERIOD_OVERRIDE=FQ","FILING_STATUS=MR","Sort=A","Dates=H","DateFormat=P","Fill=—","Direction=H","UseDPDF=Y")</f>
        <v>—</v>
      </c>
      <c r="M68" s="14" t="str">
        <f>_xll.BDH("SRPT US Equity","IS_EEOD_DILUTED_SHARE","FQ2 2021","FQ2 2021","Currency=USD","Period=FQ","BEST_FPERIOD_OVERRIDE=FQ","FILING_STATUS=MR","Sort=A","Dates=H","DateFormat=P","Fill=—","Direction=H","UseDPDF=Y")</f>
        <v>—</v>
      </c>
      <c r="N68" s="14" t="str">
        <f>_xll.BDH("SRPT US Equity","IS_EEOD_DILUTED_SHARE","FQ3 2021","FQ3 2021","Currency=USD","Period=FQ","BEST_FPERIOD_OVERRIDE=FQ","FILING_STATUS=MR","Sort=A","Dates=H","DateFormat=P","Fill=—","Direction=H","UseDPDF=Y")</f>
        <v>—</v>
      </c>
      <c r="O68" s="14" t="str">
        <f>_xll.BDH("SRPT US Equity","IS_EEOD_DILUTED_SHARE","FQ4 2021","FQ4 2021","Currency=USD","Period=FQ","BEST_FPERIOD_OVERRIDE=FQ","FILING_STATUS=MR","Sort=A","Dates=H","DateFormat=P","Fill=—","Direction=H","UseDPDF=Y")</f>
        <v>—</v>
      </c>
      <c r="P68" s="14" t="str">
        <f>_xll.BDH("SRPT US Equity","IS_EEOD_DILUTED_SHARE","FQ1 2022","FQ1 2022","Currency=USD","Period=FQ","BEST_FPERIOD_OVERRIDE=FQ","FILING_STATUS=MR","Sort=A","Dates=H","DateFormat=P","Fill=—","Direction=H","UseDPDF=Y")</f>
        <v>—</v>
      </c>
      <c r="Q68" s="14" t="str">
        <f>_xll.BDH("SRPT US Equity","IS_EEOD_DILUTED_SHARE","FQ2 2022","FQ2 2022","Currency=USD","Period=FQ","BEST_FPERIOD_OVERRIDE=FQ","FILING_STATUS=MR","Sort=A","Dates=H","DateFormat=P","Fill=—","Direction=H","UseDPDF=Y")</f>
        <v>—</v>
      </c>
      <c r="R68" s="14">
        <f>_xll.BDH("SRPT US Equity","IS_EEOD_DILUTED_SHARE","FQ3 2022","FQ3 2022","Currency=USD","Period=FQ","BEST_FPERIOD_OVERRIDE=FQ","FILING_STATUS=MR","Sort=A","Dates=H","DateFormat=P","Fill=—","Direction=H","UseDPDF=Y")</f>
        <v>1.1309</v>
      </c>
      <c r="S68" s="14" t="str">
        <f>_xll.BDH("SRPT US Equity","IS_EEOD_DILUTED_SHARE","FQ4 2022","FQ4 2022","Currency=USD","Period=FQ","BEST_FPERIOD_OVERRIDE=FQ","FILING_STATUS=MR","Sort=A","Dates=H","DateFormat=P","Fill=—","Direction=H","UseDPDF=Y")</f>
        <v>—</v>
      </c>
      <c r="T68" s="14">
        <f>_xll.BDH("SRPT US Equity","IS_EEOD_DILUTED_SHARE","FQ1 2023","FQ1 2023","Currency=USD","Period=FQ","BEST_FPERIOD_OVERRIDE=FQ","FILING_STATUS=MR","Sort=A","Dates=H","DateFormat=P","Fill=—","Direction=H","UseDPDF=Y")</f>
        <v>3.4698000000000002</v>
      </c>
      <c r="U68" s="14" t="str">
        <f>_xll.BDH("SRPT US Equity","IS_EEOD_DILUTED_SHARE","FQ2 2023","FQ2 2023","Currency=USD","Period=FQ","BEST_FPERIOD_OVERRIDE=FQ","FILING_STATUS=MR","Sort=A","Dates=H","DateFormat=P","Fill=—","Direction=H","UseDPDF=Y")</f>
        <v>—</v>
      </c>
      <c r="V68" s="14" t="str">
        <f>_xll.BDH("SRPT US Equity","IS_EEOD_DILUTED_SHARE","FQ3 2023","FQ3 2023","Currency=USD","Period=FQ","BEST_FPERIOD_OVERRIDE=FQ","FILING_STATUS=MR","Sort=A","Dates=H","DateFormat=P","Fill=—","Direction=H","UseDPDF=Y")</f>
        <v>—</v>
      </c>
      <c r="W68" s="14" t="str">
        <f>_xll.BDH("SRPT US Equity","IS_EEOD_DILUTED_SHARE","FQ4 2023","FQ4 2023","Currency=USD","Period=FQ","BEST_FPERIOD_OVERRIDE=FQ","FILING_STATUS=MR","Sort=A","Dates=H","DateFormat=P","Fill=—","Direction=H","UseDPDF=Y")</f>
        <v>—</v>
      </c>
      <c r="X68" s="14" t="str">
        <f>_xll.BDH("SRPT US Equity","IS_EEOD_DILUTED_SHARE","FQ1 2024","FQ1 2024","Currency=USD","Period=FQ","BEST_FPERIOD_OVERRIDE=FQ","FILING_STATUS=MR","Sort=A","Dates=H","DateFormat=P","Fill=—","Direction=H","UseDPDF=Y")</f>
        <v>—</v>
      </c>
      <c r="Y68" s="14" t="str">
        <f>_xll.BDH("SRPT US Equity","IS_EEOD_DILUTED_SHARE","FQ2 2024","FQ2 2024","Currency=USD","Period=FQ","BEST_FPERIOD_OVERRIDE=FQ","FILING_STATUS=MR","Sort=A","Dates=H","DateFormat=P","Fill=—","Direction=H","UseDPDF=Y")</f>
        <v>—</v>
      </c>
      <c r="Z68" s="14" t="str">
        <f>_xll.BDH("SRPT US Equity","IS_EEOD_DILUTED_SHARE","FQ3 2024","FQ3 2024","Currency=USD","Period=FQ","BEST_FPERIOD_OVERRIDE=FQ","FILING_STATUS=MR","Sort=A","Dates=H","DateFormat=P","Fill=—","Direction=H","UseDPDF=Y")</f>
        <v>—</v>
      </c>
      <c r="AA68" s="14" t="str">
        <f>_xll.BDH("SRPT US Equity","IS_EEOD_DILUTED_SHARE","FQ4 2024","FQ4 2024","Currency=USD","Period=FQ","BEST_FPERIOD_OVERRIDE=FQ","FILING_STATUS=MR","Sort=A","Dates=H","DateFormat=P","Fill=—","Direction=H","UseDPDF=Y")</f>
        <v>—</v>
      </c>
    </row>
    <row r="69" spans="1:27" x14ac:dyDescent="0.25">
      <c r="A69" s="10" t="s">
        <v>623</v>
      </c>
      <c r="B69" s="10" t="s">
        <v>648</v>
      </c>
      <c r="C69" s="14" t="str">
        <f>_xll.BDH("SRPT US Equity","IS_WRTOFF_IMPAIR_AST_DILUTED_SH","FQ4 2018","FQ4 2018","Currency=USD","Period=FQ","BEST_FPERIOD_OVERRIDE=FQ","FILING_STATUS=MR","Sort=A","Dates=H","DateFormat=P","Fill=—","Direction=H","UseDPDF=Y")</f>
        <v>—</v>
      </c>
      <c r="D69" s="14" t="str">
        <f>_xll.BDH("SRPT US Equity","IS_WRTOFF_IMPAIR_AST_DILUTED_SH","FQ1 2019","FQ1 2019","Currency=USD","Period=FQ","BEST_FPERIOD_OVERRIDE=FQ","FILING_STATUS=MR","Sort=A","Dates=H","DateFormat=P","Fill=—","Direction=H","UseDPDF=Y")</f>
        <v>—</v>
      </c>
      <c r="E69" s="14" t="str">
        <f>_xll.BDH("SRPT US Equity","IS_WRTOFF_IMPAIR_AST_DILUTED_SH","FQ2 2019","FQ2 2019","Currency=USD","Period=FQ","BEST_FPERIOD_OVERRIDE=FQ","FILING_STATUS=MR","Sort=A","Dates=H","DateFormat=P","Fill=—","Direction=H","UseDPDF=Y")</f>
        <v>—</v>
      </c>
      <c r="F69" s="14" t="str">
        <f>_xll.BDH("SRPT US Equity","IS_WRTOFF_IMPAIR_AST_DILUTED_SH","FQ3 2019","FQ3 2019","Currency=USD","Period=FQ","BEST_FPERIOD_OVERRIDE=FQ","FILING_STATUS=MR","Sort=A","Dates=H","DateFormat=P","Fill=—","Direction=H","UseDPDF=Y")</f>
        <v>—</v>
      </c>
      <c r="G69" s="14" t="str">
        <f>_xll.BDH("SRPT US Equity","IS_WRTOFF_IMPAIR_AST_DILUTED_SH","FQ4 2019","FQ4 2019","Currency=USD","Period=FQ","BEST_FPERIOD_OVERRIDE=FQ","FILING_STATUS=MR","Sort=A","Dates=H","DateFormat=P","Fill=—","Direction=H","UseDPDF=Y")</f>
        <v>—</v>
      </c>
      <c r="H69" s="14" t="str">
        <f>_xll.BDH("SRPT US Equity","IS_WRTOFF_IMPAIR_AST_DILUTED_SH","FQ1 2020","FQ1 2020","Currency=USD","Period=FQ","BEST_FPERIOD_OVERRIDE=FQ","FILING_STATUS=MR","Sort=A","Dates=H","DateFormat=P","Fill=—","Direction=H","UseDPDF=Y")</f>
        <v>—</v>
      </c>
      <c r="I69" s="14" t="str">
        <f>_xll.BDH("SRPT US Equity","IS_WRTOFF_IMPAIR_AST_DILUTED_SH","FQ2 2020","FQ2 2020","Currency=USD","Period=FQ","BEST_FPERIOD_OVERRIDE=FQ","FILING_STATUS=MR","Sort=A","Dates=H","DateFormat=P","Fill=—","Direction=H","UseDPDF=Y")</f>
        <v>—</v>
      </c>
      <c r="J69" s="14" t="str">
        <f>_xll.BDH("SRPT US Equity","IS_WRTOFF_IMPAIR_AST_DILUTED_SH","FQ3 2020","FQ3 2020","Currency=USD","Period=FQ","BEST_FPERIOD_OVERRIDE=FQ","FILING_STATUS=MR","Sort=A","Dates=H","DateFormat=P","Fill=—","Direction=H","UseDPDF=Y")</f>
        <v>—</v>
      </c>
      <c r="K69" s="14" t="str">
        <f>_xll.BDH("SRPT US Equity","IS_WRTOFF_IMPAIR_AST_DILUTED_SH","FQ4 2020","FQ4 2020","Currency=USD","Period=FQ","BEST_FPERIOD_OVERRIDE=FQ","FILING_STATUS=MR","Sort=A","Dates=H","DateFormat=P","Fill=—","Direction=H","UseDPDF=Y")</f>
        <v>—</v>
      </c>
      <c r="L69" s="14" t="str">
        <f>_xll.BDH("SRPT US Equity","IS_WRTOFF_IMPAIR_AST_DILUTED_SH","FQ1 2021","FQ1 2021","Currency=USD","Period=FQ","BEST_FPERIOD_OVERRIDE=FQ","FILING_STATUS=MR","Sort=A","Dates=H","DateFormat=P","Fill=—","Direction=H","UseDPDF=Y")</f>
        <v>—</v>
      </c>
      <c r="M69" s="14" t="str">
        <f>_xll.BDH("SRPT US Equity","IS_WRTOFF_IMPAIR_AST_DILUTED_SH","FQ2 2021","FQ2 2021","Currency=USD","Period=FQ","BEST_FPERIOD_OVERRIDE=FQ","FILING_STATUS=MR","Sort=A","Dates=H","DateFormat=P","Fill=—","Direction=H","UseDPDF=Y")</f>
        <v>—</v>
      </c>
      <c r="N69" s="14">
        <f>_xll.BDH("SRPT US Equity","IS_WRTOFF_IMPAIR_AST_DILUTED_SH","FQ3 2021","FQ3 2021","Currency=USD","Period=FQ","BEST_FPERIOD_OVERRIDE=FQ","FILING_STATUS=MR","Sort=A","Dates=H","DateFormat=P","Fill=—","Direction=H","UseDPDF=Y")</f>
        <v>4.4400000000000002E-2</v>
      </c>
      <c r="O69" s="14" t="str">
        <f>_xll.BDH("SRPT US Equity","IS_WRTOFF_IMPAIR_AST_DILUTED_SH","FQ4 2021","FQ4 2021","Currency=USD","Period=FQ","BEST_FPERIOD_OVERRIDE=FQ","FILING_STATUS=MR","Sort=A","Dates=H","DateFormat=P","Fill=—","Direction=H","UseDPDF=Y")</f>
        <v>—</v>
      </c>
      <c r="P69" s="14" t="str">
        <f>_xll.BDH("SRPT US Equity","IS_WRTOFF_IMPAIR_AST_DILUTED_SH","FQ1 2022","FQ1 2022","Currency=USD","Period=FQ","BEST_FPERIOD_OVERRIDE=FQ","FILING_STATUS=MR","Sort=A","Dates=H","DateFormat=P","Fill=—","Direction=H","UseDPDF=Y")</f>
        <v>—</v>
      </c>
      <c r="Q69" s="14" t="str">
        <f>_xll.BDH("SRPT US Equity","IS_WRTOFF_IMPAIR_AST_DILUTED_SH","FQ2 2022","FQ2 2022","Currency=USD","Period=FQ","BEST_FPERIOD_OVERRIDE=FQ","FILING_STATUS=MR","Sort=A","Dates=H","DateFormat=P","Fill=—","Direction=H","UseDPDF=Y")</f>
        <v>—</v>
      </c>
      <c r="R69" s="14" t="str">
        <f>_xll.BDH("SRPT US Equity","IS_WRTOFF_IMPAIR_AST_DILUTED_SH","FQ3 2022","FQ3 2022","Currency=USD","Period=FQ","BEST_FPERIOD_OVERRIDE=FQ","FILING_STATUS=MR","Sort=A","Dates=H","DateFormat=P","Fill=—","Direction=H","UseDPDF=Y")</f>
        <v>—</v>
      </c>
      <c r="S69" s="14" t="str">
        <f>_xll.BDH("SRPT US Equity","IS_WRTOFF_IMPAIR_AST_DILUTED_SH","FQ4 2022","FQ4 2022","Currency=USD","Period=FQ","BEST_FPERIOD_OVERRIDE=FQ","FILING_STATUS=MR","Sort=A","Dates=H","DateFormat=P","Fill=—","Direction=H","UseDPDF=Y")</f>
        <v>—</v>
      </c>
      <c r="T69" s="14" t="str">
        <f>_xll.BDH("SRPT US Equity","IS_WRTOFF_IMPAIR_AST_DILUTED_SH","FQ1 2023","FQ1 2023","Currency=USD","Period=FQ","BEST_FPERIOD_OVERRIDE=FQ","FILING_STATUS=MR","Sort=A","Dates=H","DateFormat=P","Fill=—","Direction=H","UseDPDF=Y")</f>
        <v>—</v>
      </c>
      <c r="U69" s="14" t="str">
        <f>_xll.BDH("SRPT US Equity","IS_WRTOFF_IMPAIR_AST_DILUTED_SH","FQ2 2023","FQ2 2023","Currency=USD","Period=FQ","BEST_FPERIOD_OVERRIDE=FQ","FILING_STATUS=MR","Sort=A","Dates=H","DateFormat=P","Fill=—","Direction=H","UseDPDF=Y")</f>
        <v>—</v>
      </c>
      <c r="V69" s="14" t="str">
        <f>_xll.BDH("SRPT US Equity","IS_WRTOFF_IMPAIR_AST_DILUTED_SH","FQ3 2023","FQ3 2023","Currency=USD","Period=FQ","BEST_FPERIOD_OVERRIDE=FQ","FILING_STATUS=MR","Sort=A","Dates=H","DateFormat=P","Fill=—","Direction=H","UseDPDF=Y")</f>
        <v>—</v>
      </c>
      <c r="W69" s="14" t="str">
        <f>_xll.BDH("SRPT US Equity","IS_WRTOFF_IMPAIR_AST_DILUTED_SH","FQ4 2023","FQ4 2023","Currency=USD","Period=FQ","BEST_FPERIOD_OVERRIDE=FQ","FILING_STATUS=MR","Sort=A","Dates=H","DateFormat=P","Fill=—","Direction=H","UseDPDF=Y")</f>
        <v>—</v>
      </c>
      <c r="X69" s="14" t="str">
        <f>_xll.BDH("SRPT US Equity","IS_WRTOFF_IMPAIR_AST_DILUTED_SH","FQ1 2024","FQ1 2024","Currency=USD","Period=FQ","BEST_FPERIOD_OVERRIDE=FQ","FILING_STATUS=MR","Sort=A","Dates=H","DateFormat=P","Fill=—","Direction=H","UseDPDF=Y")</f>
        <v>—</v>
      </c>
      <c r="Y69" s="14" t="str">
        <f>_xll.BDH("SRPT US Equity","IS_WRTOFF_IMPAIR_AST_DILUTED_SH","FQ2 2024","FQ2 2024","Currency=USD","Period=FQ","BEST_FPERIOD_OVERRIDE=FQ","FILING_STATUS=MR","Sort=A","Dates=H","DateFormat=P","Fill=—","Direction=H","UseDPDF=Y")</f>
        <v>—</v>
      </c>
      <c r="Z69" s="14" t="str">
        <f>_xll.BDH("SRPT US Equity","IS_WRTOFF_IMPAIR_AST_DILUTED_SH","FQ3 2024","FQ3 2024","Currency=USD","Period=FQ","BEST_FPERIOD_OVERRIDE=FQ","FILING_STATUS=MR","Sort=A","Dates=H","DateFormat=P","Fill=—","Direction=H","UseDPDF=Y")</f>
        <v>—</v>
      </c>
      <c r="AA69" s="14" t="str">
        <f>_xll.BDH("SRPT US Equity","IS_WRTOFF_IMPAIR_AST_DILUTED_SH","FQ4 2024","FQ4 2024","Currency=USD","Period=FQ","BEST_FPERIOD_OVERRIDE=FQ","FILING_STATUS=MR","Sort=A","Dates=H","DateFormat=P","Fill=—","Direction=H","UseDPDF=Y")</f>
        <v>—</v>
      </c>
    </row>
    <row r="70" spans="1:27" x14ac:dyDescent="0.25">
      <c r="A70" s="10" t="s">
        <v>616</v>
      </c>
      <c r="B70" s="10" t="s">
        <v>649</v>
      </c>
      <c r="C70" s="14" t="str">
        <f>_xll.BDH("SRPT US Equity","IS_LEGAL_LITIG_SETTLE_DILUTED_SH","FQ4 2018","FQ4 2018","Currency=USD","Period=FQ","BEST_FPERIOD_OVERRIDE=FQ","FILING_STATUS=MR","Sort=A","Dates=H","DateFormat=P","Fill=—","Direction=H","UseDPDF=Y")</f>
        <v>—</v>
      </c>
      <c r="D70" s="14" t="str">
        <f>_xll.BDH("SRPT US Equity","IS_LEGAL_LITIG_SETTLE_DILUTED_SH","FQ1 2019","FQ1 2019","Currency=USD","Period=FQ","BEST_FPERIOD_OVERRIDE=FQ","FILING_STATUS=MR","Sort=A","Dates=H","DateFormat=P","Fill=—","Direction=H","UseDPDF=Y")</f>
        <v>—</v>
      </c>
      <c r="E70" s="14" t="str">
        <f>_xll.BDH("SRPT US Equity","IS_LEGAL_LITIG_SETTLE_DILUTED_SH","FQ2 2019","FQ2 2019","Currency=USD","Period=FQ","BEST_FPERIOD_OVERRIDE=FQ","FILING_STATUS=MR","Sort=A","Dates=H","DateFormat=P","Fill=—","Direction=H","UseDPDF=Y")</f>
        <v>—</v>
      </c>
      <c r="F70" s="14" t="str">
        <f>_xll.BDH("SRPT US Equity","IS_LEGAL_LITIG_SETTLE_DILUTED_SH","FQ3 2019","FQ3 2019","Currency=USD","Period=FQ","BEST_FPERIOD_OVERRIDE=FQ","FILING_STATUS=MR","Sort=A","Dates=H","DateFormat=P","Fill=—","Direction=H","UseDPDF=Y")</f>
        <v>—</v>
      </c>
      <c r="G70" s="14">
        <f>_xll.BDH("SRPT US Equity","IS_LEGAL_LITIG_SETTLE_DILUTED_SH","FQ4 2019","FQ4 2019","Currency=USD","Period=FQ","BEST_FPERIOD_OVERRIDE=FQ","FILING_STATUS=MR","Sort=A","Dates=H","DateFormat=P","Fill=—","Direction=H","UseDPDF=Y")</f>
        <v>0.106</v>
      </c>
      <c r="H70" s="14" t="str">
        <f>_xll.BDH("SRPT US Equity","IS_LEGAL_LITIG_SETTLE_DILUTED_SH","FQ1 2020","FQ1 2020","Currency=USD","Period=FQ","BEST_FPERIOD_OVERRIDE=FQ","FILING_STATUS=MR","Sort=A","Dates=H","DateFormat=P","Fill=—","Direction=H","UseDPDF=Y")</f>
        <v>—</v>
      </c>
      <c r="I70" s="14" t="str">
        <f>_xll.BDH("SRPT US Equity","IS_LEGAL_LITIG_SETTLE_DILUTED_SH","FQ2 2020","FQ2 2020","Currency=USD","Period=FQ","BEST_FPERIOD_OVERRIDE=FQ","FILING_STATUS=MR","Sort=A","Dates=H","DateFormat=P","Fill=—","Direction=H","UseDPDF=Y")</f>
        <v>—</v>
      </c>
      <c r="J70" s="14" t="str">
        <f>_xll.BDH("SRPT US Equity","IS_LEGAL_LITIG_SETTLE_DILUTED_SH","FQ3 2020","FQ3 2020","Currency=USD","Period=FQ","BEST_FPERIOD_OVERRIDE=FQ","FILING_STATUS=MR","Sort=A","Dates=H","DateFormat=P","Fill=—","Direction=H","UseDPDF=Y")</f>
        <v>—</v>
      </c>
      <c r="K70" s="14" t="str">
        <f>_xll.BDH("SRPT US Equity","IS_LEGAL_LITIG_SETTLE_DILUTED_SH","FQ4 2020","FQ4 2020","Currency=USD","Period=FQ","BEST_FPERIOD_OVERRIDE=FQ","FILING_STATUS=MR","Sort=A","Dates=H","DateFormat=P","Fill=—","Direction=H","UseDPDF=Y")</f>
        <v>—</v>
      </c>
      <c r="L70" s="14">
        <f>_xll.BDH("SRPT US Equity","IS_LEGAL_LITIG_SETTLE_DILUTED_SH","FQ1 2021","FQ1 2021","Currency=USD","Period=FQ","BEST_FPERIOD_OVERRIDE=FQ","FILING_STATUS=MR","Sort=A","Dates=H","DateFormat=P","Fill=—","Direction=H","UseDPDF=Y")</f>
        <v>0.1255</v>
      </c>
      <c r="M70" s="14" t="str">
        <f>_xll.BDH("SRPT US Equity","IS_LEGAL_LITIG_SETTLE_DILUTED_SH","FQ2 2021","FQ2 2021","Currency=USD","Period=FQ","BEST_FPERIOD_OVERRIDE=FQ","FILING_STATUS=MR","Sort=A","Dates=H","DateFormat=P","Fill=—","Direction=H","UseDPDF=Y")</f>
        <v>—</v>
      </c>
      <c r="N70" s="14" t="str">
        <f>_xll.BDH("SRPT US Equity","IS_LEGAL_LITIG_SETTLE_DILUTED_SH","FQ3 2021","FQ3 2021","Currency=USD","Period=FQ","BEST_FPERIOD_OVERRIDE=FQ","FILING_STATUS=MR","Sort=A","Dates=H","DateFormat=P","Fill=—","Direction=H","UseDPDF=Y")</f>
        <v>—</v>
      </c>
      <c r="O70" s="14" t="str">
        <f>_xll.BDH("SRPT US Equity","IS_LEGAL_LITIG_SETTLE_DILUTED_SH","FQ4 2021","FQ4 2021","Currency=USD","Period=FQ","BEST_FPERIOD_OVERRIDE=FQ","FILING_STATUS=MR","Sort=A","Dates=H","DateFormat=P","Fill=—","Direction=H","UseDPDF=Y")</f>
        <v>—</v>
      </c>
      <c r="P70" s="14" t="str">
        <f>_xll.BDH("SRPT US Equity","IS_LEGAL_LITIG_SETTLE_DILUTED_SH","FQ1 2022","FQ1 2022","Currency=USD","Period=FQ","BEST_FPERIOD_OVERRIDE=FQ","FILING_STATUS=MR","Sort=A","Dates=H","DateFormat=P","Fill=—","Direction=H","UseDPDF=Y")</f>
        <v>—</v>
      </c>
      <c r="Q70" s="14" t="str">
        <f>_xll.BDH("SRPT US Equity","IS_LEGAL_LITIG_SETTLE_DILUTED_SH","FQ2 2022","FQ2 2022","Currency=USD","Period=FQ","BEST_FPERIOD_OVERRIDE=FQ","FILING_STATUS=MR","Sort=A","Dates=H","DateFormat=P","Fill=—","Direction=H","UseDPDF=Y")</f>
        <v>—</v>
      </c>
      <c r="R70" s="14" t="str">
        <f>_xll.BDH("SRPT US Equity","IS_LEGAL_LITIG_SETTLE_DILUTED_SH","FQ3 2022","FQ3 2022","Currency=USD","Period=FQ","BEST_FPERIOD_OVERRIDE=FQ","FILING_STATUS=MR","Sort=A","Dates=H","DateFormat=P","Fill=—","Direction=H","UseDPDF=Y")</f>
        <v>—</v>
      </c>
      <c r="S70" s="14" t="str">
        <f>_xll.BDH("SRPT US Equity","IS_LEGAL_LITIG_SETTLE_DILUTED_SH","FQ4 2022","FQ4 2022","Currency=USD","Period=FQ","BEST_FPERIOD_OVERRIDE=FQ","FILING_STATUS=MR","Sort=A","Dates=H","DateFormat=P","Fill=—","Direction=H","UseDPDF=Y")</f>
        <v>—</v>
      </c>
      <c r="T70" s="14" t="str">
        <f>_xll.BDH("SRPT US Equity","IS_LEGAL_LITIG_SETTLE_DILUTED_SH","FQ1 2023","FQ1 2023","Currency=USD","Period=FQ","BEST_FPERIOD_OVERRIDE=FQ","FILING_STATUS=MR","Sort=A","Dates=H","DateFormat=P","Fill=—","Direction=H","UseDPDF=Y")</f>
        <v>—</v>
      </c>
      <c r="U70" s="14" t="str">
        <f>_xll.BDH("SRPT US Equity","IS_LEGAL_LITIG_SETTLE_DILUTED_SH","FQ2 2023","FQ2 2023","Currency=USD","Period=FQ","BEST_FPERIOD_OVERRIDE=FQ","FILING_STATUS=MR","Sort=A","Dates=H","DateFormat=P","Fill=—","Direction=H","UseDPDF=Y")</f>
        <v>—</v>
      </c>
      <c r="V70" s="14" t="str">
        <f>_xll.BDH("SRPT US Equity","IS_LEGAL_LITIG_SETTLE_DILUTED_SH","FQ3 2023","FQ3 2023","Currency=USD","Period=FQ","BEST_FPERIOD_OVERRIDE=FQ","FILING_STATUS=MR","Sort=A","Dates=H","DateFormat=P","Fill=—","Direction=H","UseDPDF=Y")</f>
        <v>—</v>
      </c>
      <c r="W70" s="14" t="str">
        <f>_xll.BDH("SRPT US Equity","IS_LEGAL_LITIG_SETTLE_DILUTED_SH","FQ4 2023","FQ4 2023","Currency=USD","Period=FQ","BEST_FPERIOD_OVERRIDE=FQ","FILING_STATUS=MR","Sort=A","Dates=H","DateFormat=P","Fill=—","Direction=H","UseDPDF=Y")</f>
        <v>—</v>
      </c>
      <c r="X70" s="14" t="str">
        <f>_xll.BDH("SRPT US Equity","IS_LEGAL_LITIG_SETTLE_DILUTED_SH","FQ1 2024","FQ1 2024","Currency=USD","Period=FQ","BEST_FPERIOD_OVERRIDE=FQ","FILING_STATUS=MR","Sort=A","Dates=H","DateFormat=P","Fill=—","Direction=H","UseDPDF=Y")</f>
        <v>—</v>
      </c>
      <c r="Y70" s="14" t="str">
        <f>_xll.BDH("SRPT US Equity","IS_LEGAL_LITIG_SETTLE_DILUTED_SH","FQ2 2024","FQ2 2024","Currency=USD","Period=FQ","BEST_FPERIOD_OVERRIDE=FQ","FILING_STATUS=MR","Sort=A","Dates=H","DateFormat=P","Fill=—","Direction=H","UseDPDF=Y")</f>
        <v>—</v>
      </c>
      <c r="Z70" s="14" t="str">
        <f>_xll.BDH("SRPT US Equity","IS_LEGAL_LITIG_SETTLE_DILUTED_SH","FQ3 2024","FQ3 2024","Currency=USD","Period=FQ","BEST_FPERIOD_OVERRIDE=FQ","FILING_STATUS=MR","Sort=A","Dates=H","DateFormat=P","Fill=—","Direction=H","UseDPDF=Y")</f>
        <v>—</v>
      </c>
      <c r="AA70" s="14" t="str">
        <f>_xll.BDH("SRPT US Equity","IS_LEGAL_LITIG_SETTLE_DILUTED_SH","FQ4 2024","FQ4 2024","Currency=USD","Period=FQ","BEST_FPERIOD_OVERRIDE=FQ","FILING_STATUS=MR","Sort=A","Dates=H","DateFormat=P","Fill=—","Direction=H","UseDPDF=Y")</f>
        <v>—</v>
      </c>
    </row>
    <row r="71" spans="1:27" x14ac:dyDescent="0.25">
      <c r="A71" s="10" t="s">
        <v>624</v>
      </c>
      <c r="B71" s="10" t="s">
        <v>650</v>
      </c>
      <c r="C71" s="14" t="str">
        <f>_xll.BDH("SRPT US Equity","IS_UNREALIZED_INVEST_DILUTED_SH","FQ4 2018","FQ4 2018","Currency=USD","Period=FQ","BEST_FPERIOD_OVERRIDE=FQ","FILING_STATUS=MR","Sort=A","Dates=H","DateFormat=P","Fill=—","Direction=H","UseDPDF=Y")</f>
        <v>—</v>
      </c>
      <c r="D71" s="14" t="str">
        <f>_xll.BDH("SRPT US Equity","IS_UNREALIZED_INVEST_DILUTED_SH","FQ1 2019","FQ1 2019","Currency=USD","Period=FQ","BEST_FPERIOD_OVERRIDE=FQ","FILING_STATUS=MR","Sort=A","Dates=H","DateFormat=P","Fill=—","Direction=H","UseDPDF=Y")</f>
        <v>—</v>
      </c>
      <c r="E71" s="14" t="str">
        <f>_xll.BDH("SRPT US Equity","IS_UNREALIZED_INVEST_DILUTED_SH","FQ2 2019","FQ2 2019","Currency=USD","Period=FQ","BEST_FPERIOD_OVERRIDE=FQ","FILING_STATUS=MR","Sort=A","Dates=H","DateFormat=P","Fill=—","Direction=H","UseDPDF=Y")</f>
        <v>—</v>
      </c>
      <c r="F71" s="14" t="str">
        <f>_xll.BDH("SRPT US Equity","IS_UNREALIZED_INVEST_DILUTED_SH","FQ3 2019","FQ3 2019","Currency=USD","Period=FQ","BEST_FPERIOD_OVERRIDE=FQ","FILING_STATUS=MR","Sort=A","Dates=H","DateFormat=P","Fill=—","Direction=H","UseDPDF=Y")</f>
        <v>—</v>
      </c>
      <c r="G71" s="14" t="str">
        <f>_xll.BDH("SRPT US Equity","IS_UNREALIZED_INVEST_DILUTED_SH","FQ4 2019","FQ4 2019","Currency=USD","Period=FQ","BEST_FPERIOD_OVERRIDE=FQ","FILING_STATUS=MR","Sort=A","Dates=H","DateFormat=P","Fill=—","Direction=H","UseDPDF=Y")</f>
        <v>—</v>
      </c>
      <c r="H71" s="14" t="str">
        <f>_xll.BDH("SRPT US Equity","IS_UNREALIZED_INVEST_DILUTED_SH","FQ1 2020","FQ1 2020","Currency=USD","Period=FQ","BEST_FPERIOD_OVERRIDE=FQ","FILING_STATUS=MR","Sort=A","Dates=H","DateFormat=P","Fill=—","Direction=H","UseDPDF=Y")</f>
        <v>—</v>
      </c>
      <c r="I71" s="14" t="str">
        <f>_xll.BDH("SRPT US Equity","IS_UNREALIZED_INVEST_DILUTED_SH","FQ2 2020","FQ2 2020","Currency=USD","Period=FQ","BEST_FPERIOD_OVERRIDE=FQ","FILING_STATUS=MR","Sort=A","Dates=H","DateFormat=P","Fill=—","Direction=H","UseDPDF=Y")</f>
        <v>—</v>
      </c>
      <c r="J71" s="14" t="str">
        <f>_xll.BDH("SRPT US Equity","IS_UNREALIZED_INVEST_DILUTED_SH","FQ3 2020","FQ3 2020","Currency=USD","Period=FQ","BEST_FPERIOD_OVERRIDE=FQ","FILING_STATUS=MR","Sort=A","Dates=H","DateFormat=P","Fill=—","Direction=H","UseDPDF=Y")</f>
        <v>—</v>
      </c>
      <c r="K71" s="14" t="str">
        <f>_xll.BDH("SRPT US Equity","IS_UNREALIZED_INVEST_DILUTED_SH","FQ4 2020","FQ4 2020","Currency=USD","Period=FQ","BEST_FPERIOD_OVERRIDE=FQ","FILING_STATUS=MR","Sort=A","Dates=H","DateFormat=P","Fill=—","Direction=H","UseDPDF=Y")</f>
        <v>—</v>
      </c>
      <c r="L71" s="14" t="str">
        <f>_xll.BDH("SRPT US Equity","IS_UNREALIZED_INVEST_DILUTED_SH","FQ1 2021","FQ1 2021","Currency=USD","Period=FQ","BEST_FPERIOD_OVERRIDE=FQ","FILING_STATUS=MR","Sort=A","Dates=H","DateFormat=P","Fill=—","Direction=H","UseDPDF=Y")</f>
        <v>—</v>
      </c>
      <c r="M71" s="14" t="str">
        <f>_xll.BDH("SRPT US Equity","IS_UNREALIZED_INVEST_DILUTED_SH","FQ2 2021","FQ2 2021","Currency=USD","Period=FQ","BEST_FPERIOD_OVERRIDE=FQ","FILING_STATUS=MR","Sort=A","Dates=H","DateFormat=P","Fill=—","Direction=H","UseDPDF=Y")</f>
        <v>—</v>
      </c>
      <c r="N71" s="14" t="str">
        <f>_xll.BDH("SRPT US Equity","IS_UNREALIZED_INVEST_DILUTED_SH","FQ3 2021","FQ3 2021","Currency=USD","Period=FQ","BEST_FPERIOD_OVERRIDE=FQ","FILING_STATUS=MR","Sort=A","Dates=H","DateFormat=P","Fill=—","Direction=H","UseDPDF=Y")</f>
        <v>—</v>
      </c>
      <c r="O71" s="14" t="str">
        <f>_xll.BDH("SRPT US Equity","IS_UNREALIZED_INVEST_DILUTED_SH","FQ4 2021","FQ4 2021","Currency=USD","Period=FQ","BEST_FPERIOD_OVERRIDE=FQ","FILING_STATUS=MR","Sort=A","Dates=H","DateFormat=P","Fill=—","Direction=H","UseDPDF=Y")</f>
        <v>—</v>
      </c>
      <c r="P71" s="14" t="str">
        <f>_xll.BDH("SRPT US Equity","IS_UNREALIZED_INVEST_DILUTED_SH","FQ1 2022","FQ1 2022","Currency=USD","Period=FQ","BEST_FPERIOD_OVERRIDE=FQ","FILING_STATUS=MR","Sort=A","Dates=H","DateFormat=P","Fill=—","Direction=H","UseDPDF=Y")</f>
        <v>—</v>
      </c>
      <c r="Q71" s="14" t="str">
        <f>_xll.BDH("SRPT US Equity","IS_UNREALIZED_INVEST_DILUTED_SH","FQ2 2022","FQ2 2022","Currency=USD","Period=FQ","BEST_FPERIOD_OVERRIDE=FQ","FILING_STATUS=MR","Sort=A","Dates=H","DateFormat=P","Fill=—","Direction=H","UseDPDF=Y")</f>
        <v>—</v>
      </c>
      <c r="R71" s="14" t="str">
        <f>_xll.BDH("SRPT US Equity","IS_UNREALIZED_INVEST_DILUTED_SH","FQ3 2022","FQ3 2022","Currency=USD","Period=FQ","BEST_FPERIOD_OVERRIDE=FQ","FILING_STATUS=MR","Sort=A","Dates=H","DateFormat=P","Fill=—","Direction=H","UseDPDF=Y")</f>
        <v>—</v>
      </c>
      <c r="S71" s="14">
        <f>_xll.BDH("SRPT US Equity","IS_UNREALIZED_INVEST_DILUTED_SH","FQ4 2022","FQ4 2022","Currency=USD","Period=FQ","BEST_FPERIOD_OVERRIDE=FQ","FILING_STATUS=MR","Sort=A","Dates=H","DateFormat=P","Fill=—","Direction=H","UseDPDF=Y")</f>
        <v>2.3199999999999998E-2</v>
      </c>
      <c r="T71" s="14" t="str">
        <f>_xll.BDH("SRPT US Equity","IS_UNREALIZED_INVEST_DILUTED_SH","FQ1 2023","FQ1 2023","Currency=USD","Period=FQ","BEST_FPERIOD_OVERRIDE=FQ","FILING_STATUS=MR","Sort=A","Dates=H","DateFormat=P","Fill=—","Direction=H","UseDPDF=Y")</f>
        <v>—</v>
      </c>
      <c r="U71" s="14" t="str">
        <f>_xll.BDH("SRPT US Equity","IS_UNREALIZED_INVEST_DILUTED_SH","FQ2 2023","FQ2 2023","Currency=USD","Period=FQ","BEST_FPERIOD_OVERRIDE=FQ","FILING_STATUS=MR","Sort=A","Dates=H","DateFormat=P","Fill=—","Direction=H","UseDPDF=Y")</f>
        <v>—</v>
      </c>
      <c r="V71" s="14" t="str">
        <f>_xll.BDH("SRPT US Equity","IS_UNREALIZED_INVEST_DILUTED_SH","FQ3 2023","FQ3 2023","Currency=USD","Period=FQ","BEST_FPERIOD_OVERRIDE=FQ","FILING_STATUS=MR","Sort=A","Dates=H","DateFormat=P","Fill=—","Direction=H","UseDPDF=Y")</f>
        <v>—</v>
      </c>
      <c r="W71" s="14" t="str">
        <f>_xll.BDH("SRPT US Equity","IS_UNREALIZED_INVEST_DILUTED_SH","FQ4 2023","FQ4 2023","Currency=USD","Period=FQ","BEST_FPERIOD_OVERRIDE=FQ","FILING_STATUS=MR","Sort=A","Dates=H","DateFormat=P","Fill=—","Direction=H","UseDPDF=Y")</f>
        <v>—</v>
      </c>
      <c r="X71" s="14" t="str">
        <f>_xll.BDH("SRPT US Equity","IS_UNREALIZED_INVEST_DILUTED_SH","FQ1 2024","FQ1 2024","Currency=USD","Period=FQ","BEST_FPERIOD_OVERRIDE=FQ","FILING_STATUS=MR","Sort=A","Dates=H","DateFormat=P","Fill=—","Direction=H","UseDPDF=Y")</f>
        <v>—</v>
      </c>
      <c r="Y71" s="14" t="str">
        <f>_xll.BDH("SRPT US Equity","IS_UNREALIZED_INVEST_DILUTED_SH","FQ2 2024","FQ2 2024","Currency=USD","Period=FQ","BEST_FPERIOD_OVERRIDE=FQ","FILING_STATUS=MR","Sort=A","Dates=H","DateFormat=P","Fill=—","Direction=H","UseDPDF=Y")</f>
        <v>—</v>
      </c>
      <c r="Z71" s="14" t="str">
        <f>_xll.BDH("SRPT US Equity","IS_UNREALIZED_INVEST_DILUTED_SH","FQ3 2024","FQ3 2024","Currency=USD","Period=FQ","BEST_FPERIOD_OVERRIDE=FQ","FILING_STATUS=MR","Sort=A","Dates=H","DateFormat=P","Fill=—","Direction=H","UseDPDF=Y")</f>
        <v>—</v>
      </c>
      <c r="AA71" s="14" t="str">
        <f>_xll.BDH("SRPT US Equity","IS_UNREALIZED_INVEST_DILUTED_SH","FQ4 2024","FQ4 2024","Currency=USD","Period=FQ","BEST_FPERIOD_OVERRIDE=FQ","FILING_STATUS=MR","Sort=A","Dates=H","DateFormat=P","Fill=—","Direction=H","UseDPDF=Y")</f>
        <v>—</v>
      </c>
    </row>
    <row r="72" spans="1:27" x14ac:dyDescent="0.25">
      <c r="A72" s="10" t="s">
        <v>618</v>
      </c>
      <c r="B72" s="10" t="s">
        <v>651</v>
      </c>
      <c r="C72" s="14" t="str">
        <f>_xll.BDH("SRPT US Equity","IS_OTH_ONE_TIME_ITEMS_DILUTED_SH","FQ4 2018","FQ4 2018","Currency=USD","Period=FQ","BEST_FPERIOD_OVERRIDE=FQ","FILING_STATUS=MR","Sort=A","Dates=H","DateFormat=P","Fill=—","Direction=H","UseDPDF=Y")</f>
        <v>—</v>
      </c>
      <c r="D72" s="14">
        <f>_xll.BDH("SRPT US Equity","IS_OTH_ONE_TIME_ITEMS_DILUTED_SH","FQ1 2019","FQ1 2019","Currency=USD","Period=FQ","BEST_FPERIOD_OVERRIDE=FQ","FILING_STATUS=MR","Sort=A","Dates=H","DateFormat=P","Fill=—","Direction=H","UseDPDF=Y")</f>
        <v>1.24E-2</v>
      </c>
      <c r="E72" s="14">
        <f>_xll.BDH("SRPT US Equity","IS_OTH_ONE_TIME_ITEMS_DILUTED_SH","FQ2 2019","FQ2 2019","Currency=USD","Period=FQ","BEST_FPERIOD_OVERRIDE=FQ","FILING_STATUS=MR","Sort=A","Dates=H","DateFormat=P","Fill=—","Direction=H","UseDPDF=Y")</f>
        <v>0.2039</v>
      </c>
      <c r="F72" s="14">
        <f>_xll.BDH("SRPT US Equity","IS_OTH_ONE_TIME_ITEMS_DILUTED_SH","FQ3 2019","FQ3 2019","Currency=USD","Period=FQ","BEST_FPERIOD_OVERRIDE=FQ","FILING_STATUS=MR","Sort=A","Dates=H","DateFormat=P","Fill=—","Direction=H","UseDPDF=Y")</f>
        <v>0.12939999999999999</v>
      </c>
      <c r="G72" s="14">
        <f>_xll.BDH("SRPT US Equity","IS_OTH_ONE_TIME_ITEMS_DILUTED_SH","FQ4 2019","FQ4 2019","Currency=USD","Period=FQ","BEST_FPERIOD_OVERRIDE=FQ","FILING_STATUS=MR","Sort=A","Dates=H","DateFormat=P","Fill=—","Direction=H","UseDPDF=Y")</f>
        <v>0.79269999999999996</v>
      </c>
      <c r="H72" s="14" t="str">
        <f>_xll.BDH("SRPT US Equity","IS_OTH_ONE_TIME_ITEMS_DILUTED_SH","FQ1 2020","FQ1 2020","Currency=USD","Period=FQ","BEST_FPERIOD_OVERRIDE=FQ","FILING_STATUS=MR","Sort=A","Dates=H","DateFormat=P","Fill=—","Direction=H","UseDPDF=Y")</f>
        <v>—</v>
      </c>
      <c r="I72" s="14" t="str">
        <f>_xll.BDH("SRPT US Equity","IS_OTH_ONE_TIME_ITEMS_DILUTED_SH","FQ2 2020","FQ2 2020","Currency=USD","Period=FQ","BEST_FPERIOD_OVERRIDE=FQ","FILING_STATUS=MR","Sort=A","Dates=H","DateFormat=P","Fill=—","Direction=H","UseDPDF=Y")</f>
        <v>—</v>
      </c>
      <c r="J72" s="14">
        <f>_xll.BDH("SRPT US Equity","IS_OTH_ONE_TIME_ITEMS_DILUTED_SH","FQ3 2020","FQ3 2020","Currency=USD","Period=FQ","BEST_FPERIOD_OVERRIDE=FQ","FILING_STATUS=MR","Sort=A","Dates=H","DateFormat=P","Fill=—","Direction=H","UseDPDF=Y")</f>
        <v>0.60760000000000003</v>
      </c>
      <c r="K72" s="14">
        <f>_xll.BDH("SRPT US Equity","IS_OTH_ONE_TIME_ITEMS_DILUTED_SH","FQ4 2020","FQ4 2020","Currency=USD","Period=FQ","BEST_FPERIOD_OVERRIDE=FQ","FILING_STATUS=MR","Sort=A","Dates=H","DateFormat=P","Fill=—","Direction=H","UseDPDF=Y")</f>
        <v>0.10630000000000001</v>
      </c>
      <c r="L72" s="14">
        <f>_xll.BDH("SRPT US Equity","IS_OTH_ONE_TIME_ITEMS_DILUTED_SH","FQ1 2021","FQ1 2021","Currency=USD","Period=FQ","BEST_FPERIOD_OVERRIDE=FQ","FILING_STATUS=MR","Sort=A","Dates=H","DateFormat=P","Fill=—","Direction=H","UseDPDF=Y")</f>
        <v>5.0200000000000002E-2</v>
      </c>
      <c r="M72" s="14">
        <f>_xll.BDH("SRPT US Equity","IS_OTH_ONE_TIME_ITEMS_DILUTED_SH","FQ2 2021","FQ2 2021","Currency=USD","Period=FQ","BEST_FPERIOD_OVERRIDE=FQ","FILING_STATUS=MR","Sort=A","Dates=H","DateFormat=P","Fill=—","Direction=H","UseDPDF=Y")</f>
        <v>0.3972</v>
      </c>
      <c r="N72" s="14">
        <f>_xll.BDH("SRPT US Equity","IS_OTH_ONE_TIME_ITEMS_DILUTED_SH","FQ3 2021","FQ3 2021","Currency=USD","Period=FQ","BEST_FPERIOD_OVERRIDE=FQ","FILING_STATUS=MR","Sort=A","Dates=H","DateFormat=P","Fill=—","Direction=H","UseDPDF=Y")</f>
        <v>-7.1199999999999999E-2</v>
      </c>
      <c r="O72" s="14" t="str">
        <f>_xll.BDH("SRPT US Equity","IS_OTH_ONE_TIME_ITEMS_DILUTED_SH","FQ4 2021","FQ4 2021","Currency=USD","Period=FQ","BEST_FPERIOD_OVERRIDE=FQ","FILING_STATUS=MR","Sort=A","Dates=H","DateFormat=P","Fill=—","Direction=H","UseDPDF=Y")</f>
        <v>—</v>
      </c>
      <c r="P72" s="14" t="str">
        <f>_xll.BDH("SRPT US Equity","IS_OTH_ONE_TIME_ITEMS_DILUTED_SH","FQ1 2022","FQ1 2022","Currency=USD","Period=FQ","BEST_FPERIOD_OVERRIDE=FQ","FILING_STATUS=MR","Sort=A","Dates=H","DateFormat=P","Fill=—","Direction=H","UseDPDF=Y")</f>
        <v>—</v>
      </c>
      <c r="Q72" s="14" t="str">
        <f>_xll.BDH("SRPT US Equity","IS_OTH_ONE_TIME_ITEMS_DILUTED_SH","FQ2 2022","FQ2 2022","Currency=USD","Period=FQ","BEST_FPERIOD_OVERRIDE=FQ","FILING_STATUS=MR","Sort=A","Dates=H","DateFormat=P","Fill=—","Direction=H","UseDPDF=Y")</f>
        <v>—</v>
      </c>
      <c r="R72" s="14">
        <f>_xll.BDH("SRPT US Equity","IS_OTH_ONE_TIME_ITEMS_DILUTED_SH","FQ3 2022","FQ3 2022","Currency=USD","Period=FQ","BEST_FPERIOD_OVERRIDE=FQ","FILING_STATUS=MR","Sort=A","Dates=H","DateFormat=P","Fill=—","Direction=H","UseDPDF=Y")</f>
        <v>-6.0400000000000002E-2</v>
      </c>
      <c r="S72" s="14" t="str">
        <f>_xll.BDH("SRPT US Equity","IS_OTH_ONE_TIME_ITEMS_DILUTED_SH","FQ4 2022","FQ4 2022","Currency=USD","Period=FQ","BEST_FPERIOD_OVERRIDE=FQ","FILING_STATUS=MR","Sort=A","Dates=H","DateFormat=P","Fill=—","Direction=H","UseDPDF=Y")</f>
        <v>—</v>
      </c>
      <c r="T72" s="14" t="str">
        <f>_xll.BDH("SRPT US Equity","IS_OTH_ONE_TIME_ITEMS_DILUTED_SH","FQ1 2023","FQ1 2023","Currency=USD","Period=FQ","BEST_FPERIOD_OVERRIDE=FQ","FILING_STATUS=MR","Sort=A","Dates=H","DateFormat=P","Fill=—","Direction=H","UseDPDF=Y")</f>
        <v>—</v>
      </c>
      <c r="U72" s="14" t="str">
        <f>_xll.BDH("SRPT US Equity","IS_OTH_ONE_TIME_ITEMS_DILUTED_SH","FQ2 2023","FQ2 2023","Currency=USD","Period=FQ","BEST_FPERIOD_OVERRIDE=FQ","FILING_STATUS=MR","Sort=A","Dates=H","DateFormat=P","Fill=—","Direction=H","UseDPDF=Y")</f>
        <v>—</v>
      </c>
      <c r="V72" s="14" t="str">
        <f>_xll.BDH("SRPT US Equity","IS_OTH_ONE_TIME_ITEMS_DILUTED_SH","FQ3 2023","FQ3 2023","Currency=USD","Period=FQ","BEST_FPERIOD_OVERRIDE=FQ","FILING_STATUS=MR","Sort=A","Dates=H","DateFormat=P","Fill=—","Direction=H","UseDPDF=Y")</f>
        <v>—</v>
      </c>
      <c r="W72" s="14" t="str">
        <f>_xll.BDH("SRPT US Equity","IS_OTH_ONE_TIME_ITEMS_DILUTED_SH","FQ4 2023","FQ4 2023","Currency=USD","Period=FQ","BEST_FPERIOD_OVERRIDE=FQ","FILING_STATUS=MR","Sort=A","Dates=H","DateFormat=P","Fill=—","Direction=H","UseDPDF=Y")</f>
        <v>—</v>
      </c>
      <c r="X72" s="14" t="str">
        <f>_xll.BDH("SRPT US Equity","IS_OTH_ONE_TIME_ITEMS_DILUTED_SH","FQ1 2024","FQ1 2024","Currency=USD","Period=FQ","BEST_FPERIOD_OVERRIDE=FQ","FILING_STATUS=MR","Sort=A","Dates=H","DateFormat=P","Fill=—","Direction=H","UseDPDF=Y")</f>
        <v>—</v>
      </c>
      <c r="Y72" s="14" t="str">
        <f>_xll.BDH("SRPT US Equity","IS_OTH_ONE_TIME_ITEMS_DILUTED_SH","FQ2 2024","FQ2 2024","Currency=USD","Period=FQ","BEST_FPERIOD_OVERRIDE=FQ","FILING_STATUS=MR","Sort=A","Dates=H","DateFormat=P","Fill=—","Direction=H","UseDPDF=Y")</f>
        <v>—</v>
      </c>
      <c r="Z72" s="14" t="str">
        <f>_xll.BDH("SRPT US Equity","IS_OTH_ONE_TIME_ITEMS_DILUTED_SH","FQ3 2024","FQ3 2024","Currency=USD","Period=FQ","BEST_FPERIOD_OVERRIDE=FQ","FILING_STATUS=MR","Sort=A","Dates=H","DateFormat=P","Fill=—","Direction=H","UseDPDF=Y")</f>
        <v>—</v>
      </c>
      <c r="AA72" s="14" t="str">
        <f>_xll.BDH("SRPT US Equity","IS_OTH_ONE_TIME_ITEMS_DILUTED_SH","FQ4 2024","FQ4 2024","Currency=USD","Period=FQ","BEST_FPERIOD_OVERRIDE=FQ","FILING_STATUS=MR","Sort=A","Dates=H","DateFormat=P","Fill=—","Direction=H","UseDPDF=Y")</f>
        <v>—</v>
      </c>
    </row>
    <row r="73" spans="1:27" x14ac:dyDescent="0.25">
      <c r="A73" s="6" t="s">
        <v>652</v>
      </c>
      <c r="B73" s="6" t="s">
        <v>82</v>
      </c>
      <c r="C73" s="20">
        <f>_xll.BDH("SRPT US Equity","IS_DIL_EPS_CONT_OPS","FQ4 2018","FQ4 2018","Currency=USD","Period=FQ","BEST_FPERIOD_OVERRIDE=FQ","FILING_STATUS=MR","Sort=A","Dates=H","DateFormat=P","Fill=—","Direction=H","UseDPDF=Y")</f>
        <v>-2.008</v>
      </c>
      <c r="D73" s="20">
        <f>_xll.BDH("SRPT US Equity","IS_DIL_EPS_CONT_OPS","FQ1 2019","FQ1 2019","Currency=USD","Period=FQ","BEST_FPERIOD_OVERRIDE=FQ","FILING_STATUS=MR","Sort=A","Dates=H","DateFormat=P","Fill=—","Direction=H","UseDPDF=Y")</f>
        <v>-1.0567</v>
      </c>
      <c r="E73" s="20">
        <f>_xll.BDH("SRPT US Equity","IS_DIL_EPS_CONT_OPS","FQ2 2019","FQ2 2019","Currency=USD","Period=FQ","BEST_FPERIOD_OVERRIDE=FQ","FILING_STATUS=MR","Sort=A","Dates=H","DateFormat=P","Fill=—","Direction=H","UseDPDF=Y")</f>
        <v>-1.1937</v>
      </c>
      <c r="F73" s="20">
        <f>_xll.BDH("SRPT US Equity","IS_DIL_EPS_CONT_OPS","FQ3 2019","FQ3 2019","Currency=USD","Period=FQ","BEST_FPERIOD_OVERRIDE=FQ","FILING_STATUS=MR","Sort=A","Dates=H","DateFormat=P","Fill=—","Direction=H","UseDPDF=Y")</f>
        <v>-1.5737000000000001</v>
      </c>
      <c r="G73" s="20">
        <f>_xll.BDH("SRPT US Equity","IS_DIL_EPS_CONT_OPS","FQ4 2019","FQ4 2019","Currency=USD","Period=FQ","BEST_FPERIOD_OVERRIDE=FQ","FILING_STATUS=MR","Sort=A","Dates=H","DateFormat=P","Fill=—","Direction=H","UseDPDF=Y")</f>
        <v>-2.2627000000000002</v>
      </c>
      <c r="H73" s="20">
        <f>_xll.BDH("SRPT US Equity","IS_DIL_EPS_CONT_OPS","FQ1 2020","FQ1 2020","Currency=USD","Period=FQ","BEST_FPERIOD_OVERRIDE=FQ","FILING_STATUS=MR","Sort=A","Dates=H","DateFormat=P","Fill=—","Direction=H","UseDPDF=Y")</f>
        <v>-1.4939</v>
      </c>
      <c r="I73" s="20">
        <f>_xll.BDH("SRPT US Equity","IS_DIL_EPS_CONT_OPS","FQ2 2020","FQ2 2020","Currency=USD","Period=FQ","BEST_FPERIOD_OVERRIDE=FQ","FILING_STATUS=MR","Sort=A","Dates=H","DateFormat=P","Fill=—","Direction=H","UseDPDF=Y")</f>
        <v>-1.93</v>
      </c>
      <c r="J73" s="20">
        <f>_xll.BDH("SRPT US Equity","IS_DIL_EPS_CONT_OPS","FQ3 2020","FQ3 2020","Currency=USD","Period=FQ","BEST_FPERIOD_OVERRIDE=FQ","FILING_STATUS=MR","Sort=A","Dates=H","DateFormat=P","Fill=—","Direction=H","UseDPDF=Y")</f>
        <v>-1.8956</v>
      </c>
      <c r="K73" s="20">
        <f>_xll.BDH("SRPT US Equity","IS_DIL_EPS_CONT_OPS","FQ4 2020","FQ4 2020","Currency=USD","Period=FQ","BEST_FPERIOD_OVERRIDE=FQ","FILING_STATUS=MR","Sort=A","Dates=H","DateFormat=P","Fill=—","Direction=H","UseDPDF=Y")</f>
        <v>-2.2936999999999999</v>
      </c>
      <c r="L73" s="20">
        <f>_xll.BDH("SRPT US Equity","IS_DIL_EPS_CONT_OPS","FQ1 2021","FQ1 2021","Currency=USD","Period=FQ","BEST_FPERIOD_OVERRIDE=FQ","FILING_STATUS=MR","Sort=A","Dates=H","DateFormat=P","Fill=—","Direction=H","UseDPDF=Y")</f>
        <v>-1.9294</v>
      </c>
      <c r="M73" s="20">
        <f>_xll.BDH("SRPT US Equity","IS_DIL_EPS_CONT_OPS","FQ2 2021","FQ2 2021","Currency=USD","Period=FQ","BEST_FPERIOD_OVERRIDE=FQ","FILING_STATUS=MR","Sort=A","Dates=H","DateFormat=P","Fill=—","Direction=H","UseDPDF=Y")</f>
        <v>-1.9026000000000001</v>
      </c>
      <c r="N73" s="20">
        <f>_xll.BDH("SRPT US Equity","IS_DIL_EPS_CONT_OPS","FQ3 2021","FQ3 2021","Currency=USD","Period=FQ","BEST_FPERIOD_OVERRIDE=FQ","FILING_STATUS=MR","Sort=A","Dates=H","DateFormat=P","Fill=—","Direction=H","UseDPDF=Y")</f>
        <v>-0.55830000000000002</v>
      </c>
      <c r="O73" s="20">
        <f>_xll.BDH("SRPT US Equity","IS_DIL_EPS_CONT_OPS","FQ4 2021","FQ4 2021","Currency=USD","Period=FQ","BEST_FPERIOD_OVERRIDE=FQ","FILING_STATUS=MR","Sort=A","Dates=H","DateFormat=P","Fill=—","Direction=H","UseDPDF=Y")</f>
        <v>-1.42</v>
      </c>
      <c r="P73" s="20">
        <f>_xll.BDH("SRPT US Equity","IS_DIL_EPS_CONT_OPS","FQ1 2022","FQ1 2022","Currency=USD","Period=FQ","BEST_FPERIOD_OVERRIDE=FQ","FILING_STATUS=MR","Sort=A","Dates=H","DateFormat=P","Fill=—","Direction=H","UseDPDF=Y")</f>
        <v>-1.2</v>
      </c>
      <c r="Q73" s="20">
        <f>_xll.BDH("SRPT US Equity","IS_DIL_EPS_CONT_OPS","FQ2 2022","FQ2 2022","Currency=USD","Period=FQ","BEST_FPERIOD_OVERRIDE=FQ","FILING_STATUS=MR","Sort=A","Dates=H","DateFormat=P","Fill=—","Direction=H","UseDPDF=Y")</f>
        <v>-2.65</v>
      </c>
      <c r="R73" s="20">
        <f>_xll.BDH("SRPT US Equity","IS_DIL_EPS_CONT_OPS","FQ3 2022","FQ3 2022","Currency=USD","Period=FQ","BEST_FPERIOD_OVERRIDE=FQ","FILING_STATUS=MR","Sort=A","Dates=H","DateFormat=P","Fill=—","Direction=H","UseDPDF=Y")</f>
        <v>-1.8708</v>
      </c>
      <c r="S73" s="20">
        <f>_xll.BDH("SRPT US Equity","IS_DIL_EPS_CONT_OPS","FQ4 2022","FQ4 2022","Currency=USD","Period=FQ","BEST_FPERIOD_OVERRIDE=FQ","FILING_STATUS=MR","Sort=A","Dates=H","DateFormat=P","Fill=—","Direction=H","UseDPDF=Y")</f>
        <v>-1.2204999999999999</v>
      </c>
      <c r="T73" s="20">
        <f>_xll.BDH("SRPT US Equity","IS_DIL_EPS_CONT_OPS","FQ1 2023","FQ1 2023","Currency=USD","Period=FQ","BEST_FPERIOD_OVERRIDE=FQ","FILING_STATUS=MR","Sort=A","Dates=H","DateFormat=P","Fill=—","Direction=H","UseDPDF=Y")</f>
        <v>-2.3902000000000001</v>
      </c>
      <c r="U73" s="20">
        <f>_xll.BDH("SRPT US Equity","IS_DIL_EPS_CONT_OPS","FQ2 2023","FQ2 2023","Currency=USD","Period=FQ","BEST_FPERIOD_OVERRIDE=FQ","FILING_STATUS=MR","Sort=A","Dates=H","DateFormat=P","Fill=—","Direction=H","UseDPDF=Y")</f>
        <v>-1.1851</v>
      </c>
      <c r="V73" s="20">
        <f>_xll.BDH("SRPT US Equity","IS_DIL_EPS_CONT_OPS","FQ3 2023","FQ3 2023","Currency=USD","Period=FQ","BEST_FPERIOD_OVERRIDE=FQ","FILING_STATUS=MR","Sort=A","Dates=H","DateFormat=P","Fill=—","Direction=H","UseDPDF=Y")</f>
        <v>-0.44280000000000003</v>
      </c>
      <c r="W73" s="20">
        <f>_xll.BDH("SRPT US Equity","IS_DIL_EPS_CONT_OPS","FQ4 2023","FQ4 2023","Currency=USD","Period=FQ","BEST_FPERIOD_OVERRIDE=FQ","FILING_STATUS=MR","Sort=A","Dates=H","DateFormat=P","Fill=—","Direction=H","UseDPDF=Y")</f>
        <v>0.47</v>
      </c>
      <c r="X73" s="20">
        <f>_xll.BDH("SRPT US Equity","IS_DIL_EPS_CONT_OPS","FQ1 2024","FQ1 2024","Currency=USD","Period=FQ","BEST_FPERIOD_OVERRIDE=FQ","FILING_STATUS=MR","Sort=A","Dates=H","DateFormat=P","Fill=—","Direction=H","UseDPDF=Y")</f>
        <v>0.46879999999999999</v>
      </c>
      <c r="Y73" s="20">
        <f>_xll.BDH("SRPT US Equity","IS_DIL_EPS_CONT_OPS","FQ2 2024","FQ2 2024","Currency=USD","Period=FQ","BEST_FPERIOD_OVERRIDE=FQ","FILING_STATUS=MR","Sort=A","Dates=H","DateFormat=P","Fill=—","Direction=H","UseDPDF=Y")</f>
        <v>7.0000000000000007E-2</v>
      </c>
      <c r="Z73" s="20">
        <f>_xll.BDH("SRPT US Equity","IS_DIL_EPS_CONT_OPS","FQ3 2024","FQ3 2024","Currency=USD","Period=FQ","BEST_FPERIOD_OVERRIDE=FQ","FILING_STATUS=MR","Sort=A","Dates=H","DateFormat=P","Fill=—","Direction=H","UseDPDF=Y")</f>
        <v>0.32650000000000001</v>
      </c>
      <c r="AA73" s="20">
        <f>_xll.BDH("SRPT US Equity","IS_DIL_EPS_CONT_OPS","FQ4 2024","FQ4 2024","Currency=USD","Period=FQ","BEST_FPERIOD_OVERRIDE=FQ","FILING_STATUS=MR","Sort=A","Dates=H","DateFormat=P","Fill=—","Direction=H","UseDPDF=Y")</f>
        <v>1.4935</v>
      </c>
    </row>
    <row r="74" spans="1:27" x14ac:dyDescent="0.25">
      <c r="A74" s="7" t="s">
        <v>90</v>
      </c>
      <c r="B74" s="7"/>
      <c r="C74" s="7" t="s">
        <v>5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32"/>
  <sheetViews>
    <sheetView topLeftCell="F1"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653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10" t="s">
        <v>640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25">
      <c r="A7" s="10" t="s">
        <v>654</v>
      </c>
      <c r="B7" s="10" t="s">
        <v>655</v>
      </c>
      <c r="C7" s="14">
        <f>_xll.BDH("SRPT US Equity","BASIC_EPS_EX_STK_BASED_COMP","FQ4 2018","FQ4 2018","Currency=USD","Period=FQ","BEST_FPERIOD_OVERRIDE=FQ","FILING_STATUS=MR","Sort=A","Dates=H","DateFormat=P","Fill=—","Direction=H","UseDPDF=Y")</f>
        <v>-1.8228</v>
      </c>
      <c r="D7" s="14">
        <f>_xll.BDH("SRPT US Equity","BASIC_EPS_EX_STK_BASED_COMP","FQ1 2019","FQ1 2019","Currency=USD","Period=FQ","BEST_FPERIOD_OVERRIDE=FQ","FILING_STATUS=MR","Sort=A","Dates=H","DateFormat=P","Fill=—","Direction=H","UseDPDF=Y")</f>
        <v>-0.87739999999999996</v>
      </c>
      <c r="E7" s="14">
        <f>_xll.BDH("SRPT US Equity","BASIC_EPS_EX_STK_BASED_COMP","FQ2 2019","FQ2 2019","Currency=USD","Period=FQ","BEST_FPERIOD_OVERRIDE=FQ","FILING_STATUS=MR","Sort=A","Dates=H","DateFormat=P","Fill=—","Direction=H","UseDPDF=Y")</f>
        <v>-0.97989999999999999</v>
      </c>
      <c r="F7" s="14">
        <f>_xll.BDH("SRPT US Equity","BASIC_EPS_EX_STK_BASED_COMP","FQ3 2019","FQ3 2019","Currency=USD","Period=FQ","BEST_FPERIOD_OVERRIDE=FQ","FILING_STATUS=MR","Sort=A","Dates=H","DateFormat=P","Fill=—","Direction=H","UseDPDF=Y")</f>
        <v>-1.3539000000000001</v>
      </c>
      <c r="G7" s="14">
        <f>_xll.BDH("SRPT US Equity","BASIC_EPS_EX_STK_BASED_COMP","FQ4 2019","FQ4 2019","Currency=USD","Period=FQ","BEST_FPERIOD_OVERRIDE=FQ","FILING_STATUS=MR","Sort=A","Dates=H","DateFormat=P","Fill=—","Direction=H","UseDPDF=Y")</f>
        <v>-2.0289000000000001</v>
      </c>
      <c r="H7" s="14">
        <f>_xll.BDH("SRPT US Equity","BASIC_EPS_EX_STK_BASED_COMP","FQ1 2020","FQ1 2020","Currency=USD","Period=FQ","BEST_FPERIOD_OVERRIDE=FQ","FILING_STATUS=MR","Sort=A","Dates=H","DateFormat=P","Fill=—","Direction=H","UseDPDF=Y")</f>
        <v>-1.179</v>
      </c>
      <c r="I7" s="14">
        <f>_xll.BDH("SRPT US Equity","BASIC_EPS_EX_STK_BASED_COMP","FQ2 2020","FQ2 2020","Currency=USD","Period=FQ","BEST_FPERIOD_OVERRIDE=FQ","FILING_STATUS=MR","Sort=A","Dates=H","DateFormat=P","Fill=—","Direction=H","UseDPDF=Y")</f>
        <v>-1.6501999999999999</v>
      </c>
      <c r="J7" s="14">
        <f>_xll.BDH("SRPT US Equity","BASIC_EPS_EX_STK_BASED_COMP","FQ3 2020","FQ3 2020","Currency=USD","Period=FQ","BEST_FPERIOD_OVERRIDE=FQ","FILING_STATUS=MR","Sort=A","Dates=H","DateFormat=P","Fill=—","Direction=H","UseDPDF=Y")</f>
        <v>-1.6248</v>
      </c>
      <c r="K7" s="14">
        <f>_xll.BDH("SRPT US Equity","BASIC_EPS_EX_STK_BASED_COMP","FQ4 2020","FQ4 2020","Currency=USD","Period=FQ","BEST_FPERIOD_OVERRIDE=FQ","FILING_STATUS=MR","Sort=A","Dates=H","DateFormat=P","Fill=—","Direction=H","UseDPDF=Y")</f>
        <v>-1.9973000000000001</v>
      </c>
      <c r="L7" s="14">
        <f>_xll.BDH("SRPT US Equity","BASIC_EPS_EX_STK_BASED_COMP","FQ1 2021","FQ1 2021","Currency=USD","Period=FQ","BEST_FPERIOD_OVERRIDE=FQ","FILING_STATUS=MR","Sort=A","Dates=H","DateFormat=P","Fill=—","Direction=H","UseDPDF=Y")</f>
        <v>-1.5717000000000001</v>
      </c>
      <c r="M7" s="14">
        <f>_xll.BDH("SRPT US Equity","BASIC_EPS_EX_STK_BASED_COMP","FQ2 2021","FQ2 2021","Currency=USD","Period=FQ","BEST_FPERIOD_OVERRIDE=FQ","FILING_STATUS=MR","Sort=A","Dates=H","DateFormat=P","Fill=—","Direction=H","UseDPDF=Y")</f>
        <v>-1.6156999999999999</v>
      </c>
      <c r="N7" s="14">
        <f>_xll.BDH("SRPT US Equity","BASIC_EPS_EX_STK_BASED_COMP","FQ3 2021","FQ3 2021","Currency=USD","Period=FQ","BEST_FPERIOD_OVERRIDE=FQ","FILING_STATUS=MR","Sort=A","Dates=H","DateFormat=P","Fill=—","Direction=H","UseDPDF=Y")</f>
        <v>-0.2944</v>
      </c>
      <c r="O7" s="14">
        <f>_xll.BDH("SRPT US Equity","BASIC_EPS_EX_STK_BASED_COMP","FQ4 2021","FQ4 2021","Currency=USD","Period=FQ","BEST_FPERIOD_OVERRIDE=FQ","FILING_STATUS=MR","Sort=A","Dates=H","DateFormat=P","Fill=—","Direction=H","UseDPDF=Y")</f>
        <v>-1.0729</v>
      </c>
      <c r="P7" s="14">
        <f>_xll.BDH("SRPT US Equity","BASIC_EPS_EX_STK_BASED_COMP","FQ1 2022","FQ1 2022","Currency=USD","Period=FQ","BEST_FPERIOD_OVERRIDE=FQ","FILING_STATUS=MR","Sort=A","Dates=H","DateFormat=P","Fill=—","Direction=H","UseDPDF=Y")</f>
        <v>-0.78959999999999997</v>
      </c>
      <c r="Q7" s="14">
        <f>_xll.BDH("SRPT US Equity","BASIC_EPS_EX_STK_BASED_COMP","FQ2 2022","FQ2 2022","Currency=USD","Period=FQ","BEST_FPERIOD_OVERRIDE=FQ","FILING_STATUS=MR","Sort=A","Dates=H","DateFormat=P","Fill=—","Direction=H","UseDPDF=Y")</f>
        <v>-1.7211000000000001</v>
      </c>
      <c r="R7" s="14">
        <f>_xll.BDH("SRPT US Equity","BASIC_EPS_EX_STK_BASED_COMP","FQ3 2022","FQ3 2022","Currency=USD","Period=FQ","BEST_FPERIOD_OVERRIDE=FQ","FILING_STATUS=MR","Sort=A","Dates=H","DateFormat=P","Fill=—","Direction=H","UseDPDF=Y")</f>
        <v>-1.4161999999999999</v>
      </c>
      <c r="S7" s="14">
        <f>_xll.BDH("SRPT US Equity","BASIC_EPS_EX_STK_BASED_COMP","FQ4 2022","FQ4 2022","Currency=USD","Period=FQ","BEST_FPERIOD_OVERRIDE=FQ","FILING_STATUS=MR","Sort=A","Dates=H","DateFormat=P","Fill=—","Direction=H","UseDPDF=Y")</f>
        <v>-0.59570000000000001</v>
      </c>
      <c r="T7" s="14">
        <f>_xll.BDH("SRPT US Equity","BASIC_EPS_EX_STK_BASED_COMP","FQ1 2023","FQ1 2023","Currency=USD","Period=FQ","BEST_FPERIOD_OVERRIDE=FQ","FILING_STATUS=MR","Sort=A","Dates=H","DateFormat=P","Fill=—","Direction=H","UseDPDF=Y")</f>
        <v>-2.0205000000000002</v>
      </c>
      <c r="U7" s="14">
        <f>_xll.BDH("SRPT US Equity","BASIC_EPS_EX_STK_BASED_COMP","FQ2 2023","FQ2 2023","Currency=USD","Period=FQ","BEST_FPERIOD_OVERRIDE=FQ","FILING_STATUS=MR","Sort=A","Dates=H","DateFormat=P","Fill=—","Direction=H","UseDPDF=Y")</f>
        <v>-0.76319999999999999</v>
      </c>
      <c r="V7" s="14">
        <f>_xll.BDH("SRPT US Equity","BASIC_EPS_EX_STK_BASED_COMP","FQ3 2023","FQ3 2023","Currency=USD","Period=FQ","BEST_FPERIOD_OVERRIDE=FQ","FILING_STATUS=MR","Sort=A","Dates=H","DateFormat=P","Fill=—","Direction=H","UseDPDF=Y")</f>
        <v>-1.5599999999999999E-2</v>
      </c>
      <c r="W7" s="14">
        <f>_xll.BDH("SRPT US Equity","BASIC_EPS_EX_STK_BASED_COMP","FQ4 2023","FQ4 2023","Currency=USD","Period=FQ","BEST_FPERIOD_OVERRIDE=FQ","FILING_STATUS=MR","Sort=A","Dates=H","DateFormat=P","Fill=—","Direction=H","UseDPDF=Y")</f>
        <v>0.92310000000000003</v>
      </c>
      <c r="X7" s="14">
        <f>_xll.BDH("SRPT US Equity","BASIC_EPS_EX_STK_BASED_COMP","FQ1 2024","FQ1 2024","Currency=USD","Period=FQ","BEST_FPERIOD_OVERRIDE=FQ","FILING_STATUS=MR","Sort=A","Dates=H","DateFormat=P","Fill=—","Direction=H","UseDPDF=Y")</f>
        <v>0.90800000000000003</v>
      </c>
      <c r="Y7" s="14">
        <f>_xll.BDH("SRPT US Equity","BASIC_EPS_EX_STK_BASED_COMP","FQ2 2024","FQ2 2024","Currency=USD","Period=FQ","BEST_FPERIOD_OVERRIDE=FQ","FILING_STATUS=MR","Sort=A","Dates=H","DateFormat=P","Fill=—","Direction=H","UseDPDF=Y")</f>
        <v>0.5393</v>
      </c>
      <c r="Z7" s="14">
        <f>_xll.BDH("SRPT US Equity","BASIC_EPS_EX_STK_BASED_COMP","FQ3 2024","FQ3 2024","Currency=USD","Period=FQ","BEST_FPERIOD_OVERRIDE=FQ","FILING_STATUS=MR","Sort=A","Dates=H","DateFormat=P","Fill=—","Direction=H","UseDPDF=Y")</f>
        <v>0.74160000000000004</v>
      </c>
      <c r="AA7" s="14">
        <f>_xll.BDH("SRPT US Equity","BASIC_EPS_EX_STK_BASED_COMP","FQ4 2024","FQ4 2024","Currency=USD","Period=FQ","BEST_FPERIOD_OVERRIDE=FQ","FILING_STATUS=MR","Sort=A","Dates=H","DateFormat=P","Fill=—","Direction=H","UseDPDF=Y")</f>
        <v>2.1486999999999998</v>
      </c>
    </row>
    <row r="8" spans="1:27" x14ac:dyDescent="0.25">
      <c r="A8" s="10" t="s">
        <v>656</v>
      </c>
      <c r="B8" s="10" t="s">
        <v>657</v>
      </c>
      <c r="C8" s="14">
        <f>_xll.BDH("SRPT US Equity","DILUTED_EPS_EX_STK_BASED_COMP","FQ4 2018","FQ4 2018","Currency=USD","Period=FQ","BEST_FPERIOD_OVERRIDE=FQ","FILING_STATUS=MR","Sort=A","Dates=H","DateFormat=P","Fill=—","Direction=H","UseDPDF=Y")</f>
        <v>-1.8228</v>
      </c>
      <c r="D8" s="14">
        <f>_xll.BDH("SRPT US Equity","DILUTED_EPS_EX_STK_BASED_COMP","FQ1 2019","FQ1 2019","Currency=USD","Period=FQ","BEST_FPERIOD_OVERRIDE=FQ","FILING_STATUS=MR","Sort=A","Dates=H","DateFormat=P","Fill=—","Direction=H","UseDPDF=Y")</f>
        <v>-0.87890000000000001</v>
      </c>
      <c r="E8" s="14">
        <f>_xll.BDH("SRPT US Equity","DILUTED_EPS_EX_STK_BASED_COMP","FQ2 2019","FQ2 2019","Currency=USD","Period=FQ","BEST_FPERIOD_OVERRIDE=FQ","FILING_STATUS=MR","Sort=A","Dates=H","DateFormat=P","Fill=—","Direction=H","UseDPDF=Y")</f>
        <v>-0.98260000000000003</v>
      </c>
      <c r="F8" s="14">
        <f>_xll.BDH("SRPT US Equity","DILUTED_EPS_EX_STK_BASED_COMP","FQ3 2019","FQ3 2019","Currency=USD","Period=FQ","BEST_FPERIOD_OVERRIDE=FQ","FILING_STATUS=MR","Sort=A","Dates=H","DateFormat=P","Fill=—","Direction=H","UseDPDF=Y")</f>
        <v>-1.3539000000000001</v>
      </c>
      <c r="G8" s="14">
        <f>_xll.BDH("SRPT US Equity","DILUTED_EPS_EX_STK_BASED_COMP","FQ4 2019","FQ4 2019","Currency=USD","Period=FQ","BEST_FPERIOD_OVERRIDE=FQ","FILING_STATUS=MR","Sort=A","Dates=H","DateFormat=P","Fill=—","Direction=H","UseDPDF=Y")</f>
        <v>-2.0289000000000001</v>
      </c>
      <c r="H8" s="14">
        <f>_xll.BDH("SRPT US Equity","DILUTED_EPS_EX_STK_BASED_COMP","FQ1 2020","FQ1 2020","Currency=USD","Period=FQ","BEST_FPERIOD_OVERRIDE=FQ","FILING_STATUS=MR","Sort=A","Dates=H","DateFormat=P","Fill=—","Direction=H","UseDPDF=Y")</f>
        <v>-1.1800999999999999</v>
      </c>
      <c r="I8" s="14">
        <f>_xll.BDH("SRPT US Equity","DILUTED_EPS_EX_STK_BASED_COMP","FQ2 2020","FQ2 2020","Currency=USD","Period=FQ","BEST_FPERIOD_OVERRIDE=FQ","FILING_STATUS=MR","Sort=A","Dates=H","DateFormat=P","Fill=—","Direction=H","UseDPDF=Y")</f>
        <v>-1.6501999999999999</v>
      </c>
      <c r="J8" s="14">
        <f>_xll.BDH("SRPT US Equity","DILUTED_EPS_EX_STK_BASED_COMP","FQ3 2020","FQ3 2020","Currency=USD","Period=FQ","BEST_FPERIOD_OVERRIDE=FQ","FILING_STATUS=MR","Sort=A","Dates=H","DateFormat=P","Fill=—","Direction=H","UseDPDF=Y")</f>
        <v>-1.6248</v>
      </c>
      <c r="K8" s="14">
        <f>_xll.BDH("SRPT US Equity","DILUTED_EPS_EX_STK_BASED_COMP","FQ4 2020","FQ4 2020","Currency=USD","Period=FQ","BEST_FPERIOD_OVERRIDE=FQ","FILING_STATUS=MR","Sort=A","Dates=H","DateFormat=P","Fill=—","Direction=H","UseDPDF=Y")</f>
        <v>-1.998</v>
      </c>
      <c r="L8" s="14">
        <f>_xll.BDH("SRPT US Equity","DILUTED_EPS_EX_STK_BASED_COMP","FQ1 2021","FQ1 2021","Currency=USD","Period=FQ","BEST_FPERIOD_OVERRIDE=FQ","FILING_STATUS=MR","Sort=A","Dates=H","DateFormat=P","Fill=—","Direction=H","UseDPDF=Y")</f>
        <v>-1.5717000000000001</v>
      </c>
      <c r="M8" s="14">
        <f>_xll.BDH("SRPT US Equity","DILUTED_EPS_EX_STK_BASED_COMP","FQ2 2021","FQ2 2021","Currency=USD","Period=FQ","BEST_FPERIOD_OVERRIDE=FQ","FILING_STATUS=MR","Sort=A","Dates=H","DateFormat=P","Fill=—","Direction=H","UseDPDF=Y")</f>
        <v>-1.6156999999999999</v>
      </c>
      <c r="N8" s="14">
        <f>_xll.BDH("SRPT US Equity","DILUTED_EPS_EX_STK_BASED_COMP","FQ3 2021","FQ3 2021","Currency=USD","Period=FQ","BEST_FPERIOD_OVERRIDE=FQ","FILING_STATUS=MR","Sort=A","Dates=H","DateFormat=P","Fill=—","Direction=H","UseDPDF=Y")</f>
        <v>-0.2944</v>
      </c>
      <c r="O8" s="14">
        <f>_xll.BDH("SRPT US Equity","DILUTED_EPS_EX_STK_BASED_COMP","FQ4 2021","FQ4 2021","Currency=USD","Period=FQ","BEST_FPERIOD_OVERRIDE=FQ","FILING_STATUS=MR","Sort=A","Dates=H","DateFormat=P","Fill=—","Direction=H","UseDPDF=Y")</f>
        <v>-1.0729</v>
      </c>
      <c r="P8" s="14">
        <f>_xll.BDH("SRPT US Equity","DILUTED_EPS_EX_STK_BASED_COMP","FQ1 2022","FQ1 2022","Currency=USD","Period=FQ","BEST_FPERIOD_OVERRIDE=FQ","FILING_STATUS=MR","Sort=A","Dates=H","DateFormat=P","Fill=—","Direction=H","UseDPDF=Y")</f>
        <v>-0.78959999999999997</v>
      </c>
      <c r="Q8" s="14">
        <f>_xll.BDH("SRPT US Equity","DILUTED_EPS_EX_STK_BASED_COMP","FQ2 2022","FQ2 2022","Currency=USD","Period=FQ","BEST_FPERIOD_OVERRIDE=FQ","FILING_STATUS=MR","Sort=A","Dates=H","DateFormat=P","Fill=—","Direction=H","UseDPDF=Y")</f>
        <v>-1.7211000000000001</v>
      </c>
      <c r="R8" s="14">
        <f>_xll.BDH("SRPT US Equity","DILUTED_EPS_EX_STK_BASED_COMP","FQ3 2022","FQ3 2022","Currency=USD","Period=FQ","BEST_FPERIOD_OVERRIDE=FQ","FILING_STATUS=MR","Sort=A","Dates=H","DateFormat=P","Fill=—","Direction=H","UseDPDF=Y")</f>
        <v>-1.4161999999999999</v>
      </c>
      <c r="S8" s="14">
        <f>_xll.BDH("SRPT US Equity","DILUTED_EPS_EX_STK_BASED_COMP","FQ4 2022","FQ4 2022","Currency=USD","Period=FQ","BEST_FPERIOD_OVERRIDE=FQ","FILING_STATUS=MR","Sort=A","Dates=H","DateFormat=P","Fill=—","Direction=H","UseDPDF=Y")</f>
        <v>-0.59570000000000001</v>
      </c>
      <c r="T8" s="14">
        <f>_xll.BDH("SRPT US Equity","DILUTED_EPS_EX_STK_BASED_COMP","FQ1 2023","FQ1 2023","Currency=USD","Period=FQ","BEST_FPERIOD_OVERRIDE=FQ","FILING_STATUS=MR","Sort=A","Dates=H","DateFormat=P","Fill=—","Direction=H","UseDPDF=Y")</f>
        <v>-2.0206</v>
      </c>
      <c r="U8" s="14">
        <f>_xll.BDH("SRPT US Equity","DILUTED_EPS_EX_STK_BASED_COMP","FQ2 2023","FQ2 2023","Currency=USD","Period=FQ","BEST_FPERIOD_OVERRIDE=FQ","FILING_STATUS=MR","Sort=A","Dates=H","DateFormat=P","Fill=—","Direction=H","UseDPDF=Y")</f>
        <v>-0.76339999999999997</v>
      </c>
      <c r="V8" s="14">
        <f>_xll.BDH("SRPT US Equity","DILUTED_EPS_EX_STK_BASED_COMP","FQ3 2023","FQ3 2023","Currency=USD","Period=FQ","BEST_FPERIOD_OVERRIDE=FQ","FILING_STATUS=MR","Sort=A","Dates=H","DateFormat=P","Fill=—","Direction=H","UseDPDF=Y")</f>
        <v>-1.5599999999999999E-2</v>
      </c>
      <c r="W8" s="14">
        <f>_xll.BDH("SRPT US Equity","DILUTED_EPS_EX_STK_BASED_COMP","FQ4 2023","FQ4 2023","Currency=USD","Period=FQ","BEST_FPERIOD_OVERRIDE=FQ","FILING_STATUS=MR","Sort=A","Dates=H","DateFormat=P","Fill=—","Direction=H","UseDPDF=Y")</f>
        <v>0.85389999999999999</v>
      </c>
      <c r="X8" s="14">
        <f>_xll.BDH("SRPT US Equity","DILUTED_EPS_EX_STK_BASED_COMP","FQ1 2024","FQ1 2024","Currency=USD","Period=FQ","BEST_FPERIOD_OVERRIDE=FQ","FILING_STATUS=MR","Sort=A","Dates=H","DateFormat=P","Fill=—","Direction=H","UseDPDF=Y")</f>
        <v>0.86660000000000004</v>
      </c>
      <c r="Y8" s="14">
        <f>_xll.BDH("SRPT US Equity","DILUTED_EPS_EX_STK_BASED_COMP","FQ2 2024","FQ2 2024","Currency=USD","Period=FQ","BEST_FPERIOD_OVERRIDE=FQ","FILING_STATUS=MR","Sort=A","Dates=H","DateFormat=P","Fill=—","Direction=H","UseDPDF=Y")</f>
        <v>0.51790000000000003</v>
      </c>
      <c r="Z8" s="14">
        <f>_xll.BDH("SRPT US Equity","DILUTED_EPS_EX_STK_BASED_COMP","FQ3 2024","FQ3 2024","Currency=USD","Period=FQ","BEST_FPERIOD_OVERRIDE=FQ","FILING_STATUS=MR","Sort=A","Dates=H","DateFormat=P","Fill=—","Direction=H","UseDPDF=Y")</f>
        <v>0.7097</v>
      </c>
      <c r="AA8" s="14">
        <f>_xll.BDH("SRPT US Equity","DILUTED_EPS_EX_STK_BASED_COMP","FQ4 2024","FQ4 2024","Currency=USD","Period=FQ","BEST_FPERIOD_OVERRIDE=FQ","FILING_STATUS=MR","Sort=A","Dates=H","DateFormat=P","Fill=—","Direction=H","UseDPDF=Y")</f>
        <v>1.9410000000000001</v>
      </c>
    </row>
    <row r="9" spans="1:27" x14ac:dyDescent="0.25">
      <c r="A9" s="10" t="s">
        <v>658</v>
      </c>
      <c r="B9" s="10" t="s">
        <v>659</v>
      </c>
      <c r="C9" s="14">
        <f>_xll.BDH("SRPT US Equity","ADJ_EPS_EX_AMORT_TOT_INTANG_BAS","FQ4 2018","FQ4 2018","Currency=USD","Period=FQ","BEST_FPERIOD_OVERRIDE=FQ","FILING_STATUS=MR","Sort=A","Dates=H","DateFormat=P","Fill=—","Direction=H","UseDPDF=Y")</f>
        <v>-2.0053999999999998</v>
      </c>
      <c r="D9" s="14">
        <f>_xll.BDH("SRPT US Equity","ADJ_EPS_EX_AMORT_TOT_INTANG_BAS","FQ1 2019","FQ1 2019","Currency=USD","Period=FQ","BEST_FPERIOD_OVERRIDE=FQ","FILING_STATUS=MR","Sort=A","Dates=H","DateFormat=P","Fill=—","Direction=H","UseDPDF=Y")</f>
        <v>-1.0528</v>
      </c>
      <c r="E9" s="14">
        <f>_xll.BDH("SRPT US Equity","ADJ_EPS_EX_AMORT_TOT_INTANG_BAS","FQ2 2019","FQ2 2019","Currency=USD","Period=FQ","BEST_FPERIOD_OVERRIDE=FQ","FILING_STATUS=MR","Sort=A","Dates=H","DateFormat=P","Fill=—","Direction=H","UseDPDF=Y")</f>
        <v>-1.1887000000000001</v>
      </c>
      <c r="F9" s="14">
        <f>_xll.BDH("SRPT US Equity","ADJ_EPS_EX_AMORT_TOT_INTANG_BAS","FQ3 2019","FQ3 2019","Currency=USD","Period=FQ","BEST_FPERIOD_OVERRIDE=FQ","FILING_STATUS=MR","Sort=A","Dates=H","DateFormat=P","Fill=—","Direction=H","UseDPDF=Y")</f>
        <v>-1.5713999999999999</v>
      </c>
      <c r="G9" s="14">
        <f>_xll.BDH("SRPT US Equity","ADJ_EPS_EX_AMORT_TOT_INTANG_BAS","FQ4 2019","FQ4 2019","Currency=USD","Period=FQ","BEST_FPERIOD_OVERRIDE=FQ","FILING_STATUS=MR","Sort=A","Dates=H","DateFormat=P","Fill=—","Direction=H","UseDPDF=Y")</f>
        <v>-2.2606000000000002</v>
      </c>
      <c r="H9" s="14">
        <f>_xll.BDH("SRPT US Equity","ADJ_EPS_EX_AMORT_TOT_INTANG_BAS","FQ1 2020","FQ1 2020","Currency=USD","Period=FQ","BEST_FPERIOD_OVERRIDE=FQ","FILING_STATUS=MR","Sort=A","Dates=H","DateFormat=P","Fill=—","Direction=H","UseDPDF=Y")</f>
        <v>-1.4906999999999999</v>
      </c>
      <c r="I9" s="14">
        <f>_xll.BDH("SRPT US Equity","ADJ_EPS_EX_AMORT_TOT_INTANG_BAS","FQ2 2020","FQ2 2020","Currency=USD","Period=FQ","BEST_FPERIOD_OVERRIDE=FQ","FILING_STATUS=MR","Sort=A","Dates=H","DateFormat=P","Fill=—","Direction=H","UseDPDF=Y")</f>
        <v>-1.9282999999999999</v>
      </c>
      <c r="J9" s="14">
        <f>_xll.BDH("SRPT US Equity","ADJ_EPS_EX_AMORT_TOT_INTANG_BAS","FQ3 2020","FQ3 2020","Currency=USD","Period=FQ","BEST_FPERIOD_OVERRIDE=FQ","FILING_STATUS=MR","Sort=A","Dates=H","DateFormat=P","Fill=—","Direction=H","UseDPDF=Y")</f>
        <v>-1.8938999999999999</v>
      </c>
      <c r="K9" s="14">
        <f>_xll.BDH("SRPT US Equity","ADJ_EPS_EX_AMORT_TOT_INTANG_BAS","FQ4 2020","FQ4 2020","Currency=USD","Period=FQ","BEST_FPERIOD_OVERRIDE=FQ","FILING_STATUS=MR","Sort=A","Dates=H","DateFormat=P","Fill=—","Direction=H","UseDPDF=Y")</f>
        <v>-2.2913000000000001</v>
      </c>
      <c r="L9" s="14">
        <f>_xll.BDH("SRPT US Equity","ADJ_EPS_EX_AMORT_TOT_INTANG_BAS","FQ1 2021","FQ1 2021","Currency=USD","Period=FQ","BEST_FPERIOD_OVERRIDE=FQ","FILING_STATUS=MR","Sort=A","Dates=H","DateFormat=P","Fill=—","Direction=H","UseDPDF=Y")</f>
        <v>-1.9277</v>
      </c>
      <c r="M9" s="14">
        <f>_xll.BDH("SRPT US Equity","ADJ_EPS_EX_AMORT_TOT_INTANG_BAS","FQ2 2021","FQ2 2021","Currency=USD","Period=FQ","BEST_FPERIOD_OVERRIDE=FQ","FILING_STATUS=MR","Sort=A","Dates=H","DateFormat=P","Fill=—","Direction=H","UseDPDF=Y")</f>
        <v>-1.9009</v>
      </c>
      <c r="N9" s="14">
        <f>_xll.BDH("SRPT US Equity","ADJ_EPS_EX_AMORT_TOT_INTANG_BAS","FQ3 2021","FQ3 2021","Currency=USD","Period=FQ","BEST_FPERIOD_OVERRIDE=FQ","FILING_STATUS=MR","Sort=A","Dates=H","DateFormat=P","Fill=—","Direction=H","UseDPDF=Y")</f>
        <v>-0.55659999999999998</v>
      </c>
      <c r="O9" s="14">
        <f>_xll.BDH("SRPT US Equity","ADJ_EPS_EX_AMORT_TOT_INTANG_BAS","FQ4 2021","FQ4 2021","Currency=USD","Period=FQ","BEST_FPERIOD_OVERRIDE=FQ","FILING_STATUS=MR","Sort=A","Dates=H","DateFormat=P","Fill=—","Direction=H","UseDPDF=Y")</f>
        <v>-1.4184000000000001</v>
      </c>
      <c r="P9" s="14">
        <f>_xll.BDH("SRPT US Equity","ADJ_EPS_EX_AMORT_TOT_INTANG_BAS","FQ1 2022","FQ1 2022","Currency=USD","Period=FQ","BEST_FPERIOD_OVERRIDE=FQ","FILING_STATUS=MR","Sort=A","Dates=H","DateFormat=P","Fill=—","Direction=H","UseDPDF=Y")</f>
        <v>-1.1983999999999999</v>
      </c>
      <c r="Q9" s="14">
        <f>_xll.BDH("SRPT US Equity","ADJ_EPS_EX_AMORT_TOT_INTANG_BAS","FQ2 2022","FQ2 2022","Currency=USD","Period=FQ","BEST_FPERIOD_OVERRIDE=FQ","FILING_STATUS=MR","Sort=A","Dates=H","DateFormat=P","Fill=—","Direction=H","UseDPDF=Y")</f>
        <v>-2.6484000000000001</v>
      </c>
      <c r="R9" s="14">
        <f>_xll.BDH("SRPT US Equity","ADJ_EPS_EX_AMORT_TOT_INTANG_BAS","FQ3 2022","FQ3 2022","Currency=USD","Period=FQ","BEST_FPERIOD_OVERRIDE=FQ","FILING_STATUS=MR","Sort=A","Dates=H","DateFormat=P","Fill=—","Direction=H","UseDPDF=Y")</f>
        <v>-1.8692</v>
      </c>
      <c r="S9" s="14">
        <f>_xll.BDH("SRPT US Equity","ADJ_EPS_EX_AMORT_TOT_INTANG_BAS","FQ4 2022","FQ4 2022","Currency=USD","Period=FQ","BEST_FPERIOD_OVERRIDE=FQ","FILING_STATUS=MR","Sort=A","Dates=H","DateFormat=P","Fill=—","Direction=H","UseDPDF=Y")</f>
        <v>-1.2189000000000001</v>
      </c>
      <c r="T9" s="14">
        <f>_xll.BDH("SRPT US Equity","ADJ_EPS_EX_AMORT_TOT_INTANG_BAS","FQ1 2023","FQ1 2023","Currency=USD","Period=FQ","BEST_FPERIOD_OVERRIDE=FQ","FILING_STATUS=MR","Sort=A","Dates=H","DateFormat=P","Fill=—","Direction=H","UseDPDF=Y")</f>
        <v>-2.3883999999999999</v>
      </c>
      <c r="U9" s="14">
        <f>_xll.BDH("SRPT US Equity","ADJ_EPS_EX_AMORT_TOT_INTANG_BAS","FQ2 2023","FQ2 2023","Currency=USD","Period=FQ","BEST_FPERIOD_OVERRIDE=FQ","FILING_STATUS=MR","Sort=A","Dates=H","DateFormat=P","Fill=—","Direction=H","UseDPDF=Y")</f>
        <v>-1.1833</v>
      </c>
      <c r="V9" s="14">
        <f>_xll.BDH("SRPT US Equity","ADJ_EPS_EX_AMORT_TOT_INTANG_BAS","FQ3 2023","FQ3 2023","Currency=USD","Period=FQ","BEST_FPERIOD_OVERRIDE=FQ","FILING_STATUS=MR","Sort=A","Dates=H","DateFormat=P","Fill=—","Direction=H","UseDPDF=Y")</f>
        <v>-0.43890000000000001</v>
      </c>
      <c r="W9" s="14">
        <f>_xll.BDH("SRPT US Equity","ADJ_EPS_EX_AMORT_TOT_INTANG_BAS","FQ4 2023","FQ4 2023","Currency=USD","Period=FQ","BEST_FPERIOD_OVERRIDE=FQ","FILING_STATUS=MR","Sort=A","Dates=H","DateFormat=P","Fill=—","Direction=H","UseDPDF=Y")</f>
        <v>0.49640000000000001</v>
      </c>
      <c r="X9" s="14">
        <f>_xll.BDH("SRPT US Equity","ADJ_EPS_EX_AMORT_TOT_INTANG_BAS","FQ1 2024","FQ1 2024","Currency=USD","Period=FQ","BEST_FPERIOD_OVERRIDE=FQ","FILING_STATUS=MR","Sort=A","Dates=H","DateFormat=P","Fill=—","Direction=H","UseDPDF=Y")</f>
        <v>0.49349999999999999</v>
      </c>
      <c r="Y9" s="14">
        <f>_xll.BDH("SRPT US Equity","ADJ_EPS_EX_AMORT_TOT_INTANG_BAS","FQ2 2024","FQ2 2024","Currency=USD","Period=FQ","BEST_FPERIOD_OVERRIDE=FQ","FILING_STATUS=MR","Sort=A","Dates=H","DateFormat=P","Fill=—","Direction=H","UseDPDF=Y")</f>
        <v>7.4999999999999997E-2</v>
      </c>
      <c r="Z9" s="14">
        <f>_xll.BDH("SRPT US Equity","ADJ_EPS_EX_AMORT_TOT_INTANG_BAS","FQ3 2024","FQ3 2024","Currency=USD","Period=FQ","BEST_FPERIOD_OVERRIDE=FQ","FILING_STATUS=MR","Sort=A","Dates=H","DateFormat=P","Fill=—","Direction=H","UseDPDF=Y")</f>
        <v>0.34310000000000002</v>
      </c>
      <c r="AA9" s="14">
        <f>_xll.BDH("SRPT US Equity","ADJ_EPS_EX_AMORT_TOT_INTANG_BAS","FQ4 2024","FQ4 2024","Currency=USD","Period=FQ","BEST_FPERIOD_OVERRIDE=FQ","FILING_STATUS=MR","Sort=A","Dates=H","DateFormat=P","Fill=—","Direction=H","UseDPDF=Y")</f>
        <v>1.6494</v>
      </c>
    </row>
    <row r="10" spans="1:27" x14ac:dyDescent="0.25">
      <c r="A10" s="10" t="s">
        <v>660</v>
      </c>
      <c r="B10" s="10" t="s">
        <v>661</v>
      </c>
      <c r="C10" s="14">
        <f>_xll.BDH("SRPT US Equity","ADJ_EPS_EX_AMORT_TOT_INTANG_DIL","FQ4 2018","FQ4 2018","Currency=USD","Period=FQ","BEST_FPERIOD_OVERRIDE=FQ","FILING_STATUS=MR","Sort=A","Dates=H","DateFormat=P","Fill=—","Direction=H","UseDPDF=Y")</f>
        <v>-2.0053999999999998</v>
      </c>
      <c r="D10" s="14">
        <f>_xll.BDH("SRPT US Equity","ADJ_EPS_EX_AMORT_TOT_INTANG_DIL","FQ1 2019","FQ1 2019","Currency=USD","Period=FQ","BEST_FPERIOD_OVERRIDE=FQ","FILING_STATUS=MR","Sort=A","Dates=H","DateFormat=P","Fill=—","Direction=H","UseDPDF=Y")</f>
        <v>-1.0543</v>
      </c>
      <c r="E10" s="14">
        <f>_xll.BDH("SRPT US Equity","ADJ_EPS_EX_AMORT_TOT_INTANG_DIL","FQ2 2019","FQ2 2019","Currency=USD","Period=FQ","BEST_FPERIOD_OVERRIDE=FQ","FILING_STATUS=MR","Sort=A","Dates=H","DateFormat=P","Fill=—","Direction=H","UseDPDF=Y")</f>
        <v>-1.1914</v>
      </c>
      <c r="F10" s="14">
        <f>_xll.BDH("SRPT US Equity","ADJ_EPS_EX_AMORT_TOT_INTANG_DIL","FQ3 2019","FQ3 2019","Currency=USD","Period=FQ","BEST_FPERIOD_OVERRIDE=FQ","FILING_STATUS=MR","Sort=A","Dates=H","DateFormat=P","Fill=—","Direction=H","UseDPDF=Y")</f>
        <v>-1.5713999999999999</v>
      </c>
      <c r="G10" s="14">
        <f>_xll.BDH("SRPT US Equity","ADJ_EPS_EX_AMORT_TOT_INTANG_DIL","FQ4 2019","FQ4 2019","Currency=USD","Period=FQ","BEST_FPERIOD_OVERRIDE=FQ","FILING_STATUS=MR","Sort=A","Dates=H","DateFormat=P","Fill=—","Direction=H","UseDPDF=Y")</f>
        <v>-2.2606000000000002</v>
      </c>
      <c r="H10" s="14">
        <f>_xll.BDH("SRPT US Equity","ADJ_EPS_EX_AMORT_TOT_INTANG_DIL","FQ1 2020","FQ1 2020","Currency=USD","Period=FQ","BEST_FPERIOD_OVERRIDE=FQ","FILING_STATUS=MR","Sort=A","Dates=H","DateFormat=P","Fill=—","Direction=H","UseDPDF=Y")</f>
        <v>-1.4918</v>
      </c>
      <c r="I10" s="14">
        <f>_xll.BDH("SRPT US Equity","ADJ_EPS_EX_AMORT_TOT_INTANG_DIL","FQ2 2020","FQ2 2020","Currency=USD","Period=FQ","BEST_FPERIOD_OVERRIDE=FQ","FILING_STATUS=MR","Sort=A","Dates=H","DateFormat=P","Fill=—","Direction=H","UseDPDF=Y")</f>
        <v>-1.9282999999999999</v>
      </c>
      <c r="J10" s="14">
        <f>_xll.BDH("SRPT US Equity","ADJ_EPS_EX_AMORT_TOT_INTANG_DIL","FQ3 2020","FQ3 2020","Currency=USD","Period=FQ","BEST_FPERIOD_OVERRIDE=FQ","FILING_STATUS=MR","Sort=A","Dates=H","DateFormat=P","Fill=—","Direction=H","UseDPDF=Y")</f>
        <v>-1.8938999999999999</v>
      </c>
      <c r="K10" s="14">
        <f>_xll.BDH("SRPT US Equity","ADJ_EPS_EX_AMORT_TOT_INTANG_DIL","FQ4 2020","FQ4 2020","Currency=USD","Period=FQ","BEST_FPERIOD_OVERRIDE=FQ","FILING_STATUS=MR","Sort=A","Dates=H","DateFormat=P","Fill=—","Direction=H","UseDPDF=Y")</f>
        <v>-2.2919999999999998</v>
      </c>
      <c r="L10" s="14">
        <f>_xll.BDH("SRPT US Equity","ADJ_EPS_EX_AMORT_TOT_INTANG_DIL","FQ1 2021","FQ1 2021","Currency=USD","Period=FQ","BEST_FPERIOD_OVERRIDE=FQ","FILING_STATUS=MR","Sort=A","Dates=H","DateFormat=P","Fill=—","Direction=H","UseDPDF=Y")</f>
        <v>-1.9277</v>
      </c>
      <c r="M10" s="14">
        <f>_xll.BDH("SRPT US Equity","ADJ_EPS_EX_AMORT_TOT_INTANG_DIL","FQ2 2021","FQ2 2021","Currency=USD","Period=FQ","BEST_FPERIOD_OVERRIDE=FQ","FILING_STATUS=MR","Sort=A","Dates=H","DateFormat=P","Fill=—","Direction=H","UseDPDF=Y")</f>
        <v>-1.9009</v>
      </c>
      <c r="N10" s="14">
        <f>_xll.BDH("SRPT US Equity","ADJ_EPS_EX_AMORT_TOT_INTANG_DIL","FQ3 2021","FQ3 2021","Currency=USD","Period=FQ","BEST_FPERIOD_OVERRIDE=FQ","FILING_STATUS=MR","Sort=A","Dates=H","DateFormat=P","Fill=—","Direction=H","UseDPDF=Y")</f>
        <v>-0.55659999999999998</v>
      </c>
      <c r="O10" s="14">
        <f>_xll.BDH("SRPT US Equity","ADJ_EPS_EX_AMORT_TOT_INTANG_DIL","FQ4 2021","FQ4 2021","Currency=USD","Period=FQ","BEST_FPERIOD_OVERRIDE=FQ","FILING_STATUS=MR","Sort=A","Dates=H","DateFormat=P","Fill=—","Direction=H","UseDPDF=Y")</f>
        <v>-1.4184000000000001</v>
      </c>
      <c r="P10" s="14">
        <f>_xll.BDH("SRPT US Equity","ADJ_EPS_EX_AMORT_TOT_INTANG_DIL","FQ1 2022","FQ1 2022","Currency=USD","Period=FQ","BEST_FPERIOD_OVERRIDE=FQ","FILING_STATUS=MR","Sort=A","Dates=H","DateFormat=P","Fill=—","Direction=H","UseDPDF=Y")</f>
        <v>-1.1983999999999999</v>
      </c>
      <c r="Q10" s="14">
        <f>_xll.BDH("SRPT US Equity","ADJ_EPS_EX_AMORT_TOT_INTANG_DIL","FQ2 2022","FQ2 2022","Currency=USD","Period=FQ","BEST_FPERIOD_OVERRIDE=FQ","FILING_STATUS=MR","Sort=A","Dates=H","DateFormat=P","Fill=—","Direction=H","UseDPDF=Y")</f>
        <v>-2.6484000000000001</v>
      </c>
      <c r="R10" s="14">
        <f>_xll.BDH("SRPT US Equity","ADJ_EPS_EX_AMORT_TOT_INTANG_DIL","FQ3 2022","FQ3 2022","Currency=USD","Period=FQ","BEST_FPERIOD_OVERRIDE=FQ","FILING_STATUS=MR","Sort=A","Dates=H","DateFormat=P","Fill=—","Direction=H","UseDPDF=Y")</f>
        <v>-1.8692</v>
      </c>
      <c r="S10" s="14">
        <f>_xll.BDH("SRPT US Equity","ADJ_EPS_EX_AMORT_TOT_INTANG_DIL","FQ4 2022","FQ4 2022","Currency=USD","Period=FQ","BEST_FPERIOD_OVERRIDE=FQ","FILING_STATUS=MR","Sort=A","Dates=H","DateFormat=P","Fill=—","Direction=H","UseDPDF=Y")</f>
        <v>-1.2189000000000001</v>
      </c>
      <c r="T10" s="14">
        <f>_xll.BDH("SRPT US Equity","ADJ_EPS_EX_AMORT_TOT_INTANG_DIL","FQ1 2023","FQ1 2023","Currency=USD","Period=FQ","BEST_FPERIOD_OVERRIDE=FQ","FILING_STATUS=MR","Sort=A","Dates=H","DateFormat=P","Fill=—","Direction=H","UseDPDF=Y")</f>
        <v>-2.3885999999999998</v>
      </c>
      <c r="U10" s="14">
        <f>_xll.BDH("SRPT US Equity","ADJ_EPS_EX_AMORT_TOT_INTANG_DIL","FQ2 2023","FQ2 2023","Currency=USD","Period=FQ","BEST_FPERIOD_OVERRIDE=FQ","FILING_STATUS=MR","Sort=A","Dates=H","DateFormat=P","Fill=—","Direction=H","UseDPDF=Y")</f>
        <v>-1.1835</v>
      </c>
      <c r="V10" s="14">
        <f>_xll.BDH("SRPT US Equity","ADJ_EPS_EX_AMORT_TOT_INTANG_DIL","FQ3 2023","FQ3 2023","Currency=USD","Period=FQ","BEST_FPERIOD_OVERRIDE=FQ","FILING_STATUS=MR","Sort=A","Dates=H","DateFormat=P","Fill=—","Direction=H","UseDPDF=Y")</f>
        <v>-0.43890000000000001</v>
      </c>
      <c r="W10" s="14">
        <f>_xll.BDH("SRPT US Equity","ADJ_EPS_EX_AMORT_TOT_INTANG_DIL","FQ4 2023","FQ4 2023","Currency=USD","Period=FQ","BEST_FPERIOD_OVERRIDE=FQ","FILING_STATUS=MR","Sort=A","Dates=H","DateFormat=P","Fill=—","Direction=H","UseDPDF=Y")</f>
        <v>0.47570000000000001</v>
      </c>
      <c r="X10" s="14">
        <f>_xll.BDH("SRPT US Equity","ADJ_EPS_EX_AMORT_TOT_INTANG_DIL","FQ1 2024","FQ1 2024","Currency=USD","Period=FQ","BEST_FPERIOD_OVERRIDE=FQ","FILING_STATUS=MR","Sort=A","Dates=H","DateFormat=P","Fill=—","Direction=H","UseDPDF=Y")</f>
        <v>0.47349999999999998</v>
      </c>
      <c r="Y10" s="14">
        <f>_xll.BDH("SRPT US Equity","ADJ_EPS_EX_AMORT_TOT_INTANG_DIL","FQ2 2024","FQ2 2024","Currency=USD","Period=FQ","BEST_FPERIOD_OVERRIDE=FQ","FILING_STATUS=MR","Sort=A","Dates=H","DateFormat=P","Fill=—","Direction=H","UseDPDF=Y")</f>
        <v>7.4800000000000005E-2</v>
      </c>
      <c r="Z10" s="14">
        <f>_xll.BDH("SRPT US Equity","ADJ_EPS_EX_AMORT_TOT_INTANG_DIL","FQ3 2024","FQ3 2024","Currency=USD","Period=FQ","BEST_FPERIOD_OVERRIDE=FQ","FILING_STATUS=MR","Sort=A","Dates=H","DateFormat=P","Fill=—","Direction=H","UseDPDF=Y")</f>
        <v>0.33119999999999999</v>
      </c>
      <c r="AA10" s="14">
        <f>_xll.BDH("SRPT US Equity","ADJ_EPS_EX_AMORT_TOT_INTANG_DIL","FQ4 2024","FQ4 2024","Currency=USD","Period=FQ","BEST_FPERIOD_OVERRIDE=FQ","FILING_STATUS=MR","Sort=A","Dates=H","DateFormat=P","Fill=—","Direction=H","UseDPDF=Y")</f>
        <v>1.4978</v>
      </c>
    </row>
    <row r="11" spans="1:27" x14ac:dyDescent="0.25">
      <c r="A11" s="10" t="s">
        <v>662</v>
      </c>
      <c r="B11" s="10" t="s">
        <v>663</v>
      </c>
      <c r="C11" s="14">
        <f>_xll.BDH("SRPT US Equity","ADJ_EPS_EX_SBC_AMORT_TOT_INT_BAS","FQ4 2018","FQ4 2018","Currency=USD","Period=FQ","BEST_FPERIOD_OVERRIDE=FQ","FILING_STATUS=MR","Sort=A","Dates=H","DateFormat=P","Fill=—","Direction=H","UseDPDF=Y")</f>
        <v>-1.8201000000000001</v>
      </c>
      <c r="D11" s="14">
        <f>_xll.BDH("SRPT US Equity","ADJ_EPS_EX_SBC_AMORT_TOT_INT_BAS","FQ1 2019","FQ1 2019","Currency=USD","Period=FQ","BEST_FPERIOD_OVERRIDE=FQ","FILING_STATUS=MR","Sort=A","Dates=H","DateFormat=P","Fill=—","Direction=H","UseDPDF=Y")</f>
        <v>-0.875</v>
      </c>
      <c r="E11" s="14">
        <f>_xll.BDH("SRPT US Equity","ADJ_EPS_EX_SBC_AMORT_TOT_INT_BAS","FQ2 2019","FQ2 2019","Currency=USD","Period=FQ","BEST_FPERIOD_OVERRIDE=FQ","FILING_STATUS=MR","Sort=A","Dates=H","DateFormat=P","Fill=—","Direction=H","UseDPDF=Y")</f>
        <v>-0.97760000000000002</v>
      </c>
      <c r="F11" s="14">
        <f>_xll.BDH("SRPT US Equity","ADJ_EPS_EX_SBC_AMORT_TOT_INT_BAS","FQ3 2019","FQ3 2019","Currency=USD","Period=FQ","BEST_FPERIOD_OVERRIDE=FQ","FILING_STATUS=MR","Sort=A","Dates=H","DateFormat=P","Fill=—","Direction=H","UseDPDF=Y")</f>
        <v>-1.3515999999999999</v>
      </c>
      <c r="G11" s="14">
        <f>_xll.BDH("SRPT US Equity","ADJ_EPS_EX_SBC_AMORT_TOT_INT_BAS","FQ4 2019","FQ4 2019","Currency=USD","Period=FQ","BEST_FPERIOD_OVERRIDE=FQ","FILING_STATUS=MR","Sort=A","Dates=H","DateFormat=P","Fill=—","Direction=H","UseDPDF=Y")</f>
        <v>-2.0268000000000002</v>
      </c>
      <c r="H11" s="14">
        <f>_xll.BDH("SRPT US Equity","ADJ_EPS_EX_SBC_AMORT_TOT_INT_BAS","FQ1 2020","FQ1 2020","Currency=USD","Period=FQ","BEST_FPERIOD_OVERRIDE=FQ","FILING_STATUS=MR","Sort=A","Dates=H","DateFormat=P","Fill=—","Direction=H","UseDPDF=Y")</f>
        <v>-1.177</v>
      </c>
      <c r="I11" s="14">
        <f>_xll.BDH("SRPT US Equity","ADJ_EPS_EX_SBC_AMORT_TOT_INT_BAS","FQ2 2020","FQ2 2020","Currency=USD","Period=FQ","BEST_FPERIOD_OVERRIDE=FQ","FILING_STATUS=MR","Sort=A","Dates=H","DateFormat=P","Fill=—","Direction=H","UseDPDF=Y")</f>
        <v>-1.6485000000000001</v>
      </c>
      <c r="J11" s="14">
        <f>_xll.BDH("SRPT US Equity","ADJ_EPS_EX_SBC_AMORT_TOT_INT_BAS","FQ3 2020","FQ3 2020","Currency=USD","Period=FQ","BEST_FPERIOD_OVERRIDE=FQ","FILING_STATUS=MR","Sort=A","Dates=H","DateFormat=P","Fill=—","Direction=H","UseDPDF=Y")</f>
        <v>-1.6231</v>
      </c>
      <c r="K11" s="14">
        <f>_xll.BDH("SRPT US Equity","ADJ_EPS_EX_SBC_AMORT_TOT_INT_BAS","FQ4 2020","FQ4 2020","Currency=USD","Period=FQ","BEST_FPERIOD_OVERRIDE=FQ","FILING_STATUS=MR","Sort=A","Dates=H","DateFormat=P","Fill=—","Direction=H","UseDPDF=Y")</f>
        <v>-1.9957</v>
      </c>
      <c r="L11" s="14">
        <f>_xll.BDH("SRPT US Equity","ADJ_EPS_EX_SBC_AMORT_TOT_INT_BAS","FQ1 2021","FQ1 2021","Currency=USD","Period=FQ","BEST_FPERIOD_OVERRIDE=FQ","FILING_STATUS=MR","Sort=A","Dates=H","DateFormat=P","Fill=—","Direction=H","UseDPDF=Y")</f>
        <v>-1.57</v>
      </c>
      <c r="M11" s="14">
        <f>_xll.BDH("SRPT US Equity","ADJ_EPS_EX_SBC_AMORT_TOT_INT_BAS","FQ2 2021","FQ2 2021","Currency=USD","Period=FQ","BEST_FPERIOD_OVERRIDE=FQ","FILING_STATUS=MR","Sort=A","Dates=H","DateFormat=P","Fill=—","Direction=H","UseDPDF=Y")</f>
        <v>-1.6138999999999999</v>
      </c>
      <c r="N11" s="14">
        <f>_xll.BDH("SRPT US Equity","ADJ_EPS_EX_SBC_AMORT_TOT_INT_BAS","FQ3 2021","FQ3 2021","Currency=USD","Period=FQ","BEST_FPERIOD_OVERRIDE=FQ","FILING_STATUS=MR","Sort=A","Dates=H","DateFormat=P","Fill=—","Direction=H","UseDPDF=Y")</f>
        <v>-0.29270000000000002</v>
      </c>
      <c r="O11" s="14">
        <f>_xll.BDH("SRPT US Equity","ADJ_EPS_EX_SBC_AMORT_TOT_INT_BAS","FQ4 2021","FQ4 2021","Currency=USD","Period=FQ","BEST_FPERIOD_OVERRIDE=FQ","FILING_STATUS=MR","Sort=A","Dates=H","DateFormat=P","Fill=—","Direction=H","UseDPDF=Y")</f>
        <v>-1.0712999999999999</v>
      </c>
      <c r="P11" s="14">
        <f>_xll.BDH("SRPT US Equity","ADJ_EPS_EX_SBC_AMORT_TOT_INT_BAS","FQ1 2022","FQ1 2022","Currency=USD","Period=FQ","BEST_FPERIOD_OVERRIDE=FQ","FILING_STATUS=MR","Sort=A","Dates=H","DateFormat=P","Fill=—","Direction=H","UseDPDF=Y")</f>
        <v>-0.78800000000000003</v>
      </c>
      <c r="Q11" s="14">
        <f>_xll.BDH("SRPT US Equity","ADJ_EPS_EX_SBC_AMORT_TOT_INT_BAS","FQ2 2022","FQ2 2022","Currency=USD","Period=FQ","BEST_FPERIOD_OVERRIDE=FQ","FILING_STATUS=MR","Sort=A","Dates=H","DateFormat=P","Fill=—","Direction=H","UseDPDF=Y")</f>
        <v>-1.7195</v>
      </c>
      <c r="R11" s="14">
        <f>_xll.BDH("SRPT US Equity","ADJ_EPS_EX_SBC_AMORT_TOT_INT_BAS","FQ3 2022","FQ3 2022","Currency=USD","Period=FQ","BEST_FPERIOD_OVERRIDE=FQ","FILING_STATUS=MR","Sort=A","Dates=H","DateFormat=P","Fill=—","Direction=H","UseDPDF=Y")</f>
        <v>-1.4146000000000001</v>
      </c>
      <c r="S11" s="14">
        <f>_xll.BDH("SRPT US Equity","ADJ_EPS_EX_SBC_AMORT_TOT_INT_BAS","FQ4 2022","FQ4 2022","Currency=USD","Period=FQ","BEST_FPERIOD_OVERRIDE=FQ","FILING_STATUS=MR","Sort=A","Dates=H","DateFormat=P","Fill=—","Direction=H","UseDPDF=Y")</f>
        <v>-0.59409999999999996</v>
      </c>
      <c r="T11" s="14">
        <f>_xll.BDH("SRPT US Equity","ADJ_EPS_EX_SBC_AMORT_TOT_INT_BAS","FQ1 2023","FQ1 2023","Currency=USD","Period=FQ","BEST_FPERIOD_OVERRIDE=FQ","FILING_STATUS=MR","Sort=A","Dates=H","DateFormat=P","Fill=—","Direction=H","UseDPDF=Y")</f>
        <v>-2.0188999999999999</v>
      </c>
      <c r="U11" s="14">
        <f>_xll.BDH("SRPT US Equity","ADJ_EPS_EX_SBC_AMORT_TOT_INT_BAS","FQ2 2023","FQ2 2023","Currency=USD","Period=FQ","BEST_FPERIOD_OVERRIDE=FQ","FILING_STATUS=MR","Sort=A","Dates=H","DateFormat=P","Fill=—","Direction=H","UseDPDF=Y")</f>
        <v>-0.76160000000000005</v>
      </c>
      <c r="V11" s="14">
        <f>_xll.BDH("SRPT US Equity","ADJ_EPS_EX_SBC_AMORT_TOT_INT_BAS","FQ3 2023","FQ3 2023","Currency=USD","Period=FQ","BEST_FPERIOD_OVERRIDE=FQ","FILING_STATUS=MR","Sort=A","Dates=H","DateFormat=P","Fill=—","Direction=H","UseDPDF=Y")</f>
        <v>-1.17E-2</v>
      </c>
      <c r="W11" s="14">
        <f>_xll.BDH("SRPT US Equity","ADJ_EPS_EX_SBC_AMORT_TOT_INT_BAS","FQ4 2023","FQ4 2023","Currency=USD","Period=FQ","BEST_FPERIOD_OVERRIDE=FQ","FILING_STATUS=MR","Sort=A","Dates=H","DateFormat=P","Fill=—","Direction=H","UseDPDF=Y")</f>
        <v>0.92949999999999999</v>
      </c>
      <c r="X11" s="14">
        <f>_xll.BDH("SRPT US Equity","ADJ_EPS_EX_SBC_AMORT_TOT_INT_BAS","FQ1 2024","FQ1 2024","Currency=USD","Period=FQ","BEST_FPERIOD_OVERRIDE=FQ","FILING_STATUS=MR","Sort=A","Dates=H","DateFormat=P","Fill=—","Direction=H","UseDPDF=Y")</f>
        <v>0.91300000000000003</v>
      </c>
      <c r="Y11" s="14">
        <f>_xll.BDH("SRPT US Equity","ADJ_EPS_EX_SBC_AMORT_TOT_INT_BAS","FQ2 2024","FQ2 2024","Currency=USD","Period=FQ","BEST_FPERIOD_OVERRIDE=FQ","FILING_STATUS=MR","Sort=A","Dates=H","DateFormat=P","Fill=—","Direction=H","UseDPDF=Y")</f>
        <v>0.54430000000000001</v>
      </c>
      <c r="Z11" s="14">
        <f>_xll.BDH("SRPT US Equity","ADJ_EPS_EX_SBC_AMORT_TOT_INT_BAS","FQ3 2024","FQ3 2024","Currency=USD","Period=FQ","BEST_FPERIOD_OVERRIDE=FQ","FILING_STATUS=MR","Sort=A","Dates=H","DateFormat=P","Fill=—","Direction=H","UseDPDF=Y")</f>
        <v>0.74660000000000004</v>
      </c>
      <c r="AA11" s="14">
        <f>_xll.BDH("SRPT US Equity","ADJ_EPS_EX_SBC_AMORT_TOT_INT_BAS","FQ4 2024","FQ4 2024","Currency=USD","Period=FQ","BEST_FPERIOD_OVERRIDE=FQ","FILING_STATUS=MR","Sort=A","Dates=H","DateFormat=P","Fill=—","Direction=H","UseDPDF=Y")</f>
        <v>2.1537000000000002</v>
      </c>
    </row>
    <row r="12" spans="1:27" x14ac:dyDescent="0.25">
      <c r="A12" s="10" t="s">
        <v>664</v>
      </c>
      <c r="B12" s="10" t="s">
        <v>665</v>
      </c>
      <c r="C12" s="14">
        <f>_xll.BDH("SRPT US Equity","ADJ_EPS_EX_SBC_AMORT_TOT_INT_DIL","FQ4 2018","FQ4 2018","Currency=USD","Period=FQ","BEST_FPERIOD_OVERRIDE=FQ","FILING_STATUS=MR","Sort=A","Dates=H","DateFormat=P","Fill=—","Direction=H","UseDPDF=Y")</f>
        <v>-1.8201000000000001</v>
      </c>
      <c r="D12" s="14">
        <f>_xll.BDH("SRPT US Equity","ADJ_EPS_EX_SBC_AMORT_TOT_INT_DIL","FQ1 2019","FQ1 2019","Currency=USD","Period=FQ","BEST_FPERIOD_OVERRIDE=FQ","FILING_STATUS=MR","Sort=A","Dates=H","DateFormat=P","Fill=—","Direction=H","UseDPDF=Y")</f>
        <v>-0.87660000000000005</v>
      </c>
      <c r="E12" s="14">
        <f>_xll.BDH("SRPT US Equity","ADJ_EPS_EX_SBC_AMORT_TOT_INT_DIL","FQ2 2019","FQ2 2019","Currency=USD","Period=FQ","BEST_FPERIOD_OVERRIDE=FQ","FILING_STATUS=MR","Sort=A","Dates=H","DateFormat=P","Fill=—","Direction=H","UseDPDF=Y")</f>
        <v>-0.98029999999999995</v>
      </c>
      <c r="F12" s="14">
        <f>_xll.BDH("SRPT US Equity","ADJ_EPS_EX_SBC_AMORT_TOT_INT_DIL","FQ3 2019","FQ3 2019","Currency=USD","Period=FQ","BEST_FPERIOD_OVERRIDE=FQ","FILING_STATUS=MR","Sort=A","Dates=H","DateFormat=P","Fill=—","Direction=H","UseDPDF=Y")</f>
        <v>-1.3515999999999999</v>
      </c>
      <c r="G12" s="14">
        <f>_xll.BDH("SRPT US Equity","ADJ_EPS_EX_SBC_AMORT_TOT_INT_DIL","FQ4 2019","FQ4 2019","Currency=USD","Period=FQ","BEST_FPERIOD_OVERRIDE=FQ","FILING_STATUS=MR","Sort=A","Dates=H","DateFormat=P","Fill=—","Direction=H","UseDPDF=Y")</f>
        <v>-2.0268000000000002</v>
      </c>
      <c r="H12" s="14">
        <f>_xll.BDH("SRPT US Equity","ADJ_EPS_EX_SBC_AMORT_TOT_INT_DIL","FQ1 2020","FQ1 2020","Currency=USD","Period=FQ","BEST_FPERIOD_OVERRIDE=FQ","FILING_STATUS=MR","Sort=A","Dates=H","DateFormat=P","Fill=—","Direction=H","UseDPDF=Y")</f>
        <v>-1.1780999999999999</v>
      </c>
      <c r="I12" s="14">
        <f>_xll.BDH("SRPT US Equity","ADJ_EPS_EX_SBC_AMORT_TOT_INT_DIL","FQ2 2020","FQ2 2020","Currency=USD","Period=FQ","BEST_FPERIOD_OVERRIDE=FQ","FILING_STATUS=MR","Sort=A","Dates=H","DateFormat=P","Fill=—","Direction=H","UseDPDF=Y")</f>
        <v>-1.6485000000000001</v>
      </c>
      <c r="J12" s="14">
        <f>_xll.BDH("SRPT US Equity","ADJ_EPS_EX_SBC_AMORT_TOT_INT_DIL","FQ3 2020","FQ3 2020","Currency=USD","Period=FQ","BEST_FPERIOD_OVERRIDE=FQ","FILING_STATUS=MR","Sort=A","Dates=H","DateFormat=P","Fill=—","Direction=H","UseDPDF=Y")</f>
        <v>-1.6231</v>
      </c>
      <c r="K12" s="14">
        <f>_xll.BDH("SRPT US Equity","ADJ_EPS_EX_SBC_AMORT_TOT_INT_DIL","FQ4 2020","FQ4 2020","Currency=USD","Period=FQ","BEST_FPERIOD_OVERRIDE=FQ","FILING_STATUS=MR","Sort=A","Dates=H","DateFormat=P","Fill=—","Direction=H","UseDPDF=Y")</f>
        <v>-1.9964</v>
      </c>
      <c r="L12" s="14">
        <f>_xll.BDH("SRPT US Equity","ADJ_EPS_EX_SBC_AMORT_TOT_INT_DIL","FQ1 2021","FQ1 2021","Currency=USD","Period=FQ","BEST_FPERIOD_OVERRIDE=FQ","FILING_STATUS=MR","Sort=A","Dates=H","DateFormat=P","Fill=—","Direction=H","UseDPDF=Y")</f>
        <v>-1.57</v>
      </c>
      <c r="M12" s="14">
        <f>_xll.BDH("SRPT US Equity","ADJ_EPS_EX_SBC_AMORT_TOT_INT_DIL","FQ2 2021","FQ2 2021","Currency=USD","Period=FQ","BEST_FPERIOD_OVERRIDE=FQ","FILING_STATUS=MR","Sort=A","Dates=H","DateFormat=P","Fill=—","Direction=H","UseDPDF=Y")</f>
        <v>-1.6138999999999999</v>
      </c>
      <c r="N12" s="14">
        <f>_xll.BDH("SRPT US Equity","ADJ_EPS_EX_SBC_AMORT_TOT_INT_DIL","FQ3 2021","FQ3 2021","Currency=USD","Period=FQ","BEST_FPERIOD_OVERRIDE=FQ","FILING_STATUS=MR","Sort=A","Dates=H","DateFormat=P","Fill=—","Direction=H","UseDPDF=Y")</f>
        <v>-0.29270000000000002</v>
      </c>
      <c r="O12" s="14">
        <f>_xll.BDH("SRPT US Equity","ADJ_EPS_EX_SBC_AMORT_TOT_INT_DIL","FQ4 2021","FQ4 2021","Currency=USD","Period=FQ","BEST_FPERIOD_OVERRIDE=FQ","FILING_STATUS=MR","Sort=A","Dates=H","DateFormat=P","Fill=—","Direction=H","UseDPDF=Y")</f>
        <v>-1.0712999999999999</v>
      </c>
      <c r="P12" s="14">
        <f>_xll.BDH("SRPT US Equity","ADJ_EPS_EX_SBC_AMORT_TOT_INT_DIL","FQ1 2022","FQ1 2022","Currency=USD","Period=FQ","BEST_FPERIOD_OVERRIDE=FQ","FILING_STATUS=MR","Sort=A","Dates=H","DateFormat=P","Fill=—","Direction=H","UseDPDF=Y")</f>
        <v>-0.78800000000000003</v>
      </c>
      <c r="Q12" s="14">
        <f>_xll.BDH("SRPT US Equity","ADJ_EPS_EX_SBC_AMORT_TOT_INT_DIL","FQ2 2022","FQ2 2022","Currency=USD","Period=FQ","BEST_FPERIOD_OVERRIDE=FQ","FILING_STATUS=MR","Sort=A","Dates=H","DateFormat=P","Fill=—","Direction=H","UseDPDF=Y")</f>
        <v>-1.7195</v>
      </c>
      <c r="R12" s="14">
        <f>_xll.BDH("SRPT US Equity","ADJ_EPS_EX_SBC_AMORT_TOT_INT_DIL","FQ3 2022","FQ3 2022","Currency=USD","Period=FQ","BEST_FPERIOD_OVERRIDE=FQ","FILING_STATUS=MR","Sort=A","Dates=H","DateFormat=P","Fill=—","Direction=H","UseDPDF=Y")</f>
        <v>-1.4146000000000001</v>
      </c>
      <c r="S12" s="14">
        <f>_xll.BDH("SRPT US Equity","ADJ_EPS_EX_SBC_AMORT_TOT_INT_DIL","FQ4 2022","FQ4 2022","Currency=USD","Period=FQ","BEST_FPERIOD_OVERRIDE=FQ","FILING_STATUS=MR","Sort=A","Dates=H","DateFormat=P","Fill=—","Direction=H","UseDPDF=Y")</f>
        <v>-0.59409999999999996</v>
      </c>
      <c r="T12" s="14">
        <f>_xll.BDH("SRPT US Equity","ADJ_EPS_EX_SBC_AMORT_TOT_INT_DIL","FQ1 2023","FQ1 2023","Currency=USD","Period=FQ","BEST_FPERIOD_OVERRIDE=FQ","FILING_STATUS=MR","Sort=A","Dates=H","DateFormat=P","Fill=—","Direction=H","UseDPDF=Y")</f>
        <v>-2.0190999999999999</v>
      </c>
      <c r="U12" s="14">
        <f>_xll.BDH("SRPT US Equity","ADJ_EPS_EX_SBC_AMORT_TOT_INT_DIL","FQ2 2023","FQ2 2023","Currency=USD","Period=FQ","BEST_FPERIOD_OVERRIDE=FQ","FILING_STATUS=MR","Sort=A","Dates=H","DateFormat=P","Fill=—","Direction=H","UseDPDF=Y")</f>
        <v>-0.76180000000000003</v>
      </c>
      <c r="V12" s="14">
        <f>_xll.BDH("SRPT US Equity","ADJ_EPS_EX_SBC_AMORT_TOT_INT_DIL","FQ3 2023","FQ3 2023","Currency=USD","Period=FQ","BEST_FPERIOD_OVERRIDE=FQ","FILING_STATUS=MR","Sort=A","Dates=H","DateFormat=P","Fill=—","Direction=H","UseDPDF=Y")</f>
        <v>-1.17E-2</v>
      </c>
      <c r="W12" s="14">
        <f>_xll.BDH("SRPT US Equity","ADJ_EPS_EX_SBC_AMORT_TOT_INT_DIL","FQ4 2023","FQ4 2023","Currency=USD","Period=FQ","BEST_FPERIOD_OVERRIDE=FQ","FILING_STATUS=MR","Sort=A","Dates=H","DateFormat=P","Fill=—","Direction=H","UseDPDF=Y")</f>
        <v>0.85970000000000002</v>
      </c>
      <c r="X12" s="14">
        <f>_xll.BDH("SRPT US Equity","ADJ_EPS_EX_SBC_AMORT_TOT_INT_DIL","FQ1 2024","FQ1 2024","Currency=USD","Period=FQ","BEST_FPERIOD_OVERRIDE=FQ","FILING_STATUS=MR","Sort=A","Dates=H","DateFormat=P","Fill=—","Direction=H","UseDPDF=Y")</f>
        <v>0.87139999999999995</v>
      </c>
      <c r="Y12" s="14">
        <f>_xll.BDH("SRPT US Equity","ADJ_EPS_EX_SBC_AMORT_TOT_INT_DIL","FQ2 2024","FQ2 2024","Currency=USD","Period=FQ","BEST_FPERIOD_OVERRIDE=FQ","FILING_STATUS=MR","Sort=A","Dates=H","DateFormat=P","Fill=—","Direction=H","UseDPDF=Y")</f>
        <v>0.52270000000000005</v>
      </c>
      <c r="Z12" s="14">
        <f>_xll.BDH("SRPT US Equity","ADJ_EPS_EX_SBC_AMORT_TOT_INT_DIL","FQ3 2024","FQ3 2024","Currency=USD","Period=FQ","BEST_FPERIOD_OVERRIDE=FQ","FILING_STATUS=MR","Sort=A","Dates=H","DateFormat=P","Fill=—","Direction=H","UseDPDF=Y")</f>
        <v>0.71440000000000003</v>
      </c>
      <c r="AA12" s="14">
        <f>_xll.BDH("SRPT US Equity","ADJ_EPS_EX_SBC_AMORT_TOT_INT_DIL","FQ4 2024","FQ4 2024","Currency=USD","Period=FQ","BEST_FPERIOD_OVERRIDE=FQ","FILING_STATUS=MR","Sort=A","Dates=H","DateFormat=P","Fill=—","Direction=H","UseDPDF=Y")</f>
        <v>1.9454</v>
      </c>
    </row>
    <row r="13" spans="1:27" x14ac:dyDescent="0.25">
      <c r="A13" s="10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5">
      <c r="A14" s="10" t="s">
        <v>666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5">
      <c r="A15" s="10" t="s">
        <v>667</v>
      </c>
      <c r="B15" s="10" t="s">
        <v>668</v>
      </c>
      <c r="C15" s="13">
        <f>_xll.BDH("SRPT US Equity","IS_EXPENSE_STOCK_BASED_COMP","FQ4 2018","FQ4 2018","Currency=USD","Period=FQ","BEST_FPERIOD_OVERRIDE=FQ","FILING_STATUS=MR","SCALING_FORMAT=MLN","Sort=A","Dates=H","DateFormat=P","Fill=—","Direction=H","UseDPDF=Y")</f>
        <v>12.837999999999999</v>
      </c>
      <c r="D15" s="13">
        <f>_xll.BDH("SRPT US Equity","IS_EXPENSE_STOCK_BASED_COMP","FQ1 2019","FQ1 2019","Currency=USD","Period=FQ","BEST_FPERIOD_OVERRIDE=FQ","FILING_STATUS=MR","SCALING_FORMAT=MLN","Sort=A","Dates=H","DateFormat=P","Fill=—","Direction=H","UseDPDF=Y")</f>
        <v>16.138999999999999</v>
      </c>
      <c r="E15" s="13">
        <f>_xll.BDH("SRPT US Equity","IS_EXPENSE_STOCK_BASED_COMP","FQ2 2019","FQ2 2019","Currency=USD","Period=FQ","BEST_FPERIOD_OVERRIDE=FQ","FILING_STATUS=MR","SCALING_FORMAT=MLN","Sort=A","Dates=H","DateFormat=P","Fill=—","Direction=H","UseDPDF=Y")</f>
        <v>19.762</v>
      </c>
      <c r="F15" s="13">
        <f>_xll.BDH("SRPT US Equity","IS_EXPENSE_STOCK_BASED_COMP","FQ3 2019","FQ3 2019","Currency=USD","Period=FQ","BEST_FPERIOD_OVERRIDE=FQ","FILING_STATUS=MR","SCALING_FORMAT=MLN","Sort=A","Dates=H","DateFormat=P","Fill=—","Direction=H","UseDPDF=Y")</f>
        <v>20.637</v>
      </c>
      <c r="G15" s="13">
        <f>_xll.BDH("SRPT US Equity","IS_EXPENSE_STOCK_BASED_COMP","FQ4 2019","FQ4 2019","Currency=USD","Period=FQ","BEST_FPERIOD_OVERRIDE=FQ","FILING_STATUS=MR","SCALING_FORMAT=MLN","Sort=A","Dates=H","DateFormat=P","Fill=—","Direction=H","UseDPDF=Y")</f>
        <v>22.064</v>
      </c>
      <c r="H15" s="13">
        <f>_xll.BDH("SRPT US Equity","IS_EXPENSE_STOCK_BASED_COMP","FQ1 2020","FQ1 2020","Currency=USD","Period=FQ","BEST_FPERIOD_OVERRIDE=FQ","FILING_STATUS=MR","SCALING_FORMAT=MLN","Sort=A","Dates=H","DateFormat=P","Fill=—","Direction=H","UseDPDF=Y")</f>
        <v>24.024000000000001</v>
      </c>
      <c r="I15" s="13">
        <f>_xll.BDH("SRPT US Equity","IS_EXPENSE_STOCK_BASED_COMP","FQ2 2020","FQ2 2020","Currency=USD","Period=FQ","BEST_FPERIOD_OVERRIDE=FQ","FILING_STATUS=MR","SCALING_FORMAT=MLN","Sort=A","Dates=H","DateFormat=P","Fill=—","Direction=H","UseDPDF=Y")</f>
        <v>27.616</v>
      </c>
      <c r="J15" s="13">
        <f>_xll.BDH("SRPT US Equity","IS_EXPENSE_STOCK_BASED_COMP","FQ3 2020","FQ3 2020","Currency=USD","Period=FQ","BEST_FPERIOD_OVERRIDE=FQ","FILING_STATUS=MR","SCALING_FORMAT=MLN","Sort=A","Dates=H","DateFormat=P","Fill=—","Direction=H","UseDPDF=Y")</f>
        <v>26.902999999999999</v>
      </c>
      <c r="K15" s="13">
        <f>_xll.BDH("SRPT US Equity","IS_EXPENSE_STOCK_BASED_COMP","FQ4 2020","FQ4 2020","Currency=USD","Period=FQ","BEST_FPERIOD_OVERRIDE=FQ","FILING_STATUS=MR","SCALING_FORMAT=MLN","Sort=A","Dates=H","DateFormat=P","Fill=—","Direction=H","UseDPDF=Y")</f>
        <v>29.527000000000001</v>
      </c>
      <c r="L15" s="13">
        <f>_xll.BDH("SRPT US Equity","IS_EXPENSE_STOCK_BASED_COMP","FQ1 2021","FQ1 2021","Currency=USD","Period=FQ","BEST_FPERIOD_OVERRIDE=FQ","FILING_STATUS=MR","SCALING_FORMAT=MLN","Sort=A","Dates=H","DateFormat=P","Fill=—","Direction=H","UseDPDF=Y")</f>
        <v>28.507999999999999</v>
      </c>
      <c r="M15" s="13">
        <f>_xll.BDH("SRPT US Equity","IS_EXPENSE_STOCK_BASED_COMP","FQ2 2021","FQ2 2021","Currency=USD","Period=FQ","BEST_FPERIOD_OVERRIDE=FQ","FILING_STATUS=MR","SCALING_FORMAT=MLN","Sort=A","Dates=H","DateFormat=P","Fill=—","Direction=H","UseDPDF=Y")</f>
        <v>28.969000000000001</v>
      </c>
      <c r="N15" s="13">
        <f>_xll.BDH("SRPT US Equity","IS_EXPENSE_STOCK_BASED_COMP","FQ3 2021","FQ3 2021","Currency=USD","Period=FQ","BEST_FPERIOD_OVERRIDE=FQ","FILING_STATUS=MR","SCALING_FORMAT=MLN","Sort=A","Dates=H","DateFormat=P","Fill=—","Direction=H","UseDPDF=Y")</f>
        <v>26.684000000000001</v>
      </c>
      <c r="O15" s="13">
        <f>_xll.BDH("SRPT US Equity","IS_EXPENSE_STOCK_BASED_COMP","FQ4 2021","FQ4 2021","Currency=USD","Period=FQ","BEST_FPERIOD_OVERRIDE=FQ","FILING_STATUS=MR","SCALING_FORMAT=MLN","Sort=A","Dates=H","DateFormat=P","Fill=—","Direction=H","UseDPDF=Y")</f>
        <v>44.290999999999997</v>
      </c>
      <c r="P15" s="13">
        <f>_xll.BDH("SRPT US Equity","IS_EXPENSE_STOCK_BASED_COMP","FQ1 2022","FQ1 2022","Currency=USD","Period=FQ","BEST_FPERIOD_OVERRIDE=FQ","FILING_STATUS=MR","SCALING_FORMAT=MLN","Sort=A","Dates=H","DateFormat=P","Fill=—","Direction=H","UseDPDF=Y")</f>
        <v>45.328000000000003</v>
      </c>
      <c r="Q15" s="13">
        <f>_xll.BDH("SRPT US Equity","IS_EXPENSE_STOCK_BASED_COMP","FQ2 2022","FQ2 2022","Currency=USD","Period=FQ","BEST_FPERIOD_OVERRIDE=FQ","FILING_STATUS=MR","SCALING_FORMAT=MLN","Sort=A","Dates=H","DateFormat=P","Fill=—","Direction=H","UseDPDF=Y")</f>
        <v>102.892</v>
      </c>
      <c r="R15" s="13">
        <f>_xll.BDH("SRPT US Equity","IS_EXPENSE_STOCK_BASED_COMP","FQ3 2022","FQ3 2022","Currency=USD","Period=FQ","BEST_FPERIOD_OVERRIDE=FQ","FILING_STATUS=MR","SCALING_FORMAT=MLN","Sort=A","Dates=H","DateFormat=P","Fill=—","Direction=H","UseDPDF=Y")</f>
        <v>50.417999999999999</v>
      </c>
      <c r="S15" s="13">
        <f>_xll.BDH("SRPT US Equity","IS_EXPENSE_STOCK_BASED_COMP","FQ4 2022","FQ4 2022","Currency=USD","Period=FQ","BEST_FPERIOD_OVERRIDE=FQ","FILING_STATUS=MR","SCALING_FORMAT=MLN","Sort=A","Dates=H","DateFormat=P","Fill=—","Direction=H","UseDPDF=Y")</f>
        <v>69.472999999999999</v>
      </c>
      <c r="T15" s="13">
        <f>_xll.BDH("SRPT US Equity","IS_EXPENSE_STOCK_BASED_COMP","FQ1 2023","FQ1 2023","Currency=USD","Period=FQ","BEST_FPERIOD_OVERRIDE=FQ","FILING_STATUS=MR","SCALING_FORMAT=MLN","Sort=A","Dates=H","DateFormat=P","Fill=—","Direction=H","UseDPDF=Y")</f>
        <v>41.25</v>
      </c>
      <c r="U15" s="13">
        <f>_xll.BDH("SRPT US Equity","IS_EXPENSE_STOCK_BASED_COMP","FQ2 2023","FQ2 2023","Currency=USD","Period=FQ","BEST_FPERIOD_OVERRIDE=FQ","FILING_STATUS=MR","SCALING_FORMAT=MLN","Sort=A","Dates=H","DateFormat=P","Fill=—","Direction=H","UseDPDF=Y")</f>
        <v>47.377000000000002</v>
      </c>
      <c r="V15" s="13">
        <f>_xll.BDH("SRPT US Equity","IS_EXPENSE_STOCK_BASED_COMP","FQ3 2023","FQ3 2023","Currency=USD","Period=FQ","BEST_FPERIOD_OVERRIDE=FQ","FILING_STATUS=MR","SCALING_FORMAT=MLN","Sort=A","Dates=H","DateFormat=P","Fill=—","Direction=H","UseDPDF=Y")</f>
        <v>48.061</v>
      </c>
      <c r="W15" s="13">
        <f>_xll.BDH("SRPT US Equity","IS_EXPENSE_STOCK_BASED_COMP","FQ4 2023","FQ4 2023","Currency=USD","Period=FQ","BEST_FPERIOD_OVERRIDE=FQ","FILING_STATUS=MR","SCALING_FORMAT=MLN","Sort=A","Dates=H","DateFormat=P","Fill=—","Direction=H","UseDPDF=Y")</f>
        <v>68</v>
      </c>
      <c r="X15" s="13">
        <f>_xll.BDH("SRPT US Equity","IS_EXPENSE_STOCK_BASED_COMP","FQ1 2024","FQ1 2024","Currency=USD","Period=FQ","BEST_FPERIOD_OVERRIDE=FQ","FILING_STATUS=MR","SCALING_FORMAT=MLN","Sort=A","Dates=H","DateFormat=P","Fill=—","Direction=H","UseDPDF=Y")</f>
        <v>40.692</v>
      </c>
      <c r="Y15" s="13">
        <f>_xll.BDH("SRPT US Equity","IS_EXPENSE_STOCK_BASED_COMP","FQ2 2024","FQ2 2024","Currency=USD","Period=FQ","BEST_FPERIOD_OVERRIDE=FQ","FILING_STATUS=MR","SCALING_FORMAT=MLN","Sort=A","Dates=H","DateFormat=P","Fill=—","Direction=H","UseDPDF=Y")</f>
        <v>50.481999999999999</v>
      </c>
      <c r="Z15" s="13">
        <f>_xll.BDH("SRPT US Equity","IS_EXPENSE_STOCK_BASED_COMP","FQ3 2024","FQ3 2024","Currency=USD","Period=FQ","BEST_FPERIOD_OVERRIDE=FQ","FILING_STATUS=MR","SCALING_FORMAT=MLN","Sort=A","Dates=H","DateFormat=P","Fill=—","Direction=H","UseDPDF=Y")</f>
        <v>43.45</v>
      </c>
      <c r="AA15" s="13">
        <f>_xll.BDH("SRPT US Equity","IS_EXPENSE_STOCK_BASED_COMP","FQ4 2024","FQ4 2024","Currency=USD","Period=FQ","BEST_FPERIOD_OVERRIDE=FQ","FILING_STATUS=MR","SCALING_FORMAT=MLN","Sort=A","Dates=H","DateFormat=P","Fill=—","Direction=H","UseDPDF=Y")</f>
        <v>79.454999999999998</v>
      </c>
    </row>
    <row r="16" spans="1:27" x14ac:dyDescent="0.25">
      <c r="A16" s="10" t="s">
        <v>669</v>
      </c>
      <c r="B16" s="10" t="s">
        <v>670</v>
      </c>
      <c r="C16" s="13">
        <f>_xll.BDH("SRPT US Equity","IS_STK_BASED_COMP_AFT_TAX","FQ4 2018","FQ4 2018","Currency=USD","Period=FQ","BEST_FPERIOD_OVERRIDE=FQ","FILING_STATUS=MR","SCALING_FORMAT=MLN","Sort=A","Dates=H","DateFormat=P","Fill=—","Direction=H","UseDPDF=Y")</f>
        <v>12.717499999999999</v>
      </c>
      <c r="D16" s="13">
        <f>_xll.BDH("SRPT US Equity","IS_STK_BASED_COMP_AFT_TAX","FQ1 2019","FQ1 2019","Currency=USD","Period=FQ","BEST_FPERIOD_OVERRIDE=FQ","FILING_STATUS=MR","SCALING_FORMAT=MLN","Sort=A","Dates=H","DateFormat=P","Fill=—","Direction=H","UseDPDF=Y")</f>
        <v>12.7498</v>
      </c>
      <c r="E16" s="13">
        <f>_xll.BDH("SRPT US Equity","IS_STK_BASED_COMP_AFT_TAX","FQ2 2019","FQ2 2019","Currency=USD","Period=FQ","BEST_FPERIOD_OVERRIDE=FQ","FILING_STATUS=MR","SCALING_FORMAT=MLN","Sort=A","Dates=H","DateFormat=P","Fill=—","Direction=H","UseDPDF=Y")</f>
        <v>15.612</v>
      </c>
      <c r="F16" s="13">
        <f>_xll.BDH("SRPT US Equity","IS_STK_BASED_COMP_AFT_TAX","FQ3 2019","FQ3 2019","Currency=USD","Period=FQ","BEST_FPERIOD_OVERRIDE=FQ","FILING_STATUS=MR","SCALING_FORMAT=MLN","Sort=A","Dates=H","DateFormat=P","Fill=—","Direction=H","UseDPDF=Y")</f>
        <v>16.3032</v>
      </c>
      <c r="G16" s="13">
        <f>_xll.BDH("SRPT US Equity","IS_STK_BASED_COMP_AFT_TAX","FQ4 2019","FQ4 2019","Currency=USD","Period=FQ","BEST_FPERIOD_OVERRIDE=FQ","FILING_STATUS=MR","SCALING_FORMAT=MLN","Sort=A","Dates=H","DateFormat=P","Fill=—","Direction=H","UseDPDF=Y")</f>
        <v>17.430599999999998</v>
      </c>
      <c r="H16" s="13">
        <f>_xll.BDH("SRPT US Equity","IS_STK_BASED_COMP_AFT_TAX","FQ1 2020","FQ1 2020","Currency=USD","Period=FQ","BEST_FPERIOD_OVERRIDE=FQ","FILING_STATUS=MR","SCALING_FORMAT=MLN","Sort=A","Dates=H","DateFormat=P","Fill=—","Direction=H","UseDPDF=Y")</f>
        <v>23.979700000000001</v>
      </c>
      <c r="I16" s="13">
        <f>_xll.BDH("SRPT US Equity","IS_STK_BASED_COMP_AFT_TAX","FQ2 2020","FQ2 2020","Currency=USD","Period=FQ","BEST_FPERIOD_OVERRIDE=FQ","FILING_STATUS=MR","SCALING_FORMAT=MLN","Sort=A","Dates=H","DateFormat=P","Fill=—","Direction=H","UseDPDF=Y")</f>
        <v>21.816600000000001</v>
      </c>
      <c r="J16" s="13">
        <f>_xll.BDH("SRPT US Equity","IS_STK_BASED_COMP_AFT_TAX","FQ3 2020","FQ3 2020","Currency=USD","Period=FQ","BEST_FPERIOD_OVERRIDE=FQ","FILING_STATUS=MR","SCALING_FORMAT=MLN","Sort=A","Dates=H","DateFormat=P","Fill=—","Direction=H","UseDPDF=Y")</f>
        <v>21.253399999999999</v>
      </c>
      <c r="K16" s="13">
        <f>_xll.BDH("SRPT US Equity","IS_STK_BASED_COMP_AFT_TAX","FQ4 2020","FQ4 2020","Currency=USD","Period=FQ","BEST_FPERIOD_OVERRIDE=FQ","FILING_STATUS=MR","SCALING_FORMAT=MLN","Sort=A","Dates=H","DateFormat=P","Fill=—","Direction=H","UseDPDF=Y")</f>
        <v>23.3263</v>
      </c>
      <c r="L16" s="13">
        <f>_xll.BDH("SRPT US Equity","IS_STK_BASED_COMP_AFT_TAX","FQ1 2021","FQ1 2021","Currency=USD","Period=FQ","BEST_FPERIOD_OVERRIDE=FQ","FILING_STATUS=MR","SCALING_FORMAT=MLN","Sort=A","Dates=H","DateFormat=P","Fill=—","Direction=H","UseDPDF=Y")</f>
        <v>28.417200000000001</v>
      </c>
      <c r="M16" s="13">
        <f>_xll.BDH("SRPT US Equity","IS_STK_BASED_COMP_AFT_TAX","FQ2 2021","FQ2 2021","Currency=USD","Period=FQ","BEST_FPERIOD_OVERRIDE=FQ","FILING_STATUS=MR","SCALING_FORMAT=MLN","Sort=A","Dates=H","DateFormat=P","Fill=—","Direction=H","UseDPDF=Y")</f>
        <v>22.8855</v>
      </c>
      <c r="N16" s="13">
        <f>_xll.BDH("SRPT US Equity","IS_STK_BASED_COMP_AFT_TAX","FQ3 2021","FQ3 2021","Currency=USD","Period=FQ","BEST_FPERIOD_OVERRIDE=FQ","FILING_STATUS=MR","SCALING_FORMAT=MLN","Sort=A","Dates=H","DateFormat=P","Fill=—","Direction=H","UseDPDF=Y")</f>
        <v>21.080400000000001</v>
      </c>
      <c r="O16" s="13">
        <f>_xll.BDH("SRPT US Equity","IS_STK_BASED_COMP_AFT_TAX","FQ4 2021","FQ4 2021","Currency=USD","Period=FQ","BEST_FPERIOD_OVERRIDE=FQ","FILING_STATUS=MR","SCALING_FORMAT=MLN","Sort=A","Dates=H","DateFormat=P","Fill=—","Direction=H","UseDPDF=Y")</f>
        <v>29.831</v>
      </c>
      <c r="P16" s="13">
        <f>_xll.BDH("SRPT US Equity","IS_STK_BASED_COMP_AFT_TAX","FQ1 2022","FQ1 2022","Currency=USD","Period=FQ","BEST_FPERIOD_OVERRIDE=FQ","FILING_STATUS=MR","SCALING_FORMAT=MLN","Sort=A","Dates=H","DateFormat=P","Fill=—","Direction=H","UseDPDF=Y")</f>
        <v>35.809100000000001</v>
      </c>
      <c r="Q16" s="13">
        <f>_xll.BDH("SRPT US Equity","IS_STK_BASED_COMP_AFT_TAX","FQ2 2022","FQ2 2022","Currency=USD","Period=FQ","BEST_FPERIOD_OVERRIDE=FQ","FILING_STATUS=MR","SCALING_FORMAT=MLN","Sort=A","Dates=H","DateFormat=P","Fill=—","Direction=H","UseDPDF=Y")</f>
        <v>81.284700000000001</v>
      </c>
      <c r="R16" s="13">
        <f>_xll.BDH("SRPT US Equity","IS_STK_BASED_COMP_AFT_TAX","FQ3 2022","FQ3 2022","Currency=USD","Period=FQ","BEST_FPERIOD_OVERRIDE=FQ","FILING_STATUS=MR","SCALING_FORMAT=MLN","Sort=A","Dates=H","DateFormat=P","Fill=—","Direction=H","UseDPDF=Y")</f>
        <v>39.830199999999998</v>
      </c>
      <c r="S16" s="13">
        <f>_xll.BDH("SRPT US Equity","IS_STK_BASED_COMP_AFT_TAX","FQ4 2022","FQ4 2022","Currency=USD","Period=FQ","BEST_FPERIOD_OVERRIDE=FQ","FILING_STATUS=MR","SCALING_FORMAT=MLN","Sort=A","Dates=H","DateFormat=P","Fill=—","Direction=H","UseDPDF=Y")</f>
        <v>54.883699999999997</v>
      </c>
      <c r="T16" s="13">
        <f>_xll.BDH("SRPT US Equity","IS_STK_BASED_COMP_AFT_TAX","FQ1 2023","FQ1 2023","Currency=USD","Period=FQ","BEST_FPERIOD_OVERRIDE=FQ","FILING_STATUS=MR","SCALING_FORMAT=MLN","Sort=A","Dates=H","DateFormat=P","Fill=—","Direction=H","UseDPDF=Y")</f>
        <v>32.587499999999999</v>
      </c>
      <c r="U16" s="13">
        <f>_xll.BDH("SRPT US Equity","IS_STK_BASED_COMP_AFT_TAX","FQ2 2023","FQ2 2023","Currency=USD","Period=FQ","BEST_FPERIOD_OVERRIDE=FQ","FILING_STATUS=MR","SCALING_FORMAT=MLN","Sort=A","Dates=H","DateFormat=P","Fill=—","Direction=H","UseDPDF=Y")</f>
        <v>37.427799999999998</v>
      </c>
      <c r="V16" s="13">
        <f>_xll.BDH("SRPT US Equity","IS_STK_BASED_COMP_AFT_TAX","FQ3 2023","FQ3 2023","Currency=USD","Period=FQ","BEST_FPERIOD_OVERRIDE=FQ","FILING_STATUS=MR","SCALING_FORMAT=MLN","Sort=A","Dates=H","DateFormat=P","Fill=—","Direction=H","UseDPDF=Y")</f>
        <v>37.968200000000003</v>
      </c>
      <c r="W16" s="13">
        <f>_xll.BDH("SRPT US Equity","IS_STK_BASED_COMP_AFT_TAX","FQ4 2023","FQ4 2023","Currency=USD","Period=FQ","BEST_FPERIOD_OVERRIDE=FQ","FILING_STATUS=MR","SCALING_FORMAT=MLN","Sort=A","Dates=H","DateFormat=P","Fill=—","Direction=H","UseDPDF=Y")</f>
        <v>40.542000000000002</v>
      </c>
      <c r="X16" s="13">
        <f>_xll.BDH("SRPT US Equity","IS_STK_BASED_COMP_AFT_TAX","FQ1 2024","FQ1 2024","Currency=USD","Period=FQ","BEST_FPERIOD_OVERRIDE=FQ","FILING_STATUS=MR","SCALING_FORMAT=MLN","Sort=A","Dates=H","DateFormat=P","Fill=—","Direction=H","UseDPDF=Y")</f>
        <v>39.435099999999998</v>
      </c>
      <c r="Y16" s="13">
        <f>_xll.BDH("SRPT US Equity","IS_STK_BASED_COMP_AFT_TAX","FQ2 2024","FQ2 2024","Currency=USD","Period=FQ","BEST_FPERIOD_OVERRIDE=FQ","FILING_STATUS=MR","SCALING_FORMAT=MLN","Sort=A","Dates=H","DateFormat=P","Fill=—","Direction=H","UseDPDF=Y")</f>
        <v>44.4071</v>
      </c>
      <c r="Z16" s="13">
        <f>_xll.BDH("SRPT US Equity","IS_STK_BASED_COMP_AFT_TAX","FQ3 2024","FQ3 2024","Currency=USD","Period=FQ","BEST_FPERIOD_OVERRIDE=FQ","FILING_STATUS=MR","SCALING_FORMAT=MLN","Sort=A","Dates=H","DateFormat=P","Fill=—","Direction=H","UseDPDF=Y")</f>
        <v>38.494700000000002</v>
      </c>
      <c r="AA16" s="13">
        <f>_xll.BDH("SRPT US Equity","IS_STK_BASED_COMP_AFT_TAX","FQ4 2024","FQ4 2024","Currency=USD","Period=FQ","BEST_FPERIOD_OVERRIDE=FQ","FILING_STATUS=MR","SCALING_FORMAT=MLN","Sort=A","Dates=H","DateFormat=P","Fill=—","Direction=H","UseDPDF=Y")</f>
        <v>48.546999999999997</v>
      </c>
    </row>
    <row r="17" spans="1:27" x14ac:dyDescent="0.25">
      <c r="A17" s="10" t="s">
        <v>671</v>
      </c>
      <c r="B17" s="10" t="s">
        <v>672</v>
      </c>
      <c r="C17" s="14">
        <f>_xll.BDH("SRPT US Equity","IS_STK_BASED_COMP_PER_BAS_SH","FQ4 2018","FQ4 2018","Currency=USD","Period=FQ","BEST_FPERIOD_OVERRIDE=FQ","FILING_STATUS=MR","Sort=A","Dates=H","DateFormat=P","Fill=—","Direction=H","UseDPDF=Y")</f>
        <v>0.1852</v>
      </c>
      <c r="D17" s="14">
        <f>_xll.BDH("SRPT US Equity","IS_STK_BASED_COMP_PER_BAS_SH","FQ1 2019","FQ1 2019","Currency=USD","Period=FQ","BEST_FPERIOD_OVERRIDE=FQ","FILING_STATUS=MR","Sort=A","Dates=H","DateFormat=P","Fill=—","Direction=H","UseDPDF=Y")</f>
        <v>0.1777</v>
      </c>
      <c r="E17" s="14">
        <f>_xll.BDH("SRPT US Equity","IS_STK_BASED_COMP_PER_BAS_SH","FQ2 2019","FQ2 2019","Currency=USD","Period=FQ","BEST_FPERIOD_OVERRIDE=FQ","FILING_STATUS=MR","Sort=A","Dates=H","DateFormat=P","Fill=—","Direction=H","UseDPDF=Y")</f>
        <v>0.21110000000000001</v>
      </c>
      <c r="F17" s="14">
        <f>_xll.BDH("SRPT US Equity","IS_STK_BASED_COMP_PER_BAS_SH","FQ3 2019","FQ3 2019","Currency=USD","Period=FQ","BEST_FPERIOD_OVERRIDE=FQ","FILING_STATUS=MR","Sort=A","Dates=H","DateFormat=P","Fill=—","Direction=H","UseDPDF=Y")</f>
        <v>0.2198</v>
      </c>
      <c r="G17" s="14">
        <f>_xll.BDH("SRPT US Equity","IS_STK_BASED_COMP_PER_BAS_SH","FQ4 2019","FQ4 2019","Currency=USD","Period=FQ","BEST_FPERIOD_OVERRIDE=FQ","FILING_STATUS=MR","Sort=A","Dates=H","DateFormat=P","Fill=—","Direction=H","UseDPDF=Y")</f>
        <v>0.23380000000000001</v>
      </c>
      <c r="H17" s="14">
        <f>_xll.BDH("SRPT US Equity","IS_STK_BASED_COMP_PER_BAS_SH","FQ1 2020","FQ1 2020","Currency=USD","Period=FQ","BEST_FPERIOD_OVERRIDE=FQ","FILING_STATUS=MR","Sort=A","Dates=H","DateFormat=P","Fill=—","Direction=H","UseDPDF=Y")</f>
        <v>0.31369999999999998</v>
      </c>
      <c r="I17" s="14">
        <f>_xll.BDH("SRPT US Equity","IS_STK_BASED_COMP_PER_BAS_SH","FQ2 2020","FQ2 2020","Currency=USD","Period=FQ","BEST_FPERIOD_OVERRIDE=FQ","FILING_STATUS=MR","Sort=A","Dates=H","DateFormat=P","Fill=—","Direction=H","UseDPDF=Y")</f>
        <v>0.27979999999999999</v>
      </c>
      <c r="J17" s="14">
        <f>_xll.BDH("SRPT US Equity","IS_STK_BASED_COMP_PER_BAS_SH","FQ3 2020","FQ3 2020","Currency=USD","Period=FQ","BEST_FPERIOD_OVERRIDE=FQ","FILING_STATUS=MR","Sort=A","Dates=H","DateFormat=P","Fill=—","Direction=H","UseDPDF=Y")</f>
        <v>0.2707</v>
      </c>
      <c r="K17" s="14">
        <f>_xll.BDH("SRPT US Equity","IS_STK_BASED_COMP_PER_BAS_SH","FQ4 2020","FQ4 2020","Currency=USD","Period=FQ","BEST_FPERIOD_OVERRIDE=FQ","FILING_STATUS=MR","Sort=A","Dates=H","DateFormat=P","Fill=—","Direction=H","UseDPDF=Y")</f>
        <v>0.29559999999999997</v>
      </c>
      <c r="L17" s="14">
        <f>_xll.BDH("SRPT US Equity","IS_STK_BASED_COMP_PER_BAS_SH","FQ1 2021","FQ1 2021","Currency=USD","Period=FQ","BEST_FPERIOD_OVERRIDE=FQ","FILING_STATUS=MR","Sort=A","Dates=H","DateFormat=P","Fill=—","Direction=H","UseDPDF=Y")</f>
        <v>0.35770000000000002</v>
      </c>
      <c r="M17" s="14">
        <f>_xll.BDH("SRPT US Equity","IS_STK_BASED_COMP_PER_BAS_SH","FQ2 2021","FQ2 2021","Currency=USD","Period=FQ","BEST_FPERIOD_OVERRIDE=FQ","FILING_STATUS=MR","Sort=A","Dates=H","DateFormat=P","Fill=—","Direction=H","UseDPDF=Y")</f>
        <v>0.28699999999999998</v>
      </c>
      <c r="N17" s="14">
        <f>_xll.BDH("SRPT US Equity","IS_STK_BASED_COMP_PER_BAS_SH","FQ3 2021","FQ3 2021","Currency=USD","Period=FQ","BEST_FPERIOD_OVERRIDE=FQ","FILING_STATUS=MR","Sort=A","Dates=H","DateFormat=P","Fill=—","Direction=H","UseDPDF=Y")</f>
        <v>0.26390000000000002</v>
      </c>
      <c r="O17" s="14">
        <f>_xll.BDH("SRPT US Equity","IS_STK_BASED_COMP_PER_BAS_SH","FQ4 2021","FQ4 2021","Currency=USD","Period=FQ","BEST_FPERIOD_OVERRIDE=FQ","FILING_STATUS=MR","Sort=A","Dates=H","DateFormat=P","Fill=—","Direction=H","UseDPDF=Y")</f>
        <v>0.34710000000000002</v>
      </c>
      <c r="P17" s="14">
        <f>_xll.BDH("SRPT US Equity","IS_STK_BASED_COMP_PER_BAS_SH","FQ1 2022","FQ1 2022","Currency=USD","Period=FQ","BEST_FPERIOD_OVERRIDE=FQ","FILING_STATUS=MR","Sort=A","Dates=H","DateFormat=P","Fill=—","Direction=H","UseDPDF=Y")</f>
        <v>0.41039999999999999</v>
      </c>
      <c r="Q17" s="14">
        <f>_xll.BDH("SRPT US Equity","IS_STK_BASED_COMP_PER_BAS_SH","FQ2 2022","FQ2 2022","Currency=USD","Period=FQ","BEST_FPERIOD_OVERRIDE=FQ","FILING_STATUS=MR","Sort=A","Dates=H","DateFormat=P","Fill=—","Direction=H","UseDPDF=Y")</f>
        <v>0.92889999999999995</v>
      </c>
      <c r="R17" s="14">
        <f>_xll.BDH("SRPT US Equity","IS_STK_BASED_COMP_PER_BAS_SH","FQ3 2022","FQ3 2022","Currency=USD","Period=FQ","BEST_FPERIOD_OVERRIDE=FQ","FILING_STATUS=MR","Sort=A","Dates=H","DateFormat=P","Fill=—","Direction=H","UseDPDF=Y")</f>
        <v>0.45450000000000002</v>
      </c>
      <c r="S17" s="14">
        <f>_xll.BDH("SRPT US Equity","IS_STK_BASED_COMP_PER_BAS_SH","FQ4 2022","FQ4 2022","Currency=USD","Period=FQ","BEST_FPERIOD_OVERRIDE=FQ","FILING_STATUS=MR","Sort=A","Dates=H","DateFormat=P","Fill=—","Direction=H","UseDPDF=Y")</f>
        <v>0.62480000000000002</v>
      </c>
      <c r="T17" s="14">
        <f>_xll.BDH("SRPT US Equity","IS_STK_BASED_COMP_PER_BAS_SH","FQ1 2023","FQ1 2023","Currency=USD","Period=FQ","BEST_FPERIOD_OVERRIDE=FQ","FILING_STATUS=MR","Sort=A","Dates=H","DateFormat=P","Fill=—","Direction=H","UseDPDF=Y")</f>
        <v>0.3695</v>
      </c>
      <c r="U17" s="14">
        <f>_xll.BDH("SRPT US Equity","IS_STK_BASED_COMP_PER_BAS_SH","FQ2 2023","FQ2 2023","Currency=USD","Period=FQ","BEST_FPERIOD_OVERRIDE=FQ","FILING_STATUS=MR","Sort=A","Dates=H","DateFormat=P","Fill=—","Direction=H","UseDPDF=Y")</f>
        <v>0.42180000000000001</v>
      </c>
      <c r="V17" s="14">
        <f>_xll.BDH("SRPT US Equity","IS_STK_BASED_COMP_PER_BAS_SH","FQ3 2023","FQ3 2023","Currency=USD","Period=FQ","BEST_FPERIOD_OVERRIDE=FQ","FILING_STATUS=MR","Sort=A","Dates=H","DateFormat=P","Fill=—","Direction=H","UseDPDF=Y")</f>
        <v>0.42709999999999998</v>
      </c>
      <c r="W17" s="14">
        <f>_xll.BDH("SRPT US Equity","IS_STK_BASED_COMP_PER_BAS_SH","FQ4 2023","FQ4 2023","Currency=USD","Period=FQ","BEST_FPERIOD_OVERRIDE=FQ","FILING_STATUS=MR","Sort=A","Dates=H","DateFormat=P","Fill=—","Direction=H","UseDPDF=Y")</f>
        <v>0.43309999999999998</v>
      </c>
      <c r="X17" s="14">
        <f>_xll.BDH("SRPT US Equity","IS_STK_BASED_COMP_PER_BAS_SH","FQ1 2024","FQ1 2024","Currency=USD","Period=FQ","BEST_FPERIOD_OVERRIDE=FQ","FILING_STATUS=MR","Sort=A","Dates=H","DateFormat=P","Fill=—","Direction=H","UseDPDF=Y")</f>
        <v>0.41959999999999997</v>
      </c>
      <c r="Y17" s="14">
        <f>_xll.BDH("SRPT US Equity","IS_STK_BASED_COMP_PER_BAS_SH","FQ2 2024","FQ2 2024","Currency=USD","Period=FQ","BEST_FPERIOD_OVERRIDE=FQ","FILING_STATUS=MR","Sort=A","Dates=H","DateFormat=P","Fill=—","Direction=H","UseDPDF=Y")</f>
        <v>0.46929999999999999</v>
      </c>
      <c r="Z17" s="14">
        <f>_xll.BDH("SRPT US Equity","IS_STK_BASED_COMP_PER_BAS_SH","FQ3 2024","FQ3 2024","Currency=USD","Period=FQ","BEST_FPERIOD_OVERRIDE=FQ","FILING_STATUS=MR","Sort=A","Dates=H","DateFormat=P","Fill=—","Direction=H","UseDPDF=Y")</f>
        <v>0.40360000000000001</v>
      </c>
      <c r="AA17" s="14">
        <f>_xll.BDH("SRPT US Equity","IS_STK_BASED_COMP_PER_BAS_SH","FQ4 2024","FQ4 2024","Currency=USD","Period=FQ","BEST_FPERIOD_OVERRIDE=FQ","FILING_STATUS=MR","Sort=A","Dates=H","DateFormat=P","Fill=—","Direction=H","UseDPDF=Y")</f>
        <v>0.50419999999999998</v>
      </c>
    </row>
    <row r="18" spans="1:27" x14ac:dyDescent="0.25">
      <c r="A18" s="10" t="s">
        <v>673</v>
      </c>
      <c r="B18" s="10" t="s">
        <v>674</v>
      </c>
      <c r="C18" s="14">
        <f>_xll.BDH("SRPT US Equity","IS_STK_BASED_COMP_PER_DIL_SH","FQ4 2018","FQ4 2018","Currency=USD","Period=FQ","BEST_FPERIOD_OVERRIDE=FQ","FILING_STATUS=MR","Sort=A","Dates=H","DateFormat=P","Fill=—","Direction=H","UseDPDF=Y")</f>
        <v>0.1852</v>
      </c>
      <c r="D18" s="14">
        <f>_xll.BDH("SRPT US Equity","IS_STK_BASED_COMP_PER_DIL_SH","FQ1 2019","FQ1 2019","Currency=USD","Period=FQ","BEST_FPERIOD_OVERRIDE=FQ","FILING_STATUS=MR","Sort=A","Dates=H","DateFormat=P","Fill=—","Direction=H","UseDPDF=Y")</f>
        <v>0.1777</v>
      </c>
      <c r="E18" s="14">
        <f>_xll.BDH("SRPT US Equity","IS_STK_BASED_COMP_PER_DIL_SH","FQ2 2019","FQ2 2019","Currency=USD","Period=FQ","BEST_FPERIOD_OVERRIDE=FQ","FILING_STATUS=MR","Sort=A","Dates=H","DateFormat=P","Fill=—","Direction=H","UseDPDF=Y")</f>
        <v>0.21110000000000001</v>
      </c>
      <c r="F18" s="14">
        <f>_xll.BDH("SRPT US Equity","IS_STK_BASED_COMP_PER_DIL_SH","FQ3 2019","FQ3 2019","Currency=USD","Period=FQ","BEST_FPERIOD_OVERRIDE=FQ","FILING_STATUS=MR","Sort=A","Dates=H","DateFormat=P","Fill=—","Direction=H","UseDPDF=Y")</f>
        <v>0.2198</v>
      </c>
      <c r="G18" s="14">
        <f>_xll.BDH("SRPT US Equity","IS_STK_BASED_COMP_PER_DIL_SH","FQ4 2019","FQ4 2019","Currency=USD","Period=FQ","BEST_FPERIOD_OVERRIDE=FQ","FILING_STATUS=MR","Sort=A","Dates=H","DateFormat=P","Fill=—","Direction=H","UseDPDF=Y")</f>
        <v>0.23380000000000001</v>
      </c>
      <c r="H18" s="14">
        <f>_xll.BDH("SRPT US Equity","IS_STK_BASED_COMP_PER_DIL_SH","FQ1 2020","FQ1 2020","Currency=USD","Period=FQ","BEST_FPERIOD_OVERRIDE=FQ","FILING_STATUS=MR","Sort=A","Dates=H","DateFormat=P","Fill=—","Direction=H","UseDPDF=Y")</f>
        <v>0.31369999999999998</v>
      </c>
      <c r="I18" s="14">
        <f>_xll.BDH("SRPT US Equity","IS_STK_BASED_COMP_PER_DIL_SH","FQ2 2020","FQ2 2020","Currency=USD","Period=FQ","BEST_FPERIOD_OVERRIDE=FQ","FILING_STATUS=MR","Sort=A","Dates=H","DateFormat=P","Fill=—","Direction=H","UseDPDF=Y")</f>
        <v>0.27979999999999999</v>
      </c>
      <c r="J18" s="14">
        <f>_xll.BDH("SRPT US Equity","IS_STK_BASED_COMP_PER_DIL_SH","FQ3 2020","FQ3 2020","Currency=USD","Period=FQ","BEST_FPERIOD_OVERRIDE=FQ","FILING_STATUS=MR","Sort=A","Dates=H","DateFormat=P","Fill=—","Direction=H","UseDPDF=Y")</f>
        <v>0.2707</v>
      </c>
      <c r="K18" s="14">
        <f>_xll.BDH("SRPT US Equity","IS_STK_BASED_COMP_PER_DIL_SH","FQ4 2020","FQ4 2020","Currency=USD","Period=FQ","BEST_FPERIOD_OVERRIDE=FQ","FILING_STATUS=MR","Sort=A","Dates=H","DateFormat=P","Fill=—","Direction=H","UseDPDF=Y")</f>
        <v>0.29559999999999997</v>
      </c>
      <c r="L18" s="14">
        <f>_xll.BDH("SRPT US Equity","IS_STK_BASED_COMP_PER_DIL_SH","FQ1 2021","FQ1 2021","Currency=USD","Period=FQ","BEST_FPERIOD_OVERRIDE=FQ","FILING_STATUS=MR","Sort=A","Dates=H","DateFormat=P","Fill=—","Direction=H","UseDPDF=Y")</f>
        <v>0.35770000000000002</v>
      </c>
      <c r="M18" s="14">
        <f>_xll.BDH("SRPT US Equity","IS_STK_BASED_COMP_PER_DIL_SH","FQ2 2021","FQ2 2021","Currency=USD","Period=FQ","BEST_FPERIOD_OVERRIDE=FQ","FILING_STATUS=MR","Sort=A","Dates=H","DateFormat=P","Fill=—","Direction=H","UseDPDF=Y")</f>
        <v>0.28699999999999998</v>
      </c>
      <c r="N18" s="14">
        <f>_xll.BDH("SRPT US Equity","IS_STK_BASED_COMP_PER_DIL_SH","FQ3 2021","FQ3 2021","Currency=USD","Period=FQ","BEST_FPERIOD_OVERRIDE=FQ","FILING_STATUS=MR","Sort=A","Dates=H","DateFormat=P","Fill=—","Direction=H","UseDPDF=Y")</f>
        <v>0.26390000000000002</v>
      </c>
      <c r="O18" s="14">
        <f>_xll.BDH("SRPT US Equity","IS_STK_BASED_COMP_PER_DIL_SH","FQ4 2021","FQ4 2021","Currency=USD","Period=FQ","BEST_FPERIOD_OVERRIDE=FQ","FILING_STATUS=MR","Sort=A","Dates=H","DateFormat=P","Fill=—","Direction=H","UseDPDF=Y")</f>
        <v>0.34710000000000002</v>
      </c>
      <c r="P18" s="14">
        <f>_xll.BDH("SRPT US Equity","IS_STK_BASED_COMP_PER_DIL_SH","FQ1 2022","FQ1 2022","Currency=USD","Period=FQ","BEST_FPERIOD_OVERRIDE=FQ","FILING_STATUS=MR","Sort=A","Dates=H","DateFormat=P","Fill=—","Direction=H","UseDPDF=Y")</f>
        <v>0.41039999999999999</v>
      </c>
      <c r="Q18" s="14">
        <f>_xll.BDH("SRPT US Equity","IS_STK_BASED_COMP_PER_DIL_SH","FQ2 2022","FQ2 2022","Currency=USD","Period=FQ","BEST_FPERIOD_OVERRIDE=FQ","FILING_STATUS=MR","Sort=A","Dates=H","DateFormat=P","Fill=—","Direction=H","UseDPDF=Y")</f>
        <v>0.92889999999999995</v>
      </c>
      <c r="R18" s="14">
        <f>_xll.BDH("SRPT US Equity","IS_STK_BASED_COMP_PER_DIL_SH","FQ3 2022","FQ3 2022","Currency=USD","Period=FQ","BEST_FPERIOD_OVERRIDE=FQ","FILING_STATUS=MR","Sort=A","Dates=H","DateFormat=P","Fill=—","Direction=H","UseDPDF=Y")</f>
        <v>0.45450000000000002</v>
      </c>
      <c r="S18" s="14">
        <f>_xll.BDH("SRPT US Equity","IS_STK_BASED_COMP_PER_DIL_SH","FQ4 2022","FQ4 2022","Currency=USD","Period=FQ","BEST_FPERIOD_OVERRIDE=FQ","FILING_STATUS=MR","Sort=A","Dates=H","DateFormat=P","Fill=—","Direction=H","UseDPDF=Y")</f>
        <v>0.62480000000000002</v>
      </c>
      <c r="T18" s="14">
        <f>_xll.BDH("SRPT US Equity","IS_STK_BASED_COMP_PER_DIL_SH","FQ1 2023","FQ1 2023","Currency=USD","Period=FQ","BEST_FPERIOD_OVERRIDE=FQ","FILING_STATUS=MR","Sort=A","Dates=H","DateFormat=P","Fill=—","Direction=H","UseDPDF=Y")</f>
        <v>0.3695</v>
      </c>
      <c r="U18" s="14">
        <f>_xll.BDH("SRPT US Equity","IS_STK_BASED_COMP_PER_DIL_SH","FQ2 2023","FQ2 2023","Currency=USD","Period=FQ","BEST_FPERIOD_OVERRIDE=FQ","FILING_STATUS=MR","Sort=A","Dates=H","DateFormat=P","Fill=—","Direction=H","UseDPDF=Y")</f>
        <v>0.42180000000000001</v>
      </c>
      <c r="V18" s="14">
        <f>_xll.BDH("SRPT US Equity","IS_STK_BASED_COMP_PER_DIL_SH","FQ3 2023","FQ3 2023","Currency=USD","Period=FQ","BEST_FPERIOD_OVERRIDE=FQ","FILING_STATUS=MR","Sort=A","Dates=H","DateFormat=P","Fill=—","Direction=H","UseDPDF=Y")</f>
        <v>0.42709999999999998</v>
      </c>
      <c r="W18" s="14">
        <f>_xll.BDH("SRPT US Equity","IS_STK_BASED_COMP_PER_DIL_SH","FQ4 2023","FQ4 2023","Currency=USD","Period=FQ","BEST_FPERIOD_OVERRIDE=FQ","FILING_STATUS=MR","Sort=A","Dates=H","DateFormat=P","Fill=—","Direction=H","UseDPDF=Y")</f>
        <v>0.38390000000000002</v>
      </c>
      <c r="X18" s="14">
        <f>_xll.BDH("SRPT US Equity","IS_STK_BASED_COMP_PER_DIL_SH","FQ1 2024","FQ1 2024","Currency=USD","Period=FQ","BEST_FPERIOD_OVERRIDE=FQ","FILING_STATUS=MR","Sort=A","Dates=H","DateFormat=P","Fill=—","Direction=H","UseDPDF=Y")</f>
        <v>0.39789999999999998</v>
      </c>
      <c r="Y18" s="14">
        <f>_xll.BDH("SRPT US Equity","IS_STK_BASED_COMP_PER_DIL_SH","FQ2 2024","FQ2 2024","Currency=USD","Period=FQ","BEST_FPERIOD_OVERRIDE=FQ","FILING_STATUS=MR","Sort=A","Dates=H","DateFormat=P","Fill=—","Direction=H","UseDPDF=Y")</f>
        <v>0.44790000000000002</v>
      </c>
      <c r="Z18" s="14">
        <f>_xll.BDH("SRPT US Equity","IS_STK_BASED_COMP_PER_DIL_SH","FQ3 2024","FQ3 2024","Currency=USD","Period=FQ","BEST_FPERIOD_OVERRIDE=FQ","FILING_STATUS=MR","Sort=A","Dates=H","DateFormat=P","Fill=—","Direction=H","UseDPDF=Y")</f>
        <v>0.38319999999999999</v>
      </c>
      <c r="AA18" s="14">
        <f>_xll.BDH("SRPT US Equity","IS_STK_BASED_COMP_PER_DIL_SH","FQ4 2024","FQ4 2024","Currency=USD","Period=FQ","BEST_FPERIOD_OVERRIDE=FQ","FILING_STATUS=MR","Sort=A","Dates=H","DateFormat=P","Fill=—","Direction=H","UseDPDF=Y")</f>
        <v>0.44750000000000001</v>
      </c>
    </row>
    <row r="19" spans="1:27" x14ac:dyDescent="0.25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5">
      <c r="A20" s="10" t="s">
        <v>675</v>
      </c>
      <c r="B20" s="10" t="s">
        <v>676</v>
      </c>
      <c r="C20" s="13">
        <f>_xll.BDH("SRPT US Equity","IS_SBC_INCL_SELLING","FQ4 2018","FQ4 2018","Currency=USD","Period=FQ","BEST_FPERIOD_OVERRIDE=FQ","FILING_STATUS=MR","SCALING_FORMAT=MLN","Sort=A","Dates=H","DateFormat=P","Fill=—","Direction=H","UseDPDF=Y")</f>
        <v>8.9730000000000008</v>
      </c>
      <c r="D20" s="13">
        <f>_xll.BDH("SRPT US Equity","IS_SBC_INCL_SELLING","FQ1 2019","FQ1 2019","Currency=USD","Period=FQ","BEST_FPERIOD_OVERRIDE=FQ","FILING_STATUS=MR","SCALING_FORMAT=MLN","Sort=A","Dates=H","DateFormat=P","Fill=—","Direction=H","UseDPDF=Y")</f>
        <v>11.052</v>
      </c>
      <c r="E20" s="13">
        <f>_xll.BDH("SRPT US Equity","IS_SBC_INCL_SELLING","FQ2 2019","FQ2 2019","Currency=USD","Period=FQ","BEST_FPERIOD_OVERRIDE=FQ","FILING_STATUS=MR","SCALING_FORMAT=MLN","Sort=A","Dates=H","DateFormat=P","Fill=—","Direction=H","UseDPDF=Y")</f>
        <v>12.839</v>
      </c>
      <c r="F20" s="13">
        <f>_xll.BDH("SRPT US Equity","IS_SBC_INCL_SELLING","FQ3 2019","FQ3 2019","Currency=USD","Period=FQ","BEST_FPERIOD_OVERRIDE=FQ","FILING_STATUS=MR","SCALING_FORMAT=MLN","Sort=A","Dates=H","DateFormat=P","Fill=—","Direction=H","UseDPDF=Y")</f>
        <v>13.664999999999999</v>
      </c>
      <c r="G20" s="13">
        <f>_xll.BDH("SRPT US Equity","IS_SBC_INCL_SELLING","FQ4 2019","FQ4 2019","Currency=USD","Period=FQ","BEST_FPERIOD_OVERRIDE=FQ","FILING_STATUS=MR","SCALING_FORMAT=MLN","Sort=A","Dates=H","DateFormat=P","Fill=—","Direction=H","UseDPDF=Y")</f>
        <v>31.939</v>
      </c>
      <c r="H20" s="13">
        <f>_xll.BDH("SRPT US Equity","IS_SBC_INCL_SELLING","FQ1 2020","FQ1 2020","Currency=USD","Period=FQ","BEST_FPERIOD_OVERRIDE=FQ","FILING_STATUS=MR","SCALING_FORMAT=MLN","Sort=A","Dates=H","DateFormat=P","Fill=—","Direction=H","UseDPDF=Y")</f>
        <v>14.775</v>
      </c>
      <c r="I20" s="13">
        <f>_xll.BDH("SRPT US Equity","IS_SBC_INCL_SELLING","FQ2 2020","FQ2 2020","Currency=USD","Period=FQ","BEST_FPERIOD_OVERRIDE=FQ","FILING_STATUS=MR","SCALING_FORMAT=MLN","Sort=A","Dates=H","DateFormat=P","Fill=—","Direction=H","UseDPDF=Y")</f>
        <v>16.475999999999999</v>
      </c>
      <c r="J20" s="13">
        <f>_xll.BDH("SRPT US Equity","IS_SBC_INCL_SELLING","FQ3 2020","FQ3 2020","Currency=USD","Period=FQ","BEST_FPERIOD_OVERRIDE=FQ","FILING_STATUS=MR","SCALING_FORMAT=MLN","Sort=A","Dates=H","DateFormat=P","Fill=—","Direction=H","UseDPDF=Y")</f>
        <v>16.257999999999999</v>
      </c>
      <c r="K20" s="13">
        <f>_xll.BDH("SRPT US Equity","IS_SBC_INCL_SELLING","FQ4 2020","FQ4 2020","Currency=USD","Period=FQ","BEST_FPERIOD_OVERRIDE=FQ","FILING_STATUS=MR","SCALING_FORMAT=MLN","Sort=A","Dates=H","DateFormat=P","Fill=—","Direction=H","UseDPDF=Y")</f>
        <v>18.89</v>
      </c>
      <c r="L20" s="13">
        <f>_xll.BDH("SRPT US Equity","IS_SBC_INCL_SELLING","FQ1 2021","FQ1 2021","Currency=USD","Period=FQ","BEST_FPERIOD_OVERRIDE=FQ","FILING_STATUS=MR","SCALING_FORMAT=MLN","Sort=A","Dates=H","DateFormat=P","Fill=—","Direction=H","UseDPDF=Y")</f>
        <v>17.382000000000001</v>
      </c>
      <c r="M20" s="13">
        <f>_xll.BDH("SRPT US Equity","IS_SBC_INCL_SELLING","FQ2 2021","FQ2 2021","Currency=USD","Period=FQ","BEST_FPERIOD_OVERRIDE=FQ","FILING_STATUS=MR","SCALING_FORMAT=MLN","Sort=A","Dates=H","DateFormat=P","Fill=—","Direction=H","UseDPDF=Y")</f>
        <v>16.109000000000002</v>
      </c>
      <c r="N20" s="13">
        <f>_xll.BDH("SRPT US Equity","IS_SBC_INCL_SELLING","FQ3 2021","FQ3 2021","Currency=USD","Period=FQ","BEST_FPERIOD_OVERRIDE=FQ","FILING_STATUS=MR","SCALING_FORMAT=MLN","Sort=A","Dates=H","DateFormat=P","Fill=—","Direction=H","UseDPDF=Y")</f>
        <v>14.653</v>
      </c>
      <c r="O20" s="13">
        <f>_xll.BDH("SRPT US Equity","IS_SBC_INCL_SELLING","FQ4 2021","FQ4 2021","Currency=USD","Period=FQ","BEST_FPERIOD_OVERRIDE=FQ","FILING_STATUS=MR","SCALING_FORMAT=MLN","Sort=A","Dates=H","DateFormat=P","Fill=—","Direction=H","UseDPDF=Y")</f>
        <v>29.782</v>
      </c>
      <c r="P20" s="13">
        <f>_xll.BDH("SRPT US Equity","IS_SBC_INCL_SELLING","FQ1 2022","FQ1 2022","Currency=USD","Period=FQ","BEST_FPERIOD_OVERRIDE=FQ","FILING_STATUS=MR","SCALING_FORMAT=MLN","Sort=A","Dates=H","DateFormat=P","Fill=—","Direction=H","UseDPDF=Y")</f>
        <v>16.13</v>
      </c>
      <c r="Q20" s="13">
        <f>_xll.BDH("SRPT US Equity","IS_SBC_INCL_SELLING","FQ2 2022","FQ2 2022","Currency=USD","Period=FQ","BEST_FPERIOD_OVERRIDE=FQ","FILING_STATUS=MR","SCALING_FORMAT=MLN","Sort=A","Dates=H","DateFormat=P","Fill=—","Direction=H","UseDPDF=Y")</f>
        <v>88.424999999999997</v>
      </c>
      <c r="R20" s="13">
        <f>_xll.BDH("SRPT US Equity","IS_SBC_INCL_SELLING","FQ3 2022","FQ3 2022","Currency=USD","Period=FQ","BEST_FPERIOD_OVERRIDE=FQ","FILING_STATUS=MR","SCALING_FORMAT=MLN","Sort=A","Dates=H","DateFormat=P","Fill=—","Direction=H","UseDPDF=Y")</f>
        <v>35.622999999999998</v>
      </c>
      <c r="S20" s="13">
        <f>_xll.BDH("SRPT US Equity","IS_SBC_INCL_SELLING","FQ4 2022","FQ4 2022","Currency=USD","Period=FQ","BEST_FPERIOD_OVERRIDE=FQ","FILING_STATUS=MR","SCALING_FORMAT=MLN","Sort=A","Dates=H","DateFormat=P","Fill=—","Direction=H","UseDPDF=Y")</f>
        <v>50.51</v>
      </c>
      <c r="T20" s="13">
        <f>_xll.BDH("SRPT US Equity","IS_SBC_INCL_SELLING","FQ1 2023","FQ1 2023","Currency=USD","Period=FQ","BEST_FPERIOD_OVERRIDE=FQ","FILING_STATUS=MR","SCALING_FORMAT=MLN","Sort=A","Dates=H","DateFormat=P","Fill=—","Direction=H","UseDPDF=Y")</f>
        <v>24.837</v>
      </c>
      <c r="U20" s="13">
        <f>_xll.BDH("SRPT US Equity","IS_SBC_INCL_SELLING","FQ2 2023","FQ2 2023","Currency=USD","Period=FQ","BEST_FPERIOD_OVERRIDE=FQ","FILING_STATUS=MR","SCALING_FORMAT=MLN","Sort=A","Dates=H","DateFormat=P","Fill=—","Direction=H","UseDPDF=Y")</f>
        <v>25.8</v>
      </c>
      <c r="V20" s="13">
        <f>_xll.BDH("SRPT US Equity","IS_SBC_INCL_SELLING","FQ3 2023","FQ3 2023","Currency=USD","Period=FQ","BEST_FPERIOD_OVERRIDE=FQ","FILING_STATUS=MR","SCALING_FORMAT=MLN","Sort=A","Dates=H","DateFormat=P","Fill=—","Direction=H","UseDPDF=Y")</f>
        <v>25.736000000000001</v>
      </c>
      <c r="W20" s="13">
        <f>_xll.BDH("SRPT US Equity","IS_SBC_INCL_SELLING","FQ4 2023","FQ4 2023","Currency=USD","Period=FQ","BEST_FPERIOD_OVERRIDE=FQ","FILING_STATUS=MR","SCALING_FORMAT=MLN","Sort=A","Dates=H","DateFormat=P","Fill=—","Direction=H","UseDPDF=Y")</f>
        <v>-45.826000000000001</v>
      </c>
      <c r="X20" s="13">
        <f>_xll.BDH("SRPT US Equity","IS_SBC_INCL_SELLING","FQ1 2024","FQ1 2024","Currency=USD","Period=FQ","BEST_FPERIOD_OVERRIDE=FQ","FILING_STATUS=MR","SCALING_FORMAT=MLN","Sort=A","Dates=H","DateFormat=P","Fill=—","Direction=H","UseDPDF=Y")</f>
        <v>24.419</v>
      </c>
      <c r="Y20" s="13">
        <f>_xll.BDH("SRPT US Equity","IS_SBC_INCL_SELLING","FQ2 2024","FQ2 2024","Currency=USD","Period=FQ","BEST_FPERIOD_OVERRIDE=FQ","FILING_STATUS=MR","SCALING_FORMAT=MLN","Sort=A","Dates=H","DateFormat=P","Fill=—","Direction=H","UseDPDF=Y")</f>
        <v>30.675999999999998</v>
      </c>
      <c r="Z20" s="13">
        <f>_xll.BDH("SRPT US Equity","IS_SBC_INCL_SELLING","FQ3 2024","FQ3 2024","Currency=USD","Period=FQ","BEST_FPERIOD_OVERRIDE=FQ","FILING_STATUS=MR","SCALING_FORMAT=MLN","Sort=A","Dates=H","DateFormat=P","Fill=—","Direction=H","UseDPDF=Y")</f>
        <v>25.416</v>
      </c>
      <c r="AA20" s="13">
        <f>_xll.BDH("SRPT US Equity","IS_SBC_INCL_SELLING","FQ4 2024","FQ4 2024","Currency=USD","Period=FQ","BEST_FPERIOD_OVERRIDE=FQ","FILING_STATUS=MR","SCALING_FORMAT=MLN","Sort=A","Dates=H","DateFormat=P","Fill=—","Direction=H","UseDPDF=Y")</f>
        <v>49.676000000000002</v>
      </c>
    </row>
    <row r="21" spans="1:27" x14ac:dyDescent="0.25">
      <c r="A21" s="10" t="s">
        <v>677</v>
      </c>
      <c r="B21" s="10" t="s">
        <v>678</v>
      </c>
      <c r="C21" s="13" t="str">
        <f>_xll.BDH("SRPT US Equity","IS_SBC_INCL_GEN_ADMIN","FQ4 2018","FQ4 2018","Currency=USD","Period=FQ","BEST_FPERIOD_OVERRIDE=FQ","FILING_STATUS=MR","SCALING_FORMAT=MLN","Sort=A","Dates=H","DateFormat=P","Fill=—","Direction=H","UseDPDF=Y")</f>
        <v>—</v>
      </c>
      <c r="D21" s="13" t="str">
        <f>_xll.BDH("SRPT US Equity","IS_SBC_INCL_GEN_ADMIN","FQ1 2019","FQ1 2019","Currency=USD","Period=FQ","BEST_FPERIOD_OVERRIDE=FQ","FILING_STATUS=MR","SCALING_FORMAT=MLN","Sort=A","Dates=H","DateFormat=P","Fill=—","Direction=H","UseDPDF=Y")</f>
        <v>—</v>
      </c>
      <c r="E21" s="13" t="str">
        <f>_xll.BDH("SRPT US Equity","IS_SBC_INCL_GEN_ADMIN","FQ2 2019","FQ2 2019","Currency=USD","Period=FQ","BEST_FPERIOD_OVERRIDE=FQ","FILING_STATUS=MR","SCALING_FORMAT=MLN","Sort=A","Dates=H","DateFormat=P","Fill=—","Direction=H","UseDPDF=Y")</f>
        <v>—</v>
      </c>
      <c r="F21" s="13" t="str">
        <f>_xll.BDH("SRPT US Equity","IS_SBC_INCL_GEN_ADMIN","FQ3 2019","FQ3 2019","Currency=USD","Period=FQ","BEST_FPERIOD_OVERRIDE=FQ","FILING_STATUS=MR","SCALING_FORMAT=MLN","Sort=A","Dates=H","DateFormat=P","Fill=—","Direction=H","UseDPDF=Y")</f>
        <v>—</v>
      </c>
      <c r="G21" s="13" t="str">
        <f>_xll.BDH("SRPT US Equity","IS_SBC_INCL_GEN_ADMIN","FQ4 2019","FQ4 2019","Currency=USD","Period=FQ","BEST_FPERIOD_OVERRIDE=FQ","FILING_STATUS=MR","SCALING_FORMAT=MLN","Sort=A","Dates=H","DateFormat=P","Fill=—","Direction=H","UseDPDF=Y")</f>
        <v>—</v>
      </c>
      <c r="H21" s="13" t="str">
        <f>_xll.BDH("SRPT US Equity","IS_SBC_INCL_GEN_ADMIN","FQ1 2020","FQ1 2020","Currency=USD","Period=FQ","BEST_FPERIOD_OVERRIDE=FQ","FILING_STATUS=MR","SCALING_FORMAT=MLN","Sort=A","Dates=H","DateFormat=P","Fill=—","Direction=H","UseDPDF=Y")</f>
        <v>—</v>
      </c>
      <c r="I21" s="13" t="str">
        <f>_xll.BDH("SRPT US Equity","IS_SBC_INCL_GEN_ADMIN","FQ2 2020","FQ2 2020","Currency=USD","Period=FQ","BEST_FPERIOD_OVERRIDE=FQ","FILING_STATUS=MR","SCALING_FORMAT=MLN","Sort=A","Dates=H","DateFormat=P","Fill=—","Direction=H","UseDPDF=Y")</f>
        <v>—</v>
      </c>
      <c r="J21" s="13" t="str">
        <f>_xll.BDH("SRPT US Equity","IS_SBC_INCL_GEN_ADMIN","FQ3 2020","FQ3 2020","Currency=USD","Period=FQ","BEST_FPERIOD_OVERRIDE=FQ","FILING_STATUS=MR","SCALING_FORMAT=MLN","Sort=A","Dates=H","DateFormat=P","Fill=—","Direction=H","UseDPDF=Y")</f>
        <v>—</v>
      </c>
      <c r="K21" s="13" t="str">
        <f>_xll.BDH("SRPT US Equity","IS_SBC_INCL_GEN_ADMIN","FQ4 2020","FQ4 2020","Currency=USD","Period=FQ","BEST_FPERIOD_OVERRIDE=FQ","FILING_STATUS=MR","SCALING_FORMAT=MLN","Sort=A","Dates=H","DateFormat=P","Fill=—","Direction=H","UseDPDF=Y")</f>
        <v>—</v>
      </c>
      <c r="L21" s="13" t="str">
        <f>_xll.BDH("SRPT US Equity","IS_SBC_INCL_GEN_ADMIN","FQ1 2021","FQ1 2021","Currency=USD","Period=FQ","BEST_FPERIOD_OVERRIDE=FQ","FILING_STATUS=MR","SCALING_FORMAT=MLN","Sort=A","Dates=H","DateFormat=P","Fill=—","Direction=H","UseDPDF=Y")</f>
        <v>—</v>
      </c>
      <c r="M21" s="13" t="str">
        <f>_xll.BDH("SRPT US Equity","IS_SBC_INCL_GEN_ADMIN","FQ2 2021","FQ2 2021","Currency=USD","Period=FQ","BEST_FPERIOD_OVERRIDE=FQ","FILING_STATUS=MR","SCALING_FORMAT=MLN","Sort=A","Dates=H","DateFormat=P","Fill=—","Direction=H","UseDPDF=Y")</f>
        <v>—</v>
      </c>
      <c r="N21" s="13" t="str">
        <f>_xll.BDH("SRPT US Equity","IS_SBC_INCL_GEN_ADMIN","FQ3 2021","FQ3 2021","Currency=USD","Period=FQ","BEST_FPERIOD_OVERRIDE=FQ","FILING_STATUS=MR","SCALING_FORMAT=MLN","Sort=A","Dates=H","DateFormat=P","Fill=—","Direction=H","UseDPDF=Y")</f>
        <v>—</v>
      </c>
      <c r="O21" s="13" t="str">
        <f>_xll.BDH("SRPT US Equity","IS_SBC_INCL_GEN_ADMIN","FQ4 2021","FQ4 2021","Currency=USD","Period=FQ","BEST_FPERIOD_OVERRIDE=FQ","FILING_STATUS=MR","SCALING_FORMAT=MLN","Sort=A","Dates=H","DateFormat=P","Fill=—","Direction=H","UseDPDF=Y")</f>
        <v>—</v>
      </c>
      <c r="P21" s="13" t="str">
        <f>_xll.BDH("SRPT US Equity","IS_SBC_INCL_GEN_ADMIN","FQ1 2022","FQ1 2022","Currency=USD","Period=FQ","BEST_FPERIOD_OVERRIDE=FQ","FILING_STATUS=MR","SCALING_FORMAT=MLN","Sort=A","Dates=H","DateFormat=P","Fill=—","Direction=H","UseDPDF=Y")</f>
        <v>—</v>
      </c>
      <c r="Q21" s="13" t="str">
        <f>_xll.BDH("SRPT US Equity","IS_SBC_INCL_GEN_ADMIN","FQ2 2022","FQ2 2022","Currency=USD","Period=FQ","BEST_FPERIOD_OVERRIDE=FQ","FILING_STATUS=MR","SCALING_FORMAT=MLN","Sort=A","Dates=H","DateFormat=P","Fill=—","Direction=H","UseDPDF=Y")</f>
        <v>—</v>
      </c>
      <c r="R21" s="13" t="str">
        <f>_xll.BDH("SRPT US Equity","IS_SBC_INCL_GEN_ADMIN","FQ3 2022","FQ3 2022","Currency=USD","Period=FQ","BEST_FPERIOD_OVERRIDE=FQ","FILING_STATUS=MR","SCALING_FORMAT=MLN","Sort=A","Dates=H","DateFormat=P","Fill=—","Direction=H","UseDPDF=Y")</f>
        <v>—</v>
      </c>
      <c r="S21" s="13" t="str">
        <f>_xll.BDH("SRPT US Equity","IS_SBC_INCL_GEN_ADMIN","FQ4 2022","FQ4 2022","Currency=USD","Period=FQ","BEST_FPERIOD_OVERRIDE=FQ","FILING_STATUS=MR","SCALING_FORMAT=MLN","Sort=A","Dates=H","DateFormat=P","Fill=—","Direction=H","UseDPDF=Y")</f>
        <v>—</v>
      </c>
      <c r="T21" s="13" t="str">
        <f>_xll.BDH("SRPT US Equity","IS_SBC_INCL_GEN_ADMIN","FQ1 2023","FQ1 2023","Currency=USD","Period=FQ","BEST_FPERIOD_OVERRIDE=FQ","FILING_STATUS=MR","SCALING_FORMAT=MLN","Sort=A","Dates=H","DateFormat=P","Fill=—","Direction=H","UseDPDF=Y")</f>
        <v>—</v>
      </c>
      <c r="U21" s="13" t="str">
        <f>_xll.BDH("SRPT US Equity","IS_SBC_INCL_GEN_ADMIN","FQ2 2023","FQ2 2023","Currency=USD","Period=FQ","BEST_FPERIOD_OVERRIDE=FQ","FILING_STATUS=MR","SCALING_FORMAT=MLN","Sort=A","Dates=H","DateFormat=P","Fill=—","Direction=H","UseDPDF=Y")</f>
        <v>—</v>
      </c>
      <c r="V21" s="13" t="str">
        <f>_xll.BDH("SRPT US Equity","IS_SBC_INCL_GEN_ADMIN","FQ3 2023","FQ3 2023","Currency=USD","Period=FQ","BEST_FPERIOD_OVERRIDE=FQ","FILING_STATUS=MR","SCALING_FORMAT=MLN","Sort=A","Dates=H","DateFormat=P","Fill=—","Direction=H","UseDPDF=Y")</f>
        <v>—</v>
      </c>
      <c r="W21" s="13" t="str">
        <f>_xll.BDH("SRPT US Equity","IS_SBC_INCL_GEN_ADMIN","FQ4 2023","FQ4 2023","Currency=USD","Period=FQ","BEST_FPERIOD_OVERRIDE=FQ","FILING_STATUS=MR","SCALING_FORMAT=MLN","Sort=A","Dates=H","DateFormat=P","Fill=—","Direction=H","UseDPDF=Y")</f>
        <v>—</v>
      </c>
      <c r="X21" s="13" t="str">
        <f>_xll.BDH("SRPT US Equity","IS_SBC_INCL_GEN_ADMIN","FQ1 2024","FQ1 2024","Currency=USD","Period=FQ","BEST_FPERIOD_OVERRIDE=FQ","FILING_STATUS=MR","SCALING_FORMAT=MLN","Sort=A","Dates=H","DateFormat=P","Fill=—","Direction=H","UseDPDF=Y")</f>
        <v>—</v>
      </c>
      <c r="Y21" s="13" t="str">
        <f>_xll.BDH("SRPT US Equity","IS_SBC_INCL_GEN_ADMIN","FQ2 2024","FQ2 2024","Currency=USD","Period=FQ","BEST_FPERIOD_OVERRIDE=FQ","FILING_STATUS=MR","SCALING_FORMAT=MLN","Sort=A","Dates=H","DateFormat=P","Fill=—","Direction=H","UseDPDF=Y")</f>
        <v>—</v>
      </c>
      <c r="Z21" s="13" t="str">
        <f>_xll.BDH("SRPT US Equity","IS_SBC_INCL_GEN_ADMIN","FQ3 2024","FQ3 2024","Currency=USD","Period=FQ","BEST_FPERIOD_OVERRIDE=FQ","FILING_STATUS=MR","SCALING_FORMAT=MLN","Sort=A","Dates=H","DateFormat=P","Fill=—","Direction=H","UseDPDF=Y")</f>
        <v>—</v>
      </c>
      <c r="AA21" s="13" t="str">
        <f>_xll.BDH("SRPT US Equity","IS_SBC_INCL_GEN_ADMIN","FQ4 2024","FQ4 2024","Currency=USD","Period=FQ","BEST_FPERIOD_OVERRIDE=FQ","FILING_STATUS=MR","SCALING_FORMAT=MLN","Sort=A","Dates=H","DateFormat=P","Fill=—","Direction=H","UseDPDF=Y")</f>
        <v>—</v>
      </c>
    </row>
    <row r="22" spans="1:27" x14ac:dyDescent="0.25">
      <c r="A22" s="10" t="s">
        <v>679</v>
      </c>
      <c r="B22" s="10" t="s">
        <v>680</v>
      </c>
      <c r="C22" s="13">
        <f>_xll.BDH("SRPT US Equity","IS_SBC_INCL_RD","FQ4 2018","FQ4 2018","Currency=USD","Period=FQ","BEST_FPERIOD_OVERRIDE=FQ","FILING_STATUS=MR","SCALING_FORMAT=MLN","Sort=A","Dates=H","DateFormat=P","Fill=—","Direction=H","UseDPDF=Y")</f>
        <v>3.8650000000000002</v>
      </c>
      <c r="D22" s="13">
        <f>_xll.BDH("SRPT US Equity","IS_SBC_INCL_RD","FQ1 2019","FQ1 2019","Currency=USD","Period=FQ","BEST_FPERIOD_OVERRIDE=FQ","FILING_STATUS=MR","SCALING_FORMAT=MLN","Sort=A","Dates=H","DateFormat=P","Fill=—","Direction=H","UseDPDF=Y")</f>
        <v>5.0869999999999997</v>
      </c>
      <c r="E22" s="13">
        <f>_xll.BDH("SRPT US Equity","IS_SBC_INCL_RD","FQ2 2019","FQ2 2019","Currency=USD","Period=FQ","BEST_FPERIOD_OVERRIDE=FQ","FILING_STATUS=MR","SCALING_FORMAT=MLN","Sort=A","Dates=H","DateFormat=P","Fill=—","Direction=H","UseDPDF=Y")</f>
        <v>6.923</v>
      </c>
      <c r="F22" s="13">
        <f>_xll.BDH("SRPT US Equity","IS_SBC_INCL_RD","FQ3 2019","FQ3 2019","Currency=USD","Period=FQ","BEST_FPERIOD_OVERRIDE=FQ","FILING_STATUS=MR","SCALING_FORMAT=MLN","Sort=A","Dates=H","DateFormat=P","Fill=—","Direction=H","UseDPDF=Y")</f>
        <v>6.9720000000000004</v>
      </c>
      <c r="G22" s="13">
        <f>_xll.BDH("SRPT US Equity","IS_SBC_INCL_RD","FQ4 2019","FQ4 2019","Currency=USD","Period=FQ","BEST_FPERIOD_OVERRIDE=FQ","FILING_STATUS=MR","SCALING_FORMAT=MLN","Sort=A","Dates=H","DateFormat=P","Fill=—","Direction=H","UseDPDF=Y")</f>
        <v>-9.875</v>
      </c>
      <c r="H22" s="13">
        <f>_xll.BDH("SRPT US Equity","IS_SBC_INCL_RD","FQ1 2020","FQ1 2020","Currency=USD","Period=FQ","BEST_FPERIOD_OVERRIDE=FQ","FILING_STATUS=MR","SCALING_FORMAT=MLN","Sort=A","Dates=H","DateFormat=P","Fill=—","Direction=H","UseDPDF=Y")</f>
        <v>9.2490000000000006</v>
      </c>
      <c r="I22" s="13">
        <f>_xll.BDH("SRPT US Equity","IS_SBC_INCL_RD","FQ2 2020","FQ2 2020","Currency=USD","Period=FQ","BEST_FPERIOD_OVERRIDE=FQ","FILING_STATUS=MR","SCALING_FORMAT=MLN","Sort=A","Dates=H","DateFormat=P","Fill=—","Direction=H","UseDPDF=Y")</f>
        <v>11.14</v>
      </c>
      <c r="J22" s="13">
        <f>_xll.BDH("SRPT US Equity","IS_SBC_INCL_RD","FQ3 2020","FQ3 2020","Currency=USD","Period=FQ","BEST_FPERIOD_OVERRIDE=FQ","FILING_STATUS=MR","SCALING_FORMAT=MLN","Sort=A","Dates=H","DateFormat=P","Fill=—","Direction=H","UseDPDF=Y")</f>
        <v>10.645</v>
      </c>
      <c r="K22" s="13">
        <f>_xll.BDH("SRPT US Equity","IS_SBC_INCL_RD","FQ4 2020","FQ4 2020","Currency=USD","Period=FQ","BEST_FPERIOD_OVERRIDE=FQ","FILING_STATUS=MR","SCALING_FORMAT=MLN","Sort=A","Dates=H","DateFormat=P","Fill=—","Direction=H","UseDPDF=Y")</f>
        <v>10.637</v>
      </c>
      <c r="L22" s="13">
        <f>_xll.BDH("SRPT US Equity","IS_SBC_INCL_RD","FQ1 2021","FQ1 2021","Currency=USD","Period=FQ","BEST_FPERIOD_OVERRIDE=FQ","FILING_STATUS=MR","SCALING_FORMAT=MLN","Sort=A","Dates=H","DateFormat=P","Fill=—","Direction=H","UseDPDF=Y")</f>
        <v>11.125999999999999</v>
      </c>
      <c r="M22" s="13">
        <f>_xll.BDH("SRPT US Equity","IS_SBC_INCL_RD","FQ2 2021","FQ2 2021","Currency=USD","Period=FQ","BEST_FPERIOD_OVERRIDE=FQ","FILING_STATUS=MR","SCALING_FORMAT=MLN","Sort=A","Dates=H","DateFormat=P","Fill=—","Direction=H","UseDPDF=Y")</f>
        <v>12.86</v>
      </c>
      <c r="N22" s="13">
        <f>_xll.BDH("SRPT US Equity","IS_SBC_INCL_RD","FQ3 2021","FQ3 2021","Currency=USD","Period=FQ","BEST_FPERIOD_OVERRIDE=FQ","FILING_STATUS=MR","SCALING_FORMAT=MLN","Sort=A","Dates=H","DateFormat=P","Fill=—","Direction=H","UseDPDF=Y")</f>
        <v>12.031000000000001</v>
      </c>
      <c r="O22" s="13">
        <f>_xll.BDH("SRPT US Equity","IS_SBC_INCL_RD","FQ4 2021","FQ4 2021","Currency=USD","Period=FQ","BEST_FPERIOD_OVERRIDE=FQ","FILING_STATUS=MR","SCALING_FORMAT=MLN","Sort=A","Dates=H","DateFormat=P","Fill=—","Direction=H","UseDPDF=Y")</f>
        <v>14.509</v>
      </c>
      <c r="P22" s="13">
        <f>_xll.BDH("SRPT US Equity","IS_SBC_INCL_RD","FQ1 2022","FQ1 2022","Currency=USD","Period=FQ","BEST_FPERIOD_OVERRIDE=FQ","FILING_STATUS=MR","SCALING_FORMAT=MLN","Sort=A","Dates=H","DateFormat=P","Fill=—","Direction=H","UseDPDF=Y")</f>
        <v>13.068</v>
      </c>
      <c r="Q22" s="13">
        <f>_xll.BDH("SRPT US Equity","IS_SBC_INCL_RD","FQ2 2022","FQ2 2022","Currency=USD","Period=FQ","BEST_FPERIOD_OVERRIDE=FQ","FILING_STATUS=MR","SCALING_FORMAT=MLN","Sort=A","Dates=H","DateFormat=P","Fill=—","Direction=H","UseDPDF=Y")</f>
        <v>14.467000000000001</v>
      </c>
      <c r="R22" s="13">
        <f>_xll.BDH("SRPT US Equity","IS_SBC_INCL_RD","FQ3 2022","FQ3 2022","Currency=USD","Period=FQ","BEST_FPERIOD_OVERRIDE=FQ","FILING_STATUS=MR","SCALING_FORMAT=MLN","Sort=A","Dates=H","DateFormat=P","Fill=—","Direction=H","UseDPDF=Y")</f>
        <v>14.795</v>
      </c>
      <c r="S22" s="13">
        <f>_xll.BDH("SRPT US Equity","IS_SBC_INCL_RD","FQ4 2022","FQ4 2022","Currency=USD","Period=FQ","BEST_FPERIOD_OVERRIDE=FQ","FILING_STATUS=MR","SCALING_FORMAT=MLN","Sort=A","Dates=H","DateFormat=P","Fill=—","Direction=H","UseDPDF=Y")</f>
        <v>18.963000000000001</v>
      </c>
      <c r="T22" s="13">
        <f>_xll.BDH("SRPT US Equity","IS_SBC_INCL_RD","FQ1 2023","FQ1 2023","Currency=USD","Period=FQ","BEST_FPERIOD_OVERRIDE=FQ","FILING_STATUS=MR","SCALING_FORMAT=MLN","Sort=A","Dates=H","DateFormat=P","Fill=—","Direction=H","UseDPDF=Y")</f>
        <v>16.413</v>
      </c>
      <c r="U22" s="13">
        <f>_xll.BDH("SRPT US Equity","IS_SBC_INCL_RD","FQ2 2023","FQ2 2023","Currency=USD","Period=FQ","BEST_FPERIOD_OVERRIDE=FQ","FILING_STATUS=MR","SCALING_FORMAT=MLN","Sort=A","Dates=H","DateFormat=P","Fill=—","Direction=H","UseDPDF=Y")</f>
        <v>21.577000000000002</v>
      </c>
      <c r="V22" s="13">
        <f>_xll.BDH("SRPT US Equity","IS_SBC_INCL_RD","FQ3 2023","FQ3 2023","Currency=USD","Period=FQ","BEST_FPERIOD_OVERRIDE=FQ","FILING_STATUS=MR","SCALING_FORMAT=MLN","Sort=A","Dates=H","DateFormat=P","Fill=—","Direction=H","UseDPDF=Y")</f>
        <v>22.324999999999999</v>
      </c>
      <c r="W22" s="13">
        <f>_xll.BDH("SRPT US Equity","IS_SBC_INCL_RD","FQ4 2023","FQ4 2023","Currency=USD","Period=FQ","BEST_FPERIOD_OVERRIDE=FQ","FILING_STATUS=MR","SCALING_FORMAT=MLN","Sort=A","Dates=H","DateFormat=P","Fill=—","Direction=H","UseDPDF=Y")</f>
        <v>-22.173999999999999</v>
      </c>
      <c r="X22" s="13">
        <f>_xll.BDH("SRPT US Equity","IS_SBC_INCL_RD","FQ1 2024","FQ1 2024","Currency=USD","Period=FQ","BEST_FPERIOD_OVERRIDE=FQ","FILING_STATUS=MR","SCALING_FORMAT=MLN","Sort=A","Dates=H","DateFormat=P","Fill=—","Direction=H","UseDPDF=Y")</f>
        <v>16.273</v>
      </c>
      <c r="Y22" s="13">
        <f>_xll.BDH("SRPT US Equity","IS_SBC_INCL_RD","FQ2 2024","FQ2 2024","Currency=USD","Period=FQ","BEST_FPERIOD_OVERRIDE=FQ","FILING_STATUS=MR","SCALING_FORMAT=MLN","Sort=A","Dates=H","DateFormat=P","Fill=—","Direction=H","UseDPDF=Y")</f>
        <v>19.806000000000001</v>
      </c>
      <c r="Z22" s="13">
        <f>_xll.BDH("SRPT US Equity","IS_SBC_INCL_RD","FQ3 2024","FQ3 2024","Currency=USD","Period=FQ","BEST_FPERIOD_OVERRIDE=FQ","FILING_STATUS=MR","SCALING_FORMAT=MLN","Sort=A","Dates=H","DateFormat=P","Fill=—","Direction=H","UseDPDF=Y")</f>
        <v>18.033999999999999</v>
      </c>
      <c r="AA22" s="13">
        <f>_xll.BDH("SRPT US Equity","IS_SBC_INCL_RD","FQ4 2024","FQ4 2024","Currency=USD","Period=FQ","BEST_FPERIOD_OVERRIDE=FQ","FILING_STATUS=MR","SCALING_FORMAT=MLN","Sort=A","Dates=H","DateFormat=P","Fill=—","Direction=H","UseDPDF=Y")</f>
        <v>19.896999999999998</v>
      </c>
    </row>
    <row r="23" spans="1:27" x14ac:dyDescent="0.25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5">
      <c r="A24" s="10" t="s">
        <v>681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5">
      <c r="A25" s="10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25">
      <c r="A26" s="10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5">
      <c r="A27" s="10" t="s">
        <v>682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x14ac:dyDescent="0.25">
      <c r="A28" s="10" t="s">
        <v>667</v>
      </c>
      <c r="B28" s="10" t="s">
        <v>683</v>
      </c>
      <c r="C28" s="13">
        <f>_xll.BDH("SRPT US Equity","IS_AMORT_OF_TOT_INTANG_PRETX","FQ4 2018","FQ4 2018","Currency=USD","Period=FQ","BEST_FPERIOD_OVERRIDE=FQ","FILING_STATUS=MR","SCALING_FORMAT=MLN","Sort=A","Dates=H","DateFormat=P","Fill=—","Direction=H","UseDPDF=Y")</f>
        <v>0.216</v>
      </c>
      <c r="D28" s="13">
        <f>_xll.BDH("SRPT US Equity","IS_AMORT_OF_TOT_INTANG_PRETX","FQ1 2019","FQ1 2019","Currency=USD","Period=FQ","BEST_FPERIOD_OVERRIDE=FQ","FILING_STATUS=MR","SCALING_FORMAT=MLN","Sort=A","Dates=H","DateFormat=P","Fill=—","Direction=H","UseDPDF=Y")</f>
        <v>0.216</v>
      </c>
      <c r="E28" s="13">
        <f>_xll.BDH("SRPT US Equity","IS_AMORT_OF_TOT_INTANG_PRETX","FQ2 2019","FQ2 2019","Currency=USD","Period=FQ","BEST_FPERIOD_OVERRIDE=FQ","FILING_STATUS=MR","SCALING_FORMAT=MLN","Sort=A","Dates=H","DateFormat=P","Fill=—","Direction=H","UseDPDF=Y")</f>
        <v>0.217</v>
      </c>
      <c r="F28" s="13">
        <f>_xll.BDH("SRPT US Equity","IS_AMORT_OF_TOT_INTANG_PRETX","FQ3 2019","FQ3 2019","Currency=USD","Period=FQ","BEST_FPERIOD_OVERRIDE=FQ","FILING_STATUS=MR","SCALING_FORMAT=MLN","Sort=A","Dates=H","DateFormat=P","Fill=—","Direction=H","UseDPDF=Y")</f>
        <v>0.216</v>
      </c>
      <c r="G28" s="13">
        <f>_xll.BDH("SRPT US Equity","IS_AMORT_OF_TOT_INTANG_PRETX","FQ4 2019","FQ4 2019","Currency=USD","Period=FQ","BEST_FPERIOD_OVERRIDE=FQ","FILING_STATUS=MR","SCALING_FORMAT=MLN","Sort=A","Dates=H","DateFormat=P","Fill=—","Direction=H","UseDPDF=Y")</f>
        <v>0.2</v>
      </c>
      <c r="H28" s="13">
        <f>_xll.BDH("SRPT US Equity","IS_AMORT_OF_TOT_INTANG_PRETX","FQ1 2020","FQ1 2020","Currency=USD","Period=FQ","BEST_FPERIOD_OVERRIDE=FQ","FILING_STATUS=MR","SCALING_FORMAT=MLN","Sort=A","Dates=H","DateFormat=P","Fill=—","Direction=H","UseDPDF=Y")</f>
        <v>0.16600000000000001</v>
      </c>
      <c r="I28" s="13">
        <f>_xll.BDH("SRPT US Equity","IS_AMORT_OF_TOT_INTANG_PRETX","FQ2 2020","FQ2 2020","Currency=USD","Period=FQ","BEST_FPERIOD_OVERRIDE=FQ","FILING_STATUS=MR","SCALING_FORMAT=MLN","Sort=A","Dates=H","DateFormat=P","Fill=—","Direction=H","UseDPDF=Y")</f>
        <v>0.16500000000000001</v>
      </c>
      <c r="J28" s="13">
        <f>_xll.BDH("SRPT US Equity","IS_AMORT_OF_TOT_INTANG_PRETX","FQ3 2020","FQ3 2020","Currency=USD","Period=FQ","BEST_FPERIOD_OVERRIDE=FQ","FILING_STATUS=MR","SCALING_FORMAT=MLN","Sort=A","Dates=H","DateFormat=P","Fill=—","Direction=H","UseDPDF=Y")</f>
        <v>0.16600000000000001</v>
      </c>
      <c r="K28" s="13">
        <f>_xll.BDH("SRPT US Equity","IS_AMORT_OF_TOT_INTANG_PRETX","FQ4 2020","FQ4 2020","Currency=USD","Period=FQ","BEST_FPERIOD_OVERRIDE=FQ","FILING_STATUS=MR","SCALING_FORMAT=MLN","Sort=A","Dates=H","DateFormat=P","Fill=—","Direction=H","UseDPDF=Y")</f>
        <v>0.16500000000000001</v>
      </c>
      <c r="L28" s="13">
        <f>_xll.BDH("SRPT US Equity","IS_AMORT_OF_TOT_INTANG_PRETX","FQ1 2021","FQ1 2021","Currency=USD","Period=FQ","BEST_FPERIOD_OVERRIDE=FQ","FILING_STATUS=MR","SCALING_FORMAT=MLN","Sort=A","Dates=H","DateFormat=P","Fill=—","Direction=H","UseDPDF=Y")</f>
        <v>0.17</v>
      </c>
      <c r="M28" s="13">
        <f>_xll.BDH("SRPT US Equity","IS_AMORT_OF_TOT_INTANG_PRETX","FQ2 2021","FQ2 2021","Currency=USD","Period=FQ","BEST_FPERIOD_OVERRIDE=FQ","FILING_STATUS=MR","SCALING_FORMAT=MLN","Sort=A","Dates=H","DateFormat=P","Fill=—","Direction=H","UseDPDF=Y")</f>
        <v>0.17899999999999999</v>
      </c>
      <c r="N28" s="13">
        <f>_xll.BDH("SRPT US Equity","IS_AMORT_OF_TOT_INTANG_PRETX","FQ3 2021","FQ3 2021","Currency=USD","Period=FQ","BEST_FPERIOD_OVERRIDE=FQ","FILING_STATUS=MR","SCALING_FORMAT=MLN","Sort=A","Dates=H","DateFormat=P","Fill=—","Direction=H","UseDPDF=Y")</f>
        <v>0.17799999999999999</v>
      </c>
      <c r="O28" s="13">
        <f>_xll.BDH("SRPT US Equity","IS_AMORT_OF_TOT_INTANG_PRETX","FQ4 2021","FQ4 2021","Currency=USD","Period=FQ","BEST_FPERIOD_OVERRIDE=FQ","FILING_STATUS=MR","SCALING_FORMAT=MLN","Sort=A","Dates=H","DateFormat=P","Fill=—","Direction=H","UseDPDF=Y")</f>
        <v>0.17899999999999999</v>
      </c>
      <c r="P28" s="13">
        <f>_xll.BDH("SRPT US Equity","IS_AMORT_OF_TOT_INTANG_PRETX","FQ1 2022","FQ1 2022","Currency=USD","Period=FQ","BEST_FPERIOD_OVERRIDE=FQ","FILING_STATUS=MR","SCALING_FORMAT=MLN","Sort=A","Dates=H","DateFormat=P","Fill=—","Direction=H","UseDPDF=Y")</f>
        <v>0.17799999999999999</v>
      </c>
      <c r="Q28" s="13">
        <f>_xll.BDH("SRPT US Equity","IS_AMORT_OF_TOT_INTANG_PRETX","FQ2 2022","FQ2 2022","Currency=USD","Period=FQ","BEST_FPERIOD_OVERRIDE=FQ","FILING_STATUS=MR","SCALING_FORMAT=MLN","Sort=A","Dates=H","DateFormat=P","Fill=—","Direction=H","UseDPDF=Y")</f>
        <v>0.17899999999999999</v>
      </c>
      <c r="R28" s="13">
        <f>_xll.BDH("SRPT US Equity","IS_AMORT_OF_TOT_INTANG_PRETX","FQ3 2022","FQ3 2022","Currency=USD","Period=FQ","BEST_FPERIOD_OVERRIDE=FQ","FILING_STATUS=MR","SCALING_FORMAT=MLN","Sort=A","Dates=H","DateFormat=P","Fill=—","Direction=H","UseDPDF=Y")</f>
        <v>0.17799999999999999</v>
      </c>
      <c r="S28" s="13">
        <f>_xll.BDH("SRPT US Equity","IS_AMORT_OF_TOT_INTANG_PRETX","FQ4 2022","FQ4 2022","Currency=USD","Period=FQ","BEST_FPERIOD_OVERRIDE=FQ","FILING_STATUS=MR","SCALING_FORMAT=MLN","Sort=A","Dates=H","DateFormat=P","Fill=—","Direction=H","UseDPDF=Y")</f>
        <v>0.17899999999999999</v>
      </c>
      <c r="T28" s="13">
        <f>_xll.BDH("SRPT US Equity","IS_AMORT_OF_TOT_INTANG_PRETX","FQ1 2023","FQ1 2023","Currency=USD","Period=FQ","BEST_FPERIOD_OVERRIDE=FQ","FILING_STATUS=MR","SCALING_FORMAT=MLN","Sort=A","Dates=H","DateFormat=P","Fill=—","Direction=H","UseDPDF=Y")</f>
        <v>0.17799999999999999</v>
      </c>
      <c r="U28" s="13">
        <f>_xll.BDH("SRPT US Equity","IS_AMORT_OF_TOT_INTANG_PRETX","FQ2 2023","FQ2 2023","Currency=USD","Period=FQ","BEST_FPERIOD_OVERRIDE=FQ","FILING_STATUS=MR","SCALING_FORMAT=MLN","Sort=A","Dates=H","DateFormat=P","Fill=—","Direction=H","UseDPDF=Y")</f>
        <v>0.17899999999999999</v>
      </c>
      <c r="V28" s="13">
        <f>_xll.BDH("SRPT US Equity","IS_AMORT_OF_TOT_INTANG_PRETX","FQ3 2023","FQ3 2023","Currency=USD","Period=FQ","BEST_FPERIOD_OVERRIDE=FQ","FILING_STATUS=MR","SCALING_FORMAT=MLN","Sort=A","Dates=H","DateFormat=P","Fill=—","Direction=H","UseDPDF=Y")</f>
        <v>0.439</v>
      </c>
      <c r="W28" s="13">
        <f>_xll.BDH("SRPT US Equity","IS_AMORT_OF_TOT_INTANG_PRETX","FQ4 2023","FQ4 2023","Currency=USD","Period=FQ","BEST_FPERIOD_OVERRIDE=FQ","FILING_STATUS=MR","SCALING_FORMAT=MLN","Sort=A","Dates=H","DateFormat=P","Fill=—","Direction=H","UseDPDF=Y")</f>
        <v>0.76300000000000001</v>
      </c>
      <c r="X28" s="13">
        <f>_xll.BDH("SRPT US Equity","IS_AMORT_OF_TOT_INTANG_PRETX","FQ1 2024","FQ1 2024","Currency=USD","Period=FQ","BEST_FPERIOD_OVERRIDE=FQ","FILING_STATUS=MR","SCALING_FORMAT=MLN","Sort=A","Dates=H","DateFormat=P","Fill=—","Direction=H","UseDPDF=Y")</f>
        <v>0.60099999999999998</v>
      </c>
      <c r="Y28" s="13">
        <f>_xll.BDH("SRPT US Equity","IS_AMORT_OF_TOT_INTANG_PRETX","FQ2 2024","FQ2 2024","Currency=USD","Period=FQ","BEST_FPERIOD_OVERRIDE=FQ","FILING_STATUS=MR","SCALING_FORMAT=MLN","Sort=A","Dates=H","DateFormat=P","Fill=—","Direction=H","UseDPDF=Y")</f>
        <v>0.60099999999999998</v>
      </c>
      <c r="Z28" s="13">
        <f>_xll.BDH("SRPT US Equity","IS_AMORT_OF_TOT_INTANG_PRETX","FQ3 2024","FQ3 2024","Currency=USD","Period=FQ","BEST_FPERIOD_OVERRIDE=FQ","FILING_STATUS=MR","SCALING_FORMAT=MLN","Sort=A","Dates=H","DateFormat=P","Fill=—","Direction=H","UseDPDF=Y")</f>
        <v>0.60199999999999998</v>
      </c>
      <c r="AA28" s="13">
        <f>_xll.BDH("SRPT US Equity","IS_AMORT_OF_TOT_INTANG_PRETX","FQ4 2024","FQ4 2024","Currency=USD","Period=FQ","BEST_FPERIOD_OVERRIDE=FQ","FILING_STATUS=MR","SCALING_FORMAT=MLN","Sort=A","Dates=H","DateFormat=P","Fill=—","Direction=H","UseDPDF=Y")</f>
        <v>0.60099999999999998</v>
      </c>
    </row>
    <row r="29" spans="1:27" x14ac:dyDescent="0.25">
      <c r="A29" s="10" t="s">
        <v>669</v>
      </c>
      <c r="B29" s="10" t="s">
        <v>684</v>
      </c>
      <c r="C29" s="13">
        <f>_xll.BDH("SRPT US Equity","IS_AMORT_OF_TOT_INTANG_AFT_TAX","FQ4 2018","FQ4 2018","Currency=USD","Period=FQ","BEST_FPERIOD_OVERRIDE=FQ","FILING_STATUS=MR","SCALING_FORMAT=MLN","Sort=A","Dates=H","DateFormat=P","Fill=—","Direction=H","UseDPDF=Y")</f>
        <v>0.18290000000000001</v>
      </c>
      <c r="D29" s="13">
        <f>_xll.BDH("SRPT US Equity","IS_AMORT_OF_TOT_INTANG_AFT_TAX","FQ1 2019","FQ1 2019","Currency=USD","Period=FQ","BEST_FPERIOD_OVERRIDE=FQ","FILING_STATUS=MR","SCALING_FORMAT=MLN","Sort=A","Dates=H","DateFormat=P","Fill=—","Direction=H","UseDPDF=Y")</f>
        <v>0.1706</v>
      </c>
      <c r="E29" s="13">
        <f>_xll.BDH("SRPT US Equity","IS_AMORT_OF_TOT_INTANG_AFT_TAX","FQ2 2019","FQ2 2019","Currency=USD","Period=FQ","BEST_FPERIOD_OVERRIDE=FQ","FILING_STATUS=MR","SCALING_FORMAT=MLN","Sort=A","Dates=H","DateFormat=P","Fill=—","Direction=H","UseDPDF=Y")</f>
        <v>0.1714</v>
      </c>
      <c r="F29" s="13">
        <f>_xll.BDH("SRPT US Equity","IS_AMORT_OF_TOT_INTANG_AFT_TAX","FQ3 2019","FQ3 2019","Currency=USD","Period=FQ","BEST_FPERIOD_OVERRIDE=FQ","FILING_STATUS=MR","SCALING_FORMAT=MLN","Sort=A","Dates=H","DateFormat=P","Fill=—","Direction=H","UseDPDF=Y")</f>
        <v>0.1706</v>
      </c>
      <c r="G29" s="13">
        <f>_xll.BDH("SRPT US Equity","IS_AMORT_OF_TOT_INTANG_AFT_TAX","FQ4 2019","FQ4 2019","Currency=USD","Period=FQ","BEST_FPERIOD_OVERRIDE=FQ","FILING_STATUS=MR","SCALING_FORMAT=MLN","Sort=A","Dates=H","DateFormat=P","Fill=—","Direction=H","UseDPDF=Y")</f>
        <v>0.158</v>
      </c>
      <c r="H29" s="13">
        <f>_xll.BDH("SRPT US Equity","IS_AMORT_OF_TOT_INTANG_AFT_TAX","FQ1 2020","FQ1 2020","Currency=USD","Period=FQ","BEST_FPERIOD_OVERRIDE=FQ","FILING_STATUS=MR","SCALING_FORMAT=MLN","Sort=A","Dates=H","DateFormat=P","Fill=—","Direction=H","UseDPDF=Y")</f>
        <v>0.154</v>
      </c>
      <c r="I29" s="13">
        <f>_xll.BDH("SRPT US Equity","IS_AMORT_OF_TOT_INTANG_AFT_TAX","FQ2 2020","FQ2 2020","Currency=USD","Period=FQ","BEST_FPERIOD_OVERRIDE=FQ","FILING_STATUS=MR","SCALING_FORMAT=MLN","Sort=A","Dates=H","DateFormat=P","Fill=—","Direction=H","UseDPDF=Y")</f>
        <v>0.13039999999999999</v>
      </c>
      <c r="J29" s="13">
        <f>_xll.BDH("SRPT US Equity","IS_AMORT_OF_TOT_INTANG_AFT_TAX","FQ3 2020","FQ3 2020","Currency=USD","Period=FQ","BEST_FPERIOD_OVERRIDE=FQ","FILING_STATUS=MR","SCALING_FORMAT=MLN","Sort=A","Dates=H","DateFormat=P","Fill=—","Direction=H","UseDPDF=Y")</f>
        <v>0.13109999999999999</v>
      </c>
      <c r="K29" s="13">
        <f>_xll.BDH("SRPT US Equity","IS_AMORT_OF_TOT_INTANG_AFT_TAX","FQ4 2020","FQ4 2020","Currency=USD","Period=FQ","BEST_FPERIOD_OVERRIDE=FQ","FILING_STATUS=MR","SCALING_FORMAT=MLN","Sort=A","Dates=H","DateFormat=P","Fill=—","Direction=H","UseDPDF=Y")</f>
        <v>0.13039999999999999</v>
      </c>
      <c r="L29" s="13">
        <f>_xll.BDH("SRPT US Equity","IS_AMORT_OF_TOT_INTANG_AFT_TAX","FQ1 2021","FQ1 2021","Currency=USD","Period=FQ","BEST_FPERIOD_OVERRIDE=FQ","FILING_STATUS=MR","SCALING_FORMAT=MLN","Sort=A","Dates=H","DateFormat=P","Fill=—","Direction=H","UseDPDF=Y")</f>
        <v>0.1343</v>
      </c>
      <c r="M29" s="13">
        <f>_xll.BDH("SRPT US Equity","IS_AMORT_OF_TOT_INTANG_AFT_TAX","FQ2 2021","FQ2 2021","Currency=USD","Period=FQ","BEST_FPERIOD_OVERRIDE=FQ","FILING_STATUS=MR","SCALING_FORMAT=MLN","Sort=A","Dates=H","DateFormat=P","Fill=—","Direction=H","UseDPDF=Y")</f>
        <v>0.1414</v>
      </c>
      <c r="N29" s="13">
        <f>_xll.BDH("SRPT US Equity","IS_AMORT_OF_TOT_INTANG_AFT_TAX","FQ3 2021","FQ3 2021","Currency=USD","Period=FQ","BEST_FPERIOD_OVERRIDE=FQ","FILING_STATUS=MR","SCALING_FORMAT=MLN","Sort=A","Dates=H","DateFormat=P","Fill=—","Direction=H","UseDPDF=Y")</f>
        <v>0.1406</v>
      </c>
      <c r="O29" s="13">
        <f>_xll.BDH("SRPT US Equity","IS_AMORT_OF_TOT_INTANG_AFT_TAX","FQ4 2021","FQ4 2021","Currency=USD","Period=FQ","BEST_FPERIOD_OVERRIDE=FQ","FILING_STATUS=MR","SCALING_FORMAT=MLN","Sort=A","Dates=H","DateFormat=P","Fill=—","Direction=H","UseDPDF=Y")</f>
        <v>0.1414</v>
      </c>
      <c r="P29" s="13">
        <f>_xll.BDH("SRPT US Equity","IS_AMORT_OF_TOT_INTANG_AFT_TAX","FQ1 2022","FQ1 2022","Currency=USD","Period=FQ","BEST_FPERIOD_OVERRIDE=FQ","FILING_STATUS=MR","SCALING_FORMAT=MLN","Sort=A","Dates=H","DateFormat=P","Fill=—","Direction=H","UseDPDF=Y")</f>
        <v>0.1406</v>
      </c>
      <c r="Q29" s="13">
        <f>_xll.BDH("SRPT US Equity","IS_AMORT_OF_TOT_INTANG_AFT_TAX","FQ2 2022","FQ2 2022","Currency=USD","Period=FQ","BEST_FPERIOD_OVERRIDE=FQ","FILING_STATUS=MR","SCALING_FORMAT=MLN","Sort=A","Dates=H","DateFormat=P","Fill=—","Direction=H","UseDPDF=Y")</f>
        <v>0.1414</v>
      </c>
      <c r="R29" s="13">
        <f>_xll.BDH("SRPT US Equity","IS_AMORT_OF_TOT_INTANG_AFT_TAX","FQ3 2022","FQ3 2022","Currency=USD","Period=FQ","BEST_FPERIOD_OVERRIDE=FQ","FILING_STATUS=MR","SCALING_FORMAT=MLN","Sort=A","Dates=H","DateFormat=P","Fill=—","Direction=H","UseDPDF=Y")</f>
        <v>0.1406</v>
      </c>
      <c r="S29" s="13">
        <f>_xll.BDH("SRPT US Equity","IS_AMORT_OF_TOT_INTANG_AFT_TAX","FQ4 2022","FQ4 2022","Currency=USD","Period=FQ","BEST_FPERIOD_OVERRIDE=FQ","FILING_STATUS=MR","SCALING_FORMAT=MLN","Sort=A","Dates=H","DateFormat=P","Fill=—","Direction=H","UseDPDF=Y")</f>
        <v>0.1414</v>
      </c>
      <c r="T29" s="13">
        <f>_xll.BDH("SRPT US Equity","IS_AMORT_OF_TOT_INTANG_AFT_TAX","FQ1 2023","FQ1 2023","Currency=USD","Period=FQ","BEST_FPERIOD_OVERRIDE=FQ","FILING_STATUS=MR","SCALING_FORMAT=MLN","Sort=A","Dates=H","DateFormat=P","Fill=—","Direction=H","UseDPDF=Y")</f>
        <v>0.1406</v>
      </c>
      <c r="U29" s="13">
        <f>_xll.BDH("SRPT US Equity","IS_AMORT_OF_TOT_INTANG_AFT_TAX","FQ2 2023","FQ2 2023","Currency=USD","Period=FQ","BEST_FPERIOD_OVERRIDE=FQ","FILING_STATUS=MR","SCALING_FORMAT=MLN","Sort=A","Dates=H","DateFormat=P","Fill=—","Direction=H","UseDPDF=Y")</f>
        <v>0.1414</v>
      </c>
      <c r="V29" s="13">
        <f>_xll.BDH("SRPT US Equity","IS_AMORT_OF_TOT_INTANG_AFT_TAX","FQ3 2023","FQ3 2023","Currency=USD","Period=FQ","BEST_FPERIOD_OVERRIDE=FQ","FILING_STATUS=MR","SCALING_FORMAT=MLN","Sort=A","Dates=H","DateFormat=P","Fill=—","Direction=H","UseDPDF=Y")</f>
        <v>0.3468</v>
      </c>
      <c r="W29" s="13">
        <f>_xll.BDH("SRPT US Equity","IS_AMORT_OF_TOT_INTANG_AFT_TAX","FQ4 2023","FQ4 2023","Currency=USD","Period=FQ","BEST_FPERIOD_OVERRIDE=FQ","FILING_STATUS=MR","SCALING_FORMAT=MLN","Sort=A","Dates=H","DateFormat=P","Fill=—","Direction=H","UseDPDF=Y")</f>
        <v>0.6028</v>
      </c>
      <c r="X29" s="13">
        <f>_xll.BDH("SRPT US Equity","IS_AMORT_OF_TOT_INTANG_AFT_TAX","FQ1 2024","FQ1 2024","Currency=USD","Period=FQ","BEST_FPERIOD_OVERRIDE=FQ","FILING_STATUS=MR","SCALING_FORMAT=MLN","Sort=A","Dates=H","DateFormat=P","Fill=—","Direction=H","UseDPDF=Y")</f>
        <v>0.4748</v>
      </c>
      <c r="Y29" s="13">
        <f>_xll.BDH("SRPT US Equity","IS_AMORT_OF_TOT_INTANG_AFT_TAX","FQ2 2024","FQ2 2024","Currency=USD","Period=FQ","BEST_FPERIOD_OVERRIDE=FQ","FILING_STATUS=MR","SCALING_FORMAT=MLN","Sort=A","Dates=H","DateFormat=P","Fill=—","Direction=H","UseDPDF=Y")</f>
        <v>0.4748</v>
      </c>
      <c r="Z29" s="13">
        <f>_xll.BDH("SRPT US Equity","IS_AMORT_OF_TOT_INTANG_AFT_TAX","FQ3 2024","FQ3 2024","Currency=USD","Period=FQ","BEST_FPERIOD_OVERRIDE=FQ","FILING_STATUS=MR","SCALING_FORMAT=MLN","Sort=A","Dates=H","DateFormat=P","Fill=—","Direction=H","UseDPDF=Y")</f>
        <v>0.47560000000000002</v>
      </c>
      <c r="AA29" s="13">
        <f>_xll.BDH("SRPT US Equity","IS_AMORT_OF_TOT_INTANG_AFT_TAX","FQ4 2024","FQ4 2024","Currency=USD","Period=FQ","BEST_FPERIOD_OVERRIDE=FQ","FILING_STATUS=MR","SCALING_FORMAT=MLN","Sort=A","Dates=H","DateFormat=P","Fill=—","Direction=H","UseDPDF=Y")</f>
        <v>0.4748</v>
      </c>
    </row>
    <row r="30" spans="1:27" x14ac:dyDescent="0.25">
      <c r="A30" s="10" t="s">
        <v>671</v>
      </c>
      <c r="B30" s="10" t="s">
        <v>685</v>
      </c>
      <c r="C30" s="14">
        <f>_xll.BDH("SRPT US Equity","IS_AMORT_OF_TOT_INTANG_P_BAS_SH","FQ4 2018","FQ4 2018","Currency=USD","Period=FQ","BEST_FPERIOD_OVERRIDE=FQ","FILING_STATUS=MR","Sort=A","Dates=H","DateFormat=P","Fill=—","Direction=H","UseDPDF=Y")</f>
        <v>2.7000000000000001E-3</v>
      </c>
      <c r="D30" s="14">
        <f>_xll.BDH("SRPT US Equity","IS_AMORT_OF_TOT_INTANG_P_BAS_SH","FQ1 2019","FQ1 2019","Currency=USD","Period=FQ","BEST_FPERIOD_OVERRIDE=FQ","FILING_STATUS=MR","Sort=A","Dates=H","DateFormat=P","Fill=—","Direction=H","UseDPDF=Y")</f>
        <v>2.3999999999999998E-3</v>
      </c>
      <c r="E30" s="14">
        <f>_xll.BDH("SRPT US Equity","IS_AMORT_OF_TOT_INTANG_P_BAS_SH","FQ2 2019","FQ2 2019","Currency=USD","Period=FQ","BEST_FPERIOD_OVERRIDE=FQ","FILING_STATUS=MR","Sort=A","Dates=H","DateFormat=P","Fill=—","Direction=H","UseDPDF=Y")</f>
        <v>2.3E-3</v>
      </c>
      <c r="F30" s="14">
        <f>_xll.BDH("SRPT US Equity","IS_AMORT_OF_TOT_INTANG_P_BAS_SH","FQ3 2019","FQ3 2019","Currency=USD","Period=FQ","BEST_FPERIOD_OVERRIDE=FQ","FILING_STATUS=MR","Sort=A","Dates=H","DateFormat=P","Fill=—","Direction=H","UseDPDF=Y")</f>
        <v>2.3E-3</v>
      </c>
      <c r="G30" s="14">
        <f>_xll.BDH("SRPT US Equity","IS_AMORT_OF_TOT_INTANG_P_BAS_SH","FQ4 2019","FQ4 2019","Currency=USD","Period=FQ","BEST_FPERIOD_OVERRIDE=FQ","FILING_STATUS=MR","Sort=A","Dates=H","DateFormat=P","Fill=—","Direction=H","UseDPDF=Y")</f>
        <v>2.0999999999999999E-3</v>
      </c>
      <c r="H30" s="14">
        <f>_xll.BDH("SRPT US Equity","IS_AMORT_OF_TOT_INTANG_P_BAS_SH","FQ1 2020","FQ1 2020","Currency=USD","Period=FQ","BEST_FPERIOD_OVERRIDE=FQ","FILING_STATUS=MR","Sort=A","Dates=H","DateFormat=P","Fill=—","Direction=H","UseDPDF=Y")</f>
        <v>2E-3</v>
      </c>
      <c r="I30" s="14">
        <f>_xll.BDH("SRPT US Equity","IS_AMORT_OF_TOT_INTANG_P_BAS_SH","FQ2 2020","FQ2 2020","Currency=USD","Period=FQ","BEST_FPERIOD_OVERRIDE=FQ","FILING_STATUS=MR","Sort=A","Dates=H","DateFormat=P","Fill=—","Direction=H","UseDPDF=Y")</f>
        <v>1.6999999999999999E-3</v>
      </c>
      <c r="J30" s="14">
        <f>_xll.BDH("SRPT US Equity","IS_AMORT_OF_TOT_INTANG_P_BAS_SH","FQ3 2020","FQ3 2020","Currency=USD","Period=FQ","BEST_FPERIOD_OVERRIDE=FQ","FILING_STATUS=MR","Sort=A","Dates=H","DateFormat=P","Fill=—","Direction=H","UseDPDF=Y")</f>
        <v>1.6999999999999999E-3</v>
      </c>
      <c r="K30" s="14">
        <f>_xll.BDH("SRPT US Equity","IS_AMORT_OF_TOT_INTANG_P_BAS_SH","FQ4 2020","FQ4 2020","Currency=USD","Period=FQ","BEST_FPERIOD_OVERRIDE=FQ","FILING_STATUS=MR","Sort=A","Dates=H","DateFormat=P","Fill=—","Direction=H","UseDPDF=Y")</f>
        <v>1.6999999999999999E-3</v>
      </c>
      <c r="L30" s="14">
        <f>_xll.BDH("SRPT US Equity","IS_AMORT_OF_TOT_INTANG_P_BAS_SH","FQ1 2021","FQ1 2021","Currency=USD","Period=FQ","BEST_FPERIOD_OVERRIDE=FQ","FILING_STATUS=MR","Sort=A","Dates=H","DateFormat=P","Fill=—","Direction=H","UseDPDF=Y")</f>
        <v>1.6999999999999999E-3</v>
      </c>
      <c r="M30" s="14">
        <f>_xll.BDH("SRPT US Equity","IS_AMORT_OF_TOT_INTANG_P_BAS_SH","FQ2 2021","FQ2 2021","Currency=USD","Period=FQ","BEST_FPERIOD_OVERRIDE=FQ","FILING_STATUS=MR","Sort=A","Dates=H","DateFormat=P","Fill=—","Direction=H","UseDPDF=Y")</f>
        <v>1.8E-3</v>
      </c>
      <c r="N30" s="14">
        <f>_xll.BDH("SRPT US Equity","IS_AMORT_OF_TOT_INTANG_P_BAS_SH","FQ3 2021","FQ3 2021","Currency=USD","Period=FQ","BEST_FPERIOD_OVERRIDE=FQ","FILING_STATUS=MR","Sort=A","Dates=H","DateFormat=P","Fill=—","Direction=H","UseDPDF=Y")</f>
        <v>1.8E-3</v>
      </c>
      <c r="O30" s="14">
        <f>_xll.BDH("SRPT US Equity","IS_AMORT_OF_TOT_INTANG_P_BAS_SH","FQ4 2021","FQ4 2021","Currency=USD","Period=FQ","BEST_FPERIOD_OVERRIDE=FQ","FILING_STATUS=MR","Sort=A","Dates=H","DateFormat=P","Fill=—","Direction=H","UseDPDF=Y")</f>
        <v>1.6000000000000001E-3</v>
      </c>
      <c r="P30" s="14">
        <f>_xll.BDH("SRPT US Equity","IS_AMORT_OF_TOT_INTANG_P_BAS_SH","FQ1 2022","FQ1 2022","Currency=USD","Period=FQ","BEST_FPERIOD_OVERRIDE=FQ","FILING_STATUS=MR","Sort=A","Dates=H","DateFormat=P","Fill=—","Direction=H","UseDPDF=Y")</f>
        <v>1.6000000000000001E-3</v>
      </c>
      <c r="Q30" s="14">
        <f>_xll.BDH("SRPT US Equity","IS_AMORT_OF_TOT_INTANG_P_BAS_SH","FQ2 2022","FQ2 2022","Currency=USD","Period=FQ","BEST_FPERIOD_OVERRIDE=FQ","FILING_STATUS=MR","Sort=A","Dates=H","DateFormat=P","Fill=—","Direction=H","UseDPDF=Y")</f>
        <v>1.6000000000000001E-3</v>
      </c>
      <c r="R30" s="14">
        <f>_xll.BDH("SRPT US Equity","IS_AMORT_OF_TOT_INTANG_P_BAS_SH","FQ3 2022","FQ3 2022","Currency=USD","Period=FQ","BEST_FPERIOD_OVERRIDE=FQ","FILING_STATUS=MR","Sort=A","Dates=H","DateFormat=P","Fill=—","Direction=H","UseDPDF=Y")</f>
        <v>1.6000000000000001E-3</v>
      </c>
      <c r="S30" s="14">
        <f>_xll.BDH("SRPT US Equity","IS_AMORT_OF_TOT_INTANG_P_BAS_SH","FQ4 2022","FQ4 2022","Currency=USD","Period=FQ","BEST_FPERIOD_OVERRIDE=FQ","FILING_STATUS=MR","Sort=A","Dates=H","DateFormat=P","Fill=—","Direction=H","UseDPDF=Y")</f>
        <v>1.6000000000000001E-3</v>
      </c>
      <c r="T30" s="14">
        <f>_xll.BDH("SRPT US Equity","IS_AMORT_OF_TOT_INTANG_P_BAS_SH","FQ1 2023","FQ1 2023","Currency=USD","Period=FQ","BEST_FPERIOD_OVERRIDE=FQ","FILING_STATUS=MR","Sort=A","Dates=H","DateFormat=P","Fill=—","Direction=H","UseDPDF=Y")</f>
        <v>1.6000000000000001E-3</v>
      </c>
      <c r="U30" s="14">
        <f>_xll.BDH("SRPT US Equity","IS_AMORT_OF_TOT_INTANG_P_BAS_SH","FQ2 2023","FQ2 2023","Currency=USD","Period=FQ","BEST_FPERIOD_OVERRIDE=FQ","FILING_STATUS=MR","Sort=A","Dates=H","DateFormat=P","Fill=—","Direction=H","UseDPDF=Y")</f>
        <v>1.6000000000000001E-3</v>
      </c>
      <c r="V30" s="14">
        <f>_xll.BDH("SRPT US Equity","IS_AMORT_OF_TOT_INTANG_P_BAS_SH","FQ3 2023","FQ3 2023","Currency=USD","Period=FQ","BEST_FPERIOD_OVERRIDE=FQ","FILING_STATUS=MR","Sort=A","Dates=H","DateFormat=P","Fill=—","Direction=H","UseDPDF=Y")</f>
        <v>3.8999999999999998E-3</v>
      </c>
      <c r="W30" s="14">
        <f>_xll.BDH("SRPT US Equity","IS_AMORT_OF_TOT_INTANG_P_BAS_SH","FQ4 2023","FQ4 2023","Currency=USD","Period=FQ","BEST_FPERIOD_OVERRIDE=FQ","FILING_STATUS=MR","Sort=A","Dates=H","DateFormat=P","Fill=—","Direction=H","UseDPDF=Y")</f>
        <v>6.4000000000000003E-3</v>
      </c>
      <c r="X30" s="14">
        <f>_xll.BDH("SRPT US Equity","IS_AMORT_OF_TOT_INTANG_P_BAS_SH","FQ1 2024","FQ1 2024","Currency=USD","Period=FQ","BEST_FPERIOD_OVERRIDE=FQ","FILING_STATUS=MR","Sort=A","Dates=H","DateFormat=P","Fill=—","Direction=H","UseDPDF=Y")</f>
        <v>5.1000000000000004E-3</v>
      </c>
      <c r="Y30" s="14">
        <f>_xll.BDH("SRPT US Equity","IS_AMORT_OF_TOT_INTANG_P_BAS_SH","FQ2 2024","FQ2 2024","Currency=USD","Period=FQ","BEST_FPERIOD_OVERRIDE=FQ","FILING_STATUS=MR","Sort=A","Dates=H","DateFormat=P","Fill=—","Direction=H","UseDPDF=Y")</f>
        <v>5.0000000000000001E-3</v>
      </c>
      <c r="Z30" s="14">
        <f>_xll.BDH("SRPT US Equity","IS_AMORT_OF_TOT_INTANG_P_BAS_SH","FQ3 2024","FQ3 2024","Currency=USD","Period=FQ","BEST_FPERIOD_OVERRIDE=FQ","FILING_STATUS=MR","Sort=A","Dates=H","DateFormat=P","Fill=—","Direction=H","UseDPDF=Y")</f>
        <v>5.0000000000000001E-3</v>
      </c>
      <c r="AA30" s="14">
        <f>_xll.BDH("SRPT US Equity","IS_AMORT_OF_TOT_INTANG_P_BAS_SH","FQ4 2024","FQ4 2024","Currency=USD","Period=FQ","BEST_FPERIOD_OVERRIDE=FQ","FILING_STATUS=MR","Sort=A","Dates=H","DateFormat=P","Fill=—","Direction=H","UseDPDF=Y")</f>
        <v>4.8999999999999998E-3</v>
      </c>
    </row>
    <row r="31" spans="1:27" x14ac:dyDescent="0.25">
      <c r="A31" s="10" t="s">
        <v>673</v>
      </c>
      <c r="B31" s="10" t="s">
        <v>686</v>
      </c>
      <c r="C31" s="14">
        <f>_xll.BDH("SRPT US Equity","IS_AMORT_OF_TOT_INTANG_P_DIL_SH","FQ4 2018","FQ4 2018","Currency=USD","Period=FQ","BEST_FPERIOD_OVERRIDE=FQ","FILING_STATUS=MR","Sort=A","Dates=H","DateFormat=P","Fill=—","Direction=H","UseDPDF=Y")</f>
        <v>2.7000000000000001E-3</v>
      </c>
      <c r="D31" s="14">
        <f>_xll.BDH("SRPT US Equity","IS_AMORT_OF_TOT_INTANG_P_DIL_SH","FQ1 2019","FQ1 2019","Currency=USD","Period=FQ","BEST_FPERIOD_OVERRIDE=FQ","FILING_STATUS=MR","Sort=A","Dates=H","DateFormat=P","Fill=—","Direction=H","UseDPDF=Y")</f>
        <v>2.3999999999999998E-3</v>
      </c>
      <c r="E31" s="14">
        <f>_xll.BDH("SRPT US Equity","IS_AMORT_OF_TOT_INTANG_P_DIL_SH","FQ2 2019","FQ2 2019","Currency=USD","Period=FQ","BEST_FPERIOD_OVERRIDE=FQ","FILING_STATUS=MR","Sort=A","Dates=H","DateFormat=P","Fill=—","Direction=H","UseDPDF=Y")</f>
        <v>2.3E-3</v>
      </c>
      <c r="F31" s="14">
        <f>_xll.BDH("SRPT US Equity","IS_AMORT_OF_TOT_INTANG_P_DIL_SH","FQ3 2019","FQ3 2019","Currency=USD","Period=FQ","BEST_FPERIOD_OVERRIDE=FQ","FILING_STATUS=MR","Sort=A","Dates=H","DateFormat=P","Fill=—","Direction=H","UseDPDF=Y")</f>
        <v>2.3E-3</v>
      </c>
      <c r="G31" s="14">
        <f>_xll.BDH("SRPT US Equity","IS_AMORT_OF_TOT_INTANG_P_DIL_SH","FQ4 2019","FQ4 2019","Currency=USD","Period=FQ","BEST_FPERIOD_OVERRIDE=FQ","FILING_STATUS=MR","Sort=A","Dates=H","DateFormat=P","Fill=—","Direction=H","UseDPDF=Y")</f>
        <v>2.0999999999999999E-3</v>
      </c>
      <c r="H31" s="14">
        <f>_xll.BDH("SRPT US Equity","IS_AMORT_OF_TOT_INTANG_P_DIL_SH","FQ1 2020","FQ1 2020","Currency=USD","Period=FQ","BEST_FPERIOD_OVERRIDE=FQ","FILING_STATUS=MR","Sort=A","Dates=H","DateFormat=P","Fill=—","Direction=H","UseDPDF=Y")</f>
        <v>2E-3</v>
      </c>
      <c r="I31" s="14">
        <f>_xll.BDH("SRPT US Equity","IS_AMORT_OF_TOT_INTANG_P_DIL_SH","FQ2 2020","FQ2 2020","Currency=USD","Period=FQ","BEST_FPERIOD_OVERRIDE=FQ","FILING_STATUS=MR","Sort=A","Dates=H","DateFormat=P","Fill=—","Direction=H","UseDPDF=Y")</f>
        <v>1.6999999999999999E-3</v>
      </c>
      <c r="J31" s="14">
        <f>_xll.BDH("SRPT US Equity","IS_AMORT_OF_TOT_INTANG_P_DIL_SH","FQ3 2020","FQ3 2020","Currency=USD","Period=FQ","BEST_FPERIOD_OVERRIDE=FQ","FILING_STATUS=MR","Sort=A","Dates=H","DateFormat=P","Fill=—","Direction=H","UseDPDF=Y")</f>
        <v>1.6999999999999999E-3</v>
      </c>
      <c r="K31" s="14">
        <f>_xll.BDH("SRPT US Equity","IS_AMORT_OF_TOT_INTANG_P_DIL_SH","FQ4 2020","FQ4 2020","Currency=USD","Period=FQ","BEST_FPERIOD_OVERRIDE=FQ","FILING_STATUS=MR","Sort=A","Dates=H","DateFormat=P","Fill=—","Direction=H","UseDPDF=Y")</f>
        <v>1.6999999999999999E-3</v>
      </c>
      <c r="L31" s="14">
        <f>_xll.BDH("SRPT US Equity","IS_AMORT_OF_TOT_INTANG_P_DIL_SH","FQ1 2021","FQ1 2021","Currency=USD","Period=FQ","BEST_FPERIOD_OVERRIDE=FQ","FILING_STATUS=MR","Sort=A","Dates=H","DateFormat=P","Fill=—","Direction=H","UseDPDF=Y")</f>
        <v>1.6999999999999999E-3</v>
      </c>
      <c r="M31" s="14">
        <f>_xll.BDH("SRPT US Equity","IS_AMORT_OF_TOT_INTANG_P_DIL_SH","FQ2 2021","FQ2 2021","Currency=USD","Period=FQ","BEST_FPERIOD_OVERRIDE=FQ","FILING_STATUS=MR","Sort=A","Dates=H","DateFormat=P","Fill=—","Direction=H","UseDPDF=Y")</f>
        <v>1.8E-3</v>
      </c>
      <c r="N31" s="14">
        <f>_xll.BDH("SRPT US Equity","IS_AMORT_OF_TOT_INTANG_P_DIL_SH","FQ3 2021","FQ3 2021","Currency=USD","Period=FQ","BEST_FPERIOD_OVERRIDE=FQ","FILING_STATUS=MR","Sort=A","Dates=H","DateFormat=P","Fill=—","Direction=H","UseDPDF=Y")</f>
        <v>1.8E-3</v>
      </c>
      <c r="O31" s="14">
        <f>_xll.BDH("SRPT US Equity","IS_AMORT_OF_TOT_INTANG_P_DIL_SH","FQ4 2021","FQ4 2021","Currency=USD","Period=FQ","BEST_FPERIOD_OVERRIDE=FQ","FILING_STATUS=MR","Sort=A","Dates=H","DateFormat=P","Fill=—","Direction=H","UseDPDF=Y")</f>
        <v>1.6000000000000001E-3</v>
      </c>
      <c r="P31" s="14">
        <f>_xll.BDH("SRPT US Equity","IS_AMORT_OF_TOT_INTANG_P_DIL_SH","FQ1 2022","FQ1 2022","Currency=USD","Period=FQ","BEST_FPERIOD_OVERRIDE=FQ","FILING_STATUS=MR","Sort=A","Dates=H","DateFormat=P","Fill=—","Direction=H","UseDPDF=Y")</f>
        <v>1.6000000000000001E-3</v>
      </c>
      <c r="Q31" s="14">
        <f>_xll.BDH("SRPT US Equity","IS_AMORT_OF_TOT_INTANG_P_DIL_SH","FQ2 2022","FQ2 2022","Currency=USD","Period=FQ","BEST_FPERIOD_OVERRIDE=FQ","FILING_STATUS=MR","Sort=A","Dates=H","DateFormat=P","Fill=—","Direction=H","UseDPDF=Y")</f>
        <v>1.6000000000000001E-3</v>
      </c>
      <c r="R31" s="14">
        <f>_xll.BDH("SRPT US Equity","IS_AMORT_OF_TOT_INTANG_P_DIL_SH","FQ3 2022","FQ3 2022","Currency=USD","Period=FQ","BEST_FPERIOD_OVERRIDE=FQ","FILING_STATUS=MR","Sort=A","Dates=H","DateFormat=P","Fill=—","Direction=H","UseDPDF=Y")</f>
        <v>1.6000000000000001E-3</v>
      </c>
      <c r="S31" s="14">
        <f>_xll.BDH("SRPT US Equity","IS_AMORT_OF_TOT_INTANG_P_DIL_SH","FQ4 2022","FQ4 2022","Currency=USD","Period=FQ","BEST_FPERIOD_OVERRIDE=FQ","FILING_STATUS=MR","Sort=A","Dates=H","DateFormat=P","Fill=—","Direction=H","UseDPDF=Y")</f>
        <v>1.6000000000000001E-3</v>
      </c>
      <c r="T31" s="14">
        <f>_xll.BDH("SRPT US Equity","IS_AMORT_OF_TOT_INTANG_P_DIL_SH","FQ1 2023","FQ1 2023","Currency=USD","Period=FQ","BEST_FPERIOD_OVERRIDE=FQ","FILING_STATUS=MR","Sort=A","Dates=H","DateFormat=P","Fill=—","Direction=H","UseDPDF=Y")</f>
        <v>1.6000000000000001E-3</v>
      </c>
      <c r="U31" s="14">
        <f>_xll.BDH("SRPT US Equity","IS_AMORT_OF_TOT_INTANG_P_DIL_SH","FQ2 2023","FQ2 2023","Currency=USD","Period=FQ","BEST_FPERIOD_OVERRIDE=FQ","FILING_STATUS=MR","Sort=A","Dates=H","DateFormat=P","Fill=—","Direction=H","UseDPDF=Y")</f>
        <v>1.6000000000000001E-3</v>
      </c>
      <c r="V31" s="14">
        <f>_xll.BDH("SRPT US Equity","IS_AMORT_OF_TOT_INTANG_P_DIL_SH","FQ3 2023","FQ3 2023","Currency=USD","Period=FQ","BEST_FPERIOD_OVERRIDE=FQ","FILING_STATUS=MR","Sort=A","Dates=H","DateFormat=P","Fill=—","Direction=H","UseDPDF=Y")</f>
        <v>3.8999999999999998E-3</v>
      </c>
      <c r="W31" s="14">
        <f>_xll.BDH("SRPT US Equity","IS_AMORT_OF_TOT_INTANG_P_DIL_SH","FQ4 2023","FQ4 2023","Currency=USD","Period=FQ","BEST_FPERIOD_OVERRIDE=FQ","FILING_STATUS=MR","Sort=A","Dates=H","DateFormat=P","Fill=—","Direction=H","UseDPDF=Y")</f>
        <v>5.7000000000000002E-3</v>
      </c>
      <c r="X31" s="14">
        <f>_xll.BDH("SRPT US Equity","IS_AMORT_OF_TOT_INTANG_P_DIL_SH","FQ1 2024","FQ1 2024","Currency=USD","Period=FQ","BEST_FPERIOD_OVERRIDE=FQ","FILING_STATUS=MR","Sort=A","Dates=H","DateFormat=P","Fill=—","Direction=H","UseDPDF=Y")</f>
        <v>4.7999999999999996E-3</v>
      </c>
      <c r="Y31" s="14">
        <f>_xll.BDH("SRPT US Equity","IS_AMORT_OF_TOT_INTANG_P_DIL_SH","FQ2 2024","FQ2 2024","Currency=USD","Period=FQ","BEST_FPERIOD_OVERRIDE=FQ","FILING_STATUS=MR","Sort=A","Dates=H","DateFormat=P","Fill=—","Direction=H","UseDPDF=Y")</f>
        <v>4.7999999999999996E-3</v>
      </c>
      <c r="Z31" s="14">
        <f>_xll.BDH("SRPT US Equity","IS_AMORT_OF_TOT_INTANG_P_DIL_SH","FQ3 2024","FQ3 2024","Currency=USD","Period=FQ","BEST_FPERIOD_OVERRIDE=FQ","FILING_STATUS=MR","Sort=A","Dates=H","DateFormat=P","Fill=—","Direction=H","UseDPDF=Y")</f>
        <v>4.7000000000000002E-3</v>
      </c>
      <c r="AA31" s="14">
        <f>_xll.BDH("SRPT US Equity","IS_AMORT_OF_TOT_INTANG_P_DIL_SH","FQ4 2024","FQ4 2024","Currency=USD","Period=FQ","BEST_FPERIOD_OVERRIDE=FQ","FILING_STATUS=MR","Sort=A","Dates=H","DateFormat=P","Fill=—","Direction=H","UseDPDF=Y")</f>
        <v>4.4000000000000003E-3</v>
      </c>
    </row>
    <row r="32" spans="1:27" x14ac:dyDescent="0.25">
      <c r="A32" s="7" t="s">
        <v>90</v>
      </c>
      <c r="B32" s="7"/>
      <c r="C32" s="7" t="s">
        <v>5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6"/>
  <sheetViews>
    <sheetView topLeftCell="F1"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687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31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</row>
    <row r="6" spans="1:27" x14ac:dyDescent="0.25">
      <c r="A6" s="6" t="s">
        <v>0</v>
      </c>
      <c r="B6" s="6" t="s">
        <v>71</v>
      </c>
      <c r="C6" s="19">
        <f>_xll.BDH("SRPT US Equity","SALES_REV_TURN","FQ2 2019","FQ2 2019","Currency=USD","Period=FQ","BEST_FPERIOD_OVERRIDE=FQ","FILING_STATUS=MR","SCALING_FORMAT=MLN","FA_ADJUSTED=Adjusted","Sort=A","Dates=H","DateFormat=P","Fill=—","Direction=H","UseDPDF=Y")</f>
        <v>94.668000000000006</v>
      </c>
      <c r="D6" s="19">
        <f>_xll.BDH("SRPT US Equity","SALES_REV_TURN","FQ3 2019","FQ3 2019","Currency=USD","Period=FQ","BEST_FPERIOD_OVERRIDE=FQ","FILING_STATUS=MR","SCALING_FORMAT=MLN","FA_ADJUSTED=Adjusted","Sort=A","Dates=H","DateFormat=P","Fill=—","Direction=H","UseDPDF=Y")</f>
        <v>99.040999999999997</v>
      </c>
      <c r="E6" s="19">
        <f>_xll.BDH("SRPT US Equity","SALES_REV_TURN","FQ4 2019","FQ4 2019","Currency=USD","Period=FQ","BEST_FPERIOD_OVERRIDE=FQ","FILING_STATUS=MR","SCALING_FORMAT=MLN","FA_ADJUSTED=Adjusted","Sort=A","Dates=H","DateFormat=P","Fill=—","Direction=H","UseDPDF=Y")</f>
        <v>100.113</v>
      </c>
      <c r="F6" s="19">
        <f>_xll.BDH("SRPT US Equity","SALES_REV_TURN","FQ1 2020","FQ1 2020","Currency=USD","Period=FQ","BEST_FPERIOD_OVERRIDE=FQ","FILING_STATUS=MR","SCALING_FORMAT=MLN","FA_ADJUSTED=Adjusted","Sort=A","Dates=H","DateFormat=P","Fill=—","Direction=H","UseDPDF=Y")</f>
        <v>113.67400000000001</v>
      </c>
      <c r="G6" s="19">
        <f>_xll.BDH("SRPT US Equity","SALES_REV_TURN","FQ2 2020","FQ2 2020","Currency=USD","Period=FQ","BEST_FPERIOD_OVERRIDE=FQ","FILING_STATUS=MR","SCALING_FORMAT=MLN","FA_ADJUSTED=Adjusted","Sort=A","Dates=H","DateFormat=P","Fill=—","Direction=H","UseDPDF=Y")</f>
        <v>137.363</v>
      </c>
      <c r="H6" s="19">
        <f>_xll.BDH("SRPT US Equity","SALES_REV_TURN","FQ3 2020","FQ3 2020","Currency=USD","Period=FQ","BEST_FPERIOD_OVERRIDE=FQ","FILING_STATUS=MR","SCALING_FORMAT=MLN","FA_ADJUSTED=Adjusted","Sort=A","Dates=H","DateFormat=P","Fill=—","Direction=H","UseDPDF=Y")</f>
        <v>143.92400000000001</v>
      </c>
      <c r="I6" s="19">
        <f>_xll.BDH("SRPT US Equity","SALES_REV_TURN","FQ4 2020","FQ4 2020","Currency=USD","Period=FQ","BEST_FPERIOD_OVERRIDE=FQ","FILING_STATUS=MR","SCALING_FORMAT=MLN","FA_ADJUSTED=Adjusted","Sort=A","Dates=H","DateFormat=P","Fill=—","Direction=H","UseDPDF=Y")</f>
        <v>145.13800000000001</v>
      </c>
      <c r="J6" s="19">
        <f>_xll.BDH("SRPT US Equity","SALES_REV_TURN","FQ1 2021","FQ1 2021","Currency=USD","Period=FQ","BEST_FPERIOD_OVERRIDE=FQ","FILING_STATUS=MR","SCALING_FORMAT=MLN","FA_ADJUSTED=Adjusted","Sort=A","Dates=H","DateFormat=P","Fill=—","Direction=H","UseDPDF=Y")</f>
        <v>146.93100000000001</v>
      </c>
      <c r="K6" s="19">
        <f>_xll.BDH("SRPT US Equity","SALES_REV_TURN","FQ2 2021","FQ2 2021","Currency=USD","Period=FQ","BEST_FPERIOD_OVERRIDE=FQ","FILING_STATUS=MR","SCALING_FORMAT=MLN","FA_ADJUSTED=Adjusted","Sort=A","Dates=H","DateFormat=P","Fill=—","Direction=H","UseDPDF=Y")</f>
        <v>164.089</v>
      </c>
      <c r="L6" s="19">
        <f>_xll.BDH("SRPT US Equity","SALES_REV_TURN","FQ3 2021","FQ3 2021","Currency=USD","Period=FQ","BEST_FPERIOD_OVERRIDE=FQ","FILING_STATUS=MR","SCALING_FORMAT=MLN","FA_ADJUSTED=Adjusted","Sort=A","Dates=H","DateFormat=P","Fill=—","Direction=H","UseDPDF=Y")</f>
        <v>189.40600000000001</v>
      </c>
      <c r="M6" s="19">
        <f>_xll.BDH("SRPT US Equity","SALES_REV_TURN","FQ4 2021","FQ4 2021","Currency=USD","Period=FQ","BEST_FPERIOD_OVERRIDE=FQ","FILING_STATUS=MR","SCALING_FORMAT=MLN","FA_ADJUSTED=Adjusted","Sort=A","Dates=H","DateFormat=P","Fill=—","Direction=H","UseDPDF=Y")</f>
        <v>201.46100000000001</v>
      </c>
      <c r="N6" s="19">
        <f>_xll.BDH("SRPT US Equity","SALES_REV_TURN","FQ1 2022","FQ1 2022","Currency=USD","Period=FQ","BEST_FPERIOD_OVERRIDE=FQ","FILING_STATUS=MR","SCALING_FORMAT=MLN","FA_ADJUSTED=Adjusted","Sort=A","Dates=H","DateFormat=P","Fill=—","Direction=H","UseDPDF=Y")</f>
        <v>210.83</v>
      </c>
      <c r="O6" s="19">
        <f>_xll.BDH("SRPT US Equity","SALES_REV_TURN","FQ2 2022","FQ2 2022","Currency=USD","Period=FQ","BEST_FPERIOD_OVERRIDE=FQ","FILING_STATUS=MR","SCALING_FORMAT=MLN","FA_ADJUSTED=Adjusted","Sort=A","Dates=H","DateFormat=P","Fill=—","Direction=H","UseDPDF=Y")</f>
        <v>233.48699999999999</v>
      </c>
      <c r="P6" s="19">
        <f>_xll.BDH("SRPT US Equity","SALES_REV_TURN","FQ3 2022","FQ3 2022","Currency=USD","Period=FQ","BEST_FPERIOD_OVERRIDE=FQ","FILING_STATUS=MR","SCALING_FORMAT=MLN","FA_ADJUSTED=Adjusted","Sort=A","Dates=H","DateFormat=P","Fill=—","Direction=H","UseDPDF=Y")</f>
        <v>230.26900000000001</v>
      </c>
      <c r="Q6" s="19">
        <f>_xll.BDH("SRPT US Equity","SALES_REV_TURN","FQ4 2022","FQ4 2022","Currency=USD","Period=FQ","BEST_FPERIOD_OVERRIDE=FQ","FILING_STATUS=MR","SCALING_FORMAT=MLN","FA_ADJUSTED=Adjusted","Sort=A","Dates=H","DateFormat=P","Fill=—","Direction=H","UseDPDF=Y")</f>
        <v>258.42700000000002</v>
      </c>
      <c r="R6" s="19">
        <f>_xll.BDH("SRPT US Equity","SALES_REV_TURN","FQ1 2023","FQ1 2023","Currency=USD","Period=FQ","BEST_FPERIOD_OVERRIDE=FQ","FILING_STATUS=MR","SCALING_FORMAT=MLN","FA_ADJUSTED=Adjusted","Sort=A","Dates=H","DateFormat=P","Fill=—","Direction=H","UseDPDF=Y")</f>
        <v>253.5</v>
      </c>
      <c r="S6" s="19">
        <f>_xll.BDH("SRPT US Equity","SALES_REV_TURN","FQ2 2023","FQ2 2023","Currency=USD","Period=FQ","BEST_FPERIOD_OVERRIDE=FQ","FILING_STATUS=MR","SCALING_FORMAT=MLN","FA_ADJUSTED=Adjusted","Sort=A","Dates=H","DateFormat=P","Fill=—","Direction=H","UseDPDF=Y")</f>
        <v>261.238</v>
      </c>
      <c r="T6" s="19">
        <f>_xll.BDH("SRPT US Equity","SALES_REV_TURN","FQ3 2023","FQ3 2023","Currency=USD","Period=FQ","BEST_FPERIOD_OVERRIDE=FQ","FILING_STATUS=MR","SCALING_FORMAT=MLN","FA_ADJUSTED=Adjusted","Sort=A","Dates=H","DateFormat=P","Fill=—","Direction=H","UseDPDF=Y")</f>
        <v>331.81700000000001</v>
      </c>
      <c r="U6" s="19">
        <f>_xll.BDH("SRPT US Equity","SALES_REV_TURN","FQ4 2023","FQ4 2023","Currency=USD","Period=FQ","BEST_FPERIOD_OVERRIDE=FQ","FILING_STATUS=MR","SCALING_FORMAT=MLN","FA_ADJUSTED=Adjusted","Sort=A","Dates=H","DateFormat=P","Fill=—","Direction=H","UseDPDF=Y")</f>
        <v>396.78100000000001</v>
      </c>
      <c r="V6" s="19">
        <f>_xll.BDH("SRPT US Equity","SALES_REV_TURN","FQ1 2024","FQ1 2024","Currency=USD","Period=FQ","BEST_FPERIOD_OVERRIDE=FQ","FILING_STATUS=MR","SCALING_FORMAT=MLN","FA_ADJUSTED=Adjusted","Sort=A","Dates=H","DateFormat=P","Fill=—","Direction=H","UseDPDF=Y")</f>
        <v>413.464</v>
      </c>
      <c r="W6" s="19">
        <f>_xll.BDH("SRPT US Equity","SALES_REV_TURN","FQ2 2024","FQ2 2024","Currency=USD","Period=FQ","BEST_FPERIOD_OVERRIDE=FQ","FILING_STATUS=MR","SCALING_FORMAT=MLN","FA_ADJUSTED=Adjusted","Sort=A","Dates=H","DateFormat=P","Fill=—","Direction=H","UseDPDF=Y")</f>
        <v>362.93099999999998</v>
      </c>
      <c r="X6" s="19">
        <f>_xll.BDH("SRPT US Equity","SALES_REV_TURN","FQ3 2024","FQ3 2024","Currency=USD","Period=FQ","BEST_FPERIOD_OVERRIDE=FQ","FILING_STATUS=MR","SCALING_FORMAT=MLN","FA_ADJUSTED=Adjusted","Sort=A","Dates=H","DateFormat=P","Fill=—","Direction=H","UseDPDF=Y")</f>
        <v>467.17200000000003</v>
      </c>
      <c r="Y6" s="19">
        <f>_xll.BDH("SRPT US Equity","SALES_REV_TURN","FQ4 2024","FQ4 2024","Currency=USD","Period=FQ","BEST_FPERIOD_OVERRIDE=FQ","FILING_STATUS=MR","SCALING_FORMAT=MLN","FA_ADJUSTED=Adjusted","Sort=A","Dates=H","DateFormat=P","Fill=—","Direction=H","UseDPDF=Y")</f>
        <v>658.41200000000003</v>
      </c>
      <c r="Z6" s="19">
        <v>694.9</v>
      </c>
      <c r="AA6" s="19">
        <v>760.1</v>
      </c>
    </row>
    <row r="7" spans="1:27" x14ac:dyDescent="0.25">
      <c r="A7" s="10" t="s">
        <v>311</v>
      </c>
      <c r="B7" s="10" t="s">
        <v>312</v>
      </c>
      <c r="C7" s="13">
        <v>100</v>
      </c>
      <c r="D7" s="13">
        <v>100</v>
      </c>
      <c r="E7" s="13">
        <v>100</v>
      </c>
      <c r="F7" s="13">
        <v>88.364973520769894</v>
      </c>
      <c r="G7" s="13">
        <v>81.0582180063045</v>
      </c>
      <c r="H7" s="13">
        <v>84.3702231733415</v>
      </c>
      <c r="I7" s="13">
        <v>84.501646708649702</v>
      </c>
      <c r="J7" s="13">
        <v>85.023582497907199</v>
      </c>
      <c r="K7" s="13">
        <v>86.440285454844599</v>
      </c>
      <c r="L7" s="13">
        <v>88.123396302123496</v>
      </c>
      <c r="M7" s="13">
        <v>88.714441008433397</v>
      </c>
      <c r="N7" s="13">
        <v>89.562680832898494</v>
      </c>
      <c r="O7" s="13">
        <v>90.470561530192299</v>
      </c>
      <c r="P7" s="13">
        <v>90.230990710864205</v>
      </c>
      <c r="Q7" s="13">
        <v>91.295801135330294</v>
      </c>
      <c r="R7" s="13">
        <v>91.319526627218906</v>
      </c>
      <c r="S7" s="13">
        <v>91.4828623707118</v>
      </c>
      <c r="T7" s="13">
        <v>93.220660785915101</v>
      </c>
      <c r="U7" s="13">
        <v>92.008185875835807</v>
      </c>
      <c r="V7" s="13">
        <v>86.9444498190894</v>
      </c>
      <c r="W7" s="13">
        <v>99.3434013627935</v>
      </c>
      <c r="X7" s="13">
        <v>91.994169171097596</v>
      </c>
      <c r="Y7" s="13">
        <v>96.923658742550302</v>
      </c>
      <c r="Z7" s="13"/>
      <c r="AA7" s="13"/>
    </row>
    <row r="8" spans="1:27" x14ac:dyDescent="0.25">
      <c r="A8" s="10" t="s">
        <v>313</v>
      </c>
      <c r="B8" s="10" t="s">
        <v>314</v>
      </c>
      <c r="C8" s="13" t="s">
        <v>141</v>
      </c>
      <c r="D8" s="13" t="s">
        <v>141</v>
      </c>
      <c r="E8" s="13" t="s">
        <v>141</v>
      </c>
      <c r="F8" s="13">
        <v>11.635026479230101</v>
      </c>
      <c r="G8" s="13">
        <v>18.9417819936955</v>
      </c>
      <c r="H8" s="13">
        <v>15.6297768266585</v>
      </c>
      <c r="I8" s="13">
        <v>15.4983532913503</v>
      </c>
      <c r="J8" s="13">
        <v>14.976417502092801</v>
      </c>
      <c r="K8" s="13">
        <v>13.5597145451554</v>
      </c>
      <c r="L8" s="13">
        <v>11.876603697876501</v>
      </c>
      <c r="M8" s="13">
        <v>11.285558991566599</v>
      </c>
      <c r="N8" s="13">
        <v>10.437319167101499</v>
      </c>
      <c r="O8" s="13">
        <v>9.5294384698077401</v>
      </c>
      <c r="P8" s="13">
        <v>9.7690092891357505</v>
      </c>
      <c r="Q8" s="13">
        <v>8.7041988646697099</v>
      </c>
      <c r="R8" s="13">
        <v>8.6804733727810603</v>
      </c>
      <c r="S8" s="13">
        <v>8.5171376292882393</v>
      </c>
      <c r="T8" s="13">
        <v>6.7793392140848701</v>
      </c>
      <c r="U8" s="13">
        <v>7.9918141241642102</v>
      </c>
      <c r="V8" s="13">
        <v>13.055550180910499</v>
      </c>
      <c r="W8" s="13">
        <v>0.65659863720652101</v>
      </c>
      <c r="X8" s="13">
        <v>8.00583082890242</v>
      </c>
      <c r="Y8" s="13">
        <v>3.07634125744974</v>
      </c>
      <c r="Z8" s="13"/>
      <c r="AA8" s="13"/>
    </row>
    <row r="9" spans="1:27" x14ac:dyDescent="0.25">
      <c r="A9" s="10" t="s">
        <v>315</v>
      </c>
      <c r="B9" s="10" t="s">
        <v>316</v>
      </c>
      <c r="C9" s="13">
        <v>16.815608230870001</v>
      </c>
      <c r="D9" s="13">
        <v>13.163235427752101</v>
      </c>
      <c r="E9" s="13">
        <v>15.5494291450661</v>
      </c>
      <c r="F9" s="13">
        <v>11.1036824603691</v>
      </c>
      <c r="G9" s="13">
        <v>9.7122223597329693</v>
      </c>
      <c r="H9" s="13">
        <v>10.432589422195001</v>
      </c>
      <c r="I9" s="13">
        <v>15.4363433421985</v>
      </c>
      <c r="J9" s="13">
        <v>15.2084992275286</v>
      </c>
      <c r="K9" s="13">
        <v>11.892936150503701</v>
      </c>
      <c r="L9" s="13">
        <v>12.377643791643299</v>
      </c>
      <c r="M9" s="13">
        <v>15.7568958756285</v>
      </c>
      <c r="N9" s="13">
        <v>14.9139116823981</v>
      </c>
      <c r="O9" s="13">
        <v>16.1871967175903</v>
      </c>
      <c r="P9" s="13">
        <v>17.350142659237701</v>
      </c>
      <c r="Q9" s="13">
        <v>11.9178723585384</v>
      </c>
      <c r="R9" s="13">
        <v>13.8134122287968</v>
      </c>
      <c r="S9" s="13">
        <v>13.0624181780599</v>
      </c>
      <c r="T9" s="13">
        <v>11.158560290762701</v>
      </c>
      <c r="U9" s="13">
        <v>11.1335976269025</v>
      </c>
      <c r="V9" s="13">
        <v>12.2281504556624</v>
      </c>
      <c r="W9" s="13">
        <v>12.2736828763594</v>
      </c>
      <c r="X9" s="13">
        <v>19.626818388088299</v>
      </c>
      <c r="Y9" s="13">
        <v>20.094408971889901</v>
      </c>
      <c r="Z9" s="13"/>
      <c r="AA9" s="13"/>
    </row>
    <row r="10" spans="1:27" x14ac:dyDescent="0.25">
      <c r="A10" s="10" t="s">
        <v>317</v>
      </c>
      <c r="B10" s="10" t="s">
        <v>318</v>
      </c>
      <c r="C10" s="13">
        <v>16.815608230870001</v>
      </c>
      <c r="D10" s="13">
        <v>13.163235427752101</v>
      </c>
      <c r="E10" s="13">
        <v>15.5494291450661</v>
      </c>
      <c r="F10" s="13">
        <v>11.1036824603691</v>
      </c>
      <c r="G10" s="13">
        <v>9.7122223597329693</v>
      </c>
      <c r="H10" s="13">
        <v>10.432589422195001</v>
      </c>
      <c r="I10" s="13">
        <v>15.4363433421985</v>
      </c>
      <c r="J10" s="13">
        <v>15.2084992275286</v>
      </c>
      <c r="K10" s="13">
        <v>11.892936150503701</v>
      </c>
      <c r="L10" s="13">
        <v>12.377643791643299</v>
      </c>
      <c r="M10" s="13">
        <v>15.7568958756285</v>
      </c>
      <c r="N10" s="13">
        <v>14.9139116823981</v>
      </c>
      <c r="O10" s="13">
        <v>16.1871967175903</v>
      </c>
      <c r="P10" s="13">
        <v>17.350142659237701</v>
      </c>
      <c r="Q10" s="13">
        <v>11.9178723585384</v>
      </c>
      <c r="R10" s="13">
        <v>13.8134122287968</v>
      </c>
      <c r="S10" s="13">
        <v>13.0624181780599</v>
      </c>
      <c r="T10" s="13">
        <v>11.158560290762701</v>
      </c>
      <c r="U10" s="13">
        <v>11.1335976269025</v>
      </c>
      <c r="V10" s="13">
        <v>12.2281504556624</v>
      </c>
      <c r="W10" s="13">
        <v>12.2736828763594</v>
      </c>
      <c r="X10" s="13">
        <v>19.626818388088299</v>
      </c>
      <c r="Y10" s="13">
        <v>20.094408971889901</v>
      </c>
      <c r="Z10" s="13"/>
      <c r="AA10" s="13"/>
    </row>
    <row r="11" spans="1:27" x14ac:dyDescent="0.25">
      <c r="A11" s="6" t="s">
        <v>2</v>
      </c>
      <c r="B11" s="6" t="s">
        <v>75</v>
      </c>
      <c r="C11" s="19">
        <v>83.184391769130002</v>
      </c>
      <c r="D11" s="19">
        <v>86.836764572247901</v>
      </c>
      <c r="E11" s="19">
        <v>84.4505708549339</v>
      </c>
      <c r="F11" s="19">
        <v>88.8963175396309</v>
      </c>
      <c r="G11" s="19">
        <v>90.287777640266995</v>
      </c>
      <c r="H11" s="19">
        <v>89.567410577804907</v>
      </c>
      <c r="I11" s="19">
        <v>84.563656657801502</v>
      </c>
      <c r="J11" s="19">
        <v>84.791500772471394</v>
      </c>
      <c r="K11" s="19">
        <v>88.107063849496299</v>
      </c>
      <c r="L11" s="19">
        <v>87.622356208356607</v>
      </c>
      <c r="M11" s="19">
        <v>84.243104124371499</v>
      </c>
      <c r="N11" s="19">
        <v>85.086088317601806</v>
      </c>
      <c r="O11" s="19">
        <v>83.812803282409703</v>
      </c>
      <c r="P11" s="19">
        <v>82.649857340762296</v>
      </c>
      <c r="Q11" s="19">
        <v>88.082127641461597</v>
      </c>
      <c r="R11" s="19">
        <v>86.186587771203193</v>
      </c>
      <c r="S11" s="19">
        <v>86.9375818219401</v>
      </c>
      <c r="T11" s="19">
        <v>88.841439709237306</v>
      </c>
      <c r="U11" s="19">
        <v>88.8664023730975</v>
      </c>
      <c r="V11" s="19">
        <v>87.771849544337599</v>
      </c>
      <c r="W11" s="19">
        <v>87.726317123640598</v>
      </c>
      <c r="X11" s="19">
        <v>80.373181611911704</v>
      </c>
      <c r="Y11" s="19">
        <v>79.905591028110095</v>
      </c>
      <c r="Z11" s="19">
        <v>83.033000000000001</v>
      </c>
      <c r="AA11" s="19">
        <v>83.352000000000004</v>
      </c>
    </row>
    <row r="12" spans="1:27" x14ac:dyDescent="0.25">
      <c r="A12" s="10" t="s">
        <v>319</v>
      </c>
      <c r="B12" s="10" t="s">
        <v>320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/>
      <c r="AA12" s="13"/>
    </row>
    <row r="13" spans="1:27" x14ac:dyDescent="0.25">
      <c r="A13" s="10" t="s">
        <v>321</v>
      </c>
      <c r="B13" s="10" t="s">
        <v>322</v>
      </c>
      <c r="C13" s="13">
        <v>175.13626568639901</v>
      </c>
      <c r="D13" s="13">
        <v>199.359861067639</v>
      </c>
      <c r="E13" s="13">
        <v>229.68945092045999</v>
      </c>
      <c r="F13" s="13">
        <v>182.79113957457301</v>
      </c>
      <c r="G13" s="13">
        <v>191.008495737571</v>
      </c>
      <c r="H13" s="13">
        <v>174.12106389483299</v>
      </c>
      <c r="I13" s="13">
        <v>194.868332207968</v>
      </c>
      <c r="J13" s="13">
        <v>178.62125759710301</v>
      </c>
      <c r="K13" s="13">
        <v>233.08753176629801</v>
      </c>
      <c r="L13" s="13">
        <v>105.815021699418</v>
      </c>
      <c r="M13" s="13">
        <v>136.765924918471</v>
      </c>
      <c r="N13" s="13">
        <v>126.295119290424</v>
      </c>
      <c r="O13" s="13">
        <v>174.238394428812</v>
      </c>
      <c r="P13" s="13">
        <v>139.694010049116</v>
      </c>
      <c r="Q13" s="13">
        <v>129.42184833628099</v>
      </c>
      <c r="R13" s="13">
        <v>140.65917159763299</v>
      </c>
      <c r="S13" s="13">
        <v>138.04768065901601</v>
      </c>
      <c r="T13" s="13">
        <v>95.122612765470095</v>
      </c>
      <c r="U13" s="13">
        <v>82.660208024073697</v>
      </c>
      <c r="V13" s="13">
        <v>79.329760269334201</v>
      </c>
      <c r="W13" s="13">
        <v>87.919466785697594</v>
      </c>
      <c r="X13" s="13">
        <v>75.622040704494296</v>
      </c>
      <c r="Y13" s="13">
        <v>55.349386098673797</v>
      </c>
      <c r="Z13" s="13"/>
      <c r="AA13" s="13"/>
    </row>
    <row r="14" spans="1:27" x14ac:dyDescent="0.25">
      <c r="A14" s="10" t="s">
        <v>323</v>
      </c>
      <c r="B14" s="10" t="s">
        <v>324</v>
      </c>
      <c r="C14" s="13">
        <v>71.188786073435594</v>
      </c>
      <c r="D14" s="13">
        <v>76.159368342403695</v>
      </c>
      <c r="E14" s="13">
        <v>81.332094732951802</v>
      </c>
      <c r="F14" s="13">
        <v>72.811724756760597</v>
      </c>
      <c r="G14" s="13">
        <v>53.644722377932901</v>
      </c>
      <c r="H14" s="13">
        <v>52.370000833773403</v>
      </c>
      <c r="I14" s="13">
        <v>59.285645385770799</v>
      </c>
      <c r="J14" s="13">
        <v>48.411158979384901</v>
      </c>
      <c r="K14" s="13">
        <v>44.090097447117103</v>
      </c>
      <c r="L14" s="13">
        <v>32.273000855305497</v>
      </c>
      <c r="M14" s="13">
        <v>38.744471634708503</v>
      </c>
      <c r="N14" s="13">
        <v>34.074847033154697</v>
      </c>
      <c r="O14" s="13">
        <v>66.091902332892204</v>
      </c>
      <c r="P14" s="13">
        <v>45.506342581936799</v>
      </c>
      <c r="Q14" s="13">
        <v>46.619741745251098</v>
      </c>
      <c r="R14" s="13">
        <v>43.674161735700203</v>
      </c>
      <c r="S14" s="13">
        <v>45.385433972086801</v>
      </c>
      <c r="T14" s="13">
        <v>36.433636612952299</v>
      </c>
      <c r="U14" s="13">
        <v>33.192113533662102</v>
      </c>
      <c r="V14" s="13">
        <v>30.716821778921499</v>
      </c>
      <c r="W14" s="13">
        <v>38.243082018345099</v>
      </c>
      <c r="X14" s="13">
        <v>27.441713116368302</v>
      </c>
      <c r="Y14" s="13">
        <v>24.889127172651801</v>
      </c>
      <c r="Z14" s="13"/>
      <c r="AA14" s="13"/>
    </row>
    <row r="15" spans="1:27" x14ac:dyDescent="0.25">
      <c r="A15" s="10" t="s">
        <v>325</v>
      </c>
      <c r="B15" s="10" t="s">
        <v>326</v>
      </c>
      <c r="C15" s="13">
        <v>119.645497950733</v>
      </c>
      <c r="D15" s="13">
        <v>122.98240122777401</v>
      </c>
      <c r="E15" s="13">
        <v>222.889135277137</v>
      </c>
      <c r="F15" s="13">
        <v>119.767053151996</v>
      </c>
      <c r="G15" s="13">
        <v>137.24365367675401</v>
      </c>
      <c r="H15" s="13">
        <v>132.318445846419</v>
      </c>
      <c r="I15" s="13">
        <v>142.787553914206</v>
      </c>
      <c r="J15" s="13">
        <v>132.81676433155701</v>
      </c>
      <c r="K15" s="13">
        <v>146.03172668490899</v>
      </c>
      <c r="L15" s="13">
        <v>73.448042828632694</v>
      </c>
      <c r="M15" s="13">
        <v>97.932602339907007</v>
      </c>
      <c r="N15" s="13">
        <v>92.135844044965097</v>
      </c>
      <c r="O15" s="13">
        <v>108.069828298792</v>
      </c>
      <c r="P15" s="13">
        <v>94.110366571271001</v>
      </c>
      <c r="Q15" s="13">
        <v>82.732841382672902</v>
      </c>
      <c r="R15" s="13">
        <v>96.914792899408297</v>
      </c>
      <c r="S15" s="13">
        <v>92.593726793192403</v>
      </c>
      <c r="T15" s="13">
        <v>58.556674311442698</v>
      </c>
      <c r="U15" s="13">
        <v>49.275796976165701</v>
      </c>
      <c r="V15" s="13">
        <v>48.467581216260697</v>
      </c>
      <c r="W15" s="13">
        <v>49.510788552093899</v>
      </c>
      <c r="X15" s="13">
        <v>48.0514671255983</v>
      </c>
      <c r="Y15" s="13">
        <v>30.368978694191501</v>
      </c>
      <c r="Z15" s="13"/>
      <c r="AA15" s="13"/>
    </row>
    <row r="16" spans="1:27" x14ac:dyDescent="0.25">
      <c r="A16" s="10" t="s">
        <v>327</v>
      </c>
      <c r="B16" s="10" t="s">
        <v>328</v>
      </c>
      <c r="C16" s="13">
        <v>-15.6980183377699</v>
      </c>
      <c r="D16" s="13">
        <v>0.21809149746064799</v>
      </c>
      <c r="E16" s="13">
        <v>-74.531779089628699</v>
      </c>
      <c r="F16" s="13">
        <v>-9.7876383341837201</v>
      </c>
      <c r="G16" s="13">
        <v>0.120119682884037</v>
      </c>
      <c r="H16" s="13">
        <v>-10.5673827853589</v>
      </c>
      <c r="I16" s="13">
        <v>-7.2048670920089801</v>
      </c>
      <c r="J16" s="13">
        <v>-2.6066657138384701</v>
      </c>
      <c r="K16" s="13">
        <v>42.965707634271602</v>
      </c>
      <c r="L16" s="13">
        <v>9.3978015479974197E-2</v>
      </c>
      <c r="M16" s="13">
        <v>8.8850943855138198E-2</v>
      </c>
      <c r="N16" s="13">
        <v>8.4428212303751804E-2</v>
      </c>
      <c r="O16" s="13">
        <v>7.6663797127891495E-2</v>
      </c>
      <c r="P16" s="13">
        <v>7.7300895908698097E-2</v>
      </c>
      <c r="Q16" s="13">
        <v>6.9265208356711905E-2</v>
      </c>
      <c r="R16" s="13">
        <v>7.02169625246548E-2</v>
      </c>
      <c r="S16" s="13">
        <v>6.8519893736745802E-2</v>
      </c>
      <c r="T16" s="13">
        <v>0.13230184107505</v>
      </c>
      <c r="U16" s="13">
        <v>0.192297514245894</v>
      </c>
      <c r="V16" s="13">
        <v>0.145357274152042</v>
      </c>
      <c r="W16" s="13">
        <v>0.16559621525854801</v>
      </c>
      <c r="X16" s="13">
        <v>0.12886046252771999</v>
      </c>
      <c r="Y16" s="13">
        <v>9.1280231830525596E-2</v>
      </c>
      <c r="Z16" s="13"/>
      <c r="AA16" s="13"/>
    </row>
    <row r="17" spans="1:27" x14ac:dyDescent="0.25">
      <c r="A17" s="6" t="s">
        <v>329</v>
      </c>
      <c r="B17" s="6" t="s">
        <v>99</v>
      </c>
      <c r="C17" s="19">
        <v>-91.951873917268799</v>
      </c>
      <c r="D17" s="19">
        <v>-112.523096495391</v>
      </c>
      <c r="E17" s="19">
        <v>-145.23888006552599</v>
      </c>
      <c r="F17" s="19">
        <v>-93.894822034941996</v>
      </c>
      <c r="G17" s="19">
        <v>-100.720718097304</v>
      </c>
      <c r="H17" s="19">
        <v>-84.553653317028406</v>
      </c>
      <c r="I17" s="19">
        <v>-110.304675550166</v>
      </c>
      <c r="J17" s="19">
        <v>-93.829756824632</v>
      </c>
      <c r="K17" s="19">
        <v>-144.98046791680099</v>
      </c>
      <c r="L17" s="19">
        <v>-18.192665491061501</v>
      </c>
      <c r="M17" s="19">
        <v>-52.522820794099097</v>
      </c>
      <c r="N17" s="19">
        <v>-41.209030972821701</v>
      </c>
      <c r="O17" s="19">
        <v>-90.425591146402198</v>
      </c>
      <c r="P17" s="19">
        <v>-57.044152708354098</v>
      </c>
      <c r="Q17" s="19">
        <v>-41.339720694819</v>
      </c>
      <c r="R17" s="19">
        <v>-54.472583826429997</v>
      </c>
      <c r="S17" s="19">
        <v>-51.110098837075803</v>
      </c>
      <c r="T17" s="19">
        <v>-6.2811730562327996</v>
      </c>
      <c r="U17" s="19">
        <v>6.2061943490237699</v>
      </c>
      <c r="V17" s="19">
        <v>8.44208927500339</v>
      </c>
      <c r="W17" s="19">
        <v>-0.19314966205697501</v>
      </c>
      <c r="X17" s="19">
        <v>4.7511409074174002</v>
      </c>
      <c r="Y17" s="19">
        <v>24.556204929436301</v>
      </c>
      <c r="Z17" s="19">
        <v>18.157432724132999</v>
      </c>
      <c r="AA17" s="19">
        <v>33.686751743191699</v>
      </c>
    </row>
    <row r="18" spans="1:27" x14ac:dyDescent="0.25">
      <c r="A18" s="10" t="s">
        <v>330</v>
      </c>
      <c r="B18" s="10" t="s">
        <v>331</v>
      </c>
      <c r="C18" s="13">
        <v>0.91055055562597698</v>
      </c>
      <c r="D18" s="13">
        <v>2.5343039751214098</v>
      </c>
      <c r="E18" s="13">
        <v>4.7676125977645301</v>
      </c>
      <c r="F18" s="13">
        <v>6.5274381124971397</v>
      </c>
      <c r="G18" s="13">
        <v>9.0613920779249106</v>
      </c>
      <c r="H18" s="13">
        <v>9.9601178399710992</v>
      </c>
      <c r="I18" s="13">
        <v>12.242830960878599</v>
      </c>
      <c r="J18" s="13">
        <v>10.568225901953999</v>
      </c>
      <c r="K18" s="13">
        <v>9.8635496590264999</v>
      </c>
      <c r="L18" s="13">
        <v>4.7311067231238697</v>
      </c>
      <c r="M18" s="13">
        <v>7.9797082313698402</v>
      </c>
      <c r="N18" s="13">
        <v>8.1890622776644708</v>
      </c>
      <c r="O18" s="13">
        <v>7.2642159948947898</v>
      </c>
      <c r="P18" s="13">
        <v>2.7454846288471302</v>
      </c>
      <c r="Q18" s="13">
        <v>-3.1351213302015699</v>
      </c>
      <c r="R18" s="13">
        <v>-5.01262327416174</v>
      </c>
      <c r="S18" s="13">
        <v>-6.1759774611656804</v>
      </c>
      <c r="T18" s="13">
        <v>3.1137645147777202</v>
      </c>
      <c r="U18" s="13">
        <v>-3.9684359886184102</v>
      </c>
      <c r="V18" s="13">
        <v>-4.0252597565930799</v>
      </c>
      <c r="W18" s="13">
        <v>-3.9340811338794399</v>
      </c>
      <c r="X18" s="13">
        <v>-2.1994040738742902</v>
      </c>
      <c r="Y18" s="13">
        <v>-1.4178052647886099</v>
      </c>
      <c r="Z18" s="13"/>
      <c r="AA18" s="13"/>
    </row>
    <row r="19" spans="1:27" x14ac:dyDescent="0.25">
      <c r="A19" s="10" t="s">
        <v>332</v>
      </c>
      <c r="B19" s="10" t="s">
        <v>333</v>
      </c>
      <c r="C19" s="13" t="s">
        <v>141</v>
      </c>
      <c r="D19" s="13">
        <v>2.1566825859997398</v>
      </c>
      <c r="E19" s="13">
        <v>4.5568507586427298</v>
      </c>
      <c r="F19" s="13">
        <v>7.4880799479212499</v>
      </c>
      <c r="G19" s="13">
        <v>8.7913047909553494</v>
      </c>
      <c r="H19" s="13">
        <v>9.3479892165309497</v>
      </c>
      <c r="I19" s="13">
        <v>12.709283578387501</v>
      </c>
      <c r="J19" s="13">
        <v>10.5192233089001</v>
      </c>
      <c r="K19" s="13">
        <v>9.6033250248340796</v>
      </c>
      <c r="L19" s="13">
        <v>8.3666832096132104</v>
      </c>
      <c r="M19" s="13">
        <v>7.91865423084369</v>
      </c>
      <c r="N19" s="13">
        <v>7.4102357349523302</v>
      </c>
      <c r="O19" s="13">
        <v>5.2628197715504497</v>
      </c>
      <c r="P19" s="13">
        <v>2.8319052933742701</v>
      </c>
      <c r="Q19" s="13">
        <v>-3.4303691177779401</v>
      </c>
      <c r="R19" s="13">
        <v>-1.1648915187376701</v>
      </c>
      <c r="S19" s="13">
        <v>-1.22263989159311</v>
      </c>
      <c r="T19" s="13">
        <v>-1.3890186458198299</v>
      </c>
      <c r="U19" s="13">
        <v>-0.87983043542911599</v>
      </c>
      <c r="V19" s="13">
        <v>-0.70792136679372297</v>
      </c>
      <c r="W19" s="13">
        <v>-0.89383381414097995</v>
      </c>
      <c r="X19" s="13">
        <v>-0.57066776262275998</v>
      </c>
      <c r="Y19" s="13">
        <v>-0.51745715448685603</v>
      </c>
      <c r="Z19" s="13"/>
      <c r="AA19" s="13"/>
    </row>
    <row r="20" spans="1:27" x14ac:dyDescent="0.25">
      <c r="A20" s="11" t="s">
        <v>334</v>
      </c>
      <c r="B20" s="11" t="s">
        <v>335</v>
      </c>
      <c r="C20" s="25" t="s">
        <v>141</v>
      </c>
      <c r="D20" s="25">
        <v>3.4622025221877801</v>
      </c>
      <c r="E20" s="25">
        <v>6.0351802463216604</v>
      </c>
      <c r="F20" s="25">
        <v>9.3697767299470396</v>
      </c>
      <c r="G20" s="25">
        <v>9.2557675647736293</v>
      </c>
      <c r="H20" s="25">
        <v>9.4327561768711305</v>
      </c>
      <c r="I20" s="25">
        <v>12.758202538273901</v>
      </c>
      <c r="J20" s="25">
        <v>10.5593782115415</v>
      </c>
      <c r="K20" s="25">
        <v>9.6350151442205103</v>
      </c>
      <c r="L20" s="25">
        <v>8.4448222337201599</v>
      </c>
      <c r="M20" s="25">
        <v>7.9658097597053503</v>
      </c>
      <c r="N20" s="25">
        <v>7.4922923682587896</v>
      </c>
      <c r="O20" s="25">
        <v>6.2945688625062601</v>
      </c>
      <c r="P20" s="25">
        <v>4.9077383408101003</v>
      </c>
      <c r="Q20" s="25">
        <v>0.100995639000569</v>
      </c>
      <c r="R20" s="25">
        <v>2.4942800788954602</v>
      </c>
      <c r="S20" s="25">
        <v>1.9997090775461499</v>
      </c>
      <c r="T20" s="25">
        <v>1.5758686263814099</v>
      </c>
      <c r="U20" s="25">
        <v>1.3191155826513901</v>
      </c>
      <c r="V20" s="25">
        <v>1.0075846990306301</v>
      </c>
      <c r="W20" s="25">
        <v>1.3313825493</v>
      </c>
      <c r="X20" s="25">
        <v>1.0527172005171499</v>
      </c>
      <c r="Y20" s="25">
        <v>0.67966561970316497</v>
      </c>
      <c r="Z20" s="25"/>
      <c r="AA20" s="25"/>
    </row>
    <row r="21" spans="1:27" x14ac:dyDescent="0.25">
      <c r="A21" s="11" t="s">
        <v>336</v>
      </c>
      <c r="B21" s="11" t="s">
        <v>337</v>
      </c>
      <c r="C21" s="25" t="s">
        <v>141</v>
      </c>
      <c r="D21" s="25">
        <v>1.3055199361880401</v>
      </c>
      <c r="E21" s="25">
        <v>1.4783294876789199</v>
      </c>
      <c r="F21" s="25">
        <v>1.8816967820257899</v>
      </c>
      <c r="G21" s="25">
        <v>0.464462773818277</v>
      </c>
      <c r="H21" s="25">
        <v>8.4766960340179498E-2</v>
      </c>
      <c r="I21" s="25">
        <v>4.8918959886452902E-2</v>
      </c>
      <c r="J21" s="25">
        <v>4.0154902641375903E-2</v>
      </c>
      <c r="K21" s="25">
        <v>3.1690119386430501E-2</v>
      </c>
      <c r="L21" s="25">
        <v>7.8139024106944899E-2</v>
      </c>
      <c r="M21" s="25">
        <v>4.7155528861665498E-2</v>
      </c>
      <c r="N21" s="25">
        <v>8.2056633306455407E-2</v>
      </c>
      <c r="O21" s="25">
        <v>1.03174909095581</v>
      </c>
      <c r="P21" s="25">
        <v>2.0758330474358302</v>
      </c>
      <c r="Q21" s="25">
        <v>3.53136475677851</v>
      </c>
      <c r="R21" s="25">
        <v>3.65917159763314</v>
      </c>
      <c r="S21" s="25">
        <v>3.22234896913925</v>
      </c>
      <c r="T21" s="25">
        <v>2.9648872722012398</v>
      </c>
      <c r="U21" s="25">
        <v>2.1989460180805001</v>
      </c>
      <c r="V21" s="25">
        <v>1.7155060658243499</v>
      </c>
      <c r="W21" s="25">
        <v>2.2252163634409801</v>
      </c>
      <c r="X21" s="25">
        <v>1.62338496313991</v>
      </c>
      <c r="Y21" s="25">
        <v>1.1971227741900199</v>
      </c>
      <c r="Z21" s="25"/>
      <c r="AA21" s="25"/>
    </row>
    <row r="22" spans="1:27" x14ac:dyDescent="0.25">
      <c r="A22" s="10" t="s">
        <v>338</v>
      </c>
      <c r="B22" s="10" t="s">
        <v>339</v>
      </c>
      <c r="C22" s="13">
        <v>0.91055055562597698</v>
      </c>
      <c r="D22" s="13">
        <v>0.37762138912167698</v>
      </c>
      <c r="E22" s="13">
        <v>0.210761839121792</v>
      </c>
      <c r="F22" s="13">
        <v>-0.96064183542410797</v>
      </c>
      <c r="G22" s="13">
        <v>0.27008728696956202</v>
      </c>
      <c r="H22" s="13">
        <v>0.61212862344014896</v>
      </c>
      <c r="I22" s="13">
        <v>-0.46645261750885397</v>
      </c>
      <c r="J22" s="13">
        <v>4.9002593053882403E-2</v>
      </c>
      <c r="K22" s="13">
        <v>0.26022463419241998</v>
      </c>
      <c r="L22" s="13">
        <v>-3.6355764864893398</v>
      </c>
      <c r="M22" s="13">
        <v>6.10540005261564E-2</v>
      </c>
      <c r="N22" s="13">
        <v>0.77882654271213803</v>
      </c>
      <c r="O22" s="13">
        <v>2.0013962233443401</v>
      </c>
      <c r="P22" s="13">
        <v>-8.6420664527140006E-2</v>
      </c>
      <c r="Q22" s="13">
        <v>0.29524778757637499</v>
      </c>
      <c r="R22" s="13">
        <v>-3.8477317554240602</v>
      </c>
      <c r="S22" s="13">
        <v>-4.9533375695725699</v>
      </c>
      <c r="T22" s="13">
        <v>4.5027831605975601</v>
      </c>
      <c r="U22" s="13">
        <v>-3.0886055531892902</v>
      </c>
      <c r="V22" s="13">
        <v>-3.31733838979935</v>
      </c>
      <c r="W22" s="13">
        <v>-3.0402473197384601</v>
      </c>
      <c r="X22" s="13">
        <v>-1.6287363112515301</v>
      </c>
      <c r="Y22" s="13">
        <v>-0.90034811030175599</v>
      </c>
      <c r="Z22" s="13"/>
      <c r="AA22" s="13"/>
    </row>
    <row r="23" spans="1:27" x14ac:dyDescent="0.25">
      <c r="A23" s="6" t="s">
        <v>340</v>
      </c>
      <c r="B23" s="6" t="s">
        <v>158</v>
      </c>
      <c r="C23" s="19">
        <v>-92.862424472894702</v>
      </c>
      <c r="D23" s="19">
        <v>-115.05740047051199</v>
      </c>
      <c r="E23" s="19">
        <v>-150.00649266329</v>
      </c>
      <c r="F23" s="19">
        <v>-100.422260147439</v>
      </c>
      <c r="G23" s="19">
        <v>-109.78211017522899</v>
      </c>
      <c r="H23" s="19">
        <v>-94.513771156999496</v>
      </c>
      <c r="I23" s="19">
        <v>-122.547506511045</v>
      </c>
      <c r="J23" s="19">
        <v>-104.39798272658599</v>
      </c>
      <c r="K23" s="19">
        <v>-154.84401757582799</v>
      </c>
      <c r="L23" s="19">
        <v>-22.923772214185401</v>
      </c>
      <c r="M23" s="19">
        <v>-60.502529025468903</v>
      </c>
      <c r="N23" s="19">
        <v>-49.398093250486198</v>
      </c>
      <c r="O23" s="19">
        <v>-97.689807141296995</v>
      </c>
      <c r="P23" s="19">
        <v>-59.789637337201299</v>
      </c>
      <c r="Q23" s="19">
        <v>-38.204599364617501</v>
      </c>
      <c r="R23" s="19">
        <v>-49.4599605522682</v>
      </c>
      <c r="S23" s="19">
        <v>-44.934121375910102</v>
      </c>
      <c r="T23" s="19">
        <v>-9.3949375710105301</v>
      </c>
      <c r="U23" s="19">
        <v>10.174630337642199</v>
      </c>
      <c r="V23" s="19">
        <v>12.4673490315965</v>
      </c>
      <c r="W23" s="19">
        <v>3.7409314718224702</v>
      </c>
      <c r="X23" s="19">
        <v>6.9505449812916904</v>
      </c>
      <c r="Y23" s="19">
        <v>25.974010194224899</v>
      </c>
      <c r="Z23" s="19">
        <v>28.234278313426401</v>
      </c>
      <c r="AA23" s="19">
        <v>36.0323641626102</v>
      </c>
    </row>
    <row r="24" spans="1:27" x14ac:dyDescent="0.25">
      <c r="A24" s="10" t="s">
        <v>341</v>
      </c>
      <c r="B24" s="10" t="s">
        <v>342</v>
      </c>
      <c r="C24" s="13">
        <v>198.92466303291499</v>
      </c>
      <c r="D24" s="13">
        <v>12.263608000727</v>
      </c>
      <c r="E24" s="13">
        <v>84.720266099307807</v>
      </c>
      <c r="F24" s="13">
        <v>-85.135563101500793</v>
      </c>
      <c r="G24" s="13">
        <v>0</v>
      </c>
      <c r="H24" s="13">
        <v>41.949223201133897</v>
      </c>
      <c r="I24" s="13">
        <v>7.3185519987873597</v>
      </c>
      <c r="J24" s="13">
        <v>9.5282819826993599</v>
      </c>
      <c r="K24" s="13">
        <v>-105.01800851976699</v>
      </c>
      <c r="L24" s="13">
        <v>2.3695131094051902</v>
      </c>
      <c r="M24" s="13">
        <v>0</v>
      </c>
      <c r="N24" s="13">
        <v>0</v>
      </c>
      <c r="O24" s="13">
        <v>0</v>
      </c>
      <c r="P24" s="13">
        <v>51.566211691543401</v>
      </c>
      <c r="Q24" s="13">
        <v>0.99641291351135897</v>
      </c>
      <c r="R24" s="13">
        <v>152.792504930966</v>
      </c>
      <c r="S24" s="13">
        <v>-39.3510898108239</v>
      </c>
      <c r="T24" s="13">
        <v>0.60274187277927305</v>
      </c>
      <c r="U24" s="13">
        <v>0</v>
      </c>
      <c r="V24" s="13">
        <v>2.44277615463499</v>
      </c>
      <c r="W24" s="13">
        <v>0</v>
      </c>
      <c r="X24" s="13">
        <v>-0.32857277405323898</v>
      </c>
      <c r="Y24" s="13">
        <v>-0.11041718559200001</v>
      </c>
      <c r="Z24" s="13"/>
      <c r="AA24" s="13"/>
    </row>
    <row r="25" spans="1:27" x14ac:dyDescent="0.25">
      <c r="A25" s="10" t="s">
        <v>343</v>
      </c>
      <c r="B25" s="10" t="s">
        <v>344</v>
      </c>
      <c r="C25" s="13">
        <v>182.997422571513</v>
      </c>
      <c r="D25" s="13" t="s">
        <v>141</v>
      </c>
      <c r="E25" s="13" t="s">
        <v>141</v>
      </c>
      <c r="F25" s="13" t="s">
        <v>141</v>
      </c>
      <c r="G25" s="13" t="s">
        <v>141</v>
      </c>
      <c r="H25" s="13" t="s">
        <v>141</v>
      </c>
      <c r="I25" s="13" t="s">
        <v>141</v>
      </c>
      <c r="J25" s="13" t="s">
        <v>141</v>
      </c>
      <c r="K25" s="13" t="s">
        <v>141</v>
      </c>
      <c r="L25" s="13" t="s">
        <v>141</v>
      </c>
      <c r="M25" s="13" t="s">
        <v>141</v>
      </c>
      <c r="N25" s="13" t="s">
        <v>141</v>
      </c>
      <c r="O25" s="13" t="s">
        <v>141</v>
      </c>
      <c r="P25" s="13" t="s">
        <v>141</v>
      </c>
      <c r="Q25" s="13" t="s">
        <v>141</v>
      </c>
      <c r="R25" s="13" t="s">
        <v>141</v>
      </c>
      <c r="S25" s="13" t="s">
        <v>141</v>
      </c>
      <c r="T25" s="13" t="s">
        <v>141</v>
      </c>
      <c r="U25" s="13" t="s">
        <v>141</v>
      </c>
      <c r="V25" s="13" t="s">
        <v>141</v>
      </c>
      <c r="W25" s="13" t="s">
        <v>141</v>
      </c>
      <c r="X25" s="13" t="s">
        <v>141</v>
      </c>
      <c r="Y25" s="13" t="s">
        <v>141</v>
      </c>
      <c r="Z25" s="13"/>
      <c r="AA25" s="13"/>
    </row>
    <row r="26" spans="1:27" x14ac:dyDescent="0.25">
      <c r="A26" s="10" t="s">
        <v>345</v>
      </c>
      <c r="B26" s="10" t="s">
        <v>346</v>
      </c>
      <c r="C26" s="13" t="s">
        <v>141</v>
      </c>
      <c r="D26" s="13" t="s">
        <v>141</v>
      </c>
      <c r="E26" s="13" t="s">
        <v>141</v>
      </c>
      <c r="F26" s="13">
        <v>9.9336699685064307</v>
      </c>
      <c r="G26" s="13" t="s">
        <v>141</v>
      </c>
      <c r="H26" s="13" t="s">
        <v>141</v>
      </c>
      <c r="I26" s="13" t="s">
        <v>141</v>
      </c>
      <c r="J26" s="13" t="s">
        <v>141</v>
      </c>
      <c r="K26" s="13" t="s">
        <v>141</v>
      </c>
      <c r="L26" s="13">
        <v>3.8013579295270499</v>
      </c>
      <c r="M26" s="13" t="s">
        <v>141</v>
      </c>
      <c r="N26" s="13" t="s">
        <v>141</v>
      </c>
      <c r="O26" s="13" t="s">
        <v>141</v>
      </c>
      <c r="P26" s="13" t="s">
        <v>141</v>
      </c>
      <c r="Q26" s="13" t="s">
        <v>141</v>
      </c>
      <c r="R26" s="13" t="s">
        <v>141</v>
      </c>
      <c r="S26" s="13">
        <v>-0.30623416195193698</v>
      </c>
      <c r="T26" s="13">
        <v>0.60274187277927305</v>
      </c>
      <c r="U26" s="13" t="s">
        <v>141</v>
      </c>
      <c r="V26" s="13">
        <v>2.44277615463499</v>
      </c>
      <c r="W26" s="13" t="s">
        <v>141</v>
      </c>
      <c r="X26" s="13" t="s">
        <v>141</v>
      </c>
      <c r="Y26" s="13" t="s">
        <v>141</v>
      </c>
      <c r="Z26" s="13"/>
      <c r="AA26" s="13"/>
    </row>
    <row r="27" spans="1:27" x14ac:dyDescent="0.25">
      <c r="A27" s="10" t="s">
        <v>347</v>
      </c>
      <c r="B27" s="10" t="s">
        <v>348</v>
      </c>
      <c r="C27" s="13" t="s">
        <v>141</v>
      </c>
      <c r="D27" s="13" t="s">
        <v>141</v>
      </c>
      <c r="E27" s="13" t="s">
        <v>141</v>
      </c>
      <c r="F27" s="13" t="s">
        <v>141</v>
      </c>
      <c r="G27" s="13" t="s">
        <v>141</v>
      </c>
      <c r="H27" s="13" t="s">
        <v>141</v>
      </c>
      <c r="I27" s="13" t="s">
        <v>141</v>
      </c>
      <c r="J27" s="13" t="s">
        <v>141</v>
      </c>
      <c r="K27" s="13" t="s">
        <v>141</v>
      </c>
      <c r="L27" s="13" t="s">
        <v>141</v>
      </c>
      <c r="M27" s="13" t="s">
        <v>141</v>
      </c>
      <c r="N27" s="13" t="s">
        <v>141</v>
      </c>
      <c r="O27" s="13" t="s">
        <v>141</v>
      </c>
      <c r="P27" s="13" t="s">
        <v>141</v>
      </c>
      <c r="Q27" s="13" t="s">
        <v>141</v>
      </c>
      <c r="R27" s="13" t="s">
        <v>141</v>
      </c>
      <c r="S27" s="13" t="s">
        <v>141</v>
      </c>
      <c r="T27" s="13" t="s">
        <v>141</v>
      </c>
      <c r="U27" s="13" t="s">
        <v>141</v>
      </c>
      <c r="V27" s="13" t="s">
        <v>141</v>
      </c>
      <c r="W27" s="13" t="s">
        <v>141</v>
      </c>
      <c r="X27" s="13">
        <v>-0.32857277405323898</v>
      </c>
      <c r="Y27" s="13">
        <v>-0.11041718559200001</v>
      </c>
      <c r="Z27" s="13"/>
      <c r="AA27" s="13"/>
    </row>
    <row r="28" spans="1:27" x14ac:dyDescent="0.25">
      <c r="A28" s="10" t="s">
        <v>349</v>
      </c>
      <c r="B28" s="10" t="s">
        <v>350</v>
      </c>
      <c r="C28" s="13" t="s">
        <v>141</v>
      </c>
      <c r="D28" s="13" t="s">
        <v>141</v>
      </c>
      <c r="E28" s="13" t="s">
        <v>141</v>
      </c>
      <c r="F28" s="13">
        <v>-95.069233070007201</v>
      </c>
      <c r="G28" s="13" t="s">
        <v>141</v>
      </c>
      <c r="H28" s="13" t="s">
        <v>141</v>
      </c>
      <c r="I28" s="13" t="s">
        <v>141</v>
      </c>
      <c r="J28" s="13" t="s">
        <v>141</v>
      </c>
      <c r="K28" s="13">
        <v>-124.322776054458</v>
      </c>
      <c r="L28" s="13" t="s">
        <v>141</v>
      </c>
      <c r="M28" s="13" t="s">
        <v>141</v>
      </c>
      <c r="N28" s="13" t="s">
        <v>141</v>
      </c>
      <c r="O28" s="13" t="s">
        <v>141</v>
      </c>
      <c r="P28" s="13" t="s">
        <v>141</v>
      </c>
      <c r="Q28" s="13" t="s">
        <v>141</v>
      </c>
      <c r="R28" s="13" t="s">
        <v>141</v>
      </c>
      <c r="S28" s="13">
        <v>-39.044855648871902</v>
      </c>
      <c r="T28" s="13" t="s">
        <v>141</v>
      </c>
      <c r="U28" s="13" t="s">
        <v>141</v>
      </c>
      <c r="V28" s="13" t="s">
        <v>141</v>
      </c>
      <c r="W28" s="13" t="s">
        <v>141</v>
      </c>
      <c r="X28" s="13" t="s">
        <v>141</v>
      </c>
      <c r="Y28" s="13" t="s">
        <v>141</v>
      </c>
      <c r="Z28" s="13"/>
      <c r="AA28" s="13"/>
    </row>
    <row r="29" spans="1:27" x14ac:dyDescent="0.25">
      <c r="A29" s="10" t="s">
        <v>351</v>
      </c>
      <c r="B29" s="10" t="s">
        <v>352</v>
      </c>
      <c r="C29" s="13" t="s">
        <v>141</v>
      </c>
      <c r="D29" s="13" t="s">
        <v>141</v>
      </c>
      <c r="E29" s="13" t="s">
        <v>141</v>
      </c>
      <c r="F29" s="13" t="s">
        <v>141</v>
      </c>
      <c r="G29" s="13" t="s">
        <v>141</v>
      </c>
      <c r="H29" s="13" t="s">
        <v>141</v>
      </c>
      <c r="I29" s="13" t="s">
        <v>141</v>
      </c>
      <c r="J29" s="13" t="s">
        <v>141</v>
      </c>
      <c r="K29" s="13" t="s">
        <v>141</v>
      </c>
      <c r="L29" s="13" t="s">
        <v>141</v>
      </c>
      <c r="M29" s="13" t="s">
        <v>141</v>
      </c>
      <c r="N29" s="13" t="s">
        <v>141</v>
      </c>
      <c r="O29" s="13" t="s">
        <v>141</v>
      </c>
      <c r="P29" s="13">
        <v>54.475852155522503</v>
      </c>
      <c r="Q29" s="13" t="s">
        <v>141</v>
      </c>
      <c r="R29" s="13">
        <v>152.792504930966</v>
      </c>
      <c r="S29" s="13" t="s">
        <v>141</v>
      </c>
      <c r="T29" s="13" t="s">
        <v>141</v>
      </c>
      <c r="U29" s="13" t="s">
        <v>141</v>
      </c>
      <c r="V29" s="13" t="s">
        <v>141</v>
      </c>
      <c r="W29" s="13" t="s">
        <v>141</v>
      </c>
      <c r="X29" s="13" t="s">
        <v>141</v>
      </c>
      <c r="Y29" s="13" t="s">
        <v>141</v>
      </c>
      <c r="Z29" s="13"/>
      <c r="AA29" s="13"/>
    </row>
    <row r="30" spans="1:27" x14ac:dyDescent="0.25">
      <c r="A30" s="10" t="s">
        <v>353</v>
      </c>
      <c r="B30" s="10" t="s">
        <v>354</v>
      </c>
      <c r="C30" s="13" t="s">
        <v>141</v>
      </c>
      <c r="D30" s="13" t="s">
        <v>141</v>
      </c>
      <c r="E30" s="13" t="s">
        <v>141</v>
      </c>
      <c r="F30" s="13" t="s">
        <v>141</v>
      </c>
      <c r="G30" s="13" t="s">
        <v>141</v>
      </c>
      <c r="H30" s="13" t="s">
        <v>141</v>
      </c>
      <c r="I30" s="13" t="s">
        <v>141</v>
      </c>
      <c r="J30" s="13" t="s">
        <v>141</v>
      </c>
      <c r="K30" s="13" t="s">
        <v>141</v>
      </c>
      <c r="L30" s="13">
        <v>2.3695131094051902</v>
      </c>
      <c r="M30" s="13" t="s">
        <v>141</v>
      </c>
      <c r="N30" s="13" t="s">
        <v>141</v>
      </c>
      <c r="O30" s="13" t="s">
        <v>141</v>
      </c>
      <c r="P30" s="13" t="s">
        <v>141</v>
      </c>
      <c r="Q30" s="13" t="s">
        <v>141</v>
      </c>
      <c r="R30" s="13" t="s">
        <v>141</v>
      </c>
      <c r="S30" s="13" t="s">
        <v>141</v>
      </c>
      <c r="T30" s="13" t="s">
        <v>141</v>
      </c>
      <c r="U30" s="13" t="s">
        <v>141</v>
      </c>
      <c r="V30" s="13" t="s">
        <v>141</v>
      </c>
      <c r="W30" s="13" t="s">
        <v>141</v>
      </c>
      <c r="X30" s="13" t="s">
        <v>141</v>
      </c>
      <c r="Y30" s="13" t="s">
        <v>141</v>
      </c>
      <c r="Z30" s="13"/>
      <c r="AA30" s="13"/>
    </row>
    <row r="31" spans="1:27" x14ac:dyDescent="0.25">
      <c r="A31" s="10" t="s">
        <v>355</v>
      </c>
      <c r="B31" s="10" t="s">
        <v>356</v>
      </c>
      <c r="C31" s="13" t="s">
        <v>141</v>
      </c>
      <c r="D31" s="13" t="s">
        <v>141</v>
      </c>
      <c r="E31" s="13">
        <v>9.9887127545873202</v>
      </c>
      <c r="F31" s="13" t="s">
        <v>141</v>
      </c>
      <c r="G31" s="13" t="s">
        <v>141</v>
      </c>
      <c r="H31" s="13" t="s">
        <v>141</v>
      </c>
      <c r="I31" s="13" t="s">
        <v>141</v>
      </c>
      <c r="J31" s="13">
        <v>6.8059157019281198</v>
      </c>
      <c r="K31" s="13" t="s">
        <v>141</v>
      </c>
      <c r="L31" s="13" t="s">
        <v>141</v>
      </c>
      <c r="M31" s="13" t="s">
        <v>141</v>
      </c>
      <c r="N31" s="13" t="s">
        <v>141</v>
      </c>
      <c r="O31" s="13" t="s">
        <v>141</v>
      </c>
      <c r="P31" s="13" t="s">
        <v>141</v>
      </c>
      <c r="Q31" s="13" t="s">
        <v>141</v>
      </c>
      <c r="R31" s="13" t="s">
        <v>141</v>
      </c>
      <c r="S31" s="13" t="s">
        <v>141</v>
      </c>
      <c r="T31" s="13" t="s">
        <v>141</v>
      </c>
      <c r="U31" s="13" t="s">
        <v>141</v>
      </c>
      <c r="V31" s="13" t="s">
        <v>141</v>
      </c>
      <c r="W31" s="13" t="s">
        <v>141</v>
      </c>
      <c r="X31" s="13" t="s">
        <v>141</v>
      </c>
      <c r="Y31" s="13" t="s">
        <v>141</v>
      </c>
      <c r="Z31" s="13"/>
      <c r="AA31" s="13"/>
    </row>
    <row r="32" spans="1:27" x14ac:dyDescent="0.25">
      <c r="A32" s="10" t="s">
        <v>357</v>
      </c>
      <c r="B32" s="10" t="s">
        <v>358</v>
      </c>
      <c r="C32" s="13" t="s">
        <v>141</v>
      </c>
      <c r="D32" s="13" t="s">
        <v>141</v>
      </c>
      <c r="E32" s="13" t="s">
        <v>141</v>
      </c>
      <c r="F32" s="13" t="s">
        <v>141</v>
      </c>
      <c r="G32" s="13" t="s">
        <v>141</v>
      </c>
      <c r="H32" s="13" t="s">
        <v>141</v>
      </c>
      <c r="I32" s="13" t="s">
        <v>141</v>
      </c>
      <c r="J32" s="13" t="s">
        <v>141</v>
      </c>
      <c r="K32" s="13" t="s">
        <v>141</v>
      </c>
      <c r="L32" s="13" t="s">
        <v>141</v>
      </c>
      <c r="M32" s="13" t="s">
        <v>141</v>
      </c>
      <c r="N32" s="13" t="s">
        <v>141</v>
      </c>
      <c r="O32" s="13" t="s">
        <v>141</v>
      </c>
      <c r="P32" s="13" t="s">
        <v>141</v>
      </c>
      <c r="Q32" s="13">
        <v>0.99641291351135897</v>
      </c>
      <c r="R32" s="13" t="s">
        <v>141</v>
      </c>
      <c r="S32" s="13" t="s">
        <v>141</v>
      </c>
      <c r="T32" s="13" t="s">
        <v>141</v>
      </c>
      <c r="U32" s="13" t="s">
        <v>141</v>
      </c>
      <c r="V32" s="13" t="s">
        <v>141</v>
      </c>
      <c r="W32" s="13" t="s">
        <v>141</v>
      </c>
      <c r="X32" s="13" t="s">
        <v>141</v>
      </c>
      <c r="Y32" s="13" t="s">
        <v>141</v>
      </c>
      <c r="Z32" s="13"/>
      <c r="AA32" s="13"/>
    </row>
    <row r="33" spans="1:27" x14ac:dyDescent="0.25">
      <c r="A33" s="10" t="s">
        <v>359</v>
      </c>
      <c r="B33" s="10" t="s">
        <v>360</v>
      </c>
      <c r="C33" s="13">
        <v>15.927240461402</v>
      </c>
      <c r="D33" s="13">
        <v>12.263608000727</v>
      </c>
      <c r="E33" s="13">
        <v>74.731553344720496</v>
      </c>
      <c r="F33" s="13" t="s">
        <v>141</v>
      </c>
      <c r="G33" s="13" t="s">
        <v>141</v>
      </c>
      <c r="H33" s="13">
        <v>41.949223201133897</v>
      </c>
      <c r="I33" s="13">
        <v>7.3185519987873597</v>
      </c>
      <c r="J33" s="13">
        <v>2.7223662807712499</v>
      </c>
      <c r="K33" s="13">
        <v>19.3047675346915</v>
      </c>
      <c r="L33" s="13">
        <v>-3.8013579295270499</v>
      </c>
      <c r="M33" s="13" t="s">
        <v>141</v>
      </c>
      <c r="N33" s="13" t="s">
        <v>141</v>
      </c>
      <c r="O33" s="13" t="s">
        <v>141</v>
      </c>
      <c r="P33" s="13">
        <v>-2.9096404639790898</v>
      </c>
      <c r="Q33" s="13" t="s">
        <v>141</v>
      </c>
      <c r="R33" s="13" t="s">
        <v>141</v>
      </c>
      <c r="S33" s="13" t="s">
        <v>141</v>
      </c>
      <c r="T33" s="13" t="s">
        <v>141</v>
      </c>
      <c r="U33" s="13" t="s">
        <v>141</v>
      </c>
      <c r="V33" s="13" t="s">
        <v>141</v>
      </c>
      <c r="W33" s="13" t="s">
        <v>141</v>
      </c>
      <c r="X33" s="13" t="s">
        <v>141</v>
      </c>
      <c r="Y33" s="13" t="s">
        <v>141</v>
      </c>
      <c r="Z33" s="13"/>
      <c r="AA33" s="13"/>
    </row>
    <row r="34" spans="1:27" x14ac:dyDescent="0.25">
      <c r="A34" s="6" t="s">
        <v>361</v>
      </c>
      <c r="B34" s="6" t="s">
        <v>158</v>
      </c>
      <c r="C34" s="19">
        <v>-291.78708750581001</v>
      </c>
      <c r="D34" s="19">
        <v>-127.321008471239</v>
      </c>
      <c r="E34" s="19">
        <v>-234.726758762598</v>
      </c>
      <c r="F34" s="19">
        <v>-15.2866970459384</v>
      </c>
      <c r="G34" s="19">
        <v>-109.78211017522899</v>
      </c>
      <c r="H34" s="19">
        <v>-136.46299435813299</v>
      </c>
      <c r="I34" s="19">
        <v>-129.86605850983199</v>
      </c>
      <c r="J34" s="19">
        <v>-113.92626470928499</v>
      </c>
      <c r="K34" s="19">
        <v>-49.826009056060997</v>
      </c>
      <c r="L34" s="19">
        <v>-25.293285323590599</v>
      </c>
      <c r="M34" s="19">
        <v>-60.502529025468903</v>
      </c>
      <c r="N34" s="19">
        <v>-49.398093250486198</v>
      </c>
      <c r="O34" s="19">
        <v>-97.689807141296995</v>
      </c>
      <c r="P34" s="19">
        <v>-111.355849028745</v>
      </c>
      <c r="Q34" s="19">
        <v>-39.2010122781288</v>
      </c>
      <c r="R34" s="19">
        <v>-202.252465483235</v>
      </c>
      <c r="S34" s="19">
        <v>-5.5830315650862401</v>
      </c>
      <c r="T34" s="19">
        <v>-9.9976794437897993</v>
      </c>
      <c r="U34" s="19">
        <v>10.174630337642199</v>
      </c>
      <c r="V34" s="19">
        <v>10.0245728769615</v>
      </c>
      <c r="W34" s="19">
        <v>3.7409314718224702</v>
      </c>
      <c r="X34" s="19">
        <v>7.27911775534493</v>
      </c>
      <c r="Y34" s="19">
        <v>26.084427379816901</v>
      </c>
      <c r="Z34" s="19">
        <v>28.234278313426401</v>
      </c>
      <c r="AA34" s="19">
        <v>36.0323641626102</v>
      </c>
    </row>
    <row r="35" spans="1:27" x14ac:dyDescent="0.25">
      <c r="A35" s="10" t="s">
        <v>362</v>
      </c>
      <c r="B35" s="10" t="s">
        <v>363</v>
      </c>
      <c r="C35" s="13">
        <v>0.18380022816579999</v>
      </c>
      <c r="D35" s="13">
        <v>0.22818832604678899</v>
      </c>
      <c r="E35" s="13">
        <v>0.71019747685115797</v>
      </c>
      <c r="F35" s="13">
        <v>0.101166493657301</v>
      </c>
      <c r="G35" s="13">
        <v>1.4559961561701499E-2</v>
      </c>
      <c r="H35" s="13">
        <v>6.6701870431616697E-2</v>
      </c>
      <c r="I35" s="13">
        <v>0.57324752993702499</v>
      </c>
      <c r="J35" s="13">
        <v>-9.7324594537572001E-2</v>
      </c>
      <c r="K35" s="13">
        <v>-0.215736581976854</v>
      </c>
      <c r="L35" s="13">
        <v>0.125128031846932</v>
      </c>
      <c r="M35" s="13">
        <v>4.56664068976129E-2</v>
      </c>
      <c r="N35" s="13">
        <v>0.416923587724707</v>
      </c>
      <c r="O35" s="13">
        <v>1.4510443836273501</v>
      </c>
      <c r="P35" s="13">
        <v>0.57324259887349105</v>
      </c>
      <c r="Q35" s="13">
        <v>3.07166046891385</v>
      </c>
      <c r="R35" s="13">
        <v>1.5956607495069</v>
      </c>
      <c r="S35" s="13">
        <v>3.5810257313254601</v>
      </c>
      <c r="T35" s="13">
        <v>2.33954257919275</v>
      </c>
      <c r="U35" s="13">
        <v>-1.3317169924971199</v>
      </c>
      <c r="V35" s="13">
        <v>1.2888667453514699</v>
      </c>
      <c r="W35" s="13">
        <v>1.96097880864407</v>
      </c>
      <c r="X35" s="13">
        <v>8.4551300163537194E-2</v>
      </c>
      <c r="Y35" s="13">
        <v>1.9279721511758601</v>
      </c>
      <c r="Z35" s="13"/>
      <c r="AA35" s="13"/>
    </row>
    <row r="36" spans="1:27" x14ac:dyDescent="0.25">
      <c r="A36" s="10" t="s">
        <v>364</v>
      </c>
      <c r="B36" s="10" t="s">
        <v>365</v>
      </c>
      <c r="C36" s="13" t="s">
        <v>141</v>
      </c>
      <c r="D36" s="13" t="s">
        <v>141</v>
      </c>
      <c r="E36" s="13" t="s">
        <v>141</v>
      </c>
      <c r="F36" s="13" t="s">
        <v>141</v>
      </c>
      <c r="G36" s="13" t="s">
        <v>141</v>
      </c>
      <c r="H36" s="13" t="s">
        <v>141</v>
      </c>
      <c r="I36" s="13" t="s">
        <v>141</v>
      </c>
      <c r="J36" s="13" t="s">
        <v>141</v>
      </c>
      <c r="K36" s="13" t="s">
        <v>141</v>
      </c>
      <c r="L36" s="13" t="s">
        <v>141</v>
      </c>
      <c r="M36" s="13" t="s">
        <v>141</v>
      </c>
      <c r="N36" s="13" t="s">
        <v>141</v>
      </c>
      <c r="O36" s="13" t="s">
        <v>141</v>
      </c>
      <c r="P36" s="13" t="s">
        <v>141</v>
      </c>
      <c r="Q36" s="13" t="s">
        <v>141</v>
      </c>
      <c r="R36" s="13" t="s">
        <v>141</v>
      </c>
      <c r="S36" s="13" t="s">
        <v>141</v>
      </c>
      <c r="T36" s="13" t="s">
        <v>141</v>
      </c>
      <c r="U36" s="13" t="s">
        <v>141</v>
      </c>
      <c r="V36" s="13" t="s">
        <v>141</v>
      </c>
      <c r="W36" s="13" t="s">
        <v>141</v>
      </c>
      <c r="X36" s="13" t="s">
        <v>141</v>
      </c>
      <c r="Y36" s="13" t="s">
        <v>141</v>
      </c>
      <c r="Z36" s="13"/>
      <c r="AA36" s="13"/>
    </row>
    <row r="37" spans="1:27" x14ac:dyDescent="0.25">
      <c r="A37" s="10" t="s">
        <v>366</v>
      </c>
      <c r="B37" s="10" t="s">
        <v>367</v>
      </c>
      <c r="C37" s="13" t="s">
        <v>141</v>
      </c>
      <c r="D37" s="13" t="s">
        <v>141</v>
      </c>
      <c r="E37" s="13" t="s">
        <v>141</v>
      </c>
      <c r="F37" s="13" t="s">
        <v>141</v>
      </c>
      <c r="G37" s="13" t="s">
        <v>141</v>
      </c>
      <c r="H37" s="13" t="s">
        <v>141</v>
      </c>
      <c r="I37" s="13" t="s">
        <v>141</v>
      </c>
      <c r="J37" s="13" t="s">
        <v>141</v>
      </c>
      <c r="K37" s="13" t="s">
        <v>141</v>
      </c>
      <c r="L37" s="13" t="s">
        <v>141</v>
      </c>
      <c r="M37" s="13" t="s">
        <v>141</v>
      </c>
      <c r="N37" s="13" t="s">
        <v>141</v>
      </c>
      <c r="O37" s="13" t="s">
        <v>141</v>
      </c>
      <c r="P37" s="13" t="s">
        <v>141</v>
      </c>
      <c r="Q37" s="13" t="s">
        <v>141</v>
      </c>
      <c r="R37" s="13" t="s">
        <v>141</v>
      </c>
      <c r="S37" s="13" t="s">
        <v>141</v>
      </c>
      <c r="T37" s="13" t="s">
        <v>141</v>
      </c>
      <c r="U37" s="13" t="s">
        <v>141</v>
      </c>
      <c r="V37" s="13" t="s">
        <v>141</v>
      </c>
      <c r="W37" s="13" t="s">
        <v>141</v>
      </c>
      <c r="X37" s="13" t="s">
        <v>141</v>
      </c>
      <c r="Y37" s="13" t="s">
        <v>141</v>
      </c>
      <c r="Z37" s="13"/>
      <c r="AA37" s="13"/>
    </row>
    <row r="38" spans="1:27" x14ac:dyDescent="0.25">
      <c r="A38" s="6" t="s">
        <v>368</v>
      </c>
      <c r="B38" s="6" t="s">
        <v>369</v>
      </c>
      <c r="C38" s="19">
        <v>-291.97088773397599</v>
      </c>
      <c r="D38" s="19">
        <v>-127.549196797286</v>
      </c>
      <c r="E38" s="19">
        <v>-235.43695623944899</v>
      </c>
      <c r="F38" s="19">
        <v>-15.387863539595701</v>
      </c>
      <c r="G38" s="19">
        <v>-109.79667013679099</v>
      </c>
      <c r="H38" s="19">
        <v>-136.529696228565</v>
      </c>
      <c r="I38" s="19">
        <v>-130.43930603976901</v>
      </c>
      <c r="J38" s="19">
        <v>-113.82894011474799</v>
      </c>
      <c r="K38" s="19">
        <v>-49.610272474084198</v>
      </c>
      <c r="L38" s="19">
        <v>-25.418413355437501</v>
      </c>
      <c r="M38" s="19">
        <v>-60.548195432366597</v>
      </c>
      <c r="N38" s="19">
        <v>-49.815016838210902</v>
      </c>
      <c r="O38" s="19">
        <v>-99.140851524924301</v>
      </c>
      <c r="P38" s="19">
        <v>-111.92909162761801</v>
      </c>
      <c r="Q38" s="19">
        <v>-42.272672747042698</v>
      </c>
      <c r="R38" s="19">
        <v>-203.848126232742</v>
      </c>
      <c r="S38" s="19">
        <v>-9.1640572964117002</v>
      </c>
      <c r="T38" s="19">
        <v>-12.3372220229825</v>
      </c>
      <c r="U38" s="19">
        <v>11.506347330139301</v>
      </c>
      <c r="V38" s="19">
        <v>8.7357061316100104</v>
      </c>
      <c r="W38" s="19">
        <v>1.7799526631784</v>
      </c>
      <c r="X38" s="19">
        <v>7.1945664551813904</v>
      </c>
      <c r="Y38" s="19">
        <v>24.156455228641001</v>
      </c>
      <c r="Z38" s="19">
        <v>15.407540653331401</v>
      </c>
      <c r="AA38" s="19">
        <v>34.491119589527699</v>
      </c>
    </row>
    <row r="39" spans="1:27" x14ac:dyDescent="0.25">
      <c r="A39" s="10" t="s">
        <v>370</v>
      </c>
      <c r="B39" s="10" t="s">
        <v>371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/>
      <c r="AA39" s="13"/>
    </row>
    <row r="40" spans="1:27" x14ac:dyDescent="0.25">
      <c r="A40" s="10" t="s">
        <v>372</v>
      </c>
      <c r="B40" s="10" t="s">
        <v>373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/>
      <c r="AA40" s="13"/>
    </row>
    <row r="41" spans="1:27" x14ac:dyDescent="0.25">
      <c r="A41" s="10" t="s">
        <v>374</v>
      </c>
      <c r="B41" s="10" t="s">
        <v>375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/>
      <c r="AA41" s="13"/>
    </row>
    <row r="42" spans="1:27" x14ac:dyDescent="0.25">
      <c r="A42" s="6" t="s">
        <v>376</v>
      </c>
      <c r="B42" s="6" t="s">
        <v>377</v>
      </c>
      <c r="C42" s="19">
        <v>-291.97088773397599</v>
      </c>
      <c r="D42" s="19">
        <v>-127.549196797286</v>
      </c>
      <c r="E42" s="19">
        <v>-235.43695623944899</v>
      </c>
      <c r="F42" s="19">
        <v>-15.387863539595701</v>
      </c>
      <c r="G42" s="19">
        <v>-109.79667013679099</v>
      </c>
      <c r="H42" s="19">
        <v>-136.529696228565</v>
      </c>
      <c r="I42" s="19">
        <v>-130.43930603976901</v>
      </c>
      <c r="J42" s="19">
        <v>-113.82894011474799</v>
      </c>
      <c r="K42" s="19">
        <v>-49.610272474084198</v>
      </c>
      <c r="L42" s="19">
        <v>-25.418413355437501</v>
      </c>
      <c r="M42" s="19">
        <v>-60.548195432366597</v>
      </c>
      <c r="N42" s="19">
        <v>-49.815016838210902</v>
      </c>
      <c r="O42" s="19">
        <v>-99.140851524924301</v>
      </c>
      <c r="P42" s="19">
        <v>-111.92909162761801</v>
      </c>
      <c r="Q42" s="19">
        <v>-42.272672747042698</v>
      </c>
      <c r="R42" s="19">
        <v>-203.848126232742</v>
      </c>
      <c r="S42" s="19">
        <v>-9.1640572964117002</v>
      </c>
      <c r="T42" s="19">
        <v>-12.3372220229825</v>
      </c>
      <c r="U42" s="19">
        <v>11.506347330139301</v>
      </c>
      <c r="V42" s="19">
        <v>8.7357061316100104</v>
      </c>
      <c r="W42" s="19">
        <v>1.7799526631784</v>
      </c>
      <c r="X42" s="19">
        <v>7.1945664551813904</v>
      </c>
      <c r="Y42" s="19">
        <v>24.156455228641001</v>
      </c>
      <c r="Z42" s="19"/>
      <c r="AA42" s="19"/>
    </row>
    <row r="43" spans="1:27" x14ac:dyDescent="0.25">
      <c r="A43" s="10" t="s">
        <v>378</v>
      </c>
      <c r="B43" s="10" t="s">
        <v>379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/>
      <c r="AA43" s="13"/>
    </row>
    <row r="44" spans="1:27" x14ac:dyDescent="0.25">
      <c r="A44" s="6" t="s">
        <v>380</v>
      </c>
      <c r="B44" s="6" t="s">
        <v>381</v>
      </c>
      <c r="C44" s="19">
        <v>-291.97088773397599</v>
      </c>
      <c r="D44" s="19">
        <v>-127.549196797286</v>
      </c>
      <c r="E44" s="19">
        <v>-235.43695623944899</v>
      </c>
      <c r="F44" s="19">
        <v>-15.387863539595701</v>
      </c>
      <c r="G44" s="19">
        <v>-109.79667013679099</v>
      </c>
      <c r="H44" s="19">
        <v>-136.529696228565</v>
      </c>
      <c r="I44" s="19">
        <v>-130.43930603976901</v>
      </c>
      <c r="J44" s="19">
        <v>-113.82894011474799</v>
      </c>
      <c r="K44" s="19">
        <v>-49.610272474084198</v>
      </c>
      <c r="L44" s="19">
        <v>-25.418413355437501</v>
      </c>
      <c r="M44" s="19">
        <v>-60.548195432366597</v>
      </c>
      <c r="N44" s="19">
        <v>-49.815016838210902</v>
      </c>
      <c r="O44" s="19">
        <v>-99.140851524924301</v>
      </c>
      <c r="P44" s="19">
        <v>-111.92909162761801</v>
      </c>
      <c r="Q44" s="19">
        <v>-42.272672747042698</v>
      </c>
      <c r="R44" s="19">
        <v>-203.848126232742</v>
      </c>
      <c r="S44" s="19">
        <v>-9.1640572964117002</v>
      </c>
      <c r="T44" s="19">
        <v>-12.3372220229825</v>
      </c>
      <c r="U44" s="19">
        <v>11.506347330139301</v>
      </c>
      <c r="V44" s="19">
        <v>8.7357061316100104</v>
      </c>
      <c r="W44" s="19">
        <v>1.7799526631784</v>
      </c>
      <c r="X44" s="19">
        <v>7.1945664551813904</v>
      </c>
      <c r="Y44" s="19">
        <v>24.156455228641001</v>
      </c>
      <c r="Z44" s="19">
        <v>15.407540653331401</v>
      </c>
      <c r="AA44" s="19">
        <v>34.491119589527699</v>
      </c>
    </row>
    <row r="45" spans="1:27" x14ac:dyDescent="0.25">
      <c r="A45" s="10" t="s">
        <v>382</v>
      </c>
      <c r="B45" s="10" t="s">
        <v>383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/>
      <c r="AA45" s="13"/>
    </row>
    <row r="46" spans="1:27" x14ac:dyDescent="0.25">
      <c r="A46" s="10" t="s">
        <v>384</v>
      </c>
      <c r="B46" s="10" t="s">
        <v>385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/>
      <c r="AA46" s="13"/>
    </row>
    <row r="47" spans="1:27" x14ac:dyDescent="0.25">
      <c r="A47" s="6" t="s">
        <v>386</v>
      </c>
      <c r="B47" s="6" t="s">
        <v>80</v>
      </c>
      <c r="C47" s="19">
        <v>-291.97088773397599</v>
      </c>
      <c r="D47" s="19">
        <v>-127.549196797286</v>
      </c>
      <c r="E47" s="19">
        <v>-235.43695623944899</v>
      </c>
      <c r="F47" s="19">
        <v>-15.387863539595701</v>
      </c>
      <c r="G47" s="19">
        <v>-109.79667013679099</v>
      </c>
      <c r="H47" s="19">
        <v>-136.529696228565</v>
      </c>
      <c r="I47" s="19">
        <v>-130.43930603976901</v>
      </c>
      <c r="J47" s="19">
        <v>-113.82894011474799</v>
      </c>
      <c r="K47" s="19">
        <v>-49.610272474084198</v>
      </c>
      <c r="L47" s="19">
        <v>-25.418413355437501</v>
      </c>
      <c r="M47" s="19">
        <v>-60.548195432366597</v>
      </c>
      <c r="N47" s="19">
        <v>-49.815016838210902</v>
      </c>
      <c r="O47" s="19">
        <v>-99.140851524924301</v>
      </c>
      <c r="P47" s="19">
        <v>-111.92909162761801</v>
      </c>
      <c r="Q47" s="19">
        <v>-42.272672747042698</v>
      </c>
      <c r="R47" s="19">
        <v>-203.848126232742</v>
      </c>
      <c r="S47" s="19">
        <v>-9.1640572964117002</v>
      </c>
      <c r="T47" s="19">
        <v>-12.3372220229825</v>
      </c>
      <c r="U47" s="19">
        <v>11.506347330139301</v>
      </c>
      <c r="V47" s="19">
        <v>8.7357061316100104</v>
      </c>
      <c r="W47" s="19">
        <v>1.7799526631784</v>
      </c>
      <c r="X47" s="19">
        <v>7.1945664551813904</v>
      </c>
      <c r="Y47" s="19">
        <v>24.156455228641001</v>
      </c>
      <c r="Z47" s="19">
        <v>15.407540653331401</v>
      </c>
      <c r="AA47" s="19">
        <v>34.491119589527699</v>
      </c>
    </row>
    <row r="48" spans="1:27" x14ac:dyDescent="0.25">
      <c r="A48" s="6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x14ac:dyDescent="0.25">
      <c r="A49" s="10" t="s">
        <v>388</v>
      </c>
      <c r="B49" s="10" t="s">
        <v>389</v>
      </c>
      <c r="C49" s="13">
        <v>198.92466303291499</v>
      </c>
      <c r="D49" s="13">
        <v>9.6882503205743102</v>
      </c>
      <c r="E49" s="13">
        <v>66.929010218453101</v>
      </c>
      <c r="F49" s="13">
        <v>-84.978674982845703</v>
      </c>
      <c r="G49" s="13">
        <v>0</v>
      </c>
      <c r="H49" s="13">
        <v>33.139886328895798</v>
      </c>
      <c r="I49" s="13">
        <v>5.7816560790420102</v>
      </c>
      <c r="J49" s="13">
        <v>9.4979282792603303</v>
      </c>
      <c r="K49" s="13">
        <v>-42.856620492537601</v>
      </c>
      <c r="L49" s="13">
        <v>1.8719153564301001</v>
      </c>
      <c r="M49" s="13">
        <v>0</v>
      </c>
      <c r="N49" s="13">
        <v>0</v>
      </c>
      <c r="O49" s="13">
        <v>0</v>
      </c>
      <c r="P49" s="13">
        <v>40.737307236319303</v>
      </c>
      <c r="Q49" s="13">
        <v>0.787166201673974</v>
      </c>
      <c r="R49" s="13">
        <v>120.706078895464</v>
      </c>
      <c r="S49" s="13">
        <v>-31.087360950550799</v>
      </c>
      <c r="T49" s="13">
        <v>0.476166079495626</v>
      </c>
      <c r="U49" s="13">
        <v>0</v>
      </c>
      <c r="V49" s="13">
        <v>2.3673212178085601</v>
      </c>
      <c r="W49" s="13">
        <v>0</v>
      </c>
      <c r="X49" s="13">
        <v>-0.29110027998253302</v>
      </c>
      <c r="Y49" s="13">
        <v>-0.10790781455987999</v>
      </c>
      <c r="Z49" s="13"/>
      <c r="AA49" s="13"/>
    </row>
    <row r="50" spans="1:27" x14ac:dyDescent="0.25">
      <c r="A50" s="10" t="s">
        <v>390</v>
      </c>
      <c r="B50" s="10" t="s">
        <v>371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/>
      <c r="AA50" s="13"/>
    </row>
    <row r="51" spans="1:27" x14ac:dyDescent="0.25">
      <c r="A51" s="6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x14ac:dyDescent="0.25">
      <c r="A52" s="10" t="s">
        <v>259</v>
      </c>
      <c r="B52" s="10" t="s">
        <v>106</v>
      </c>
      <c r="C52" s="13">
        <v>78.123547555668196</v>
      </c>
      <c r="D52" s="13">
        <v>74.895245403418798</v>
      </c>
      <c r="E52" s="13">
        <v>74.472845684376693</v>
      </c>
      <c r="F52" s="13">
        <v>67.237890810563499</v>
      </c>
      <c r="G52" s="13">
        <v>56.760554152136997</v>
      </c>
      <c r="H52" s="13">
        <v>54.543370112003601</v>
      </c>
      <c r="I52" s="13">
        <v>54.365500420289699</v>
      </c>
      <c r="J52" s="13">
        <v>54.075722618099597</v>
      </c>
      <c r="K52" s="13">
        <v>48.599235780582497</v>
      </c>
      <c r="L52" s="13">
        <v>42.173954362586201</v>
      </c>
      <c r="M52" s="13">
        <v>42.663840644094897</v>
      </c>
      <c r="N52" s="13">
        <v>41.385476450220601</v>
      </c>
      <c r="O52" s="13">
        <v>37.480031008150299</v>
      </c>
      <c r="P52" s="13">
        <v>38.054623071277497</v>
      </c>
      <c r="Q52" s="13">
        <v>33.989482523111</v>
      </c>
      <c r="R52" s="13">
        <v>34.7873767258383</v>
      </c>
      <c r="S52" s="13">
        <v>33.970172792625903</v>
      </c>
      <c r="T52" s="13">
        <v>26.7885611647384</v>
      </c>
      <c r="U52" s="13">
        <v>23.594123710560702</v>
      </c>
      <c r="V52" s="13">
        <v>22.7325716386433</v>
      </c>
      <c r="W52" s="13">
        <v>26.0705202917359</v>
      </c>
      <c r="X52" s="13">
        <v>20.418603854683099</v>
      </c>
      <c r="Y52" s="13">
        <v>14.6235184048893</v>
      </c>
      <c r="Z52" s="13"/>
      <c r="AA52" s="13"/>
    </row>
    <row r="53" spans="1:27" x14ac:dyDescent="0.25">
      <c r="A53" s="6" t="s">
        <v>101</v>
      </c>
      <c r="B53" s="6" t="s">
        <v>102</v>
      </c>
      <c r="C53" s="19">
        <v>-3.9506485824143298</v>
      </c>
      <c r="D53" s="19">
        <v>-1.7164608596439901</v>
      </c>
      <c r="E53" s="19">
        <v>-3.1564332304495899</v>
      </c>
      <c r="F53" s="19">
        <v>-0.202332987314601</v>
      </c>
      <c r="G53" s="19">
        <v>-1.40503629070419</v>
      </c>
      <c r="H53" s="19">
        <v>-1.7370278758233499</v>
      </c>
      <c r="I53" s="19">
        <v>-1.6535986440491099</v>
      </c>
      <c r="J53" s="19">
        <v>-1.4292422974048999</v>
      </c>
      <c r="K53" s="19">
        <v>-0.62161388027229103</v>
      </c>
      <c r="L53" s="19">
        <v>-0.31677982746058703</v>
      </c>
      <c r="M53" s="19">
        <v>-0.70485106298489497</v>
      </c>
      <c r="N53" s="19">
        <v>-0.56917895935113605</v>
      </c>
      <c r="O53" s="19">
        <v>-1.1349668289883399</v>
      </c>
      <c r="P53" s="19">
        <v>-1.2767676065818701</v>
      </c>
      <c r="Q53" s="19">
        <v>-0.47982602437051802</v>
      </c>
      <c r="R53" s="19">
        <v>-2.3116370808678499</v>
      </c>
      <c r="S53" s="19">
        <v>-0.103354029658779</v>
      </c>
      <c r="T53" s="19">
        <v>-0.13863063073923301</v>
      </c>
      <c r="U53" s="19">
        <v>0.123493816488189</v>
      </c>
      <c r="V53" s="19">
        <v>9.1906429580326202E-2</v>
      </c>
      <c r="W53" s="19">
        <v>1.92874127588991E-2</v>
      </c>
      <c r="X53" s="19">
        <v>7.49188735626279E-2</v>
      </c>
      <c r="Y53" s="19">
        <v>0.250602965924072</v>
      </c>
      <c r="Z53" s="19">
        <v>8.5623830767016795E-2</v>
      </c>
      <c r="AA53" s="19">
        <v>0.31337981844494101</v>
      </c>
    </row>
    <row r="54" spans="1:27" x14ac:dyDescent="0.25">
      <c r="A54" s="6" t="s">
        <v>391</v>
      </c>
      <c r="B54" s="6" t="s">
        <v>266</v>
      </c>
      <c r="C54" s="19">
        <v>-3.9506485824143298</v>
      </c>
      <c r="D54" s="19">
        <v>-1.7164608596439901</v>
      </c>
      <c r="E54" s="19">
        <v>-3.1564332304495899</v>
      </c>
      <c r="F54" s="19">
        <v>-0.202332987314601</v>
      </c>
      <c r="G54" s="19">
        <v>-1.40503629070419</v>
      </c>
      <c r="H54" s="19">
        <v>-1.7370278758233499</v>
      </c>
      <c r="I54" s="19">
        <v>-1.6535986440491099</v>
      </c>
      <c r="J54" s="19">
        <v>-1.4292422974048999</v>
      </c>
      <c r="K54" s="19">
        <v>-0.62161388027229103</v>
      </c>
      <c r="L54" s="19">
        <v>-0.31677982746058703</v>
      </c>
      <c r="M54" s="19">
        <v>-0.70485106298489497</v>
      </c>
      <c r="N54" s="19">
        <v>-0.56917895935113605</v>
      </c>
      <c r="O54" s="19">
        <v>-1.1349668289883399</v>
      </c>
      <c r="P54" s="19">
        <v>-1.2767676065818701</v>
      </c>
      <c r="Q54" s="19">
        <v>-0.47982602437051802</v>
      </c>
      <c r="R54" s="19">
        <v>-2.3116370808678499</v>
      </c>
      <c r="S54" s="19">
        <v>-0.103354029658779</v>
      </c>
      <c r="T54" s="19">
        <v>-0.13863063073923301</v>
      </c>
      <c r="U54" s="19">
        <v>0.123493816488189</v>
      </c>
      <c r="V54" s="19">
        <v>9.1906429580326202E-2</v>
      </c>
      <c r="W54" s="19">
        <v>1.92874127588991E-2</v>
      </c>
      <c r="X54" s="19">
        <v>7.49188735626279E-2</v>
      </c>
      <c r="Y54" s="19">
        <v>0.250602965924072</v>
      </c>
      <c r="Z54" s="19">
        <v>8.5623830767016795E-2</v>
      </c>
      <c r="AA54" s="19">
        <v>0.31337981844494101</v>
      </c>
    </row>
    <row r="55" spans="1:27" x14ac:dyDescent="0.25">
      <c r="A55" s="6" t="s">
        <v>392</v>
      </c>
      <c r="B55" s="6" t="s">
        <v>268</v>
      </c>
      <c r="C55" s="19">
        <v>-1.2580956606245</v>
      </c>
      <c r="D55" s="19">
        <v>-1.5889146918952799</v>
      </c>
      <c r="E55" s="19">
        <v>-2.2601220620698599</v>
      </c>
      <c r="F55" s="19">
        <v>-1.3131481253408901</v>
      </c>
      <c r="G55" s="19">
        <v>-1.40503629070419</v>
      </c>
      <c r="H55" s="19">
        <v>-1.3170506656290799</v>
      </c>
      <c r="I55" s="19">
        <v>-1.5798446995273501</v>
      </c>
      <c r="J55" s="19">
        <v>-1.3130993459514999</v>
      </c>
      <c r="K55" s="19">
        <v>-1.15951770075995</v>
      </c>
      <c r="L55" s="19">
        <v>-0.29477313284689999</v>
      </c>
      <c r="M55" s="19">
        <v>-0.70485106298489497</v>
      </c>
      <c r="N55" s="19">
        <v>-0.56917895935113605</v>
      </c>
      <c r="O55" s="19">
        <v>-1.1349668289883399</v>
      </c>
      <c r="P55" s="19">
        <v>-0.81243198172572095</v>
      </c>
      <c r="Q55" s="19">
        <v>-0.47229585143967101</v>
      </c>
      <c r="R55" s="19">
        <v>-0.94280315581854002</v>
      </c>
      <c r="S55" s="19">
        <v>-0.453572987084574</v>
      </c>
      <c r="T55" s="19">
        <v>-0.13343680402149399</v>
      </c>
      <c r="U55" s="19">
        <v>0.123493816488189</v>
      </c>
      <c r="V55" s="19">
        <v>0.118128543234719</v>
      </c>
      <c r="W55" s="19">
        <v>1.92874127588991E-2</v>
      </c>
      <c r="X55" s="19">
        <v>7.2370989699725094E-2</v>
      </c>
      <c r="Y55" s="19">
        <v>0.24976944527135</v>
      </c>
      <c r="Z55" s="19">
        <v>0.207367966613901</v>
      </c>
      <c r="AA55" s="19">
        <v>0.36850414419155397</v>
      </c>
    </row>
    <row r="56" spans="1:27" x14ac:dyDescent="0.25">
      <c r="A56" s="6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x14ac:dyDescent="0.25">
      <c r="A57" s="10" t="s">
        <v>258</v>
      </c>
      <c r="B57" s="10" t="s">
        <v>108</v>
      </c>
      <c r="C57" s="13">
        <v>78.123547555668196</v>
      </c>
      <c r="D57" s="13">
        <v>74.895245403418798</v>
      </c>
      <c r="E57" s="13">
        <v>74.472845684376693</v>
      </c>
      <c r="F57" s="13">
        <v>67.237890810563499</v>
      </c>
      <c r="G57" s="13">
        <v>56.760554152136997</v>
      </c>
      <c r="H57" s="13">
        <v>54.543370112003601</v>
      </c>
      <c r="I57" s="13">
        <v>54.365500420289699</v>
      </c>
      <c r="J57" s="13">
        <v>54.075722618099597</v>
      </c>
      <c r="K57" s="13">
        <v>48.599235780582497</v>
      </c>
      <c r="L57" s="13">
        <v>42.173954362586201</v>
      </c>
      <c r="M57" s="13">
        <v>42.663840644094897</v>
      </c>
      <c r="N57" s="13">
        <v>41.385476450220601</v>
      </c>
      <c r="O57" s="13">
        <v>37.480031008150299</v>
      </c>
      <c r="P57" s="13">
        <v>38.054623071277497</v>
      </c>
      <c r="Q57" s="13">
        <v>33.989482523111</v>
      </c>
      <c r="R57" s="13">
        <v>34.7873767258383</v>
      </c>
      <c r="S57" s="13">
        <v>33.970172792625903</v>
      </c>
      <c r="T57" s="13">
        <v>26.7885611647384</v>
      </c>
      <c r="U57" s="13">
        <v>26.612665425007702</v>
      </c>
      <c r="V57" s="13">
        <v>23.9716154248012</v>
      </c>
      <c r="W57" s="13">
        <v>27.3175892938327</v>
      </c>
      <c r="X57" s="13">
        <v>21.501288604625302</v>
      </c>
      <c r="Y57" s="13">
        <v>16.475094621604701</v>
      </c>
      <c r="Z57" s="13"/>
      <c r="AA57" s="13"/>
    </row>
    <row r="58" spans="1:27" x14ac:dyDescent="0.25">
      <c r="A58" s="6" t="s">
        <v>103</v>
      </c>
      <c r="B58" s="6" t="s">
        <v>104</v>
      </c>
      <c r="C58" s="19">
        <v>-3.9506485824143298</v>
      </c>
      <c r="D58" s="19">
        <v>-1.7164608596439901</v>
      </c>
      <c r="E58" s="19">
        <v>-3.1564332304495899</v>
      </c>
      <c r="F58" s="19">
        <v>-0.202332987314601</v>
      </c>
      <c r="G58" s="19">
        <v>-1.40503629070419</v>
      </c>
      <c r="H58" s="19">
        <v>-1.7370278758233499</v>
      </c>
      <c r="I58" s="19">
        <v>-1.6535986440491099</v>
      </c>
      <c r="J58" s="19">
        <v>-1.4292422974048999</v>
      </c>
      <c r="K58" s="19">
        <v>-0.62161388027229103</v>
      </c>
      <c r="L58" s="19">
        <v>-0.31677982746058703</v>
      </c>
      <c r="M58" s="19">
        <v>-0.70485106298489497</v>
      </c>
      <c r="N58" s="19">
        <v>-0.56917895935113605</v>
      </c>
      <c r="O58" s="19">
        <v>-1.1349668289883399</v>
      </c>
      <c r="P58" s="19">
        <v>-1.2767676065818701</v>
      </c>
      <c r="Q58" s="19">
        <v>-0.47982602437051802</v>
      </c>
      <c r="R58" s="19">
        <v>-2.3116370808678499</v>
      </c>
      <c r="S58" s="19">
        <v>-0.103354029658779</v>
      </c>
      <c r="T58" s="19">
        <v>-0.13863063073923301</v>
      </c>
      <c r="U58" s="19">
        <v>0.118453252549895</v>
      </c>
      <c r="V58" s="19">
        <v>8.9487839328212401E-2</v>
      </c>
      <c r="W58" s="19">
        <v>1.92874127588991E-2</v>
      </c>
      <c r="X58" s="19">
        <v>7.2778334317981405E-2</v>
      </c>
      <c r="Y58" s="19">
        <v>0.227820878112793</v>
      </c>
      <c r="Z58" s="19">
        <v>8.5623830767016795E-2</v>
      </c>
      <c r="AA58" s="19">
        <v>0.31337981844494101</v>
      </c>
    </row>
    <row r="59" spans="1:27" x14ac:dyDescent="0.25">
      <c r="A59" s="6" t="s">
        <v>393</v>
      </c>
      <c r="B59" s="6" t="s">
        <v>271</v>
      </c>
      <c r="C59" s="19">
        <v>-3.9506485824143298</v>
      </c>
      <c r="D59" s="19">
        <v>-1.7164608596439901</v>
      </c>
      <c r="E59" s="19">
        <v>-3.1564332304495899</v>
      </c>
      <c r="F59" s="19">
        <v>-0.202332987314601</v>
      </c>
      <c r="G59" s="19">
        <v>-1.40503629070419</v>
      </c>
      <c r="H59" s="19">
        <v>-1.7370278758233499</v>
      </c>
      <c r="I59" s="19">
        <v>-1.6535986440491099</v>
      </c>
      <c r="J59" s="19">
        <v>-1.4292422974048999</v>
      </c>
      <c r="K59" s="19">
        <v>-0.62161388027229103</v>
      </c>
      <c r="L59" s="19">
        <v>-0.31677982746058703</v>
      </c>
      <c r="M59" s="19">
        <v>-0.70485106298489497</v>
      </c>
      <c r="N59" s="19">
        <v>-0.56917895935113605</v>
      </c>
      <c r="O59" s="19">
        <v>-1.1349668289883399</v>
      </c>
      <c r="P59" s="19">
        <v>-1.2767676065818701</v>
      </c>
      <c r="Q59" s="19">
        <v>-0.47982602437051802</v>
      </c>
      <c r="R59" s="19">
        <v>-2.3116370808678499</v>
      </c>
      <c r="S59" s="19">
        <v>-0.103354029658779</v>
      </c>
      <c r="T59" s="19">
        <v>-0.13863063073923301</v>
      </c>
      <c r="U59" s="19">
        <v>0.118453252549895</v>
      </c>
      <c r="V59" s="19">
        <v>8.9487839328212401E-2</v>
      </c>
      <c r="W59" s="19">
        <v>1.92874127588991E-2</v>
      </c>
      <c r="X59" s="19">
        <v>7.2778334317981405E-2</v>
      </c>
      <c r="Y59" s="19">
        <v>0.227820878112793</v>
      </c>
      <c r="Z59" s="19">
        <v>8.5623830767016795E-2</v>
      </c>
      <c r="AA59" s="19">
        <v>0.31337981844494101</v>
      </c>
    </row>
    <row r="60" spans="1:27" x14ac:dyDescent="0.25">
      <c r="A60" s="6" t="s">
        <v>394</v>
      </c>
      <c r="B60" s="6" t="s">
        <v>82</v>
      </c>
      <c r="C60" s="19">
        <v>-1.2609509020999701</v>
      </c>
      <c r="D60" s="19">
        <v>-1.5889146918952799</v>
      </c>
      <c r="E60" s="19">
        <v>-2.2601220620698599</v>
      </c>
      <c r="F60" s="19">
        <v>-1.31415363231698</v>
      </c>
      <c r="G60" s="19">
        <v>-1.40503629070419</v>
      </c>
      <c r="H60" s="19">
        <v>-1.3170506656290799</v>
      </c>
      <c r="I60" s="19">
        <v>-1.58032493213356</v>
      </c>
      <c r="J60" s="19">
        <v>-1.3130993459514999</v>
      </c>
      <c r="K60" s="19">
        <v>-1.15951770075995</v>
      </c>
      <c r="L60" s="19">
        <v>-0.29477313284689999</v>
      </c>
      <c r="M60" s="19">
        <v>-0.70485106298489497</v>
      </c>
      <c r="N60" s="19">
        <v>-0.56917895935113605</v>
      </c>
      <c r="O60" s="19">
        <v>-1.1349668289883399</v>
      </c>
      <c r="P60" s="19">
        <v>-0.81243198172572095</v>
      </c>
      <c r="Q60" s="19">
        <v>-0.47229585143967101</v>
      </c>
      <c r="R60" s="19">
        <v>-0.94287021696252504</v>
      </c>
      <c r="S60" s="19">
        <v>-0.45366179499154002</v>
      </c>
      <c r="T60" s="19">
        <v>-0.13343680402149399</v>
      </c>
      <c r="U60" s="19">
        <v>0.118453252549895</v>
      </c>
      <c r="V60" s="19">
        <v>0.113372627362963</v>
      </c>
      <c r="W60" s="19">
        <v>1.92874127588991E-2</v>
      </c>
      <c r="X60" s="19">
        <v>6.9880258234654505E-2</v>
      </c>
      <c r="Y60" s="19">
        <v>0.22682606027836699</v>
      </c>
      <c r="Z60" s="19">
        <v>0.207367966613901</v>
      </c>
      <c r="AA60" s="19">
        <v>0.36850414419155397</v>
      </c>
    </row>
    <row r="61" spans="1:27" x14ac:dyDescent="0.25">
      <c r="A61" s="6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 x14ac:dyDescent="0.25">
      <c r="A62" s="6" t="s">
        <v>4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x14ac:dyDescent="0.25">
      <c r="A63" s="10" t="s">
        <v>395</v>
      </c>
      <c r="B63" s="10" t="s">
        <v>396</v>
      </c>
      <c r="C63" s="12" t="s">
        <v>397</v>
      </c>
      <c r="D63" s="12" t="s">
        <v>397</v>
      </c>
      <c r="E63" s="12" t="s">
        <v>397</v>
      </c>
      <c r="F63" s="12" t="s">
        <v>397</v>
      </c>
      <c r="G63" s="12" t="s">
        <v>397</v>
      </c>
      <c r="H63" s="12" t="s">
        <v>397</v>
      </c>
      <c r="I63" s="12" t="s">
        <v>397</v>
      </c>
      <c r="J63" s="12" t="s">
        <v>397</v>
      </c>
      <c r="K63" s="12" t="s">
        <v>397</v>
      </c>
      <c r="L63" s="12" t="s">
        <v>397</v>
      </c>
      <c r="M63" s="12" t="s">
        <v>397</v>
      </c>
      <c r="N63" s="12" t="s">
        <v>397</v>
      </c>
      <c r="O63" s="12" t="s">
        <v>397</v>
      </c>
      <c r="P63" s="12" t="s">
        <v>397</v>
      </c>
      <c r="Q63" s="12" t="s">
        <v>397</v>
      </c>
      <c r="R63" s="12" t="s">
        <v>397</v>
      </c>
      <c r="S63" s="12" t="s">
        <v>397</v>
      </c>
      <c r="T63" s="12" t="s">
        <v>397</v>
      </c>
      <c r="U63" s="12" t="s">
        <v>397</v>
      </c>
      <c r="V63" s="12" t="s">
        <v>397</v>
      </c>
      <c r="W63" s="12" t="s">
        <v>397</v>
      </c>
      <c r="X63" s="12" t="s">
        <v>397</v>
      </c>
      <c r="Y63" s="12" t="s">
        <v>397</v>
      </c>
      <c r="Z63" s="12"/>
      <c r="AA63" s="12"/>
    </row>
    <row r="64" spans="1:27" x14ac:dyDescent="0.25">
      <c r="A64" s="10" t="s">
        <v>78</v>
      </c>
      <c r="B64" s="10" t="s">
        <v>78</v>
      </c>
      <c r="C64" s="13">
        <v>-81.152026027802407</v>
      </c>
      <c r="D64" s="13">
        <v>-101.53471794509301</v>
      </c>
      <c r="E64" s="13">
        <v>-134.448073676745</v>
      </c>
      <c r="F64" s="13">
        <v>-87.447437408730195</v>
      </c>
      <c r="G64" s="13">
        <v>-94.550934385533196</v>
      </c>
      <c r="H64" s="13">
        <v>-78.426113782274001</v>
      </c>
      <c r="I64" s="13">
        <v>-95.652413565020893</v>
      </c>
      <c r="J64" s="13">
        <v>-87.752074102810198</v>
      </c>
      <c r="K64" s="13">
        <v>-139.832651792625</v>
      </c>
      <c r="L64" s="13">
        <v>-12.6516583423968</v>
      </c>
      <c r="M64" s="13">
        <v>-47.487106685661203</v>
      </c>
      <c r="N64" s="13">
        <v>-36.124839918417699</v>
      </c>
      <c r="O64" s="13">
        <v>-86.190237572113205</v>
      </c>
      <c r="P64" s="13">
        <v>-52.3961106358216</v>
      </c>
      <c r="Q64" s="13">
        <v>-37.256169053543204</v>
      </c>
      <c r="R64" s="13">
        <v>-50.013017751479303</v>
      </c>
      <c r="S64" s="13">
        <v>-46.9789999923441</v>
      </c>
      <c r="T64" s="13">
        <v>-2.9877914633668601</v>
      </c>
      <c r="U64" s="13">
        <v>9.0722590043374005</v>
      </c>
      <c r="V64" s="13">
        <v>10.556904591451699</v>
      </c>
      <c r="W64" s="13">
        <v>2.2092353642978999</v>
      </c>
      <c r="X64" s="13">
        <v>6.8501536907177698</v>
      </c>
      <c r="Y64" s="13">
        <v>26.1441164498824</v>
      </c>
      <c r="Z64" s="13">
        <v>2.61908188228522</v>
      </c>
      <c r="AA64" s="13">
        <v>36.337324036311003</v>
      </c>
    </row>
    <row r="65" spans="1:27" x14ac:dyDescent="0.25">
      <c r="A65" s="10" t="s">
        <v>398</v>
      </c>
      <c r="B65" s="10" t="s">
        <v>399</v>
      </c>
      <c r="C65" s="13">
        <v>-99.161270968014506</v>
      </c>
      <c r="D65" s="13">
        <v>-103.857399460829</v>
      </c>
      <c r="E65" s="13">
        <v>-99.194168589493898</v>
      </c>
      <c r="F65" s="13">
        <v>-88.811722997343296</v>
      </c>
      <c r="G65" s="13">
        <v>-75.104642443743899</v>
      </c>
      <c r="H65" s="13">
        <v>-66.910417303576907</v>
      </c>
      <c r="I65" s="13">
        <v>-61.358824015764299</v>
      </c>
      <c r="J65" s="13">
        <v>-60.599733208104503</v>
      </c>
      <c r="K65" s="13">
        <v>-61.958615141782801</v>
      </c>
      <c r="L65" s="13">
        <v>-42.623722057379403</v>
      </c>
      <c r="M65" s="13">
        <v>-33.805257593281098</v>
      </c>
      <c r="N65" s="13">
        <v>-26.3388825119765</v>
      </c>
      <c r="O65" s="13">
        <v>-20.360339547812099</v>
      </c>
      <c r="P65" s="13">
        <v>-24.4749740520869</v>
      </c>
      <c r="Q65" s="13">
        <v>-20.502061704078901</v>
      </c>
      <c r="R65" s="13">
        <v>-22.033136883629201</v>
      </c>
      <c r="S65" s="13">
        <v>-17.7939549376431</v>
      </c>
      <c r="T65" s="13">
        <v>-9.7014113200951098</v>
      </c>
      <c r="U65" s="13">
        <v>-4.5289368694569596</v>
      </c>
      <c r="V65" s="13">
        <v>-0.91336972505465996</v>
      </c>
      <c r="W65" s="13">
        <v>1.42344880982887</v>
      </c>
      <c r="X65" s="13">
        <v>1.5615574135436201</v>
      </c>
      <c r="Y65" s="13">
        <v>2.0427045679604898</v>
      </c>
      <c r="Z65" s="13">
        <v>4.1605445083271198</v>
      </c>
      <c r="AA65" s="13"/>
    </row>
    <row r="66" spans="1:27" x14ac:dyDescent="0.25">
      <c r="A66" s="10" t="s">
        <v>400</v>
      </c>
      <c r="B66" s="10" t="s">
        <v>400</v>
      </c>
      <c r="C66" s="13">
        <v>-87.506866100477396</v>
      </c>
      <c r="D66" s="13">
        <v>-108.122898597551</v>
      </c>
      <c r="E66" s="13">
        <v>-140.88679791835199</v>
      </c>
      <c r="F66" s="13">
        <v>-93.045023488220707</v>
      </c>
      <c r="G66" s="13">
        <v>-99.144602258250004</v>
      </c>
      <c r="H66" s="13">
        <v>-82.909730135349207</v>
      </c>
      <c r="I66" s="13">
        <v>-100.560156540672</v>
      </c>
      <c r="J66" s="13">
        <v>-93.714056257699198</v>
      </c>
      <c r="K66" s="13">
        <v>-144.871380775067</v>
      </c>
      <c r="L66" s="13">
        <v>-18.098687475581599</v>
      </c>
      <c r="M66" s="13">
        <v>-52.433969850243997</v>
      </c>
      <c r="N66" s="13">
        <v>-41.124602760518002</v>
      </c>
      <c r="O66" s="13">
        <v>-90.348927349274305</v>
      </c>
      <c r="P66" s="13">
        <v>-56.966851812445398</v>
      </c>
      <c r="Q66" s="13">
        <v>-41.270455486462303</v>
      </c>
      <c r="R66" s="13">
        <v>-54.4023668639053</v>
      </c>
      <c r="S66" s="13">
        <v>-51.041578943338997</v>
      </c>
      <c r="T66" s="13">
        <v>-6.14887121515775</v>
      </c>
      <c r="U66" s="13">
        <v>6.5907893775155602</v>
      </c>
      <c r="V66" s="13">
        <v>8.5874465491554304</v>
      </c>
      <c r="W66" s="13">
        <v>0.13804276846012101</v>
      </c>
      <c r="X66" s="13">
        <v>5.0088618324728396</v>
      </c>
      <c r="Y66" s="13">
        <v>24.738765393097299</v>
      </c>
      <c r="Z66" s="13"/>
      <c r="AA66" s="13"/>
    </row>
    <row r="67" spans="1:27" x14ac:dyDescent="0.25">
      <c r="A67" s="10" t="s">
        <v>142</v>
      </c>
      <c r="B67" s="10" t="s">
        <v>142</v>
      </c>
      <c r="C67" s="13">
        <v>-91.951873917268799</v>
      </c>
      <c r="D67" s="13">
        <v>-112.523096495391</v>
      </c>
      <c r="E67" s="13">
        <v>-145.23888006552599</v>
      </c>
      <c r="F67" s="13">
        <v>-93.894822034941996</v>
      </c>
      <c r="G67" s="13">
        <v>-100.720718097304</v>
      </c>
      <c r="H67" s="13">
        <v>-84.553653317028406</v>
      </c>
      <c r="I67" s="13">
        <v>-110.304675550166</v>
      </c>
      <c r="J67" s="13">
        <v>-93.829756824632</v>
      </c>
      <c r="K67" s="13">
        <v>-144.98046791680099</v>
      </c>
      <c r="L67" s="13">
        <v>-18.192665491061501</v>
      </c>
      <c r="M67" s="13">
        <v>-52.522820794099097</v>
      </c>
      <c r="N67" s="13">
        <v>-41.209030972821701</v>
      </c>
      <c r="O67" s="13">
        <v>-90.425591146402198</v>
      </c>
      <c r="P67" s="13">
        <v>-57.044152708354098</v>
      </c>
      <c r="Q67" s="13">
        <v>-41.339720694819</v>
      </c>
      <c r="R67" s="13">
        <v>-54.472583826429997</v>
      </c>
      <c r="S67" s="13">
        <v>-51.110098837075803</v>
      </c>
      <c r="T67" s="13">
        <v>-6.2811730562327996</v>
      </c>
      <c r="U67" s="13">
        <v>6.2061943490237699</v>
      </c>
      <c r="V67" s="13">
        <v>8.44208927500339</v>
      </c>
      <c r="W67" s="13">
        <v>-0.19314966205697501</v>
      </c>
      <c r="X67" s="13">
        <v>4.7511409074174002</v>
      </c>
      <c r="Y67" s="13">
        <v>24.556204929436301</v>
      </c>
      <c r="Z67" s="13">
        <v>18.157432724132999</v>
      </c>
      <c r="AA67" s="13">
        <v>33.686751743191699</v>
      </c>
    </row>
    <row r="68" spans="1:27" x14ac:dyDescent="0.25">
      <c r="A68" s="10" t="s">
        <v>401</v>
      </c>
      <c r="B68" s="10" t="s">
        <v>153</v>
      </c>
      <c r="C68" s="13">
        <v>87.869599019732107</v>
      </c>
      <c r="D68" s="13">
        <v>87.677593118001596</v>
      </c>
      <c r="E68" s="13">
        <v>84.355249567988196</v>
      </c>
      <c r="F68" s="13">
        <v>78.202859053081596</v>
      </c>
      <c r="G68" s="13">
        <v>65.729328858571805</v>
      </c>
      <c r="H68" s="13">
        <v>62.2324358689308</v>
      </c>
      <c r="I68" s="13">
        <v>58.264311896264203</v>
      </c>
      <c r="J68" s="13">
        <v>57.7083808045954</v>
      </c>
      <c r="K68" s="13">
        <v>53.6946803259207</v>
      </c>
      <c r="L68" s="13">
        <v>46.261658025616903</v>
      </c>
      <c r="M68" s="13">
        <v>41.816085495455702</v>
      </c>
      <c r="N68" s="13">
        <v>40.357675852582602</v>
      </c>
      <c r="O68" s="13">
        <v>35.896132546994103</v>
      </c>
      <c r="P68" s="13">
        <v>35.892741532729097</v>
      </c>
      <c r="Q68" s="13">
        <v>34.0839494325283</v>
      </c>
      <c r="R68" s="13">
        <v>33.998654043392499</v>
      </c>
      <c r="S68" s="13">
        <v>33.279071957372203</v>
      </c>
      <c r="T68" s="13">
        <v>26.7742279630037</v>
      </c>
      <c r="U68" s="13">
        <v>22.396839062354299</v>
      </c>
      <c r="V68" s="13">
        <v>21.228414081999901</v>
      </c>
      <c r="W68" s="13">
        <v>24.171624082814599</v>
      </c>
      <c r="X68" s="13">
        <v>17.2041950288117</v>
      </c>
      <c r="Y68" s="13">
        <v>12.1361079384944</v>
      </c>
      <c r="Z68" s="13">
        <v>11.948913512735601</v>
      </c>
      <c r="AA68" s="13">
        <v>10.9659255361137</v>
      </c>
    </row>
    <row r="69" spans="1:27" x14ac:dyDescent="0.25">
      <c r="A69" s="10" t="s">
        <v>402</v>
      </c>
      <c r="B69" s="10" t="s">
        <v>403</v>
      </c>
      <c r="C69" s="13">
        <v>-97.130893226855903</v>
      </c>
      <c r="D69" s="13">
        <v>-113.61264122938999</v>
      </c>
      <c r="E69" s="13">
        <v>-145.07494531179799</v>
      </c>
      <c r="F69" s="13">
        <v>-82.600086211446794</v>
      </c>
      <c r="G69" s="13">
        <v>-73.324489127348699</v>
      </c>
      <c r="H69" s="13">
        <v>-58.748820905477899</v>
      </c>
      <c r="I69" s="13">
        <v>-75.999859444115302</v>
      </c>
      <c r="J69" s="13">
        <v>-63.859741647439897</v>
      </c>
      <c r="K69" s="13">
        <v>-88.354775761934107</v>
      </c>
      <c r="L69" s="13">
        <v>-9.6051154662471099</v>
      </c>
      <c r="M69" s="13">
        <v>-26.070962121701001</v>
      </c>
      <c r="N69" s="13">
        <v>-19.5460944837073</v>
      </c>
      <c r="O69" s="13">
        <v>-38.7283193496854</v>
      </c>
      <c r="P69" s="13">
        <v>-24.772832209285699</v>
      </c>
      <c r="Q69" s="13">
        <v>-15.996672561303599</v>
      </c>
      <c r="R69" s="13">
        <v>-21.488198816568001</v>
      </c>
      <c r="S69" s="13">
        <v>-19.564572918181899</v>
      </c>
      <c r="T69" s="13">
        <v>-1.8929629886353001</v>
      </c>
      <c r="U69" s="13">
        <v>1.56413588352265</v>
      </c>
      <c r="V69" s="13">
        <v>2.0417954162877501</v>
      </c>
      <c r="W69" s="13">
        <v>-5.32194824911622E-2</v>
      </c>
      <c r="X69" s="13">
        <v>1.0170003767349101</v>
      </c>
      <c r="Y69" s="13">
        <v>3.7296107908118299</v>
      </c>
      <c r="Z69" s="13">
        <v>2.6129562129994199</v>
      </c>
      <c r="AA69" s="13">
        <v>4.4318841919736496</v>
      </c>
    </row>
    <row r="70" spans="1:27" x14ac:dyDescent="0.25">
      <c r="A70" s="10" t="s">
        <v>404</v>
      </c>
      <c r="B70" s="10" t="s">
        <v>405</v>
      </c>
      <c r="C70" s="13">
        <v>-98.286881522795497</v>
      </c>
      <c r="D70" s="13">
        <v>-119.002176876243</v>
      </c>
      <c r="E70" s="13">
        <v>-168.317746945951</v>
      </c>
      <c r="F70" s="13">
        <v>-88.293311575206303</v>
      </c>
      <c r="G70" s="13">
        <v>-79.931764740141105</v>
      </c>
      <c r="H70" s="13">
        <v>-71.836392818431904</v>
      </c>
      <c r="I70" s="13">
        <v>-85.889050420978606</v>
      </c>
      <c r="J70" s="13">
        <v>-71.006807276885098</v>
      </c>
      <c r="K70" s="13">
        <v>-56.351670739659603</v>
      </c>
      <c r="L70" s="13">
        <v>-12.431759289568401</v>
      </c>
      <c r="M70" s="13">
        <v>-30.054549019413201</v>
      </c>
      <c r="N70" s="13">
        <v>-23.628049613432601</v>
      </c>
      <c r="O70" s="13">
        <v>-42.460972987789503</v>
      </c>
      <c r="P70" s="13">
        <v>-30.916790362575899</v>
      </c>
      <c r="Q70" s="13">
        <v>-16.053085397423601</v>
      </c>
      <c r="R70" s="13">
        <v>-32.797651676528602</v>
      </c>
      <c r="S70" s="13">
        <v>-15.4079490732589</v>
      </c>
      <c r="T70" s="13">
        <v>-3.5745775532899202</v>
      </c>
      <c r="U70" s="13">
        <v>2.8999238874845301</v>
      </c>
      <c r="V70" s="13">
        <v>2.6853672871156902</v>
      </c>
      <c r="W70" s="13">
        <v>0.49043840289201002</v>
      </c>
      <c r="X70" s="13">
        <v>1.47771398970829</v>
      </c>
      <c r="Y70" s="13">
        <v>3.6525073965845101</v>
      </c>
      <c r="Z70" s="13">
        <v>2.01252465359268</v>
      </c>
      <c r="AA70" s="13">
        <v>5.0687145164583702</v>
      </c>
    </row>
    <row r="71" spans="1:27" x14ac:dyDescent="0.25">
      <c r="A71" s="10" t="s">
        <v>406</v>
      </c>
      <c r="B71" s="10" t="s">
        <v>407</v>
      </c>
      <c r="C71" s="13" t="s">
        <v>141</v>
      </c>
      <c r="D71" s="13" t="s">
        <v>141</v>
      </c>
      <c r="E71" s="13">
        <v>134589.50201871901</v>
      </c>
      <c r="F71" s="13" t="s">
        <v>141</v>
      </c>
      <c r="G71" s="13" t="s">
        <v>141</v>
      </c>
      <c r="H71" s="13" t="s">
        <v>141</v>
      </c>
      <c r="I71" s="13">
        <v>115473.44110846199</v>
      </c>
      <c r="J71" s="13" t="s">
        <v>141</v>
      </c>
      <c r="K71" s="13" t="s">
        <v>141</v>
      </c>
      <c r="L71" s="13" t="s">
        <v>141</v>
      </c>
      <c r="M71" s="13">
        <v>119047.619047855</v>
      </c>
      <c r="N71" s="13" t="s">
        <v>141</v>
      </c>
      <c r="O71" s="13" t="s">
        <v>141</v>
      </c>
      <c r="P71" s="13" t="s">
        <v>141</v>
      </c>
      <c r="Q71" s="13">
        <v>86058.519793597399</v>
      </c>
      <c r="R71" s="13" t="s">
        <v>141</v>
      </c>
      <c r="S71" s="13" t="s">
        <v>141</v>
      </c>
      <c r="T71" s="13" t="s">
        <v>141</v>
      </c>
      <c r="U71" s="13">
        <v>76103.500761125106</v>
      </c>
      <c r="V71" s="13" t="s">
        <v>141</v>
      </c>
      <c r="W71" s="13" t="s">
        <v>141</v>
      </c>
      <c r="X71" s="13" t="s">
        <v>141</v>
      </c>
      <c r="Y71" s="13">
        <v>72886.297376111004</v>
      </c>
      <c r="Z71" s="13"/>
      <c r="AA71" s="13"/>
    </row>
    <row r="72" spans="1:27" x14ac:dyDescent="0.25">
      <c r="A72" s="10" t="s">
        <v>408</v>
      </c>
      <c r="B72" s="10" t="s">
        <v>274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/>
      <c r="AA72" s="13"/>
    </row>
    <row r="73" spans="1:27" x14ac:dyDescent="0.25">
      <c r="A73" s="10" t="s">
        <v>409</v>
      </c>
      <c r="B73" s="10" t="s">
        <v>410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/>
      <c r="AA73" s="13"/>
    </row>
    <row r="74" spans="1:27" x14ac:dyDescent="0.25">
      <c r="A74" s="10" t="s">
        <v>411</v>
      </c>
      <c r="B74" s="10" t="s">
        <v>412</v>
      </c>
      <c r="C74" s="13">
        <v>6.3548400726750298</v>
      </c>
      <c r="D74" s="13">
        <v>6.5881806524570603</v>
      </c>
      <c r="E74" s="13">
        <v>6.4387242416069803</v>
      </c>
      <c r="F74" s="13">
        <v>5.5975860794904699</v>
      </c>
      <c r="G74" s="13">
        <v>4.5936678727168196</v>
      </c>
      <c r="H74" s="13">
        <v>4.48361635307523</v>
      </c>
      <c r="I74" s="13">
        <v>4.90774297565076</v>
      </c>
      <c r="J74" s="13">
        <v>5.9619821548890304</v>
      </c>
      <c r="K74" s="13">
        <v>5.0387289824424597</v>
      </c>
      <c r="L74" s="13">
        <v>5.4470291331847998</v>
      </c>
      <c r="M74" s="13">
        <v>4.9468631645827204</v>
      </c>
      <c r="N74" s="13">
        <v>4.99976284210027</v>
      </c>
      <c r="O74" s="13">
        <v>4.1586897771610403</v>
      </c>
      <c r="P74" s="13">
        <v>4.5707411766238604</v>
      </c>
      <c r="Q74" s="13">
        <v>4.0142864329191603</v>
      </c>
      <c r="R74" s="13">
        <v>4.3893491124260402</v>
      </c>
      <c r="S74" s="13">
        <v>4.0625789509948804</v>
      </c>
      <c r="T74" s="13">
        <v>3.1610797517909002</v>
      </c>
      <c r="U74" s="13">
        <v>2.4814696268218501</v>
      </c>
      <c r="V74" s="13">
        <v>1.9694580422963099</v>
      </c>
      <c r="W74" s="13">
        <v>2.0711925958377799</v>
      </c>
      <c r="X74" s="13">
        <v>1.84129185824493</v>
      </c>
      <c r="Y74" s="13">
        <v>1.40535105678511</v>
      </c>
      <c r="Z74" s="13"/>
      <c r="AA74" s="13"/>
    </row>
    <row r="75" spans="1:27" x14ac:dyDescent="0.25">
      <c r="A75" s="10" t="s">
        <v>413</v>
      </c>
      <c r="B75" s="10" t="s">
        <v>414</v>
      </c>
      <c r="C75" s="13">
        <v>3.5270629991126898</v>
      </c>
      <c r="D75" s="13">
        <v>3.6489938510313902</v>
      </c>
      <c r="E75" s="13">
        <v>3.6139162746096898</v>
      </c>
      <c r="F75" s="13">
        <v>1.49550468884705</v>
      </c>
      <c r="G75" s="13">
        <v>4.0767892372764098</v>
      </c>
      <c r="H75" s="13">
        <v>3.61301798171257</v>
      </c>
      <c r="I75" s="13">
        <v>16.2211136986868</v>
      </c>
      <c r="J75" s="13" t="s">
        <v>141</v>
      </c>
      <c r="K75" s="13" t="s">
        <v>141</v>
      </c>
      <c r="L75" s="13" t="s">
        <v>141</v>
      </c>
      <c r="M75" s="13" t="s">
        <v>141</v>
      </c>
      <c r="N75" s="13" t="s">
        <v>141</v>
      </c>
      <c r="O75" s="13" t="s">
        <v>141</v>
      </c>
      <c r="P75" s="13" t="s">
        <v>141</v>
      </c>
      <c r="Q75" s="13" t="s">
        <v>141</v>
      </c>
      <c r="R75" s="13" t="s">
        <v>141</v>
      </c>
      <c r="S75" s="13" t="s">
        <v>141</v>
      </c>
      <c r="T75" s="13" t="s">
        <v>141</v>
      </c>
      <c r="U75" s="13" t="s">
        <v>141</v>
      </c>
      <c r="V75" s="13" t="s">
        <v>141</v>
      </c>
      <c r="W75" s="13" t="s">
        <v>141</v>
      </c>
      <c r="X75" s="13" t="s">
        <v>141</v>
      </c>
      <c r="Y75" s="13" t="s">
        <v>141</v>
      </c>
      <c r="Z75" s="13"/>
      <c r="AA75" s="13"/>
    </row>
    <row r="76" spans="1:27" x14ac:dyDescent="0.25">
      <c r="A76" s="7" t="s">
        <v>90</v>
      </c>
      <c r="B76" s="7"/>
      <c r="C76" s="7" t="s">
        <v>5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5"/>
  <sheetViews>
    <sheetView topLeftCell="F3"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688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4" t="s">
        <v>19</v>
      </c>
      <c r="M4" s="4" t="s">
        <v>20</v>
      </c>
      <c r="N4" s="4" t="s">
        <v>21</v>
      </c>
      <c r="O4" s="4" t="s">
        <v>22</v>
      </c>
      <c r="P4" s="4" t="s">
        <v>23</v>
      </c>
      <c r="Q4" s="4" t="s">
        <v>24</v>
      </c>
      <c r="R4" s="4" t="s">
        <v>25</v>
      </c>
      <c r="S4" s="4" t="s">
        <v>26</v>
      </c>
      <c r="T4" s="4" t="s">
        <v>27</v>
      </c>
      <c r="U4" s="4" t="s">
        <v>28</v>
      </c>
      <c r="V4" s="4" t="s">
        <v>29</v>
      </c>
      <c r="W4" s="4" t="s">
        <v>30</v>
      </c>
      <c r="X4" s="4" t="s">
        <v>31</v>
      </c>
      <c r="Y4" s="4" t="s">
        <v>689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36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41</v>
      </c>
      <c r="I5" s="5" t="s">
        <v>42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5" t="s">
        <v>48</v>
      </c>
      <c r="P5" s="5" t="s">
        <v>49</v>
      </c>
      <c r="Q5" s="5" t="s">
        <v>50</v>
      </c>
      <c r="R5" s="5" t="s">
        <v>51</v>
      </c>
      <c r="S5" s="5" t="s">
        <v>52</v>
      </c>
      <c r="T5" s="5" t="s">
        <v>53</v>
      </c>
      <c r="U5" s="5" t="s">
        <v>54</v>
      </c>
      <c r="V5" s="5" t="s">
        <v>55</v>
      </c>
      <c r="W5" s="5" t="s">
        <v>56</v>
      </c>
      <c r="X5" s="5" t="s">
        <v>57</v>
      </c>
      <c r="Y5" s="5" t="s">
        <v>57</v>
      </c>
      <c r="Z5" s="5" t="s">
        <v>58</v>
      </c>
      <c r="AA5" s="5" t="s">
        <v>59</v>
      </c>
    </row>
    <row r="6" spans="1:27" x14ac:dyDescent="0.25">
      <c r="A6" s="6" t="s">
        <v>0</v>
      </c>
      <c r="B6" s="6" t="s">
        <v>71</v>
      </c>
      <c r="C6" s="19">
        <f>_xll.BDH("SRPT US Equity","SALES_REV_TURN","FQ3 2019","FQ3 2019","Currency=USD","Period=FQ","BEST_FPERIOD_OVERRIDE=FQ","FILING_STATUS=MR","SCALING_FORMAT=MLN","FA_ADJUSTED=GAAP","Sort=A","Dates=H","DateFormat=P","Fill=—","Direction=H","UseDPDF=Y")</f>
        <v>99.040999999999997</v>
      </c>
      <c r="D6" s="19">
        <f>_xll.BDH("SRPT US Equity","SALES_REV_TURN","FQ4 2019","FQ4 2019","Currency=USD","Period=FQ","BEST_FPERIOD_OVERRIDE=FQ","FILING_STATUS=MR","SCALING_FORMAT=MLN","FA_ADJUSTED=GAAP","Sort=A","Dates=H","DateFormat=P","Fill=—","Direction=H","UseDPDF=Y")</f>
        <v>100.113</v>
      </c>
      <c r="E6" s="19">
        <f>_xll.BDH("SRPT US Equity","SALES_REV_TURN","FQ1 2020","FQ1 2020","Currency=USD","Period=FQ","BEST_FPERIOD_OVERRIDE=FQ","FILING_STATUS=MR","SCALING_FORMAT=MLN","FA_ADJUSTED=GAAP","Sort=A","Dates=H","DateFormat=P","Fill=—","Direction=H","UseDPDF=Y")</f>
        <v>113.67400000000001</v>
      </c>
      <c r="F6" s="19">
        <f>_xll.BDH("SRPT US Equity","SALES_REV_TURN","FQ2 2020","FQ2 2020","Currency=USD","Period=FQ","BEST_FPERIOD_OVERRIDE=FQ","FILING_STATUS=MR","SCALING_FORMAT=MLN","FA_ADJUSTED=GAAP","Sort=A","Dates=H","DateFormat=P","Fill=—","Direction=H","UseDPDF=Y")</f>
        <v>137.363</v>
      </c>
      <c r="G6" s="19">
        <f>_xll.BDH("SRPT US Equity","SALES_REV_TURN","FQ3 2020","FQ3 2020","Currency=USD","Period=FQ","BEST_FPERIOD_OVERRIDE=FQ","FILING_STATUS=MR","SCALING_FORMAT=MLN","FA_ADJUSTED=GAAP","Sort=A","Dates=H","DateFormat=P","Fill=—","Direction=H","UseDPDF=Y")</f>
        <v>143.92400000000001</v>
      </c>
      <c r="H6" s="19">
        <f>_xll.BDH("SRPT US Equity","SALES_REV_TURN","FQ4 2020","FQ4 2020","Currency=USD","Period=FQ","BEST_FPERIOD_OVERRIDE=FQ","FILING_STATUS=MR","SCALING_FORMAT=MLN","FA_ADJUSTED=GAAP","Sort=A","Dates=H","DateFormat=P","Fill=—","Direction=H","UseDPDF=Y")</f>
        <v>145.13800000000001</v>
      </c>
      <c r="I6" s="19">
        <f>_xll.BDH("SRPT US Equity","SALES_REV_TURN","FQ1 2021","FQ1 2021","Currency=USD","Period=FQ","BEST_FPERIOD_OVERRIDE=FQ","FILING_STATUS=MR","SCALING_FORMAT=MLN","FA_ADJUSTED=GAAP","Sort=A","Dates=H","DateFormat=P","Fill=—","Direction=H","UseDPDF=Y")</f>
        <v>146.93100000000001</v>
      </c>
      <c r="J6" s="19">
        <f>_xll.BDH("SRPT US Equity","SALES_REV_TURN","FQ2 2021","FQ2 2021","Currency=USD","Period=FQ","BEST_FPERIOD_OVERRIDE=FQ","FILING_STATUS=MR","SCALING_FORMAT=MLN","FA_ADJUSTED=GAAP","Sort=A","Dates=H","DateFormat=P","Fill=—","Direction=H","UseDPDF=Y")</f>
        <v>164.089</v>
      </c>
      <c r="K6" s="19">
        <f>_xll.BDH("SRPT US Equity","SALES_REV_TURN","FQ3 2021","FQ3 2021","Currency=USD","Period=FQ","BEST_FPERIOD_OVERRIDE=FQ","FILING_STATUS=MR","SCALING_FORMAT=MLN","FA_ADJUSTED=GAAP","Sort=A","Dates=H","DateFormat=P","Fill=—","Direction=H","UseDPDF=Y")</f>
        <v>189.40600000000001</v>
      </c>
      <c r="L6" s="19">
        <f>_xll.BDH("SRPT US Equity","SALES_REV_TURN","FQ4 2021","FQ4 2021","Currency=USD","Period=FQ","BEST_FPERIOD_OVERRIDE=FQ","FILING_STATUS=MR","SCALING_FORMAT=MLN","FA_ADJUSTED=GAAP","Sort=A","Dates=H","DateFormat=P","Fill=—","Direction=H","UseDPDF=Y")</f>
        <v>201.46100000000001</v>
      </c>
      <c r="M6" s="19">
        <f>_xll.BDH("SRPT US Equity","SALES_REV_TURN","FQ1 2022","FQ1 2022","Currency=USD","Period=FQ","BEST_FPERIOD_OVERRIDE=FQ","FILING_STATUS=MR","SCALING_FORMAT=MLN","FA_ADJUSTED=GAAP","Sort=A","Dates=H","DateFormat=P","Fill=—","Direction=H","UseDPDF=Y")</f>
        <v>210.83</v>
      </c>
      <c r="N6" s="19">
        <f>_xll.BDH("SRPT US Equity","SALES_REV_TURN","FQ2 2022","FQ2 2022","Currency=USD","Period=FQ","BEST_FPERIOD_OVERRIDE=FQ","FILING_STATUS=MR","SCALING_FORMAT=MLN","FA_ADJUSTED=GAAP","Sort=A","Dates=H","DateFormat=P","Fill=—","Direction=H","UseDPDF=Y")</f>
        <v>233.48699999999999</v>
      </c>
      <c r="O6" s="19">
        <f>_xll.BDH("SRPT US Equity","SALES_REV_TURN","FQ3 2022","FQ3 2022","Currency=USD","Period=FQ","BEST_FPERIOD_OVERRIDE=FQ","FILING_STATUS=MR","SCALING_FORMAT=MLN","FA_ADJUSTED=GAAP","Sort=A","Dates=H","DateFormat=P","Fill=—","Direction=H","UseDPDF=Y")</f>
        <v>230.26900000000001</v>
      </c>
      <c r="P6" s="19">
        <f>_xll.BDH("SRPT US Equity","SALES_REV_TURN","FQ4 2022","FQ4 2022","Currency=USD","Period=FQ","BEST_FPERIOD_OVERRIDE=FQ","FILING_STATUS=MR","SCALING_FORMAT=MLN","FA_ADJUSTED=GAAP","Sort=A","Dates=H","DateFormat=P","Fill=—","Direction=H","UseDPDF=Y")</f>
        <v>258.42700000000002</v>
      </c>
      <c r="Q6" s="19">
        <f>_xll.BDH("SRPT US Equity","SALES_REV_TURN","FQ1 2023","FQ1 2023","Currency=USD","Period=FQ","BEST_FPERIOD_OVERRIDE=FQ","FILING_STATUS=MR","SCALING_FORMAT=MLN","FA_ADJUSTED=GAAP","Sort=A","Dates=H","DateFormat=P","Fill=—","Direction=H","UseDPDF=Y")</f>
        <v>253.5</v>
      </c>
      <c r="R6" s="19">
        <f>_xll.BDH("SRPT US Equity","SALES_REV_TURN","FQ2 2023","FQ2 2023","Currency=USD","Period=FQ","BEST_FPERIOD_OVERRIDE=FQ","FILING_STATUS=MR","SCALING_FORMAT=MLN","FA_ADJUSTED=GAAP","Sort=A","Dates=H","DateFormat=P","Fill=—","Direction=H","UseDPDF=Y")</f>
        <v>261.238</v>
      </c>
      <c r="S6" s="19">
        <f>_xll.BDH("SRPT US Equity","SALES_REV_TURN","FQ3 2023","FQ3 2023","Currency=USD","Period=FQ","BEST_FPERIOD_OVERRIDE=FQ","FILING_STATUS=MR","SCALING_FORMAT=MLN","FA_ADJUSTED=GAAP","Sort=A","Dates=H","DateFormat=P","Fill=—","Direction=H","UseDPDF=Y")</f>
        <v>331.81700000000001</v>
      </c>
      <c r="T6" s="19">
        <f>_xll.BDH("SRPT US Equity","SALES_REV_TURN","FQ4 2023","FQ4 2023","Currency=USD","Period=FQ","BEST_FPERIOD_OVERRIDE=FQ","FILING_STATUS=MR","SCALING_FORMAT=MLN","FA_ADJUSTED=GAAP","Sort=A","Dates=H","DateFormat=P","Fill=—","Direction=H","UseDPDF=Y")</f>
        <v>396.78100000000001</v>
      </c>
      <c r="U6" s="19">
        <f>_xll.BDH("SRPT US Equity","SALES_REV_TURN","FQ1 2024","FQ1 2024","Currency=USD","Period=FQ","BEST_FPERIOD_OVERRIDE=FQ","FILING_STATUS=MR","SCALING_FORMAT=MLN","FA_ADJUSTED=GAAP","Sort=A","Dates=H","DateFormat=P","Fill=—","Direction=H","UseDPDF=Y")</f>
        <v>413.464</v>
      </c>
      <c r="V6" s="19">
        <f>_xll.BDH("SRPT US Equity","SALES_REV_TURN","FQ2 2024","FQ2 2024","Currency=USD","Period=FQ","BEST_FPERIOD_OVERRIDE=FQ","FILING_STATUS=MR","SCALING_FORMAT=MLN","FA_ADJUSTED=GAAP","Sort=A","Dates=H","DateFormat=P","Fill=—","Direction=H","UseDPDF=Y")</f>
        <v>362.93099999999998</v>
      </c>
      <c r="W6" s="19">
        <f>_xll.BDH("SRPT US Equity","SALES_REV_TURN","FQ3 2024","FQ3 2024","Currency=USD","Period=FQ","BEST_FPERIOD_OVERRIDE=FQ","FILING_STATUS=MR","SCALING_FORMAT=MLN","FA_ADJUSTED=GAAP","Sort=A","Dates=H","DateFormat=P","Fill=—","Direction=H","UseDPDF=Y")</f>
        <v>467.17200000000003</v>
      </c>
      <c r="X6" s="19">
        <f>_xll.BDH("SRPT US Equity","SALES_REV_TURN","FQ4 2024","FQ4 2024","Currency=USD","Period=FQ","BEST_FPERIOD_OVERRIDE=FQ","FILING_STATUS=MR","SCALING_FORMAT=MLN","FA_ADJUSTED=GAAP","Sort=A","Dates=H","DateFormat=P","Fill=—","Direction=H","UseDPDF=Y")</f>
        <v>658.41200000000003</v>
      </c>
      <c r="Y6" s="22">
        <v>1901.979</v>
      </c>
      <c r="Z6" s="19">
        <v>694.9</v>
      </c>
      <c r="AA6" s="19">
        <v>760.1</v>
      </c>
    </row>
    <row r="7" spans="1:27" x14ac:dyDescent="0.25">
      <c r="A7" s="10" t="s">
        <v>311</v>
      </c>
      <c r="B7" s="10" t="s">
        <v>312</v>
      </c>
      <c r="C7" s="13">
        <v>100</v>
      </c>
      <c r="D7" s="13">
        <v>100</v>
      </c>
      <c r="E7" s="13">
        <v>88.364973520769894</v>
      </c>
      <c r="F7" s="13">
        <v>81.0582180063045</v>
      </c>
      <c r="G7" s="13">
        <v>84.3702231733415</v>
      </c>
      <c r="H7" s="13">
        <v>84.501646708649702</v>
      </c>
      <c r="I7" s="13">
        <v>85.023582497907199</v>
      </c>
      <c r="J7" s="13">
        <v>86.440285454844599</v>
      </c>
      <c r="K7" s="13">
        <v>88.123396302123496</v>
      </c>
      <c r="L7" s="13">
        <v>88.714441008433397</v>
      </c>
      <c r="M7" s="13">
        <v>89.562680832898494</v>
      </c>
      <c r="N7" s="13">
        <v>90.470561530192299</v>
      </c>
      <c r="O7" s="13">
        <v>90.230990710864205</v>
      </c>
      <c r="P7" s="13">
        <v>91.295801135330294</v>
      </c>
      <c r="Q7" s="13">
        <v>91.319526627218906</v>
      </c>
      <c r="R7" s="13">
        <v>91.4828623707118</v>
      </c>
      <c r="S7" s="13">
        <v>93.220660785915101</v>
      </c>
      <c r="T7" s="13">
        <v>92.008185875835807</v>
      </c>
      <c r="U7" s="13">
        <v>86.9444498190894</v>
      </c>
      <c r="V7" s="13">
        <v>99.3434013627935</v>
      </c>
      <c r="W7" s="13">
        <v>91.994169171097596</v>
      </c>
      <c r="X7" s="13">
        <v>96.923658742550302</v>
      </c>
      <c r="Y7" s="16">
        <v>94.005244011632101</v>
      </c>
      <c r="Z7" s="13"/>
      <c r="AA7" s="13"/>
    </row>
    <row r="8" spans="1:27" x14ac:dyDescent="0.25">
      <c r="A8" s="10" t="s">
        <v>313</v>
      </c>
      <c r="B8" s="10" t="s">
        <v>314</v>
      </c>
      <c r="C8" s="13" t="s">
        <v>141</v>
      </c>
      <c r="D8" s="13" t="s">
        <v>141</v>
      </c>
      <c r="E8" s="13">
        <v>11.635026479230101</v>
      </c>
      <c r="F8" s="13">
        <v>18.9417819936955</v>
      </c>
      <c r="G8" s="13">
        <v>15.6297768266585</v>
      </c>
      <c r="H8" s="13">
        <v>15.4983532913503</v>
      </c>
      <c r="I8" s="13">
        <v>14.976417502092801</v>
      </c>
      <c r="J8" s="13">
        <v>13.5597145451554</v>
      </c>
      <c r="K8" s="13">
        <v>11.876603697876501</v>
      </c>
      <c r="L8" s="13">
        <v>11.285558991566599</v>
      </c>
      <c r="M8" s="13">
        <v>10.437319167101499</v>
      </c>
      <c r="N8" s="13">
        <v>9.5294384698077401</v>
      </c>
      <c r="O8" s="13">
        <v>9.7690092891357505</v>
      </c>
      <c r="P8" s="13">
        <v>8.7041988646697099</v>
      </c>
      <c r="Q8" s="13">
        <v>8.6804733727810603</v>
      </c>
      <c r="R8" s="13">
        <v>8.5171376292882393</v>
      </c>
      <c r="S8" s="13">
        <v>6.7793392140848701</v>
      </c>
      <c r="T8" s="13">
        <v>7.9918141241642102</v>
      </c>
      <c r="U8" s="13">
        <v>13.055550180910499</v>
      </c>
      <c r="V8" s="13">
        <v>0.65659863720652101</v>
      </c>
      <c r="W8" s="13">
        <v>8.00583082890242</v>
      </c>
      <c r="X8" s="13">
        <v>3.07634125744974</v>
      </c>
      <c r="Y8" s="16">
        <v>5.9947559883679098</v>
      </c>
      <c r="Z8" s="13"/>
      <c r="AA8" s="13"/>
    </row>
    <row r="9" spans="1:27" x14ac:dyDescent="0.25">
      <c r="A9" s="10" t="s">
        <v>315</v>
      </c>
      <c r="B9" s="10" t="s">
        <v>316</v>
      </c>
      <c r="C9" s="13">
        <v>13.163235427752101</v>
      </c>
      <c r="D9" s="13">
        <v>15.5494291450661</v>
      </c>
      <c r="E9" s="13">
        <v>11.1036824603691</v>
      </c>
      <c r="F9" s="13">
        <v>9.7122223597329693</v>
      </c>
      <c r="G9" s="13">
        <v>10.432589422195001</v>
      </c>
      <c r="H9" s="13">
        <v>15.4363433421985</v>
      </c>
      <c r="I9" s="13">
        <v>15.2084992275286</v>
      </c>
      <c r="J9" s="13">
        <v>11.892936150503701</v>
      </c>
      <c r="K9" s="13">
        <v>12.377643791643299</v>
      </c>
      <c r="L9" s="13">
        <v>15.7568958756285</v>
      </c>
      <c r="M9" s="13">
        <v>14.9139116823981</v>
      </c>
      <c r="N9" s="13">
        <v>16.1871967175903</v>
      </c>
      <c r="O9" s="13">
        <v>17.350142659237701</v>
      </c>
      <c r="P9" s="13">
        <v>11.9178723585384</v>
      </c>
      <c r="Q9" s="13">
        <v>13.8134122287968</v>
      </c>
      <c r="R9" s="13">
        <v>13.0624181780599</v>
      </c>
      <c r="S9" s="13">
        <v>11.158560290762701</v>
      </c>
      <c r="T9" s="13">
        <v>11.1335976269025</v>
      </c>
      <c r="U9" s="13">
        <v>12.2281504556624</v>
      </c>
      <c r="V9" s="13">
        <v>12.2736828763594</v>
      </c>
      <c r="W9" s="13">
        <v>19.626818388088299</v>
      </c>
      <c r="X9" s="13">
        <v>20.094408971889901</v>
      </c>
      <c r="Y9" s="16">
        <v>16.7772094223964</v>
      </c>
      <c r="Z9" s="13"/>
      <c r="AA9" s="13"/>
    </row>
    <row r="10" spans="1:27" x14ac:dyDescent="0.25">
      <c r="A10" s="10" t="s">
        <v>317</v>
      </c>
      <c r="B10" s="10" t="s">
        <v>318</v>
      </c>
      <c r="C10" s="13">
        <v>13.163235427752101</v>
      </c>
      <c r="D10" s="13">
        <v>15.5494291450661</v>
      </c>
      <c r="E10" s="13">
        <v>11.1036824603691</v>
      </c>
      <c r="F10" s="13">
        <v>9.7122223597329693</v>
      </c>
      <c r="G10" s="13">
        <v>10.432589422195001</v>
      </c>
      <c r="H10" s="13">
        <v>15.4363433421985</v>
      </c>
      <c r="I10" s="13">
        <v>15.2084992275286</v>
      </c>
      <c r="J10" s="13">
        <v>11.892936150503701</v>
      </c>
      <c r="K10" s="13">
        <v>12.377643791643299</v>
      </c>
      <c r="L10" s="13">
        <v>15.7568958756285</v>
      </c>
      <c r="M10" s="13">
        <v>14.9139116823981</v>
      </c>
      <c r="N10" s="13">
        <v>16.1871967175903</v>
      </c>
      <c r="O10" s="13">
        <v>17.350142659237701</v>
      </c>
      <c r="P10" s="13">
        <v>11.9178723585384</v>
      </c>
      <c r="Q10" s="13">
        <v>13.8134122287968</v>
      </c>
      <c r="R10" s="13">
        <v>13.0624181780599</v>
      </c>
      <c r="S10" s="13">
        <v>11.158560290762701</v>
      </c>
      <c r="T10" s="13">
        <v>11.1335976269025</v>
      </c>
      <c r="U10" s="13">
        <v>12.2281504556624</v>
      </c>
      <c r="V10" s="13">
        <v>12.2736828763594</v>
      </c>
      <c r="W10" s="13">
        <v>19.626818388088299</v>
      </c>
      <c r="X10" s="13">
        <v>20.094408971889901</v>
      </c>
      <c r="Y10" s="16">
        <v>16.7772094223964</v>
      </c>
      <c r="Z10" s="13"/>
      <c r="AA10" s="13"/>
    </row>
    <row r="11" spans="1:27" x14ac:dyDescent="0.25">
      <c r="A11" s="6" t="s">
        <v>2</v>
      </c>
      <c r="B11" s="6" t="s">
        <v>75</v>
      </c>
      <c r="C11" s="19">
        <v>86.836764572247901</v>
      </c>
      <c r="D11" s="19">
        <v>84.4505708549339</v>
      </c>
      <c r="E11" s="19">
        <v>88.8963175396309</v>
      </c>
      <c r="F11" s="19">
        <v>90.287777640266995</v>
      </c>
      <c r="G11" s="19">
        <v>89.567410577804907</v>
      </c>
      <c r="H11" s="19">
        <v>84.563656657801502</v>
      </c>
      <c r="I11" s="19">
        <v>84.791500772471394</v>
      </c>
      <c r="J11" s="19">
        <v>88.107063849496299</v>
      </c>
      <c r="K11" s="19">
        <v>87.622356208356607</v>
      </c>
      <c r="L11" s="19">
        <v>84.243104124371499</v>
      </c>
      <c r="M11" s="19">
        <v>85.086088317601806</v>
      </c>
      <c r="N11" s="19">
        <v>83.812803282409703</v>
      </c>
      <c r="O11" s="19">
        <v>82.649857340762296</v>
      </c>
      <c r="P11" s="19">
        <v>88.082127641461597</v>
      </c>
      <c r="Q11" s="19">
        <v>86.186587771203193</v>
      </c>
      <c r="R11" s="19">
        <v>86.9375818219401</v>
      </c>
      <c r="S11" s="19">
        <v>88.841439709237306</v>
      </c>
      <c r="T11" s="19">
        <v>88.8664023730975</v>
      </c>
      <c r="U11" s="19">
        <v>87.771849544337599</v>
      </c>
      <c r="V11" s="19">
        <v>87.726317123640598</v>
      </c>
      <c r="W11" s="19">
        <v>80.373181611911704</v>
      </c>
      <c r="X11" s="19">
        <v>79.905591028110095</v>
      </c>
      <c r="Y11" s="22">
        <v>83.222789139956305</v>
      </c>
      <c r="Z11" s="19">
        <v>83.033000000000001</v>
      </c>
      <c r="AA11" s="19">
        <v>83.352000000000004</v>
      </c>
    </row>
    <row r="12" spans="1:27" x14ac:dyDescent="0.25">
      <c r="A12" s="10" t="s">
        <v>319</v>
      </c>
      <c r="B12" s="10" t="s">
        <v>320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6">
        <v>0</v>
      </c>
      <c r="Z12" s="13"/>
      <c r="AA12" s="13"/>
    </row>
    <row r="13" spans="1:27" x14ac:dyDescent="0.25">
      <c r="A13" s="10" t="s">
        <v>321</v>
      </c>
      <c r="B13" s="10" t="s">
        <v>322</v>
      </c>
      <c r="C13" s="13">
        <v>211.62346906836601</v>
      </c>
      <c r="D13" s="13">
        <v>314.40971701976798</v>
      </c>
      <c r="E13" s="13">
        <v>192.724809543079</v>
      </c>
      <c r="F13" s="13">
        <v>191.008495737571</v>
      </c>
      <c r="G13" s="13">
        <v>184.803785331147</v>
      </c>
      <c r="H13" s="13">
        <v>202.186884206755</v>
      </c>
      <c r="I13" s="13">
        <v>188.14953957980299</v>
      </c>
      <c r="J13" s="13">
        <v>190.23091127376</v>
      </c>
      <c r="K13" s="13">
        <v>105.815021699418</v>
      </c>
      <c r="L13" s="13">
        <v>136.765924918471</v>
      </c>
      <c r="M13" s="13">
        <v>126.295119290424</v>
      </c>
      <c r="N13" s="13">
        <v>174.238394428812</v>
      </c>
      <c r="O13" s="13">
        <v>139.694010049116</v>
      </c>
      <c r="P13" s="13">
        <v>129.42184833628099</v>
      </c>
      <c r="Q13" s="13">
        <v>140.65917159763299</v>
      </c>
      <c r="R13" s="13">
        <v>138.04768065901601</v>
      </c>
      <c r="S13" s="13">
        <v>95.122612765470095</v>
      </c>
      <c r="T13" s="13">
        <v>82.660208024073697</v>
      </c>
      <c r="U13" s="13">
        <v>79.329760269334201</v>
      </c>
      <c r="V13" s="13">
        <v>87.919466785697594</v>
      </c>
      <c r="W13" s="13">
        <v>75.622040704494296</v>
      </c>
      <c r="X13" s="13">
        <v>55.349386098673797</v>
      </c>
      <c r="Y13" s="16">
        <v>71.756785958204603</v>
      </c>
      <c r="Z13" s="13"/>
      <c r="AA13" s="13"/>
    </row>
    <row r="14" spans="1:27" x14ac:dyDescent="0.25">
      <c r="A14" s="10" t="s">
        <v>323</v>
      </c>
      <c r="B14" s="10" t="s">
        <v>324</v>
      </c>
      <c r="C14" s="13">
        <v>76.159368342403695</v>
      </c>
      <c r="D14" s="13">
        <v>81.332094732951802</v>
      </c>
      <c r="E14" s="13">
        <v>72.811724756760597</v>
      </c>
      <c r="F14" s="13">
        <v>53.644722377932901</v>
      </c>
      <c r="G14" s="13">
        <v>52.370000833773403</v>
      </c>
      <c r="H14" s="13">
        <v>59.285645385770799</v>
      </c>
      <c r="I14" s="13">
        <v>48.411158979384901</v>
      </c>
      <c r="J14" s="13">
        <v>44.090097447117103</v>
      </c>
      <c r="K14" s="13">
        <v>32.273000855305497</v>
      </c>
      <c r="L14" s="13">
        <v>38.744471634708503</v>
      </c>
      <c r="M14" s="13">
        <v>34.074847033154697</v>
      </c>
      <c r="N14" s="13">
        <v>66.091902332892204</v>
      </c>
      <c r="O14" s="13">
        <v>45.506342581936799</v>
      </c>
      <c r="P14" s="13">
        <v>46.619741745251098</v>
      </c>
      <c r="Q14" s="13">
        <v>43.674161735700203</v>
      </c>
      <c r="R14" s="13">
        <v>45.385433972086801</v>
      </c>
      <c r="S14" s="13">
        <v>36.433636612952299</v>
      </c>
      <c r="T14" s="13">
        <v>33.192113533662102</v>
      </c>
      <c r="U14" s="13">
        <v>30.716821778921499</v>
      </c>
      <c r="V14" s="13">
        <v>38.243082018345099</v>
      </c>
      <c r="W14" s="13">
        <v>27.441713116368302</v>
      </c>
      <c r="X14" s="13">
        <v>24.889127172651801</v>
      </c>
      <c r="Y14" s="16">
        <v>29.3311335193501</v>
      </c>
      <c r="Z14" s="13"/>
      <c r="AA14" s="13"/>
    </row>
    <row r="15" spans="1:27" x14ac:dyDescent="0.25">
      <c r="A15" s="10" t="s">
        <v>325</v>
      </c>
      <c r="B15" s="10" t="s">
        <v>416</v>
      </c>
      <c r="C15" s="13">
        <v>135.24600922850101</v>
      </c>
      <c r="D15" s="13">
        <v>222.889135277137</v>
      </c>
      <c r="E15" s="13">
        <v>119.767053151996</v>
      </c>
      <c r="F15" s="13">
        <v>137.24365367675401</v>
      </c>
      <c r="G15" s="13">
        <v>132.318445846419</v>
      </c>
      <c r="H15" s="13">
        <v>142.787553914206</v>
      </c>
      <c r="I15" s="13">
        <v>132.81676433155701</v>
      </c>
      <c r="J15" s="13">
        <v>146.03172668490899</v>
      </c>
      <c r="K15" s="13">
        <v>73.448042828632694</v>
      </c>
      <c r="L15" s="13">
        <v>97.932602339907007</v>
      </c>
      <c r="M15" s="13">
        <v>92.135844044965097</v>
      </c>
      <c r="N15" s="13">
        <v>108.069828298792</v>
      </c>
      <c r="O15" s="13">
        <v>94.110366571271001</v>
      </c>
      <c r="P15" s="13">
        <v>82.732841382672902</v>
      </c>
      <c r="Q15" s="13">
        <v>96.914792899408297</v>
      </c>
      <c r="R15" s="13">
        <v>92.593726793192403</v>
      </c>
      <c r="S15" s="13">
        <v>58.556674311442698</v>
      </c>
      <c r="T15" s="13">
        <v>49.275796976165701</v>
      </c>
      <c r="U15" s="13">
        <v>48.467581216260697</v>
      </c>
      <c r="V15" s="13">
        <v>49.510788552093899</v>
      </c>
      <c r="W15" s="13">
        <v>48.0514671255983</v>
      </c>
      <c r="X15" s="13">
        <v>30.368978694191501</v>
      </c>
      <c r="Y15" s="16">
        <v>42.299205196271899</v>
      </c>
      <c r="Z15" s="13"/>
      <c r="AA15" s="13"/>
    </row>
    <row r="16" spans="1:27" x14ac:dyDescent="0.25">
      <c r="A16" s="10" t="s">
        <v>327</v>
      </c>
      <c r="B16" s="10" t="s">
        <v>417</v>
      </c>
      <c r="C16" s="13">
        <v>0.21809149746064799</v>
      </c>
      <c r="D16" s="13">
        <v>10.1884870096791</v>
      </c>
      <c r="E16" s="13">
        <v>0.14603163432271199</v>
      </c>
      <c r="F16" s="13">
        <v>0.120119682884037</v>
      </c>
      <c r="G16" s="13">
        <v>0.115338650954671</v>
      </c>
      <c r="H16" s="13">
        <v>0.113684906778376</v>
      </c>
      <c r="I16" s="13">
        <v>6.9216162688608902</v>
      </c>
      <c r="J16" s="13">
        <v>0.10908714173405901</v>
      </c>
      <c r="K16" s="13">
        <v>9.3978015479974197E-2</v>
      </c>
      <c r="L16" s="13">
        <v>8.8850943855138198E-2</v>
      </c>
      <c r="M16" s="13">
        <v>8.4428212303751804E-2</v>
      </c>
      <c r="N16" s="13">
        <v>7.6663797127891495E-2</v>
      </c>
      <c r="O16" s="13">
        <v>7.7300895908698097E-2</v>
      </c>
      <c r="P16" s="13">
        <v>6.9265208356711905E-2</v>
      </c>
      <c r="Q16" s="13">
        <v>7.02169625246548E-2</v>
      </c>
      <c r="R16" s="13">
        <v>6.8519893736745802E-2</v>
      </c>
      <c r="S16" s="13">
        <v>0.13230184107505</v>
      </c>
      <c r="T16" s="13">
        <v>0.192297514245894</v>
      </c>
      <c r="U16" s="13">
        <v>0.145357274152042</v>
      </c>
      <c r="V16" s="13">
        <v>0.16559621525854801</v>
      </c>
      <c r="W16" s="13">
        <v>0.12886046252771999</v>
      </c>
      <c r="X16" s="13">
        <v>9.1280231830525596E-2</v>
      </c>
      <c r="Y16" s="16">
        <v>0.12644724258259399</v>
      </c>
      <c r="Z16" s="13"/>
      <c r="AA16" s="13"/>
    </row>
    <row r="17" spans="1:27" x14ac:dyDescent="0.25">
      <c r="A17" s="6" t="s">
        <v>329</v>
      </c>
      <c r="B17" s="6" t="s">
        <v>99</v>
      </c>
      <c r="C17" s="19">
        <v>-124.78670449611801</v>
      </c>
      <c r="D17" s="19">
        <v>-229.95914616483401</v>
      </c>
      <c r="E17" s="19">
        <v>-103.82849200344801</v>
      </c>
      <c r="F17" s="19">
        <v>-100.720718097304</v>
      </c>
      <c r="G17" s="19">
        <v>-95.236374753342005</v>
      </c>
      <c r="H17" s="19">
        <v>-117.623227548953</v>
      </c>
      <c r="I17" s="19">
        <v>-103.358038807331</v>
      </c>
      <c r="J17" s="19">
        <v>-102.123847424264</v>
      </c>
      <c r="K17" s="19">
        <v>-18.192665491061501</v>
      </c>
      <c r="L17" s="19">
        <v>-52.522820794099097</v>
      </c>
      <c r="M17" s="19">
        <v>-41.209030972821701</v>
      </c>
      <c r="N17" s="19">
        <v>-90.425591146402198</v>
      </c>
      <c r="O17" s="19">
        <v>-57.044152708354098</v>
      </c>
      <c r="P17" s="19">
        <v>-41.339720694819</v>
      </c>
      <c r="Q17" s="19">
        <v>-54.472583826429997</v>
      </c>
      <c r="R17" s="19">
        <v>-51.110098837075803</v>
      </c>
      <c r="S17" s="19">
        <v>-6.2811730562327996</v>
      </c>
      <c r="T17" s="19">
        <v>6.2061943490237699</v>
      </c>
      <c r="U17" s="19">
        <v>8.44208927500339</v>
      </c>
      <c r="V17" s="19">
        <v>-0.19314966205697501</v>
      </c>
      <c r="W17" s="19">
        <v>4.7511409074174002</v>
      </c>
      <c r="X17" s="19">
        <v>24.556204929436301</v>
      </c>
      <c r="Y17" s="22">
        <v>11.466004619399101</v>
      </c>
      <c r="Z17" s="19">
        <v>18.157432724132999</v>
      </c>
      <c r="AA17" s="19">
        <v>33.686751743191699</v>
      </c>
    </row>
    <row r="18" spans="1:27" x14ac:dyDescent="0.25">
      <c r="A18" s="10" t="s">
        <v>330</v>
      </c>
      <c r="B18" s="10" t="s">
        <v>418</v>
      </c>
      <c r="C18" s="13">
        <v>2.5343039751214098</v>
      </c>
      <c r="D18" s="13">
        <v>4.7676125977645301</v>
      </c>
      <c r="E18" s="13">
        <v>-88.541794957510106</v>
      </c>
      <c r="F18" s="13">
        <v>9.0613920779249106</v>
      </c>
      <c r="G18" s="13">
        <v>41.226619604791402</v>
      </c>
      <c r="H18" s="13">
        <v>12.242830960878599</v>
      </c>
      <c r="I18" s="13">
        <v>10.568225901953999</v>
      </c>
      <c r="J18" s="13">
        <v>-52.297838368202598</v>
      </c>
      <c r="K18" s="13">
        <v>7.1006198325290599</v>
      </c>
      <c r="L18" s="13">
        <v>7.9797082313698402</v>
      </c>
      <c r="M18" s="13">
        <v>8.1890622776644708</v>
      </c>
      <c r="N18" s="13">
        <v>7.2642159948947898</v>
      </c>
      <c r="O18" s="13">
        <v>54.311696320390503</v>
      </c>
      <c r="P18" s="13">
        <v>-2.1387084166902102</v>
      </c>
      <c r="Q18" s="13">
        <v>147.779881656805</v>
      </c>
      <c r="R18" s="13">
        <v>-45.527067271989502</v>
      </c>
      <c r="S18" s="13">
        <v>3.7165063875570001</v>
      </c>
      <c r="T18" s="13">
        <v>-3.9684359886184102</v>
      </c>
      <c r="U18" s="13">
        <v>-1.5824836019580899</v>
      </c>
      <c r="V18" s="13">
        <v>-3.9340811338794399</v>
      </c>
      <c r="W18" s="13">
        <v>-2.5279768479275302</v>
      </c>
      <c r="X18" s="13">
        <v>-1.5282224503806101</v>
      </c>
      <c r="Y18" s="16">
        <v>-2.24466200730923</v>
      </c>
      <c r="Z18" s="13"/>
      <c r="AA18" s="13"/>
    </row>
    <row r="19" spans="1:27" x14ac:dyDescent="0.25">
      <c r="A19" s="10" t="s">
        <v>332</v>
      </c>
      <c r="B19" s="10" t="s">
        <v>333</v>
      </c>
      <c r="C19" s="13">
        <v>2.1566825859997398</v>
      </c>
      <c r="D19" s="13">
        <v>4.5568507586427298</v>
      </c>
      <c r="E19" s="13">
        <v>7.4880799479212499</v>
      </c>
      <c r="F19" s="13">
        <v>8.7913047909553494</v>
      </c>
      <c r="G19" s="13">
        <v>9.3479892165309497</v>
      </c>
      <c r="H19" s="13">
        <v>12.709283578387501</v>
      </c>
      <c r="I19" s="13">
        <v>10.5192233089001</v>
      </c>
      <c r="J19" s="13">
        <v>9.6033250248340796</v>
      </c>
      <c r="K19" s="13">
        <v>8.3666832096132104</v>
      </c>
      <c r="L19" s="13">
        <v>7.91865423084369</v>
      </c>
      <c r="M19" s="13">
        <v>7.4102357349523302</v>
      </c>
      <c r="N19" s="13">
        <v>5.2628197715504497</v>
      </c>
      <c r="O19" s="13">
        <v>2.8319052933742701</v>
      </c>
      <c r="P19" s="13">
        <v>-3.4303691177779401</v>
      </c>
      <c r="Q19" s="13">
        <v>-1.1648915187376701</v>
      </c>
      <c r="R19" s="13">
        <v>-1.22263989159311</v>
      </c>
      <c r="S19" s="13">
        <v>-1.3890186458198299</v>
      </c>
      <c r="T19" s="13">
        <v>-0.87983043542911599</v>
      </c>
      <c r="U19" s="13">
        <v>-0.70792136679372297</v>
      </c>
      <c r="V19" s="13">
        <v>-0.89383381414097995</v>
      </c>
      <c r="W19" s="13">
        <v>-0.57066776262275998</v>
      </c>
      <c r="X19" s="13">
        <v>-0.51745715448685603</v>
      </c>
      <c r="Y19" s="16">
        <v>-0.64375053562631301</v>
      </c>
      <c r="Z19" s="13"/>
      <c r="AA19" s="13"/>
    </row>
    <row r="20" spans="1:27" x14ac:dyDescent="0.25">
      <c r="A20" s="11" t="s">
        <v>334</v>
      </c>
      <c r="B20" s="11" t="s">
        <v>335</v>
      </c>
      <c r="C20" s="25">
        <v>3.4622025221877801</v>
      </c>
      <c r="D20" s="25">
        <v>6.0351802463216604</v>
      </c>
      <c r="E20" s="25">
        <v>9.3697767299470396</v>
      </c>
      <c r="F20" s="25">
        <v>9.2557675647736293</v>
      </c>
      <c r="G20" s="25">
        <v>9.4327561768711305</v>
      </c>
      <c r="H20" s="25">
        <v>12.758202538273901</v>
      </c>
      <c r="I20" s="25">
        <v>10.5593782115415</v>
      </c>
      <c r="J20" s="25">
        <v>9.6350151442205103</v>
      </c>
      <c r="K20" s="25">
        <v>8.4448222337201599</v>
      </c>
      <c r="L20" s="25">
        <v>7.9658097597053503</v>
      </c>
      <c r="M20" s="25">
        <v>7.4922923682587896</v>
      </c>
      <c r="N20" s="25">
        <v>6.2945688625062601</v>
      </c>
      <c r="O20" s="25">
        <v>4.9077383408101003</v>
      </c>
      <c r="P20" s="25">
        <v>0.100995639000569</v>
      </c>
      <c r="Q20" s="25">
        <v>2.4942800788954602</v>
      </c>
      <c r="R20" s="25">
        <v>1.9997090775461499</v>
      </c>
      <c r="S20" s="25">
        <v>1.5758686263814099</v>
      </c>
      <c r="T20" s="25">
        <v>1.3191155826513901</v>
      </c>
      <c r="U20" s="25">
        <v>1.0075846990306301</v>
      </c>
      <c r="V20" s="25">
        <v>1.3313825493</v>
      </c>
      <c r="W20" s="25">
        <v>1.0527172005171499</v>
      </c>
      <c r="X20" s="25">
        <v>0.67966561970316497</v>
      </c>
      <c r="Y20" s="28">
        <v>0.96694022384053702</v>
      </c>
      <c r="Z20" s="25"/>
      <c r="AA20" s="25"/>
    </row>
    <row r="21" spans="1:27" x14ac:dyDescent="0.25">
      <c r="A21" s="11" t="s">
        <v>336</v>
      </c>
      <c r="B21" s="11" t="s">
        <v>337</v>
      </c>
      <c r="C21" s="25">
        <v>1.3055199361880401</v>
      </c>
      <c r="D21" s="25">
        <v>1.4783294876789199</v>
      </c>
      <c r="E21" s="25">
        <v>1.8816967820257899</v>
      </c>
      <c r="F21" s="25">
        <v>0.464462773818277</v>
      </c>
      <c r="G21" s="25">
        <v>8.4766960340179498E-2</v>
      </c>
      <c r="H21" s="25">
        <v>4.8918959886452902E-2</v>
      </c>
      <c r="I21" s="25">
        <v>4.0154902641375903E-2</v>
      </c>
      <c r="J21" s="25">
        <v>3.1690119386430501E-2</v>
      </c>
      <c r="K21" s="25">
        <v>7.8139024106944899E-2</v>
      </c>
      <c r="L21" s="25">
        <v>4.7155528861665498E-2</v>
      </c>
      <c r="M21" s="25">
        <v>8.2056633306455407E-2</v>
      </c>
      <c r="N21" s="25">
        <v>1.03174909095581</v>
      </c>
      <c r="O21" s="25">
        <v>2.0758330474358302</v>
      </c>
      <c r="P21" s="25">
        <v>3.53136475677851</v>
      </c>
      <c r="Q21" s="25">
        <v>3.65917159763314</v>
      </c>
      <c r="R21" s="25">
        <v>3.22234896913925</v>
      </c>
      <c r="S21" s="25">
        <v>2.9648872722012398</v>
      </c>
      <c r="T21" s="25">
        <v>2.1989460180805001</v>
      </c>
      <c r="U21" s="25">
        <v>1.7155060658243499</v>
      </c>
      <c r="V21" s="25">
        <v>2.2252163634409801</v>
      </c>
      <c r="W21" s="25">
        <v>1.62338496313991</v>
      </c>
      <c r="X21" s="25">
        <v>1.1971227741900199</v>
      </c>
      <c r="Y21" s="28">
        <v>1.61069075946685</v>
      </c>
      <c r="Z21" s="25"/>
      <c r="AA21" s="25"/>
    </row>
    <row r="22" spans="1:27" x14ac:dyDescent="0.25">
      <c r="A22" s="10" t="s">
        <v>338</v>
      </c>
      <c r="B22" s="10" t="s">
        <v>419</v>
      </c>
      <c r="C22" s="13">
        <v>0.37762138912167698</v>
      </c>
      <c r="D22" s="13">
        <v>0.210761839121792</v>
      </c>
      <c r="E22" s="13">
        <v>-96.029874905431299</v>
      </c>
      <c r="F22" s="13">
        <v>0.27008728696956202</v>
      </c>
      <c r="G22" s="13">
        <v>31.8786303882605</v>
      </c>
      <c r="H22" s="13">
        <v>-0.46645261750885397</v>
      </c>
      <c r="I22" s="13">
        <v>4.9002593053882403E-2</v>
      </c>
      <c r="J22" s="13">
        <v>-61.901163393036697</v>
      </c>
      <c r="K22" s="13">
        <v>-1.2660633770841501</v>
      </c>
      <c r="L22" s="13">
        <v>6.10540005261564E-2</v>
      </c>
      <c r="M22" s="13">
        <v>0.77882654271213803</v>
      </c>
      <c r="N22" s="13">
        <v>2.0013962233443401</v>
      </c>
      <c r="O22" s="13">
        <v>51.479791027016198</v>
      </c>
      <c r="P22" s="13">
        <v>1.2916607010877299</v>
      </c>
      <c r="Q22" s="13">
        <v>148.944773175542</v>
      </c>
      <c r="R22" s="13">
        <v>-44.304427380396397</v>
      </c>
      <c r="S22" s="13">
        <v>5.1055250333768303</v>
      </c>
      <c r="T22" s="13">
        <v>-3.0886055531892902</v>
      </c>
      <c r="U22" s="13">
        <v>-0.87456223516436704</v>
      </c>
      <c r="V22" s="13">
        <v>-3.0402473197384601</v>
      </c>
      <c r="W22" s="13">
        <v>-1.9573090853047701</v>
      </c>
      <c r="X22" s="13">
        <v>-1.0107652958937601</v>
      </c>
      <c r="Y22" s="16">
        <v>-1.60091147168292</v>
      </c>
      <c r="Z22" s="13"/>
      <c r="AA22" s="13"/>
    </row>
    <row r="23" spans="1:27" x14ac:dyDescent="0.25">
      <c r="A23" s="6" t="s">
        <v>420</v>
      </c>
      <c r="B23" s="6" t="s">
        <v>158</v>
      </c>
      <c r="C23" s="19">
        <v>-127.321008471239</v>
      </c>
      <c r="D23" s="19">
        <v>-234.726758762598</v>
      </c>
      <c r="E23" s="19">
        <v>-15.2866970459384</v>
      </c>
      <c r="F23" s="19">
        <v>-109.78211017522899</v>
      </c>
      <c r="G23" s="19">
        <v>-136.46299435813299</v>
      </c>
      <c r="H23" s="19">
        <v>-129.86605850983199</v>
      </c>
      <c r="I23" s="19">
        <v>-113.92626470928499</v>
      </c>
      <c r="J23" s="19">
        <v>-49.826009056060997</v>
      </c>
      <c r="K23" s="19">
        <v>-25.293285323590599</v>
      </c>
      <c r="L23" s="19">
        <v>-60.502529025468903</v>
      </c>
      <c r="M23" s="19">
        <v>-49.398093250486198</v>
      </c>
      <c r="N23" s="19">
        <v>-97.689807141296995</v>
      </c>
      <c r="O23" s="19">
        <v>-111.355849028745</v>
      </c>
      <c r="P23" s="19">
        <v>-39.2010122781288</v>
      </c>
      <c r="Q23" s="19">
        <v>-202.252465483235</v>
      </c>
      <c r="R23" s="19">
        <v>-5.5830315650862401</v>
      </c>
      <c r="S23" s="19">
        <v>-9.9976794437897993</v>
      </c>
      <c r="T23" s="19">
        <v>10.174630337642199</v>
      </c>
      <c r="U23" s="19">
        <v>10.0245728769615</v>
      </c>
      <c r="V23" s="19">
        <v>3.7409314718224702</v>
      </c>
      <c r="W23" s="19">
        <v>7.27911775534493</v>
      </c>
      <c r="X23" s="19">
        <v>26.084427379816901</v>
      </c>
      <c r="Y23" s="22">
        <v>13.7106667342109</v>
      </c>
      <c r="Z23" s="19">
        <v>28.234278313426401</v>
      </c>
      <c r="AA23" s="19">
        <v>36.0323641626102</v>
      </c>
    </row>
    <row r="24" spans="1:27" x14ac:dyDescent="0.25">
      <c r="A24" s="10" t="s">
        <v>362</v>
      </c>
      <c r="B24" s="10" t="s">
        <v>363</v>
      </c>
      <c r="C24" s="13">
        <v>0.22818832604678899</v>
      </c>
      <c r="D24" s="13">
        <v>0.71019747685115797</v>
      </c>
      <c r="E24" s="13">
        <v>0.101166493657301</v>
      </c>
      <c r="F24" s="13">
        <v>1.4559961561701499E-2</v>
      </c>
      <c r="G24" s="13">
        <v>6.6701870431616697E-2</v>
      </c>
      <c r="H24" s="13">
        <v>0.57324752993702499</v>
      </c>
      <c r="I24" s="13">
        <v>-9.7324594537572001E-2</v>
      </c>
      <c r="J24" s="13">
        <v>-0.215736581976854</v>
      </c>
      <c r="K24" s="13">
        <v>0.125128031846932</v>
      </c>
      <c r="L24" s="13">
        <v>4.56664068976129E-2</v>
      </c>
      <c r="M24" s="13">
        <v>0.416923587724707</v>
      </c>
      <c r="N24" s="13">
        <v>1.4510443836273501</v>
      </c>
      <c r="O24" s="13">
        <v>0.57324259887349105</v>
      </c>
      <c r="P24" s="13">
        <v>3.07166046891385</v>
      </c>
      <c r="Q24" s="13">
        <v>1.5956607495069</v>
      </c>
      <c r="R24" s="13">
        <v>3.5810257313254601</v>
      </c>
      <c r="S24" s="13">
        <v>2.33954257919275</v>
      </c>
      <c r="T24" s="13">
        <v>-1.3317169924971199</v>
      </c>
      <c r="U24" s="13">
        <v>1.2888667453514699</v>
      </c>
      <c r="V24" s="13">
        <v>1.96097880864407</v>
      </c>
      <c r="W24" s="13">
        <v>8.4551300163537194E-2</v>
      </c>
      <c r="X24" s="13">
        <v>1.9279721511758601</v>
      </c>
      <c r="Y24" s="16">
        <v>1.3425489976492899</v>
      </c>
      <c r="Z24" s="13"/>
      <c r="AA24" s="13"/>
    </row>
    <row r="25" spans="1:27" x14ac:dyDescent="0.25">
      <c r="A25" s="10" t="s">
        <v>364</v>
      </c>
      <c r="B25" s="10" t="s">
        <v>365</v>
      </c>
      <c r="C25" s="13" t="s">
        <v>141</v>
      </c>
      <c r="D25" s="13" t="s">
        <v>141</v>
      </c>
      <c r="E25" s="13" t="s">
        <v>141</v>
      </c>
      <c r="F25" s="13" t="s">
        <v>141</v>
      </c>
      <c r="G25" s="13" t="s">
        <v>141</v>
      </c>
      <c r="H25" s="13" t="s">
        <v>141</v>
      </c>
      <c r="I25" s="13" t="s">
        <v>141</v>
      </c>
      <c r="J25" s="13" t="s">
        <v>141</v>
      </c>
      <c r="K25" s="13" t="s">
        <v>141</v>
      </c>
      <c r="L25" s="13" t="s">
        <v>141</v>
      </c>
      <c r="M25" s="13" t="s">
        <v>141</v>
      </c>
      <c r="N25" s="13" t="s">
        <v>141</v>
      </c>
      <c r="O25" s="13" t="s">
        <v>141</v>
      </c>
      <c r="P25" s="13" t="s">
        <v>141</v>
      </c>
      <c r="Q25" s="13" t="s">
        <v>141</v>
      </c>
      <c r="R25" s="13" t="s">
        <v>141</v>
      </c>
      <c r="S25" s="13" t="s">
        <v>141</v>
      </c>
      <c r="T25" s="13" t="s">
        <v>141</v>
      </c>
      <c r="U25" s="13" t="s">
        <v>141</v>
      </c>
      <c r="V25" s="13" t="s">
        <v>141</v>
      </c>
      <c r="W25" s="13" t="s">
        <v>141</v>
      </c>
      <c r="X25" s="13" t="s">
        <v>141</v>
      </c>
      <c r="Y25" s="16"/>
      <c r="Z25" s="13"/>
      <c r="AA25" s="13"/>
    </row>
    <row r="26" spans="1:27" x14ac:dyDescent="0.25">
      <c r="A26" s="10" t="s">
        <v>366</v>
      </c>
      <c r="B26" s="10" t="s">
        <v>367</v>
      </c>
      <c r="C26" s="13" t="s">
        <v>141</v>
      </c>
      <c r="D26" s="13" t="s">
        <v>141</v>
      </c>
      <c r="E26" s="13" t="s">
        <v>141</v>
      </c>
      <c r="F26" s="13" t="s">
        <v>141</v>
      </c>
      <c r="G26" s="13" t="s">
        <v>141</v>
      </c>
      <c r="H26" s="13" t="s">
        <v>141</v>
      </c>
      <c r="I26" s="13" t="s">
        <v>141</v>
      </c>
      <c r="J26" s="13" t="s">
        <v>141</v>
      </c>
      <c r="K26" s="13" t="s">
        <v>141</v>
      </c>
      <c r="L26" s="13" t="s">
        <v>141</v>
      </c>
      <c r="M26" s="13" t="s">
        <v>141</v>
      </c>
      <c r="N26" s="13" t="s">
        <v>141</v>
      </c>
      <c r="O26" s="13" t="s">
        <v>141</v>
      </c>
      <c r="P26" s="13" t="s">
        <v>141</v>
      </c>
      <c r="Q26" s="13" t="s">
        <v>141</v>
      </c>
      <c r="R26" s="13" t="s">
        <v>141</v>
      </c>
      <c r="S26" s="13" t="s">
        <v>141</v>
      </c>
      <c r="T26" s="13" t="s">
        <v>141</v>
      </c>
      <c r="U26" s="13" t="s">
        <v>141</v>
      </c>
      <c r="V26" s="13" t="s">
        <v>141</v>
      </c>
      <c r="W26" s="13" t="s">
        <v>141</v>
      </c>
      <c r="X26" s="13" t="s">
        <v>141</v>
      </c>
      <c r="Y26" s="16"/>
      <c r="Z26" s="13"/>
      <c r="AA26" s="13"/>
    </row>
    <row r="27" spans="1:27" x14ac:dyDescent="0.25">
      <c r="A27" s="6" t="s">
        <v>368</v>
      </c>
      <c r="B27" s="6" t="s">
        <v>369</v>
      </c>
      <c r="C27" s="19">
        <v>-127.549196797286</v>
      </c>
      <c r="D27" s="19">
        <v>-235.43695623944899</v>
      </c>
      <c r="E27" s="19">
        <v>-15.387863539595701</v>
      </c>
      <c r="F27" s="19">
        <v>-109.79667013679099</v>
      </c>
      <c r="G27" s="19">
        <v>-136.529696228565</v>
      </c>
      <c r="H27" s="19">
        <v>-130.43930603976901</v>
      </c>
      <c r="I27" s="19">
        <v>-113.82894011474799</v>
      </c>
      <c r="J27" s="19">
        <v>-49.610272474084198</v>
      </c>
      <c r="K27" s="19">
        <v>-25.418413355437501</v>
      </c>
      <c r="L27" s="19">
        <v>-60.548195432366597</v>
      </c>
      <c r="M27" s="19">
        <v>-49.815016838210902</v>
      </c>
      <c r="N27" s="19">
        <v>-99.140851524924301</v>
      </c>
      <c r="O27" s="19">
        <v>-111.92909162761801</v>
      </c>
      <c r="P27" s="19">
        <v>-42.272672747042698</v>
      </c>
      <c r="Q27" s="19">
        <v>-203.848126232742</v>
      </c>
      <c r="R27" s="19">
        <v>-9.1640572964117002</v>
      </c>
      <c r="S27" s="19">
        <v>-12.3372220229825</v>
      </c>
      <c r="T27" s="19">
        <v>11.506347330139301</v>
      </c>
      <c r="U27" s="19">
        <v>8.7357061316100104</v>
      </c>
      <c r="V27" s="19">
        <v>1.7799526631784</v>
      </c>
      <c r="W27" s="19">
        <v>7.1945664551813904</v>
      </c>
      <c r="X27" s="19">
        <v>24.156455228641001</v>
      </c>
      <c r="Y27" s="22">
        <v>12.368117629059</v>
      </c>
      <c r="Z27" s="19">
        <v>15.407540653331401</v>
      </c>
      <c r="AA27" s="19">
        <v>34.491119589527699</v>
      </c>
    </row>
    <row r="28" spans="1:27" x14ac:dyDescent="0.25">
      <c r="A28" s="10" t="s">
        <v>370</v>
      </c>
      <c r="B28" s="10" t="s">
        <v>371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6">
        <v>0</v>
      </c>
      <c r="Z28" s="13"/>
      <c r="AA28" s="13"/>
    </row>
    <row r="29" spans="1:27" x14ac:dyDescent="0.25">
      <c r="A29" s="10" t="s">
        <v>372</v>
      </c>
      <c r="B29" s="10" t="s">
        <v>373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6">
        <v>0</v>
      </c>
      <c r="Z29" s="13"/>
      <c r="AA29" s="13"/>
    </row>
    <row r="30" spans="1:27" x14ac:dyDescent="0.25">
      <c r="A30" s="10" t="s">
        <v>374</v>
      </c>
      <c r="B30" s="10" t="s">
        <v>375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6">
        <v>0</v>
      </c>
      <c r="Z30" s="13"/>
      <c r="AA30" s="13"/>
    </row>
    <row r="31" spans="1:27" x14ac:dyDescent="0.25">
      <c r="A31" s="6" t="s">
        <v>376</v>
      </c>
      <c r="B31" s="6" t="s">
        <v>377</v>
      </c>
      <c r="C31" s="19">
        <v>-127.549196797286</v>
      </c>
      <c r="D31" s="19">
        <v>-235.43695623944899</v>
      </c>
      <c r="E31" s="19">
        <v>-15.387863539595701</v>
      </c>
      <c r="F31" s="19">
        <v>-109.79667013679099</v>
      </c>
      <c r="G31" s="19">
        <v>-136.529696228565</v>
      </c>
      <c r="H31" s="19">
        <v>-130.43930603976901</v>
      </c>
      <c r="I31" s="19">
        <v>-113.82894011474799</v>
      </c>
      <c r="J31" s="19">
        <v>-49.610272474084198</v>
      </c>
      <c r="K31" s="19">
        <v>-25.418413355437501</v>
      </c>
      <c r="L31" s="19">
        <v>-60.548195432366597</v>
      </c>
      <c r="M31" s="19">
        <v>-49.815016838210902</v>
      </c>
      <c r="N31" s="19">
        <v>-99.140851524924301</v>
      </c>
      <c r="O31" s="19">
        <v>-111.92909162761801</v>
      </c>
      <c r="P31" s="19">
        <v>-42.272672747042698</v>
      </c>
      <c r="Q31" s="19">
        <v>-203.848126232742</v>
      </c>
      <c r="R31" s="19">
        <v>-9.1640572964117002</v>
      </c>
      <c r="S31" s="19">
        <v>-12.3372220229825</v>
      </c>
      <c r="T31" s="19">
        <v>11.506347330139301</v>
      </c>
      <c r="U31" s="19">
        <v>8.7357061316100104</v>
      </c>
      <c r="V31" s="19">
        <v>1.7799526631784</v>
      </c>
      <c r="W31" s="19">
        <v>7.1945664551813904</v>
      </c>
      <c r="X31" s="19">
        <v>24.156455228641001</v>
      </c>
      <c r="Y31" s="22">
        <v>12.368117629059</v>
      </c>
      <c r="Z31" s="19"/>
      <c r="AA31" s="19"/>
    </row>
    <row r="32" spans="1:27" x14ac:dyDescent="0.25">
      <c r="A32" s="10" t="s">
        <v>378</v>
      </c>
      <c r="B32" s="10" t="s">
        <v>379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6">
        <v>0</v>
      </c>
      <c r="Z32" s="13"/>
      <c r="AA32" s="13"/>
    </row>
    <row r="33" spans="1:27" x14ac:dyDescent="0.25">
      <c r="A33" s="6" t="s">
        <v>380</v>
      </c>
      <c r="B33" s="6" t="s">
        <v>381</v>
      </c>
      <c r="C33" s="19">
        <v>-127.549196797286</v>
      </c>
      <c r="D33" s="19">
        <v>-235.43695623944899</v>
      </c>
      <c r="E33" s="19">
        <v>-15.387863539595701</v>
      </c>
      <c r="F33" s="19">
        <v>-109.79667013679099</v>
      </c>
      <c r="G33" s="19">
        <v>-136.529696228565</v>
      </c>
      <c r="H33" s="19">
        <v>-130.43930603976901</v>
      </c>
      <c r="I33" s="19">
        <v>-113.82894011474799</v>
      </c>
      <c r="J33" s="19">
        <v>-49.610272474084198</v>
      </c>
      <c r="K33" s="19">
        <v>-25.418413355437501</v>
      </c>
      <c r="L33" s="19">
        <v>-60.548195432366597</v>
      </c>
      <c r="M33" s="19">
        <v>-49.815016838210902</v>
      </c>
      <c r="N33" s="19">
        <v>-99.140851524924301</v>
      </c>
      <c r="O33" s="19">
        <v>-111.92909162761801</v>
      </c>
      <c r="P33" s="19">
        <v>-42.272672747042698</v>
      </c>
      <c r="Q33" s="19">
        <v>-203.848126232742</v>
      </c>
      <c r="R33" s="19">
        <v>-9.1640572964117002</v>
      </c>
      <c r="S33" s="19">
        <v>-12.3372220229825</v>
      </c>
      <c r="T33" s="19">
        <v>11.506347330139301</v>
      </c>
      <c r="U33" s="19">
        <v>8.7357061316100104</v>
      </c>
      <c r="V33" s="19">
        <v>1.7799526631784</v>
      </c>
      <c r="W33" s="19">
        <v>7.1945664551813904</v>
      </c>
      <c r="X33" s="19">
        <v>24.156455228641001</v>
      </c>
      <c r="Y33" s="22">
        <v>12.368117629059</v>
      </c>
      <c r="Z33" s="19">
        <v>15.407540653331401</v>
      </c>
      <c r="AA33" s="19">
        <v>34.491119589527699</v>
      </c>
    </row>
    <row r="34" spans="1:27" x14ac:dyDescent="0.25">
      <c r="A34" s="10" t="s">
        <v>382</v>
      </c>
      <c r="B34" s="10" t="s">
        <v>383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6">
        <v>0</v>
      </c>
      <c r="Z34" s="13"/>
      <c r="AA34" s="13"/>
    </row>
    <row r="35" spans="1:27" x14ac:dyDescent="0.25">
      <c r="A35" s="10" t="s">
        <v>384</v>
      </c>
      <c r="B35" s="10" t="s">
        <v>385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6">
        <v>0</v>
      </c>
      <c r="Z35" s="13"/>
      <c r="AA35" s="13"/>
    </row>
    <row r="36" spans="1:27" x14ac:dyDescent="0.25">
      <c r="A36" s="6" t="s">
        <v>386</v>
      </c>
      <c r="B36" s="6" t="s">
        <v>80</v>
      </c>
      <c r="C36" s="19">
        <v>-127.549196797286</v>
      </c>
      <c r="D36" s="19">
        <v>-235.43695623944899</v>
      </c>
      <c r="E36" s="19">
        <v>-15.387863539595701</v>
      </c>
      <c r="F36" s="19">
        <v>-109.79667013679099</v>
      </c>
      <c r="G36" s="19">
        <v>-136.529696228565</v>
      </c>
      <c r="H36" s="19">
        <v>-130.43930603976901</v>
      </c>
      <c r="I36" s="19">
        <v>-113.82894011474799</v>
      </c>
      <c r="J36" s="19">
        <v>-49.610272474084198</v>
      </c>
      <c r="K36" s="19">
        <v>-25.418413355437501</v>
      </c>
      <c r="L36" s="19">
        <v>-60.548195432366597</v>
      </c>
      <c r="M36" s="19">
        <v>-49.815016838210902</v>
      </c>
      <c r="N36" s="19">
        <v>-99.140851524924301</v>
      </c>
      <c r="O36" s="19">
        <v>-111.92909162761801</v>
      </c>
      <c r="P36" s="19">
        <v>-42.272672747042698</v>
      </c>
      <c r="Q36" s="19">
        <v>-203.848126232742</v>
      </c>
      <c r="R36" s="19">
        <v>-9.1640572964117002</v>
      </c>
      <c r="S36" s="19">
        <v>-12.3372220229825</v>
      </c>
      <c r="T36" s="19">
        <v>11.506347330139301</v>
      </c>
      <c r="U36" s="19">
        <v>8.7357061316100104</v>
      </c>
      <c r="V36" s="19">
        <v>1.7799526631784</v>
      </c>
      <c r="W36" s="19">
        <v>7.1945664551813904</v>
      </c>
      <c r="X36" s="19">
        <v>24.156455228641001</v>
      </c>
      <c r="Y36" s="22">
        <v>12.368117606996901</v>
      </c>
      <c r="Z36" s="19">
        <v>15.407540653331401</v>
      </c>
      <c r="AA36" s="19">
        <v>34.491119589527699</v>
      </c>
    </row>
    <row r="37" spans="1:27" x14ac:dyDescent="0.25">
      <c r="A37" s="6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21"/>
      <c r="Z37" s="18"/>
      <c r="AA37" s="18"/>
    </row>
    <row r="38" spans="1:27" x14ac:dyDescent="0.25">
      <c r="A38" s="10" t="s">
        <v>388</v>
      </c>
      <c r="B38" s="10" t="s">
        <v>389</v>
      </c>
      <c r="C38" s="13">
        <v>9.6882503205743102</v>
      </c>
      <c r="D38" s="13">
        <v>66.929010218453101</v>
      </c>
      <c r="E38" s="13">
        <v>-84.978674982845703</v>
      </c>
      <c r="F38" s="13">
        <v>0</v>
      </c>
      <c r="G38" s="13">
        <v>33.139886328895798</v>
      </c>
      <c r="H38" s="13">
        <v>5.7816560790420102</v>
      </c>
      <c r="I38" s="13">
        <v>9.4979282792603303</v>
      </c>
      <c r="J38" s="13">
        <v>-42.856620492537601</v>
      </c>
      <c r="K38" s="13">
        <v>1.8719153564301001</v>
      </c>
      <c r="L38" s="13">
        <v>0</v>
      </c>
      <c r="M38" s="13">
        <v>0</v>
      </c>
      <c r="N38" s="13">
        <v>0</v>
      </c>
      <c r="O38" s="13">
        <v>40.737307236319303</v>
      </c>
      <c r="P38" s="13">
        <v>0.787166201673974</v>
      </c>
      <c r="Q38" s="13">
        <v>120.706078895464</v>
      </c>
      <c r="R38" s="13">
        <v>-31.087360950550799</v>
      </c>
      <c r="S38" s="13">
        <v>0.476166079495626</v>
      </c>
      <c r="T38" s="13">
        <v>0</v>
      </c>
      <c r="U38" s="13">
        <v>2.3673212178085601</v>
      </c>
      <c r="V38" s="13">
        <v>0</v>
      </c>
      <c r="W38" s="13">
        <v>-0.29110027998253302</v>
      </c>
      <c r="X38" s="13">
        <v>-0.10790781455987999</v>
      </c>
      <c r="Y38" s="16">
        <v>0.40576704153547399</v>
      </c>
      <c r="Z38" s="13"/>
      <c r="AA38" s="13"/>
    </row>
    <row r="39" spans="1:27" x14ac:dyDescent="0.25">
      <c r="A39" s="10" t="s">
        <v>390</v>
      </c>
      <c r="B39" s="10" t="s">
        <v>371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6">
        <v>0</v>
      </c>
      <c r="Z39" s="13"/>
      <c r="AA39" s="13"/>
    </row>
    <row r="40" spans="1:27" x14ac:dyDescent="0.25">
      <c r="A40" s="6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21"/>
      <c r="Z40" s="18"/>
      <c r="AA40" s="18"/>
    </row>
    <row r="41" spans="1:27" x14ac:dyDescent="0.25">
      <c r="A41" s="10" t="s">
        <v>259</v>
      </c>
      <c r="B41" s="10" t="s">
        <v>106</v>
      </c>
      <c r="C41" s="13">
        <v>74.895245403418798</v>
      </c>
      <c r="D41" s="13">
        <v>74.472845684376693</v>
      </c>
      <c r="E41" s="13">
        <v>67.237890810563499</v>
      </c>
      <c r="F41" s="13">
        <v>56.760554152136997</v>
      </c>
      <c r="G41" s="13">
        <v>54.543370112003601</v>
      </c>
      <c r="H41" s="13">
        <v>54.365500420289699</v>
      </c>
      <c r="I41" s="13">
        <v>54.075722618099597</v>
      </c>
      <c r="J41" s="13">
        <v>48.599235780582497</v>
      </c>
      <c r="K41" s="13">
        <v>42.173954362586201</v>
      </c>
      <c r="L41" s="13">
        <v>42.663840644094897</v>
      </c>
      <c r="M41" s="13">
        <v>41.385476450220601</v>
      </c>
      <c r="N41" s="13">
        <v>37.480031008150299</v>
      </c>
      <c r="O41" s="13">
        <v>38.054623071277497</v>
      </c>
      <c r="P41" s="13">
        <v>33.989482523111</v>
      </c>
      <c r="Q41" s="13">
        <v>34.7873767258383</v>
      </c>
      <c r="R41" s="13">
        <v>33.970172792625903</v>
      </c>
      <c r="S41" s="13">
        <v>26.7885611647384</v>
      </c>
      <c r="T41" s="13">
        <v>23.594123710560702</v>
      </c>
      <c r="U41" s="13">
        <v>22.7325716386433</v>
      </c>
      <c r="V41" s="13">
        <v>26.0705202917359</v>
      </c>
      <c r="W41" s="13">
        <v>20.418603854683099</v>
      </c>
      <c r="X41" s="13">
        <v>14.6235184048893</v>
      </c>
      <c r="Y41" s="16">
        <v>5.0622535790353096</v>
      </c>
      <c r="Z41" s="13"/>
      <c r="AA41" s="13"/>
    </row>
    <row r="42" spans="1:27" x14ac:dyDescent="0.25">
      <c r="A42" s="6" t="s">
        <v>101</v>
      </c>
      <c r="B42" s="6" t="s">
        <v>102</v>
      </c>
      <c r="C42" s="19">
        <v>-1.7164608596439901</v>
      </c>
      <c r="D42" s="19">
        <v>-3.1564332304495899</v>
      </c>
      <c r="E42" s="19">
        <v>-0.202332987314601</v>
      </c>
      <c r="F42" s="19">
        <v>-1.40503629070419</v>
      </c>
      <c r="G42" s="19">
        <v>-1.7370278758233499</v>
      </c>
      <c r="H42" s="19">
        <v>-1.6535986440491099</v>
      </c>
      <c r="I42" s="19">
        <v>-1.4292422974048999</v>
      </c>
      <c r="J42" s="19">
        <v>-0.62161388027229103</v>
      </c>
      <c r="K42" s="19">
        <v>-0.31677982746058703</v>
      </c>
      <c r="L42" s="19">
        <v>-0.70485106298489497</v>
      </c>
      <c r="M42" s="19">
        <v>-0.56917895935113605</v>
      </c>
      <c r="N42" s="19">
        <v>-1.1349668289883399</v>
      </c>
      <c r="O42" s="19">
        <v>-1.2767676065818701</v>
      </c>
      <c r="P42" s="19">
        <v>-0.47982602437051802</v>
      </c>
      <c r="Q42" s="19">
        <v>-2.3116370808678499</v>
      </c>
      <c r="R42" s="19">
        <v>-0.103354029658779</v>
      </c>
      <c r="S42" s="19">
        <v>-0.13863063073923301</v>
      </c>
      <c r="T42" s="19">
        <v>0.123493816488189</v>
      </c>
      <c r="U42" s="19">
        <v>9.1906429580326202E-2</v>
      </c>
      <c r="V42" s="19">
        <v>1.92874127588991E-2</v>
      </c>
      <c r="W42" s="19">
        <v>7.49188735626279E-2</v>
      </c>
      <c r="X42" s="19">
        <v>0.250602965924072</v>
      </c>
      <c r="Y42" s="22">
        <v>0.12881319930451399</v>
      </c>
      <c r="Z42" s="19">
        <v>8.5623830767016795E-2</v>
      </c>
      <c r="AA42" s="19">
        <v>0.31337981844494101</v>
      </c>
    </row>
    <row r="43" spans="1:27" x14ac:dyDescent="0.25">
      <c r="A43" s="6" t="s">
        <v>391</v>
      </c>
      <c r="B43" s="6" t="s">
        <v>266</v>
      </c>
      <c r="C43" s="19">
        <v>-1.7164608596439901</v>
      </c>
      <c r="D43" s="19">
        <v>-3.1564332304495899</v>
      </c>
      <c r="E43" s="19">
        <v>-0.202332987314601</v>
      </c>
      <c r="F43" s="19">
        <v>-1.40503629070419</v>
      </c>
      <c r="G43" s="19">
        <v>-1.7370278758233499</v>
      </c>
      <c r="H43" s="19">
        <v>-1.6535986440491099</v>
      </c>
      <c r="I43" s="19">
        <v>-1.4292422974048999</v>
      </c>
      <c r="J43" s="19">
        <v>-0.62161388027229103</v>
      </c>
      <c r="K43" s="19">
        <v>-0.31677982746058703</v>
      </c>
      <c r="L43" s="19">
        <v>-0.70485106298489497</v>
      </c>
      <c r="M43" s="19">
        <v>-0.56917895935113605</v>
      </c>
      <c r="N43" s="19">
        <v>-1.1349668289883399</v>
      </c>
      <c r="O43" s="19">
        <v>-1.2767676065818701</v>
      </c>
      <c r="P43" s="19">
        <v>-0.47982602437051802</v>
      </c>
      <c r="Q43" s="19">
        <v>-2.3116370808678499</v>
      </c>
      <c r="R43" s="19">
        <v>-0.103354029658779</v>
      </c>
      <c r="S43" s="19">
        <v>-0.13863063073923301</v>
      </c>
      <c r="T43" s="19">
        <v>0.123493816488189</v>
      </c>
      <c r="U43" s="19">
        <v>9.1906429580326202E-2</v>
      </c>
      <c r="V43" s="19">
        <v>1.92874127588991E-2</v>
      </c>
      <c r="W43" s="19">
        <v>7.49188735626279E-2</v>
      </c>
      <c r="X43" s="19">
        <v>0.250602965924072</v>
      </c>
      <c r="Y43" s="22">
        <v>0.12881319930451399</v>
      </c>
      <c r="Z43" s="19">
        <v>8.5623830767016795E-2</v>
      </c>
      <c r="AA43" s="19">
        <v>0.31337981844494101</v>
      </c>
    </row>
    <row r="44" spans="1:27" x14ac:dyDescent="0.25">
      <c r="A44" s="6" t="s">
        <v>392</v>
      </c>
      <c r="B44" s="6" t="s">
        <v>268</v>
      </c>
      <c r="C44" s="19">
        <v>-1.5889146918952799</v>
      </c>
      <c r="D44" s="19">
        <v>-2.2601220620698599</v>
      </c>
      <c r="E44" s="19">
        <v>-1.3131481253408901</v>
      </c>
      <c r="F44" s="19">
        <v>-1.40503629070419</v>
      </c>
      <c r="G44" s="19">
        <v>-1.3170506656290799</v>
      </c>
      <c r="H44" s="19">
        <v>-1.5798446995273501</v>
      </c>
      <c r="I44" s="19">
        <v>-1.3130993459514999</v>
      </c>
      <c r="J44" s="19">
        <v>-1.15951770075995</v>
      </c>
      <c r="K44" s="19">
        <v>-0.29477313284689999</v>
      </c>
      <c r="L44" s="19">
        <v>-0.70485106298489497</v>
      </c>
      <c r="M44" s="19">
        <v>-0.56917895935113605</v>
      </c>
      <c r="N44" s="19">
        <v>-1.1349668289883399</v>
      </c>
      <c r="O44" s="19">
        <v>-0.81243198172572095</v>
      </c>
      <c r="P44" s="19">
        <v>-0.47229585143967101</v>
      </c>
      <c r="Q44" s="19">
        <v>-0.94280315581854002</v>
      </c>
      <c r="R44" s="19">
        <v>-0.453572987084574</v>
      </c>
      <c r="S44" s="19">
        <v>-0.13343680402149399</v>
      </c>
      <c r="T44" s="19">
        <v>0.123493816488189</v>
      </c>
      <c r="U44" s="19">
        <v>0.118128543234719</v>
      </c>
      <c r="V44" s="19">
        <v>1.92874127588991E-2</v>
      </c>
      <c r="W44" s="19">
        <v>7.2370989699725094E-2</v>
      </c>
      <c r="X44" s="19">
        <v>0.24976944527135</v>
      </c>
      <c r="Y44" s="22">
        <v>0.133599161715245</v>
      </c>
      <c r="Z44" s="19">
        <v>0.207367966613901</v>
      </c>
      <c r="AA44" s="19">
        <v>0.36850414419155397</v>
      </c>
    </row>
    <row r="45" spans="1:27" x14ac:dyDescent="0.25">
      <c r="A45" s="6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21"/>
      <c r="Z45" s="18"/>
      <c r="AA45" s="18"/>
    </row>
    <row r="46" spans="1:27" x14ac:dyDescent="0.25">
      <c r="A46" s="10" t="s">
        <v>258</v>
      </c>
      <c r="B46" s="10" t="s">
        <v>108</v>
      </c>
      <c r="C46" s="13">
        <v>74.895245403418798</v>
      </c>
      <c r="D46" s="13">
        <v>74.472845684376693</v>
      </c>
      <c r="E46" s="13">
        <v>67.237890810563499</v>
      </c>
      <c r="F46" s="13">
        <v>56.760554152136997</v>
      </c>
      <c r="G46" s="13">
        <v>54.543370112003601</v>
      </c>
      <c r="H46" s="13">
        <v>54.365500420289699</v>
      </c>
      <c r="I46" s="13">
        <v>54.075722618099597</v>
      </c>
      <c r="J46" s="13">
        <v>48.599235780582497</v>
      </c>
      <c r="K46" s="13">
        <v>42.173954362586201</v>
      </c>
      <c r="L46" s="13">
        <v>42.663840644094897</v>
      </c>
      <c r="M46" s="13">
        <v>41.385476450220601</v>
      </c>
      <c r="N46" s="13">
        <v>37.480031008150299</v>
      </c>
      <c r="O46" s="13">
        <v>38.054623071277497</v>
      </c>
      <c r="P46" s="13">
        <v>33.989482523111</v>
      </c>
      <c r="Q46" s="13">
        <v>34.7873767258383</v>
      </c>
      <c r="R46" s="13">
        <v>33.970172792625903</v>
      </c>
      <c r="S46" s="13">
        <v>26.7885611647384</v>
      </c>
      <c r="T46" s="13">
        <v>26.612665425007702</v>
      </c>
      <c r="U46" s="13">
        <v>23.9716154248012</v>
      </c>
      <c r="V46" s="13">
        <v>27.3175892938327</v>
      </c>
      <c r="W46" s="13">
        <v>21.501288604625302</v>
      </c>
      <c r="X46" s="13">
        <v>16.475094621604701</v>
      </c>
      <c r="Y46" s="16">
        <v>5.7032175434113599</v>
      </c>
      <c r="Z46" s="13"/>
      <c r="AA46" s="13"/>
    </row>
    <row r="47" spans="1:27" x14ac:dyDescent="0.25">
      <c r="A47" s="6" t="s">
        <v>103</v>
      </c>
      <c r="B47" s="6" t="s">
        <v>104</v>
      </c>
      <c r="C47" s="19">
        <v>-1.7164608596439901</v>
      </c>
      <c r="D47" s="19">
        <v>-3.1564332304495899</v>
      </c>
      <c r="E47" s="19">
        <v>-0.202332987314601</v>
      </c>
      <c r="F47" s="19">
        <v>-1.40503629070419</v>
      </c>
      <c r="G47" s="19">
        <v>-1.7370278758233499</v>
      </c>
      <c r="H47" s="19">
        <v>-1.6535986440491099</v>
      </c>
      <c r="I47" s="19">
        <v>-1.4292422974048999</v>
      </c>
      <c r="J47" s="19">
        <v>-0.62161388027229103</v>
      </c>
      <c r="K47" s="19">
        <v>-0.31677982746058703</v>
      </c>
      <c r="L47" s="19">
        <v>-0.70485106298489497</v>
      </c>
      <c r="M47" s="19">
        <v>-0.56917895935113605</v>
      </c>
      <c r="N47" s="19">
        <v>-1.1349668289883399</v>
      </c>
      <c r="O47" s="19">
        <v>-1.2767676065818701</v>
      </c>
      <c r="P47" s="19">
        <v>-0.47982602437051802</v>
      </c>
      <c r="Q47" s="19">
        <v>-2.3116370808678499</v>
      </c>
      <c r="R47" s="19">
        <v>-0.103354029658779</v>
      </c>
      <c r="S47" s="19">
        <v>-0.13863063073923301</v>
      </c>
      <c r="T47" s="19">
        <v>0.118453252549895</v>
      </c>
      <c r="U47" s="19">
        <v>8.9487839328212401E-2</v>
      </c>
      <c r="V47" s="19">
        <v>1.92874127588991E-2</v>
      </c>
      <c r="W47" s="19">
        <v>7.2778334317981405E-2</v>
      </c>
      <c r="X47" s="19">
        <v>0.227820878112793</v>
      </c>
      <c r="Y47" s="22">
        <v>0.11987514057726199</v>
      </c>
      <c r="Z47" s="19">
        <v>8.5623830767016795E-2</v>
      </c>
      <c r="AA47" s="19">
        <v>0.31337981844494101</v>
      </c>
    </row>
    <row r="48" spans="1:27" x14ac:dyDescent="0.25">
      <c r="A48" s="6" t="s">
        <v>393</v>
      </c>
      <c r="B48" s="6" t="s">
        <v>271</v>
      </c>
      <c r="C48" s="19">
        <v>-1.7164608596439901</v>
      </c>
      <c r="D48" s="19">
        <v>-3.1564332304495899</v>
      </c>
      <c r="E48" s="19">
        <v>-0.202332987314601</v>
      </c>
      <c r="F48" s="19">
        <v>-1.40503629070419</v>
      </c>
      <c r="G48" s="19">
        <v>-1.7370278758233499</v>
      </c>
      <c r="H48" s="19">
        <v>-1.6535986440491099</v>
      </c>
      <c r="I48" s="19">
        <v>-1.4292422974048999</v>
      </c>
      <c r="J48" s="19">
        <v>-0.62161388027229103</v>
      </c>
      <c r="K48" s="19">
        <v>-0.31677982746058703</v>
      </c>
      <c r="L48" s="19">
        <v>-0.70485106298489497</v>
      </c>
      <c r="M48" s="19">
        <v>-0.56917895935113605</v>
      </c>
      <c r="N48" s="19">
        <v>-1.1349668289883399</v>
      </c>
      <c r="O48" s="19">
        <v>-1.2767676065818701</v>
      </c>
      <c r="P48" s="19">
        <v>-0.47982602437051802</v>
      </c>
      <c r="Q48" s="19">
        <v>-2.3116370808678499</v>
      </c>
      <c r="R48" s="19">
        <v>-0.103354029658779</v>
      </c>
      <c r="S48" s="19">
        <v>-0.13863063073923301</v>
      </c>
      <c r="T48" s="19">
        <v>0.118453252549895</v>
      </c>
      <c r="U48" s="19">
        <v>8.9487839328212401E-2</v>
      </c>
      <c r="V48" s="19">
        <v>1.92874127588991E-2</v>
      </c>
      <c r="W48" s="19">
        <v>7.2778334317981405E-2</v>
      </c>
      <c r="X48" s="19">
        <v>0.227820878112793</v>
      </c>
      <c r="Y48" s="22">
        <v>0.11987514057726199</v>
      </c>
      <c r="Z48" s="19">
        <v>8.5623830767016795E-2</v>
      </c>
      <c r="AA48" s="19">
        <v>0.31337981844494101</v>
      </c>
    </row>
    <row r="49" spans="1:27" x14ac:dyDescent="0.25">
      <c r="A49" s="6" t="s">
        <v>394</v>
      </c>
      <c r="B49" s="6" t="s">
        <v>82</v>
      </c>
      <c r="C49" s="19">
        <v>-1.5889146918952799</v>
      </c>
      <c r="D49" s="19">
        <v>-2.2601220620698599</v>
      </c>
      <c r="E49" s="19">
        <v>-1.31415363231698</v>
      </c>
      <c r="F49" s="19">
        <v>-1.40503629070419</v>
      </c>
      <c r="G49" s="19">
        <v>-1.3170506656290799</v>
      </c>
      <c r="H49" s="19">
        <v>-1.58032493213356</v>
      </c>
      <c r="I49" s="19">
        <v>-1.3130993459514999</v>
      </c>
      <c r="J49" s="19">
        <v>-1.15951770075995</v>
      </c>
      <c r="K49" s="19">
        <v>-0.29477313284689999</v>
      </c>
      <c r="L49" s="19">
        <v>-0.70485106298489497</v>
      </c>
      <c r="M49" s="19">
        <v>-0.56917895935113605</v>
      </c>
      <c r="N49" s="19">
        <v>-1.1349668289883399</v>
      </c>
      <c r="O49" s="19">
        <v>-0.81243198172572095</v>
      </c>
      <c r="P49" s="19">
        <v>-0.47229585143967101</v>
      </c>
      <c r="Q49" s="19">
        <v>-0.94287021696252504</v>
      </c>
      <c r="R49" s="19">
        <v>-0.45366179499154002</v>
      </c>
      <c r="S49" s="19">
        <v>-0.13343680402149399</v>
      </c>
      <c r="T49" s="19">
        <v>0.118453252549895</v>
      </c>
      <c r="U49" s="19">
        <v>0.113372627362963</v>
      </c>
      <c r="V49" s="19">
        <v>1.92874127588991E-2</v>
      </c>
      <c r="W49" s="19">
        <v>6.9880258234654505E-2</v>
      </c>
      <c r="X49" s="19">
        <v>0.22682606027836699</v>
      </c>
      <c r="Y49" s="22">
        <v>0.12401114838807401</v>
      </c>
      <c r="Z49" s="19">
        <v>0.207367966613901</v>
      </c>
      <c r="AA49" s="19">
        <v>0.36850414419155397</v>
      </c>
    </row>
    <row r="50" spans="1:27" x14ac:dyDescent="0.25">
      <c r="A50" s="6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21"/>
      <c r="Z50" s="18"/>
      <c r="AA50" s="18"/>
    </row>
    <row r="51" spans="1:27" x14ac:dyDescent="0.25">
      <c r="A51" s="6" t="s">
        <v>4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21"/>
      <c r="Z51" s="18"/>
      <c r="AA51" s="18"/>
    </row>
    <row r="52" spans="1:27" x14ac:dyDescent="0.25">
      <c r="A52" s="10" t="s">
        <v>395</v>
      </c>
      <c r="B52" s="10" t="s">
        <v>396</v>
      </c>
      <c r="C52" s="12" t="s">
        <v>397</v>
      </c>
      <c r="D52" s="12" t="s">
        <v>397</v>
      </c>
      <c r="E52" s="12" t="s">
        <v>397</v>
      </c>
      <c r="F52" s="12" t="s">
        <v>397</v>
      </c>
      <c r="G52" s="12" t="s">
        <v>397</v>
      </c>
      <c r="H52" s="12" t="s">
        <v>397</v>
      </c>
      <c r="I52" s="12" t="s">
        <v>397</v>
      </c>
      <c r="J52" s="12" t="s">
        <v>397</v>
      </c>
      <c r="K52" s="12" t="s">
        <v>397</v>
      </c>
      <c r="L52" s="12" t="s">
        <v>397</v>
      </c>
      <c r="M52" s="12" t="s">
        <v>397</v>
      </c>
      <c r="N52" s="12" t="s">
        <v>397</v>
      </c>
      <c r="O52" s="12" t="s">
        <v>397</v>
      </c>
      <c r="P52" s="12" t="s">
        <v>397</v>
      </c>
      <c r="Q52" s="12" t="s">
        <v>397</v>
      </c>
      <c r="R52" s="12" t="s">
        <v>397</v>
      </c>
      <c r="S52" s="12" t="s">
        <v>397</v>
      </c>
      <c r="T52" s="12" t="s">
        <v>397</v>
      </c>
      <c r="U52" s="12" t="s">
        <v>397</v>
      </c>
      <c r="V52" s="12" t="s">
        <v>397</v>
      </c>
      <c r="W52" s="12" t="s">
        <v>397</v>
      </c>
      <c r="X52" s="12" t="s">
        <v>397</v>
      </c>
      <c r="Y52" s="15"/>
      <c r="Z52" s="12"/>
      <c r="AA52" s="12"/>
    </row>
    <row r="53" spans="1:27" x14ac:dyDescent="0.25">
      <c r="A53" s="10" t="s">
        <v>78</v>
      </c>
      <c r="B53" s="10" t="s">
        <v>78</v>
      </c>
      <c r="C53" s="13">
        <v>-113.79832594582</v>
      </c>
      <c r="D53" s="13">
        <v>-219.16833977605299</v>
      </c>
      <c r="E53" s="13">
        <v>-97.381107377236702</v>
      </c>
      <c r="F53" s="13">
        <v>-94.550934385533196</v>
      </c>
      <c r="G53" s="13">
        <v>-89.1088352185876</v>
      </c>
      <c r="H53" s="13">
        <v>-102.97096556380799</v>
      </c>
      <c r="I53" s="13">
        <v>-97.280356085509496</v>
      </c>
      <c r="J53" s="13">
        <v>-96.9760313000872</v>
      </c>
      <c r="K53" s="13">
        <v>-12.6516583423968</v>
      </c>
      <c r="L53" s="13">
        <v>-47.487106685661203</v>
      </c>
      <c r="M53" s="13">
        <v>-36.124839918417699</v>
      </c>
      <c r="N53" s="13">
        <v>-86.190237572113205</v>
      </c>
      <c r="O53" s="13">
        <v>-52.3961106358216</v>
      </c>
      <c r="P53" s="13">
        <v>-37.256169053543204</v>
      </c>
      <c r="Q53" s="13">
        <v>-50.013017751479303</v>
      </c>
      <c r="R53" s="13">
        <v>-46.9789999923441</v>
      </c>
      <c r="S53" s="13">
        <v>-2.9877914633668601</v>
      </c>
      <c r="T53" s="13">
        <v>9.0722590043374005</v>
      </c>
      <c r="U53" s="13">
        <v>10.556904591451699</v>
      </c>
      <c r="V53" s="13">
        <v>2.2092353642978999</v>
      </c>
      <c r="W53" s="13">
        <v>6.8501536907177698</v>
      </c>
      <c r="X53" s="13">
        <v>26.1441164498824</v>
      </c>
      <c r="Y53" s="16">
        <v>13.4494124277923</v>
      </c>
      <c r="Z53" s="13">
        <v>2.61908188228522</v>
      </c>
      <c r="AA53" s="13">
        <v>36.337324036311003</v>
      </c>
    </row>
    <row r="54" spans="1:27" x14ac:dyDescent="0.25">
      <c r="A54" s="10" t="s">
        <v>398</v>
      </c>
      <c r="B54" s="10" t="s">
        <v>399</v>
      </c>
      <c r="C54" s="13">
        <v>-160.68788784442799</v>
      </c>
      <c r="D54" s="13">
        <v>-174.33645680381201</v>
      </c>
      <c r="E54" s="13">
        <v>-152.836142829495</v>
      </c>
      <c r="F54" s="13">
        <v>-92.610257492920198</v>
      </c>
      <c r="G54" s="13">
        <v>-82.556488841332893</v>
      </c>
      <c r="H54" s="13">
        <v>-66.115747771086802</v>
      </c>
      <c r="I54" s="13">
        <v>-65.3475025692332</v>
      </c>
      <c r="J54" s="13">
        <v>-58.878796872429</v>
      </c>
      <c r="K54" s="13">
        <v>-38.886123459658101</v>
      </c>
      <c r="L54" s="13">
        <v>-29.822099066320501</v>
      </c>
      <c r="M54" s="13">
        <v>-21.983186453540799</v>
      </c>
      <c r="N54" s="13">
        <v>-20.360339547812099</v>
      </c>
      <c r="O54" s="13">
        <v>-24.4749740520869</v>
      </c>
      <c r="P54" s="13">
        <v>-20.502061704078901</v>
      </c>
      <c r="Q54" s="13">
        <v>-22.033136883629201</v>
      </c>
      <c r="R54" s="13">
        <v>-17.7939549376431</v>
      </c>
      <c r="S54" s="13">
        <v>-9.7014113200951098</v>
      </c>
      <c r="T54" s="13">
        <v>-4.5289368694569596</v>
      </c>
      <c r="U54" s="13">
        <v>-0.91336972505465996</v>
      </c>
      <c r="V54" s="13">
        <v>1.42344880982887</v>
      </c>
      <c r="W54" s="13">
        <v>1.5615574135436201</v>
      </c>
      <c r="X54" s="13">
        <v>2.0427045679604898</v>
      </c>
      <c r="Y54" s="16">
        <v>0.70712728309788497</v>
      </c>
      <c r="Z54" s="13">
        <v>4.1605445083271198</v>
      </c>
      <c r="AA54" s="13"/>
    </row>
    <row r="55" spans="1:27" x14ac:dyDescent="0.25">
      <c r="A55" s="10" t="s">
        <v>400</v>
      </c>
      <c r="B55" s="10" t="s">
        <v>400</v>
      </c>
      <c r="C55" s="13">
        <v>-120.38650659827699</v>
      </c>
      <c r="D55" s="13">
        <v>-225.60706401766001</v>
      </c>
      <c r="E55" s="13">
        <v>-102.978693456727</v>
      </c>
      <c r="F55" s="13">
        <v>-99.144602258250004</v>
      </c>
      <c r="G55" s="13">
        <v>-93.592451571662806</v>
      </c>
      <c r="H55" s="13">
        <v>-107.878708539459</v>
      </c>
      <c r="I55" s="13">
        <v>-103.24233824039899</v>
      </c>
      <c r="J55" s="13">
        <v>-102.01476028253001</v>
      </c>
      <c r="K55" s="13">
        <v>-18.098687475581599</v>
      </c>
      <c r="L55" s="13">
        <v>-52.433969850243997</v>
      </c>
      <c r="M55" s="13">
        <v>-41.124602760518002</v>
      </c>
      <c r="N55" s="13">
        <v>-90.348927349274305</v>
      </c>
      <c r="O55" s="13">
        <v>-56.966851812445398</v>
      </c>
      <c r="P55" s="13">
        <v>-41.270455486462303</v>
      </c>
      <c r="Q55" s="13">
        <v>-54.4023668639053</v>
      </c>
      <c r="R55" s="13">
        <v>-51.041578943338997</v>
      </c>
      <c r="S55" s="13">
        <v>-6.14887121515775</v>
      </c>
      <c r="T55" s="13">
        <v>6.5907893775155602</v>
      </c>
      <c r="U55" s="13">
        <v>8.5874465491554304</v>
      </c>
      <c r="V55" s="13">
        <v>0.13804276846012101</v>
      </c>
      <c r="W55" s="13">
        <v>5.0088618324728396</v>
      </c>
      <c r="X55" s="13">
        <v>24.738765393097299</v>
      </c>
      <c r="Y55" s="16">
        <v>11.6873004381226</v>
      </c>
      <c r="Z55" s="13"/>
      <c r="AA55" s="13"/>
    </row>
    <row r="56" spans="1:27" x14ac:dyDescent="0.25">
      <c r="A56" s="10" t="s">
        <v>142</v>
      </c>
      <c r="B56" s="10" t="s">
        <v>142</v>
      </c>
      <c r="C56" s="13">
        <v>-124.78670449611801</v>
      </c>
      <c r="D56" s="13">
        <v>-229.95914616483401</v>
      </c>
      <c r="E56" s="13">
        <v>-103.82849200344801</v>
      </c>
      <c r="F56" s="13">
        <v>-100.720718097304</v>
      </c>
      <c r="G56" s="13">
        <v>-95.236374753342005</v>
      </c>
      <c r="H56" s="13">
        <v>-117.623227548953</v>
      </c>
      <c r="I56" s="13">
        <v>-103.358038807331</v>
      </c>
      <c r="J56" s="13">
        <v>-102.123847424264</v>
      </c>
      <c r="K56" s="13">
        <v>-18.192665491061501</v>
      </c>
      <c r="L56" s="13">
        <v>-52.522820794099097</v>
      </c>
      <c r="M56" s="13">
        <v>-41.209030972821701</v>
      </c>
      <c r="N56" s="13">
        <v>-90.425591146402198</v>
      </c>
      <c r="O56" s="13">
        <v>-57.044152708354098</v>
      </c>
      <c r="P56" s="13">
        <v>-41.339720694819</v>
      </c>
      <c r="Q56" s="13">
        <v>-54.472583826429997</v>
      </c>
      <c r="R56" s="13">
        <v>-51.110098837075803</v>
      </c>
      <c r="S56" s="13">
        <v>-6.2811730562327996</v>
      </c>
      <c r="T56" s="13">
        <v>6.2061943490237699</v>
      </c>
      <c r="U56" s="13">
        <v>8.44208927500339</v>
      </c>
      <c r="V56" s="13">
        <v>-0.19314966205697501</v>
      </c>
      <c r="W56" s="13">
        <v>4.7511409074174002</v>
      </c>
      <c r="X56" s="13">
        <v>24.556204929436301</v>
      </c>
      <c r="Y56" s="16">
        <v>11.466004619399101</v>
      </c>
      <c r="Z56" s="13">
        <v>18.157432724132999</v>
      </c>
      <c r="AA56" s="13">
        <v>33.686751743191699</v>
      </c>
    </row>
    <row r="57" spans="1:27" x14ac:dyDescent="0.25">
      <c r="A57" s="10" t="s">
        <v>401</v>
      </c>
      <c r="B57" s="10" t="s">
        <v>153</v>
      </c>
      <c r="C57" s="13">
        <v>87.677593118001596</v>
      </c>
      <c r="D57" s="13">
        <v>84.355249567988196</v>
      </c>
      <c r="E57" s="13">
        <v>78.202859053081596</v>
      </c>
      <c r="F57" s="13">
        <v>65.729328858571805</v>
      </c>
      <c r="G57" s="13">
        <v>62.2324358689308</v>
      </c>
      <c r="H57" s="13">
        <v>58.264311896264203</v>
      </c>
      <c r="I57" s="13">
        <v>57.7083808045954</v>
      </c>
      <c r="J57" s="13">
        <v>53.6946803259207</v>
      </c>
      <c r="K57" s="13">
        <v>46.261658025616903</v>
      </c>
      <c r="L57" s="13">
        <v>41.816085495455702</v>
      </c>
      <c r="M57" s="13">
        <v>40.357675852582602</v>
      </c>
      <c r="N57" s="13">
        <v>35.896132546994103</v>
      </c>
      <c r="O57" s="13">
        <v>35.892741532729097</v>
      </c>
      <c r="P57" s="13">
        <v>34.0839494325283</v>
      </c>
      <c r="Q57" s="13">
        <v>33.998654043392499</v>
      </c>
      <c r="R57" s="13">
        <v>33.279071957372203</v>
      </c>
      <c r="S57" s="13">
        <v>26.7742279630037</v>
      </c>
      <c r="T57" s="13">
        <v>22.396839062354299</v>
      </c>
      <c r="U57" s="13">
        <v>21.228414081999901</v>
      </c>
      <c r="V57" s="13">
        <v>24.171624082814599</v>
      </c>
      <c r="W57" s="13">
        <v>17.2041950288117</v>
      </c>
      <c r="X57" s="13">
        <v>12.1361079384944</v>
      </c>
      <c r="Y57" s="16">
        <v>4.37558935075538</v>
      </c>
      <c r="Z57" s="13"/>
      <c r="AA57" s="13"/>
    </row>
    <row r="58" spans="1:27" x14ac:dyDescent="0.25">
      <c r="A58" s="10" t="s">
        <v>402</v>
      </c>
      <c r="B58" s="10" t="s">
        <v>403</v>
      </c>
      <c r="C58" s="13">
        <v>-125.994996011753</v>
      </c>
      <c r="D58" s="13">
        <v>-229.69958546842099</v>
      </c>
      <c r="E58" s="13">
        <v>-91.338821542305197</v>
      </c>
      <c r="F58" s="13">
        <v>-73.324489127348699</v>
      </c>
      <c r="G58" s="13">
        <v>-66.171295266946402</v>
      </c>
      <c r="H58" s="13">
        <v>-81.042337637283097</v>
      </c>
      <c r="I58" s="13">
        <v>-70.344610055059903</v>
      </c>
      <c r="J58" s="13">
        <v>-62.236863531376301</v>
      </c>
      <c r="K58" s="13">
        <v>-9.6051154662471099</v>
      </c>
      <c r="L58" s="13">
        <v>-26.070962121701001</v>
      </c>
      <c r="M58" s="13">
        <v>-19.5460944837073</v>
      </c>
      <c r="N58" s="13">
        <v>-38.7283193496854</v>
      </c>
      <c r="O58" s="13">
        <v>-24.772832209285699</v>
      </c>
      <c r="P58" s="13">
        <v>-15.996672561303599</v>
      </c>
      <c r="Q58" s="13">
        <v>-21.488198816568001</v>
      </c>
      <c r="R58" s="13">
        <v>-19.564572918181899</v>
      </c>
      <c r="S58" s="13">
        <v>-1.8929629886353001</v>
      </c>
      <c r="T58" s="13">
        <v>1.56413588352265</v>
      </c>
      <c r="U58" s="13">
        <v>2.0417954162877501</v>
      </c>
      <c r="V58" s="13">
        <v>-5.32194824911622E-2</v>
      </c>
      <c r="W58" s="13">
        <v>1.0170003767349101</v>
      </c>
      <c r="X58" s="13">
        <v>3.7296107908118299</v>
      </c>
      <c r="Y58" s="16">
        <v>0.602846015618419</v>
      </c>
      <c r="Z58" s="13">
        <v>2.6129562129994199</v>
      </c>
      <c r="AA58" s="13">
        <v>4.4318841919736496</v>
      </c>
    </row>
    <row r="59" spans="1:27" x14ac:dyDescent="0.25">
      <c r="A59" s="10" t="s">
        <v>404</v>
      </c>
      <c r="B59" s="10" t="s">
        <v>405</v>
      </c>
      <c r="C59" s="13">
        <v>-128.78423784089401</v>
      </c>
      <c r="D59" s="13">
        <v>-235.171212529841</v>
      </c>
      <c r="E59" s="13">
        <v>-13.536836919612201</v>
      </c>
      <c r="F59" s="13">
        <v>-79.931764740141105</v>
      </c>
      <c r="G59" s="13">
        <v>-94.862355131875105</v>
      </c>
      <c r="H59" s="13">
        <v>-89.872608138461302</v>
      </c>
      <c r="I59" s="13">
        <v>-77.471017007983306</v>
      </c>
      <c r="J59" s="13">
        <v>-30.233758509101801</v>
      </c>
      <c r="K59" s="13">
        <v>-13.4200674741033</v>
      </c>
      <c r="L59" s="13">
        <v>-30.054549019413201</v>
      </c>
      <c r="M59" s="13">
        <v>-23.628049613432601</v>
      </c>
      <c r="N59" s="13">
        <v>-42.460972987789503</v>
      </c>
      <c r="O59" s="13">
        <v>-48.607972414871298</v>
      </c>
      <c r="P59" s="13">
        <v>-16.357684375084599</v>
      </c>
      <c r="Q59" s="13">
        <v>-80.413461932938901</v>
      </c>
      <c r="R59" s="13">
        <v>-3.5079341443434702</v>
      </c>
      <c r="S59" s="13">
        <v>-3.7180801465868201</v>
      </c>
      <c r="T59" s="13">
        <v>2.8999238874845301</v>
      </c>
      <c r="U59" s="13">
        <v>2.1128093376932502</v>
      </c>
      <c r="V59" s="13">
        <v>0.49043840289201002</v>
      </c>
      <c r="W59" s="13">
        <v>1.5400250871199499</v>
      </c>
      <c r="X59" s="13">
        <v>3.6688965267947702</v>
      </c>
      <c r="Y59" s="16">
        <v>0.65027624537699902</v>
      </c>
      <c r="Z59" s="13">
        <v>2.01252465359268</v>
      </c>
      <c r="AA59" s="13">
        <v>5.0687145164583702</v>
      </c>
    </row>
    <row r="60" spans="1:27" x14ac:dyDescent="0.25">
      <c r="A60" s="10" t="s">
        <v>406</v>
      </c>
      <c r="B60" s="10" t="s">
        <v>407</v>
      </c>
      <c r="C60" s="13" t="s">
        <v>141</v>
      </c>
      <c r="D60" s="13">
        <v>134589.50201871901</v>
      </c>
      <c r="E60" s="13" t="s">
        <v>141</v>
      </c>
      <c r="F60" s="13" t="s">
        <v>141</v>
      </c>
      <c r="G60" s="13" t="s">
        <v>141</v>
      </c>
      <c r="H60" s="13">
        <v>115473.44110846199</v>
      </c>
      <c r="I60" s="13" t="s">
        <v>141</v>
      </c>
      <c r="J60" s="13" t="s">
        <v>141</v>
      </c>
      <c r="K60" s="13" t="s">
        <v>141</v>
      </c>
      <c r="L60" s="13">
        <v>119047.619047855</v>
      </c>
      <c r="M60" s="13" t="s">
        <v>141</v>
      </c>
      <c r="N60" s="13" t="s">
        <v>141</v>
      </c>
      <c r="O60" s="13" t="s">
        <v>141</v>
      </c>
      <c r="P60" s="13">
        <v>86058.519793597399</v>
      </c>
      <c r="Q60" s="13" t="s">
        <v>141</v>
      </c>
      <c r="R60" s="13" t="s">
        <v>141</v>
      </c>
      <c r="S60" s="13" t="s">
        <v>141</v>
      </c>
      <c r="T60" s="13">
        <v>76103.500761125106</v>
      </c>
      <c r="U60" s="13" t="s">
        <v>141</v>
      </c>
      <c r="V60" s="13" t="s">
        <v>141</v>
      </c>
      <c r="W60" s="13" t="s">
        <v>141</v>
      </c>
      <c r="X60" s="13">
        <v>72886.297376111004</v>
      </c>
      <c r="Y60" s="16">
        <v>25231.200148891399</v>
      </c>
      <c r="Z60" s="13"/>
      <c r="AA60" s="13"/>
    </row>
    <row r="61" spans="1:27" x14ac:dyDescent="0.25">
      <c r="A61" s="10" t="s">
        <v>408</v>
      </c>
      <c r="B61" s="10" t="s">
        <v>274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6">
        <v>0</v>
      </c>
      <c r="Z61" s="13"/>
      <c r="AA61" s="13"/>
    </row>
    <row r="62" spans="1:27" x14ac:dyDescent="0.25">
      <c r="A62" s="10" t="s">
        <v>409</v>
      </c>
      <c r="B62" s="10" t="s">
        <v>410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6">
        <v>0</v>
      </c>
      <c r="Z62" s="13"/>
      <c r="AA62" s="13"/>
    </row>
    <row r="63" spans="1:27" x14ac:dyDescent="0.25">
      <c r="A63" s="10" t="s">
        <v>411</v>
      </c>
      <c r="B63" s="10" t="s">
        <v>412</v>
      </c>
      <c r="C63" s="13">
        <v>6.5881806524570603</v>
      </c>
      <c r="D63" s="13">
        <v>6.4387242416069803</v>
      </c>
      <c r="E63" s="13">
        <v>5.5975860794904699</v>
      </c>
      <c r="F63" s="13">
        <v>4.5936678727168196</v>
      </c>
      <c r="G63" s="13">
        <v>4.48361635307523</v>
      </c>
      <c r="H63" s="13">
        <v>4.90774297565076</v>
      </c>
      <c r="I63" s="13">
        <v>5.9619821548890304</v>
      </c>
      <c r="J63" s="13">
        <v>5.0387289824424597</v>
      </c>
      <c r="K63" s="13">
        <v>5.4470291331847998</v>
      </c>
      <c r="L63" s="13">
        <v>4.9468631645827204</v>
      </c>
      <c r="M63" s="13">
        <v>4.99976284210027</v>
      </c>
      <c r="N63" s="13">
        <v>4.1586897771610403</v>
      </c>
      <c r="O63" s="13">
        <v>4.5707411766238604</v>
      </c>
      <c r="P63" s="13">
        <v>4.0142864329191603</v>
      </c>
      <c r="Q63" s="13">
        <v>4.3893491124260402</v>
      </c>
      <c r="R63" s="13">
        <v>4.0625789509948804</v>
      </c>
      <c r="S63" s="13">
        <v>3.1610797517909002</v>
      </c>
      <c r="T63" s="13">
        <v>2.4814696268218501</v>
      </c>
      <c r="U63" s="13">
        <v>1.9694580422963099</v>
      </c>
      <c r="V63" s="13">
        <v>2.0711925958377799</v>
      </c>
      <c r="W63" s="13">
        <v>1.84129185824493</v>
      </c>
      <c r="X63" s="13">
        <v>1.40535105678511</v>
      </c>
      <c r="Y63" s="16">
        <v>1.7621119896697099</v>
      </c>
      <c r="Z63" s="13"/>
      <c r="AA63" s="13"/>
    </row>
    <row r="64" spans="1:27" x14ac:dyDescent="0.25">
      <c r="A64" s="10" t="s">
        <v>413</v>
      </c>
      <c r="B64" s="10" t="s">
        <v>414</v>
      </c>
      <c r="C64" s="13">
        <v>3.6489938510313902</v>
      </c>
      <c r="D64" s="13">
        <v>3.6139162746096898</v>
      </c>
      <c r="E64" s="13">
        <v>1.49550468884705</v>
      </c>
      <c r="F64" s="13">
        <v>4.0767892372764098</v>
      </c>
      <c r="G64" s="13">
        <v>3.61301798171257</v>
      </c>
      <c r="H64" s="13">
        <v>16.2211136986868</v>
      </c>
      <c r="I64" s="13" t="s">
        <v>141</v>
      </c>
      <c r="J64" s="13" t="s">
        <v>141</v>
      </c>
      <c r="K64" s="13" t="s">
        <v>141</v>
      </c>
      <c r="L64" s="13" t="s">
        <v>141</v>
      </c>
      <c r="M64" s="13" t="s">
        <v>141</v>
      </c>
      <c r="N64" s="13" t="s">
        <v>141</v>
      </c>
      <c r="O64" s="13" t="s">
        <v>141</v>
      </c>
      <c r="P64" s="13" t="s">
        <v>141</v>
      </c>
      <c r="Q64" s="13" t="s">
        <v>141</v>
      </c>
      <c r="R64" s="13" t="s">
        <v>141</v>
      </c>
      <c r="S64" s="13" t="s">
        <v>141</v>
      </c>
      <c r="T64" s="13" t="s">
        <v>141</v>
      </c>
      <c r="U64" s="13" t="s">
        <v>141</v>
      </c>
      <c r="V64" s="13" t="s">
        <v>141</v>
      </c>
      <c r="W64" s="13" t="s">
        <v>141</v>
      </c>
      <c r="X64" s="13" t="s">
        <v>141</v>
      </c>
      <c r="Y64" s="16"/>
      <c r="Z64" s="13"/>
      <c r="AA64" s="13"/>
    </row>
    <row r="65" spans="1:27" x14ac:dyDescent="0.25">
      <c r="A65" s="7" t="s">
        <v>90</v>
      </c>
      <c r="B65" s="7"/>
      <c r="C65" s="7" t="s">
        <v>5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97"/>
  <sheetViews>
    <sheetView topLeftCell="F1"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690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112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691</v>
      </c>
      <c r="B7" s="10" t="s">
        <v>692</v>
      </c>
      <c r="C7" s="13">
        <f>_xll.BDH("SRPT US Equity","CASH_CASH_EQTY_STI_DETAILED","FQ4 2018","FQ4 2018","Currency=USD","Period=FQ","BEST_FPERIOD_OVERRIDE=FQ","FILING_STATUS=MR","SCALING_FORMAT=MLN","Sort=A","Dates=H","DateFormat=P","Fill=—","Direction=H","UseDPDF=Y")</f>
        <v>1173.912</v>
      </c>
      <c r="D7" s="13">
        <f>_xll.BDH("SRPT US Equity","CASH_CASH_EQTY_STI_DETAILED","FQ1 2019","FQ1 2019","Currency=USD","Period=FQ","BEST_FPERIOD_OVERRIDE=FQ","FILING_STATUS=MR","SCALING_FORMAT=MLN","Sort=A","Dates=H","DateFormat=P","Fill=—","Direction=H","UseDPDF=Y")</f>
        <v>1344.2080000000001</v>
      </c>
      <c r="E7" s="13">
        <f>_xll.BDH("SRPT US Equity","CASH_CASH_EQTY_STI_DETAILED","FQ2 2019","FQ2 2019","Currency=USD","Period=FQ","BEST_FPERIOD_OVERRIDE=FQ","FILING_STATUS=MR","SCALING_FORMAT=MLN","Sort=A","Dates=H","DateFormat=P","Fill=—","Direction=H","UseDPDF=Y")</f>
        <v>1103.069</v>
      </c>
      <c r="F7" s="13">
        <f>_xll.BDH("SRPT US Equity","CASH_CASH_EQTY_STI_DETAILED","FQ3 2019","FQ3 2019","Currency=USD","Period=FQ","BEST_FPERIOD_OVERRIDE=FQ","FILING_STATUS=MR","SCALING_FORMAT=MLN","Sort=A","Dates=H","DateFormat=P","Fill=—","Direction=H","UseDPDF=Y")</f>
        <v>1048.8920000000001</v>
      </c>
      <c r="G7" s="13">
        <f>_xll.BDH("SRPT US Equity","CASH_CASH_EQTY_STI_DETAILED","FQ4 2019","FQ4 2019","Currency=USD","Period=FQ","BEST_FPERIOD_OVERRIDE=FQ","FILING_STATUS=MR","SCALING_FORMAT=MLN","Sort=A","Dates=H","DateFormat=P","Fill=—","Direction=H","UseDPDF=Y")</f>
        <v>1124.748</v>
      </c>
      <c r="H7" s="13">
        <f>_xll.BDH("SRPT US Equity","CASH_CASH_EQTY_STI_DETAILED","FQ1 2020","FQ1 2020","Currency=USD","Period=FQ","BEST_FPERIOD_OVERRIDE=FQ","FILING_STATUS=MR","SCALING_FORMAT=MLN","Sort=A","Dates=H","DateFormat=P","Fill=—","Direction=H","UseDPDF=Y")</f>
        <v>2171.152</v>
      </c>
      <c r="I7" s="13">
        <f>_xll.BDH("SRPT US Equity","CASH_CASH_EQTY_STI_DETAILED","FQ2 2020","FQ2 2020","Currency=USD","Period=FQ","BEST_FPERIOD_OVERRIDE=FQ","FILING_STATUS=MR","SCALING_FORMAT=MLN","Sort=A","Dates=H","DateFormat=P","Fill=—","Direction=H","UseDPDF=Y")</f>
        <v>2061.308</v>
      </c>
      <c r="J7" s="13">
        <f>_xll.BDH("SRPT US Equity","CASH_CASH_EQTY_STI_DETAILED","FQ3 2020","FQ3 2020","Currency=USD","Period=FQ","BEST_FPERIOD_OVERRIDE=FQ","FILING_STATUS=MR","SCALING_FORMAT=MLN","Sort=A","Dates=H","DateFormat=P","Fill=—","Direction=H","UseDPDF=Y")</f>
        <v>1816.104</v>
      </c>
      <c r="K7" s="13">
        <f>_xll.BDH("SRPT US Equity","CASH_CASH_EQTY_STI_DETAILED","FQ4 2020","FQ4 2020","Currency=USD","Period=FQ","BEST_FPERIOD_OVERRIDE=FQ","FILING_STATUS=MR","SCALING_FORMAT=MLN","Sort=A","Dates=H","DateFormat=P","Fill=—","Direction=H","UseDPDF=Y")</f>
        <v>1938.5709999999999</v>
      </c>
      <c r="L7" s="13">
        <f>_xll.BDH("SRPT US Equity","CASH_CASH_EQTY_STI_DETAILED","FQ1 2021","FQ1 2021","Currency=USD","Period=FQ","BEST_FPERIOD_OVERRIDE=FQ","FILING_STATUS=MR","SCALING_FORMAT=MLN","Sort=A","Dates=H","DateFormat=P","Fill=—","Direction=H","UseDPDF=Y")</f>
        <v>1737.8330000000001</v>
      </c>
      <c r="M7" s="13">
        <f>_xll.BDH("SRPT US Equity","CASH_CASH_EQTY_STI_DETAILED","FQ2 2021","FQ2 2021","Currency=USD","Period=FQ","BEST_FPERIOD_OVERRIDE=FQ","FILING_STATUS=MR","SCALING_FORMAT=MLN","Sort=A","Dates=H","DateFormat=P","Fill=—","Direction=H","UseDPDF=Y")</f>
        <v>1727.2750000000001</v>
      </c>
      <c r="N7" s="13">
        <f>_xll.BDH("SRPT US Equity","CASH_CASH_EQTY_STI_DETAILED","FQ3 2021","FQ3 2021","Currency=USD","Period=FQ","BEST_FPERIOD_OVERRIDE=FQ","FILING_STATUS=MR","SCALING_FORMAT=MLN","Sort=A","Dates=H","DateFormat=P","Fill=—","Direction=H","UseDPDF=Y")</f>
        <v>1599.1130000000001</v>
      </c>
      <c r="O7" s="13">
        <f>_xll.BDH("SRPT US Equity","CASH_CASH_EQTY_STI_DETAILED","FQ4 2021","FQ4 2021","Currency=USD","Period=FQ","BEST_FPERIOD_OVERRIDE=FQ","FILING_STATUS=MR","SCALING_FORMAT=MLN","Sort=A","Dates=H","DateFormat=P","Fill=—","Direction=H","UseDPDF=Y")</f>
        <v>2115.8690000000001</v>
      </c>
      <c r="P7" s="13">
        <f>_xll.BDH("SRPT US Equity","CASH_CASH_EQTY_STI_DETAILED","FQ1 2022","FQ1 2022","Currency=USD","Period=FQ","BEST_FPERIOD_OVERRIDE=FQ","FILING_STATUS=MR","SCALING_FORMAT=MLN","Sort=A","Dates=H","DateFormat=P","Fill=—","Direction=H","UseDPDF=Y")</f>
        <v>2013.425</v>
      </c>
      <c r="Q7" s="13">
        <f>_xll.BDH("SRPT US Equity","CASH_CASH_EQTY_STI_DETAILED","FQ2 2022","FQ2 2022","Currency=USD","Period=FQ","BEST_FPERIOD_OVERRIDE=FQ","FILING_STATUS=MR","SCALING_FORMAT=MLN","Sort=A","Dates=H","DateFormat=P","Fill=—","Direction=H","UseDPDF=Y")</f>
        <v>1928.019</v>
      </c>
      <c r="R7" s="13">
        <f>_xll.BDH("SRPT US Equity","CASH_CASH_EQTY_STI_DETAILED","FQ3 2022","FQ3 2022","Currency=USD","Period=FQ","BEST_FPERIOD_OVERRIDE=FQ","FILING_STATUS=MR","SCALING_FORMAT=MLN","Sort=A","Dates=H","DateFormat=P","Fill=—","Direction=H","UseDPDF=Y")</f>
        <v>2072.4839999999999</v>
      </c>
      <c r="S7" s="13">
        <f>_xll.BDH("SRPT US Equity","CASH_CASH_EQTY_STI_DETAILED","FQ4 2022","FQ4 2022","Currency=USD","Period=FQ","BEST_FPERIOD_OVERRIDE=FQ","FILING_STATUS=MR","SCALING_FORMAT=MLN","Sort=A","Dates=H","DateFormat=P","Fill=—","Direction=H","UseDPDF=Y")</f>
        <v>1989.374</v>
      </c>
      <c r="T7" s="13">
        <f>_xll.BDH("SRPT US Equity","CASH_CASH_EQTY_STI_DETAILED","FQ1 2023","FQ1 2023","Currency=USD","Period=FQ","BEST_FPERIOD_OVERRIDE=FQ","FILING_STATUS=MR","SCALING_FORMAT=MLN","Sort=A","Dates=H","DateFormat=P","Fill=—","Direction=H","UseDPDF=Y")</f>
        <v>1882.097</v>
      </c>
      <c r="U7" s="13">
        <f>_xll.BDH("SRPT US Equity","CASH_CASH_EQTY_STI_DETAILED","FQ2 2023","FQ2 2023","Currency=USD","Period=FQ","BEST_FPERIOD_OVERRIDE=FQ","FILING_STATUS=MR","SCALING_FORMAT=MLN","Sort=A","Dates=H","DateFormat=P","Fill=—","Direction=H","UseDPDF=Y")</f>
        <v>1860.7149999999999</v>
      </c>
      <c r="V7" s="13">
        <f>_xll.BDH("SRPT US Equity","CASH_CASH_EQTY_STI_DETAILED","FQ3 2023","FQ3 2023","Currency=USD","Period=FQ","BEST_FPERIOD_OVERRIDE=FQ","FILING_STATUS=MR","SCALING_FORMAT=MLN","Sort=A","Dates=H","DateFormat=P","Fill=—","Direction=H","UseDPDF=Y")</f>
        <v>1733.5419999999999</v>
      </c>
      <c r="W7" s="13">
        <f>_xll.BDH("SRPT US Equity","CASH_CASH_EQTY_STI_DETAILED","FQ4 2023","FQ4 2023","Currency=USD","Period=FQ","BEST_FPERIOD_OVERRIDE=FQ","FILING_STATUS=MR","SCALING_FORMAT=MLN","Sort=A","Dates=H","DateFormat=P","Fill=—","Direction=H","UseDPDF=Y")</f>
        <v>1676.25</v>
      </c>
      <c r="X7" s="13">
        <f>_xll.BDH("SRPT US Equity","CASH_CASH_EQTY_STI_DETAILED","FQ1 2024","FQ1 2024","Currency=USD","Period=FQ","BEST_FPERIOD_OVERRIDE=FQ","FILING_STATUS=MR","SCALING_FORMAT=MLN","Sort=A","Dates=H","DateFormat=P","Fill=—","Direction=H","UseDPDF=Y")</f>
        <v>1390.7429999999999</v>
      </c>
      <c r="Y7" s="13">
        <f>_xll.BDH("SRPT US Equity","CASH_CASH_EQTY_STI_DETAILED","FQ2 2024","FQ2 2024","Currency=USD","Period=FQ","BEST_FPERIOD_OVERRIDE=FQ","FILING_STATUS=MR","SCALING_FORMAT=MLN","Sort=A","Dates=H","DateFormat=P","Fill=—","Direction=H","UseDPDF=Y")</f>
        <v>1460.4739999999999</v>
      </c>
      <c r="Z7" s="13">
        <f>_xll.BDH("SRPT US Equity","CASH_CASH_EQTY_STI_DETAILED","FQ3 2024","FQ3 2024","Currency=USD","Period=FQ","BEST_FPERIOD_OVERRIDE=FQ","FILING_STATUS=MR","SCALING_FORMAT=MLN","Sort=A","Dates=H","DateFormat=P","Fill=—","Direction=H","UseDPDF=Y")</f>
        <v>1198.3889999999999</v>
      </c>
      <c r="AA7" s="13">
        <f>_xll.BDH("SRPT US Equity","CASH_CASH_EQTY_STI_DETAILED","FQ4 2024","FQ4 2024","Currency=USD","Period=FQ","BEST_FPERIOD_OVERRIDE=FQ","FILING_STATUS=MR","SCALING_FORMAT=MLN","Sort=A","Dates=H","DateFormat=P","Fill=—","Direction=H","UseDPDF=Y")</f>
        <v>1354.7919999999999</v>
      </c>
    </row>
    <row r="8" spans="1:27" x14ac:dyDescent="0.25">
      <c r="A8" s="10" t="s">
        <v>693</v>
      </c>
      <c r="B8" s="10" t="s">
        <v>694</v>
      </c>
      <c r="C8" s="13">
        <f>_xll.BDH("SRPT US Equity","BS_CASH_NEAR_CASH_ITEM","FQ4 2018","FQ4 2018","Currency=USD","Period=FQ","BEST_FPERIOD_OVERRIDE=FQ","FILING_STATUS=MR","SCALING_FORMAT=MLN","Sort=A","Dates=H","DateFormat=P","Fill=—","Direction=H","UseDPDF=Y")</f>
        <v>370.82900000000001</v>
      </c>
      <c r="D8" s="13">
        <f>_xll.BDH("SRPT US Equity","BS_CASH_NEAR_CASH_ITEM","FQ1 2019","FQ1 2019","Currency=USD","Period=FQ","BEST_FPERIOD_OVERRIDE=FQ","FILING_STATUS=MR","SCALING_FORMAT=MLN","Sort=A","Dates=H","DateFormat=P","Fill=—","Direction=H","UseDPDF=Y")</f>
        <v>732.19</v>
      </c>
      <c r="E8" s="13">
        <f>_xll.BDH("SRPT US Equity","BS_CASH_NEAR_CASH_ITEM","FQ2 2019","FQ2 2019","Currency=USD","Period=FQ","BEST_FPERIOD_OVERRIDE=FQ","FILING_STATUS=MR","SCALING_FORMAT=MLN","Sort=A","Dates=H","DateFormat=P","Fill=—","Direction=H","UseDPDF=Y")</f>
        <v>808.59100000000001</v>
      </c>
      <c r="F8" s="13">
        <f>_xll.BDH("SRPT US Equity","BS_CASH_NEAR_CASH_ITEM","FQ3 2019","FQ3 2019","Currency=USD","Period=FQ","BEST_FPERIOD_OVERRIDE=FQ","FILING_STATUS=MR","SCALING_FORMAT=MLN","Sort=A","Dates=H","DateFormat=P","Fill=—","Direction=H","UseDPDF=Y")</f>
        <v>724.82899999999995</v>
      </c>
      <c r="G8" s="13">
        <f>_xll.BDH("SRPT US Equity","BS_CASH_NEAR_CASH_ITEM","FQ4 2019","FQ4 2019","Currency=USD","Period=FQ","BEST_FPERIOD_OVERRIDE=FQ","FILING_STATUS=MR","SCALING_FORMAT=MLN","Sort=A","Dates=H","DateFormat=P","Fill=—","Direction=H","UseDPDF=Y")</f>
        <v>835.08</v>
      </c>
      <c r="H8" s="13">
        <f>_xll.BDH("SRPT US Equity","BS_CASH_NEAR_CASH_ITEM","FQ1 2020","FQ1 2020","Currency=USD","Period=FQ","BEST_FPERIOD_OVERRIDE=FQ","FILING_STATUS=MR","SCALING_FORMAT=MLN","Sort=A","Dates=H","DateFormat=P","Fill=—","Direction=H","UseDPDF=Y")</f>
        <v>1764.212</v>
      </c>
      <c r="I8" s="13">
        <f>_xll.BDH("SRPT US Equity","BS_CASH_NEAR_CASH_ITEM","FQ2 2020","FQ2 2020","Currency=USD","Period=FQ","BEST_FPERIOD_OVERRIDE=FQ","FILING_STATUS=MR","SCALING_FORMAT=MLN","Sort=A","Dates=H","DateFormat=P","Fill=—","Direction=H","UseDPDF=Y")</f>
        <v>1639.9590000000001</v>
      </c>
      <c r="J8" s="13">
        <f>_xll.BDH("SRPT US Equity","BS_CASH_NEAR_CASH_ITEM","FQ3 2020","FQ3 2020","Currency=USD","Period=FQ","BEST_FPERIOD_OVERRIDE=FQ","FILING_STATUS=MR","SCALING_FORMAT=MLN","Sort=A","Dates=H","DateFormat=P","Fill=—","Direction=H","UseDPDF=Y")</f>
        <v>1474.6369999999999</v>
      </c>
      <c r="K8" s="13">
        <f>_xll.BDH("SRPT US Equity","BS_CASH_NEAR_CASH_ITEM","FQ4 2020","FQ4 2020","Currency=USD","Period=FQ","BEST_FPERIOD_OVERRIDE=FQ","FILING_STATUS=MR","SCALING_FORMAT=MLN","Sort=A","Dates=H","DateFormat=P","Fill=—","Direction=H","UseDPDF=Y")</f>
        <v>1502.6479999999999</v>
      </c>
      <c r="L8" s="13">
        <f>_xll.BDH("SRPT US Equity","BS_CASH_NEAR_CASH_ITEM","FQ1 2021","FQ1 2021","Currency=USD","Period=FQ","BEST_FPERIOD_OVERRIDE=FQ","FILING_STATUS=MR","SCALING_FORMAT=MLN","Sort=A","Dates=H","DateFormat=P","Fill=—","Direction=H","UseDPDF=Y")</f>
        <v>1481.836</v>
      </c>
      <c r="M8" s="13">
        <f>_xll.BDH("SRPT US Equity","BS_CASH_NEAR_CASH_ITEM","FQ2 2021","FQ2 2021","Currency=USD","Period=FQ","BEST_FPERIOD_OVERRIDE=FQ","FILING_STATUS=MR","SCALING_FORMAT=MLN","Sort=A","Dates=H","DateFormat=P","Fill=—","Direction=H","UseDPDF=Y")</f>
        <v>1697.2750000000001</v>
      </c>
      <c r="N8" s="13">
        <f>_xll.BDH("SRPT US Equity","BS_CASH_NEAR_CASH_ITEM","FQ3 2021","FQ3 2021","Currency=USD","Period=FQ","BEST_FPERIOD_OVERRIDE=FQ","FILING_STATUS=MR","SCALING_FORMAT=MLN","Sort=A","Dates=H","DateFormat=P","Fill=—","Direction=H","UseDPDF=Y")</f>
        <v>1599.1130000000001</v>
      </c>
      <c r="O8" s="13">
        <f>_xll.BDH("SRPT US Equity","BS_CASH_NEAR_CASH_ITEM","FQ4 2021","FQ4 2021","Currency=USD","Period=FQ","BEST_FPERIOD_OVERRIDE=FQ","FILING_STATUS=MR","SCALING_FORMAT=MLN","Sort=A","Dates=H","DateFormat=P","Fill=—","Direction=H","UseDPDF=Y")</f>
        <v>2115.8690000000001</v>
      </c>
      <c r="P8" s="13">
        <f>_xll.BDH("SRPT US Equity","BS_CASH_NEAR_CASH_ITEM","FQ1 2022","FQ1 2022","Currency=USD","Period=FQ","BEST_FPERIOD_OVERRIDE=FQ","FILING_STATUS=MR","SCALING_FORMAT=MLN","Sort=A","Dates=H","DateFormat=P","Fill=—","Direction=H","UseDPDF=Y")</f>
        <v>1233.877</v>
      </c>
      <c r="Q8" s="13">
        <f>_xll.BDH("SRPT US Equity","BS_CASH_NEAR_CASH_ITEM","FQ2 2022","FQ2 2022","Currency=USD","Period=FQ","BEST_FPERIOD_OVERRIDE=FQ","FILING_STATUS=MR","SCALING_FORMAT=MLN","Sort=A","Dates=H","DateFormat=P","Fill=—","Direction=H","UseDPDF=Y")</f>
        <v>868.56500000000005</v>
      </c>
      <c r="R8" s="13">
        <f>_xll.BDH("SRPT US Equity","BS_CASH_NEAR_CASH_ITEM","FQ3 2022","FQ3 2022","Currency=USD","Period=FQ","BEST_FPERIOD_OVERRIDE=FQ","FILING_STATUS=MR","SCALING_FORMAT=MLN","Sort=A","Dates=H","DateFormat=P","Fill=—","Direction=H","UseDPDF=Y")</f>
        <v>1038.624</v>
      </c>
      <c r="S8" s="13">
        <f>_xll.BDH("SRPT US Equity","BS_CASH_NEAR_CASH_ITEM","FQ4 2022","FQ4 2022","Currency=USD","Period=FQ","BEST_FPERIOD_OVERRIDE=FQ","FILING_STATUS=MR","SCALING_FORMAT=MLN","Sort=A","Dates=H","DateFormat=P","Fill=—","Direction=H","UseDPDF=Y")</f>
        <v>966.77700000000004</v>
      </c>
      <c r="T8" s="13">
        <f>_xll.BDH("SRPT US Equity","BS_CASH_NEAR_CASH_ITEM","FQ1 2023","FQ1 2023","Currency=USD","Period=FQ","BEST_FPERIOD_OVERRIDE=FQ","FILING_STATUS=MR","SCALING_FORMAT=MLN","Sort=A","Dates=H","DateFormat=P","Fill=—","Direction=H","UseDPDF=Y")</f>
        <v>871.66800000000001</v>
      </c>
      <c r="U8" s="13">
        <f>_xll.BDH("SRPT US Equity","BS_CASH_NEAR_CASH_ITEM","FQ2 2023","FQ2 2023","Currency=USD","Period=FQ","BEST_FPERIOD_OVERRIDE=FQ","FILING_STATUS=MR","SCALING_FORMAT=MLN","Sort=A","Dates=H","DateFormat=P","Fill=—","Direction=H","UseDPDF=Y")</f>
        <v>851.92899999999997</v>
      </c>
      <c r="V8" s="13">
        <f>_xll.BDH("SRPT US Equity","BS_CASH_NEAR_CASH_ITEM","FQ3 2023","FQ3 2023","Currency=USD","Period=FQ","BEST_FPERIOD_OVERRIDE=FQ","FILING_STATUS=MR","SCALING_FORMAT=MLN","Sort=A","Dates=H","DateFormat=P","Fill=—","Direction=H","UseDPDF=Y")</f>
        <v>541.93200000000002</v>
      </c>
      <c r="W8" s="13">
        <f>_xll.BDH("SRPT US Equity","BS_CASH_NEAR_CASH_ITEM","FQ4 2023","FQ4 2023","Currency=USD","Period=FQ","BEST_FPERIOD_OVERRIDE=FQ","FILING_STATUS=MR","SCALING_FORMAT=MLN","Sort=A","Dates=H","DateFormat=P","Fill=—","Direction=H","UseDPDF=Y")</f>
        <v>428.43</v>
      </c>
      <c r="X8" s="13">
        <f>_xll.BDH("SRPT US Equity","BS_CASH_NEAR_CASH_ITEM","FQ1 2024","FQ1 2024","Currency=USD","Period=FQ","BEST_FPERIOD_OVERRIDE=FQ","FILING_STATUS=MR","SCALING_FORMAT=MLN","Sort=A","Dates=H","DateFormat=P","Fill=—","Direction=H","UseDPDF=Y")</f>
        <v>427.29</v>
      </c>
      <c r="Y8" s="13">
        <f>_xll.BDH("SRPT US Equity","BS_CASH_NEAR_CASH_ITEM","FQ2 2024","FQ2 2024","Currency=USD","Period=FQ","BEST_FPERIOD_OVERRIDE=FQ","FILING_STATUS=MR","SCALING_FORMAT=MLN","Sort=A","Dates=H","DateFormat=P","Fill=—","Direction=H","UseDPDF=Y")</f>
        <v>383.62200000000001</v>
      </c>
      <c r="Z8" s="13">
        <f>_xll.BDH("SRPT US Equity","BS_CASH_NEAR_CASH_ITEM","FQ3 2024","FQ3 2024","Currency=USD","Period=FQ","BEST_FPERIOD_OVERRIDE=FQ","FILING_STATUS=MR","SCALING_FORMAT=MLN","Sort=A","Dates=H","DateFormat=P","Fill=—","Direction=H","UseDPDF=Y")</f>
        <v>197.85499999999999</v>
      </c>
      <c r="AA8" s="13">
        <f>_xll.BDH("SRPT US Equity","BS_CASH_NEAR_CASH_ITEM","FQ4 2024","FQ4 2024","Currency=USD","Period=FQ","BEST_FPERIOD_OVERRIDE=FQ","FILING_STATUS=MR","SCALING_FORMAT=MLN","Sort=A","Dates=H","DateFormat=P","Fill=—","Direction=H","UseDPDF=Y")</f>
        <v>1103.01</v>
      </c>
    </row>
    <row r="9" spans="1:27" x14ac:dyDescent="0.25">
      <c r="A9" s="10" t="s">
        <v>695</v>
      </c>
      <c r="B9" s="10" t="s">
        <v>696</v>
      </c>
      <c r="C9" s="13">
        <f>_xll.BDH("SRPT US Equity","BS_MKT_SEC_OTHER_ST_INVEST","FQ4 2018","FQ4 2018","Currency=USD","Period=FQ","BEST_FPERIOD_OVERRIDE=FQ","FILING_STATUS=MR","SCALING_FORMAT=MLN","Sort=A","Dates=H","DateFormat=P","Fill=—","Direction=H","UseDPDF=Y")</f>
        <v>803.08299999999997</v>
      </c>
      <c r="D9" s="13">
        <f>_xll.BDH("SRPT US Equity","BS_MKT_SEC_OTHER_ST_INVEST","FQ1 2019","FQ1 2019","Currency=USD","Period=FQ","BEST_FPERIOD_OVERRIDE=FQ","FILING_STATUS=MR","SCALING_FORMAT=MLN","Sort=A","Dates=H","DateFormat=P","Fill=—","Direction=H","UseDPDF=Y")</f>
        <v>612.01800000000003</v>
      </c>
      <c r="E9" s="13">
        <f>_xll.BDH("SRPT US Equity","BS_MKT_SEC_OTHER_ST_INVEST","FQ2 2019","FQ2 2019","Currency=USD","Period=FQ","BEST_FPERIOD_OVERRIDE=FQ","FILING_STATUS=MR","SCALING_FORMAT=MLN","Sort=A","Dates=H","DateFormat=P","Fill=—","Direction=H","UseDPDF=Y")</f>
        <v>294.47800000000001</v>
      </c>
      <c r="F9" s="13">
        <f>_xll.BDH("SRPT US Equity","BS_MKT_SEC_OTHER_ST_INVEST","FQ3 2019","FQ3 2019","Currency=USD","Period=FQ","BEST_FPERIOD_OVERRIDE=FQ","FILING_STATUS=MR","SCALING_FORMAT=MLN","Sort=A","Dates=H","DateFormat=P","Fill=—","Direction=H","UseDPDF=Y")</f>
        <v>324.06299999999999</v>
      </c>
      <c r="G9" s="13">
        <f>_xll.BDH("SRPT US Equity","BS_MKT_SEC_OTHER_ST_INVEST","FQ4 2019","FQ4 2019","Currency=USD","Period=FQ","BEST_FPERIOD_OVERRIDE=FQ","FILING_STATUS=MR","SCALING_FORMAT=MLN","Sort=A","Dates=H","DateFormat=P","Fill=—","Direction=H","UseDPDF=Y")</f>
        <v>289.66800000000001</v>
      </c>
      <c r="H9" s="13">
        <f>_xll.BDH("SRPT US Equity","BS_MKT_SEC_OTHER_ST_INVEST","FQ1 2020","FQ1 2020","Currency=USD","Period=FQ","BEST_FPERIOD_OVERRIDE=FQ","FILING_STATUS=MR","SCALING_FORMAT=MLN","Sort=A","Dates=H","DateFormat=P","Fill=—","Direction=H","UseDPDF=Y")</f>
        <v>406.94</v>
      </c>
      <c r="I9" s="13">
        <f>_xll.BDH("SRPT US Equity","BS_MKT_SEC_OTHER_ST_INVEST","FQ2 2020","FQ2 2020","Currency=USD","Period=FQ","BEST_FPERIOD_OVERRIDE=FQ","FILING_STATUS=MR","SCALING_FORMAT=MLN","Sort=A","Dates=H","DateFormat=P","Fill=—","Direction=H","UseDPDF=Y")</f>
        <v>421.34899999999999</v>
      </c>
      <c r="J9" s="13">
        <f>_xll.BDH("SRPT US Equity","BS_MKT_SEC_OTHER_ST_INVEST","FQ3 2020","FQ3 2020","Currency=USD","Period=FQ","BEST_FPERIOD_OVERRIDE=FQ","FILING_STATUS=MR","SCALING_FORMAT=MLN","Sort=A","Dates=H","DateFormat=P","Fill=—","Direction=H","UseDPDF=Y")</f>
        <v>341.46699999999998</v>
      </c>
      <c r="K9" s="13">
        <f>_xll.BDH("SRPT US Equity","BS_MKT_SEC_OTHER_ST_INVEST","FQ4 2020","FQ4 2020","Currency=USD","Period=FQ","BEST_FPERIOD_OVERRIDE=FQ","FILING_STATUS=MR","SCALING_FORMAT=MLN","Sort=A","Dates=H","DateFormat=P","Fill=—","Direction=H","UseDPDF=Y")</f>
        <v>435.923</v>
      </c>
      <c r="L9" s="13">
        <f>_xll.BDH("SRPT US Equity","BS_MKT_SEC_OTHER_ST_INVEST","FQ1 2021","FQ1 2021","Currency=USD","Period=FQ","BEST_FPERIOD_OVERRIDE=FQ","FILING_STATUS=MR","SCALING_FORMAT=MLN","Sort=A","Dates=H","DateFormat=P","Fill=—","Direction=H","UseDPDF=Y")</f>
        <v>255.99700000000001</v>
      </c>
      <c r="M9" s="13">
        <f>_xll.BDH("SRPT US Equity","BS_MKT_SEC_OTHER_ST_INVEST","FQ2 2021","FQ2 2021","Currency=USD","Period=FQ","BEST_FPERIOD_OVERRIDE=FQ","FILING_STATUS=MR","SCALING_FORMAT=MLN","Sort=A","Dates=H","DateFormat=P","Fill=—","Direction=H","UseDPDF=Y")</f>
        <v>30</v>
      </c>
      <c r="N9" s="13">
        <f>_xll.BDH("SRPT US Equity","BS_MKT_SEC_OTHER_ST_INVEST","FQ3 2021","FQ3 2021","Currency=USD","Period=FQ","BEST_FPERIOD_OVERRIDE=FQ","FILING_STATUS=MR","SCALING_FORMAT=MLN","Sort=A","Dates=H","DateFormat=P","Fill=—","Direction=H","UseDPDF=Y")</f>
        <v>0</v>
      </c>
      <c r="O9" s="13">
        <f>_xll.BDH("SRPT US Equity","BS_MKT_SEC_OTHER_ST_INVEST","FQ4 2021","FQ4 2021","Currency=USD","Period=FQ","BEST_FPERIOD_OVERRIDE=FQ","FILING_STATUS=MR","SCALING_FORMAT=MLN","Sort=A","Dates=H","DateFormat=P","Fill=—","Direction=H","UseDPDF=Y")</f>
        <v>0</v>
      </c>
      <c r="P9" s="13">
        <f>_xll.BDH("SRPT US Equity","BS_MKT_SEC_OTHER_ST_INVEST","FQ1 2022","FQ1 2022","Currency=USD","Period=FQ","BEST_FPERIOD_OVERRIDE=FQ","FILING_STATUS=MR","SCALING_FORMAT=MLN","Sort=A","Dates=H","DateFormat=P","Fill=—","Direction=H","UseDPDF=Y")</f>
        <v>779.548</v>
      </c>
      <c r="Q9" s="13">
        <f>_xll.BDH("SRPT US Equity","BS_MKT_SEC_OTHER_ST_INVEST","FQ2 2022","FQ2 2022","Currency=USD","Period=FQ","BEST_FPERIOD_OVERRIDE=FQ","FILING_STATUS=MR","SCALING_FORMAT=MLN","Sort=A","Dates=H","DateFormat=P","Fill=—","Direction=H","UseDPDF=Y")</f>
        <v>1059.454</v>
      </c>
      <c r="R9" s="13">
        <f>_xll.BDH("SRPT US Equity","BS_MKT_SEC_OTHER_ST_INVEST","FQ3 2022","FQ3 2022","Currency=USD","Period=FQ","BEST_FPERIOD_OVERRIDE=FQ","FILING_STATUS=MR","SCALING_FORMAT=MLN","Sort=A","Dates=H","DateFormat=P","Fill=—","Direction=H","UseDPDF=Y")</f>
        <v>1033.8599999999999</v>
      </c>
      <c r="S9" s="13">
        <f>_xll.BDH("SRPT US Equity","BS_MKT_SEC_OTHER_ST_INVEST","FQ4 2022","FQ4 2022","Currency=USD","Period=FQ","BEST_FPERIOD_OVERRIDE=FQ","FILING_STATUS=MR","SCALING_FORMAT=MLN","Sort=A","Dates=H","DateFormat=P","Fill=—","Direction=H","UseDPDF=Y")</f>
        <v>1022.597</v>
      </c>
      <c r="T9" s="13">
        <f>_xll.BDH("SRPT US Equity","BS_MKT_SEC_OTHER_ST_INVEST","FQ1 2023","FQ1 2023","Currency=USD","Period=FQ","BEST_FPERIOD_OVERRIDE=FQ","FILING_STATUS=MR","SCALING_FORMAT=MLN","Sort=A","Dates=H","DateFormat=P","Fill=—","Direction=H","UseDPDF=Y")</f>
        <v>1010.429</v>
      </c>
      <c r="U9" s="13">
        <f>_xll.BDH("SRPT US Equity","BS_MKT_SEC_OTHER_ST_INVEST","FQ2 2023","FQ2 2023","Currency=USD","Period=FQ","BEST_FPERIOD_OVERRIDE=FQ","FILING_STATUS=MR","SCALING_FORMAT=MLN","Sort=A","Dates=H","DateFormat=P","Fill=—","Direction=H","UseDPDF=Y")</f>
        <v>1008.7859999999999</v>
      </c>
      <c r="V9" s="13">
        <f>_xll.BDH("SRPT US Equity","BS_MKT_SEC_OTHER_ST_INVEST","FQ3 2023","FQ3 2023","Currency=USD","Period=FQ","BEST_FPERIOD_OVERRIDE=FQ","FILING_STATUS=MR","SCALING_FORMAT=MLN","Sort=A","Dates=H","DateFormat=P","Fill=—","Direction=H","UseDPDF=Y")</f>
        <v>1191.6099999999999</v>
      </c>
      <c r="W9" s="13">
        <f>_xll.BDH("SRPT US Equity","BS_MKT_SEC_OTHER_ST_INVEST","FQ4 2023","FQ4 2023","Currency=USD","Period=FQ","BEST_FPERIOD_OVERRIDE=FQ","FILING_STATUS=MR","SCALING_FORMAT=MLN","Sort=A","Dates=H","DateFormat=P","Fill=—","Direction=H","UseDPDF=Y")</f>
        <v>1247.82</v>
      </c>
      <c r="X9" s="13">
        <f>_xll.BDH("SRPT US Equity","BS_MKT_SEC_OTHER_ST_INVEST","FQ1 2024","FQ1 2024","Currency=USD","Period=FQ","BEST_FPERIOD_OVERRIDE=FQ","FILING_STATUS=MR","SCALING_FORMAT=MLN","Sort=A","Dates=H","DateFormat=P","Fill=—","Direction=H","UseDPDF=Y")</f>
        <v>963.45299999999997</v>
      </c>
      <c r="Y9" s="13">
        <f>_xll.BDH("SRPT US Equity","BS_MKT_SEC_OTHER_ST_INVEST","FQ2 2024","FQ2 2024","Currency=USD","Period=FQ","BEST_FPERIOD_OVERRIDE=FQ","FILING_STATUS=MR","SCALING_FORMAT=MLN","Sort=A","Dates=H","DateFormat=P","Fill=—","Direction=H","UseDPDF=Y")</f>
        <v>1076.8520000000001</v>
      </c>
      <c r="Z9" s="13">
        <f>_xll.BDH("SRPT US Equity","BS_MKT_SEC_OTHER_ST_INVEST","FQ3 2024","FQ3 2024","Currency=USD","Period=FQ","BEST_FPERIOD_OVERRIDE=FQ","FILING_STATUS=MR","SCALING_FORMAT=MLN","Sort=A","Dates=H","DateFormat=P","Fill=—","Direction=H","UseDPDF=Y")</f>
        <v>1000.534</v>
      </c>
      <c r="AA9" s="13">
        <f>_xll.BDH("SRPT US Equity","BS_MKT_SEC_OTHER_ST_INVEST","FQ4 2024","FQ4 2024","Currency=USD","Period=FQ","BEST_FPERIOD_OVERRIDE=FQ","FILING_STATUS=MR","SCALING_FORMAT=MLN","Sort=A","Dates=H","DateFormat=P","Fill=—","Direction=H","UseDPDF=Y")</f>
        <v>251.78200000000001</v>
      </c>
    </row>
    <row r="10" spans="1:27" x14ac:dyDescent="0.25">
      <c r="A10" s="10" t="s">
        <v>697</v>
      </c>
      <c r="B10" s="10" t="s">
        <v>698</v>
      </c>
      <c r="C10" s="13">
        <f>_xll.BDH("SRPT US Equity","BS_ACCT_NOTE_RCV","FQ4 2018","FQ4 2018","Currency=USD","Period=FQ","BEST_FPERIOD_OVERRIDE=FQ","FILING_STATUS=MR","SCALING_FORMAT=MLN","Sort=A","Dates=H","DateFormat=P","Fill=—","Direction=H","UseDPDF=Y")</f>
        <v>49.043999999999997</v>
      </c>
      <c r="D10" s="13">
        <f>_xll.BDH("SRPT US Equity","BS_ACCT_NOTE_RCV","FQ1 2019","FQ1 2019","Currency=USD","Period=FQ","BEST_FPERIOD_OVERRIDE=FQ","FILING_STATUS=MR","SCALING_FORMAT=MLN","Sort=A","Dates=H","DateFormat=P","Fill=—","Direction=H","UseDPDF=Y")</f>
        <v>50.51</v>
      </c>
      <c r="E10" s="13">
        <f>_xll.BDH("SRPT US Equity","BS_ACCT_NOTE_RCV","FQ2 2019","FQ2 2019","Currency=USD","Period=FQ","BEST_FPERIOD_OVERRIDE=FQ","FILING_STATUS=MR","SCALING_FORMAT=MLN","Sort=A","Dates=H","DateFormat=P","Fill=—","Direction=H","UseDPDF=Y")</f>
        <v>56.981000000000002</v>
      </c>
      <c r="F10" s="13">
        <f>_xll.BDH("SRPT US Equity","BS_ACCT_NOTE_RCV","FQ3 2019","FQ3 2019","Currency=USD","Period=FQ","BEST_FPERIOD_OVERRIDE=FQ","FILING_STATUS=MR","SCALING_FORMAT=MLN","Sort=A","Dates=H","DateFormat=P","Fill=—","Direction=H","UseDPDF=Y")</f>
        <v>68.031999999999996</v>
      </c>
      <c r="G10" s="13">
        <f>_xll.BDH("SRPT US Equity","BS_ACCT_NOTE_RCV","FQ4 2019","FQ4 2019","Currency=USD","Period=FQ","BEST_FPERIOD_OVERRIDE=FQ","FILING_STATUS=MR","SCALING_FORMAT=MLN","Sort=A","Dates=H","DateFormat=P","Fill=—","Direction=H","UseDPDF=Y")</f>
        <v>90.879000000000005</v>
      </c>
      <c r="H10" s="13">
        <f>_xll.BDH("SRPT US Equity","BS_ACCT_NOTE_RCV","FQ1 2020","FQ1 2020","Currency=USD","Period=FQ","BEST_FPERIOD_OVERRIDE=FQ","FILING_STATUS=MR","SCALING_FORMAT=MLN","Sort=A","Dates=H","DateFormat=P","Fill=—","Direction=H","UseDPDF=Y")</f>
        <v>106.875</v>
      </c>
      <c r="I10" s="13">
        <f>_xll.BDH("SRPT US Equity","BS_ACCT_NOTE_RCV","FQ2 2020","FQ2 2020","Currency=USD","Period=FQ","BEST_FPERIOD_OVERRIDE=FQ","FILING_STATUS=MR","SCALING_FORMAT=MLN","Sort=A","Dates=H","DateFormat=P","Fill=—","Direction=H","UseDPDF=Y")</f>
        <v>104.02800000000001</v>
      </c>
      <c r="J10" s="13">
        <f>_xll.BDH("SRPT US Equity","BS_ACCT_NOTE_RCV","FQ3 2020","FQ3 2020","Currency=USD","Period=FQ","BEST_FPERIOD_OVERRIDE=FQ","FILING_STATUS=MR","SCALING_FORMAT=MLN","Sort=A","Dates=H","DateFormat=P","Fill=—","Direction=H","UseDPDF=Y")</f>
        <v>121.827</v>
      </c>
      <c r="K10" s="13">
        <f>_xll.BDH("SRPT US Equity","BS_ACCT_NOTE_RCV","FQ4 2020","FQ4 2020","Currency=USD","Period=FQ","BEST_FPERIOD_OVERRIDE=FQ","FILING_STATUS=MR","SCALING_FORMAT=MLN","Sort=A","Dates=H","DateFormat=P","Fill=—","Direction=H","UseDPDF=Y")</f>
        <v>101.34</v>
      </c>
      <c r="L10" s="13">
        <f>_xll.BDH("SRPT US Equity","BS_ACCT_NOTE_RCV","FQ1 2021","FQ1 2021","Currency=USD","Period=FQ","BEST_FPERIOD_OVERRIDE=FQ","FILING_STATUS=MR","SCALING_FORMAT=MLN","Sort=A","Dates=H","DateFormat=P","Fill=—","Direction=H","UseDPDF=Y")</f>
        <v>118.203</v>
      </c>
      <c r="M10" s="13">
        <f>_xll.BDH("SRPT US Equity","BS_ACCT_NOTE_RCV","FQ2 2021","FQ2 2021","Currency=USD","Period=FQ","BEST_FPERIOD_OVERRIDE=FQ","FILING_STATUS=MR","SCALING_FORMAT=MLN","Sort=A","Dates=H","DateFormat=P","Fill=—","Direction=H","UseDPDF=Y")</f>
        <v>127.52</v>
      </c>
      <c r="N10" s="13">
        <f>_xll.BDH("SRPT US Equity","BS_ACCT_NOTE_RCV","FQ3 2021","FQ3 2021","Currency=USD","Period=FQ","BEST_FPERIOD_OVERRIDE=FQ","FILING_STATUS=MR","SCALING_FORMAT=MLN","Sort=A","Dates=H","DateFormat=P","Fill=—","Direction=H","UseDPDF=Y")</f>
        <v>149.78700000000001</v>
      </c>
      <c r="O10" s="13">
        <f>_xll.BDH("SRPT US Equity","BS_ACCT_NOTE_RCV","FQ4 2021","FQ4 2021","Currency=USD","Period=FQ","BEST_FPERIOD_OVERRIDE=FQ","FILING_STATUS=MR","SCALING_FORMAT=MLN","Sort=A","Dates=H","DateFormat=P","Fill=—","Direction=H","UseDPDF=Y")</f>
        <v>152.99</v>
      </c>
      <c r="P10" s="13">
        <f>_xll.BDH("SRPT US Equity","BS_ACCT_NOTE_RCV","FQ1 2022","FQ1 2022","Currency=USD","Period=FQ","BEST_FPERIOD_OVERRIDE=FQ","FILING_STATUS=MR","SCALING_FORMAT=MLN","Sort=A","Dates=H","DateFormat=P","Fill=—","Direction=H","UseDPDF=Y")</f>
        <v>178.19399999999999</v>
      </c>
      <c r="Q10" s="13">
        <f>_xll.BDH("SRPT US Equity","BS_ACCT_NOTE_RCV","FQ2 2022","FQ2 2022","Currency=USD","Period=FQ","BEST_FPERIOD_OVERRIDE=FQ","FILING_STATUS=MR","SCALING_FORMAT=MLN","Sort=A","Dates=H","DateFormat=P","Fill=—","Direction=H","UseDPDF=Y")</f>
        <v>203.85400000000001</v>
      </c>
      <c r="R10" s="13">
        <f>_xll.BDH("SRPT US Equity","BS_ACCT_NOTE_RCV","FQ3 2022","FQ3 2022","Currency=USD","Period=FQ","BEST_FPERIOD_OVERRIDE=FQ","FILING_STATUS=MR","SCALING_FORMAT=MLN","Sort=A","Dates=H","DateFormat=P","Fill=—","Direction=H","UseDPDF=Y")</f>
        <v>201.50899999999999</v>
      </c>
      <c r="S10" s="13">
        <f>_xll.BDH("SRPT US Equity","BS_ACCT_NOTE_RCV","FQ4 2022","FQ4 2022","Currency=USD","Period=FQ","BEST_FPERIOD_OVERRIDE=FQ","FILING_STATUS=MR","SCALING_FORMAT=MLN","Sort=A","Dates=H","DateFormat=P","Fill=—","Direction=H","UseDPDF=Y")</f>
        <v>214.62799999999999</v>
      </c>
      <c r="T10" s="13">
        <f>_xll.BDH("SRPT US Equity","BS_ACCT_NOTE_RCV","FQ1 2023","FQ1 2023","Currency=USD","Period=FQ","BEST_FPERIOD_OVERRIDE=FQ","FILING_STATUS=MR","SCALING_FORMAT=MLN","Sort=A","Dates=H","DateFormat=P","Fill=—","Direction=H","UseDPDF=Y")</f>
        <v>223.83600000000001</v>
      </c>
      <c r="U10" s="13">
        <f>_xll.BDH("SRPT US Equity","BS_ACCT_NOTE_RCV","FQ2 2023","FQ2 2023","Currency=USD","Period=FQ","BEST_FPERIOD_OVERRIDE=FQ","FILING_STATUS=MR","SCALING_FORMAT=MLN","Sort=A","Dates=H","DateFormat=P","Fill=—","Direction=H","UseDPDF=Y")</f>
        <v>236.80799999999999</v>
      </c>
      <c r="V10" s="13">
        <f>_xll.BDH("SRPT US Equity","BS_ACCT_NOTE_RCV","FQ3 2023","FQ3 2023","Currency=USD","Period=FQ","BEST_FPERIOD_OVERRIDE=FQ","FILING_STATUS=MR","SCALING_FORMAT=MLN","Sort=A","Dates=H","DateFormat=P","Fill=—","Direction=H","UseDPDF=Y")</f>
        <v>318.85500000000002</v>
      </c>
      <c r="W10" s="13">
        <f>_xll.BDH("SRPT US Equity","BS_ACCT_NOTE_RCV","FQ4 2023","FQ4 2023","Currency=USD","Period=FQ","BEST_FPERIOD_OVERRIDE=FQ","FILING_STATUS=MR","SCALING_FORMAT=MLN","Sort=A","Dates=H","DateFormat=P","Fill=—","Direction=H","UseDPDF=Y")</f>
        <v>400.327</v>
      </c>
      <c r="X10" s="13">
        <f>_xll.BDH("SRPT US Equity","BS_ACCT_NOTE_RCV","FQ1 2024","FQ1 2024","Currency=USD","Period=FQ","BEST_FPERIOD_OVERRIDE=FQ","FILING_STATUS=MR","SCALING_FORMAT=MLN","Sort=A","Dates=H","DateFormat=P","Fill=—","Direction=H","UseDPDF=Y")</f>
        <v>378.80599999999998</v>
      </c>
      <c r="Y10" s="13">
        <f>_xll.BDH("SRPT US Equity","BS_ACCT_NOTE_RCV","FQ2 2024","FQ2 2024","Currency=USD","Period=FQ","BEST_FPERIOD_OVERRIDE=FQ","FILING_STATUS=MR","SCALING_FORMAT=MLN","Sort=A","Dates=H","DateFormat=P","Fill=—","Direction=H","UseDPDF=Y")</f>
        <v>359.99700000000001</v>
      </c>
      <c r="Z10" s="13">
        <f>_xll.BDH("SRPT US Equity","BS_ACCT_NOTE_RCV","FQ3 2024","FQ3 2024","Currency=USD","Period=FQ","BEST_FPERIOD_OVERRIDE=FQ","FILING_STATUS=MR","SCALING_FORMAT=MLN","Sort=A","Dates=H","DateFormat=P","Fill=—","Direction=H","UseDPDF=Y")</f>
        <v>434.524</v>
      </c>
      <c r="AA10" s="13">
        <f>_xll.BDH("SRPT US Equity","BS_ACCT_NOTE_RCV","FQ4 2024","FQ4 2024","Currency=USD","Period=FQ","BEST_FPERIOD_OVERRIDE=FQ","FILING_STATUS=MR","SCALING_FORMAT=MLN","Sort=A","Dates=H","DateFormat=P","Fill=—","Direction=H","UseDPDF=Y")</f>
        <v>601.98800000000006</v>
      </c>
    </row>
    <row r="11" spans="1:27" x14ac:dyDescent="0.25">
      <c r="A11" s="10" t="s">
        <v>699</v>
      </c>
      <c r="B11" s="10" t="s">
        <v>700</v>
      </c>
      <c r="C11" s="13">
        <f>_xll.BDH("SRPT US Equity","BS_ACCTS_REC_EXCL_NOTES_REC","FQ4 2018","FQ4 2018","Currency=USD","Period=FQ","BEST_FPERIOD_OVERRIDE=FQ","FILING_STATUS=MR","SCALING_FORMAT=MLN","Sort=A","Dates=H","DateFormat=P","Fill=—","Direction=H","UseDPDF=Y")</f>
        <v>49.043999999999997</v>
      </c>
      <c r="D11" s="13">
        <f>_xll.BDH("SRPT US Equity","BS_ACCTS_REC_EXCL_NOTES_REC","FQ1 2019","FQ1 2019","Currency=USD","Period=FQ","BEST_FPERIOD_OVERRIDE=FQ","FILING_STATUS=MR","SCALING_FORMAT=MLN","Sort=A","Dates=H","DateFormat=P","Fill=—","Direction=H","UseDPDF=Y")</f>
        <v>50.51</v>
      </c>
      <c r="E11" s="13">
        <f>_xll.BDH("SRPT US Equity","BS_ACCTS_REC_EXCL_NOTES_REC","FQ2 2019","FQ2 2019","Currency=USD","Period=FQ","BEST_FPERIOD_OVERRIDE=FQ","FILING_STATUS=MR","SCALING_FORMAT=MLN","Sort=A","Dates=H","DateFormat=P","Fill=—","Direction=H","UseDPDF=Y")</f>
        <v>56.981000000000002</v>
      </c>
      <c r="F11" s="13">
        <f>_xll.BDH("SRPT US Equity","BS_ACCTS_REC_EXCL_NOTES_REC","FQ3 2019","FQ3 2019","Currency=USD","Period=FQ","BEST_FPERIOD_OVERRIDE=FQ","FILING_STATUS=MR","SCALING_FORMAT=MLN","Sort=A","Dates=H","DateFormat=P","Fill=—","Direction=H","UseDPDF=Y")</f>
        <v>68.031999999999996</v>
      </c>
      <c r="G11" s="13">
        <f>_xll.BDH("SRPT US Equity","BS_ACCTS_REC_EXCL_NOTES_REC","FQ4 2019","FQ4 2019","Currency=USD","Period=FQ","BEST_FPERIOD_OVERRIDE=FQ","FILING_STATUS=MR","SCALING_FORMAT=MLN","Sort=A","Dates=H","DateFormat=P","Fill=—","Direction=H","UseDPDF=Y")</f>
        <v>90.879000000000005</v>
      </c>
      <c r="H11" s="13">
        <f>_xll.BDH("SRPT US Equity","BS_ACCTS_REC_EXCL_NOTES_REC","FQ1 2020","FQ1 2020","Currency=USD","Period=FQ","BEST_FPERIOD_OVERRIDE=FQ","FILING_STATUS=MR","SCALING_FORMAT=MLN","Sort=A","Dates=H","DateFormat=P","Fill=—","Direction=H","UseDPDF=Y")</f>
        <v>106.875</v>
      </c>
      <c r="I11" s="13">
        <f>_xll.BDH("SRPT US Equity","BS_ACCTS_REC_EXCL_NOTES_REC","FQ2 2020","FQ2 2020","Currency=USD","Period=FQ","BEST_FPERIOD_OVERRIDE=FQ","FILING_STATUS=MR","SCALING_FORMAT=MLN","Sort=A","Dates=H","DateFormat=P","Fill=—","Direction=H","UseDPDF=Y")</f>
        <v>104.02800000000001</v>
      </c>
      <c r="J11" s="13">
        <f>_xll.BDH("SRPT US Equity","BS_ACCTS_REC_EXCL_NOTES_REC","FQ3 2020","FQ3 2020","Currency=USD","Period=FQ","BEST_FPERIOD_OVERRIDE=FQ","FILING_STATUS=MR","SCALING_FORMAT=MLN","Sort=A","Dates=H","DateFormat=P","Fill=—","Direction=H","UseDPDF=Y")</f>
        <v>121.827</v>
      </c>
      <c r="K11" s="13">
        <f>_xll.BDH("SRPT US Equity","BS_ACCTS_REC_EXCL_NOTES_REC","FQ4 2020","FQ4 2020","Currency=USD","Period=FQ","BEST_FPERIOD_OVERRIDE=FQ","FILING_STATUS=MR","SCALING_FORMAT=MLN","Sort=A","Dates=H","DateFormat=P","Fill=—","Direction=H","UseDPDF=Y")</f>
        <v>101.34</v>
      </c>
      <c r="L11" s="13">
        <f>_xll.BDH("SRPT US Equity","BS_ACCTS_REC_EXCL_NOTES_REC","FQ1 2021","FQ1 2021","Currency=USD","Period=FQ","BEST_FPERIOD_OVERRIDE=FQ","FILING_STATUS=MR","SCALING_FORMAT=MLN","Sort=A","Dates=H","DateFormat=P","Fill=—","Direction=H","UseDPDF=Y")</f>
        <v>118.203</v>
      </c>
      <c r="M11" s="13">
        <f>_xll.BDH("SRPT US Equity","BS_ACCTS_REC_EXCL_NOTES_REC","FQ2 2021","FQ2 2021","Currency=USD","Period=FQ","BEST_FPERIOD_OVERRIDE=FQ","FILING_STATUS=MR","SCALING_FORMAT=MLN","Sort=A","Dates=H","DateFormat=P","Fill=—","Direction=H","UseDPDF=Y")</f>
        <v>127.52</v>
      </c>
      <c r="N11" s="13">
        <f>_xll.BDH("SRPT US Equity","BS_ACCTS_REC_EXCL_NOTES_REC","FQ3 2021","FQ3 2021","Currency=USD","Period=FQ","BEST_FPERIOD_OVERRIDE=FQ","FILING_STATUS=MR","SCALING_FORMAT=MLN","Sort=A","Dates=H","DateFormat=P","Fill=—","Direction=H","UseDPDF=Y")</f>
        <v>149.78700000000001</v>
      </c>
      <c r="O11" s="13">
        <f>_xll.BDH("SRPT US Equity","BS_ACCTS_REC_EXCL_NOTES_REC","FQ4 2021","FQ4 2021","Currency=USD","Period=FQ","BEST_FPERIOD_OVERRIDE=FQ","FILING_STATUS=MR","SCALING_FORMAT=MLN","Sort=A","Dates=H","DateFormat=P","Fill=—","Direction=H","UseDPDF=Y")</f>
        <v>152.99</v>
      </c>
      <c r="P11" s="13">
        <f>_xll.BDH("SRPT US Equity","BS_ACCTS_REC_EXCL_NOTES_REC","FQ1 2022","FQ1 2022","Currency=USD","Period=FQ","BEST_FPERIOD_OVERRIDE=FQ","FILING_STATUS=MR","SCALING_FORMAT=MLN","Sort=A","Dates=H","DateFormat=P","Fill=—","Direction=H","UseDPDF=Y")</f>
        <v>178.19399999999999</v>
      </c>
      <c r="Q11" s="13">
        <f>_xll.BDH("SRPT US Equity","BS_ACCTS_REC_EXCL_NOTES_REC","FQ2 2022","FQ2 2022","Currency=USD","Period=FQ","BEST_FPERIOD_OVERRIDE=FQ","FILING_STATUS=MR","SCALING_FORMAT=MLN","Sort=A","Dates=H","DateFormat=P","Fill=—","Direction=H","UseDPDF=Y")</f>
        <v>203.85400000000001</v>
      </c>
      <c r="R11" s="13">
        <f>_xll.BDH("SRPT US Equity","BS_ACCTS_REC_EXCL_NOTES_REC","FQ3 2022","FQ3 2022","Currency=USD","Period=FQ","BEST_FPERIOD_OVERRIDE=FQ","FILING_STATUS=MR","SCALING_FORMAT=MLN","Sort=A","Dates=H","DateFormat=P","Fill=—","Direction=H","UseDPDF=Y")</f>
        <v>201.50899999999999</v>
      </c>
      <c r="S11" s="13">
        <f>_xll.BDH("SRPT US Equity","BS_ACCTS_REC_EXCL_NOTES_REC","FQ4 2022","FQ4 2022","Currency=USD","Period=FQ","BEST_FPERIOD_OVERRIDE=FQ","FILING_STATUS=MR","SCALING_FORMAT=MLN","Sort=A","Dates=H","DateFormat=P","Fill=—","Direction=H","UseDPDF=Y")</f>
        <v>214.62799999999999</v>
      </c>
      <c r="T11" s="13">
        <f>_xll.BDH("SRPT US Equity","BS_ACCTS_REC_EXCL_NOTES_REC","FQ1 2023","FQ1 2023","Currency=USD","Period=FQ","BEST_FPERIOD_OVERRIDE=FQ","FILING_STATUS=MR","SCALING_FORMAT=MLN","Sort=A","Dates=H","DateFormat=P","Fill=—","Direction=H","UseDPDF=Y")</f>
        <v>223.83600000000001</v>
      </c>
      <c r="U11" s="13">
        <f>_xll.BDH("SRPT US Equity","BS_ACCTS_REC_EXCL_NOTES_REC","FQ2 2023","FQ2 2023","Currency=USD","Period=FQ","BEST_FPERIOD_OVERRIDE=FQ","FILING_STATUS=MR","SCALING_FORMAT=MLN","Sort=A","Dates=H","DateFormat=P","Fill=—","Direction=H","UseDPDF=Y")</f>
        <v>236.80799999999999</v>
      </c>
      <c r="V11" s="13">
        <f>_xll.BDH("SRPT US Equity","BS_ACCTS_REC_EXCL_NOTES_REC","FQ3 2023","FQ3 2023","Currency=USD","Period=FQ","BEST_FPERIOD_OVERRIDE=FQ","FILING_STATUS=MR","SCALING_FORMAT=MLN","Sort=A","Dates=H","DateFormat=P","Fill=—","Direction=H","UseDPDF=Y")</f>
        <v>318.85500000000002</v>
      </c>
      <c r="W11" s="13">
        <f>_xll.BDH("SRPT US Equity","BS_ACCTS_REC_EXCL_NOTES_REC","FQ4 2023","FQ4 2023","Currency=USD","Period=FQ","BEST_FPERIOD_OVERRIDE=FQ","FILING_STATUS=MR","SCALING_FORMAT=MLN","Sort=A","Dates=H","DateFormat=P","Fill=—","Direction=H","UseDPDF=Y")</f>
        <v>400.327</v>
      </c>
      <c r="X11" s="13">
        <f>_xll.BDH("SRPT US Equity","BS_ACCTS_REC_EXCL_NOTES_REC","FQ1 2024","FQ1 2024","Currency=USD","Period=FQ","BEST_FPERIOD_OVERRIDE=FQ","FILING_STATUS=MR","SCALING_FORMAT=MLN","Sort=A","Dates=H","DateFormat=P","Fill=—","Direction=H","UseDPDF=Y")</f>
        <v>378.80599999999998</v>
      </c>
      <c r="Y11" s="13">
        <f>_xll.BDH("SRPT US Equity","BS_ACCTS_REC_EXCL_NOTES_REC","FQ2 2024","FQ2 2024","Currency=USD","Period=FQ","BEST_FPERIOD_OVERRIDE=FQ","FILING_STATUS=MR","SCALING_FORMAT=MLN","Sort=A","Dates=H","DateFormat=P","Fill=—","Direction=H","UseDPDF=Y")</f>
        <v>359.99700000000001</v>
      </c>
      <c r="Z11" s="13">
        <f>_xll.BDH("SRPT US Equity","BS_ACCTS_REC_EXCL_NOTES_REC","FQ3 2024","FQ3 2024","Currency=USD","Period=FQ","BEST_FPERIOD_OVERRIDE=FQ","FILING_STATUS=MR","SCALING_FORMAT=MLN","Sort=A","Dates=H","DateFormat=P","Fill=—","Direction=H","UseDPDF=Y")</f>
        <v>434.524</v>
      </c>
      <c r="AA11" s="13">
        <f>_xll.BDH("SRPT US Equity","BS_ACCTS_REC_EXCL_NOTES_REC","FQ4 2024","FQ4 2024","Currency=USD","Period=FQ","BEST_FPERIOD_OVERRIDE=FQ","FILING_STATUS=MR","SCALING_FORMAT=MLN","Sort=A","Dates=H","DateFormat=P","Fill=—","Direction=H","UseDPDF=Y")</f>
        <v>601.98800000000006</v>
      </c>
    </row>
    <row r="12" spans="1:27" x14ac:dyDescent="0.25">
      <c r="A12" s="10" t="s">
        <v>701</v>
      </c>
      <c r="B12" s="10" t="s">
        <v>702</v>
      </c>
      <c r="C12" s="13">
        <f>_xll.BDH("SRPT US Equity","NOTES_RECEIVABLE","FQ4 2018","FQ4 2018","Currency=USD","Period=FQ","BEST_FPERIOD_OVERRIDE=FQ","FILING_STATUS=MR","SCALING_FORMAT=MLN","Sort=A","Dates=H","DateFormat=P","Fill=—","Direction=H","UseDPDF=Y")</f>
        <v>0</v>
      </c>
      <c r="D12" s="13">
        <f>_xll.BDH("SRPT US Equity","NOTES_RECEIVABLE","FQ1 2019","FQ1 2019","Currency=USD","Period=FQ","BEST_FPERIOD_OVERRIDE=FQ","FILING_STATUS=MR","SCALING_FORMAT=MLN","Sort=A","Dates=H","DateFormat=P","Fill=—","Direction=H","UseDPDF=Y")</f>
        <v>0</v>
      </c>
      <c r="E12" s="13">
        <f>_xll.BDH("SRPT US Equity","NOTES_RECEIVABLE","FQ2 2019","FQ2 2019","Currency=USD","Period=FQ","BEST_FPERIOD_OVERRIDE=FQ","FILING_STATUS=MR","SCALING_FORMAT=MLN","Sort=A","Dates=H","DateFormat=P","Fill=—","Direction=H","UseDPDF=Y")</f>
        <v>0</v>
      </c>
      <c r="F12" s="13">
        <f>_xll.BDH("SRPT US Equity","NOTES_RECEIVABLE","FQ3 2019","FQ3 2019","Currency=USD","Period=FQ","BEST_FPERIOD_OVERRIDE=FQ","FILING_STATUS=MR","SCALING_FORMAT=MLN","Sort=A","Dates=H","DateFormat=P","Fill=—","Direction=H","UseDPDF=Y")</f>
        <v>0</v>
      </c>
      <c r="G12" s="13">
        <f>_xll.BDH("SRPT US Equity","NOTES_RECEIVABLE","FQ4 2019","FQ4 2019","Currency=USD","Period=FQ","BEST_FPERIOD_OVERRIDE=FQ","FILING_STATUS=MR","SCALING_FORMAT=MLN","Sort=A","Dates=H","DateFormat=P","Fill=—","Direction=H","UseDPDF=Y")</f>
        <v>0</v>
      </c>
      <c r="H12" s="13">
        <f>_xll.BDH("SRPT US Equity","NOTES_RECEIVABLE","FQ1 2020","FQ1 2020","Currency=USD","Period=FQ","BEST_FPERIOD_OVERRIDE=FQ","FILING_STATUS=MR","SCALING_FORMAT=MLN","Sort=A","Dates=H","DateFormat=P","Fill=—","Direction=H","UseDPDF=Y")</f>
        <v>0</v>
      </c>
      <c r="I12" s="13">
        <f>_xll.BDH("SRPT US Equity","NOTES_RECEIVABLE","FQ2 2020","FQ2 2020","Currency=USD","Period=FQ","BEST_FPERIOD_OVERRIDE=FQ","FILING_STATUS=MR","SCALING_FORMAT=MLN","Sort=A","Dates=H","DateFormat=P","Fill=—","Direction=H","UseDPDF=Y")</f>
        <v>0</v>
      </c>
      <c r="J12" s="13">
        <f>_xll.BDH("SRPT US Equity","NOTES_RECEIVABLE","FQ3 2020","FQ3 2020","Currency=USD","Period=FQ","BEST_FPERIOD_OVERRIDE=FQ","FILING_STATUS=MR","SCALING_FORMAT=MLN","Sort=A","Dates=H","DateFormat=P","Fill=—","Direction=H","UseDPDF=Y")</f>
        <v>0</v>
      </c>
      <c r="K12" s="13">
        <f>_xll.BDH("SRPT US Equity","NOTES_RECEIVABLE","FQ4 2020","FQ4 2020","Currency=USD","Period=FQ","BEST_FPERIOD_OVERRIDE=FQ","FILING_STATUS=MR","SCALING_FORMAT=MLN","Sort=A","Dates=H","DateFormat=P","Fill=—","Direction=H","UseDPDF=Y")</f>
        <v>0</v>
      </c>
      <c r="L12" s="13">
        <f>_xll.BDH("SRPT US Equity","NOTES_RECEIVABLE","FQ1 2021","FQ1 2021","Currency=USD","Period=FQ","BEST_FPERIOD_OVERRIDE=FQ","FILING_STATUS=MR","SCALING_FORMAT=MLN","Sort=A","Dates=H","DateFormat=P","Fill=—","Direction=H","UseDPDF=Y")</f>
        <v>0</v>
      </c>
      <c r="M12" s="13">
        <f>_xll.BDH("SRPT US Equity","NOTES_RECEIVABLE","FQ2 2021","FQ2 2021","Currency=USD","Period=FQ","BEST_FPERIOD_OVERRIDE=FQ","FILING_STATUS=MR","SCALING_FORMAT=MLN","Sort=A","Dates=H","DateFormat=P","Fill=—","Direction=H","UseDPDF=Y")</f>
        <v>0</v>
      </c>
      <c r="N12" s="13">
        <f>_xll.BDH("SRPT US Equity","NOTES_RECEIVABLE","FQ3 2021","FQ3 2021","Currency=USD","Period=FQ","BEST_FPERIOD_OVERRIDE=FQ","FILING_STATUS=MR","SCALING_FORMAT=MLN","Sort=A","Dates=H","DateFormat=P","Fill=—","Direction=H","UseDPDF=Y")</f>
        <v>0</v>
      </c>
      <c r="O12" s="13">
        <f>_xll.BDH("SRPT US Equity","NOTES_RECEIVABLE","FQ4 2021","FQ4 2021","Currency=USD","Period=FQ","BEST_FPERIOD_OVERRIDE=FQ","FILING_STATUS=MR","SCALING_FORMAT=MLN","Sort=A","Dates=H","DateFormat=P","Fill=—","Direction=H","UseDPDF=Y")</f>
        <v>0</v>
      </c>
      <c r="P12" s="13">
        <f>_xll.BDH("SRPT US Equity","NOTES_RECEIVABLE","FQ1 2022","FQ1 2022","Currency=USD","Period=FQ","BEST_FPERIOD_OVERRIDE=FQ","FILING_STATUS=MR","SCALING_FORMAT=MLN","Sort=A","Dates=H","DateFormat=P","Fill=—","Direction=H","UseDPDF=Y")</f>
        <v>0</v>
      </c>
      <c r="Q12" s="13">
        <f>_xll.BDH("SRPT US Equity","NOTES_RECEIVABLE","FQ2 2022","FQ2 2022","Currency=USD","Period=FQ","BEST_FPERIOD_OVERRIDE=FQ","FILING_STATUS=MR","SCALING_FORMAT=MLN","Sort=A","Dates=H","DateFormat=P","Fill=—","Direction=H","UseDPDF=Y")</f>
        <v>0</v>
      </c>
      <c r="R12" s="13">
        <f>_xll.BDH("SRPT US Equity","NOTES_RECEIVABLE","FQ3 2022","FQ3 2022","Currency=USD","Period=FQ","BEST_FPERIOD_OVERRIDE=FQ","FILING_STATUS=MR","SCALING_FORMAT=MLN","Sort=A","Dates=H","DateFormat=P","Fill=—","Direction=H","UseDPDF=Y")</f>
        <v>0</v>
      </c>
      <c r="S12" s="13">
        <f>_xll.BDH("SRPT US Equity","NOTES_RECEIVABLE","FQ4 2022","FQ4 2022","Currency=USD","Period=FQ","BEST_FPERIOD_OVERRIDE=FQ","FILING_STATUS=MR","SCALING_FORMAT=MLN","Sort=A","Dates=H","DateFormat=P","Fill=—","Direction=H","UseDPDF=Y")</f>
        <v>0</v>
      </c>
      <c r="T12" s="13">
        <f>_xll.BDH("SRPT US Equity","NOTES_RECEIVABLE","FQ1 2023","FQ1 2023","Currency=USD","Period=FQ","BEST_FPERIOD_OVERRIDE=FQ","FILING_STATUS=MR","SCALING_FORMAT=MLN","Sort=A","Dates=H","DateFormat=P","Fill=—","Direction=H","UseDPDF=Y")</f>
        <v>0</v>
      </c>
      <c r="U12" s="13">
        <f>_xll.BDH("SRPT US Equity","NOTES_RECEIVABLE","FQ2 2023","FQ2 2023","Currency=USD","Period=FQ","BEST_FPERIOD_OVERRIDE=FQ","FILING_STATUS=MR","SCALING_FORMAT=MLN","Sort=A","Dates=H","DateFormat=P","Fill=—","Direction=H","UseDPDF=Y")</f>
        <v>0</v>
      </c>
      <c r="V12" s="13">
        <f>_xll.BDH("SRPT US Equity","NOTES_RECEIVABLE","FQ3 2023","FQ3 2023","Currency=USD","Period=FQ","BEST_FPERIOD_OVERRIDE=FQ","FILING_STATUS=MR","SCALING_FORMAT=MLN","Sort=A","Dates=H","DateFormat=P","Fill=—","Direction=H","UseDPDF=Y")</f>
        <v>0</v>
      </c>
      <c r="W12" s="13">
        <f>_xll.BDH("SRPT US Equity","NOTES_RECEIVABLE","FQ4 2023","FQ4 2023","Currency=USD","Period=FQ","BEST_FPERIOD_OVERRIDE=FQ","FILING_STATUS=MR","SCALING_FORMAT=MLN","Sort=A","Dates=H","DateFormat=P","Fill=—","Direction=H","UseDPDF=Y")</f>
        <v>0</v>
      </c>
      <c r="X12" s="13">
        <f>_xll.BDH("SRPT US Equity","NOTES_RECEIVABLE","FQ1 2024","FQ1 2024","Currency=USD","Period=FQ","BEST_FPERIOD_OVERRIDE=FQ","FILING_STATUS=MR","SCALING_FORMAT=MLN","Sort=A","Dates=H","DateFormat=P","Fill=—","Direction=H","UseDPDF=Y")</f>
        <v>0</v>
      </c>
      <c r="Y12" s="13">
        <f>_xll.BDH("SRPT US Equity","NOTES_RECEIVABLE","FQ2 2024","FQ2 2024","Currency=USD","Period=FQ","BEST_FPERIOD_OVERRIDE=FQ","FILING_STATUS=MR","SCALING_FORMAT=MLN","Sort=A","Dates=H","DateFormat=P","Fill=—","Direction=H","UseDPDF=Y")</f>
        <v>0</v>
      </c>
      <c r="Z12" s="13">
        <f>_xll.BDH("SRPT US Equity","NOTES_RECEIVABLE","FQ3 2024","FQ3 2024","Currency=USD","Period=FQ","BEST_FPERIOD_OVERRIDE=FQ","FILING_STATUS=MR","SCALING_FORMAT=MLN","Sort=A","Dates=H","DateFormat=P","Fill=—","Direction=H","UseDPDF=Y")</f>
        <v>0</v>
      </c>
      <c r="AA12" s="13">
        <f>_xll.BDH("SRPT US Equity","NOTES_RECEIVABLE","FQ4 2024","FQ4 2024","Currency=USD","Period=FQ","BEST_FPERIOD_OVERRIDE=FQ","FILING_STATUS=MR","SCALING_FORMAT=MLN","Sort=A","Dates=H","DateFormat=P","Fill=—","Direction=H","UseDPDF=Y")</f>
        <v>0</v>
      </c>
    </row>
    <row r="13" spans="1:27" x14ac:dyDescent="0.25">
      <c r="A13" s="10" t="s">
        <v>703</v>
      </c>
      <c r="B13" s="10" t="s">
        <v>704</v>
      </c>
      <c r="C13" s="13">
        <f>_xll.BDH("SRPT US Equity","BS_INVENTORIES","FQ4 2018","FQ4 2018","Currency=USD","Period=FQ","BEST_FPERIOD_OVERRIDE=FQ","FILING_STATUS=MR","SCALING_FORMAT=MLN","Sort=A","Dates=H","DateFormat=P","Fill=—","Direction=H","UseDPDF=Y")</f>
        <v>125.44499999999999</v>
      </c>
      <c r="D13" s="13">
        <f>_xll.BDH("SRPT US Equity","BS_INVENTORIES","FQ1 2019","FQ1 2019","Currency=USD","Period=FQ","BEST_FPERIOD_OVERRIDE=FQ","FILING_STATUS=MR","SCALING_FORMAT=MLN","Sort=A","Dates=H","DateFormat=P","Fill=—","Direction=H","UseDPDF=Y")</f>
        <v>140.46700000000001</v>
      </c>
      <c r="E13" s="13">
        <f>_xll.BDH("SRPT US Equity","BS_INVENTORIES","FQ2 2019","FQ2 2019","Currency=USD","Period=FQ","BEST_FPERIOD_OVERRIDE=FQ","FILING_STATUS=MR","SCALING_FORMAT=MLN","Sort=A","Dates=H","DateFormat=P","Fill=—","Direction=H","UseDPDF=Y")</f>
        <v>156.56899999999999</v>
      </c>
      <c r="F13" s="13">
        <f>_xll.BDH("SRPT US Equity","BS_INVENTORIES","FQ3 2019","FQ3 2019","Currency=USD","Period=FQ","BEST_FPERIOD_OVERRIDE=FQ","FILING_STATUS=MR","SCALING_FORMAT=MLN","Sort=A","Dates=H","DateFormat=P","Fill=—","Direction=H","UseDPDF=Y")</f>
        <v>166.36</v>
      </c>
      <c r="G13" s="13">
        <f>_xll.BDH("SRPT US Equity","BS_INVENTORIES","FQ4 2019","FQ4 2019","Currency=USD","Period=FQ","BEST_FPERIOD_OVERRIDE=FQ","FILING_STATUS=MR","SCALING_FORMAT=MLN","Sort=A","Dates=H","DateFormat=P","Fill=—","Direction=H","UseDPDF=Y")</f>
        <v>171.37899999999999</v>
      </c>
      <c r="H13" s="13">
        <f>_xll.BDH("SRPT US Equity","BS_INVENTORIES","FQ1 2020","FQ1 2020","Currency=USD","Period=FQ","BEST_FPERIOD_OVERRIDE=FQ","FILING_STATUS=MR","SCALING_FORMAT=MLN","Sort=A","Dates=H","DateFormat=P","Fill=—","Direction=H","UseDPDF=Y")</f>
        <v>173.16800000000001</v>
      </c>
      <c r="I13" s="13">
        <f>_xll.BDH("SRPT US Equity","BS_INVENTORIES","FQ2 2020","FQ2 2020","Currency=USD","Period=FQ","BEST_FPERIOD_OVERRIDE=FQ","FILING_STATUS=MR","SCALING_FORMAT=MLN","Sort=A","Dates=H","DateFormat=P","Fill=—","Direction=H","UseDPDF=Y")</f>
        <v>179.65</v>
      </c>
      <c r="J13" s="13">
        <f>_xll.BDH("SRPT US Equity","BS_INVENTORIES","FQ3 2020","FQ3 2020","Currency=USD","Period=FQ","BEST_FPERIOD_OVERRIDE=FQ","FILING_STATUS=MR","SCALING_FORMAT=MLN","Sort=A","Dates=H","DateFormat=P","Fill=—","Direction=H","UseDPDF=Y")</f>
        <v>220.11799999999999</v>
      </c>
      <c r="K13" s="13">
        <f>_xll.BDH("SRPT US Equity","BS_INVENTORIES","FQ4 2020","FQ4 2020","Currency=USD","Period=FQ","BEST_FPERIOD_OVERRIDE=FQ","FILING_STATUS=MR","SCALING_FORMAT=MLN","Sort=A","Dates=H","DateFormat=P","Fill=—","Direction=H","UseDPDF=Y")</f>
        <v>231.96100000000001</v>
      </c>
      <c r="L13" s="13">
        <f>_xll.BDH("SRPT US Equity","BS_INVENTORIES","FQ1 2021","FQ1 2021","Currency=USD","Period=FQ","BEST_FPERIOD_OVERRIDE=FQ","FILING_STATUS=MR","SCALING_FORMAT=MLN","Sort=A","Dates=H","DateFormat=P","Fill=—","Direction=H","UseDPDF=Y")</f>
        <v>240.333</v>
      </c>
      <c r="M13" s="13">
        <f>_xll.BDH("SRPT US Equity","BS_INVENTORIES","FQ2 2021","FQ2 2021","Currency=USD","Period=FQ","BEST_FPERIOD_OVERRIDE=FQ","FILING_STATUS=MR","SCALING_FORMAT=MLN","Sort=A","Dates=H","DateFormat=P","Fill=—","Direction=H","UseDPDF=Y")</f>
        <v>268.75599999999997</v>
      </c>
      <c r="N13" s="13">
        <f>_xll.BDH("SRPT US Equity","BS_INVENTORIES","FQ3 2021","FQ3 2021","Currency=USD","Period=FQ","BEST_FPERIOD_OVERRIDE=FQ","FILING_STATUS=MR","SCALING_FORMAT=MLN","Sort=A","Dates=H","DateFormat=P","Fill=—","Direction=H","UseDPDF=Y")</f>
        <v>288.46899999999999</v>
      </c>
      <c r="O13" s="13">
        <f>_xll.BDH("SRPT US Equity","BS_INVENTORIES","FQ4 2021","FQ4 2021","Currency=USD","Period=FQ","BEST_FPERIOD_OVERRIDE=FQ","FILING_STATUS=MR","SCALING_FORMAT=MLN","Sort=A","Dates=H","DateFormat=P","Fill=—","Direction=H","UseDPDF=Y")</f>
        <v>186.21199999999999</v>
      </c>
      <c r="P13" s="13">
        <f>_xll.BDH("SRPT US Equity","BS_INVENTORIES","FQ1 2022","FQ1 2022","Currency=USD","Period=FQ","BEST_FPERIOD_OVERRIDE=FQ","FILING_STATUS=MR","SCALING_FORMAT=MLN","Sort=A","Dates=H","DateFormat=P","Fill=—","Direction=H","UseDPDF=Y")</f>
        <v>198.99700000000001</v>
      </c>
      <c r="Q13" s="13">
        <f>_xll.BDH("SRPT US Equity","BS_INVENTORIES","FQ2 2022","FQ2 2022","Currency=USD","Period=FQ","BEST_FPERIOD_OVERRIDE=FQ","FILING_STATUS=MR","SCALING_FORMAT=MLN","Sort=A","Dates=H","DateFormat=P","Fill=—","Direction=H","UseDPDF=Y")</f>
        <v>208.095</v>
      </c>
      <c r="R13" s="13">
        <f>_xll.BDH("SRPT US Equity","BS_INVENTORIES","FQ3 2022","FQ3 2022","Currency=USD","Period=FQ","BEST_FPERIOD_OVERRIDE=FQ","FILING_STATUS=MR","SCALING_FORMAT=MLN","Sort=A","Dates=H","DateFormat=P","Fill=—","Direction=H","UseDPDF=Y")</f>
        <v>221.19200000000001</v>
      </c>
      <c r="S13" s="13">
        <f>_xll.BDH("SRPT US Equity","BS_INVENTORIES","FQ4 2022","FQ4 2022","Currency=USD","Period=FQ","BEST_FPERIOD_OVERRIDE=FQ","FILING_STATUS=MR","SCALING_FORMAT=MLN","Sort=A","Dates=H","DateFormat=P","Fill=—","Direction=H","UseDPDF=Y")</f>
        <v>203.96799999999999</v>
      </c>
      <c r="T13" s="13">
        <f>_xll.BDH("SRPT US Equity","BS_INVENTORIES","FQ1 2023","FQ1 2023","Currency=USD","Period=FQ","BEST_FPERIOD_OVERRIDE=FQ","FILING_STATUS=MR","SCALING_FORMAT=MLN","Sort=A","Dates=H","DateFormat=P","Fill=—","Direction=H","UseDPDF=Y")</f>
        <v>202.67500000000001</v>
      </c>
      <c r="U13" s="13">
        <f>_xll.BDH("SRPT US Equity","BS_INVENTORIES","FQ2 2023","FQ2 2023","Currency=USD","Period=FQ","BEST_FPERIOD_OVERRIDE=FQ","FILING_STATUS=MR","SCALING_FORMAT=MLN","Sort=A","Dates=H","DateFormat=P","Fill=—","Direction=H","UseDPDF=Y")</f>
        <v>226.876</v>
      </c>
      <c r="V13" s="13">
        <f>_xll.BDH("SRPT US Equity","BS_INVENTORIES","FQ3 2023","FQ3 2023","Currency=USD","Period=FQ","BEST_FPERIOD_OVERRIDE=FQ","FILING_STATUS=MR","SCALING_FORMAT=MLN","Sort=A","Dates=H","DateFormat=P","Fill=—","Direction=H","UseDPDF=Y")</f>
        <v>244.011</v>
      </c>
      <c r="W13" s="13">
        <f>_xll.BDH("SRPT US Equity","BS_INVENTORIES","FQ4 2023","FQ4 2023","Currency=USD","Period=FQ","BEST_FPERIOD_OVERRIDE=FQ","FILING_STATUS=MR","SCALING_FORMAT=MLN","Sort=A","Dates=H","DateFormat=P","Fill=—","Direction=H","UseDPDF=Y")</f>
        <v>322.85899999999998</v>
      </c>
      <c r="X13" s="13">
        <f>_xll.BDH("SRPT US Equity","BS_INVENTORIES","FQ1 2024","FQ1 2024","Currency=USD","Period=FQ","BEST_FPERIOD_OVERRIDE=FQ","FILING_STATUS=MR","SCALING_FORMAT=MLN","Sort=A","Dates=H","DateFormat=P","Fill=—","Direction=H","UseDPDF=Y")</f>
        <v>373.53</v>
      </c>
      <c r="Y13" s="13">
        <f>_xll.BDH("SRPT US Equity","BS_INVENTORIES","FQ2 2024","FQ2 2024","Currency=USD","Period=FQ","BEST_FPERIOD_OVERRIDE=FQ","FILING_STATUS=MR","SCALING_FORMAT=MLN","Sort=A","Dates=H","DateFormat=P","Fill=—","Direction=H","UseDPDF=Y")</f>
        <v>485.79500000000002</v>
      </c>
      <c r="Z13" s="13">
        <f>_xll.BDH("SRPT US Equity","BS_INVENTORIES","FQ3 2024","FQ3 2024","Currency=USD","Period=FQ","BEST_FPERIOD_OVERRIDE=FQ","FILING_STATUS=MR","SCALING_FORMAT=MLN","Sort=A","Dates=H","DateFormat=P","Fill=—","Direction=H","UseDPDF=Y")</f>
        <v>565.92399999999998</v>
      </c>
      <c r="AA13" s="13">
        <f>_xll.BDH("SRPT US Equity","BS_INVENTORIES","FQ4 2024","FQ4 2024","Currency=USD","Period=FQ","BEST_FPERIOD_OVERRIDE=FQ","FILING_STATUS=MR","SCALING_FORMAT=MLN","Sort=A","Dates=H","DateFormat=P","Fill=—","Direction=H","UseDPDF=Y")</f>
        <v>749.96</v>
      </c>
    </row>
    <row r="14" spans="1:27" x14ac:dyDescent="0.25">
      <c r="A14" s="10" t="s">
        <v>705</v>
      </c>
      <c r="B14" s="10" t="s">
        <v>706</v>
      </c>
      <c r="C14" s="13">
        <f>_xll.BDH("SRPT US Equity","INVTRY_RAW_MATERIALS","FQ4 2018","FQ4 2018","Currency=USD","Period=FQ","BEST_FPERIOD_OVERRIDE=FQ","FILING_STATUS=MR","SCALING_FORMAT=MLN","Sort=A","Dates=H","DateFormat=P","Fill=—","Direction=H","UseDPDF=Y")</f>
        <v>71.313000000000002</v>
      </c>
      <c r="D14" s="13">
        <f>_xll.BDH("SRPT US Equity","INVTRY_RAW_MATERIALS","FQ1 2019","FQ1 2019","Currency=USD","Period=FQ","BEST_FPERIOD_OVERRIDE=FQ","FILING_STATUS=MR","SCALING_FORMAT=MLN","Sort=A","Dates=H","DateFormat=P","Fill=—","Direction=H","UseDPDF=Y")</f>
        <v>70.271000000000001</v>
      </c>
      <c r="E14" s="13">
        <f>_xll.BDH("SRPT US Equity","INVTRY_RAW_MATERIALS","FQ2 2019","FQ2 2019","Currency=USD","Period=FQ","BEST_FPERIOD_OVERRIDE=FQ","FILING_STATUS=MR","SCALING_FORMAT=MLN","Sort=A","Dates=H","DateFormat=P","Fill=—","Direction=H","UseDPDF=Y")</f>
        <v>72.126000000000005</v>
      </c>
      <c r="F14" s="13">
        <f>_xll.BDH("SRPT US Equity","INVTRY_RAW_MATERIALS","FQ3 2019","FQ3 2019","Currency=USD","Period=FQ","BEST_FPERIOD_OVERRIDE=FQ","FILING_STATUS=MR","SCALING_FORMAT=MLN","Sort=A","Dates=H","DateFormat=P","Fill=—","Direction=H","UseDPDF=Y")</f>
        <v>74.076999999999998</v>
      </c>
      <c r="G14" s="13">
        <f>_xll.BDH("SRPT US Equity","INVTRY_RAW_MATERIALS","FQ4 2019","FQ4 2019","Currency=USD","Period=FQ","BEST_FPERIOD_OVERRIDE=FQ","FILING_STATUS=MR","SCALING_FORMAT=MLN","Sort=A","Dates=H","DateFormat=P","Fill=—","Direction=H","UseDPDF=Y")</f>
        <v>82.03</v>
      </c>
      <c r="H14" s="13">
        <f>_xll.BDH("SRPT US Equity","INVTRY_RAW_MATERIALS","FQ1 2020","FQ1 2020","Currency=USD","Period=FQ","BEST_FPERIOD_OVERRIDE=FQ","FILING_STATUS=MR","SCALING_FORMAT=MLN","Sort=A","Dates=H","DateFormat=P","Fill=—","Direction=H","UseDPDF=Y")</f>
        <v>81.736000000000004</v>
      </c>
      <c r="I14" s="13">
        <f>_xll.BDH("SRPT US Equity","INVTRY_RAW_MATERIALS","FQ2 2020","FQ2 2020","Currency=USD","Period=FQ","BEST_FPERIOD_OVERRIDE=FQ","FILING_STATUS=MR","SCALING_FORMAT=MLN","Sort=A","Dates=H","DateFormat=P","Fill=—","Direction=H","UseDPDF=Y")</f>
        <v>75.980999999999995</v>
      </c>
      <c r="J14" s="13">
        <f>_xll.BDH("SRPT US Equity","INVTRY_RAW_MATERIALS","FQ3 2020","FQ3 2020","Currency=USD","Period=FQ","BEST_FPERIOD_OVERRIDE=FQ","FILING_STATUS=MR","SCALING_FORMAT=MLN","Sort=A","Dates=H","DateFormat=P","Fill=—","Direction=H","UseDPDF=Y")</f>
        <v>80.135000000000005</v>
      </c>
      <c r="K14" s="13">
        <f>_xll.BDH("SRPT US Equity","INVTRY_RAW_MATERIALS","FQ4 2020","FQ4 2020","Currency=USD","Period=FQ","BEST_FPERIOD_OVERRIDE=FQ","FILING_STATUS=MR","SCALING_FORMAT=MLN","Sort=A","Dates=H","DateFormat=P","Fill=—","Direction=H","UseDPDF=Y")</f>
        <v>71.716999999999999</v>
      </c>
      <c r="L14" s="13">
        <f>_xll.BDH("SRPT US Equity","INVTRY_RAW_MATERIALS","FQ1 2021","FQ1 2021","Currency=USD","Period=FQ","BEST_FPERIOD_OVERRIDE=FQ","FILING_STATUS=MR","SCALING_FORMAT=MLN","Sort=A","Dates=H","DateFormat=P","Fill=—","Direction=H","UseDPDF=Y")</f>
        <v>62.244</v>
      </c>
      <c r="M14" s="13">
        <f>_xll.BDH("SRPT US Equity","INVTRY_RAW_MATERIALS","FQ2 2021","FQ2 2021","Currency=USD","Period=FQ","BEST_FPERIOD_OVERRIDE=FQ","FILING_STATUS=MR","SCALING_FORMAT=MLN","Sort=A","Dates=H","DateFormat=P","Fill=—","Direction=H","UseDPDF=Y")</f>
        <v>47.774000000000001</v>
      </c>
      <c r="N14" s="13">
        <f>_xll.BDH("SRPT US Equity","INVTRY_RAW_MATERIALS","FQ3 2021","FQ3 2021","Currency=USD","Period=FQ","BEST_FPERIOD_OVERRIDE=FQ","FILING_STATUS=MR","SCALING_FORMAT=MLN","Sort=A","Dates=H","DateFormat=P","Fill=—","Direction=H","UseDPDF=Y")</f>
        <v>40.155999999999999</v>
      </c>
      <c r="O14" s="13" t="str">
        <f>_xll.BDH("SRPT US Equity","INVTRY_RAW_MATERIALS","FQ4 2021","FQ4 2021","Currency=USD","Period=FQ","BEST_FPERIOD_OVERRIDE=FQ","FILING_STATUS=MR","SCALING_FORMAT=MLN","Sort=A","Dates=H","DateFormat=P","Fill=—","Direction=H","UseDPDF=Y")</f>
        <v>—</v>
      </c>
      <c r="P14" s="13">
        <f>_xll.BDH("SRPT US Equity","INVTRY_RAW_MATERIALS","FQ1 2022","FQ1 2022","Currency=USD","Period=FQ","BEST_FPERIOD_OVERRIDE=FQ","FILING_STATUS=MR","SCALING_FORMAT=MLN","Sort=A","Dates=H","DateFormat=P","Fill=—","Direction=H","UseDPDF=Y")</f>
        <v>41.271000000000001</v>
      </c>
      <c r="Q14" s="13">
        <f>_xll.BDH("SRPT US Equity","INVTRY_RAW_MATERIALS","FQ2 2022","FQ2 2022","Currency=USD","Period=FQ","BEST_FPERIOD_OVERRIDE=FQ","FILING_STATUS=MR","SCALING_FORMAT=MLN","Sort=A","Dates=H","DateFormat=P","Fill=—","Direction=H","UseDPDF=Y")</f>
        <v>42.398000000000003</v>
      </c>
      <c r="R14" s="13">
        <f>_xll.BDH("SRPT US Equity","INVTRY_RAW_MATERIALS","FQ3 2022","FQ3 2022","Currency=USD","Period=FQ","BEST_FPERIOD_OVERRIDE=FQ","FILING_STATUS=MR","SCALING_FORMAT=MLN","Sort=A","Dates=H","DateFormat=P","Fill=—","Direction=H","UseDPDF=Y")</f>
        <v>57.981000000000002</v>
      </c>
      <c r="S14" s="13" t="str">
        <f>_xll.BDH("SRPT US Equity","INVTRY_RAW_MATERIALS","FQ4 2022","FQ4 2022","Currency=USD","Period=FQ","BEST_FPERIOD_OVERRIDE=FQ","FILING_STATUS=MR","SCALING_FORMAT=MLN","Sort=A","Dates=H","DateFormat=P","Fill=—","Direction=H","UseDPDF=Y")</f>
        <v>—</v>
      </c>
      <c r="T14" s="13">
        <f>_xll.BDH("SRPT US Equity","INVTRY_RAW_MATERIALS","FQ1 2023","FQ1 2023","Currency=USD","Period=FQ","BEST_FPERIOD_OVERRIDE=FQ","FILING_STATUS=MR","SCALING_FORMAT=MLN","Sort=A","Dates=H","DateFormat=P","Fill=—","Direction=H","UseDPDF=Y")</f>
        <v>84.474999999999994</v>
      </c>
      <c r="U14" s="13">
        <f>_xll.BDH("SRPT US Equity","INVTRY_RAW_MATERIALS","FQ2 2023","FQ2 2023","Currency=USD","Period=FQ","BEST_FPERIOD_OVERRIDE=FQ","FILING_STATUS=MR","SCALING_FORMAT=MLN","Sort=A","Dates=H","DateFormat=P","Fill=—","Direction=H","UseDPDF=Y")</f>
        <v>102.83799999999999</v>
      </c>
      <c r="V14" s="13">
        <f>_xll.BDH("SRPT US Equity","INVTRY_RAW_MATERIALS","FQ3 2023","FQ3 2023","Currency=USD","Period=FQ","BEST_FPERIOD_OVERRIDE=FQ","FILING_STATUS=MR","SCALING_FORMAT=MLN","Sort=A","Dates=H","DateFormat=P","Fill=—","Direction=H","UseDPDF=Y")</f>
        <v>114.622</v>
      </c>
      <c r="W14" s="13" t="str">
        <f>_xll.BDH("SRPT US Equity","INVTRY_RAW_MATERIALS","FQ4 2023","FQ4 2023","Currency=USD","Period=FQ","BEST_FPERIOD_OVERRIDE=FQ","FILING_STATUS=MR","SCALING_FORMAT=MLN","Sort=A","Dates=H","DateFormat=P","Fill=—","Direction=H","UseDPDF=Y")</f>
        <v>—</v>
      </c>
      <c r="X14" s="13">
        <f>_xll.BDH("SRPT US Equity","INVTRY_RAW_MATERIALS","FQ1 2024","FQ1 2024","Currency=USD","Period=FQ","BEST_FPERIOD_OVERRIDE=FQ","FILING_STATUS=MR","SCALING_FORMAT=MLN","Sort=A","Dates=H","DateFormat=P","Fill=—","Direction=H","UseDPDF=Y")</f>
        <v>150.011</v>
      </c>
      <c r="Y14" s="13">
        <f>_xll.BDH("SRPT US Equity","INVTRY_RAW_MATERIALS","FQ2 2024","FQ2 2024","Currency=USD","Period=FQ","BEST_FPERIOD_OVERRIDE=FQ","FILING_STATUS=MR","SCALING_FORMAT=MLN","Sort=A","Dates=H","DateFormat=P","Fill=—","Direction=H","UseDPDF=Y")</f>
        <v>167.20099999999999</v>
      </c>
      <c r="Z14" s="13">
        <f>_xll.BDH("SRPT US Equity","INVTRY_RAW_MATERIALS","FQ3 2024","FQ3 2024","Currency=USD","Period=FQ","BEST_FPERIOD_OVERRIDE=FQ","FILING_STATUS=MR","SCALING_FORMAT=MLN","Sort=A","Dates=H","DateFormat=P","Fill=—","Direction=H","UseDPDF=Y")</f>
        <v>208.32</v>
      </c>
      <c r="AA14" s="13">
        <f>_xll.BDH("SRPT US Equity","INVTRY_RAW_MATERIALS","FQ4 2024","FQ4 2024","Currency=USD","Period=FQ","BEST_FPERIOD_OVERRIDE=FQ","FILING_STATUS=MR","SCALING_FORMAT=MLN","Sort=A","Dates=H","DateFormat=P","Fill=—","Direction=H","UseDPDF=Y")</f>
        <v>280.04500000000002</v>
      </c>
    </row>
    <row r="15" spans="1:27" x14ac:dyDescent="0.25">
      <c r="A15" s="10" t="s">
        <v>707</v>
      </c>
      <c r="B15" s="10" t="s">
        <v>708</v>
      </c>
      <c r="C15" s="13">
        <f>_xll.BDH("SRPT US Equity","INVTRY_IN_PROGRESS","FQ4 2018","FQ4 2018","Currency=USD","Period=FQ","BEST_FPERIOD_OVERRIDE=FQ","FILING_STATUS=MR","SCALING_FORMAT=MLN","Sort=A","Dates=H","DateFormat=P","Fill=—","Direction=H","UseDPDF=Y")</f>
        <v>47.279000000000003</v>
      </c>
      <c r="D15" s="13">
        <f>_xll.BDH("SRPT US Equity","INVTRY_IN_PROGRESS","FQ1 2019","FQ1 2019","Currency=USD","Period=FQ","BEST_FPERIOD_OVERRIDE=FQ","FILING_STATUS=MR","SCALING_FORMAT=MLN","Sort=A","Dates=H","DateFormat=P","Fill=—","Direction=H","UseDPDF=Y")</f>
        <v>66.884</v>
      </c>
      <c r="E15" s="13">
        <f>_xll.BDH("SRPT US Equity","INVTRY_IN_PROGRESS","FQ2 2019","FQ2 2019","Currency=USD","Period=FQ","BEST_FPERIOD_OVERRIDE=FQ","FILING_STATUS=MR","SCALING_FORMAT=MLN","Sort=A","Dates=H","DateFormat=P","Fill=—","Direction=H","UseDPDF=Y")</f>
        <v>78.353999999999999</v>
      </c>
      <c r="F15" s="13">
        <f>_xll.BDH("SRPT US Equity","INVTRY_IN_PROGRESS","FQ3 2019","FQ3 2019","Currency=USD","Period=FQ","BEST_FPERIOD_OVERRIDE=FQ","FILING_STATUS=MR","SCALING_FORMAT=MLN","Sort=A","Dates=H","DateFormat=P","Fill=—","Direction=H","UseDPDF=Y")</f>
        <v>90.489000000000004</v>
      </c>
      <c r="G15" s="13">
        <f>_xll.BDH("SRPT US Equity","INVTRY_IN_PROGRESS","FQ4 2019","FQ4 2019","Currency=USD","Period=FQ","BEST_FPERIOD_OVERRIDE=FQ","FILING_STATUS=MR","SCALING_FORMAT=MLN","Sort=A","Dates=H","DateFormat=P","Fill=—","Direction=H","UseDPDF=Y")</f>
        <v>88.031000000000006</v>
      </c>
      <c r="H15" s="13">
        <f>_xll.BDH("SRPT US Equity","INVTRY_IN_PROGRESS","FQ1 2020","FQ1 2020","Currency=USD","Period=FQ","BEST_FPERIOD_OVERRIDE=FQ","FILING_STATUS=MR","SCALING_FORMAT=MLN","Sort=A","Dates=H","DateFormat=P","Fill=—","Direction=H","UseDPDF=Y")</f>
        <v>84.521000000000001</v>
      </c>
      <c r="I15" s="13">
        <f>_xll.BDH("SRPT US Equity","INVTRY_IN_PROGRESS","FQ2 2020","FQ2 2020","Currency=USD","Period=FQ","BEST_FPERIOD_OVERRIDE=FQ","FILING_STATUS=MR","SCALING_FORMAT=MLN","Sort=A","Dates=H","DateFormat=P","Fill=—","Direction=H","UseDPDF=Y")</f>
        <v>100.04600000000001</v>
      </c>
      <c r="J15" s="13">
        <f>_xll.BDH("SRPT US Equity","INVTRY_IN_PROGRESS","FQ3 2020","FQ3 2020","Currency=USD","Period=FQ","BEST_FPERIOD_OVERRIDE=FQ","FILING_STATUS=MR","SCALING_FORMAT=MLN","Sort=A","Dates=H","DateFormat=P","Fill=—","Direction=H","UseDPDF=Y")</f>
        <v>135.43</v>
      </c>
      <c r="K15" s="13">
        <f>_xll.BDH("SRPT US Equity","INVTRY_IN_PROGRESS","FQ4 2020","FQ4 2020","Currency=USD","Period=FQ","BEST_FPERIOD_OVERRIDE=FQ","FILING_STATUS=MR","SCALING_FORMAT=MLN","Sort=A","Dates=H","DateFormat=P","Fill=—","Direction=H","UseDPDF=Y")</f>
        <v>139.70400000000001</v>
      </c>
      <c r="L15" s="13">
        <f>_xll.BDH("SRPT US Equity","INVTRY_IN_PROGRESS","FQ1 2021","FQ1 2021","Currency=USD","Period=FQ","BEST_FPERIOD_OVERRIDE=FQ","FILING_STATUS=MR","SCALING_FORMAT=MLN","Sort=A","Dates=H","DateFormat=P","Fill=—","Direction=H","UseDPDF=Y")</f>
        <v>149.81100000000001</v>
      </c>
      <c r="M15" s="13">
        <f>_xll.BDH("SRPT US Equity","INVTRY_IN_PROGRESS","FQ2 2021","FQ2 2021","Currency=USD","Period=FQ","BEST_FPERIOD_OVERRIDE=FQ","FILING_STATUS=MR","SCALING_FORMAT=MLN","Sort=A","Dates=H","DateFormat=P","Fill=—","Direction=H","UseDPDF=Y")</f>
        <v>191.511</v>
      </c>
      <c r="N15" s="13">
        <f>_xll.BDH("SRPT US Equity","INVTRY_IN_PROGRESS","FQ3 2021","FQ3 2021","Currency=USD","Period=FQ","BEST_FPERIOD_OVERRIDE=FQ","FILING_STATUS=MR","SCALING_FORMAT=MLN","Sort=A","Dates=H","DateFormat=P","Fill=—","Direction=H","UseDPDF=Y")</f>
        <v>221.47900000000001</v>
      </c>
      <c r="O15" s="13" t="str">
        <f>_xll.BDH("SRPT US Equity","INVTRY_IN_PROGRESS","FQ4 2021","FQ4 2021","Currency=USD","Period=FQ","BEST_FPERIOD_OVERRIDE=FQ","FILING_STATUS=MR","SCALING_FORMAT=MLN","Sort=A","Dates=H","DateFormat=P","Fill=—","Direction=H","UseDPDF=Y")</f>
        <v>—</v>
      </c>
      <c r="P15" s="13">
        <f>_xll.BDH("SRPT US Equity","INVTRY_IN_PROGRESS","FQ1 2022","FQ1 2022","Currency=USD","Period=FQ","BEST_FPERIOD_OVERRIDE=FQ","FILING_STATUS=MR","SCALING_FORMAT=MLN","Sort=A","Dates=H","DateFormat=P","Fill=—","Direction=H","UseDPDF=Y")</f>
        <v>245.273</v>
      </c>
      <c r="Q15" s="13">
        <f>_xll.BDH("SRPT US Equity","INVTRY_IN_PROGRESS","FQ2 2022","FQ2 2022","Currency=USD","Period=FQ","BEST_FPERIOD_OVERRIDE=FQ","FILING_STATUS=MR","SCALING_FORMAT=MLN","Sort=A","Dates=H","DateFormat=P","Fill=—","Direction=H","UseDPDF=Y")</f>
        <v>253.2</v>
      </c>
      <c r="R15" s="13">
        <f>_xll.BDH("SRPT US Equity","INVTRY_IN_PROGRESS","FQ3 2022","FQ3 2022","Currency=USD","Period=FQ","BEST_FPERIOD_OVERRIDE=FQ","FILING_STATUS=MR","SCALING_FORMAT=MLN","Sort=A","Dates=H","DateFormat=P","Fill=—","Direction=H","UseDPDF=Y")</f>
        <v>250.39099999999999</v>
      </c>
      <c r="S15" s="13" t="str">
        <f>_xll.BDH("SRPT US Equity","INVTRY_IN_PROGRESS","FQ4 2022","FQ4 2022","Currency=USD","Period=FQ","BEST_FPERIOD_OVERRIDE=FQ","FILING_STATUS=MR","SCALING_FORMAT=MLN","Sort=A","Dates=H","DateFormat=P","Fill=—","Direction=H","UseDPDF=Y")</f>
        <v>—</v>
      </c>
      <c r="T15" s="13">
        <f>_xll.BDH("SRPT US Equity","INVTRY_IN_PROGRESS","FQ1 2023","FQ1 2023","Currency=USD","Period=FQ","BEST_FPERIOD_OVERRIDE=FQ","FILING_STATUS=MR","SCALING_FORMAT=MLN","Sort=A","Dates=H","DateFormat=P","Fill=—","Direction=H","UseDPDF=Y")</f>
        <v>239.65700000000001</v>
      </c>
      <c r="U15" s="13">
        <f>_xll.BDH("SRPT US Equity","INVTRY_IN_PROGRESS","FQ2 2023","FQ2 2023","Currency=USD","Period=FQ","BEST_FPERIOD_OVERRIDE=FQ","FILING_STATUS=MR","SCALING_FORMAT=MLN","Sort=A","Dates=H","DateFormat=P","Fill=—","Direction=H","UseDPDF=Y")</f>
        <v>243.06100000000001</v>
      </c>
      <c r="V15" s="13">
        <f>_xll.BDH("SRPT US Equity","INVTRY_IN_PROGRESS","FQ3 2023","FQ3 2023","Currency=USD","Period=FQ","BEST_FPERIOD_OVERRIDE=FQ","FILING_STATUS=MR","SCALING_FORMAT=MLN","Sort=A","Dates=H","DateFormat=P","Fill=—","Direction=H","UseDPDF=Y")</f>
        <v>258.25799999999998</v>
      </c>
      <c r="W15" s="13" t="str">
        <f>_xll.BDH("SRPT US Equity","INVTRY_IN_PROGRESS","FQ4 2023","FQ4 2023","Currency=USD","Period=FQ","BEST_FPERIOD_OVERRIDE=FQ","FILING_STATUS=MR","SCALING_FORMAT=MLN","Sort=A","Dates=H","DateFormat=P","Fill=—","Direction=H","UseDPDF=Y")</f>
        <v>—</v>
      </c>
      <c r="X15" s="13">
        <f>_xll.BDH("SRPT US Equity","INVTRY_IN_PROGRESS","FQ1 2024","FQ1 2024","Currency=USD","Period=FQ","BEST_FPERIOD_OVERRIDE=FQ","FILING_STATUS=MR","SCALING_FORMAT=MLN","Sort=A","Dates=H","DateFormat=P","Fill=—","Direction=H","UseDPDF=Y")</f>
        <v>391.55799999999999</v>
      </c>
      <c r="Y15" s="13">
        <f>_xll.BDH("SRPT US Equity","INVTRY_IN_PROGRESS","FQ2 2024","FQ2 2024","Currency=USD","Period=FQ","BEST_FPERIOD_OVERRIDE=FQ","FILING_STATUS=MR","SCALING_FORMAT=MLN","Sort=A","Dates=H","DateFormat=P","Fill=—","Direction=H","UseDPDF=Y")</f>
        <v>470.38099999999997</v>
      </c>
      <c r="Z15" s="13">
        <f>_xll.BDH("SRPT US Equity","INVTRY_IN_PROGRESS","FQ3 2024","FQ3 2024","Currency=USD","Period=FQ","BEST_FPERIOD_OVERRIDE=FQ","FILING_STATUS=MR","SCALING_FORMAT=MLN","Sort=A","Dates=H","DateFormat=P","Fill=—","Direction=H","UseDPDF=Y")</f>
        <v>482.17099999999999</v>
      </c>
      <c r="AA15" s="13">
        <f>_xll.BDH("SRPT US Equity","INVTRY_IN_PROGRESS","FQ4 2024","FQ4 2024","Currency=USD","Period=FQ","BEST_FPERIOD_OVERRIDE=FQ","FILING_STATUS=MR","SCALING_FORMAT=MLN","Sort=A","Dates=H","DateFormat=P","Fill=—","Direction=H","UseDPDF=Y")</f>
        <v>610.69200000000001</v>
      </c>
    </row>
    <row r="16" spans="1:27" x14ac:dyDescent="0.25">
      <c r="A16" s="10" t="s">
        <v>709</v>
      </c>
      <c r="B16" s="10" t="s">
        <v>710</v>
      </c>
      <c r="C16" s="13">
        <f>_xll.BDH("SRPT US Equity","INVTRY_FINISHED_GOODS","FQ4 2018","FQ4 2018","Currency=USD","Period=FQ","BEST_FPERIOD_OVERRIDE=FQ","FILING_STATUS=MR","SCALING_FORMAT=MLN","Sort=A","Dates=H","DateFormat=P","Fill=—","Direction=H","UseDPDF=Y")</f>
        <v>6.8529999999999998</v>
      </c>
      <c r="D16" s="13">
        <f>_xll.BDH("SRPT US Equity","INVTRY_FINISHED_GOODS","FQ1 2019","FQ1 2019","Currency=USD","Period=FQ","BEST_FPERIOD_OVERRIDE=FQ","FILING_STATUS=MR","SCALING_FORMAT=MLN","Sort=A","Dates=H","DateFormat=P","Fill=—","Direction=H","UseDPDF=Y")</f>
        <v>3.3119999999999998</v>
      </c>
      <c r="E16" s="13">
        <f>_xll.BDH("SRPT US Equity","INVTRY_FINISHED_GOODS","FQ2 2019","FQ2 2019","Currency=USD","Period=FQ","BEST_FPERIOD_OVERRIDE=FQ","FILING_STATUS=MR","SCALING_FORMAT=MLN","Sort=A","Dates=H","DateFormat=P","Fill=—","Direction=H","UseDPDF=Y")</f>
        <v>6.0890000000000004</v>
      </c>
      <c r="F16" s="13">
        <f>_xll.BDH("SRPT US Equity","INVTRY_FINISHED_GOODS","FQ3 2019","FQ3 2019","Currency=USD","Period=FQ","BEST_FPERIOD_OVERRIDE=FQ","FILING_STATUS=MR","SCALING_FORMAT=MLN","Sort=A","Dates=H","DateFormat=P","Fill=—","Direction=H","UseDPDF=Y")</f>
        <v>1.794</v>
      </c>
      <c r="G16" s="13">
        <f>_xll.BDH("SRPT US Equity","INVTRY_FINISHED_GOODS","FQ4 2019","FQ4 2019","Currency=USD","Period=FQ","BEST_FPERIOD_OVERRIDE=FQ","FILING_STATUS=MR","SCALING_FORMAT=MLN","Sort=A","Dates=H","DateFormat=P","Fill=—","Direction=H","UseDPDF=Y")</f>
        <v>1.3180000000000001</v>
      </c>
      <c r="H16" s="13">
        <f>_xll.BDH("SRPT US Equity","INVTRY_FINISHED_GOODS","FQ1 2020","FQ1 2020","Currency=USD","Period=FQ","BEST_FPERIOD_OVERRIDE=FQ","FILING_STATUS=MR","SCALING_FORMAT=MLN","Sort=A","Dates=H","DateFormat=P","Fill=—","Direction=H","UseDPDF=Y")</f>
        <v>6.9109999999999996</v>
      </c>
      <c r="I16" s="13">
        <f>_xll.BDH("SRPT US Equity","INVTRY_FINISHED_GOODS","FQ2 2020","FQ2 2020","Currency=USD","Period=FQ","BEST_FPERIOD_OVERRIDE=FQ","FILING_STATUS=MR","SCALING_FORMAT=MLN","Sort=A","Dates=H","DateFormat=P","Fill=—","Direction=H","UseDPDF=Y")</f>
        <v>3.6230000000000002</v>
      </c>
      <c r="J16" s="13">
        <f>_xll.BDH("SRPT US Equity","INVTRY_FINISHED_GOODS","FQ3 2020","FQ3 2020","Currency=USD","Period=FQ","BEST_FPERIOD_OVERRIDE=FQ","FILING_STATUS=MR","SCALING_FORMAT=MLN","Sort=A","Dates=H","DateFormat=P","Fill=—","Direction=H","UseDPDF=Y")</f>
        <v>4.5529999999999999</v>
      </c>
      <c r="K16" s="13">
        <f>_xll.BDH("SRPT US Equity","INVTRY_FINISHED_GOODS","FQ4 2020","FQ4 2020","Currency=USD","Period=FQ","BEST_FPERIOD_OVERRIDE=FQ","FILING_STATUS=MR","SCALING_FORMAT=MLN","Sort=A","Dates=H","DateFormat=P","Fill=—","Direction=H","UseDPDF=Y")</f>
        <v>20.54</v>
      </c>
      <c r="L16" s="13">
        <f>_xll.BDH("SRPT US Equity","INVTRY_FINISHED_GOODS","FQ1 2021","FQ1 2021","Currency=USD","Period=FQ","BEST_FPERIOD_OVERRIDE=FQ","FILING_STATUS=MR","SCALING_FORMAT=MLN","Sort=A","Dates=H","DateFormat=P","Fill=—","Direction=H","UseDPDF=Y")</f>
        <v>28.277999999999999</v>
      </c>
      <c r="M16" s="13">
        <f>_xll.BDH("SRPT US Equity","INVTRY_FINISHED_GOODS","FQ2 2021","FQ2 2021","Currency=USD","Period=FQ","BEST_FPERIOD_OVERRIDE=FQ","FILING_STATUS=MR","SCALING_FORMAT=MLN","Sort=A","Dates=H","DateFormat=P","Fill=—","Direction=H","UseDPDF=Y")</f>
        <v>29.471</v>
      </c>
      <c r="N16" s="13">
        <f>_xll.BDH("SRPT US Equity","INVTRY_FINISHED_GOODS","FQ3 2021","FQ3 2021","Currency=USD","Period=FQ","BEST_FPERIOD_OVERRIDE=FQ","FILING_STATUS=MR","SCALING_FORMAT=MLN","Sort=A","Dates=H","DateFormat=P","Fill=—","Direction=H","UseDPDF=Y")</f>
        <v>26.834</v>
      </c>
      <c r="O16" s="13" t="str">
        <f>_xll.BDH("SRPT US Equity","INVTRY_FINISHED_GOODS","FQ4 2021","FQ4 2021","Currency=USD","Period=FQ","BEST_FPERIOD_OVERRIDE=FQ","FILING_STATUS=MR","SCALING_FORMAT=MLN","Sort=A","Dates=H","DateFormat=P","Fill=—","Direction=H","UseDPDF=Y")</f>
        <v>—</v>
      </c>
      <c r="P16" s="13">
        <f>_xll.BDH("SRPT US Equity","INVTRY_FINISHED_GOODS","FQ1 2022","FQ1 2022","Currency=USD","Period=FQ","BEST_FPERIOD_OVERRIDE=FQ","FILING_STATUS=MR","SCALING_FORMAT=MLN","Sort=A","Dates=H","DateFormat=P","Fill=—","Direction=H","UseDPDF=Y")</f>
        <v>33.875999999999998</v>
      </c>
      <c r="Q16" s="13">
        <f>_xll.BDH("SRPT US Equity","INVTRY_FINISHED_GOODS","FQ2 2022","FQ2 2022","Currency=USD","Period=FQ","BEST_FPERIOD_OVERRIDE=FQ","FILING_STATUS=MR","SCALING_FORMAT=MLN","Sort=A","Dates=H","DateFormat=P","Fill=—","Direction=H","UseDPDF=Y")</f>
        <v>35.499000000000002</v>
      </c>
      <c r="R16" s="13">
        <f>_xll.BDH("SRPT US Equity","INVTRY_FINISHED_GOODS","FQ3 2022","FQ3 2022","Currency=USD","Period=FQ","BEST_FPERIOD_OVERRIDE=FQ","FILING_STATUS=MR","SCALING_FORMAT=MLN","Sort=A","Dates=H","DateFormat=P","Fill=—","Direction=H","UseDPDF=Y")</f>
        <v>49.261000000000003</v>
      </c>
      <c r="S16" s="13" t="str">
        <f>_xll.BDH("SRPT US Equity","INVTRY_FINISHED_GOODS","FQ4 2022","FQ4 2022","Currency=USD","Period=FQ","BEST_FPERIOD_OVERRIDE=FQ","FILING_STATUS=MR","SCALING_FORMAT=MLN","Sort=A","Dates=H","DateFormat=P","Fill=—","Direction=H","UseDPDF=Y")</f>
        <v>—</v>
      </c>
      <c r="T16" s="13">
        <f>_xll.BDH("SRPT US Equity","INVTRY_FINISHED_GOODS","FQ1 2023","FQ1 2023","Currency=USD","Period=FQ","BEST_FPERIOD_OVERRIDE=FQ","FILING_STATUS=MR","SCALING_FORMAT=MLN","Sort=A","Dates=H","DateFormat=P","Fill=—","Direction=H","UseDPDF=Y")</f>
        <v>42.686999999999998</v>
      </c>
      <c r="U16" s="13">
        <f>_xll.BDH("SRPT US Equity","INVTRY_FINISHED_GOODS","FQ2 2023","FQ2 2023","Currency=USD","Period=FQ","BEST_FPERIOD_OVERRIDE=FQ","FILING_STATUS=MR","SCALING_FORMAT=MLN","Sort=A","Dates=H","DateFormat=P","Fill=—","Direction=H","UseDPDF=Y")</f>
        <v>47.612000000000002</v>
      </c>
      <c r="V16" s="13">
        <f>_xll.BDH("SRPT US Equity","INVTRY_FINISHED_GOODS","FQ3 2023","FQ3 2023","Currency=USD","Period=FQ","BEST_FPERIOD_OVERRIDE=FQ","FILING_STATUS=MR","SCALING_FORMAT=MLN","Sort=A","Dates=H","DateFormat=P","Fill=—","Direction=H","UseDPDF=Y")</f>
        <v>47.243000000000002</v>
      </c>
      <c r="W16" s="13" t="str">
        <f>_xll.BDH("SRPT US Equity","INVTRY_FINISHED_GOODS","FQ4 2023","FQ4 2023","Currency=USD","Period=FQ","BEST_FPERIOD_OVERRIDE=FQ","FILING_STATUS=MR","SCALING_FORMAT=MLN","Sort=A","Dates=H","DateFormat=P","Fill=—","Direction=H","UseDPDF=Y")</f>
        <v>—</v>
      </c>
      <c r="X16" s="13">
        <f>_xll.BDH("SRPT US Equity","INVTRY_FINISHED_GOODS","FQ1 2024","FQ1 2024","Currency=USD","Period=FQ","BEST_FPERIOD_OVERRIDE=FQ","FILING_STATUS=MR","SCALING_FORMAT=MLN","Sort=A","Dates=H","DateFormat=P","Fill=—","Direction=H","UseDPDF=Y")</f>
        <v>39.503</v>
      </c>
      <c r="Y16" s="13">
        <f>_xll.BDH("SRPT US Equity","INVTRY_FINISHED_GOODS","FQ2 2024","FQ2 2024","Currency=USD","Period=FQ","BEST_FPERIOD_OVERRIDE=FQ","FILING_STATUS=MR","SCALING_FORMAT=MLN","Sort=A","Dates=H","DateFormat=P","Fill=—","Direction=H","UseDPDF=Y")</f>
        <v>52.904000000000003</v>
      </c>
      <c r="Z16" s="13">
        <f>_xll.BDH("SRPT US Equity","INVTRY_FINISHED_GOODS","FQ3 2024","FQ3 2024","Currency=USD","Period=FQ","BEST_FPERIOD_OVERRIDE=FQ","FILING_STATUS=MR","SCALING_FORMAT=MLN","Sort=A","Dates=H","DateFormat=P","Fill=—","Direction=H","UseDPDF=Y")</f>
        <v>77.983000000000004</v>
      </c>
      <c r="AA16" s="13">
        <f>_xll.BDH("SRPT US Equity","INVTRY_FINISHED_GOODS","FQ4 2024","FQ4 2024","Currency=USD","Period=FQ","BEST_FPERIOD_OVERRIDE=FQ","FILING_STATUS=MR","SCALING_FORMAT=MLN","Sort=A","Dates=H","DateFormat=P","Fill=—","Direction=H","UseDPDF=Y")</f>
        <v>47.209000000000003</v>
      </c>
    </row>
    <row r="17" spans="1:27" x14ac:dyDescent="0.25">
      <c r="A17" s="10" t="s">
        <v>711</v>
      </c>
      <c r="B17" s="10" t="s">
        <v>712</v>
      </c>
      <c r="C17" s="13">
        <f>_xll.BDH("SRPT US Equity","BS_OTHER_INV","FQ4 2018","FQ4 2018","Currency=USD","Period=FQ","BEST_FPERIOD_OVERRIDE=FQ","FILING_STATUS=MR","SCALING_FORMAT=MLN","Sort=A","Dates=H","DateFormat=P","Fill=—","Direction=H","UseDPDF=Y")</f>
        <v>0</v>
      </c>
      <c r="D17" s="13">
        <f>_xll.BDH("SRPT US Equity","BS_OTHER_INV","FQ1 2019","FQ1 2019","Currency=USD","Period=FQ","BEST_FPERIOD_OVERRIDE=FQ","FILING_STATUS=MR","SCALING_FORMAT=MLN","Sort=A","Dates=H","DateFormat=P","Fill=—","Direction=H","UseDPDF=Y")</f>
        <v>0</v>
      </c>
      <c r="E17" s="13">
        <f>_xll.BDH("SRPT US Equity","BS_OTHER_INV","FQ2 2019","FQ2 2019","Currency=USD","Period=FQ","BEST_FPERIOD_OVERRIDE=FQ","FILING_STATUS=MR","SCALING_FORMAT=MLN","Sort=A","Dates=H","DateFormat=P","Fill=—","Direction=H","UseDPDF=Y")</f>
        <v>0</v>
      </c>
      <c r="F17" s="13">
        <f>_xll.BDH("SRPT US Equity","BS_OTHER_INV","FQ3 2019","FQ3 2019","Currency=USD","Period=FQ","BEST_FPERIOD_OVERRIDE=FQ","FILING_STATUS=MR","SCALING_FORMAT=MLN","Sort=A","Dates=H","DateFormat=P","Fill=—","Direction=H","UseDPDF=Y")</f>
        <v>0</v>
      </c>
      <c r="G17" s="13">
        <f>_xll.BDH("SRPT US Equity","BS_OTHER_INV","FQ4 2019","FQ4 2019","Currency=USD","Period=FQ","BEST_FPERIOD_OVERRIDE=FQ","FILING_STATUS=MR","SCALING_FORMAT=MLN","Sort=A","Dates=H","DateFormat=P","Fill=—","Direction=H","UseDPDF=Y")</f>
        <v>0</v>
      </c>
      <c r="H17" s="13">
        <f>_xll.BDH("SRPT US Equity","BS_OTHER_INV","FQ1 2020","FQ1 2020","Currency=USD","Period=FQ","BEST_FPERIOD_OVERRIDE=FQ","FILING_STATUS=MR","SCALING_FORMAT=MLN","Sort=A","Dates=H","DateFormat=P","Fill=—","Direction=H","UseDPDF=Y")</f>
        <v>0</v>
      </c>
      <c r="I17" s="13">
        <f>_xll.BDH("SRPT US Equity","BS_OTHER_INV","FQ2 2020","FQ2 2020","Currency=USD","Period=FQ","BEST_FPERIOD_OVERRIDE=FQ","FILING_STATUS=MR","SCALING_FORMAT=MLN","Sort=A","Dates=H","DateFormat=P","Fill=—","Direction=H","UseDPDF=Y")</f>
        <v>0</v>
      </c>
      <c r="J17" s="13">
        <f>_xll.BDH("SRPT US Equity","BS_OTHER_INV","FQ3 2020","FQ3 2020","Currency=USD","Period=FQ","BEST_FPERIOD_OVERRIDE=FQ","FILING_STATUS=MR","SCALING_FORMAT=MLN","Sort=A","Dates=H","DateFormat=P","Fill=—","Direction=H","UseDPDF=Y")</f>
        <v>0</v>
      </c>
      <c r="K17" s="13">
        <f>_xll.BDH("SRPT US Equity","BS_OTHER_INV","FQ4 2020","FQ4 2020","Currency=USD","Period=FQ","BEST_FPERIOD_OVERRIDE=FQ","FILING_STATUS=MR","SCALING_FORMAT=MLN","Sort=A","Dates=H","DateFormat=P","Fill=—","Direction=H","UseDPDF=Y")</f>
        <v>0</v>
      </c>
      <c r="L17" s="13">
        <f>_xll.BDH("SRPT US Equity","BS_OTHER_INV","FQ1 2021","FQ1 2021","Currency=USD","Period=FQ","BEST_FPERIOD_OVERRIDE=FQ","FILING_STATUS=MR","SCALING_FORMAT=MLN","Sort=A","Dates=H","DateFormat=P","Fill=—","Direction=H","UseDPDF=Y")</f>
        <v>0</v>
      </c>
      <c r="M17" s="13">
        <f>_xll.BDH("SRPT US Equity","BS_OTHER_INV","FQ2 2021","FQ2 2021","Currency=USD","Period=FQ","BEST_FPERIOD_OVERRIDE=FQ","FILING_STATUS=MR","SCALING_FORMAT=MLN","Sort=A","Dates=H","DateFormat=P","Fill=—","Direction=H","UseDPDF=Y")</f>
        <v>0</v>
      </c>
      <c r="N17" s="13">
        <f>_xll.BDH("SRPT US Equity","BS_OTHER_INV","FQ3 2021","FQ3 2021","Currency=USD","Period=FQ","BEST_FPERIOD_OVERRIDE=FQ","FILING_STATUS=MR","SCALING_FORMAT=MLN","Sort=A","Dates=H","DateFormat=P","Fill=—","Direction=H","UseDPDF=Y")</f>
        <v>0</v>
      </c>
      <c r="O17" s="13" t="str">
        <f>_xll.BDH("SRPT US Equity","BS_OTHER_INV","FQ4 2021","FQ4 2021","Currency=USD","Period=FQ","BEST_FPERIOD_OVERRIDE=FQ","FILING_STATUS=MR","SCALING_FORMAT=MLN","Sort=A","Dates=H","DateFormat=P","Fill=—","Direction=H","UseDPDF=Y")</f>
        <v>—</v>
      </c>
      <c r="P17" s="13">
        <f>_xll.BDH("SRPT US Equity","BS_OTHER_INV","FQ1 2022","FQ1 2022","Currency=USD","Period=FQ","BEST_FPERIOD_OVERRIDE=FQ","FILING_STATUS=MR","SCALING_FORMAT=MLN","Sort=A","Dates=H","DateFormat=P","Fill=—","Direction=H","UseDPDF=Y")</f>
        <v>-121.423</v>
      </c>
      <c r="Q17" s="13">
        <f>_xll.BDH("SRPT US Equity","BS_OTHER_INV","FQ2 2022","FQ2 2022","Currency=USD","Period=FQ","BEST_FPERIOD_OVERRIDE=FQ","FILING_STATUS=MR","SCALING_FORMAT=MLN","Sort=A","Dates=H","DateFormat=P","Fill=—","Direction=H","UseDPDF=Y")</f>
        <v>-123.002</v>
      </c>
      <c r="R17" s="13">
        <f>_xll.BDH("SRPT US Equity","BS_OTHER_INV","FQ3 2022","FQ3 2022","Currency=USD","Period=FQ","BEST_FPERIOD_OVERRIDE=FQ","FILING_STATUS=MR","SCALING_FORMAT=MLN","Sort=A","Dates=H","DateFormat=P","Fill=—","Direction=H","UseDPDF=Y")</f>
        <v>-136.441</v>
      </c>
      <c r="S17" s="13" t="str">
        <f>_xll.BDH("SRPT US Equity","BS_OTHER_INV","FQ4 2022","FQ4 2022","Currency=USD","Period=FQ","BEST_FPERIOD_OVERRIDE=FQ","FILING_STATUS=MR","SCALING_FORMAT=MLN","Sort=A","Dates=H","DateFormat=P","Fill=—","Direction=H","UseDPDF=Y")</f>
        <v>—</v>
      </c>
      <c r="T17" s="13">
        <f>_xll.BDH("SRPT US Equity","BS_OTHER_INV","FQ1 2023","FQ1 2023","Currency=USD","Period=FQ","BEST_FPERIOD_OVERRIDE=FQ","FILING_STATUS=MR","SCALING_FORMAT=MLN","Sort=A","Dates=H","DateFormat=P","Fill=—","Direction=H","UseDPDF=Y")</f>
        <v>-164.14400000000001</v>
      </c>
      <c r="U17" s="13">
        <f>_xll.BDH("SRPT US Equity","BS_OTHER_INV","FQ2 2023","FQ2 2023","Currency=USD","Period=FQ","BEST_FPERIOD_OVERRIDE=FQ","FILING_STATUS=MR","SCALING_FORMAT=MLN","Sort=A","Dates=H","DateFormat=P","Fill=—","Direction=H","UseDPDF=Y")</f>
        <v>-166.63499999999999</v>
      </c>
      <c r="V17" s="13">
        <f>_xll.BDH("SRPT US Equity","BS_OTHER_INV","FQ3 2023","FQ3 2023","Currency=USD","Period=FQ","BEST_FPERIOD_OVERRIDE=FQ","FILING_STATUS=MR","SCALING_FORMAT=MLN","Sort=A","Dates=H","DateFormat=P","Fill=—","Direction=H","UseDPDF=Y")</f>
        <v>-176.11199999999999</v>
      </c>
      <c r="W17" s="13" t="str">
        <f>_xll.BDH("SRPT US Equity","BS_OTHER_INV","FQ4 2023","FQ4 2023","Currency=USD","Period=FQ","BEST_FPERIOD_OVERRIDE=FQ","FILING_STATUS=MR","SCALING_FORMAT=MLN","Sort=A","Dates=H","DateFormat=P","Fill=—","Direction=H","UseDPDF=Y")</f>
        <v>—</v>
      </c>
      <c r="X17" s="13">
        <f>_xll.BDH("SRPT US Equity","BS_OTHER_INV","FQ1 2024","FQ1 2024","Currency=USD","Period=FQ","BEST_FPERIOD_OVERRIDE=FQ","FILING_STATUS=MR","SCALING_FORMAT=MLN","Sort=A","Dates=H","DateFormat=P","Fill=—","Direction=H","UseDPDF=Y")</f>
        <v>-207.542</v>
      </c>
      <c r="Y17" s="13">
        <f>_xll.BDH("SRPT US Equity","BS_OTHER_INV","FQ2 2024","FQ2 2024","Currency=USD","Period=FQ","BEST_FPERIOD_OVERRIDE=FQ","FILING_STATUS=MR","SCALING_FORMAT=MLN","Sort=A","Dates=H","DateFormat=P","Fill=—","Direction=H","UseDPDF=Y")</f>
        <v>-204.691</v>
      </c>
      <c r="Z17" s="13">
        <f>_xll.BDH("SRPT US Equity","BS_OTHER_INV","FQ3 2024","FQ3 2024","Currency=USD","Period=FQ","BEST_FPERIOD_OVERRIDE=FQ","FILING_STATUS=MR","SCALING_FORMAT=MLN","Sort=A","Dates=H","DateFormat=P","Fill=—","Direction=H","UseDPDF=Y")</f>
        <v>-202.55</v>
      </c>
      <c r="AA17" s="13">
        <f>_xll.BDH("SRPT US Equity","BS_OTHER_INV","FQ4 2024","FQ4 2024","Currency=USD","Period=FQ","BEST_FPERIOD_OVERRIDE=FQ","FILING_STATUS=MR","SCALING_FORMAT=MLN","Sort=A","Dates=H","DateFormat=P","Fill=—","Direction=H","UseDPDF=Y")</f>
        <v>-187.98599999999999</v>
      </c>
    </row>
    <row r="18" spans="1:27" x14ac:dyDescent="0.25">
      <c r="A18" s="10" t="s">
        <v>713</v>
      </c>
      <c r="B18" s="10" t="s">
        <v>714</v>
      </c>
      <c r="C18" s="13">
        <f>_xll.BDH("SRPT US Equity","OTHER_CURRENT_ASSETS_DETAILED","FQ4 2018","FQ4 2018","Currency=USD","Period=FQ","BEST_FPERIOD_OVERRIDE=FQ","FILING_STATUS=MR","SCALING_FORMAT=MLN","Sort=A","Dates=H","DateFormat=P","Fill=—","Direction=H","UseDPDF=Y")</f>
        <v>77.781999999999996</v>
      </c>
      <c r="D18" s="13">
        <f>_xll.BDH("SRPT US Equity","OTHER_CURRENT_ASSETS_DETAILED","FQ1 2019","FQ1 2019","Currency=USD","Period=FQ","BEST_FPERIOD_OVERRIDE=FQ","FILING_STATUS=MR","SCALING_FORMAT=MLN","Sort=A","Dates=H","DateFormat=P","Fill=—","Direction=H","UseDPDF=Y")</f>
        <v>136.238</v>
      </c>
      <c r="E18" s="13">
        <f>_xll.BDH("SRPT US Equity","OTHER_CURRENT_ASSETS_DETAILED","FQ2 2019","FQ2 2019","Currency=USD","Period=FQ","BEST_FPERIOD_OVERRIDE=FQ","FILING_STATUS=MR","SCALING_FORMAT=MLN","Sort=A","Dates=H","DateFormat=P","Fill=—","Direction=H","UseDPDF=Y")</f>
        <v>110.79900000000001</v>
      </c>
      <c r="F18" s="13">
        <f>_xll.BDH("SRPT US Equity","OTHER_CURRENT_ASSETS_DETAILED","FQ3 2019","FQ3 2019","Currency=USD","Period=FQ","BEST_FPERIOD_OVERRIDE=FQ","FILING_STATUS=MR","SCALING_FORMAT=MLN","Sort=A","Dates=H","DateFormat=P","Fill=—","Direction=H","UseDPDF=Y")</f>
        <v>79.015000000000001</v>
      </c>
      <c r="G18" s="13">
        <f>_xll.BDH("SRPT US Equity","OTHER_CURRENT_ASSETS_DETAILED","FQ4 2019","FQ4 2019","Currency=USD","Period=FQ","BEST_FPERIOD_OVERRIDE=FQ","FILING_STATUS=MR","SCALING_FORMAT=MLN","Sort=A","Dates=H","DateFormat=P","Fill=—","Direction=H","UseDPDF=Y")</f>
        <v>81.906999999999996</v>
      </c>
      <c r="H18" s="13">
        <f>_xll.BDH("SRPT US Equity","OTHER_CURRENT_ASSETS_DETAILED","FQ1 2020","FQ1 2020","Currency=USD","Period=FQ","BEST_FPERIOD_OVERRIDE=FQ","FILING_STATUS=MR","SCALING_FORMAT=MLN","Sort=A","Dates=H","DateFormat=P","Fill=—","Direction=H","UseDPDF=Y")</f>
        <v>96.153000000000006</v>
      </c>
      <c r="I18" s="13">
        <f>_xll.BDH("SRPT US Equity","OTHER_CURRENT_ASSETS_DETAILED","FQ2 2020","FQ2 2020","Currency=USD","Period=FQ","BEST_FPERIOD_OVERRIDE=FQ","FILING_STATUS=MR","SCALING_FORMAT=MLN","Sort=A","Dates=H","DateFormat=P","Fill=—","Direction=H","UseDPDF=Y")</f>
        <v>114.435</v>
      </c>
      <c r="J18" s="13">
        <f>_xll.BDH("SRPT US Equity","OTHER_CURRENT_ASSETS_DETAILED","FQ3 2020","FQ3 2020","Currency=USD","Period=FQ","BEST_FPERIOD_OVERRIDE=FQ","FILING_STATUS=MR","SCALING_FORMAT=MLN","Sort=A","Dates=H","DateFormat=P","Fill=—","Direction=H","UseDPDF=Y")</f>
        <v>164.624</v>
      </c>
      <c r="K18" s="13">
        <f>_xll.BDH("SRPT US Equity","OTHER_CURRENT_ASSETS_DETAILED","FQ4 2020","FQ4 2020","Currency=USD","Period=FQ","BEST_FPERIOD_OVERRIDE=FQ","FILING_STATUS=MR","SCALING_FORMAT=MLN","Sort=A","Dates=H","DateFormat=P","Fill=—","Direction=H","UseDPDF=Y")</f>
        <v>213.32400000000001</v>
      </c>
      <c r="L18" s="13">
        <f>_xll.BDH("SRPT US Equity","OTHER_CURRENT_ASSETS_DETAILED","FQ1 2021","FQ1 2021","Currency=USD","Period=FQ","BEST_FPERIOD_OVERRIDE=FQ","FILING_STATUS=MR","SCALING_FORMAT=MLN","Sort=A","Dates=H","DateFormat=P","Fill=—","Direction=H","UseDPDF=Y")</f>
        <v>174.98099999999999</v>
      </c>
      <c r="M18" s="13">
        <f>_xll.BDH("SRPT US Equity","OTHER_CURRENT_ASSETS_DETAILED","FQ2 2021","FQ2 2021","Currency=USD","Period=FQ","BEST_FPERIOD_OVERRIDE=FQ","FILING_STATUS=MR","SCALING_FORMAT=MLN","Sort=A","Dates=H","DateFormat=P","Fill=—","Direction=H","UseDPDF=Y")</f>
        <v>141.666</v>
      </c>
      <c r="N18" s="13">
        <f>_xll.BDH("SRPT US Equity","OTHER_CURRENT_ASSETS_DETAILED","FQ3 2021","FQ3 2021","Currency=USD","Period=FQ","BEST_FPERIOD_OVERRIDE=FQ","FILING_STATUS=MR","SCALING_FORMAT=MLN","Sort=A","Dates=H","DateFormat=P","Fill=—","Direction=H","UseDPDF=Y")</f>
        <v>147.941</v>
      </c>
      <c r="O18" s="13">
        <f>_xll.BDH("SRPT US Equity","OTHER_CURRENT_ASSETS_DETAILED","FQ4 2021","FQ4 2021","Currency=USD","Period=FQ","BEST_FPERIOD_OVERRIDE=FQ","FILING_STATUS=MR","SCALING_FORMAT=MLN","Sort=A","Dates=H","DateFormat=P","Fill=—","Direction=H","UseDPDF=Y")</f>
        <v>149.02799999999999</v>
      </c>
      <c r="P18" s="13">
        <f>_xll.BDH("SRPT US Equity","OTHER_CURRENT_ASSETS_DETAILED","FQ1 2022","FQ1 2022","Currency=USD","Period=FQ","BEST_FPERIOD_OVERRIDE=FQ","FILING_STATUS=MR","SCALING_FORMAT=MLN","Sort=A","Dates=H","DateFormat=P","Fill=—","Direction=H","UseDPDF=Y")</f>
        <v>140.33099999999999</v>
      </c>
      <c r="Q18" s="13">
        <f>_xll.BDH("SRPT US Equity","OTHER_CURRENT_ASSETS_DETAILED","FQ2 2022","FQ2 2022","Currency=USD","Period=FQ","BEST_FPERIOD_OVERRIDE=FQ","FILING_STATUS=MR","SCALING_FORMAT=MLN","Sort=A","Dates=H","DateFormat=P","Fill=—","Direction=H","UseDPDF=Y")</f>
        <v>129.33199999999999</v>
      </c>
      <c r="R18" s="13">
        <f>_xll.BDH("SRPT US Equity","OTHER_CURRENT_ASSETS_DETAILED","FQ3 2022","FQ3 2022","Currency=USD","Period=FQ","BEST_FPERIOD_OVERRIDE=FQ","FILING_STATUS=MR","SCALING_FORMAT=MLN","Sort=A","Dates=H","DateFormat=P","Fill=—","Direction=H","UseDPDF=Y")</f>
        <v>130.744</v>
      </c>
      <c r="S18" s="13">
        <f>_xll.BDH("SRPT US Equity","OTHER_CURRENT_ASSETS_DETAILED","FQ4 2022","FQ4 2022","Currency=USD","Period=FQ","BEST_FPERIOD_OVERRIDE=FQ","FILING_STATUS=MR","SCALING_FORMAT=MLN","Sort=A","Dates=H","DateFormat=P","Fill=—","Direction=H","UseDPDF=Y")</f>
        <v>149.89099999999999</v>
      </c>
      <c r="T18" s="13">
        <f>_xll.BDH("SRPT US Equity","OTHER_CURRENT_ASSETS_DETAILED","FQ1 2023","FQ1 2023","Currency=USD","Period=FQ","BEST_FPERIOD_OVERRIDE=FQ","FILING_STATUS=MR","SCALING_FORMAT=MLN","Sort=A","Dates=H","DateFormat=P","Fill=—","Direction=H","UseDPDF=Y")</f>
        <v>179.76900000000001</v>
      </c>
      <c r="U18" s="13">
        <f>_xll.BDH("SRPT US Equity","OTHER_CURRENT_ASSETS_DETAILED","FQ2 2023","FQ2 2023","Currency=USD","Period=FQ","BEST_FPERIOD_OVERRIDE=FQ","FILING_STATUS=MR","SCALING_FORMAT=MLN","Sort=A","Dates=H","DateFormat=P","Fill=—","Direction=H","UseDPDF=Y")</f>
        <v>148.215</v>
      </c>
      <c r="V18" s="13">
        <f>_xll.BDH("SRPT US Equity","OTHER_CURRENT_ASSETS_DETAILED","FQ3 2023","FQ3 2023","Currency=USD","Period=FQ","BEST_FPERIOD_OVERRIDE=FQ","FILING_STATUS=MR","SCALING_FORMAT=MLN","Sort=A","Dates=H","DateFormat=P","Fill=—","Direction=H","UseDPDF=Y")</f>
        <v>154.441</v>
      </c>
      <c r="W18" s="13">
        <f>_xll.BDH("SRPT US Equity","OTHER_CURRENT_ASSETS_DETAILED","FQ4 2023","FQ4 2023","Currency=USD","Period=FQ","BEST_FPERIOD_OVERRIDE=FQ","FILING_STATUS=MR","SCALING_FORMAT=MLN","Sort=A","Dates=H","DateFormat=P","Fill=—","Direction=H","UseDPDF=Y")</f>
        <v>179.89500000000001</v>
      </c>
      <c r="X18" s="13">
        <f>_xll.BDH("SRPT US Equity","OTHER_CURRENT_ASSETS_DETAILED","FQ1 2024","FQ1 2024","Currency=USD","Period=FQ","BEST_FPERIOD_OVERRIDE=FQ","FILING_STATUS=MR","SCALING_FORMAT=MLN","Sort=A","Dates=H","DateFormat=P","Fill=—","Direction=H","UseDPDF=Y")</f>
        <v>321.786</v>
      </c>
      <c r="Y18" s="13">
        <f>_xll.BDH("SRPT US Equity","OTHER_CURRENT_ASSETS_DETAILED","FQ2 2024","FQ2 2024","Currency=USD","Period=FQ","BEST_FPERIOD_OVERRIDE=FQ","FILING_STATUS=MR","SCALING_FORMAT=MLN","Sort=A","Dates=H","DateFormat=P","Fill=—","Direction=H","UseDPDF=Y")</f>
        <v>377.37</v>
      </c>
      <c r="Z18" s="13">
        <f>_xll.BDH("SRPT US Equity","OTHER_CURRENT_ASSETS_DETAILED","FQ3 2024","FQ3 2024","Currency=USD","Period=FQ","BEST_FPERIOD_OVERRIDE=FQ","FILING_STATUS=MR","SCALING_FORMAT=MLN","Sort=A","Dates=H","DateFormat=P","Fill=—","Direction=H","UseDPDF=Y")</f>
        <v>486.53199999999998</v>
      </c>
      <c r="AA18" s="13">
        <f>_xll.BDH("SRPT US Equity","OTHER_CURRENT_ASSETS_DETAILED","FQ4 2024","FQ4 2024","Currency=USD","Period=FQ","BEST_FPERIOD_OVERRIDE=FQ","FILING_STATUS=MR","SCALING_FORMAT=MLN","Sort=A","Dates=H","DateFormat=P","Fill=—","Direction=H","UseDPDF=Y")</f>
        <v>366.72300000000001</v>
      </c>
    </row>
    <row r="19" spans="1:27" x14ac:dyDescent="0.25">
      <c r="A19" s="10" t="s">
        <v>715</v>
      </c>
      <c r="B19" s="10" t="s">
        <v>716</v>
      </c>
      <c r="C19" s="13">
        <f>_xll.BDH("SRPT US Equity","BS_PREPAY","FQ4 2018","FQ4 2018","Currency=USD","Period=FQ","BEST_FPERIOD_OVERRIDE=FQ","FILING_STATUS=MR","SCALING_FORMAT=MLN","Sort=A","Dates=H","DateFormat=P","Fill=—","Direction=H","UseDPDF=Y")</f>
        <v>3.6709999999999998</v>
      </c>
      <c r="D19" s="13">
        <f>_xll.BDH("SRPT US Equity","BS_PREPAY","FQ1 2019","FQ1 2019","Currency=USD","Period=FQ","BEST_FPERIOD_OVERRIDE=FQ","FILING_STATUS=MR","SCALING_FORMAT=MLN","Sort=A","Dates=H","DateFormat=P","Fill=—","Direction=H","UseDPDF=Y")</f>
        <v>18.908000000000001</v>
      </c>
      <c r="E19" s="13">
        <f>_xll.BDH("SRPT US Equity","BS_PREPAY","FQ2 2019","FQ2 2019","Currency=USD","Period=FQ","BEST_FPERIOD_OVERRIDE=FQ","FILING_STATUS=MR","SCALING_FORMAT=MLN","Sort=A","Dates=H","DateFormat=P","Fill=—","Direction=H","UseDPDF=Y")</f>
        <v>17.491</v>
      </c>
      <c r="F19" s="13">
        <f>_xll.BDH("SRPT US Equity","BS_PREPAY","FQ3 2019","FQ3 2019","Currency=USD","Period=FQ","BEST_FPERIOD_OVERRIDE=FQ","FILING_STATUS=MR","SCALING_FORMAT=MLN","Sort=A","Dates=H","DateFormat=P","Fill=—","Direction=H","UseDPDF=Y")</f>
        <v>17.945</v>
      </c>
      <c r="G19" s="13">
        <f>_xll.BDH("SRPT US Equity","BS_PREPAY","FQ4 2019","FQ4 2019","Currency=USD","Period=FQ","BEST_FPERIOD_OVERRIDE=FQ","FILING_STATUS=MR","SCALING_FORMAT=MLN","Sort=A","Dates=H","DateFormat=P","Fill=—","Direction=H","UseDPDF=Y")</f>
        <v>16.75</v>
      </c>
      <c r="H19" s="13">
        <f>_xll.BDH("SRPT US Equity","BS_PREPAY","FQ1 2020","FQ1 2020","Currency=USD","Period=FQ","BEST_FPERIOD_OVERRIDE=FQ","FILING_STATUS=MR","SCALING_FORMAT=MLN","Sort=A","Dates=H","DateFormat=P","Fill=—","Direction=H","UseDPDF=Y")</f>
        <v>23.917000000000002</v>
      </c>
      <c r="I19" s="13">
        <f>_xll.BDH("SRPT US Equity","BS_PREPAY","FQ2 2020","FQ2 2020","Currency=USD","Period=FQ","BEST_FPERIOD_OVERRIDE=FQ","FILING_STATUS=MR","SCALING_FORMAT=MLN","Sort=A","Dates=H","DateFormat=P","Fill=—","Direction=H","UseDPDF=Y")</f>
        <v>23.727</v>
      </c>
      <c r="J19" s="13">
        <f>_xll.BDH("SRPT US Equity","BS_PREPAY","FQ3 2020","FQ3 2020","Currency=USD","Period=FQ","BEST_FPERIOD_OVERRIDE=FQ","FILING_STATUS=MR","SCALING_FORMAT=MLN","Sort=A","Dates=H","DateFormat=P","Fill=—","Direction=H","UseDPDF=Y")</f>
        <v>28.907</v>
      </c>
      <c r="K19" s="13">
        <f>_xll.BDH("SRPT US Equity","BS_PREPAY","FQ4 2020","FQ4 2020","Currency=USD","Period=FQ","BEST_FPERIOD_OVERRIDE=FQ","FILING_STATUS=MR","SCALING_FORMAT=MLN","Sort=A","Dates=H","DateFormat=P","Fill=—","Direction=H","UseDPDF=Y")</f>
        <v>33.427999999999997</v>
      </c>
      <c r="L19" s="13">
        <f>_xll.BDH("SRPT US Equity","BS_PREPAY","FQ1 2021","FQ1 2021","Currency=USD","Period=FQ","BEST_FPERIOD_OVERRIDE=FQ","FILING_STATUS=MR","SCALING_FORMAT=MLN","Sort=A","Dates=H","DateFormat=P","Fill=—","Direction=H","UseDPDF=Y")</f>
        <v>34.152000000000001</v>
      </c>
      <c r="M19" s="13">
        <f>_xll.BDH("SRPT US Equity","BS_PREPAY","FQ2 2021","FQ2 2021","Currency=USD","Period=FQ","BEST_FPERIOD_OVERRIDE=FQ","FILING_STATUS=MR","SCALING_FORMAT=MLN","Sort=A","Dates=H","DateFormat=P","Fill=—","Direction=H","UseDPDF=Y")</f>
        <v>25.555</v>
      </c>
      <c r="N19" s="13">
        <f>_xll.BDH("SRPT US Equity","BS_PREPAY","FQ3 2021","FQ3 2021","Currency=USD","Period=FQ","BEST_FPERIOD_OVERRIDE=FQ","FILING_STATUS=MR","SCALING_FORMAT=MLN","Sort=A","Dates=H","DateFormat=P","Fill=—","Direction=H","UseDPDF=Y")</f>
        <v>25.187999999999999</v>
      </c>
      <c r="O19" s="13">
        <f>_xll.BDH("SRPT US Equity","BS_PREPAY","FQ4 2021","FQ4 2021","Currency=USD","Period=FQ","BEST_FPERIOD_OVERRIDE=FQ","FILING_STATUS=MR","SCALING_FORMAT=MLN","Sort=A","Dates=H","DateFormat=P","Fill=—","Direction=H","UseDPDF=Y")</f>
        <v>25.300999999999998</v>
      </c>
      <c r="P19" s="13">
        <f>_xll.BDH("SRPT US Equity","BS_PREPAY","FQ1 2022","FQ1 2022","Currency=USD","Period=FQ","BEST_FPERIOD_OVERRIDE=FQ","FILING_STATUS=MR","SCALING_FORMAT=MLN","Sort=A","Dates=H","DateFormat=P","Fill=—","Direction=H","UseDPDF=Y")</f>
        <v>27.885000000000002</v>
      </c>
      <c r="Q19" s="13">
        <f>_xll.BDH("SRPT US Equity","BS_PREPAY","FQ2 2022","FQ2 2022","Currency=USD","Period=FQ","BEST_FPERIOD_OVERRIDE=FQ","FILING_STATUS=MR","SCALING_FORMAT=MLN","Sort=A","Dates=H","DateFormat=P","Fill=—","Direction=H","UseDPDF=Y")</f>
        <v>34.311</v>
      </c>
      <c r="R19" s="13">
        <f>_xll.BDH("SRPT US Equity","BS_PREPAY","FQ3 2022","FQ3 2022","Currency=USD","Period=FQ","BEST_FPERIOD_OVERRIDE=FQ","FILING_STATUS=MR","SCALING_FORMAT=MLN","Sort=A","Dates=H","DateFormat=P","Fill=—","Direction=H","UseDPDF=Y")</f>
        <v>25.391999999999999</v>
      </c>
      <c r="S19" s="13">
        <f>_xll.BDH("SRPT US Equity","BS_PREPAY","FQ4 2022","FQ4 2022","Currency=USD","Period=FQ","BEST_FPERIOD_OVERRIDE=FQ","FILING_STATUS=MR","SCALING_FORMAT=MLN","Sort=A","Dates=H","DateFormat=P","Fill=—","Direction=H","UseDPDF=Y")</f>
        <v>23.981000000000002</v>
      </c>
      <c r="T19" s="13">
        <f>_xll.BDH("SRPT US Equity","BS_PREPAY","FQ1 2023","FQ1 2023","Currency=USD","Period=FQ","BEST_FPERIOD_OVERRIDE=FQ","FILING_STATUS=MR","SCALING_FORMAT=MLN","Sort=A","Dates=H","DateFormat=P","Fill=—","Direction=H","UseDPDF=Y")</f>
        <v>105.651</v>
      </c>
      <c r="U19" s="13">
        <f>_xll.BDH("SRPT US Equity","BS_PREPAY","FQ2 2023","FQ2 2023","Currency=USD","Period=FQ","BEST_FPERIOD_OVERRIDE=FQ","FILING_STATUS=MR","SCALING_FORMAT=MLN","Sort=A","Dates=H","DateFormat=P","Fill=—","Direction=H","UseDPDF=Y")</f>
        <v>106.40600000000001</v>
      </c>
      <c r="V19" s="13">
        <f>_xll.BDH("SRPT US Equity","BS_PREPAY","FQ3 2023","FQ3 2023","Currency=USD","Period=FQ","BEST_FPERIOD_OVERRIDE=FQ","FILING_STATUS=MR","SCALING_FORMAT=MLN","Sort=A","Dates=H","DateFormat=P","Fill=—","Direction=H","UseDPDF=Y")</f>
        <v>27.818000000000001</v>
      </c>
      <c r="W19" s="13">
        <f>_xll.BDH("SRPT US Equity","BS_PREPAY","FQ4 2023","FQ4 2023","Currency=USD","Period=FQ","BEST_FPERIOD_OVERRIDE=FQ","FILING_STATUS=MR","SCALING_FORMAT=MLN","Sort=A","Dates=H","DateFormat=P","Fill=—","Direction=H","UseDPDF=Y")</f>
        <v>29.937000000000001</v>
      </c>
      <c r="X19" s="13">
        <f>_xll.BDH("SRPT US Equity","BS_PREPAY","FQ1 2024","FQ1 2024","Currency=USD","Period=FQ","BEST_FPERIOD_OVERRIDE=FQ","FILING_STATUS=MR","SCALING_FORMAT=MLN","Sort=A","Dates=H","DateFormat=P","Fill=—","Direction=H","UseDPDF=Y")</f>
        <v>41.588000000000001</v>
      </c>
      <c r="Y19" s="13">
        <f>_xll.BDH("SRPT US Equity","BS_PREPAY","FQ2 2024","FQ2 2024","Currency=USD","Period=FQ","BEST_FPERIOD_OVERRIDE=FQ","FILING_STATUS=MR","SCALING_FORMAT=MLN","Sort=A","Dates=H","DateFormat=P","Fill=—","Direction=H","UseDPDF=Y")</f>
        <v>42.652999999999999</v>
      </c>
      <c r="Z19" s="13">
        <f>_xll.BDH("SRPT US Equity","BS_PREPAY","FQ3 2024","FQ3 2024","Currency=USD","Period=FQ","BEST_FPERIOD_OVERRIDE=FQ","FILING_STATUS=MR","SCALING_FORMAT=MLN","Sort=A","Dates=H","DateFormat=P","Fill=—","Direction=H","UseDPDF=Y")</f>
        <v>42.962000000000003</v>
      </c>
      <c r="AA19" s="13">
        <f>_xll.BDH("SRPT US Equity","BS_PREPAY","FQ4 2024","FQ4 2024","Currency=USD","Period=FQ","BEST_FPERIOD_OVERRIDE=FQ","FILING_STATUS=MR","SCALING_FORMAT=MLN","Sort=A","Dates=H","DateFormat=P","Fill=—","Direction=H","UseDPDF=Y")</f>
        <v>33.506999999999998</v>
      </c>
    </row>
    <row r="20" spans="1:27" x14ac:dyDescent="0.25">
      <c r="A20" s="10" t="s">
        <v>717</v>
      </c>
      <c r="B20" s="10" t="s">
        <v>718</v>
      </c>
      <c r="C20" s="13">
        <f>_xll.BDH("SRPT US Equity","BS_DERIV_HEDGING_ASST_ST","FQ4 2018","FQ4 2018","Currency=USD","Period=FQ","BEST_FPERIOD_OVERRIDE=FQ","FILING_STATUS=MR","SCALING_FORMAT=MLN","Sort=A","Dates=H","DateFormat=P","Fill=—","Direction=H","UseDPDF=Y")</f>
        <v>0</v>
      </c>
      <c r="D20" s="13" t="str">
        <f>_xll.BDH("SRPT US Equity","BS_DERIV_HEDGING_ASST_ST","FQ1 2019","FQ1 2019","Currency=USD","Period=FQ","BEST_FPERIOD_OVERRIDE=FQ","FILING_STATUS=MR","SCALING_FORMAT=MLN","Sort=A","Dates=H","DateFormat=P","Fill=—","Direction=H","UseDPDF=Y")</f>
        <v>—</v>
      </c>
      <c r="E20" s="13" t="str">
        <f>_xll.BDH("SRPT US Equity","BS_DERIV_HEDGING_ASST_ST","FQ2 2019","FQ2 2019","Currency=USD","Period=FQ","BEST_FPERIOD_OVERRIDE=FQ","FILING_STATUS=MR","SCALING_FORMAT=MLN","Sort=A","Dates=H","DateFormat=P","Fill=—","Direction=H","UseDPDF=Y")</f>
        <v>—</v>
      </c>
      <c r="F20" s="13" t="str">
        <f>_xll.BDH("SRPT US Equity","BS_DERIV_HEDGING_ASST_ST","FQ3 2019","FQ3 2019","Currency=USD","Period=FQ","BEST_FPERIOD_OVERRIDE=FQ","FILING_STATUS=MR","SCALING_FORMAT=MLN","Sort=A","Dates=H","DateFormat=P","Fill=—","Direction=H","UseDPDF=Y")</f>
        <v>—</v>
      </c>
      <c r="G20" s="13">
        <f>_xll.BDH("SRPT US Equity","BS_DERIV_HEDGING_ASST_ST","FQ4 2019","FQ4 2019","Currency=USD","Period=FQ","BEST_FPERIOD_OVERRIDE=FQ","FILING_STATUS=MR","SCALING_FORMAT=MLN","Sort=A","Dates=H","DateFormat=P","Fill=—","Direction=H","UseDPDF=Y")</f>
        <v>0</v>
      </c>
      <c r="H20" s="13" t="str">
        <f>_xll.BDH("SRPT US Equity","BS_DERIV_HEDGING_ASST_ST","FQ1 2020","FQ1 2020","Currency=USD","Period=FQ","BEST_FPERIOD_OVERRIDE=FQ","FILING_STATUS=MR","SCALING_FORMAT=MLN","Sort=A","Dates=H","DateFormat=P","Fill=—","Direction=H","UseDPDF=Y")</f>
        <v>—</v>
      </c>
      <c r="I20" s="13" t="str">
        <f>_xll.BDH("SRPT US Equity","BS_DERIV_HEDGING_ASST_ST","FQ2 2020","FQ2 2020","Currency=USD","Period=FQ","BEST_FPERIOD_OVERRIDE=FQ","FILING_STATUS=MR","SCALING_FORMAT=MLN","Sort=A","Dates=H","DateFormat=P","Fill=—","Direction=H","UseDPDF=Y")</f>
        <v>—</v>
      </c>
      <c r="J20" s="13" t="str">
        <f>_xll.BDH("SRPT US Equity","BS_DERIV_HEDGING_ASST_ST","FQ3 2020","FQ3 2020","Currency=USD","Period=FQ","BEST_FPERIOD_OVERRIDE=FQ","FILING_STATUS=MR","SCALING_FORMAT=MLN","Sort=A","Dates=H","DateFormat=P","Fill=—","Direction=H","UseDPDF=Y")</f>
        <v>—</v>
      </c>
      <c r="K20" s="13">
        <f>_xll.BDH("SRPT US Equity","BS_DERIV_HEDGING_ASST_ST","FQ4 2020","FQ4 2020","Currency=USD","Period=FQ","BEST_FPERIOD_OVERRIDE=FQ","FILING_STATUS=MR","SCALING_FORMAT=MLN","Sort=A","Dates=H","DateFormat=P","Fill=—","Direction=H","UseDPDF=Y")</f>
        <v>0</v>
      </c>
      <c r="L20" s="13" t="str">
        <f>_xll.BDH("SRPT US Equity","BS_DERIV_HEDGING_ASST_ST","FQ1 2021","FQ1 2021","Currency=USD","Period=FQ","BEST_FPERIOD_OVERRIDE=FQ","FILING_STATUS=MR","SCALING_FORMAT=MLN","Sort=A","Dates=H","DateFormat=P","Fill=—","Direction=H","UseDPDF=Y")</f>
        <v>—</v>
      </c>
      <c r="M20" s="13" t="str">
        <f>_xll.BDH("SRPT US Equity","BS_DERIV_HEDGING_ASST_ST","FQ2 2021","FQ2 2021","Currency=USD","Period=FQ","BEST_FPERIOD_OVERRIDE=FQ","FILING_STATUS=MR","SCALING_FORMAT=MLN","Sort=A","Dates=H","DateFormat=P","Fill=—","Direction=H","UseDPDF=Y")</f>
        <v>—</v>
      </c>
      <c r="N20" s="13" t="str">
        <f>_xll.BDH("SRPT US Equity","BS_DERIV_HEDGING_ASST_ST","FQ3 2021","FQ3 2021","Currency=USD","Period=FQ","BEST_FPERIOD_OVERRIDE=FQ","FILING_STATUS=MR","SCALING_FORMAT=MLN","Sort=A","Dates=H","DateFormat=P","Fill=—","Direction=H","UseDPDF=Y")</f>
        <v>—</v>
      </c>
      <c r="O20" s="13">
        <f>_xll.BDH("SRPT US Equity","BS_DERIV_HEDGING_ASST_ST","FQ4 2021","FQ4 2021","Currency=USD","Period=FQ","BEST_FPERIOD_OVERRIDE=FQ","FILING_STATUS=MR","SCALING_FORMAT=MLN","Sort=A","Dates=H","DateFormat=P","Fill=—","Direction=H","UseDPDF=Y")</f>
        <v>0</v>
      </c>
      <c r="P20" s="13" t="str">
        <f>_xll.BDH("SRPT US Equity","BS_DERIV_HEDGING_ASST_ST","FQ1 2022","FQ1 2022","Currency=USD","Period=FQ","BEST_FPERIOD_OVERRIDE=FQ","FILING_STATUS=MR","SCALING_FORMAT=MLN","Sort=A","Dates=H","DateFormat=P","Fill=—","Direction=H","UseDPDF=Y")</f>
        <v>—</v>
      </c>
      <c r="Q20" s="13" t="str">
        <f>_xll.BDH("SRPT US Equity","BS_DERIV_HEDGING_ASST_ST","FQ2 2022","FQ2 2022","Currency=USD","Period=FQ","BEST_FPERIOD_OVERRIDE=FQ","FILING_STATUS=MR","SCALING_FORMAT=MLN","Sort=A","Dates=H","DateFormat=P","Fill=—","Direction=H","UseDPDF=Y")</f>
        <v>—</v>
      </c>
      <c r="R20" s="13" t="str">
        <f>_xll.BDH("SRPT US Equity","BS_DERIV_HEDGING_ASST_ST","FQ3 2022","FQ3 2022","Currency=USD","Period=FQ","BEST_FPERIOD_OVERRIDE=FQ","FILING_STATUS=MR","SCALING_FORMAT=MLN","Sort=A","Dates=H","DateFormat=P","Fill=—","Direction=H","UseDPDF=Y")</f>
        <v>—</v>
      </c>
      <c r="S20" s="13">
        <f>_xll.BDH("SRPT US Equity","BS_DERIV_HEDGING_ASST_ST","FQ4 2022","FQ4 2022","Currency=USD","Period=FQ","BEST_FPERIOD_OVERRIDE=FQ","FILING_STATUS=MR","SCALING_FORMAT=MLN","Sort=A","Dates=H","DateFormat=P","Fill=—","Direction=H","UseDPDF=Y")</f>
        <v>0</v>
      </c>
      <c r="T20" s="13" t="str">
        <f>_xll.BDH("SRPT US Equity","BS_DERIV_HEDGING_ASST_ST","FQ1 2023","FQ1 2023","Currency=USD","Period=FQ","BEST_FPERIOD_OVERRIDE=FQ","FILING_STATUS=MR","SCALING_FORMAT=MLN","Sort=A","Dates=H","DateFormat=P","Fill=—","Direction=H","UseDPDF=Y")</f>
        <v>—</v>
      </c>
      <c r="U20" s="13" t="str">
        <f>_xll.BDH("SRPT US Equity","BS_DERIV_HEDGING_ASST_ST","FQ2 2023","FQ2 2023","Currency=USD","Period=FQ","BEST_FPERIOD_OVERRIDE=FQ","FILING_STATUS=MR","SCALING_FORMAT=MLN","Sort=A","Dates=H","DateFormat=P","Fill=—","Direction=H","UseDPDF=Y")</f>
        <v>—</v>
      </c>
      <c r="V20" s="13">
        <f>_xll.BDH("SRPT US Equity","BS_DERIV_HEDGING_ASST_ST","FQ3 2023","FQ3 2023","Currency=USD","Period=FQ","BEST_FPERIOD_OVERRIDE=FQ","FILING_STATUS=MR","SCALING_FORMAT=MLN","Sort=A","Dates=H","DateFormat=P","Fill=—","Direction=H","UseDPDF=Y")</f>
        <v>0</v>
      </c>
      <c r="W20" s="13">
        <f>_xll.BDH("SRPT US Equity","BS_DERIV_HEDGING_ASST_ST","FQ4 2023","FQ4 2023","Currency=USD","Period=FQ","BEST_FPERIOD_OVERRIDE=FQ","FILING_STATUS=MR","SCALING_FORMAT=MLN","Sort=A","Dates=H","DateFormat=P","Fill=—","Direction=H","UseDPDF=Y")</f>
        <v>0</v>
      </c>
      <c r="X20" s="13" t="str">
        <f>_xll.BDH("SRPT US Equity","BS_DERIV_HEDGING_ASST_ST","FQ1 2024","FQ1 2024","Currency=USD","Period=FQ","BEST_FPERIOD_OVERRIDE=FQ","FILING_STATUS=MR","SCALING_FORMAT=MLN","Sort=A","Dates=H","DateFormat=P","Fill=—","Direction=H","UseDPDF=Y")</f>
        <v>—</v>
      </c>
      <c r="Y20" s="13" t="str">
        <f>_xll.BDH("SRPT US Equity","BS_DERIV_HEDGING_ASST_ST","FQ2 2024","FQ2 2024","Currency=USD","Period=FQ","BEST_FPERIOD_OVERRIDE=FQ","FILING_STATUS=MR","SCALING_FORMAT=MLN","Sort=A","Dates=H","DateFormat=P","Fill=—","Direction=H","UseDPDF=Y")</f>
        <v>—</v>
      </c>
      <c r="Z20" s="13" t="str">
        <f>_xll.BDH("SRPT US Equity","BS_DERIV_HEDGING_ASST_ST","FQ3 2024","FQ3 2024","Currency=USD","Period=FQ","BEST_FPERIOD_OVERRIDE=FQ","FILING_STATUS=MR","SCALING_FORMAT=MLN","Sort=A","Dates=H","DateFormat=P","Fill=—","Direction=H","UseDPDF=Y")</f>
        <v>—</v>
      </c>
      <c r="AA20" s="13" t="str">
        <f>_xll.BDH("SRPT US Equity","BS_DERIV_HEDGING_ASST_ST","FQ4 2024","FQ4 2024","Currency=USD","Period=FQ","BEST_FPERIOD_OVERRIDE=FQ","FILING_STATUS=MR","SCALING_FORMAT=MLN","Sort=A","Dates=H","DateFormat=P","Fill=—","Direction=H","UseDPDF=Y")</f>
        <v>—</v>
      </c>
    </row>
    <row r="21" spans="1:27" x14ac:dyDescent="0.25">
      <c r="A21" s="10" t="s">
        <v>719</v>
      </c>
      <c r="B21" s="10" t="s">
        <v>720</v>
      </c>
      <c r="C21" s="13">
        <f>_xll.BDH("SRPT US Equity","BS_OTHER_CUR_ASSET_LESS_PREPAY","FQ4 2018","FQ4 2018","Currency=USD","Period=FQ","BEST_FPERIOD_OVERRIDE=FQ","FILING_STATUS=MR","SCALING_FORMAT=MLN","Sort=A","Dates=H","DateFormat=P","Fill=—","Direction=H","UseDPDF=Y")</f>
        <v>74.111000000000004</v>
      </c>
      <c r="D21" s="13">
        <f>_xll.BDH("SRPT US Equity","BS_OTHER_CUR_ASSET_LESS_PREPAY","FQ1 2019","FQ1 2019","Currency=USD","Period=FQ","BEST_FPERIOD_OVERRIDE=FQ","FILING_STATUS=MR","SCALING_FORMAT=MLN","Sort=A","Dates=H","DateFormat=P","Fill=—","Direction=H","UseDPDF=Y")</f>
        <v>117.33</v>
      </c>
      <c r="E21" s="13">
        <f>_xll.BDH("SRPT US Equity","BS_OTHER_CUR_ASSET_LESS_PREPAY","FQ2 2019","FQ2 2019","Currency=USD","Period=FQ","BEST_FPERIOD_OVERRIDE=FQ","FILING_STATUS=MR","SCALING_FORMAT=MLN","Sort=A","Dates=H","DateFormat=P","Fill=—","Direction=H","UseDPDF=Y")</f>
        <v>93.308000000000007</v>
      </c>
      <c r="F21" s="13">
        <f>_xll.BDH("SRPT US Equity","BS_OTHER_CUR_ASSET_LESS_PREPAY","FQ3 2019","FQ3 2019","Currency=USD","Period=FQ","BEST_FPERIOD_OVERRIDE=FQ","FILING_STATUS=MR","SCALING_FORMAT=MLN","Sort=A","Dates=H","DateFormat=P","Fill=—","Direction=H","UseDPDF=Y")</f>
        <v>61.07</v>
      </c>
      <c r="G21" s="13">
        <f>_xll.BDH("SRPT US Equity","BS_OTHER_CUR_ASSET_LESS_PREPAY","FQ4 2019","FQ4 2019","Currency=USD","Period=FQ","BEST_FPERIOD_OVERRIDE=FQ","FILING_STATUS=MR","SCALING_FORMAT=MLN","Sort=A","Dates=H","DateFormat=P","Fill=—","Direction=H","UseDPDF=Y")</f>
        <v>65.156999999999996</v>
      </c>
      <c r="H21" s="13">
        <f>_xll.BDH("SRPT US Equity","BS_OTHER_CUR_ASSET_LESS_PREPAY","FQ1 2020","FQ1 2020","Currency=USD","Period=FQ","BEST_FPERIOD_OVERRIDE=FQ","FILING_STATUS=MR","SCALING_FORMAT=MLN","Sort=A","Dates=H","DateFormat=P","Fill=—","Direction=H","UseDPDF=Y")</f>
        <v>72.236000000000004</v>
      </c>
      <c r="I21" s="13">
        <f>_xll.BDH("SRPT US Equity","BS_OTHER_CUR_ASSET_LESS_PREPAY","FQ2 2020","FQ2 2020","Currency=USD","Period=FQ","BEST_FPERIOD_OVERRIDE=FQ","FILING_STATUS=MR","SCALING_FORMAT=MLN","Sort=A","Dates=H","DateFormat=P","Fill=—","Direction=H","UseDPDF=Y")</f>
        <v>90.707999999999998</v>
      </c>
      <c r="J21" s="13">
        <f>_xll.BDH("SRPT US Equity","BS_OTHER_CUR_ASSET_LESS_PREPAY","FQ3 2020","FQ3 2020","Currency=USD","Period=FQ","BEST_FPERIOD_OVERRIDE=FQ","FILING_STATUS=MR","SCALING_FORMAT=MLN","Sort=A","Dates=H","DateFormat=P","Fill=—","Direction=H","UseDPDF=Y")</f>
        <v>135.71700000000001</v>
      </c>
      <c r="K21" s="13">
        <f>_xll.BDH("SRPT US Equity","BS_OTHER_CUR_ASSET_LESS_PREPAY","FQ4 2020","FQ4 2020","Currency=USD","Period=FQ","BEST_FPERIOD_OVERRIDE=FQ","FILING_STATUS=MR","SCALING_FORMAT=MLN","Sort=A","Dates=H","DateFormat=P","Fill=—","Direction=H","UseDPDF=Y")</f>
        <v>179.89599999999999</v>
      </c>
      <c r="L21" s="13">
        <f>_xll.BDH("SRPT US Equity","BS_OTHER_CUR_ASSET_LESS_PREPAY","FQ1 2021","FQ1 2021","Currency=USD","Period=FQ","BEST_FPERIOD_OVERRIDE=FQ","FILING_STATUS=MR","SCALING_FORMAT=MLN","Sort=A","Dates=H","DateFormat=P","Fill=—","Direction=H","UseDPDF=Y")</f>
        <v>140.82900000000001</v>
      </c>
      <c r="M21" s="13">
        <f>_xll.BDH("SRPT US Equity","BS_OTHER_CUR_ASSET_LESS_PREPAY","FQ2 2021","FQ2 2021","Currency=USD","Period=FQ","BEST_FPERIOD_OVERRIDE=FQ","FILING_STATUS=MR","SCALING_FORMAT=MLN","Sort=A","Dates=H","DateFormat=P","Fill=—","Direction=H","UseDPDF=Y")</f>
        <v>116.111</v>
      </c>
      <c r="N21" s="13">
        <f>_xll.BDH("SRPT US Equity","BS_OTHER_CUR_ASSET_LESS_PREPAY","FQ3 2021","FQ3 2021","Currency=USD","Period=FQ","BEST_FPERIOD_OVERRIDE=FQ","FILING_STATUS=MR","SCALING_FORMAT=MLN","Sort=A","Dates=H","DateFormat=P","Fill=—","Direction=H","UseDPDF=Y")</f>
        <v>122.753</v>
      </c>
      <c r="O21" s="13">
        <f>_xll.BDH("SRPT US Equity","BS_OTHER_CUR_ASSET_LESS_PREPAY","FQ4 2021","FQ4 2021","Currency=USD","Period=FQ","BEST_FPERIOD_OVERRIDE=FQ","FILING_STATUS=MR","SCALING_FORMAT=MLN","Sort=A","Dates=H","DateFormat=P","Fill=—","Direction=H","UseDPDF=Y")</f>
        <v>123.727</v>
      </c>
      <c r="P21" s="13">
        <f>_xll.BDH("SRPT US Equity","BS_OTHER_CUR_ASSET_LESS_PREPAY","FQ1 2022","FQ1 2022","Currency=USD","Period=FQ","BEST_FPERIOD_OVERRIDE=FQ","FILING_STATUS=MR","SCALING_FORMAT=MLN","Sort=A","Dates=H","DateFormat=P","Fill=—","Direction=H","UseDPDF=Y")</f>
        <v>112.446</v>
      </c>
      <c r="Q21" s="13">
        <f>_xll.BDH("SRPT US Equity","BS_OTHER_CUR_ASSET_LESS_PREPAY","FQ2 2022","FQ2 2022","Currency=USD","Period=FQ","BEST_FPERIOD_OVERRIDE=FQ","FILING_STATUS=MR","SCALING_FORMAT=MLN","Sort=A","Dates=H","DateFormat=P","Fill=—","Direction=H","UseDPDF=Y")</f>
        <v>95.021000000000001</v>
      </c>
      <c r="R21" s="13">
        <f>_xll.BDH("SRPT US Equity","BS_OTHER_CUR_ASSET_LESS_PREPAY","FQ3 2022","FQ3 2022","Currency=USD","Period=FQ","BEST_FPERIOD_OVERRIDE=FQ","FILING_STATUS=MR","SCALING_FORMAT=MLN","Sort=A","Dates=H","DateFormat=P","Fill=—","Direction=H","UseDPDF=Y")</f>
        <v>105.352</v>
      </c>
      <c r="S21" s="13">
        <f>_xll.BDH("SRPT US Equity","BS_OTHER_CUR_ASSET_LESS_PREPAY","FQ4 2022","FQ4 2022","Currency=USD","Period=FQ","BEST_FPERIOD_OVERRIDE=FQ","FILING_STATUS=MR","SCALING_FORMAT=MLN","Sort=A","Dates=H","DateFormat=P","Fill=—","Direction=H","UseDPDF=Y")</f>
        <v>125.91</v>
      </c>
      <c r="T21" s="13">
        <f>_xll.BDH("SRPT US Equity","BS_OTHER_CUR_ASSET_LESS_PREPAY","FQ1 2023","FQ1 2023","Currency=USD","Period=FQ","BEST_FPERIOD_OVERRIDE=FQ","FILING_STATUS=MR","SCALING_FORMAT=MLN","Sort=A","Dates=H","DateFormat=P","Fill=—","Direction=H","UseDPDF=Y")</f>
        <v>74.117999999999995</v>
      </c>
      <c r="U21" s="13">
        <f>_xll.BDH("SRPT US Equity","BS_OTHER_CUR_ASSET_LESS_PREPAY","FQ2 2023","FQ2 2023","Currency=USD","Period=FQ","BEST_FPERIOD_OVERRIDE=FQ","FILING_STATUS=MR","SCALING_FORMAT=MLN","Sort=A","Dates=H","DateFormat=P","Fill=—","Direction=H","UseDPDF=Y")</f>
        <v>41.808999999999997</v>
      </c>
      <c r="V21" s="13">
        <f>_xll.BDH("SRPT US Equity","BS_OTHER_CUR_ASSET_LESS_PREPAY","FQ3 2023","FQ3 2023","Currency=USD","Period=FQ","BEST_FPERIOD_OVERRIDE=FQ","FILING_STATUS=MR","SCALING_FORMAT=MLN","Sort=A","Dates=H","DateFormat=P","Fill=—","Direction=H","UseDPDF=Y")</f>
        <v>126.623</v>
      </c>
      <c r="W21" s="13">
        <f>_xll.BDH("SRPT US Equity","BS_OTHER_CUR_ASSET_LESS_PREPAY","FQ4 2023","FQ4 2023","Currency=USD","Period=FQ","BEST_FPERIOD_OVERRIDE=FQ","FILING_STATUS=MR","SCALING_FORMAT=MLN","Sort=A","Dates=H","DateFormat=P","Fill=—","Direction=H","UseDPDF=Y")</f>
        <v>149.958</v>
      </c>
      <c r="X21" s="13">
        <f>_xll.BDH("SRPT US Equity","BS_OTHER_CUR_ASSET_LESS_PREPAY","FQ1 2024","FQ1 2024","Currency=USD","Period=FQ","BEST_FPERIOD_OVERRIDE=FQ","FILING_STATUS=MR","SCALING_FORMAT=MLN","Sort=A","Dates=H","DateFormat=P","Fill=—","Direction=H","UseDPDF=Y")</f>
        <v>280.19799999999998</v>
      </c>
      <c r="Y21" s="13">
        <f>_xll.BDH("SRPT US Equity","BS_OTHER_CUR_ASSET_LESS_PREPAY","FQ2 2024","FQ2 2024","Currency=USD","Period=FQ","BEST_FPERIOD_OVERRIDE=FQ","FILING_STATUS=MR","SCALING_FORMAT=MLN","Sort=A","Dates=H","DateFormat=P","Fill=—","Direction=H","UseDPDF=Y")</f>
        <v>334.71699999999998</v>
      </c>
      <c r="Z21" s="13">
        <f>_xll.BDH("SRPT US Equity","BS_OTHER_CUR_ASSET_LESS_PREPAY","FQ3 2024","FQ3 2024","Currency=USD","Period=FQ","BEST_FPERIOD_OVERRIDE=FQ","FILING_STATUS=MR","SCALING_FORMAT=MLN","Sort=A","Dates=H","DateFormat=P","Fill=—","Direction=H","UseDPDF=Y")</f>
        <v>443.57</v>
      </c>
      <c r="AA21" s="13">
        <f>_xll.BDH("SRPT US Equity","BS_OTHER_CUR_ASSET_LESS_PREPAY","FQ4 2024","FQ4 2024","Currency=USD","Period=FQ","BEST_FPERIOD_OVERRIDE=FQ","FILING_STATUS=MR","SCALING_FORMAT=MLN","Sort=A","Dates=H","DateFormat=P","Fill=—","Direction=H","UseDPDF=Y")</f>
        <v>333.21600000000001</v>
      </c>
    </row>
    <row r="22" spans="1:27" x14ac:dyDescent="0.25">
      <c r="A22" s="6" t="s">
        <v>110</v>
      </c>
      <c r="B22" s="6" t="s">
        <v>111</v>
      </c>
      <c r="C22" s="19">
        <f>_xll.BDH("SRPT US Equity","BS_CUR_ASSET_REPORT","FQ4 2018","FQ4 2018","Currency=USD","Period=FQ","BEST_FPERIOD_OVERRIDE=FQ","FILING_STATUS=MR","SCALING_FORMAT=MLN","Sort=A","Dates=H","DateFormat=P","Fill=—","Direction=H","UseDPDF=Y")</f>
        <v>1426.183</v>
      </c>
      <c r="D22" s="19">
        <f>_xll.BDH("SRPT US Equity","BS_CUR_ASSET_REPORT","FQ1 2019","FQ1 2019","Currency=USD","Period=FQ","BEST_FPERIOD_OVERRIDE=FQ","FILING_STATUS=MR","SCALING_FORMAT=MLN","Sort=A","Dates=H","DateFormat=P","Fill=—","Direction=H","UseDPDF=Y")</f>
        <v>1671.423</v>
      </c>
      <c r="E22" s="19">
        <f>_xll.BDH("SRPT US Equity","BS_CUR_ASSET_REPORT","FQ2 2019","FQ2 2019","Currency=USD","Period=FQ","BEST_FPERIOD_OVERRIDE=FQ","FILING_STATUS=MR","SCALING_FORMAT=MLN","Sort=A","Dates=H","DateFormat=P","Fill=—","Direction=H","UseDPDF=Y")</f>
        <v>1427.4179999999999</v>
      </c>
      <c r="F22" s="19">
        <f>_xll.BDH("SRPT US Equity","BS_CUR_ASSET_REPORT","FQ3 2019","FQ3 2019","Currency=USD","Period=FQ","BEST_FPERIOD_OVERRIDE=FQ","FILING_STATUS=MR","SCALING_FORMAT=MLN","Sort=A","Dates=H","DateFormat=P","Fill=—","Direction=H","UseDPDF=Y")</f>
        <v>1362.299</v>
      </c>
      <c r="G22" s="19">
        <f>_xll.BDH("SRPT US Equity","BS_CUR_ASSET_REPORT","FQ4 2019","FQ4 2019","Currency=USD","Period=FQ","BEST_FPERIOD_OVERRIDE=FQ","FILING_STATUS=MR","SCALING_FORMAT=MLN","Sort=A","Dates=H","DateFormat=P","Fill=—","Direction=H","UseDPDF=Y")</f>
        <v>1468.913</v>
      </c>
      <c r="H22" s="19">
        <f>_xll.BDH("SRPT US Equity","BS_CUR_ASSET_REPORT","FQ1 2020","FQ1 2020","Currency=USD","Period=FQ","BEST_FPERIOD_OVERRIDE=FQ","FILING_STATUS=MR","SCALING_FORMAT=MLN","Sort=A","Dates=H","DateFormat=P","Fill=—","Direction=H","UseDPDF=Y")</f>
        <v>2547.348</v>
      </c>
      <c r="I22" s="19">
        <f>_xll.BDH("SRPT US Equity","BS_CUR_ASSET_REPORT","FQ2 2020","FQ2 2020","Currency=USD","Period=FQ","BEST_FPERIOD_OVERRIDE=FQ","FILING_STATUS=MR","SCALING_FORMAT=MLN","Sort=A","Dates=H","DateFormat=P","Fill=—","Direction=H","UseDPDF=Y")</f>
        <v>2459.4209999999998</v>
      </c>
      <c r="J22" s="19">
        <f>_xll.BDH("SRPT US Equity","BS_CUR_ASSET_REPORT","FQ3 2020","FQ3 2020","Currency=USD","Period=FQ","BEST_FPERIOD_OVERRIDE=FQ","FILING_STATUS=MR","SCALING_FORMAT=MLN","Sort=A","Dates=H","DateFormat=P","Fill=—","Direction=H","UseDPDF=Y")</f>
        <v>2322.6729999999998</v>
      </c>
      <c r="K22" s="19">
        <f>_xll.BDH("SRPT US Equity","BS_CUR_ASSET_REPORT","FQ4 2020","FQ4 2020","Currency=USD","Period=FQ","BEST_FPERIOD_OVERRIDE=FQ","FILING_STATUS=MR","SCALING_FORMAT=MLN","Sort=A","Dates=H","DateFormat=P","Fill=—","Direction=H","UseDPDF=Y")</f>
        <v>2485.1959999999999</v>
      </c>
      <c r="L22" s="19">
        <f>_xll.BDH("SRPT US Equity","BS_CUR_ASSET_REPORT","FQ1 2021","FQ1 2021","Currency=USD","Period=FQ","BEST_FPERIOD_OVERRIDE=FQ","FILING_STATUS=MR","SCALING_FORMAT=MLN","Sort=A","Dates=H","DateFormat=P","Fill=—","Direction=H","UseDPDF=Y")</f>
        <v>2271.35</v>
      </c>
      <c r="M22" s="19">
        <f>_xll.BDH("SRPT US Equity","BS_CUR_ASSET_REPORT","FQ2 2021","FQ2 2021","Currency=USD","Period=FQ","BEST_FPERIOD_OVERRIDE=FQ","FILING_STATUS=MR","SCALING_FORMAT=MLN","Sort=A","Dates=H","DateFormat=P","Fill=—","Direction=H","UseDPDF=Y")</f>
        <v>2265.2170000000001</v>
      </c>
      <c r="N22" s="19">
        <f>_xll.BDH("SRPT US Equity","BS_CUR_ASSET_REPORT","FQ3 2021","FQ3 2021","Currency=USD","Period=FQ","BEST_FPERIOD_OVERRIDE=FQ","FILING_STATUS=MR","SCALING_FORMAT=MLN","Sort=A","Dates=H","DateFormat=P","Fill=—","Direction=H","UseDPDF=Y")</f>
        <v>2185.31</v>
      </c>
      <c r="O22" s="19">
        <f>_xll.BDH("SRPT US Equity","BS_CUR_ASSET_REPORT","FQ4 2021","FQ4 2021","Currency=USD","Period=FQ","BEST_FPERIOD_OVERRIDE=FQ","FILING_STATUS=MR","SCALING_FORMAT=MLN","Sort=A","Dates=H","DateFormat=P","Fill=—","Direction=H","UseDPDF=Y")</f>
        <v>2604.0990000000002</v>
      </c>
      <c r="P22" s="19">
        <f>_xll.BDH("SRPT US Equity","BS_CUR_ASSET_REPORT","FQ1 2022","FQ1 2022","Currency=USD","Period=FQ","BEST_FPERIOD_OVERRIDE=FQ","FILING_STATUS=MR","SCALING_FORMAT=MLN","Sort=A","Dates=H","DateFormat=P","Fill=—","Direction=H","UseDPDF=Y")</f>
        <v>2530.9470000000001</v>
      </c>
      <c r="Q22" s="19">
        <f>_xll.BDH("SRPT US Equity","BS_CUR_ASSET_REPORT","FQ2 2022","FQ2 2022","Currency=USD","Period=FQ","BEST_FPERIOD_OVERRIDE=FQ","FILING_STATUS=MR","SCALING_FORMAT=MLN","Sort=A","Dates=H","DateFormat=P","Fill=—","Direction=H","UseDPDF=Y")</f>
        <v>2469.3000000000002</v>
      </c>
      <c r="R22" s="19">
        <f>_xll.BDH("SRPT US Equity","BS_CUR_ASSET_REPORT","FQ3 2022","FQ3 2022","Currency=USD","Period=FQ","BEST_FPERIOD_OVERRIDE=FQ","FILING_STATUS=MR","SCALING_FORMAT=MLN","Sort=A","Dates=H","DateFormat=P","Fill=—","Direction=H","UseDPDF=Y")</f>
        <v>2625.9290000000001</v>
      </c>
      <c r="S22" s="19">
        <f>_xll.BDH("SRPT US Equity","BS_CUR_ASSET_REPORT","FQ4 2022","FQ4 2022","Currency=USD","Period=FQ","BEST_FPERIOD_OVERRIDE=FQ","FILING_STATUS=MR","SCALING_FORMAT=MLN","Sort=A","Dates=H","DateFormat=P","Fill=—","Direction=H","UseDPDF=Y")</f>
        <v>2557.8609999999999</v>
      </c>
      <c r="T22" s="19">
        <f>_xll.BDH("SRPT US Equity","BS_CUR_ASSET_REPORT","FQ1 2023","FQ1 2023","Currency=USD","Period=FQ","BEST_FPERIOD_OVERRIDE=FQ","FILING_STATUS=MR","SCALING_FORMAT=MLN","Sort=A","Dates=H","DateFormat=P","Fill=—","Direction=H","UseDPDF=Y")</f>
        <v>2488.377</v>
      </c>
      <c r="U22" s="19">
        <f>_xll.BDH("SRPT US Equity","BS_CUR_ASSET_REPORT","FQ2 2023","FQ2 2023","Currency=USD","Period=FQ","BEST_FPERIOD_OVERRIDE=FQ","FILING_STATUS=MR","SCALING_FORMAT=MLN","Sort=A","Dates=H","DateFormat=P","Fill=—","Direction=H","UseDPDF=Y")</f>
        <v>2472.614</v>
      </c>
      <c r="V22" s="19">
        <f>_xll.BDH("SRPT US Equity","BS_CUR_ASSET_REPORT","FQ3 2023","FQ3 2023","Currency=USD","Period=FQ","BEST_FPERIOD_OVERRIDE=FQ","FILING_STATUS=MR","SCALING_FORMAT=MLN","Sort=A","Dates=H","DateFormat=P","Fill=—","Direction=H","UseDPDF=Y")</f>
        <v>2450.8490000000002</v>
      </c>
      <c r="W22" s="19">
        <f>_xll.BDH("SRPT US Equity","BS_CUR_ASSET_REPORT","FQ4 2023","FQ4 2023","Currency=USD","Period=FQ","BEST_FPERIOD_OVERRIDE=FQ","FILING_STATUS=MR","SCALING_FORMAT=MLN","Sort=A","Dates=H","DateFormat=P","Fill=—","Direction=H","UseDPDF=Y")</f>
        <v>2579.3310000000001</v>
      </c>
      <c r="X22" s="19">
        <f>_xll.BDH("SRPT US Equity","BS_CUR_ASSET_REPORT","FQ1 2024","FQ1 2024","Currency=USD","Period=FQ","BEST_FPERIOD_OVERRIDE=FQ","FILING_STATUS=MR","SCALING_FORMAT=MLN","Sort=A","Dates=H","DateFormat=P","Fill=—","Direction=H","UseDPDF=Y")</f>
        <v>2464.8649999999998</v>
      </c>
      <c r="Y22" s="19">
        <f>_xll.BDH("SRPT US Equity","BS_CUR_ASSET_REPORT","FQ2 2024","FQ2 2024","Currency=USD","Period=FQ","BEST_FPERIOD_OVERRIDE=FQ","FILING_STATUS=MR","SCALING_FORMAT=MLN","Sort=A","Dates=H","DateFormat=P","Fill=—","Direction=H","UseDPDF=Y")</f>
        <v>2683.636</v>
      </c>
      <c r="Z22" s="19">
        <f>_xll.BDH("SRPT US Equity","BS_CUR_ASSET_REPORT","FQ3 2024","FQ3 2024","Currency=USD","Period=FQ","BEST_FPERIOD_OVERRIDE=FQ","FILING_STATUS=MR","SCALING_FORMAT=MLN","Sort=A","Dates=H","DateFormat=P","Fill=—","Direction=H","UseDPDF=Y")</f>
        <v>2685.3690000000001</v>
      </c>
      <c r="AA22" s="19">
        <f>_xll.BDH("SRPT US Equity","BS_CUR_ASSET_REPORT","FQ4 2024","FQ4 2024","Currency=USD","Period=FQ","BEST_FPERIOD_OVERRIDE=FQ","FILING_STATUS=MR","SCALING_FORMAT=MLN","Sort=A","Dates=H","DateFormat=P","Fill=—","Direction=H","UseDPDF=Y")</f>
        <v>3073.4630000000002</v>
      </c>
    </row>
    <row r="23" spans="1:27" x14ac:dyDescent="0.25">
      <c r="A23" s="10" t="s">
        <v>721</v>
      </c>
      <c r="B23" s="10" t="s">
        <v>722</v>
      </c>
      <c r="C23" s="13">
        <f>_xll.BDH("SRPT US Equity","BS_NET_FIX_ASSET","FQ4 2018","FQ4 2018","Currency=USD","Period=FQ","BEST_FPERIOD_OVERRIDE=FQ","FILING_STATUS=MR","SCALING_FORMAT=MLN","Sort=A","Dates=H","DateFormat=P","Fill=—","Direction=H","UseDPDF=Y")</f>
        <v>97.024000000000001</v>
      </c>
      <c r="D23" s="13">
        <f>_xll.BDH("SRPT US Equity","BS_NET_FIX_ASSET","FQ1 2019","FQ1 2019","Currency=USD","Period=FQ","BEST_FPERIOD_OVERRIDE=FQ","FILING_STATUS=MR","SCALING_FORMAT=MLN","Sort=A","Dates=H","DateFormat=P","Fill=—","Direction=H","UseDPDF=Y")</f>
        <v>147.37799999999999</v>
      </c>
      <c r="E23" s="13">
        <f>_xll.BDH("SRPT US Equity","BS_NET_FIX_ASSET","FQ2 2019","FQ2 2019","Currency=USD","Period=FQ","BEST_FPERIOD_OVERRIDE=FQ","FILING_STATUS=MR","SCALING_FORMAT=MLN","Sort=A","Dates=H","DateFormat=P","Fill=—","Direction=H","UseDPDF=Y")</f>
        <v>156.65</v>
      </c>
      <c r="F23" s="13">
        <f>_xll.BDH("SRPT US Equity","BS_NET_FIX_ASSET","FQ3 2019","FQ3 2019","Currency=USD","Period=FQ","BEST_FPERIOD_OVERRIDE=FQ","FILING_STATUS=MR","SCALING_FORMAT=MLN","Sort=A","Dates=H","DateFormat=P","Fill=—","Direction=H","UseDPDF=Y")</f>
        <v>159.02500000000001</v>
      </c>
      <c r="G23" s="13">
        <f>_xll.BDH("SRPT US Equity","BS_NET_FIX_ASSET","FQ4 2019","FQ4 2019","Currency=USD","Period=FQ","BEST_FPERIOD_OVERRIDE=FQ","FILING_STATUS=MR","SCALING_FORMAT=MLN","Sort=A","Dates=H","DateFormat=P","Fill=—","Direction=H","UseDPDF=Y")</f>
        <v>167.553</v>
      </c>
      <c r="H23" s="13">
        <f>_xll.BDH("SRPT US Equity","BS_NET_FIX_ASSET","FQ1 2020","FQ1 2020","Currency=USD","Period=FQ","BEST_FPERIOD_OVERRIDE=FQ","FILING_STATUS=MR","SCALING_FORMAT=MLN","Sort=A","Dates=H","DateFormat=P","Fill=—","Direction=H","UseDPDF=Y")</f>
        <v>200.422</v>
      </c>
      <c r="I23" s="13">
        <f>_xll.BDH("SRPT US Equity","BS_NET_FIX_ASSET","FQ2 2020","FQ2 2020","Currency=USD","Period=FQ","BEST_FPERIOD_OVERRIDE=FQ","FILING_STATUS=MR","SCALING_FORMAT=MLN","Sort=A","Dates=H","DateFormat=P","Fill=—","Direction=H","UseDPDF=Y")</f>
        <v>227.53700000000001</v>
      </c>
      <c r="J23" s="13">
        <f>_xll.BDH("SRPT US Equity","BS_NET_FIX_ASSET","FQ3 2020","FQ3 2020","Currency=USD","Period=FQ","BEST_FPERIOD_OVERRIDE=FQ","FILING_STATUS=MR","SCALING_FORMAT=MLN","Sort=A","Dates=H","DateFormat=P","Fill=—","Direction=H","UseDPDF=Y")</f>
        <v>242.8</v>
      </c>
      <c r="K23" s="13">
        <f>_xll.BDH("SRPT US Equity","BS_NET_FIX_ASSET","FQ4 2020","FQ4 2020","Currency=USD","Period=FQ","BEST_FPERIOD_OVERRIDE=FQ","FILING_STATUS=MR","SCALING_FORMAT=MLN","Sort=A","Dates=H","DateFormat=P","Fill=—","Direction=H","UseDPDF=Y")</f>
        <v>282.19099999999997</v>
      </c>
      <c r="L23" s="13">
        <f>_xll.BDH("SRPT US Equity","BS_NET_FIX_ASSET","FQ1 2021","FQ1 2021","Currency=USD","Period=FQ","BEST_FPERIOD_OVERRIDE=FQ","FILING_STATUS=MR","SCALING_FORMAT=MLN","Sort=A","Dates=H","DateFormat=P","Fill=—","Direction=H","UseDPDF=Y")</f>
        <v>268.17500000000001</v>
      </c>
      <c r="M23" s="13">
        <f>_xll.BDH("SRPT US Equity","BS_NET_FIX_ASSET","FQ2 2021","FQ2 2021","Currency=USD","Period=FQ","BEST_FPERIOD_OVERRIDE=FQ","FILING_STATUS=MR","SCALING_FORMAT=MLN","Sort=A","Dates=H","DateFormat=P","Fill=—","Direction=H","UseDPDF=Y")</f>
        <v>276.19799999999998</v>
      </c>
      <c r="N23" s="13">
        <f>_xll.BDH("SRPT US Equity","BS_NET_FIX_ASSET","FQ3 2021","FQ3 2021","Currency=USD","Period=FQ","BEST_FPERIOD_OVERRIDE=FQ","FILING_STATUS=MR","SCALING_FORMAT=MLN","Sort=A","Dates=H","DateFormat=P","Fill=—","Direction=H","UseDPDF=Y")</f>
        <v>271.91199999999998</v>
      </c>
      <c r="O23" s="13">
        <f>_xll.BDH("SRPT US Equity","BS_NET_FIX_ASSET","FQ4 2021","FQ4 2021","Currency=USD","Period=FQ","BEST_FPERIOD_OVERRIDE=FQ","FILING_STATUS=MR","SCALING_FORMAT=MLN","Sort=A","Dates=H","DateFormat=P","Fill=—","Direction=H","UseDPDF=Y")</f>
        <v>236.68700000000001</v>
      </c>
      <c r="P23" s="13">
        <f>_xll.BDH("SRPT US Equity","BS_NET_FIX_ASSET","FQ1 2022","FQ1 2022","Currency=USD","Period=FQ","BEST_FPERIOD_OVERRIDE=FQ","FILING_STATUS=MR","SCALING_FORMAT=MLN","Sort=A","Dates=H","DateFormat=P","Fill=—","Direction=H","UseDPDF=Y")</f>
        <v>233.23</v>
      </c>
      <c r="Q23" s="13">
        <f>_xll.BDH("SRPT US Equity","BS_NET_FIX_ASSET","FQ2 2022","FQ2 2022","Currency=USD","Period=FQ","BEST_FPERIOD_OVERRIDE=FQ","FILING_STATUS=MR","SCALING_FORMAT=MLN","Sort=A","Dates=H","DateFormat=P","Fill=—","Direction=H","UseDPDF=Y")</f>
        <v>230.291</v>
      </c>
      <c r="R23" s="13">
        <f>_xll.BDH("SRPT US Equity","BS_NET_FIX_ASSET","FQ3 2022","FQ3 2022","Currency=USD","Period=FQ","BEST_FPERIOD_OVERRIDE=FQ","FILING_STATUS=MR","SCALING_FORMAT=MLN","Sort=A","Dates=H","DateFormat=P","Fill=—","Direction=H","UseDPDF=Y")</f>
        <v>224.03899999999999</v>
      </c>
      <c r="S23" s="13">
        <f>_xll.BDH("SRPT US Equity","BS_NET_FIX_ASSET","FQ4 2022","FQ4 2022","Currency=USD","Period=FQ","BEST_FPERIOD_OVERRIDE=FQ","FILING_STATUS=MR","SCALING_FORMAT=MLN","Sort=A","Dates=H","DateFormat=P","Fill=—","Direction=H","UseDPDF=Y")</f>
        <v>268.57799999999997</v>
      </c>
      <c r="T23" s="13">
        <f>_xll.BDH("SRPT US Equity","BS_NET_FIX_ASSET","FQ1 2023","FQ1 2023","Currency=USD","Period=FQ","BEST_FPERIOD_OVERRIDE=FQ","FILING_STATUS=MR","SCALING_FORMAT=MLN","Sort=A","Dates=H","DateFormat=P","Fill=—","Direction=H","UseDPDF=Y")</f>
        <v>244.87799999999999</v>
      </c>
      <c r="U23" s="13">
        <f>_xll.BDH("SRPT US Equity","BS_NET_FIX_ASSET","FQ2 2023","FQ2 2023","Currency=USD","Period=FQ","BEST_FPERIOD_OVERRIDE=FQ","FILING_STATUS=MR","SCALING_FORMAT=MLN","Sort=A","Dates=H","DateFormat=P","Fill=—","Direction=H","UseDPDF=Y")</f>
        <v>323.60199999999998</v>
      </c>
      <c r="V23" s="13">
        <f>_xll.BDH("SRPT US Equity","BS_NET_FIX_ASSET","FQ3 2023","FQ3 2023","Currency=USD","Period=FQ","BEST_FPERIOD_OVERRIDE=FQ","FILING_STATUS=MR","SCALING_FORMAT=MLN","Sort=A","Dates=H","DateFormat=P","Fill=—","Direction=H","UseDPDF=Y")</f>
        <v>345.82100000000003</v>
      </c>
      <c r="W23" s="13">
        <f>_xll.BDH("SRPT US Equity","BS_NET_FIX_ASSET","FQ4 2023","FQ4 2023","Currency=USD","Period=FQ","BEST_FPERIOD_OVERRIDE=FQ","FILING_STATUS=MR","SCALING_FORMAT=MLN","Sort=A","Dates=H","DateFormat=P","Fill=—","Direction=H","UseDPDF=Y")</f>
        <v>357.10599999999999</v>
      </c>
      <c r="X23" s="13">
        <f>_xll.BDH("SRPT US Equity","BS_NET_FIX_ASSET","FQ1 2024","FQ1 2024","Currency=USD","Period=FQ","BEST_FPERIOD_OVERRIDE=FQ","FILING_STATUS=MR","SCALING_FORMAT=MLN","Sort=A","Dates=H","DateFormat=P","Fill=—","Direction=H","UseDPDF=Y")</f>
        <v>375.57100000000003</v>
      </c>
      <c r="Y23" s="13">
        <f>_xll.BDH("SRPT US Equity","BS_NET_FIX_ASSET","FQ2 2024","FQ2 2024","Currency=USD","Period=FQ","BEST_FPERIOD_OVERRIDE=FQ","FILING_STATUS=MR","SCALING_FORMAT=MLN","Sort=A","Dates=H","DateFormat=P","Fill=—","Direction=H","UseDPDF=Y")</f>
        <v>400.20100000000002</v>
      </c>
      <c r="Z23" s="13">
        <f>_xll.BDH("SRPT US Equity","BS_NET_FIX_ASSET","FQ3 2024","FQ3 2024","Currency=USD","Period=FQ","BEST_FPERIOD_OVERRIDE=FQ","FILING_STATUS=MR","SCALING_FORMAT=MLN","Sort=A","Dates=H","DateFormat=P","Fill=—","Direction=H","UseDPDF=Y")</f>
        <v>446.68599999999998</v>
      </c>
      <c r="AA23" s="13">
        <f>_xll.BDH("SRPT US Equity","BS_NET_FIX_ASSET","FQ4 2024","FQ4 2024","Currency=USD","Period=FQ","BEST_FPERIOD_OVERRIDE=FQ","FILING_STATUS=MR","SCALING_FORMAT=MLN","Sort=A","Dates=H","DateFormat=P","Fill=—","Direction=H","UseDPDF=Y")</f>
        <v>488.64600000000002</v>
      </c>
    </row>
    <row r="24" spans="1:27" x14ac:dyDescent="0.25">
      <c r="A24" s="10" t="s">
        <v>723</v>
      </c>
      <c r="B24" s="10" t="s">
        <v>724</v>
      </c>
      <c r="C24" s="13">
        <f>_xll.BDH("SRPT US Equity","BS_GROSS_FIX_ASSET","FQ4 2018","FQ4 2018","Currency=USD","Period=FQ","BEST_FPERIOD_OVERRIDE=FQ","FILING_STATUS=MR","SCALING_FORMAT=MLN","Sort=A","Dates=H","DateFormat=P","Fill=—","Direction=H","UseDPDF=Y")</f>
        <v>125.173</v>
      </c>
      <c r="D24" s="13">
        <f>_xll.BDH("SRPT US Equity","BS_GROSS_FIX_ASSET","FQ1 2019","FQ1 2019","Currency=USD","Period=FQ","BEST_FPERIOD_OVERRIDE=FQ","FILING_STATUS=MR","SCALING_FORMAT=MLN","Sort=A","Dates=H","DateFormat=P","Fill=—","Direction=H","UseDPDF=Y")</f>
        <v>181.48099999999999</v>
      </c>
      <c r="E24" s="13">
        <f>_xll.BDH("SRPT US Equity","BS_GROSS_FIX_ASSET","FQ2 2019","FQ2 2019","Currency=USD","Period=FQ","BEST_FPERIOD_OVERRIDE=FQ","FILING_STATUS=MR","SCALING_FORMAT=MLN","Sort=A","Dates=H","DateFormat=P","Fill=—","Direction=H","UseDPDF=Y")</f>
        <v>195.048</v>
      </c>
      <c r="F24" s="13">
        <f>_xll.BDH("SRPT US Equity","BS_GROSS_FIX_ASSET","FQ3 2019","FQ3 2019","Currency=USD","Period=FQ","BEST_FPERIOD_OVERRIDE=FQ","FILING_STATUS=MR","SCALING_FORMAT=MLN","Sort=A","Dates=H","DateFormat=P","Fill=—","Direction=H","UseDPDF=Y")</f>
        <v>203.726</v>
      </c>
      <c r="G24" s="13">
        <f>_xll.BDH("SRPT US Equity","BS_GROSS_FIX_ASSET","FQ4 2019","FQ4 2019","Currency=USD","Period=FQ","BEST_FPERIOD_OVERRIDE=FQ","FILING_STATUS=MR","SCALING_FORMAT=MLN","Sort=A","Dates=H","DateFormat=P","Fill=—","Direction=H","UseDPDF=Y")</f>
        <v>218.548</v>
      </c>
      <c r="H24" s="13" t="str">
        <f>_xll.BDH("SRPT US Equity","BS_GROSS_FIX_ASSET","FQ1 2020","FQ1 2020","Currency=USD","Period=FQ","BEST_FPERIOD_OVERRIDE=FQ","FILING_STATUS=MR","SCALING_FORMAT=MLN","Sort=A","Dates=H","DateFormat=P","Fill=—","Direction=H","UseDPDF=Y")</f>
        <v>—</v>
      </c>
      <c r="I24" s="13" t="str">
        <f>_xll.BDH("SRPT US Equity","BS_GROSS_FIX_ASSET","FQ2 2020","FQ2 2020","Currency=USD","Period=FQ","BEST_FPERIOD_OVERRIDE=FQ","FILING_STATUS=MR","SCALING_FORMAT=MLN","Sort=A","Dates=H","DateFormat=P","Fill=—","Direction=H","UseDPDF=Y")</f>
        <v>—</v>
      </c>
      <c r="J24" s="13" t="str">
        <f>_xll.BDH("SRPT US Equity","BS_GROSS_FIX_ASSET","FQ3 2020","FQ3 2020","Currency=USD","Period=FQ","BEST_FPERIOD_OVERRIDE=FQ","FILING_STATUS=MR","SCALING_FORMAT=MLN","Sort=A","Dates=H","DateFormat=P","Fill=—","Direction=H","UseDPDF=Y")</f>
        <v>—</v>
      </c>
      <c r="K24" s="13">
        <f>_xll.BDH("SRPT US Equity","BS_GROSS_FIX_ASSET","FQ4 2020","FQ4 2020","Currency=USD","Period=FQ","BEST_FPERIOD_OVERRIDE=FQ","FILING_STATUS=MR","SCALING_FORMAT=MLN","Sort=A","Dates=H","DateFormat=P","Fill=—","Direction=H","UseDPDF=Y")</f>
        <v>358.21800000000002</v>
      </c>
      <c r="L24" s="13" t="str">
        <f>_xll.BDH("SRPT US Equity","BS_GROSS_FIX_ASSET","FQ1 2021","FQ1 2021","Currency=USD","Period=FQ","BEST_FPERIOD_OVERRIDE=FQ","FILING_STATUS=MR","SCALING_FORMAT=MLN","Sort=A","Dates=H","DateFormat=P","Fill=—","Direction=H","UseDPDF=Y")</f>
        <v>—</v>
      </c>
      <c r="M24" s="13" t="str">
        <f>_xll.BDH("SRPT US Equity","BS_GROSS_FIX_ASSET","FQ2 2021","FQ2 2021","Currency=USD","Period=FQ","BEST_FPERIOD_OVERRIDE=FQ","FILING_STATUS=MR","SCALING_FORMAT=MLN","Sort=A","Dates=H","DateFormat=P","Fill=—","Direction=H","UseDPDF=Y")</f>
        <v>—</v>
      </c>
      <c r="N24" s="13" t="str">
        <f>_xll.BDH("SRPT US Equity","BS_GROSS_FIX_ASSET","FQ3 2021","FQ3 2021","Currency=USD","Period=FQ","BEST_FPERIOD_OVERRIDE=FQ","FILING_STATUS=MR","SCALING_FORMAT=MLN","Sort=A","Dates=H","DateFormat=P","Fill=—","Direction=H","UseDPDF=Y")</f>
        <v>—</v>
      </c>
      <c r="O24" s="13">
        <f>_xll.BDH("SRPT US Equity","BS_GROSS_FIX_ASSET","FQ4 2021","FQ4 2021","Currency=USD","Period=FQ","BEST_FPERIOD_OVERRIDE=FQ","FILING_STATUS=MR","SCALING_FORMAT=MLN","Sort=A","Dates=H","DateFormat=P","Fill=—","Direction=H","UseDPDF=Y")</f>
        <v>349.31900000000002</v>
      </c>
      <c r="P24" s="13" t="str">
        <f>_xll.BDH("SRPT US Equity","BS_GROSS_FIX_ASSET","FQ1 2022","FQ1 2022","Currency=USD","Period=FQ","BEST_FPERIOD_OVERRIDE=FQ","FILING_STATUS=MR","SCALING_FORMAT=MLN","Sort=A","Dates=H","DateFormat=P","Fill=—","Direction=H","UseDPDF=Y")</f>
        <v>—</v>
      </c>
      <c r="Q24" s="13" t="str">
        <f>_xll.BDH("SRPT US Equity","BS_GROSS_FIX_ASSET","FQ2 2022","FQ2 2022","Currency=USD","Period=FQ","BEST_FPERIOD_OVERRIDE=FQ","FILING_STATUS=MR","SCALING_FORMAT=MLN","Sort=A","Dates=H","DateFormat=P","Fill=—","Direction=H","UseDPDF=Y")</f>
        <v>—</v>
      </c>
      <c r="R24" s="13" t="str">
        <f>_xll.BDH("SRPT US Equity","BS_GROSS_FIX_ASSET","FQ3 2022","FQ3 2022","Currency=USD","Period=FQ","BEST_FPERIOD_OVERRIDE=FQ","FILING_STATUS=MR","SCALING_FORMAT=MLN","Sort=A","Dates=H","DateFormat=P","Fill=—","Direction=H","UseDPDF=Y")</f>
        <v>—</v>
      </c>
      <c r="S24" s="13">
        <f>_xll.BDH("SRPT US Equity","BS_GROSS_FIX_ASSET","FQ4 2022","FQ4 2022","Currency=USD","Period=FQ","BEST_FPERIOD_OVERRIDE=FQ","FILING_STATUS=MR","SCALING_FORMAT=MLN","Sort=A","Dates=H","DateFormat=P","Fill=—","Direction=H","UseDPDF=Y")</f>
        <v>417.45400000000001</v>
      </c>
      <c r="T24" s="13" t="str">
        <f>_xll.BDH("SRPT US Equity","BS_GROSS_FIX_ASSET","FQ1 2023","FQ1 2023","Currency=USD","Period=FQ","BEST_FPERIOD_OVERRIDE=FQ","FILING_STATUS=MR","SCALING_FORMAT=MLN","Sort=A","Dates=H","DateFormat=P","Fill=—","Direction=H","UseDPDF=Y")</f>
        <v>—</v>
      </c>
      <c r="U24" s="13" t="str">
        <f>_xll.BDH("SRPT US Equity","BS_GROSS_FIX_ASSET","FQ2 2023","FQ2 2023","Currency=USD","Period=FQ","BEST_FPERIOD_OVERRIDE=FQ","FILING_STATUS=MR","SCALING_FORMAT=MLN","Sort=A","Dates=H","DateFormat=P","Fill=—","Direction=H","UseDPDF=Y")</f>
        <v>—</v>
      </c>
      <c r="V24" s="13" t="str">
        <f>_xll.BDH("SRPT US Equity","BS_GROSS_FIX_ASSET","FQ3 2023","FQ3 2023","Currency=USD","Period=FQ","BEST_FPERIOD_OVERRIDE=FQ","FILING_STATUS=MR","SCALING_FORMAT=MLN","Sort=A","Dates=H","DateFormat=P","Fill=—","Direction=H","UseDPDF=Y")</f>
        <v>—</v>
      </c>
      <c r="W24" s="13">
        <f>_xll.BDH("SRPT US Equity","BS_GROSS_FIX_ASSET","FQ4 2023","FQ4 2023","Currency=USD","Period=FQ","BEST_FPERIOD_OVERRIDE=FQ","FILING_STATUS=MR","SCALING_FORMAT=MLN","Sort=A","Dates=H","DateFormat=P","Fill=—","Direction=H","UseDPDF=Y")</f>
        <v>548.07600000000002</v>
      </c>
      <c r="X24" s="13" t="str">
        <f>_xll.BDH("SRPT US Equity","BS_GROSS_FIX_ASSET","FQ1 2024","FQ1 2024","Currency=USD","Period=FQ","BEST_FPERIOD_OVERRIDE=FQ","FILING_STATUS=MR","SCALING_FORMAT=MLN","Sort=A","Dates=H","DateFormat=P","Fill=—","Direction=H","UseDPDF=Y")</f>
        <v>—</v>
      </c>
      <c r="Y24" s="13" t="str">
        <f>_xll.BDH("SRPT US Equity","BS_GROSS_FIX_ASSET","FQ2 2024","FQ2 2024","Currency=USD","Period=FQ","BEST_FPERIOD_OVERRIDE=FQ","FILING_STATUS=MR","SCALING_FORMAT=MLN","Sort=A","Dates=H","DateFormat=P","Fill=—","Direction=H","UseDPDF=Y")</f>
        <v>—</v>
      </c>
      <c r="Z24" s="13" t="str">
        <f>_xll.BDH("SRPT US Equity","BS_GROSS_FIX_ASSET","FQ3 2024","FQ3 2024","Currency=USD","Period=FQ","BEST_FPERIOD_OVERRIDE=FQ","FILING_STATUS=MR","SCALING_FORMAT=MLN","Sort=A","Dates=H","DateFormat=P","Fill=—","Direction=H","UseDPDF=Y")</f>
        <v>—</v>
      </c>
      <c r="AA24" s="13">
        <f>_xll.BDH("SRPT US Equity","BS_GROSS_FIX_ASSET","FQ4 2024","FQ4 2024","Currency=USD","Period=FQ","BEST_FPERIOD_OVERRIDE=FQ","FILING_STATUS=MR","SCALING_FORMAT=MLN","Sort=A","Dates=H","DateFormat=P","Fill=—","Direction=H","UseDPDF=Y")</f>
        <v>722.79100000000005</v>
      </c>
    </row>
    <row r="25" spans="1:27" x14ac:dyDescent="0.25">
      <c r="A25" s="10" t="s">
        <v>725</v>
      </c>
      <c r="B25" s="10" t="s">
        <v>726</v>
      </c>
      <c r="C25" s="13">
        <f>_xll.BDH("SRPT US Equity","BS_ACCUM_DEPR","FQ4 2018","FQ4 2018","Currency=USD","Period=FQ","BEST_FPERIOD_OVERRIDE=FQ","FILING_STATUS=MR","SCALING_FORMAT=MLN","Sort=A","Dates=H","DateFormat=P","Fill=—","Direction=H","UseDPDF=Y")</f>
        <v>28.149000000000001</v>
      </c>
      <c r="D25" s="13">
        <f>_xll.BDH("SRPT US Equity","BS_ACCUM_DEPR","FQ1 2019","FQ1 2019","Currency=USD","Period=FQ","BEST_FPERIOD_OVERRIDE=FQ","FILING_STATUS=MR","SCALING_FORMAT=MLN","Sort=A","Dates=H","DateFormat=P","Fill=—","Direction=H","UseDPDF=Y")</f>
        <v>34.103000000000002</v>
      </c>
      <c r="E25" s="13">
        <f>_xll.BDH("SRPT US Equity","BS_ACCUM_DEPR","FQ2 2019","FQ2 2019","Currency=USD","Period=FQ","BEST_FPERIOD_OVERRIDE=FQ","FILING_STATUS=MR","SCALING_FORMAT=MLN","Sort=A","Dates=H","DateFormat=P","Fill=—","Direction=H","UseDPDF=Y")</f>
        <v>38.398000000000003</v>
      </c>
      <c r="F25" s="13">
        <f>_xll.BDH("SRPT US Equity","BS_ACCUM_DEPR","FQ3 2019","FQ3 2019","Currency=USD","Period=FQ","BEST_FPERIOD_OVERRIDE=FQ","FILING_STATUS=MR","SCALING_FORMAT=MLN","Sort=A","Dates=H","DateFormat=P","Fill=—","Direction=H","UseDPDF=Y")</f>
        <v>44.701000000000001</v>
      </c>
      <c r="G25" s="13">
        <f>_xll.BDH("SRPT US Equity","BS_ACCUM_DEPR","FQ4 2019","FQ4 2019","Currency=USD","Period=FQ","BEST_FPERIOD_OVERRIDE=FQ","FILING_STATUS=MR","SCALING_FORMAT=MLN","Sort=A","Dates=H","DateFormat=P","Fill=—","Direction=H","UseDPDF=Y")</f>
        <v>50.994999999999997</v>
      </c>
      <c r="H25" s="13" t="str">
        <f>_xll.BDH("SRPT US Equity","BS_ACCUM_DEPR","FQ1 2020","FQ1 2020","Currency=USD","Period=FQ","BEST_FPERIOD_OVERRIDE=FQ","FILING_STATUS=MR","SCALING_FORMAT=MLN","Sort=A","Dates=H","DateFormat=P","Fill=—","Direction=H","UseDPDF=Y")</f>
        <v>—</v>
      </c>
      <c r="I25" s="13" t="str">
        <f>_xll.BDH("SRPT US Equity","BS_ACCUM_DEPR","FQ2 2020","FQ2 2020","Currency=USD","Period=FQ","BEST_FPERIOD_OVERRIDE=FQ","FILING_STATUS=MR","SCALING_FORMAT=MLN","Sort=A","Dates=H","DateFormat=P","Fill=—","Direction=H","UseDPDF=Y")</f>
        <v>—</v>
      </c>
      <c r="J25" s="13" t="str">
        <f>_xll.BDH("SRPT US Equity","BS_ACCUM_DEPR","FQ3 2020","FQ3 2020","Currency=USD","Period=FQ","BEST_FPERIOD_OVERRIDE=FQ","FILING_STATUS=MR","SCALING_FORMAT=MLN","Sort=A","Dates=H","DateFormat=P","Fill=—","Direction=H","UseDPDF=Y")</f>
        <v>—</v>
      </c>
      <c r="K25" s="13">
        <f>_xll.BDH("SRPT US Equity","BS_ACCUM_DEPR","FQ4 2020","FQ4 2020","Currency=USD","Period=FQ","BEST_FPERIOD_OVERRIDE=FQ","FILING_STATUS=MR","SCALING_FORMAT=MLN","Sort=A","Dates=H","DateFormat=P","Fill=—","Direction=H","UseDPDF=Y")</f>
        <v>76.027000000000001</v>
      </c>
      <c r="L25" s="13" t="str">
        <f>_xll.BDH("SRPT US Equity","BS_ACCUM_DEPR","FQ1 2021","FQ1 2021","Currency=USD","Period=FQ","BEST_FPERIOD_OVERRIDE=FQ","FILING_STATUS=MR","SCALING_FORMAT=MLN","Sort=A","Dates=H","DateFormat=P","Fill=—","Direction=H","UseDPDF=Y")</f>
        <v>—</v>
      </c>
      <c r="M25" s="13" t="str">
        <f>_xll.BDH("SRPT US Equity","BS_ACCUM_DEPR","FQ2 2021","FQ2 2021","Currency=USD","Period=FQ","BEST_FPERIOD_OVERRIDE=FQ","FILING_STATUS=MR","SCALING_FORMAT=MLN","Sort=A","Dates=H","DateFormat=P","Fill=—","Direction=H","UseDPDF=Y")</f>
        <v>—</v>
      </c>
      <c r="N25" s="13" t="str">
        <f>_xll.BDH("SRPT US Equity","BS_ACCUM_DEPR","FQ3 2021","FQ3 2021","Currency=USD","Period=FQ","BEST_FPERIOD_OVERRIDE=FQ","FILING_STATUS=MR","SCALING_FORMAT=MLN","Sort=A","Dates=H","DateFormat=P","Fill=—","Direction=H","UseDPDF=Y")</f>
        <v>—</v>
      </c>
      <c r="O25" s="13">
        <f>_xll.BDH("SRPT US Equity","BS_ACCUM_DEPR","FQ4 2021","FQ4 2021","Currency=USD","Period=FQ","BEST_FPERIOD_OVERRIDE=FQ","FILING_STATUS=MR","SCALING_FORMAT=MLN","Sort=A","Dates=H","DateFormat=P","Fill=—","Direction=H","UseDPDF=Y")</f>
        <v>112.63200000000001</v>
      </c>
      <c r="P25" s="13" t="str">
        <f>_xll.BDH("SRPT US Equity","BS_ACCUM_DEPR","FQ1 2022","FQ1 2022","Currency=USD","Period=FQ","BEST_FPERIOD_OVERRIDE=FQ","FILING_STATUS=MR","SCALING_FORMAT=MLN","Sort=A","Dates=H","DateFormat=P","Fill=—","Direction=H","UseDPDF=Y")</f>
        <v>—</v>
      </c>
      <c r="Q25" s="13" t="str">
        <f>_xll.BDH("SRPT US Equity","BS_ACCUM_DEPR","FQ2 2022","FQ2 2022","Currency=USD","Period=FQ","BEST_FPERIOD_OVERRIDE=FQ","FILING_STATUS=MR","SCALING_FORMAT=MLN","Sort=A","Dates=H","DateFormat=P","Fill=—","Direction=H","UseDPDF=Y")</f>
        <v>—</v>
      </c>
      <c r="R25" s="13" t="str">
        <f>_xll.BDH("SRPT US Equity","BS_ACCUM_DEPR","FQ3 2022","FQ3 2022","Currency=USD","Period=FQ","BEST_FPERIOD_OVERRIDE=FQ","FILING_STATUS=MR","SCALING_FORMAT=MLN","Sort=A","Dates=H","DateFormat=P","Fill=—","Direction=H","UseDPDF=Y")</f>
        <v>—</v>
      </c>
      <c r="S25" s="13">
        <f>_xll.BDH("SRPT US Equity","BS_ACCUM_DEPR","FQ4 2022","FQ4 2022","Currency=USD","Period=FQ","BEST_FPERIOD_OVERRIDE=FQ","FILING_STATUS=MR","SCALING_FORMAT=MLN","Sort=A","Dates=H","DateFormat=P","Fill=—","Direction=H","UseDPDF=Y")</f>
        <v>148.876</v>
      </c>
      <c r="T25" s="13" t="str">
        <f>_xll.BDH("SRPT US Equity","BS_ACCUM_DEPR","FQ1 2023","FQ1 2023","Currency=USD","Period=FQ","BEST_FPERIOD_OVERRIDE=FQ","FILING_STATUS=MR","SCALING_FORMAT=MLN","Sort=A","Dates=H","DateFormat=P","Fill=—","Direction=H","UseDPDF=Y")</f>
        <v>—</v>
      </c>
      <c r="U25" s="13" t="str">
        <f>_xll.BDH("SRPT US Equity","BS_ACCUM_DEPR","FQ2 2023","FQ2 2023","Currency=USD","Period=FQ","BEST_FPERIOD_OVERRIDE=FQ","FILING_STATUS=MR","SCALING_FORMAT=MLN","Sort=A","Dates=H","DateFormat=P","Fill=—","Direction=H","UseDPDF=Y")</f>
        <v>—</v>
      </c>
      <c r="V25" s="13" t="str">
        <f>_xll.BDH("SRPT US Equity","BS_ACCUM_DEPR","FQ3 2023","FQ3 2023","Currency=USD","Period=FQ","BEST_FPERIOD_OVERRIDE=FQ","FILING_STATUS=MR","SCALING_FORMAT=MLN","Sort=A","Dates=H","DateFormat=P","Fill=—","Direction=H","UseDPDF=Y")</f>
        <v>—</v>
      </c>
      <c r="W25" s="13">
        <f>_xll.BDH("SRPT US Equity","BS_ACCUM_DEPR","FQ4 2023","FQ4 2023","Currency=USD","Period=FQ","BEST_FPERIOD_OVERRIDE=FQ","FILING_STATUS=MR","SCALING_FORMAT=MLN","Sort=A","Dates=H","DateFormat=P","Fill=—","Direction=H","UseDPDF=Y")</f>
        <v>190.97</v>
      </c>
      <c r="X25" s="13" t="str">
        <f>_xll.BDH("SRPT US Equity","BS_ACCUM_DEPR","FQ1 2024","FQ1 2024","Currency=USD","Period=FQ","BEST_FPERIOD_OVERRIDE=FQ","FILING_STATUS=MR","SCALING_FORMAT=MLN","Sort=A","Dates=H","DateFormat=P","Fill=—","Direction=H","UseDPDF=Y")</f>
        <v>—</v>
      </c>
      <c r="Y25" s="13" t="str">
        <f>_xll.BDH("SRPT US Equity","BS_ACCUM_DEPR","FQ2 2024","FQ2 2024","Currency=USD","Period=FQ","BEST_FPERIOD_OVERRIDE=FQ","FILING_STATUS=MR","SCALING_FORMAT=MLN","Sort=A","Dates=H","DateFormat=P","Fill=—","Direction=H","UseDPDF=Y")</f>
        <v>—</v>
      </c>
      <c r="Z25" s="13" t="str">
        <f>_xll.BDH("SRPT US Equity","BS_ACCUM_DEPR","FQ3 2024","FQ3 2024","Currency=USD","Period=FQ","BEST_FPERIOD_OVERRIDE=FQ","FILING_STATUS=MR","SCALING_FORMAT=MLN","Sort=A","Dates=H","DateFormat=P","Fill=—","Direction=H","UseDPDF=Y")</f>
        <v>—</v>
      </c>
      <c r="AA25" s="13">
        <f>_xll.BDH("SRPT US Equity","BS_ACCUM_DEPR","FQ4 2024","FQ4 2024","Currency=USD","Period=FQ","BEST_FPERIOD_OVERRIDE=FQ","FILING_STATUS=MR","SCALING_FORMAT=MLN","Sort=A","Dates=H","DateFormat=P","Fill=—","Direction=H","UseDPDF=Y")</f>
        <v>234.14500000000001</v>
      </c>
    </row>
    <row r="26" spans="1:27" x14ac:dyDescent="0.25">
      <c r="A26" s="10" t="s">
        <v>727</v>
      </c>
      <c r="B26" s="10" t="s">
        <v>728</v>
      </c>
      <c r="C26" s="13">
        <f>_xll.BDH("SRPT US Equity","BS_LT_INVEST","FQ4 2018","FQ4 2018","Currency=USD","Period=FQ","BEST_FPERIOD_OVERRIDE=FQ","FILING_STATUS=MR","SCALING_FORMAT=MLN","Sort=A","Dates=H","DateFormat=P","Fill=—","Direction=H","UseDPDF=Y")</f>
        <v>0</v>
      </c>
      <c r="D26" s="13">
        <f>_xll.BDH("SRPT US Equity","BS_LT_INVEST","FQ1 2019","FQ1 2019","Currency=USD","Period=FQ","BEST_FPERIOD_OVERRIDE=FQ","FILING_STATUS=MR","SCALING_FORMAT=MLN","Sort=A","Dates=H","DateFormat=P","Fill=—","Direction=H","UseDPDF=Y")</f>
        <v>0</v>
      </c>
      <c r="E26" s="13">
        <f>_xll.BDH("SRPT US Equity","BS_LT_INVEST","FQ2 2019","FQ2 2019","Currency=USD","Period=FQ","BEST_FPERIOD_OVERRIDE=FQ","FILING_STATUS=MR","SCALING_FORMAT=MLN","Sort=A","Dates=H","DateFormat=P","Fill=—","Direction=H","UseDPDF=Y")</f>
        <v>0</v>
      </c>
      <c r="F26" s="13">
        <f>_xll.BDH("SRPT US Equity","BS_LT_INVEST","FQ3 2019","FQ3 2019","Currency=USD","Period=FQ","BEST_FPERIOD_OVERRIDE=FQ","FILING_STATUS=MR","SCALING_FORMAT=MLN","Sort=A","Dates=H","DateFormat=P","Fill=—","Direction=H","UseDPDF=Y")</f>
        <v>31.834</v>
      </c>
      <c r="G26" s="13">
        <f>_xll.BDH("SRPT US Equity","BS_LT_INVEST","FQ4 2019","FQ4 2019","Currency=USD","Period=FQ","BEST_FPERIOD_OVERRIDE=FQ","FILING_STATUS=MR","SCALING_FORMAT=MLN","Sort=A","Dates=H","DateFormat=P","Fill=—","Direction=H","UseDPDF=Y")</f>
        <v>31.937000000000001</v>
      </c>
      <c r="H26" s="13">
        <f>_xll.BDH("SRPT US Equity","BS_LT_INVEST","FQ1 2020","FQ1 2020","Currency=USD","Period=FQ","BEST_FPERIOD_OVERRIDE=FQ","FILING_STATUS=MR","SCALING_FORMAT=MLN","Sort=A","Dates=H","DateFormat=P","Fill=—","Direction=H","UseDPDF=Y")</f>
        <v>36.112000000000002</v>
      </c>
      <c r="I26" s="13">
        <f>_xll.BDH("SRPT US Equity","BS_LT_INVEST","FQ2 2020","FQ2 2020","Currency=USD","Period=FQ","BEST_FPERIOD_OVERRIDE=FQ","FILING_STATUS=MR","SCALING_FORMAT=MLN","Sort=A","Dates=H","DateFormat=P","Fill=—","Direction=H","UseDPDF=Y")</f>
        <v>35.381</v>
      </c>
      <c r="J26" s="13">
        <f>_xll.BDH("SRPT US Equity","BS_LT_INVEST","FQ3 2020","FQ3 2020","Currency=USD","Period=FQ","BEST_FPERIOD_OVERRIDE=FQ","FILING_STATUS=MR","SCALING_FORMAT=MLN","Sort=A","Dates=H","DateFormat=P","Fill=—","Direction=H","UseDPDF=Y")</f>
        <v>35.401000000000003</v>
      </c>
      <c r="K26" s="13">
        <f>_xll.BDH("SRPT US Equity","BS_LT_INVEST","FQ4 2020","FQ4 2020","Currency=USD","Period=FQ","BEST_FPERIOD_OVERRIDE=FQ","FILING_STATUS=MR","SCALING_FORMAT=MLN","Sort=A","Dates=H","DateFormat=P","Fill=—","Direction=H","UseDPDF=Y")</f>
        <v>42.468000000000004</v>
      </c>
      <c r="L26" s="13">
        <f>_xll.BDH("SRPT US Equity","BS_LT_INVEST","FQ1 2021","FQ1 2021","Currency=USD","Period=FQ","BEST_FPERIOD_OVERRIDE=FQ","FILING_STATUS=MR","SCALING_FORMAT=MLN","Sort=A","Dates=H","DateFormat=P","Fill=—","Direction=H","UseDPDF=Y")</f>
        <v>43.731999999999999</v>
      </c>
      <c r="M26" s="13">
        <f>_xll.BDH("SRPT US Equity","BS_LT_INVEST","FQ2 2021","FQ2 2021","Currency=USD","Period=FQ","BEST_FPERIOD_OVERRIDE=FQ","FILING_STATUS=MR","SCALING_FORMAT=MLN","Sort=A","Dates=H","DateFormat=P","Fill=—","Direction=H","UseDPDF=Y")</f>
        <v>43.387</v>
      </c>
      <c r="N26" s="13">
        <f>_xll.BDH("SRPT US Equity","BS_LT_INVEST","FQ3 2021","FQ3 2021","Currency=USD","Period=FQ","BEST_FPERIOD_OVERRIDE=FQ","FILING_STATUS=MR","SCALING_FORMAT=MLN","Sort=A","Dates=H","DateFormat=P","Fill=—","Direction=H","UseDPDF=Y")</f>
        <v>38.759</v>
      </c>
      <c r="O26" s="13">
        <f>_xll.BDH("SRPT US Equity","BS_LT_INVEST","FQ4 2021","FQ4 2021","Currency=USD","Period=FQ","BEST_FPERIOD_OVERRIDE=FQ","FILING_STATUS=MR","SCALING_FORMAT=MLN","Sort=A","Dates=H","DateFormat=P","Fill=—","Direction=H","UseDPDF=Y")</f>
        <v>38.752000000000002</v>
      </c>
      <c r="P26" s="13">
        <f>_xll.BDH("SRPT US Equity","BS_LT_INVEST","FQ1 2022","FQ1 2022","Currency=USD","Period=FQ","BEST_FPERIOD_OVERRIDE=FQ","FILING_STATUS=MR","SCALING_FORMAT=MLN","Sort=A","Dates=H","DateFormat=P","Fill=—","Direction=H","UseDPDF=Y")</f>
        <v>37.128999999999998</v>
      </c>
      <c r="Q26" s="13">
        <f>_xll.BDH("SRPT US Equity","BS_LT_INVEST","FQ2 2022","FQ2 2022","Currency=USD","Period=FQ","BEST_FPERIOD_OVERRIDE=FQ","FILING_STATUS=MR","SCALING_FORMAT=MLN","Sort=A","Dates=H","DateFormat=P","Fill=—","Direction=H","UseDPDF=Y")</f>
        <v>36.777000000000001</v>
      </c>
      <c r="R26" s="13">
        <f>_xll.BDH("SRPT US Equity","BS_LT_INVEST","FQ3 2022","FQ3 2022","Currency=USD","Period=FQ","BEST_FPERIOD_OVERRIDE=FQ","FILING_STATUS=MR","SCALING_FORMAT=MLN","Sort=A","Dates=H","DateFormat=P","Fill=—","Direction=H","UseDPDF=Y")</f>
        <v>37.463999999999999</v>
      </c>
      <c r="S26" s="13">
        <f>_xll.BDH("SRPT US Equity","BS_LT_INVEST","FQ4 2022","FQ4 2022","Currency=USD","Period=FQ","BEST_FPERIOD_OVERRIDE=FQ","FILING_STATUS=MR","SCALING_FORMAT=MLN","Sort=A","Dates=H","DateFormat=P","Fill=—","Direction=H","UseDPDF=Y")</f>
        <v>36.808</v>
      </c>
      <c r="T26" s="13">
        <f>_xll.BDH("SRPT US Equity","BS_LT_INVEST","FQ1 2023","FQ1 2023","Currency=USD","Period=FQ","BEST_FPERIOD_OVERRIDE=FQ","FILING_STATUS=MR","SCALING_FORMAT=MLN","Sort=A","Dates=H","DateFormat=P","Fill=—","Direction=H","UseDPDF=Y")</f>
        <v>39.569000000000003</v>
      </c>
      <c r="U26" s="13">
        <f>_xll.BDH("SRPT US Equity","BS_LT_INVEST","FQ2 2023","FQ2 2023","Currency=USD","Period=FQ","BEST_FPERIOD_OVERRIDE=FQ","FILING_STATUS=MR","SCALING_FORMAT=MLN","Sort=A","Dates=H","DateFormat=P","Fill=—","Direction=H","UseDPDF=Y")</f>
        <v>40.322000000000003</v>
      </c>
      <c r="V26" s="13">
        <f>_xll.BDH("SRPT US Equity","BS_LT_INVEST","FQ3 2023","FQ3 2023","Currency=USD","Period=FQ","BEST_FPERIOD_OVERRIDE=FQ","FILING_STATUS=MR","SCALING_FORMAT=MLN","Sort=A","Dates=H","DateFormat=P","Fill=—","Direction=H","UseDPDF=Y")</f>
        <v>32.817999999999998</v>
      </c>
      <c r="W26" s="13">
        <f>_xll.BDH("SRPT US Equity","BS_LT_INVEST","FQ4 2023","FQ4 2023","Currency=USD","Period=FQ","BEST_FPERIOD_OVERRIDE=FQ","FILING_STATUS=MR","SCALING_FORMAT=MLN","Sort=A","Dates=H","DateFormat=P","Fill=—","Direction=H","UseDPDF=Y")</f>
        <v>18.821000000000002</v>
      </c>
      <c r="X26" s="13">
        <f>_xll.BDH("SRPT US Equity","BS_LT_INVEST","FQ1 2024","FQ1 2024","Currency=USD","Period=FQ","BEST_FPERIOD_OVERRIDE=FQ","FILING_STATUS=MR","SCALING_FORMAT=MLN","Sort=A","Dates=H","DateFormat=P","Fill=—","Direction=H","UseDPDF=Y")</f>
        <v>45.945</v>
      </c>
      <c r="Y26" s="13">
        <f>_xll.BDH("SRPT US Equity","BS_LT_INVEST","FQ2 2024","FQ2 2024","Currency=USD","Period=FQ","BEST_FPERIOD_OVERRIDE=FQ","FILING_STATUS=MR","SCALING_FORMAT=MLN","Sort=A","Dates=H","DateFormat=P","Fill=—","Direction=H","UseDPDF=Y")</f>
        <v>10.75</v>
      </c>
      <c r="Z26" s="13">
        <f>_xll.BDH("SRPT US Equity","BS_LT_INVEST","FQ3 2024","FQ3 2024","Currency=USD","Period=FQ","BEST_FPERIOD_OVERRIDE=FQ","FILING_STATUS=MR","SCALING_FORMAT=MLN","Sort=A","Dates=H","DateFormat=P","Fill=—","Direction=H","UseDPDF=Y")</f>
        <v>185.423</v>
      </c>
      <c r="AA26" s="13">
        <f>_xll.BDH("SRPT US Equity","BS_LT_INVEST","FQ4 2024","FQ4 2024","Currency=USD","Period=FQ","BEST_FPERIOD_OVERRIDE=FQ","FILING_STATUS=MR","SCALING_FORMAT=MLN","Sort=A","Dates=H","DateFormat=P","Fill=—","Direction=H","UseDPDF=Y")</f>
        <v>136.55699999999999</v>
      </c>
    </row>
    <row r="27" spans="1:27" x14ac:dyDescent="0.25">
      <c r="A27" s="10" t="s">
        <v>729</v>
      </c>
      <c r="B27" s="10" t="s">
        <v>730</v>
      </c>
      <c r="C27" s="13" t="str">
        <f>_xll.BDH("SRPT US Equity","BS_LONG_TERM_INVESTMENTS","FQ4 2018","FQ4 2018","Currency=USD","Period=FQ","BEST_FPERIOD_OVERRIDE=FQ","FILING_STATUS=MR","SCALING_FORMAT=MLN","Sort=A","Dates=H","DateFormat=P","Fill=—","Direction=H","UseDPDF=Y")</f>
        <v>—</v>
      </c>
      <c r="D27" s="13" t="str">
        <f>_xll.BDH("SRPT US Equity","BS_LONG_TERM_INVESTMENTS","FQ1 2019","FQ1 2019","Currency=USD","Period=FQ","BEST_FPERIOD_OVERRIDE=FQ","FILING_STATUS=MR","SCALING_FORMAT=MLN","Sort=A","Dates=H","DateFormat=P","Fill=—","Direction=H","UseDPDF=Y")</f>
        <v>—</v>
      </c>
      <c r="E27" s="13" t="str">
        <f>_xll.BDH("SRPT US Equity","BS_LONG_TERM_INVESTMENTS","FQ2 2019","FQ2 2019","Currency=USD","Period=FQ","BEST_FPERIOD_OVERRIDE=FQ","FILING_STATUS=MR","SCALING_FORMAT=MLN","Sort=A","Dates=H","DateFormat=P","Fill=—","Direction=H","UseDPDF=Y")</f>
        <v>—</v>
      </c>
      <c r="F27" s="13">
        <f>_xll.BDH("SRPT US Equity","BS_LONG_TERM_INVESTMENTS","FQ3 2019","FQ3 2019","Currency=USD","Period=FQ","BEST_FPERIOD_OVERRIDE=FQ","FILING_STATUS=MR","SCALING_FORMAT=MLN","Sort=A","Dates=H","DateFormat=P","Fill=—","Direction=H","UseDPDF=Y")</f>
        <v>31.834</v>
      </c>
      <c r="G27" s="13">
        <f>_xll.BDH("SRPT US Equity","BS_LONG_TERM_INVESTMENTS","FQ4 2019","FQ4 2019","Currency=USD","Period=FQ","BEST_FPERIOD_OVERRIDE=FQ","FILING_STATUS=MR","SCALING_FORMAT=MLN","Sort=A","Dates=H","DateFormat=P","Fill=—","Direction=H","UseDPDF=Y")</f>
        <v>31.937000000000001</v>
      </c>
      <c r="H27" s="13">
        <f>_xll.BDH("SRPT US Equity","BS_LONG_TERM_INVESTMENTS","FQ1 2020","FQ1 2020","Currency=USD","Period=FQ","BEST_FPERIOD_OVERRIDE=FQ","FILING_STATUS=MR","SCALING_FORMAT=MLN","Sort=A","Dates=H","DateFormat=P","Fill=—","Direction=H","UseDPDF=Y")</f>
        <v>24.131</v>
      </c>
      <c r="I27" s="13">
        <f>_xll.BDH("SRPT US Equity","BS_LONG_TERM_INVESTMENTS","FQ2 2020","FQ2 2020","Currency=USD","Period=FQ","BEST_FPERIOD_OVERRIDE=FQ","FILING_STATUS=MR","SCALING_FORMAT=MLN","Sort=A","Dates=H","DateFormat=P","Fill=—","Direction=H","UseDPDF=Y")</f>
        <v>23.777999999999999</v>
      </c>
      <c r="J27" s="13">
        <f>_xll.BDH("SRPT US Equity","BS_LONG_TERM_INVESTMENTS","FQ3 2020","FQ3 2020","Currency=USD","Period=FQ","BEST_FPERIOD_OVERRIDE=FQ","FILING_STATUS=MR","SCALING_FORMAT=MLN","Sort=A","Dates=H","DateFormat=P","Fill=—","Direction=H","UseDPDF=Y")</f>
        <v>23.202999999999999</v>
      </c>
      <c r="K27" s="13">
        <f>_xll.BDH("SRPT US Equity","BS_LONG_TERM_INVESTMENTS","FQ4 2020","FQ4 2020","Currency=USD","Period=FQ","BEST_FPERIOD_OVERRIDE=FQ","FILING_STATUS=MR","SCALING_FORMAT=MLN","Sort=A","Dates=H","DateFormat=P","Fill=—","Direction=H","UseDPDF=Y")</f>
        <v>29.484000000000002</v>
      </c>
      <c r="L27" s="13">
        <f>_xll.BDH("SRPT US Equity","BS_LONG_TERM_INVESTMENTS","FQ1 2021","FQ1 2021","Currency=USD","Period=FQ","BEST_FPERIOD_OVERRIDE=FQ","FILING_STATUS=MR","SCALING_FORMAT=MLN","Sort=A","Dates=H","DateFormat=P","Fill=—","Direction=H","UseDPDF=Y")</f>
        <v>31.324999999999999</v>
      </c>
      <c r="M27" s="13">
        <f>_xll.BDH("SRPT US Equity","BS_LONG_TERM_INVESTMENTS","FQ2 2021","FQ2 2021","Currency=USD","Period=FQ","BEST_FPERIOD_OVERRIDE=FQ","FILING_STATUS=MR","SCALING_FORMAT=MLN","Sort=A","Dates=H","DateFormat=P","Fill=—","Direction=H","UseDPDF=Y")</f>
        <v>30.655999999999999</v>
      </c>
      <c r="N27" s="13">
        <f>_xll.BDH("SRPT US Equity","BS_LONG_TERM_INVESTMENTS","FQ3 2021","FQ3 2021","Currency=USD","Period=FQ","BEST_FPERIOD_OVERRIDE=FQ","FILING_STATUS=MR","SCALING_FORMAT=MLN","Sort=A","Dates=H","DateFormat=P","Fill=—","Direction=H","UseDPDF=Y")</f>
        <v>25.972999999999999</v>
      </c>
      <c r="O27" s="13">
        <f>_xll.BDH("SRPT US Equity","BS_LONG_TERM_INVESTMENTS","FQ4 2021","FQ4 2021","Currency=USD","Period=FQ","BEST_FPERIOD_OVERRIDE=FQ","FILING_STATUS=MR","SCALING_FORMAT=MLN","Sort=A","Dates=H","DateFormat=P","Fill=—","Direction=H","UseDPDF=Y")</f>
        <v>24.988</v>
      </c>
      <c r="P27" s="13">
        <f>_xll.BDH("SRPT US Equity","BS_LONG_TERM_INVESTMENTS","FQ1 2022","FQ1 2022","Currency=USD","Period=FQ","BEST_FPERIOD_OVERRIDE=FQ","FILING_STATUS=MR","SCALING_FORMAT=MLN","Sort=A","Dates=H","DateFormat=P","Fill=—","Direction=H","UseDPDF=Y")</f>
        <v>23.74</v>
      </c>
      <c r="Q27" s="13">
        <f>_xll.BDH("SRPT US Equity","BS_LONG_TERM_INVESTMENTS","FQ2 2022","FQ2 2022","Currency=USD","Period=FQ","BEST_FPERIOD_OVERRIDE=FQ","FILING_STATUS=MR","SCALING_FORMAT=MLN","Sort=A","Dates=H","DateFormat=P","Fill=—","Direction=H","UseDPDF=Y")</f>
        <v>14.734999999999999</v>
      </c>
      <c r="R27" s="13">
        <f>_xll.BDH("SRPT US Equity","BS_LONG_TERM_INVESTMENTS","FQ3 2022","FQ3 2022","Currency=USD","Period=FQ","BEST_FPERIOD_OVERRIDE=FQ","FILING_STATUS=MR","SCALING_FORMAT=MLN","Sort=A","Dates=H","DateFormat=P","Fill=—","Direction=H","UseDPDF=Y")</f>
        <v>14.22</v>
      </c>
      <c r="S27" s="13">
        <f>_xll.BDH("SRPT US Equity","BS_LONG_TERM_INVESTMENTS","FQ4 2022","FQ4 2022","Currency=USD","Period=FQ","BEST_FPERIOD_OVERRIDE=FQ","FILING_STATUS=MR","SCALING_FORMAT=MLN","Sort=A","Dates=H","DateFormat=P","Fill=—","Direction=H","UseDPDF=Y")</f>
        <v>12.297000000000001</v>
      </c>
      <c r="T27" s="13">
        <f>_xll.BDH("SRPT US Equity","BS_LONG_TERM_INVESTMENTS","FQ1 2023","FQ1 2023","Currency=USD","Period=FQ","BEST_FPERIOD_OVERRIDE=FQ","FILING_STATUS=MR","SCALING_FORMAT=MLN","Sort=A","Dates=H","DateFormat=P","Fill=—","Direction=H","UseDPDF=Y")</f>
        <v>11.976000000000001</v>
      </c>
      <c r="U27" s="13">
        <f>_xll.BDH("SRPT US Equity","BS_LONG_TERM_INVESTMENTS","FQ2 2023","FQ2 2023","Currency=USD","Period=FQ","BEST_FPERIOD_OVERRIDE=FQ","FILING_STATUS=MR","SCALING_FORMAT=MLN","Sort=A","Dates=H","DateFormat=P","Fill=—","Direction=H","UseDPDF=Y")</f>
        <v>11.976000000000001</v>
      </c>
      <c r="V27" s="13">
        <f>_xll.BDH("SRPT US Equity","BS_LONG_TERM_INVESTMENTS","FQ3 2023","FQ3 2023","Currency=USD","Period=FQ","BEST_FPERIOD_OVERRIDE=FQ","FILING_STATUS=MR","SCALING_FORMAT=MLN","Sort=A","Dates=H","DateFormat=P","Fill=—","Direction=H","UseDPDF=Y")</f>
        <v>11.648999999999999</v>
      </c>
      <c r="W27" s="13">
        <f>_xll.BDH("SRPT US Equity","BS_LONG_TERM_INVESTMENTS","FQ4 2023","FQ4 2023","Currency=USD","Period=FQ","BEST_FPERIOD_OVERRIDE=FQ","FILING_STATUS=MR","SCALING_FORMAT=MLN","Sort=A","Dates=H","DateFormat=P","Fill=—","Direction=H","UseDPDF=Y")</f>
        <v>9.0519999999999996</v>
      </c>
      <c r="X27" s="13">
        <f>_xll.BDH("SRPT US Equity","BS_LONG_TERM_INVESTMENTS","FQ1 2024","FQ1 2024","Currency=USD","Period=FQ","BEST_FPERIOD_OVERRIDE=FQ","FILING_STATUS=MR","SCALING_FORMAT=MLN","Sort=A","Dates=H","DateFormat=P","Fill=—","Direction=H","UseDPDF=Y")</f>
        <v>25.797000000000001</v>
      </c>
      <c r="Y27" s="13">
        <f>_xll.BDH("SRPT US Equity","BS_LONG_TERM_INVESTMENTS","FQ2 2024","FQ2 2024","Currency=USD","Period=FQ","BEST_FPERIOD_OVERRIDE=FQ","FILING_STATUS=MR","SCALING_FORMAT=MLN","Sort=A","Dates=H","DateFormat=P","Fill=—","Direction=H","UseDPDF=Y")</f>
        <v>-7.9729999999999999</v>
      </c>
      <c r="Z27" s="13">
        <f>_xll.BDH("SRPT US Equity","BS_LONG_TERM_INVESTMENTS","FQ3 2024","FQ3 2024","Currency=USD","Period=FQ","BEST_FPERIOD_OVERRIDE=FQ","FILING_STATUS=MR","SCALING_FORMAT=MLN","Sort=A","Dates=H","DateFormat=P","Fill=—","Direction=H","UseDPDF=Y")</f>
        <v>177.047</v>
      </c>
      <c r="AA27" s="13">
        <f>_xll.BDH("SRPT US Equity","BS_LONG_TERM_INVESTMENTS","FQ4 2024","FQ4 2024","Currency=USD","Period=FQ","BEST_FPERIOD_OVERRIDE=FQ","FILING_STATUS=MR","SCALING_FORMAT=MLN","Sort=A","Dates=H","DateFormat=P","Fill=—","Direction=H","UseDPDF=Y")</f>
        <v>129.453</v>
      </c>
    </row>
    <row r="28" spans="1:27" x14ac:dyDescent="0.25">
      <c r="A28" s="10" t="s">
        <v>731</v>
      </c>
      <c r="B28" s="10" t="s">
        <v>732</v>
      </c>
      <c r="C28" s="13" t="str">
        <f>_xll.BDH("SRPT US Equity","BS_LT_MARKETABLE_SECURITIES","FQ4 2018","FQ4 2018","Currency=USD","Period=FQ","BEST_FPERIOD_OVERRIDE=FQ","FILING_STATUS=MR","SCALING_FORMAT=MLN","Sort=A","Dates=H","DateFormat=P","Fill=—","Direction=H","UseDPDF=Y")</f>
        <v>—</v>
      </c>
      <c r="D28" s="13" t="str">
        <f>_xll.BDH("SRPT US Equity","BS_LT_MARKETABLE_SECURITIES","FQ1 2019","FQ1 2019","Currency=USD","Period=FQ","BEST_FPERIOD_OVERRIDE=FQ","FILING_STATUS=MR","SCALING_FORMAT=MLN","Sort=A","Dates=H","DateFormat=P","Fill=—","Direction=H","UseDPDF=Y")</f>
        <v>—</v>
      </c>
      <c r="E28" s="13" t="str">
        <f>_xll.BDH("SRPT US Equity","BS_LT_MARKETABLE_SECURITIES","FQ2 2019","FQ2 2019","Currency=USD","Period=FQ","BEST_FPERIOD_OVERRIDE=FQ","FILING_STATUS=MR","SCALING_FORMAT=MLN","Sort=A","Dates=H","DateFormat=P","Fill=—","Direction=H","UseDPDF=Y")</f>
        <v>—</v>
      </c>
      <c r="F28" s="13" t="str">
        <f>_xll.BDH("SRPT US Equity","BS_LT_MARKETABLE_SECURITIES","FQ3 2019","FQ3 2019","Currency=USD","Period=FQ","BEST_FPERIOD_OVERRIDE=FQ","FILING_STATUS=MR","SCALING_FORMAT=MLN","Sort=A","Dates=H","DateFormat=P","Fill=—","Direction=H","UseDPDF=Y")</f>
        <v>—</v>
      </c>
      <c r="G28" s="13" t="str">
        <f>_xll.BDH("SRPT US Equity","BS_LT_MARKETABLE_SECURITIES","FQ4 2019","FQ4 2019","Currency=USD","Period=FQ","BEST_FPERIOD_OVERRIDE=FQ","FILING_STATUS=MR","SCALING_FORMAT=MLN","Sort=A","Dates=H","DateFormat=P","Fill=—","Direction=H","UseDPDF=Y")</f>
        <v>—</v>
      </c>
      <c r="H28" s="13">
        <f>_xll.BDH("SRPT US Equity","BS_LT_MARKETABLE_SECURITIES","FQ1 2020","FQ1 2020","Currency=USD","Period=FQ","BEST_FPERIOD_OVERRIDE=FQ","FILING_STATUS=MR","SCALING_FORMAT=MLN","Sort=A","Dates=H","DateFormat=P","Fill=—","Direction=H","UseDPDF=Y")</f>
        <v>9.5660000000000007</v>
      </c>
      <c r="I28" s="13">
        <f>_xll.BDH("SRPT US Equity","BS_LT_MARKETABLE_SECURITIES","FQ2 2020","FQ2 2020","Currency=USD","Period=FQ","BEST_FPERIOD_OVERRIDE=FQ","FILING_STATUS=MR","SCALING_FORMAT=MLN","Sort=A","Dates=H","DateFormat=P","Fill=—","Direction=H","UseDPDF=Y")</f>
        <v>9.5660000000000007</v>
      </c>
      <c r="J28" s="13">
        <f>_xll.BDH("SRPT US Equity","BS_LT_MARKETABLE_SECURITIES","FQ3 2020","FQ3 2020","Currency=USD","Period=FQ","BEST_FPERIOD_OVERRIDE=FQ","FILING_STATUS=MR","SCALING_FORMAT=MLN","Sort=A","Dates=H","DateFormat=P","Fill=—","Direction=H","UseDPDF=Y")</f>
        <v>9.5660000000000007</v>
      </c>
      <c r="K28" s="13">
        <f>_xll.BDH("SRPT US Equity","BS_LT_MARKETABLE_SECURITIES","FQ4 2020","FQ4 2020","Currency=USD","Period=FQ","BEST_FPERIOD_OVERRIDE=FQ","FILING_STATUS=MR","SCALING_FORMAT=MLN","Sort=A","Dates=H","DateFormat=P","Fill=—","Direction=H","UseDPDF=Y")</f>
        <v>9.3149999999999995</v>
      </c>
      <c r="L28" s="13">
        <f>_xll.BDH("SRPT US Equity","BS_LT_MARKETABLE_SECURITIES","FQ1 2021","FQ1 2021","Currency=USD","Period=FQ","BEST_FPERIOD_OVERRIDE=FQ","FILING_STATUS=MR","SCALING_FORMAT=MLN","Sort=A","Dates=H","DateFormat=P","Fill=—","Direction=H","UseDPDF=Y")</f>
        <v>9.3149999999999995</v>
      </c>
      <c r="M28" s="13">
        <f>_xll.BDH("SRPT US Equity","BS_LT_MARKETABLE_SECURITIES","FQ2 2021","FQ2 2021","Currency=USD","Period=FQ","BEST_FPERIOD_OVERRIDE=FQ","FILING_STATUS=MR","SCALING_FORMAT=MLN","Sort=A","Dates=H","DateFormat=P","Fill=—","Direction=H","UseDPDF=Y")</f>
        <v>9.3149999999999995</v>
      </c>
      <c r="N28" s="13">
        <f>_xll.BDH("SRPT US Equity","BS_LT_MARKETABLE_SECURITIES","FQ3 2021","FQ3 2021","Currency=USD","Period=FQ","BEST_FPERIOD_OVERRIDE=FQ","FILING_STATUS=MR","SCALING_FORMAT=MLN","Sort=A","Dates=H","DateFormat=P","Fill=—","Direction=H","UseDPDF=Y")</f>
        <v>9.3149999999999995</v>
      </c>
      <c r="O28" s="13">
        <f>_xll.BDH("SRPT US Equity","BS_LT_MARKETABLE_SECURITIES","FQ4 2021","FQ4 2021","Currency=USD","Period=FQ","BEST_FPERIOD_OVERRIDE=FQ","FILING_STATUS=MR","SCALING_FORMAT=MLN","Sort=A","Dates=H","DateFormat=P","Fill=—","Direction=H","UseDPDF=Y")</f>
        <v>9.9039999999999999</v>
      </c>
      <c r="P28" s="13">
        <f>_xll.BDH("SRPT US Equity","BS_LT_MARKETABLE_SECURITIES","FQ1 2022","FQ1 2022","Currency=USD","Period=FQ","BEST_FPERIOD_OVERRIDE=FQ","FILING_STATUS=MR","SCALING_FORMAT=MLN","Sort=A","Dates=H","DateFormat=P","Fill=—","Direction=H","UseDPDF=Y")</f>
        <v>9.6539999999999999</v>
      </c>
      <c r="Q28" s="13">
        <f>_xll.BDH("SRPT US Equity","BS_LT_MARKETABLE_SECURITIES","FQ2 2022","FQ2 2022","Currency=USD","Period=FQ","BEST_FPERIOD_OVERRIDE=FQ","FILING_STATUS=MR","SCALING_FORMAT=MLN","Sort=A","Dates=H","DateFormat=P","Fill=—","Direction=H","UseDPDF=Y")</f>
        <v>18.498999999999999</v>
      </c>
      <c r="R28" s="13">
        <f>_xll.BDH("SRPT US Equity","BS_LT_MARKETABLE_SECURITIES","FQ3 2022","FQ3 2022","Currency=USD","Period=FQ","BEST_FPERIOD_OVERRIDE=FQ","FILING_STATUS=MR","SCALING_FORMAT=MLN","Sort=A","Dates=H","DateFormat=P","Fill=—","Direction=H","UseDPDF=Y")</f>
        <v>19.024000000000001</v>
      </c>
      <c r="S28" s="13">
        <f>_xll.BDH("SRPT US Equity","BS_LT_MARKETABLE_SECURITIES","FQ4 2022","FQ4 2022","Currency=USD","Period=FQ","BEST_FPERIOD_OVERRIDE=FQ","FILING_STATUS=MR","SCALING_FORMAT=MLN","Sort=A","Dates=H","DateFormat=P","Fill=—","Direction=H","UseDPDF=Y")</f>
        <v>19.024000000000001</v>
      </c>
      <c r="T28" s="13">
        <f>_xll.BDH("SRPT US Equity","BS_LT_MARKETABLE_SECURITIES","FQ1 2023","FQ1 2023","Currency=USD","Period=FQ","BEST_FPERIOD_OVERRIDE=FQ","FILING_STATUS=MR","SCALING_FORMAT=MLN","Sort=A","Dates=H","DateFormat=P","Fill=—","Direction=H","UseDPDF=Y")</f>
        <v>19.024000000000001</v>
      </c>
      <c r="U28" s="13">
        <f>_xll.BDH("SRPT US Equity","BS_LT_MARKETABLE_SECURITIES","FQ2 2023","FQ2 2023","Currency=USD","Period=FQ","BEST_FPERIOD_OVERRIDE=FQ","FILING_STATUS=MR","SCALING_FORMAT=MLN","Sort=A","Dates=H","DateFormat=P","Fill=—","Direction=H","UseDPDF=Y")</f>
        <v>19.024000000000001</v>
      </c>
      <c r="V28" s="13">
        <f>_xll.BDH("SRPT US Equity","BS_LT_MARKETABLE_SECURITIES","FQ3 2023","FQ3 2023","Currency=USD","Period=FQ","BEST_FPERIOD_OVERRIDE=FQ","FILING_STATUS=MR","SCALING_FORMAT=MLN","Sort=A","Dates=H","DateFormat=P","Fill=—","Direction=H","UseDPDF=Y")</f>
        <v>7.5</v>
      </c>
      <c r="W28" s="13">
        <f>_xll.BDH("SRPT US Equity","BS_LT_MARKETABLE_SECURITIES","FQ4 2023","FQ4 2023","Currency=USD","Period=FQ","BEST_FPERIOD_OVERRIDE=FQ","FILING_STATUS=MR","SCALING_FORMAT=MLN","Sort=A","Dates=H","DateFormat=P","Fill=—","Direction=H","UseDPDF=Y")</f>
        <v>6.5270000000000001</v>
      </c>
      <c r="X28" s="13">
        <f>_xll.BDH("SRPT US Equity","BS_LT_MARKETABLE_SECURITIES","FQ1 2024","FQ1 2024","Currency=USD","Period=FQ","BEST_FPERIOD_OVERRIDE=FQ","FILING_STATUS=MR","SCALING_FORMAT=MLN","Sort=A","Dates=H","DateFormat=P","Fill=—","Direction=H","UseDPDF=Y")</f>
        <v>15.579000000000001</v>
      </c>
      <c r="Y28" s="13">
        <f>_xll.BDH("SRPT US Equity","BS_LT_MARKETABLE_SECURITIES","FQ2 2024","FQ2 2024","Currency=USD","Period=FQ","BEST_FPERIOD_OVERRIDE=FQ","FILING_STATUS=MR","SCALING_FORMAT=MLN","Sort=A","Dates=H","DateFormat=P","Fill=—","Direction=H","UseDPDF=Y")</f>
        <v>15.579000000000001</v>
      </c>
      <c r="Z28" s="13">
        <f>_xll.BDH("SRPT US Equity","BS_LT_MARKETABLE_SECURITIES","FQ3 2024","FQ3 2024","Currency=USD","Period=FQ","BEST_FPERIOD_OVERRIDE=FQ","FILING_STATUS=MR","SCALING_FORMAT=MLN","Sort=A","Dates=H","DateFormat=P","Fill=—","Direction=H","UseDPDF=Y")</f>
        <v>4.7229999999999999</v>
      </c>
      <c r="AA28" s="13">
        <f>_xll.BDH("SRPT US Equity","BS_LT_MARKETABLE_SECURITIES","FQ4 2024","FQ4 2024","Currency=USD","Period=FQ","BEST_FPERIOD_OVERRIDE=FQ","FILING_STATUS=MR","SCALING_FORMAT=MLN","Sort=A","Dates=H","DateFormat=P","Fill=—","Direction=H","UseDPDF=Y")</f>
        <v>3.71</v>
      </c>
    </row>
    <row r="29" spans="1:27" x14ac:dyDescent="0.25">
      <c r="A29" s="10" t="s">
        <v>733</v>
      </c>
      <c r="B29" s="10" t="s">
        <v>734</v>
      </c>
      <c r="C29" s="13" t="str">
        <f>_xll.BDH("SRPT US Equity","BS_LT_RECEIVABLES","FQ4 2018","FQ4 2018","Currency=USD","Period=FQ","BEST_FPERIOD_OVERRIDE=FQ","FILING_STATUS=MR","SCALING_FORMAT=MLN","Sort=A","Dates=H","DateFormat=P","Fill=—","Direction=H","UseDPDF=Y")</f>
        <v>—</v>
      </c>
      <c r="D29" s="13" t="str">
        <f>_xll.BDH("SRPT US Equity","BS_LT_RECEIVABLES","FQ1 2019","FQ1 2019","Currency=USD","Period=FQ","BEST_FPERIOD_OVERRIDE=FQ","FILING_STATUS=MR","SCALING_FORMAT=MLN","Sort=A","Dates=H","DateFormat=P","Fill=—","Direction=H","UseDPDF=Y")</f>
        <v>—</v>
      </c>
      <c r="E29" s="13" t="str">
        <f>_xll.BDH("SRPT US Equity","BS_LT_RECEIVABLES","FQ2 2019","FQ2 2019","Currency=USD","Period=FQ","BEST_FPERIOD_OVERRIDE=FQ","FILING_STATUS=MR","SCALING_FORMAT=MLN","Sort=A","Dates=H","DateFormat=P","Fill=—","Direction=H","UseDPDF=Y")</f>
        <v>—</v>
      </c>
      <c r="F29" s="13" t="str">
        <f>_xll.BDH("SRPT US Equity","BS_LT_RECEIVABLES","FQ3 2019","FQ3 2019","Currency=USD","Period=FQ","BEST_FPERIOD_OVERRIDE=FQ","FILING_STATUS=MR","SCALING_FORMAT=MLN","Sort=A","Dates=H","DateFormat=P","Fill=—","Direction=H","UseDPDF=Y")</f>
        <v>—</v>
      </c>
      <c r="G29" s="13" t="str">
        <f>_xll.BDH("SRPT US Equity","BS_LT_RECEIVABLES","FQ4 2019","FQ4 2019","Currency=USD","Period=FQ","BEST_FPERIOD_OVERRIDE=FQ","FILING_STATUS=MR","SCALING_FORMAT=MLN","Sort=A","Dates=H","DateFormat=P","Fill=—","Direction=H","UseDPDF=Y")</f>
        <v>—</v>
      </c>
      <c r="H29" s="13">
        <f>_xll.BDH("SRPT US Equity","BS_LT_RECEIVABLES","FQ1 2020","FQ1 2020","Currency=USD","Period=FQ","BEST_FPERIOD_OVERRIDE=FQ","FILING_STATUS=MR","SCALING_FORMAT=MLN","Sort=A","Dates=H","DateFormat=P","Fill=—","Direction=H","UseDPDF=Y")</f>
        <v>2.415</v>
      </c>
      <c r="I29" s="13">
        <f>_xll.BDH("SRPT US Equity","BS_LT_RECEIVABLES","FQ2 2020","FQ2 2020","Currency=USD","Period=FQ","BEST_FPERIOD_OVERRIDE=FQ","FILING_STATUS=MR","SCALING_FORMAT=MLN","Sort=A","Dates=H","DateFormat=P","Fill=—","Direction=H","UseDPDF=Y")</f>
        <v>2.0369999999999999</v>
      </c>
      <c r="J29" s="13">
        <f>_xll.BDH("SRPT US Equity","BS_LT_RECEIVABLES","FQ3 2020","FQ3 2020","Currency=USD","Period=FQ","BEST_FPERIOD_OVERRIDE=FQ","FILING_STATUS=MR","SCALING_FORMAT=MLN","Sort=A","Dates=H","DateFormat=P","Fill=—","Direction=H","UseDPDF=Y")</f>
        <v>2.6320000000000001</v>
      </c>
      <c r="K29" s="13">
        <f>_xll.BDH("SRPT US Equity","BS_LT_RECEIVABLES","FQ4 2020","FQ4 2020","Currency=USD","Period=FQ","BEST_FPERIOD_OVERRIDE=FQ","FILING_STATUS=MR","SCALING_FORMAT=MLN","Sort=A","Dates=H","DateFormat=P","Fill=—","Direction=H","UseDPDF=Y")</f>
        <v>3.669</v>
      </c>
      <c r="L29" s="13">
        <f>_xll.BDH("SRPT US Equity","BS_LT_RECEIVABLES","FQ1 2021","FQ1 2021","Currency=USD","Period=FQ","BEST_FPERIOD_OVERRIDE=FQ","FILING_STATUS=MR","SCALING_FORMAT=MLN","Sort=A","Dates=H","DateFormat=P","Fill=—","Direction=H","UseDPDF=Y")</f>
        <v>3.0920000000000001</v>
      </c>
      <c r="M29" s="13">
        <f>_xll.BDH("SRPT US Equity","BS_LT_RECEIVABLES","FQ2 2021","FQ2 2021","Currency=USD","Period=FQ","BEST_FPERIOD_OVERRIDE=FQ","FILING_STATUS=MR","SCALING_FORMAT=MLN","Sort=A","Dates=H","DateFormat=P","Fill=—","Direction=H","UseDPDF=Y")</f>
        <v>3.4159999999999999</v>
      </c>
      <c r="N29" s="13">
        <f>_xll.BDH("SRPT US Equity","BS_LT_RECEIVABLES","FQ3 2021","FQ3 2021","Currency=USD","Period=FQ","BEST_FPERIOD_OVERRIDE=FQ","FILING_STATUS=MR","SCALING_FORMAT=MLN","Sort=A","Dates=H","DateFormat=P","Fill=—","Direction=H","UseDPDF=Y")</f>
        <v>3.4710000000000001</v>
      </c>
      <c r="O29" s="13">
        <f>_xll.BDH("SRPT US Equity","BS_LT_RECEIVABLES","FQ4 2021","FQ4 2021","Currency=USD","Period=FQ","BEST_FPERIOD_OVERRIDE=FQ","FILING_STATUS=MR","SCALING_FORMAT=MLN","Sort=A","Dates=H","DateFormat=P","Fill=—","Direction=H","UseDPDF=Y")</f>
        <v>3.86</v>
      </c>
      <c r="P29" s="13">
        <f>_xll.BDH("SRPT US Equity","BS_LT_RECEIVABLES","FQ1 2022","FQ1 2022","Currency=USD","Period=FQ","BEST_FPERIOD_OVERRIDE=FQ","FILING_STATUS=MR","SCALING_FORMAT=MLN","Sort=A","Dates=H","DateFormat=P","Fill=—","Direction=H","UseDPDF=Y")</f>
        <v>3.7349999999999999</v>
      </c>
      <c r="Q29" s="13">
        <f>_xll.BDH("SRPT US Equity","BS_LT_RECEIVABLES","FQ2 2022","FQ2 2022","Currency=USD","Period=FQ","BEST_FPERIOD_OVERRIDE=FQ","FILING_STATUS=MR","SCALING_FORMAT=MLN","Sort=A","Dates=H","DateFormat=P","Fill=—","Direction=H","UseDPDF=Y")</f>
        <v>3.5430000000000001</v>
      </c>
      <c r="R29" s="13">
        <f>_xll.BDH("SRPT US Equity","BS_LT_RECEIVABLES","FQ3 2022","FQ3 2022","Currency=USD","Period=FQ","BEST_FPERIOD_OVERRIDE=FQ","FILING_STATUS=MR","SCALING_FORMAT=MLN","Sort=A","Dates=H","DateFormat=P","Fill=—","Direction=H","UseDPDF=Y")</f>
        <v>4.22</v>
      </c>
      <c r="S29" s="13">
        <f>_xll.BDH("SRPT US Equity","BS_LT_RECEIVABLES","FQ4 2022","FQ4 2022","Currency=USD","Period=FQ","BEST_FPERIOD_OVERRIDE=FQ","FILING_STATUS=MR","SCALING_FORMAT=MLN","Sort=A","Dates=H","DateFormat=P","Fill=—","Direction=H","UseDPDF=Y")</f>
        <v>5.4870000000000001</v>
      </c>
      <c r="T29" s="13">
        <f>_xll.BDH("SRPT US Equity","BS_LT_RECEIVABLES","FQ1 2023","FQ1 2023","Currency=USD","Period=FQ","BEST_FPERIOD_OVERRIDE=FQ","FILING_STATUS=MR","SCALING_FORMAT=MLN","Sort=A","Dates=H","DateFormat=P","Fill=—","Direction=H","UseDPDF=Y")</f>
        <v>8.5690000000000008</v>
      </c>
      <c r="U29" s="13">
        <f>_xll.BDH("SRPT US Equity","BS_LT_RECEIVABLES","FQ2 2023","FQ2 2023","Currency=USD","Period=FQ","BEST_FPERIOD_OVERRIDE=FQ","FILING_STATUS=MR","SCALING_FORMAT=MLN","Sort=A","Dates=H","DateFormat=P","Fill=—","Direction=H","UseDPDF=Y")</f>
        <v>9.3219999999999992</v>
      </c>
      <c r="V29" s="13">
        <f>_xll.BDH("SRPT US Equity","BS_LT_RECEIVABLES","FQ3 2023","FQ3 2023","Currency=USD","Period=FQ","BEST_FPERIOD_OVERRIDE=FQ","FILING_STATUS=MR","SCALING_FORMAT=MLN","Sort=A","Dates=H","DateFormat=P","Fill=—","Direction=H","UseDPDF=Y")</f>
        <v>13.669</v>
      </c>
      <c r="W29" s="13">
        <f>_xll.BDH("SRPT US Equity","BS_LT_RECEIVABLES","FQ4 2023","FQ4 2023","Currency=USD","Period=FQ","BEST_FPERIOD_OVERRIDE=FQ","FILING_STATUS=MR","SCALING_FORMAT=MLN","Sort=A","Dates=H","DateFormat=P","Fill=—","Direction=H","UseDPDF=Y")</f>
        <v>3.242</v>
      </c>
      <c r="X29" s="13">
        <f>_xll.BDH("SRPT US Equity","BS_LT_RECEIVABLES","FQ1 2024","FQ1 2024","Currency=USD","Period=FQ","BEST_FPERIOD_OVERRIDE=FQ","FILING_STATUS=MR","SCALING_FORMAT=MLN","Sort=A","Dates=H","DateFormat=P","Fill=—","Direction=H","UseDPDF=Y")</f>
        <v>4.569</v>
      </c>
      <c r="Y29" s="13">
        <f>_xll.BDH("SRPT US Equity","BS_LT_RECEIVABLES","FQ2 2024","FQ2 2024","Currency=USD","Period=FQ","BEST_FPERIOD_OVERRIDE=FQ","FILING_STATUS=MR","SCALING_FORMAT=MLN","Sort=A","Dates=H","DateFormat=P","Fill=—","Direction=H","UseDPDF=Y")</f>
        <v>3.1440000000000001</v>
      </c>
      <c r="Z29" s="13">
        <f>_xll.BDH("SRPT US Equity","BS_LT_RECEIVABLES","FQ3 2024","FQ3 2024","Currency=USD","Period=FQ","BEST_FPERIOD_OVERRIDE=FQ","FILING_STATUS=MR","SCALING_FORMAT=MLN","Sort=A","Dates=H","DateFormat=P","Fill=—","Direction=H","UseDPDF=Y")</f>
        <v>3.653</v>
      </c>
      <c r="AA29" s="13">
        <f>_xll.BDH("SRPT US Equity","BS_LT_RECEIVABLES","FQ4 2024","FQ4 2024","Currency=USD","Period=FQ","BEST_FPERIOD_OVERRIDE=FQ","FILING_STATUS=MR","SCALING_FORMAT=MLN","Sort=A","Dates=H","DateFormat=P","Fill=—","Direction=H","UseDPDF=Y")</f>
        <v>3.3940000000000001</v>
      </c>
    </row>
    <row r="30" spans="1:27" x14ac:dyDescent="0.25">
      <c r="A30" s="10" t="s">
        <v>735</v>
      </c>
      <c r="B30" s="10" t="s">
        <v>736</v>
      </c>
      <c r="C30" s="13">
        <f>_xll.BDH("SRPT US Equity","BS_OTHER_ASSETS_DEF_CHRG_OTHER","FQ4 2018","FQ4 2018","Currency=USD","Period=FQ","BEST_FPERIOD_OVERRIDE=FQ","FILING_STATUS=MR","SCALING_FORMAT=MLN","Sort=A","Dates=H","DateFormat=P","Fill=—","Direction=H","UseDPDF=Y")</f>
        <v>118.86799999999999</v>
      </c>
      <c r="D30" s="13">
        <f>_xll.BDH("SRPT US Equity","BS_OTHER_ASSETS_DEF_CHRG_OTHER","FQ1 2019","FQ1 2019","Currency=USD","Period=FQ","BEST_FPERIOD_OVERRIDE=FQ","FILING_STATUS=MR","SCALING_FORMAT=MLN","Sort=A","Dates=H","DateFormat=P","Fill=—","Direction=H","UseDPDF=Y")</f>
        <v>145.09399999999999</v>
      </c>
      <c r="E30" s="13">
        <f>_xll.BDH("SRPT US Equity","BS_OTHER_ASSETS_DEF_CHRG_OTHER","FQ2 2019","FQ2 2019","Currency=USD","Period=FQ","BEST_FPERIOD_OVERRIDE=FQ","FILING_STATUS=MR","SCALING_FORMAT=MLN","Sort=A","Dates=H","DateFormat=P","Fill=—","Direction=H","UseDPDF=Y")</f>
        <v>163.685</v>
      </c>
      <c r="F30" s="13">
        <f>_xll.BDH("SRPT US Equity","BS_OTHER_ASSETS_DEF_CHRG_OTHER","FQ3 2019","FQ3 2019","Currency=USD","Period=FQ","BEST_FPERIOD_OVERRIDE=FQ","FILING_STATUS=MR","SCALING_FORMAT=MLN","Sort=A","Dates=H","DateFormat=P","Fill=—","Direction=H","UseDPDF=Y")</f>
        <v>149.31200000000001</v>
      </c>
      <c r="G30" s="13">
        <f>_xll.BDH("SRPT US Equity","BS_OTHER_ASSETS_DEF_CHRG_OTHER","FQ4 2019","FQ4 2019","Currency=USD","Period=FQ","BEST_FPERIOD_OVERRIDE=FQ","FILING_STATUS=MR","SCALING_FORMAT=MLN","Sort=A","Dates=H","DateFormat=P","Fill=—","Direction=H","UseDPDF=Y")</f>
        <v>154.41900000000001</v>
      </c>
      <c r="H30" s="13">
        <f>_xll.BDH("SRPT US Equity","BS_OTHER_ASSETS_DEF_CHRG_OTHER","FQ1 2020","FQ1 2020","Currency=USD","Period=FQ","BEST_FPERIOD_OVERRIDE=FQ","FILING_STATUS=MR","SCALING_FORMAT=MLN","Sort=A","Dates=H","DateFormat=P","Fill=—","Direction=H","UseDPDF=Y")</f>
        <v>163.506</v>
      </c>
      <c r="I30" s="13">
        <f>_xll.BDH("SRPT US Equity","BS_OTHER_ASSETS_DEF_CHRG_OTHER","FQ2 2020","FQ2 2020","Currency=USD","Period=FQ","BEST_FPERIOD_OVERRIDE=FQ","FILING_STATUS=MR","SCALING_FORMAT=MLN","Sort=A","Dates=H","DateFormat=P","Fill=—","Direction=H","UseDPDF=Y")</f>
        <v>160.70400000000001</v>
      </c>
      <c r="J30" s="13">
        <f>_xll.BDH("SRPT US Equity","BS_OTHER_ASSETS_DEF_CHRG_OTHER","FQ3 2020","FQ3 2020","Currency=USD","Period=FQ","BEST_FPERIOD_OVERRIDE=FQ","FILING_STATUS=MR","SCALING_FORMAT=MLN","Sort=A","Dates=H","DateFormat=P","Fill=—","Direction=H","UseDPDF=Y")</f>
        <v>179.79</v>
      </c>
      <c r="K30" s="13">
        <f>_xll.BDH("SRPT US Equity","BS_OTHER_ASSETS_DEF_CHRG_OTHER","FQ4 2020","FQ4 2020","Currency=USD","Period=FQ","BEST_FPERIOD_OVERRIDE=FQ","FILING_STATUS=MR","SCALING_FORMAT=MLN","Sort=A","Dates=H","DateFormat=P","Fill=—","Direction=H","UseDPDF=Y")</f>
        <v>174.863</v>
      </c>
      <c r="L30" s="13">
        <f>_xll.BDH("SRPT US Equity","BS_OTHER_ASSETS_DEF_CHRG_OTHER","FQ1 2021","FQ1 2021","Currency=USD","Period=FQ","BEST_FPERIOD_OVERRIDE=FQ","FILING_STATUS=MR","SCALING_FORMAT=MLN","Sort=A","Dates=H","DateFormat=P","Fill=—","Direction=H","UseDPDF=Y")</f>
        <v>181.976</v>
      </c>
      <c r="M30" s="13">
        <f>_xll.BDH("SRPT US Equity","BS_OTHER_ASSETS_DEF_CHRG_OTHER","FQ2 2021","FQ2 2021","Currency=USD","Period=FQ","BEST_FPERIOD_OVERRIDE=FQ","FILING_STATUS=MR","SCALING_FORMAT=MLN","Sort=A","Dates=H","DateFormat=P","Fill=—","Direction=H","UseDPDF=Y")</f>
        <v>174.27099999999999</v>
      </c>
      <c r="N30" s="13">
        <f>_xll.BDH("SRPT US Equity","BS_OTHER_ASSETS_DEF_CHRG_OTHER","FQ3 2021","FQ3 2021","Currency=USD","Period=FQ","BEST_FPERIOD_OVERRIDE=FQ","FILING_STATUS=MR","SCALING_FORMAT=MLN","Sort=A","Dates=H","DateFormat=P","Fill=—","Direction=H","UseDPDF=Y")</f>
        <v>166.23699999999999</v>
      </c>
      <c r="O30" s="13">
        <f>_xll.BDH("SRPT US Equity","BS_OTHER_ASSETS_DEF_CHRG_OTHER","FQ4 2021","FQ4 2021","Currency=USD","Period=FQ","BEST_FPERIOD_OVERRIDE=FQ","FILING_STATUS=MR","SCALING_FORMAT=MLN","Sort=A","Dates=H","DateFormat=P","Fill=—","Direction=H","UseDPDF=Y")</f>
        <v>268.43599999999998</v>
      </c>
      <c r="P30" s="13">
        <f>_xll.BDH("SRPT US Equity","BS_OTHER_ASSETS_DEF_CHRG_OTHER","FQ1 2022","FQ1 2022","Currency=USD","Period=FQ","BEST_FPERIOD_OVERRIDE=FQ","FILING_STATUS=MR","SCALING_FORMAT=MLN","Sort=A","Dates=H","DateFormat=P","Fill=—","Direction=H","UseDPDF=Y")</f>
        <v>254.84800000000001</v>
      </c>
      <c r="Q30" s="13">
        <f>_xll.BDH("SRPT US Equity","BS_OTHER_ASSETS_DEF_CHRG_OTHER","FQ2 2022","FQ2 2022","Currency=USD","Period=FQ","BEST_FPERIOD_OVERRIDE=FQ","FILING_STATUS=MR","SCALING_FORMAT=MLN","Sort=A","Dates=H","DateFormat=P","Fill=—","Direction=H","UseDPDF=Y")</f>
        <v>260.48500000000001</v>
      </c>
      <c r="R30" s="13">
        <f>_xll.BDH("SRPT US Equity","BS_OTHER_ASSETS_DEF_CHRG_OTHER","FQ3 2022","FQ3 2022","Currency=USD","Period=FQ","BEST_FPERIOD_OVERRIDE=FQ","FILING_STATUS=MR","SCALING_FORMAT=MLN","Sort=A","Dates=H","DateFormat=P","Fill=—","Direction=H","UseDPDF=Y")</f>
        <v>268.71699999999998</v>
      </c>
      <c r="S30" s="13">
        <f>_xll.BDH("SRPT US Equity","BS_OTHER_ASSETS_DEF_CHRG_OTHER","FQ4 2022","FQ4 2022","Currency=USD","Period=FQ","BEST_FPERIOD_OVERRIDE=FQ","FILING_STATUS=MR","SCALING_FORMAT=MLN","Sort=A","Dates=H","DateFormat=P","Fill=—","Direction=H","UseDPDF=Y")</f>
        <v>265.11900000000003</v>
      </c>
      <c r="T30" s="13">
        <f>_xll.BDH("SRPT US Equity","BS_OTHER_ASSETS_DEF_CHRG_OTHER","FQ1 2023","FQ1 2023","Currency=USD","Period=FQ","BEST_FPERIOD_OVERRIDE=FQ","FILING_STATUS=MR","SCALING_FORMAT=MLN","Sort=A","Dates=H","DateFormat=P","Fill=—","Direction=H","UseDPDF=Y")</f>
        <v>286.96199999999999</v>
      </c>
      <c r="U30" s="13">
        <f>_xll.BDH("SRPT US Equity","BS_OTHER_ASSETS_DEF_CHRG_OTHER","FQ2 2023","FQ2 2023","Currency=USD","Period=FQ","BEST_FPERIOD_OVERRIDE=FQ","FILING_STATUS=MR","SCALING_FORMAT=MLN","Sort=A","Dates=H","DateFormat=P","Fill=—","Direction=H","UseDPDF=Y")</f>
        <v>289.35199999999998</v>
      </c>
      <c r="V30" s="13">
        <f>_xll.BDH("SRPT US Equity","BS_OTHER_ASSETS_DEF_CHRG_OTHER","FQ3 2023","FQ3 2023","Currency=USD","Period=FQ","BEST_FPERIOD_OVERRIDE=FQ","FILING_STATUS=MR","SCALING_FORMAT=MLN","Sort=A","Dates=H","DateFormat=P","Fill=—","Direction=H","UseDPDF=Y")</f>
        <v>280.21899999999999</v>
      </c>
      <c r="W30" s="13">
        <f>_xll.BDH("SRPT US Equity","BS_OTHER_ASSETS_DEF_CHRG_OTHER","FQ4 2023","FQ4 2023","Currency=USD","Period=FQ","BEST_FPERIOD_OVERRIDE=FQ","FILING_STATUS=MR","SCALING_FORMAT=MLN","Sort=A","Dates=H","DateFormat=P","Fill=—","Direction=H","UseDPDF=Y")</f>
        <v>309.31799999999998</v>
      </c>
      <c r="X30" s="13">
        <f>_xll.BDH("SRPT US Equity","BS_OTHER_ASSETS_DEF_CHRG_OTHER","FQ1 2024","FQ1 2024","Currency=USD","Period=FQ","BEST_FPERIOD_OVERRIDE=FQ","FILING_STATUS=MR","SCALING_FORMAT=MLN","Sort=A","Dates=H","DateFormat=P","Fill=—","Direction=H","UseDPDF=Y")</f>
        <v>338.00400000000002</v>
      </c>
      <c r="Y30" s="13">
        <f>_xll.BDH("SRPT US Equity","BS_OTHER_ASSETS_DEF_CHRG_OTHER","FQ2 2024","FQ2 2024","Currency=USD","Period=FQ","BEST_FPERIOD_OVERRIDE=FQ","FILING_STATUS=MR","SCALING_FORMAT=MLN","Sort=A","Dates=H","DateFormat=P","Fill=—","Direction=H","UseDPDF=Y")</f>
        <v>329.67</v>
      </c>
      <c r="Z30" s="13">
        <f>_xll.BDH("SRPT US Equity","BS_OTHER_ASSETS_DEF_CHRG_OTHER","FQ3 2024","FQ3 2024","Currency=USD","Period=FQ","BEST_FPERIOD_OVERRIDE=FQ","FILING_STATUS=MR","SCALING_FORMAT=MLN","Sort=A","Dates=H","DateFormat=P","Fill=—","Direction=H","UseDPDF=Y")</f>
        <v>282.45600000000002</v>
      </c>
      <c r="AA30" s="13">
        <f>_xll.BDH("SRPT US Equity","BS_OTHER_ASSETS_DEF_CHRG_OTHER","FQ4 2024","FQ4 2024","Currency=USD","Period=FQ","BEST_FPERIOD_OVERRIDE=FQ","FILING_STATUS=MR","SCALING_FORMAT=MLN","Sort=A","Dates=H","DateFormat=P","Fill=—","Direction=H","UseDPDF=Y")</f>
        <v>264.50700000000001</v>
      </c>
    </row>
    <row r="31" spans="1:27" x14ac:dyDescent="0.25">
      <c r="A31" s="10" t="s">
        <v>737</v>
      </c>
      <c r="B31" s="10" t="s">
        <v>738</v>
      </c>
      <c r="C31" s="13">
        <f>_xll.BDH("SRPT US Equity","BS_DISCLOSED_INTANGIBLES","FQ4 2018","FQ4 2018","Currency=USD","Period=FQ","BEST_FPERIOD_OVERRIDE=FQ","FILING_STATUS=MR","SCALING_FORMAT=MLN","Sort=A","Dates=H","DateFormat=P","Fill=—","Direction=H","UseDPDF=Y")</f>
        <v>11.574</v>
      </c>
      <c r="D31" s="13">
        <f>_xll.BDH("SRPT US Equity","BS_DISCLOSED_INTANGIBLES","FQ1 2019","FQ1 2019","Currency=USD","Period=FQ","BEST_FPERIOD_OVERRIDE=FQ","FILING_STATUS=MR","SCALING_FORMAT=MLN","Sort=A","Dates=H","DateFormat=P","Fill=—","Direction=H","UseDPDF=Y")</f>
        <v>11.781000000000001</v>
      </c>
      <c r="E31" s="13">
        <f>_xll.BDH("SRPT US Equity","BS_DISCLOSED_INTANGIBLES","FQ2 2019","FQ2 2019","Currency=USD","Period=FQ","BEST_FPERIOD_OVERRIDE=FQ","FILING_STATUS=MR","SCALING_FORMAT=MLN","Sort=A","Dates=H","DateFormat=P","Fill=—","Direction=H","UseDPDF=Y")</f>
        <v>11.824999999999999</v>
      </c>
      <c r="F31" s="13">
        <f>_xll.BDH("SRPT US Equity","BS_DISCLOSED_INTANGIBLES","FQ3 2019","FQ3 2019","Currency=USD","Period=FQ","BEST_FPERIOD_OVERRIDE=FQ","FILING_STATUS=MR","SCALING_FORMAT=MLN","Sort=A","Dates=H","DateFormat=P","Fill=—","Direction=H","UseDPDF=Y")</f>
        <v>11.975</v>
      </c>
      <c r="G31" s="13">
        <f>_xll.BDH("SRPT US Equity","BS_DISCLOSED_INTANGIBLES","FQ4 2019","FQ4 2019","Currency=USD","Period=FQ","BEST_FPERIOD_OVERRIDE=FQ","FILING_STATUS=MR","SCALING_FORMAT=MLN","Sort=A","Dates=H","DateFormat=P","Fill=—","Direction=H","UseDPDF=Y")</f>
        <v>12.497</v>
      </c>
      <c r="H31" s="13">
        <f>_xll.BDH("SRPT US Equity","BS_DISCLOSED_INTANGIBLES","FQ1 2020","FQ1 2020","Currency=USD","Period=FQ","BEST_FPERIOD_OVERRIDE=FQ","FILING_STATUS=MR","SCALING_FORMAT=MLN","Sort=A","Dates=H","DateFormat=P","Fill=—","Direction=H","UseDPDF=Y")</f>
        <v>12.813000000000001</v>
      </c>
      <c r="I31" s="13">
        <f>_xll.BDH("SRPT US Equity","BS_DISCLOSED_INTANGIBLES","FQ2 2020","FQ2 2020","Currency=USD","Period=FQ","BEST_FPERIOD_OVERRIDE=FQ","FILING_STATUS=MR","SCALING_FORMAT=MLN","Sort=A","Dates=H","DateFormat=P","Fill=—","Direction=H","UseDPDF=Y")</f>
        <v>13.105</v>
      </c>
      <c r="J31" s="13">
        <f>_xll.BDH("SRPT US Equity","BS_DISCLOSED_INTANGIBLES","FQ3 2020","FQ3 2020","Currency=USD","Period=FQ","BEST_FPERIOD_OVERRIDE=FQ","FILING_STATUS=MR","SCALING_FORMAT=MLN","Sort=A","Dates=H","DateFormat=P","Fill=—","Direction=H","UseDPDF=Y")</f>
        <v>13.343999999999999</v>
      </c>
      <c r="K31" s="13">
        <f>_xll.BDH("SRPT US Equity","BS_DISCLOSED_INTANGIBLES","FQ4 2020","FQ4 2020","Currency=USD","Period=FQ","BEST_FPERIOD_OVERRIDE=FQ","FILING_STATUS=MR","SCALING_FORMAT=MLN","Sort=A","Dates=H","DateFormat=P","Fill=—","Direction=H","UseDPDF=Y")</f>
        <v>13.628</v>
      </c>
      <c r="L31" s="13">
        <f>_xll.BDH("SRPT US Equity","BS_DISCLOSED_INTANGIBLES","FQ1 2021","FQ1 2021","Currency=USD","Period=FQ","BEST_FPERIOD_OVERRIDE=FQ","FILING_STATUS=MR","SCALING_FORMAT=MLN","Sort=A","Dates=H","DateFormat=P","Fill=—","Direction=H","UseDPDF=Y")</f>
        <v>14.124000000000001</v>
      </c>
      <c r="M31" s="13">
        <f>_xll.BDH("SRPT US Equity","BS_DISCLOSED_INTANGIBLES","FQ2 2021","FQ2 2021","Currency=USD","Period=FQ","BEST_FPERIOD_OVERRIDE=FQ","FILING_STATUS=MR","SCALING_FORMAT=MLN","Sort=A","Dates=H","DateFormat=P","Fill=—","Direction=H","UseDPDF=Y")</f>
        <v>14.105</v>
      </c>
      <c r="N31" s="13">
        <f>_xll.BDH("SRPT US Equity","BS_DISCLOSED_INTANGIBLES","FQ3 2021","FQ3 2021","Currency=USD","Period=FQ","BEST_FPERIOD_OVERRIDE=FQ","FILING_STATUS=MR","SCALING_FORMAT=MLN","Sort=A","Dates=H","DateFormat=P","Fill=—","Direction=H","UseDPDF=Y")</f>
        <v>14.204000000000001</v>
      </c>
      <c r="O31" s="13">
        <f>_xll.BDH("SRPT US Equity","BS_DISCLOSED_INTANGIBLES","FQ4 2021","FQ4 2021","Currency=USD","Period=FQ","BEST_FPERIOD_OVERRIDE=FQ","FILING_STATUS=MR","SCALING_FORMAT=MLN","Sort=A","Dates=H","DateFormat=P","Fill=—","Direction=H","UseDPDF=Y")</f>
        <v>14.239000000000001</v>
      </c>
      <c r="P31" s="13">
        <f>_xll.BDH("SRPT US Equity","BS_DISCLOSED_INTANGIBLES","FQ1 2022","FQ1 2022","Currency=USD","Period=FQ","BEST_FPERIOD_OVERRIDE=FQ","FILING_STATUS=MR","SCALING_FORMAT=MLN","Sort=A","Dates=H","DateFormat=P","Fill=—","Direction=H","UseDPDF=Y")</f>
        <v>13.327999999999999</v>
      </c>
      <c r="Q31" s="13">
        <f>_xll.BDH("SRPT US Equity","BS_DISCLOSED_INTANGIBLES","FQ2 2022","FQ2 2022","Currency=USD","Period=FQ","BEST_FPERIOD_OVERRIDE=FQ","FILING_STATUS=MR","SCALING_FORMAT=MLN","Sort=A","Dates=H","DateFormat=P","Fill=—","Direction=H","UseDPDF=Y")</f>
        <v>13.061999999999999</v>
      </c>
      <c r="R31" s="13">
        <f>_xll.BDH("SRPT US Equity","BS_DISCLOSED_INTANGIBLES","FQ3 2022","FQ3 2022","Currency=USD","Period=FQ","BEST_FPERIOD_OVERRIDE=FQ","FILING_STATUS=MR","SCALING_FORMAT=MLN","Sort=A","Dates=H","DateFormat=P","Fill=—","Direction=H","UseDPDF=Y")</f>
        <v>13.057</v>
      </c>
      <c r="S31" s="13">
        <f>_xll.BDH("SRPT US Equity","BS_DISCLOSED_INTANGIBLES","FQ4 2022","FQ4 2022","Currency=USD","Period=FQ","BEST_FPERIOD_OVERRIDE=FQ","FILING_STATUS=MR","SCALING_FORMAT=MLN","Sort=A","Dates=H","DateFormat=P","Fill=—","Direction=H","UseDPDF=Y")</f>
        <v>13.981</v>
      </c>
      <c r="T31" s="13">
        <f>_xll.BDH("SRPT US Equity","BS_DISCLOSED_INTANGIBLES","FQ1 2023","FQ1 2023","Currency=USD","Period=FQ","BEST_FPERIOD_OVERRIDE=FQ","FILING_STATUS=MR","SCALING_FORMAT=MLN","Sort=A","Dates=H","DateFormat=P","Fill=—","Direction=H","UseDPDF=Y")</f>
        <v>7.1989999999999998</v>
      </c>
      <c r="U31" s="13">
        <f>_xll.BDH("SRPT US Equity","BS_DISCLOSED_INTANGIBLES","FQ2 2023","FQ2 2023","Currency=USD","Period=FQ","BEST_FPERIOD_OVERRIDE=FQ","FILING_STATUS=MR","SCALING_FORMAT=MLN","Sort=A","Dates=H","DateFormat=P","Fill=—","Direction=H","UseDPDF=Y")</f>
        <v>18.018000000000001</v>
      </c>
      <c r="V31" s="13">
        <f>_xll.BDH("SRPT US Equity","BS_DISCLOSED_INTANGIBLES","FQ3 2023","FQ3 2023","Currency=USD","Period=FQ","BEST_FPERIOD_OVERRIDE=FQ","FILING_STATUS=MR","SCALING_FORMAT=MLN","Sort=A","Dates=H","DateFormat=P","Fill=—","Direction=H","UseDPDF=Y")</f>
        <v>19.501000000000001</v>
      </c>
      <c r="W31" s="13">
        <f>_xll.BDH("SRPT US Equity","BS_DISCLOSED_INTANGIBLES","FQ4 2023","FQ4 2023","Currency=USD","Period=FQ","BEST_FPERIOD_OVERRIDE=FQ","FILING_STATUS=MR","SCALING_FORMAT=MLN","Sort=A","Dates=H","DateFormat=P","Fill=—","Direction=H","UseDPDF=Y")</f>
        <v>37.863999999999997</v>
      </c>
      <c r="X31" s="13">
        <f>_xll.BDH("SRPT US Equity","BS_DISCLOSED_INTANGIBLES","FQ1 2024","FQ1 2024","Currency=USD","Period=FQ","BEST_FPERIOD_OVERRIDE=FQ","FILING_STATUS=MR","SCALING_FORMAT=MLN","Sort=A","Dates=H","DateFormat=P","Fill=—","Direction=H","UseDPDF=Y")</f>
        <v>28.93</v>
      </c>
      <c r="Y31" s="13">
        <f>_xll.BDH("SRPT US Equity","BS_DISCLOSED_INTANGIBLES","FQ2 2024","FQ2 2024","Currency=USD","Period=FQ","BEST_FPERIOD_OVERRIDE=FQ","FILING_STATUS=MR","SCALING_FORMAT=MLN","Sort=A","Dates=H","DateFormat=P","Fill=—","Direction=H","UseDPDF=Y")</f>
        <v>28.251999999999999</v>
      </c>
      <c r="Z31" s="13">
        <f>_xll.BDH("SRPT US Equity","BS_DISCLOSED_INTANGIBLES","FQ3 2024","FQ3 2024","Currency=USD","Period=FQ","BEST_FPERIOD_OVERRIDE=FQ","FILING_STATUS=MR","SCALING_FORMAT=MLN","Sort=A","Dates=H","DateFormat=P","Fill=—","Direction=H","UseDPDF=Y")</f>
        <v>27.57</v>
      </c>
      <c r="AA31" s="13">
        <f>_xll.BDH("SRPT US Equity","BS_DISCLOSED_INTANGIBLES","FQ4 2024","FQ4 2024","Currency=USD","Period=FQ","BEST_FPERIOD_OVERRIDE=FQ","FILING_STATUS=MR","SCALING_FORMAT=MLN","Sort=A","Dates=H","DateFormat=P","Fill=—","Direction=H","UseDPDF=Y")</f>
        <v>37.832999999999998</v>
      </c>
    </row>
    <row r="32" spans="1:27" x14ac:dyDescent="0.25">
      <c r="A32" s="11" t="s">
        <v>739</v>
      </c>
      <c r="B32" s="11" t="s">
        <v>740</v>
      </c>
      <c r="C32" s="25">
        <f>_xll.BDH("SRPT US Equity","BS_GOODWILL","FQ4 2018","FQ4 2018","Currency=USD","Period=FQ","BEST_FPERIOD_OVERRIDE=FQ","FILING_STATUS=MR","SCALING_FORMAT=MLN","Sort=A","Dates=H","DateFormat=P","Fill=—","Direction=H","UseDPDF=Y")</f>
        <v>0</v>
      </c>
      <c r="D32" s="25" t="str">
        <f>_xll.BDH("SRPT US Equity","BS_GOODWILL","FQ1 2019","FQ1 2019","Currency=USD","Period=FQ","BEST_FPERIOD_OVERRIDE=FQ","FILING_STATUS=MR","SCALING_FORMAT=MLN","Sort=A","Dates=H","DateFormat=P","Fill=—","Direction=H","UseDPDF=Y")</f>
        <v>—</v>
      </c>
      <c r="E32" s="25" t="str">
        <f>_xll.BDH("SRPT US Equity","BS_GOODWILL","FQ2 2019","FQ2 2019","Currency=USD","Period=FQ","BEST_FPERIOD_OVERRIDE=FQ","FILING_STATUS=MR","SCALING_FORMAT=MLN","Sort=A","Dates=H","DateFormat=P","Fill=—","Direction=H","UseDPDF=Y")</f>
        <v>—</v>
      </c>
      <c r="F32" s="25" t="str">
        <f>_xll.BDH("SRPT US Equity","BS_GOODWILL","FQ3 2019","FQ3 2019","Currency=USD","Period=FQ","BEST_FPERIOD_OVERRIDE=FQ","FILING_STATUS=MR","SCALING_FORMAT=MLN","Sort=A","Dates=H","DateFormat=P","Fill=—","Direction=H","UseDPDF=Y")</f>
        <v>—</v>
      </c>
      <c r="G32" s="25">
        <f>_xll.BDH("SRPT US Equity","BS_GOODWILL","FQ4 2019","FQ4 2019","Currency=USD","Period=FQ","BEST_FPERIOD_OVERRIDE=FQ","FILING_STATUS=MR","SCALING_FORMAT=MLN","Sort=A","Dates=H","DateFormat=P","Fill=—","Direction=H","UseDPDF=Y")</f>
        <v>0</v>
      </c>
      <c r="H32" s="25" t="str">
        <f>_xll.BDH("SRPT US Equity","BS_GOODWILL","FQ1 2020","FQ1 2020","Currency=USD","Period=FQ","BEST_FPERIOD_OVERRIDE=FQ","FILING_STATUS=MR","SCALING_FORMAT=MLN","Sort=A","Dates=H","DateFormat=P","Fill=—","Direction=H","UseDPDF=Y")</f>
        <v>—</v>
      </c>
      <c r="I32" s="25" t="str">
        <f>_xll.BDH("SRPT US Equity","BS_GOODWILL","FQ2 2020","FQ2 2020","Currency=USD","Period=FQ","BEST_FPERIOD_OVERRIDE=FQ","FILING_STATUS=MR","SCALING_FORMAT=MLN","Sort=A","Dates=H","DateFormat=P","Fill=—","Direction=H","UseDPDF=Y")</f>
        <v>—</v>
      </c>
      <c r="J32" s="25" t="str">
        <f>_xll.BDH("SRPT US Equity","BS_GOODWILL","FQ3 2020","FQ3 2020","Currency=USD","Period=FQ","BEST_FPERIOD_OVERRIDE=FQ","FILING_STATUS=MR","SCALING_FORMAT=MLN","Sort=A","Dates=H","DateFormat=P","Fill=—","Direction=H","UseDPDF=Y")</f>
        <v>—</v>
      </c>
      <c r="K32" s="25">
        <f>_xll.BDH("SRPT US Equity","BS_GOODWILL","FQ4 2020","FQ4 2020","Currency=USD","Period=FQ","BEST_FPERIOD_OVERRIDE=FQ","FILING_STATUS=MR","SCALING_FORMAT=MLN","Sort=A","Dates=H","DateFormat=P","Fill=—","Direction=H","UseDPDF=Y")</f>
        <v>0</v>
      </c>
      <c r="L32" s="25" t="str">
        <f>_xll.BDH("SRPT US Equity","BS_GOODWILL","FQ1 2021","FQ1 2021","Currency=USD","Period=FQ","BEST_FPERIOD_OVERRIDE=FQ","FILING_STATUS=MR","SCALING_FORMAT=MLN","Sort=A","Dates=H","DateFormat=P","Fill=—","Direction=H","UseDPDF=Y")</f>
        <v>—</v>
      </c>
      <c r="M32" s="25" t="str">
        <f>_xll.BDH("SRPT US Equity","BS_GOODWILL","FQ2 2021","FQ2 2021","Currency=USD","Period=FQ","BEST_FPERIOD_OVERRIDE=FQ","FILING_STATUS=MR","SCALING_FORMAT=MLN","Sort=A","Dates=H","DateFormat=P","Fill=—","Direction=H","UseDPDF=Y")</f>
        <v>—</v>
      </c>
      <c r="N32" s="25" t="str">
        <f>_xll.BDH("SRPT US Equity","BS_GOODWILL","FQ3 2021","FQ3 2021","Currency=USD","Period=FQ","BEST_FPERIOD_OVERRIDE=FQ","FILING_STATUS=MR","SCALING_FORMAT=MLN","Sort=A","Dates=H","DateFormat=P","Fill=—","Direction=H","UseDPDF=Y")</f>
        <v>—</v>
      </c>
      <c r="O32" s="25">
        <f>_xll.BDH("SRPT US Equity","BS_GOODWILL","FQ4 2021","FQ4 2021","Currency=USD","Period=FQ","BEST_FPERIOD_OVERRIDE=FQ","FILING_STATUS=MR","SCALING_FORMAT=MLN","Sort=A","Dates=H","DateFormat=P","Fill=—","Direction=H","UseDPDF=Y")</f>
        <v>0</v>
      </c>
      <c r="P32" s="25" t="str">
        <f>_xll.BDH("SRPT US Equity","BS_GOODWILL","FQ1 2022","FQ1 2022","Currency=USD","Period=FQ","BEST_FPERIOD_OVERRIDE=FQ","FILING_STATUS=MR","SCALING_FORMAT=MLN","Sort=A","Dates=H","DateFormat=P","Fill=—","Direction=H","UseDPDF=Y")</f>
        <v>—</v>
      </c>
      <c r="Q32" s="25" t="str">
        <f>_xll.BDH("SRPT US Equity","BS_GOODWILL","FQ2 2022","FQ2 2022","Currency=USD","Period=FQ","BEST_FPERIOD_OVERRIDE=FQ","FILING_STATUS=MR","SCALING_FORMAT=MLN","Sort=A","Dates=H","DateFormat=P","Fill=—","Direction=H","UseDPDF=Y")</f>
        <v>—</v>
      </c>
      <c r="R32" s="25" t="str">
        <f>_xll.BDH("SRPT US Equity","BS_GOODWILL","FQ3 2022","FQ3 2022","Currency=USD","Period=FQ","BEST_FPERIOD_OVERRIDE=FQ","FILING_STATUS=MR","SCALING_FORMAT=MLN","Sort=A","Dates=H","DateFormat=P","Fill=—","Direction=H","UseDPDF=Y")</f>
        <v>—</v>
      </c>
      <c r="S32" s="25">
        <f>_xll.BDH("SRPT US Equity","BS_GOODWILL","FQ4 2022","FQ4 2022","Currency=USD","Period=FQ","BEST_FPERIOD_OVERRIDE=FQ","FILING_STATUS=MR","SCALING_FORMAT=MLN","Sort=A","Dates=H","DateFormat=P","Fill=—","Direction=H","UseDPDF=Y")</f>
        <v>0</v>
      </c>
      <c r="T32" s="25" t="str">
        <f>_xll.BDH("SRPT US Equity","BS_GOODWILL","FQ1 2023","FQ1 2023","Currency=USD","Period=FQ","BEST_FPERIOD_OVERRIDE=FQ","FILING_STATUS=MR","SCALING_FORMAT=MLN","Sort=A","Dates=H","DateFormat=P","Fill=—","Direction=H","UseDPDF=Y")</f>
        <v>—</v>
      </c>
      <c r="U32" s="25" t="str">
        <f>_xll.BDH("SRPT US Equity","BS_GOODWILL","FQ2 2023","FQ2 2023","Currency=USD","Period=FQ","BEST_FPERIOD_OVERRIDE=FQ","FILING_STATUS=MR","SCALING_FORMAT=MLN","Sort=A","Dates=H","DateFormat=P","Fill=—","Direction=H","UseDPDF=Y")</f>
        <v>—</v>
      </c>
      <c r="V32" s="25" t="str">
        <f>_xll.BDH("SRPT US Equity","BS_GOODWILL","FQ3 2023","FQ3 2023","Currency=USD","Period=FQ","BEST_FPERIOD_OVERRIDE=FQ","FILING_STATUS=MR","SCALING_FORMAT=MLN","Sort=A","Dates=H","DateFormat=P","Fill=—","Direction=H","UseDPDF=Y")</f>
        <v>—</v>
      </c>
      <c r="W32" s="25">
        <f>_xll.BDH("SRPT US Equity","BS_GOODWILL","FQ4 2023","FQ4 2023","Currency=USD","Period=FQ","BEST_FPERIOD_OVERRIDE=FQ","FILING_STATUS=MR","SCALING_FORMAT=MLN","Sort=A","Dates=H","DateFormat=P","Fill=—","Direction=H","UseDPDF=Y")</f>
        <v>0</v>
      </c>
      <c r="X32" s="25" t="str">
        <f>_xll.BDH("SRPT US Equity","BS_GOODWILL","FQ1 2024","FQ1 2024","Currency=USD","Period=FQ","BEST_FPERIOD_OVERRIDE=FQ","FILING_STATUS=MR","SCALING_FORMAT=MLN","Sort=A","Dates=H","DateFormat=P","Fill=—","Direction=H","UseDPDF=Y")</f>
        <v>—</v>
      </c>
      <c r="Y32" s="25" t="str">
        <f>_xll.BDH("SRPT US Equity","BS_GOODWILL","FQ2 2024","FQ2 2024","Currency=USD","Period=FQ","BEST_FPERIOD_OVERRIDE=FQ","FILING_STATUS=MR","SCALING_FORMAT=MLN","Sort=A","Dates=H","DateFormat=P","Fill=—","Direction=H","UseDPDF=Y")</f>
        <v>—</v>
      </c>
      <c r="Z32" s="25" t="str">
        <f>_xll.BDH("SRPT US Equity","BS_GOODWILL","FQ3 2024","FQ3 2024","Currency=USD","Period=FQ","BEST_FPERIOD_OVERRIDE=FQ","FILING_STATUS=MR","SCALING_FORMAT=MLN","Sort=A","Dates=H","DateFormat=P","Fill=—","Direction=H","UseDPDF=Y")</f>
        <v>—</v>
      </c>
      <c r="AA32" s="25">
        <f>_xll.BDH("SRPT US Equity","BS_GOODWILL","FQ4 2024","FQ4 2024","Currency=USD","Period=FQ","BEST_FPERIOD_OVERRIDE=FQ","FILING_STATUS=MR","SCALING_FORMAT=MLN","Sort=A","Dates=H","DateFormat=P","Fill=—","Direction=H","UseDPDF=Y")</f>
        <v>0</v>
      </c>
    </row>
    <row r="33" spans="1:27" x14ac:dyDescent="0.25">
      <c r="A33" s="11" t="s">
        <v>741</v>
      </c>
      <c r="B33" s="11" t="s">
        <v>742</v>
      </c>
      <c r="C33" s="25">
        <f>_xll.BDH("SRPT US Equity","OTHER_INTANGIBLE_ASSETS_DETAILED","FQ4 2018","FQ4 2018","Currency=USD","Period=FQ","BEST_FPERIOD_OVERRIDE=FQ","FILING_STATUS=MR","SCALING_FORMAT=MLN","Sort=A","Dates=H","DateFormat=P","Fill=—","Direction=H","UseDPDF=Y")</f>
        <v>11.574</v>
      </c>
      <c r="D33" s="25" t="str">
        <f>_xll.BDH("SRPT US Equity","OTHER_INTANGIBLE_ASSETS_DETAILED","FQ1 2019","FQ1 2019","Currency=USD","Period=FQ","BEST_FPERIOD_OVERRIDE=FQ","FILING_STATUS=MR","SCALING_FORMAT=MLN","Sort=A","Dates=H","DateFormat=P","Fill=—","Direction=H","UseDPDF=Y")</f>
        <v>—</v>
      </c>
      <c r="E33" s="25" t="str">
        <f>_xll.BDH("SRPT US Equity","OTHER_INTANGIBLE_ASSETS_DETAILED","FQ2 2019","FQ2 2019","Currency=USD","Period=FQ","BEST_FPERIOD_OVERRIDE=FQ","FILING_STATUS=MR","SCALING_FORMAT=MLN","Sort=A","Dates=H","DateFormat=P","Fill=—","Direction=H","UseDPDF=Y")</f>
        <v>—</v>
      </c>
      <c r="F33" s="25" t="str">
        <f>_xll.BDH("SRPT US Equity","OTHER_INTANGIBLE_ASSETS_DETAILED","FQ3 2019","FQ3 2019","Currency=USD","Period=FQ","BEST_FPERIOD_OVERRIDE=FQ","FILING_STATUS=MR","SCALING_FORMAT=MLN","Sort=A","Dates=H","DateFormat=P","Fill=—","Direction=H","UseDPDF=Y")</f>
        <v>—</v>
      </c>
      <c r="G33" s="25">
        <f>_xll.BDH("SRPT US Equity","OTHER_INTANGIBLE_ASSETS_DETAILED","FQ4 2019","FQ4 2019","Currency=USD","Period=FQ","BEST_FPERIOD_OVERRIDE=FQ","FILING_STATUS=MR","SCALING_FORMAT=MLN","Sort=A","Dates=H","DateFormat=P","Fill=—","Direction=H","UseDPDF=Y")</f>
        <v>12.497</v>
      </c>
      <c r="H33" s="25" t="str">
        <f>_xll.BDH("SRPT US Equity","OTHER_INTANGIBLE_ASSETS_DETAILED","FQ1 2020","FQ1 2020","Currency=USD","Period=FQ","BEST_FPERIOD_OVERRIDE=FQ","FILING_STATUS=MR","SCALING_FORMAT=MLN","Sort=A","Dates=H","DateFormat=P","Fill=—","Direction=H","UseDPDF=Y")</f>
        <v>—</v>
      </c>
      <c r="I33" s="25" t="str">
        <f>_xll.BDH("SRPT US Equity","OTHER_INTANGIBLE_ASSETS_DETAILED","FQ2 2020","FQ2 2020","Currency=USD","Period=FQ","BEST_FPERIOD_OVERRIDE=FQ","FILING_STATUS=MR","SCALING_FORMAT=MLN","Sort=A","Dates=H","DateFormat=P","Fill=—","Direction=H","UseDPDF=Y")</f>
        <v>—</v>
      </c>
      <c r="J33" s="25" t="str">
        <f>_xll.BDH("SRPT US Equity","OTHER_INTANGIBLE_ASSETS_DETAILED","FQ3 2020","FQ3 2020","Currency=USD","Period=FQ","BEST_FPERIOD_OVERRIDE=FQ","FILING_STATUS=MR","SCALING_FORMAT=MLN","Sort=A","Dates=H","DateFormat=P","Fill=—","Direction=H","UseDPDF=Y")</f>
        <v>—</v>
      </c>
      <c r="K33" s="25">
        <f>_xll.BDH("SRPT US Equity","OTHER_INTANGIBLE_ASSETS_DETAILED","FQ4 2020","FQ4 2020","Currency=USD","Period=FQ","BEST_FPERIOD_OVERRIDE=FQ","FILING_STATUS=MR","SCALING_FORMAT=MLN","Sort=A","Dates=H","DateFormat=P","Fill=—","Direction=H","UseDPDF=Y")</f>
        <v>13.628</v>
      </c>
      <c r="L33" s="25" t="str">
        <f>_xll.BDH("SRPT US Equity","OTHER_INTANGIBLE_ASSETS_DETAILED","FQ1 2021","FQ1 2021","Currency=USD","Period=FQ","BEST_FPERIOD_OVERRIDE=FQ","FILING_STATUS=MR","SCALING_FORMAT=MLN","Sort=A","Dates=H","DateFormat=P","Fill=—","Direction=H","UseDPDF=Y")</f>
        <v>—</v>
      </c>
      <c r="M33" s="25" t="str">
        <f>_xll.BDH("SRPT US Equity","OTHER_INTANGIBLE_ASSETS_DETAILED","FQ2 2021","FQ2 2021","Currency=USD","Period=FQ","BEST_FPERIOD_OVERRIDE=FQ","FILING_STATUS=MR","SCALING_FORMAT=MLN","Sort=A","Dates=H","DateFormat=P","Fill=—","Direction=H","UseDPDF=Y")</f>
        <v>—</v>
      </c>
      <c r="N33" s="25" t="str">
        <f>_xll.BDH("SRPT US Equity","OTHER_INTANGIBLE_ASSETS_DETAILED","FQ3 2021","FQ3 2021","Currency=USD","Period=FQ","BEST_FPERIOD_OVERRIDE=FQ","FILING_STATUS=MR","SCALING_FORMAT=MLN","Sort=A","Dates=H","DateFormat=P","Fill=—","Direction=H","UseDPDF=Y")</f>
        <v>—</v>
      </c>
      <c r="O33" s="25">
        <f>_xll.BDH("SRPT US Equity","OTHER_INTANGIBLE_ASSETS_DETAILED","FQ4 2021","FQ4 2021","Currency=USD","Period=FQ","BEST_FPERIOD_OVERRIDE=FQ","FILING_STATUS=MR","SCALING_FORMAT=MLN","Sort=A","Dates=H","DateFormat=P","Fill=—","Direction=H","UseDPDF=Y")</f>
        <v>14.239000000000001</v>
      </c>
      <c r="P33" s="25" t="str">
        <f>_xll.BDH("SRPT US Equity","OTHER_INTANGIBLE_ASSETS_DETAILED","FQ1 2022","FQ1 2022","Currency=USD","Period=FQ","BEST_FPERIOD_OVERRIDE=FQ","FILING_STATUS=MR","SCALING_FORMAT=MLN","Sort=A","Dates=H","DateFormat=P","Fill=—","Direction=H","UseDPDF=Y")</f>
        <v>—</v>
      </c>
      <c r="Q33" s="25" t="str">
        <f>_xll.BDH("SRPT US Equity","OTHER_INTANGIBLE_ASSETS_DETAILED","FQ2 2022","FQ2 2022","Currency=USD","Period=FQ","BEST_FPERIOD_OVERRIDE=FQ","FILING_STATUS=MR","SCALING_FORMAT=MLN","Sort=A","Dates=H","DateFormat=P","Fill=—","Direction=H","UseDPDF=Y")</f>
        <v>—</v>
      </c>
      <c r="R33" s="25" t="str">
        <f>_xll.BDH("SRPT US Equity","OTHER_INTANGIBLE_ASSETS_DETAILED","FQ3 2022","FQ3 2022","Currency=USD","Period=FQ","BEST_FPERIOD_OVERRIDE=FQ","FILING_STATUS=MR","SCALING_FORMAT=MLN","Sort=A","Dates=H","DateFormat=P","Fill=—","Direction=H","UseDPDF=Y")</f>
        <v>—</v>
      </c>
      <c r="S33" s="25">
        <f>_xll.BDH("SRPT US Equity","OTHER_INTANGIBLE_ASSETS_DETAILED","FQ4 2022","FQ4 2022","Currency=USD","Period=FQ","BEST_FPERIOD_OVERRIDE=FQ","FILING_STATUS=MR","SCALING_FORMAT=MLN","Sort=A","Dates=H","DateFormat=P","Fill=—","Direction=H","UseDPDF=Y")</f>
        <v>13.981</v>
      </c>
      <c r="T33" s="25">
        <f>_xll.BDH("SRPT US Equity","OTHER_INTANGIBLE_ASSETS_DETAILED","FQ1 2023","FQ1 2023","Currency=USD","Period=FQ","BEST_FPERIOD_OVERRIDE=FQ","FILING_STATUS=MR","SCALING_FORMAT=MLN","Sort=A","Dates=H","DateFormat=P","Fill=—","Direction=H","UseDPDF=Y")</f>
        <v>7.1989999999999998</v>
      </c>
      <c r="U33" s="25">
        <f>_xll.BDH("SRPT US Equity","OTHER_INTANGIBLE_ASSETS_DETAILED","FQ2 2023","FQ2 2023","Currency=USD","Period=FQ","BEST_FPERIOD_OVERRIDE=FQ","FILING_STATUS=MR","SCALING_FORMAT=MLN","Sort=A","Dates=H","DateFormat=P","Fill=—","Direction=H","UseDPDF=Y")</f>
        <v>18.018000000000001</v>
      </c>
      <c r="V33" s="25">
        <f>_xll.BDH("SRPT US Equity","OTHER_INTANGIBLE_ASSETS_DETAILED","FQ3 2023","FQ3 2023","Currency=USD","Period=FQ","BEST_FPERIOD_OVERRIDE=FQ","FILING_STATUS=MR","SCALING_FORMAT=MLN","Sort=A","Dates=H","DateFormat=P","Fill=—","Direction=H","UseDPDF=Y")</f>
        <v>19.501000000000001</v>
      </c>
      <c r="W33" s="25">
        <f>_xll.BDH("SRPT US Equity","OTHER_INTANGIBLE_ASSETS_DETAILED","FQ4 2023","FQ4 2023","Currency=USD","Period=FQ","BEST_FPERIOD_OVERRIDE=FQ","FILING_STATUS=MR","SCALING_FORMAT=MLN","Sort=A","Dates=H","DateFormat=P","Fill=—","Direction=H","UseDPDF=Y")</f>
        <v>37.863999999999997</v>
      </c>
      <c r="X33" s="25" t="str">
        <f>_xll.BDH("SRPT US Equity","OTHER_INTANGIBLE_ASSETS_DETAILED","FQ1 2024","FQ1 2024","Currency=USD","Period=FQ","BEST_FPERIOD_OVERRIDE=FQ","FILING_STATUS=MR","SCALING_FORMAT=MLN","Sort=A","Dates=H","DateFormat=P","Fill=—","Direction=H","UseDPDF=Y")</f>
        <v>—</v>
      </c>
      <c r="Y33" s="25">
        <f>_xll.BDH("SRPT US Equity","OTHER_INTANGIBLE_ASSETS_DETAILED","FQ2 2024","FQ2 2024","Currency=USD","Period=FQ","BEST_FPERIOD_OVERRIDE=FQ","FILING_STATUS=MR","SCALING_FORMAT=MLN","Sort=A","Dates=H","DateFormat=P","Fill=—","Direction=H","UseDPDF=Y")</f>
        <v>28.251999999999999</v>
      </c>
      <c r="Z33" s="25">
        <f>_xll.BDH("SRPT US Equity","OTHER_INTANGIBLE_ASSETS_DETAILED","FQ3 2024","FQ3 2024","Currency=USD","Period=FQ","BEST_FPERIOD_OVERRIDE=FQ","FILING_STATUS=MR","SCALING_FORMAT=MLN","Sort=A","Dates=H","DateFormat=P","Fill=—","Direction=H","UseDPDF=Y")</f>
        <v>27.57</v>
      </c>
      <c r="AA33" s="25">
        <f>_xll.BDH("SRPT US Equity","OTHER_INTANGIBLE_ASSETS_DETAILED","FQ4 2024","FQ4 2024","Currency=USD","Period=FQ","BEST_FPERIOD_OVERRIDE=FQ","FILING_STATUS=MR","SCALING_FORMAT=MLN","Sort=A","Dates=H","DateFormat=P","Fill=—","Direction=H","UseDPDF=Y")</f>
        <v>37.832999999999998</v>
      </c>
    </row>
    <row r="34" spans="1:27" x14ac:dyDescent="0.25">
      <c r="A34" s="10" t="s">
        <v>743</v>
      </c>
      <c r="B34" s="10" t="s">
        <v>744</v>
      </c>
      <c r="C34" s="13" t="str">
        <f>_xll.BDH("SRPT US Equity","BS_PREPAID_EXPENSE_LT","FQ4 2018","FQ4 2018","Currency=USD","Period=FQ","BEST_FPERIOD_OVERRIDE=FQ","FILING_STATUS=MR","SCALING_FORMAT=MLN","Sort=A","Dates=H","DateFormat=P","Fill=—","Direction=H","UseDPDF=Y")</f>
        <v>—</v>
      </c>
      <c r="D34" s="13" t="str">
        <f>_xll.BDH("SRPT US Equity","BS_PREPAID_EXPENSE_LT","FQ1 2019","FQ1 2019","Currency=USD","Period=FQ","BEST_FPERIOD_OVERRIDE=FQ","FILING_STATUS=MR","SCALING_FORMAT=MLN","Sort=A","Dates=H","DateFormat=P","Fill=—","Direction=H","UseDPDF=Y")</f>
        <v>—</v>
      </c>
      <c r="E34" s="13" t="str">
        <f>_xll.BDH("SRPT US Equity","BS_PREPAID_EXPENSE_LT","FQ2 2019","FQ2 2019","Currency=USD","Period=FQ","BEST_FPERIOD_OVERRIDE=FQ","FILING_STATUS=MR","SCALING_FORMAT=MLN","Sort=A","Dates=H","DateFormat=P","Fill=—","Direction=H","UseDPDF=Y")</f>
        <v>—</v>
      </c>
      <c r="F34" s="13">
        <f>_xll.BDH("SRPT US Equity","BS_PREPAID_EXPENSE_LT","FQ3 2019","FQ3 2019","Currency=USD","Period=FQ","BEST_FPERIOD_OVERRIDE=FQ","FILING_STATUS=MR","SCALING_FORMAT=MLN","Sort=A","Dates=H","DateFormat=P","Fill=—","Direction=H","UseDPDF=Y")</f>
        <v>122.31</v>
      </c>
      <c r="G34" s="13">
        <f>_xll.BDH("SRPT US Equity","BS_PREPAID_EXPENSE_LT","FQ4 2019","FQ4 2019","Currency=USD","Period=FQ","BEST_FPERIOD_OVERRIDE=FQ","FILING_STATUS=MR","SCALING_FORMAT=MLN","Sort=A","Dates=H","DateFormat=P","Fill=—","Direction=H","UseDPDF=Y")</f>
        <v>126.756</v>
      </c>
      <c r="H34" s="13">
        <f>_xll.BDH("SRPT US Equity","BS_PREPAID_EXPENSE_LT","FQ1 2020","FQ1 2020","Currency=USD","Period=FQ","BEST_FPERIOD_OVERRIDE=FQ","FILING_STATUS=MR","SCALING_FORMAT=MLN","Sort=A","Dates=H","DateFormat=P","Fill=—","Direction=H","UseDPDF=Y")</f>
        <v>141.12700000000001</v>
      </c>
      <c r="I34" s="13">
        <f>_xll.BDH("SRPT US Equity","BS_PREPAID_EXPENSE_LT","FQ2 2020","FQ2 2020","Currency=USD","Period=FQ","BEST_FPERIOD_OVERRIDE=FQ","FILING_STATUS=MR","SCALING_FORMAT=MLN","Sort=A","Dates=H","DateFormat=P","Fill=—","Direction=H","UseDPDF=Y")</f>
        <v>138.03299999999999</v>
      </c>
      <c r="J34" s="13">
        <f>_xll.BDH("SRPT US Equity","BS_PREPAID_EXPENSE_LT","FQ3 2020","FQ3 2020","Currency=USD","Period=FQ","BEST_FPERIOD_OVERRIDE=FQ","FILING_STATUS=MR","SCALING_FORMAT=MLN","Sort=A","Dates=H","DateFormat=P","Fill=—","Direction=H","UseDPDF=Y")</f>
        <v>156.88</v>
      </c>
      <c r="K34" s="13">
        <f>_xll.BDH("SRPT US Equity","BS_PREPAID_EXPENSE_LT","FQ4 2020","FQ4 2020","Currency=USD","Period=FQ","BEST_FPERIOD_OVERRIDE=FQ","FILING_STATUS=MR","SCALING_FORMAT=MLN","Sort=A","Dates=H","DateFormat=P","Fill=—","Direction=H","UseDPDF=Y")</f>
        <v>151.91999999999999</v>
      </c>
      <c r="L34" s="13">
        <f>_xll.BDH("SRPT US Equity","BS_PREPAID_EXPENSE_LT","FQ1 2021","FQ1 2021","Currency=USD","Period=FQ","BEST_FPERIOD_OVERRIDE=FQ","FILING_STATUS=MR","SCALING_FORMAT=MLN","Sort=A","Dates=H","DateFormat=P","Fill=—","Direction=H","UseDPDF=Y")</f>
        <v>158.53700000000001</v>
      </c>
      <c r="M34" s="13">
        <f>_xll.BDH("SRPT US Equity","BS_PREPAID_EXPENSE_LT","FQ2 2021","FQ2 2021","Currency=USD","Period=FQ","BEST_FPERIOD_OVERRIDE=FQ","FILING_STATUS=MR","SCALING_FORMAT=MLN","Sort=A","Dates=H","DateFormat=P","Fill=—","Direction=H","UseDPDF=Y")</f>
        <v>150.851</v>
      </c>
      <c r="N34" s="13">
        <f>_xll.BDH("SRPT US Equity","BS_PREPAID_EXPENSE_LT","FQ3 2021","FQ3 2021","Currency=USD","Period=FQ","BEST_FPERIOD_OVERRIDE=FQ","FILING_STATUS=MR","SCALING_FORMAT=MLN","Sort=A","Dates=H","DateFormat=P","Fill=—","Direction=H","UseDPDF=Y")</f>
        <v>142.71799999999999</v>
      </c>
      <c r="O34" s="13">
        <f>_xll.BDH("SRPT US Equity","BS_PREPAID_EXPENSE_LT","FQ4 2021","FQ4 2021","Currency=USD","Period=FQ","BEST_FPERIOD_OVERRIDE=FQ","FILING_STATUS=MR","SCALING_FORMAT=MLN","Sort=A","Dates=H","DateFormat=P","Fill=—","Direction=H","UseDPDF=Y")</f>
        <v>114.77200000000001</v>
      </c>
      <c r="P34" s="13">
        <f>_xll.BDH("SRPT US Equity","BS_PREPAID_EXPENSE_LT","FQ1 2022","FQ1 2022","Currency=USD","Period=FQ","BEST_FPERIOD_OVERRIDE=FQ","FILING_STATUS=MR","SCALING_FORMAT=MLN","Sort=A","Dates=H","DateFormat=P","Fill=—","Direction=H","UseDPDF=Y")</f>
        <v>96.406000000000006</v>
      </c>
      <c r="Q34" s="13">
        <f>_xll.BDH("SRPT US Equity","BS_PREPAID_EXPENSE_LT","FQ2 2022","FQ2 2022","Currency=USD","Period=FQ","BEST_FPERIOD_OVERRIDE=FQ","FILING_STATUS=MR","SCALING_FORMAT=MLN","Sort=A","Dates=H","DateFormat=P","Fill=—","Direction=H","UseDPDF=Y")</f>
        <v>105.922</v>
      </c>
      <c r="R34" s="13">
        <f>_xll.BDH("SRPT US Equity","BS_PREPAID_EXPENSE_LT","FQ3 2022","FQ3 2022","Currency=USD","Period=FQ","BEST_FPERIOD_OVERRIDE=FQ","FILING_STATUS=MR","SCALING_FORMAT=MLN","Sort=A","Dates=H","DateFormat=P","Fill=—","Direction=H","UseDPDF=Y")</f>
        <v>100.19499999999999</v>
      </c>
      <c r="S34" s="13">
        <f>_xll.BDH("SRPT US Equity","BS_PREPAID_EXPENSE_LT","FQ4 2022","FQ4 2022","Currency=USD","Period=FQ","BEST_FPERIOD_OVERRIDE=FQ","FILING_STATUS=MR","SCALING_FORMAT=MLN","Sort=A","Dates=H","DateFormat=P","Fill=—","Direction=H","UseDPDF=Y")</f>
        <v>99.558999999999997</v>
      </c>
      <c r="T34" s="13">
        <f>_xll.BDH("SRPT US Equity","BS_PREPAID_EXPENSE_LT","FQ1 2023","FQ1 2023","Currency=USD","Period=FQ","BEST_FPERIOD_OVERRIDE=FQ","FILING_STATUS=MR","SCALING_FORMAT=MLN","Sort=A","Dates=H","DateFormat=P","Fill=—","Direction=H","UseDPDF=Y")</f>
        <v>96.594999999999999</v>
      </c>
      <c r="U34" s="13">
        <f>_xll.BDH("SRPT US Equity","BS_PREPAID_EXPENSE_LT","FQ2 2023","FQ2 2023","Currency=USD","Period=FQ","BEST_FPERIOD_OVERRIDE=FQ","FILING_STATUS=MR","SCALING_FORMAT=MLN","Sort=A","Dates=H","DateFormat=P","Fill=—","Direction=H","UseDPDF=Y")</f>
        <v>85.674999999999997</v>
      </c>
      <c r="V34" s="13">
        <f>_xll.BDH("SRPT US Equity","BS_PREPAID_EXPENSE_LT","FQ3 2023","FQ3 2023","Currency=USD","Period=FQ","BEST_FPERIOD_OVERRIDE=FQ","FILING_STATUS=MR","SCALING_FORMAT=MLN","Sort=A","Dates=H","DateFormat=P","Fill=—","Direction=H","UseDPDF=Y")</f>
        <v>81.061000000000007</v>
      </c>
      <c r="W34" s="13">
        <f>_xll.BDH("SRPT US Equity","BS_PREPAID_EXPENSE_LT","FQ4 2023","FQ4 2023","Currency=USD","Period=FQ","BEST_FPERIOD_OVERRIDE=FQ","FILING_STATUS=MR","SCALING_FORMAT=MLN","Sort=A","Dates=H","DateFormat=P","Fill=—","Direction=H","UseDPDF=Y")</f>
        <v>81.802999999999997</v>
      </c>
      <c r="X34" s="13">
        <f>_xll.BDH("SRPT US Equity","BS_PREPAID_EXPENSE_LT","FQ1 2024","FQ1 2024","Currency=USD","Period=FQ","BEST_FPERIOD_OVERRIDE=FQ","FILING_STATUS=MR","SCALING_FORMAT=MLN","Sort=A","Dates=H","DateFormat=P","Fill=—","Direction=H","UseDPDF=Y")</f>
        <v>85.953000000000003</v>
      </c>
      <c r="Y34" s="13">
        <f>_xll.BDH("SRPT US Equity","BS_PREPAID_EXPENSE_LT","FQ2 2024","FQ2 2024","Currency=USD","Period=FQ","BEST_FPERIOD_OVERRIDE=FQ","FILING_STATUS=MR","SCALING_FORMAT=MLN","Sort=A","Dates=H","DateFormat=P","Fill=—","Direction=H","UseDPDF=Y")</f>
        <v>81.147999999999996</v>
      </c>
      <c r="Z34" s="13">
        <f>_xll.BDH("SRPT US Equity","BS_PREPAID_EXPENSE_LT","FQ3 2024","FQ3 2024","Currency=USD","Period=FQ","BEST_FPERIOD_OVERRIDE=FQ","FILING_STATUS=MR","SCALING_FORMAT=MLN","Sort=A","Dates=H","DateFormat=P","Fill=—","Direction=H","UseDPDF=Y")</f>
        <v>47.613</v>
      </c>
      <c r="AA34" s="13">
        <f>_xll.BDH("SRPT US Equity","BS_PREPAID_EXPENSE_LT","FQ4 2024","FQ4 2024","Currency=USD","Period=FQ","BEST_FPERIOD_OVERRIDE=FQ","FILING_STATUS=MR","SCALING_FORMAT=MLN","Sort=A","Dates=H","DateFormat=P","Fill=—","Direction=H","UseDPDF=Y")</f>
        <v>45.923999999999999</v>
      </c>
    </row>
    <row r="35" spans="1:27" x14ac:dyDescent="0.25">
      <c r="A35" s="10" t="s">
        <v>717</v>
      </c>
      <c r="B35" s="10" t="s">
        <v>745</v>
      </c>
      <c r="C35" s="13">
        <f>_xll.BDH("SRPT US Equity","BS_DERIV_HEDGING_ASST_LT","FQ4 2018","FQ4 2018","Currency=USD","Period=FQ","BEST_FPERIOD_OVERRIDE=FQ","FILING_STATUS=MR","SCALING_FORMAT=MLN","Sort=A","Dates=H","DateFormat=P","Fill=—","Direction=H","UseDPDF=Y")</f>
        <v>0</v>
      </c>
      <c r="D35" s="13" t="str">
        <f>_xll.BDH("SRPT US Equity","BS_DERIV_HEDGING_ASST_LT","FQ1 2019","FQ1 2019","Currency=USD","Period=FQ","BEST_FPERIOD_OVERRIDE=FQ","FILING_STATUS=MR","SCALING_FORMAT=MLN","Sort=A","Dates=H","DateFormat=P","Fill=—","Direction=H","UseDPDF=Y")</f>
        <v>—</v>
      </c>
      <c r="E35" s="13" t="str">
        <f>_xll.BDH("SRPT US Equity","BS_DERIV_HEDGING_ASST_LT","FQ2 2019","FQ2 2019","Currency=USD","Period=FQ","BEST_FPERIOD_OVERRIDE=FQ","FILING_STATUS=MR","SCALING_FORMAT=MLN","Sort=A","Dates=H","DateFormat=P","Fill=—","Direction=H","UseDPDF=Y")</f>
        <v>—</v>
      </c>
      <c r="F35" s="13" t="str">
        <f>_xll.BDH("SRPT US Equity","BS_DERIV_HEDGING_ASST_LT","FQ3 2019","FQ3 2019","Currency=USD","Period=FQ","BEST_FPERIOD_OVERRIDE=FQ","FILING_STATUS=MR","SCALING_FORMAT=MLN","Sort=A","Dates=H","DateFormat=P","Fill=—","Direction=H","UseDPDF=Y")</f>
        <v>—</v>
      </c>
      <c r="G35" s="13">
        <f>_xll.BDH("SRPT US Equity","BS_DERIV_HEDGING_ASST_LT","FQ4 2019","FQ4 2019","Currency=USD","Period=FQ","BEST_FPERIOD_OVERRIDE=FQ","FILING_STATUS=MR","SCALING_FORMAT=MLN","Sort=A","Dates=H","DateFormat=P","Fill=—","Direction=H","UseDPDF=Y")</f>
        <v>0</v>
      </c>
      <c r="H35" s="13" t="str">
        <f>_xll.BDH("SRPT US Equity","BS_DERIV_HEDGING_ASST_LT","FQ1 2020","FQ1 2020","Currency=USD","Period=FQ","BEST_FPERIOD_OVERRIDE=FQ","FILING_STATUS=MR","SCALING_FORMAT=MLN","Sort=A","Dates=H","DateFormat=P","Fill=—","Direction=H","UseDPDF=Y")</f>
        <v>—</v>
      </c>
      <c r="I35" s="13" t="str">
        <f>_xll.BDH("SRPT US Equity","BS_DERIV_HEDGING_ASST_LT","FQ2 2020","FQ2 2020","Currency=USD","Period=FQ","BEST_FPERIOD_OVERRIDE=FQ","FILING_STATUS=MR","SCALING_FORMAT=MLN","Sort=A","Dates=H","DateFormat=P","Fill=—","Direction=H","UseDPDF=Y")</f>
        <v>—</v>
      </c>
      <c r="J35" s="13" t="str">
        <f>_xll.BDH("SRPT US Equity","BS_DERIV_HEDGING_ASST_LT","FQ3 2020","FQ3 2020","Currency=USD","Period=FQ","BEST_FPERIOD_OVERRIDE=FQ","FILING_STATUS=MR","SCALING_FORMAT=MLN","Sort=A","Dates=H","DateFormat=P","Fill=—","Direction=H","UseDPDF=Y")</f>
        <v>—</v>
      </c>
      <c r="K35" s="13">
        <f>_xll.BDH("SRPT US Equity","BS_DERIV_HEDGING_ASST_LT","FQ4 2020","FQ4 2020","Currency=USD","Period=FQ","BEST_FPERIOD_OVERRIDE=FQ","FILING_STATUS=MR","SCALING_FORMAT=MLN","Sort=A","Dates=H","DateFormat=P","Fill=—","Direction=H","UseDPDF=Y")</f>
        <v>0</v>
      </c>
      <c r="L35" s="13" t="str">
        <f>_xll.BDH("SRPT US Equity","BS_DERIV_HEDGING_ASST_LT","FQ1 2021","FQ1 2021","Currency=USD","Period=FQ","BEST_FPERIOD_OVERRIDE=FQ","FILING_STATUS=MR","SCALING_FORMAT=MLN","Sort=A","Dates=H","DateFormat=P","Fill=—","Direction=H","UseDPDF=Y")</f>
        <v>—</v>
      </c>
      <c r="M35" s="13" t="str">
        <f>_xll.BDH("SRPT US Equity","BS_DERIV_HEDGING_ASST_LT","FQ2 2021","FQ2 2021","Currency=USD","Period=FQ","BEST_FPERIOD_OVERRIDE=FQ","FILING_STATUS=MR","SCALING_FORMAT=MLN","Sort=A","Dates=H","DateFormat=P","Fill=—","Direction=H","UseDPDF=Y")</f>
        <v>—</v>
      </c>
      <c r="N35" s="13" t="str">
        <f>_xll.BDH("SRPT US Equity","BS_DERIV_HEDGING_ASST_LT","FQ3 2021","FQ3 2021","Currency=USD","Period=FQ","BEST_FPERIOD_OVERRIDE=FQ","FILING_STATUS=MR","SCALING_FORMAT=MLN","Sort=A","Dates=H","DateFormat=P","Fill=—","Direction=H","UseDPDF=Y")</f>
        <v>—</v>
      </c>
      <c r="O35" s="13">
        <f>_xll.BDH("SRPT US Equity","BS_DERIV_HEDGING_ASST_LT","FQ4 2021","FQ4 2021","Currency=USD","Period=FQ","BEST_FPERIOD_OVERRIDE=FQ","FILING_STATUS=MR","SCALING_FORMAT=MLN","Sort=A","Dates=H","DateFormat=P","Fill=—","Direction=H","UseDPDF=Y")</f>
        <v>0</v>
      </c>
      <c r="P35" s="13" t="str">
        <f>_xll.BDH("SRPT US Equity","BS_DERIV_HEDGING_ASST_LT","FQ1 2022","FQ1 2022","Currency=USD","Period=FQ","BEST_FPERIOD_OVERRIDE=FQ","FILING_STATUS=MR","SCALING_FORMAT=MLN","Sort=A","Dates=H","DateFormat=P","Fill=—","Direction=H","UseDPDF=Y")</f>
        <v>—</v>
      </c>
      <c r="Q35" s="13" t="str">
        <f>_xll.BDH("SRPT US Equity","BS_DERIV_HEDGING_ASST_LT","FQ2 2022","FQ2 2022","Currency=USD","Period=FQ","BEST_FPERIOD_OVERRIDE=FQ","FILING_STATUS=MR","SCALING_FORMAT=MLN","Sort=A","Dates=H","DateFormat=P","Fill=—","Direction=H","UseDPDF=Y")</f>
        <v>—</v>
      </c>
      <c r="R35" s="13" t="str">
        <f>_xll.BDH("SRPT US Equity","BS_DERIV_HEDGING_ASST_LT","FQ3 2022","FQ3 2022","Currency=USD","Period=FQ","BEST_FPERIOD_OVERRIDE=FQ","FILING_STATUS=MR","SCALING_FORMAT=MLN","Sort=A","Dates=H","DateFormat=P","Fill=—","Direction=H","UseDPDF=Y")</f>
        <v>—</v>
      </c>
      <c r="S35" s="13">
        <f>_xll.BDH("SRPT US Equity","BS_DERIV_HEDGING_ASST_LT","FQ4 2022","FQ4 2022","Currency=USD","Period=FQ","BEST_FPERIOD_OVERRIDE=FQ","FILING_STATUS=MR","SCALING_FORMAT=MLN","Sort=A","Dates=H","DateFormat=P","Fill=—","Direction=H","UseDPDF=Y")</f>
        <v>0</v>
      </c>
      <c r="T35" s="13" t="str">
        <f>_xll.BDH("SRPT US Equity","BS_DERIV_HEDGING_ASST_LT","FQ1 2023","FQ1 2023","Currency=USD","Period=FQ","BEST_FPERIOD_OVERRIDE=FQ","FILING_STATUS=MR","SCALING_FORMAT=MLN","Sort=A","Dates=H","DateFormat=P","Fill=—","Direction=H","UseDPDF=Y")</f>
        <v>—</v>
      </c>
      <c r="U35" s="13" t="str">
        <f>_xll.BDH("SRPT US Equity","BS_DERIV_HEDGING_ASST_LT","FQ2 2023","FQ2 2023","Currency=USD","Period=FQ","BEST_FPERIOD_OVERRIDE=FQ","FILING_STATUS=MR","SCALING_FORMAT=MLN","Sort=A","Dates=H","DateFormat=P","Fill=—","Direction=H","UseDPDF=Y")</f>
        <v>—</v>
      </c>
      <c r="V35" s="13">
        <f>_xll.BDH("SRPT US Equity","BS_DERIV_HEDGING_ASST_LT","FQ3 2023","FQ3 2023","Currency=USD","Period=FQ","BEST_FPERIOD_OVERRIDE=FQ","FILING_STATUS=MR","SCALING_FORMAT=MLN","Sort=A","Dates=H","DateFormat=P","Fill=—","Direction=H","UseDPDF=Y")</f>
        <v>0</v>
      </c>
      <c r="W35" s="13">
        <f>_xll.BDH("SRPT US Equity","BS_DERIV_HEDGING_ASST_LT","FQ4 2023","FQ4 2023","Currency=USD","Period=FQ","BEST_FPERIOD_OVERRIDE=FQ","FILING_STATUS=MR","SCALING_FORMAT=MLN","Sort=A","Dates=H","DateFormat=P","Fill=—","Direction=H","UseDPDF=Y")</f>
        <v>0</v>
      </c>
      <c r="X35" s="13" t="str">
        <f>_xll.BDH("SRPT US Equity","BS_DERIV_HEDGING_ASST_LT","FQ1 2024","FQ1 2024","Currency=USD","Period=FQ","BEST_FPERIOD_OVERRIDE=FQ","FILING_STATUS=MR","SCALING_FORMAT=MLN","Sort=A","Dates=H","DateFormat=P","Fill=—","Direction=H","UseDPDF=Y")</f>
        <v>—</v>
      </c>
      <c r="Y35" s="13" t="str">
        <f>_xll.BDH("SRPT US Equity","BS_DERIV_HEDGING_ASST_LT","FQ2 2024","FQ2 2024","Currency=USD","Period=FQ","BEST_FPERIOD_OVERRIDE=FQ","FILING_STATUS=MR","SCALING_FORMAT=MLN","Sort=A","Dates=H","DateFormat=P","Fill=—","Direction=H","UseDPDF=Y")</f>
        <v>—</v>
      </c>
      <c r="Z35" s="13" t="str">
        <f>_xll.BDH("SRPT US Equity","BS_DERIV_HEDGING_ASST_LT","FQ3 2024","FQ3 2024","Currency=USD","Period=FQ","BEST_FPERIOD_OVERRIDE=FQ","FILING_STATUS=MR","SCALING_FORMAT=MLN","Sort=A","Dates=H","DateFormat=P","Fill=—","Direction=H","UseDPDF=Y")</f>
        <v>—</v>
      </c>
      <c r="AA35" s="13" t="str">
        <f>_xll.BDH("SRPT US Equity","BS_DERIV_HEDGING_ASST_LT","FQ4 2024","FQ4 2024","Currency=USD","Period=FQ","BEST_FPERIOD_OVERRIDE=FQ","FILING_STATUS=MR","SCALING_FORMAT=MLN","Sort=A","Dates=H","DateFormat=P","Fill=—","Direction=H","UseDPDF=Y")</f>
        <v>—</v>
      </c>
    </row>
    <row r="36" spans="1:27" x14ac:dyDescent="0.25">
      <c r="A36" s="10" t="s">
        <v>746</v>
      </c>
      <c r="B36" s="10" t="s">
        <v>747</v>
      </c>
      <c r="C36" s="13">
        <f>_xll.BDH("SRPT US Equity","OTHER_NONCURRENT_ASSETS_DETAILED","FQ4 2018","FQ4 2018","Currency=USD","Period=FQ","BEST_FPERIOD_OVERRIDE=FQ","FILING_STATUS=MR","SCALING_FORMAT=MLN","Sort=A","Dates=H","DateFormat=P","Fill=—","Direction=H","UseDPDF=Y")</f>
        <v>107.294</v>
      </c>
      <c r="D36" s="13">
        <f>_xll.BDH("SRPT US Equity","OTHER_NONCURRENT_ASSETS_DETAILED","FQ1 2019","FQ1 2019","Currency=USD","Period=FQ","BEST_FPERIOD_OVERRIDE=FQ","FILING_STATUS=MR","SCALING_FORMAT=MLN","Sort=A","Dates=H","DateFormat=P","Fill=—","Direction=H","UseDPDF=Y")</f>
        <v>133.31299999999999</v>
      </c>
      <c r="E36" s="13">
        <f>_xll.BDH("SRPT US Equity","OTHER_NONCURRENT_ASSETS_DETAILED","FQ2 2019","FQ2 2019","Currency=USD","Period=FQ","BEST_FPERIOD_OVERRIDE=FQ","FILING_STATUS=MR","SCALING_FORMAT=MLN","Sort=A","Dates=H","DateFormat=P","Fill=—","Direction=H","UseDPDF=Y")</f>
        <v>151.86000000000001</v>
      </c>
      <c r="F36" s="13">
        <f>_xll.BDH("SRPT US Equity","OTHER_NONCURRENT_ASSETS_DETAILED","FQ3 2019","FQ3 2019","Currency=USD","Period=FQ","BEST_FPERIOD_OVERRIDE=FQ","FILING_STATUS=MR","SCALING_FORMAT=MLN","Sort=A","Dates=H","DateFormat=P","Fill=—","Direction=H","UseDPDF=Y")</f>
        <v>15.026999999999999</v>
      </c>
      <c r="G36" s="13">
        <f>_xll.BDH("SRPT US Equity","OTHER_NONCURRENT_ASSETS_DETAILED","FQ4 2019","FQ4 2019","Currency=USD","Period=FQ","BEST_FPERIOD_OVERRIDE=FQ","FILING_STATUS=MR","SCALING_FORMAT=MLN","Sort=A","Dates=H","DateFormat=P","Fill=—","Direction=H","UseDPDF=Y")</f>
        <v>15.166</v>
      </c>
      <c r="H36" s="13">
        <f>_xll.BDH("SRPT US Equity","OTHER_NONCURRENT_ASSETS_DETAILED","FQ1 2020","FQ1 2020","Currency=USD","Period=FQ","BEST_FPERIOD_OVERRIDE=FQ","FILING_STATUS=MR","SCALING_FORMAT=MLN","Sort=A","Dates=H","DateFormat=P","Fill=—","Direction=H","UseDPDF=Y")</f>
        <v>9.5660000000000007</v>
      </c>
      <c r="I36" s="13">
        <f>_xll.BDH("SRPT US Equity","OTHER_NONCURRENT_ASSETS_DETAILED","FQ2 2020","FQ2 2020","Currency=USD","Period=FQ","BEST_FPERIOD_OVERRIDE=FQ","FILING_STATUS=MR","SCALING_FORMAT=MLN","Sort=A","Dates=H","DateFormat=P","Fill=—","Direction=H","UseDPDF=Y")</f>
        <v>9.5660000000000007</v>
      </c>
      <c r="J36" s="13">
        <f>_xll.BDH("SRPT US Equity","OTHER_NONCURRENT_ASSETS_DETAILED","FQ3 2020","FQ3 2020","Currency=USD","Period=FQ","BEST_FPERIOD_OVERRIDE=FQ","FILING_STATUS=MR","SCALING_FORMAT=MLN","Sort=A","Dates=H","DateFormat=P","Fill=—","Direction=H","UseDPDF=Y")</f>
        <v>9.5660000000000007</v>
      </c>
      <c r="K36" s="13">
        <f>_xll.BDH("SRPT US Equity","OTHER_NONCURRENT_ASSETS_DETAILED","FQ4 2020","FQ4 2020","Currency=USD","Period=FQ","BEST_FPERIOD_OVERRIDE=FQ","FILING_STATUS=MR","SCALING_FORMAT=MLN","Sort=A","Dates=H","DateFormat=P","Fill=—","Direction=H","UseDPDF=Y")</f>
        <v>9.3149999999999995</v>
      </c>
      <c r="L36" s="13">
        <f>_xll.BDH("SRPT US Equity","OTHER_NONCURRENT_ASSETS_DETAILED","FQ1 2021","FQ1 2021","Currency=USD","Period=FQ","BEST_FPERIOD_OVERRIDE=FQ","FILING_STATUS=MR","SCALING_FORMAT=MLN","Sort=A","Dates=H","DateFormat=P","Fill=—","Direction=H","UseDPDF=Y")</f>
        <v>9.3149999999999995</v>
      </c>
      <c r="M36" s="13">
        <f>_xll.BDH("SRPT US Equity","OTHER_NONCURRENT_ASSETS_DETAILED","FQ2 2021","FQ2 2021","Currency=USD","Period=FQ","BEST_FPERIOD_OVERRIDE=FQ","FILING_STATUS=MR","SCALING_FORMAT=MLN","Sort=A","Dates=H","DateFormat=P","Fill=—","Direction=H","UseDPDF=Y")</f>
        <v>9.3149999999999995</v>
      </c>
      <c r="N36" s="13">
        <f>_xll.BDH("SRPT US Equity","OTHER_NONCURRENT_ASSETS_DETAILED","FQ3 2021","FQ3 2021","Currency=USD","Period=FQ","BEST_FPERIOD_OVERRIDE=FQ","FILING_STATUS=MR","SCALING_FORMAT=MLN","Sort=A","Dates=H","DateFormat=P","Fill=—","Direction=H","UseDPDF=Y")</f>
        <v>9.3149999999999995</v>
      </c>
      <c r="O36" s="13">
        <f>_xll.BDH("SRPT US Equity","OTHER_NONCURRENT_ASSETS_DETAILED","FQ4 2021","FQ4 2021","Currency=USD","Period=FQ","BEST_FPERIOD_OVERRIDE=FQ","FILING_STATUS=MR","SCALING_FORMAT=MLN","Sort=A","Dates=H","DateFormat=P","Fill=—","Direction=H","UseDPDF=Y")</f>
        <v>139.42500000000001</v>
      </c>
      <c r="P36" s="13">
        <f>_xll.BDH("SRPT US Equity","OTHER_NONCURRENT_ASSETS_DETAILED","FQ1 2022","FQ1 2022","Currency=USD","Period=FQ","BEST_FPERIOD_OVERRIDE=FQ","FILING_STATUS=MR","SCALING_FORMAT=MLN","Sort=A","Dates=H","DateFormat=P","Fill=—","Direction=H","UseDPDF=Y")</f>
        <v>145.114</v>
      </c>
      <c r="Q36" s="13">
        <f>_xll.BDH("SRPT US Equity","OTHER_NONCURRENT_ASSETS_DETAILED","FQ2 2022","FQ2 2022","Currency=USD","Period=FQ","BEST_FPERIOD_OVERRIDE=FQ","FILING_STATUS=MR","SCALING_FORMAT=MLN","Sort=A","Dates=H","DateFormat=P","Fill=—","Direction=H","UseDPDF=Y")</f>
        <v>141.501</v>
      </c>
      <c r="R36" s="13">
        <f>_xll.BDH("SRPT US Equity","OTHER_NONCURRENT_ASSETS_DETAILED","FQ3 2022","FQ3 2022","Currency=USD","Period=FQ","BEST_FPERIOD_OVERRIDE=FQ","FILING_STATUS=MR","SCALING_FORMAT=MLN","Sort=A","Dates=H","DateFormat=P","Fill=—","Direction=H","UseDPDF=Y")</f>
        <v>155.465</v>
      </c>
      <c r="S36" s="13">
        <f>_xll.BDH("SRPT US Equity","OTHER_NONCURRENT_ASSETS_DETAILED","FQ4 2022","FQ4 2022","Currency=USD","Period=FQ","BEST_FPERIOD_OVERRIDE=FQ","FILING_STATUS=MR","SCALING_FORMAT=MLN","Sort=A","Dates=H","DateFormat=P","Fill=—","Direction=H","UseDPDF=Y")</f>
        <v>151.57900000000001</v>
      </c>
      <c r="T36" s="13">
        <f>_xll.BDH("SRPT US Equity","OTHER_NONCURRENT_ASSETS_DETAILED","FQ1 2023","FQ1 2023","Currency=USD","Period=FQ","BEST_FPERIOD_OVERRIDE=FQ","FILING_STATUS=MR","SCALING_FORMAT=MLN","Sort=A","Dates=H","DateFormat=P","Fill=—","Direction=H","UseDPDF=Y")</f>
        <v>183.16800000000001</v>
      </c>
      <c r="U36" s="13">
        <f>_xll.BDH("SRPT US Equity","OTHER_NONCURRENT_ASSETS_DETAILED","FQ2 2023","FQ2 2023","Currency=USD","Period=FQ","BEST_FPERIOD_OVERRIDE=FQ","FILING_STATUS=MR","SCALING_FORMAT=MLN","Sort=A","Dates=H","DateFormat=P","Fill=—","Direction=H","UseDPDF=Y")</f>
        <v>185.65899999999999</v>
      </c>
      <c r="V36" s="13">
        <f>_xll.BDH("SRPT US Equity","OTHER_NONCURRENT_ASSETS_DETAILED","FQ3 2023","FQ3 2023","Currency=USD","Period=FQ","BEST_FPERIOD_OVERRIDE=FQ","FILING_STATUS=MR","SCALING_FORMAT=MLN","Sort=A","Dates=H","DateFormat=P","Fill=—","Direction=H","UseDPDF=Y")</f>
        <v>179.65700000000001</v>
      </c>
      <c r="W36" s="13">
        <f>_xll.BDH("SRPT US Equity","OTHER_NONCURRENT_ASSETS_DETAILED","FQ4 2023","FQ4 2023","Currency=USD","Period=FQ","BEST_FPERIOD_OVERRIDE=FQ","FILING_STATUS=MR","SCALING_FORMAT=MLN","Sort=A","Dates=H","DateFormat=P","Fill=—","Direction=H","UseDPDF=Y")</f>
        <v>189.65100000000001</v>
      </c>
      <c r="X36" s="13">
        <f>_xll.BDH("SRPT US Equity","OTHER_NONCURRENT_ASSETS_DETAILED","FQ1 2024","FQ1 2024","Currency=USD","Period=FQ","BEST_FPERIOD_OVERRIDE=FQ","FILING_STATUS=MR","SCALING_FORMAT=MLN","Sort=A","Dates=H","DateFormat=P","Fill=—","Direction=H","UseDPDF=Y")</f>
        <v>223.12100000000001</v>
      </c>
      <c r="Y36" s="13">
        <f>_xll.BDH("SRPT US Equity","OTHER_NONCURRENT_ASSETS_DETAILED","FQ2 2024","FQ2 2024","Currency=USD","Period=FQ","BEST_FPERIOD_OVERRIDE=FQ","FILING_STATUS=MR","SCALING_FORMAT=MLN","Sort=A","Dates=H","DateFormat=P","Fill=—","Direction=H","UseDPDF=Y")</f>
        <v>220.27</v>
      </c>
      <c r="Z36" s="13">
        <f>_xll.BDH("SRPT US Equity","OTHER_NONCURRENT_ASSETS_DETAILED","FQ3 2024","FQ3 2024","Currency=USD","Period=FQ","BEST_FPERIOD_OVERRIDE=FQ","FILING_STATUS=MR","SCALING_FORMAT=MLN","Sort=A","Dates=H","DateFormat=P","Fill=—","Direction=H","UseDPDF=Y")</f>
        <v>207.273</v>
      </c>
      <c r="AA36" s="13">
        <f>_xll.BDH("SRPT US Equity","OTHER_NONCURRENT_ASSETS_DETAILED","FQ4 2024","FQ4 2024","Currency=USD","Period=FQ","BEST_FPERIOD_OVERRIDE=FQ","FILING_STATUS=MR","SCALING_FORMAT=MLN","Sort=A","Dates=H","DateFormat=P","Fill=—","Direction=H","UseDPDF=Y")</f>
        <v>180.75</v>
      </c>
    </row>
    <row r="37" spans="1:27" x14ac:dyDescent="0.25">
      <c r="A37" s="6" t="s">
        <v>748</v>
      </c>
      <c r="B37" s="6" t="s">
        <v>749</v>
      </c>
      <c r="C37" s="19">
        <f>_xll.BDH("SRPT US Equity","BS_TOT_NON_CUR_ASSET","FQ4 2018","FQ4 2018","Currency=USD","Period=FQ","BEST_FPERIOD_OVERRIDE=FQ","FILING_STATUS=MR","SCALING_FORMAT=MLN","Sort=A","Dates=H","DateFormat=P","Fill=—","Direction=H","UseDPDF=Y")</f>
        <v>215.892</v>
      </c>
      <c r="D37" s="19">
        <f>_xll.BDH("SRPT US Equity","BS_TOT_NON_CUR_ASSET","FQ1 2019","FQ1 2019","Currency=USD","Period=FQ","BEST_FPERIOD_OVERRIDE=FQ","FILING_STATUS=MR","SCALING_FORMAT=MLN","Sort=A","Dates=H","DateFormat=P","Fill=—","Direction=H","UseDPDF=Y")</f>
        <v>292.47199999999998</v>
      </c>
      <c r="E37" s="19">
        <f>_xll.BDH("SRPT US Equity","BS_TOT_NON_CUR_ASSET","FQ2 2019","FQ2 2019","Currency=USD","Period=FQ","BEST_FPERIOD_OVERRIDE=FQ","FILING_STATUS=MR","SCALING_FORMAT=MLN","Sort=A","Dates=H","DateFormat=P","Fill=—","Direction=H","UseDPDF=Y")</f>
        <v>320.33499999999998</v>
      </c>
      <c r="F37" s="19">
        <f>_xll.BDH("SRPT US Equity","BS_TOT_NON_CUR_ASSET","FQ3 2019","FQ3 2019","Currency=USD","Period=FQ","BEST_FPERIOD_OVERRIDE=FQ","FILING_STATUS=MR","SCALING_FORMAT=MLN","Sort=A","Dates=H","DateFormat=P","Fill=—","Direction=H","UseDPDF=Y")</f>
        <v>340.17099999999999</v>
      </c>
      <c r="G37" s="19">
        <f>_xll.BDH("SRPT US Equity","BS_TOT_NON_CUR_ASSET","FQ4 2019","FQ4 2019","Currency=USD","Period=FQ","BEST_FPERIOD_OVERRIDE=FQ","FILING_STATUS=MR","SCALING_FORMAT=MLN","Sort=A","Dates=H","DateFormat=P","Fill=—","Direction=H","UseDPDF=Y")</f>
        <v>353.90899999999999</v>
      </c>
      <c r="H37" s="19">
        <f>_xll.BDH("SRPT US Equity","BS_TOT_NON_CUR_ASSET","FQ1 2020","FQ1 2020","Currency=USD","Period=FQ","BEST_FPERIOD_OVERRIDE=FQ","FILING_STATUS=MR","SCALING_FORMAT=MLN","Sort=A","Dates=H","DateFormat=P","Fill=—","Direction=H","UseDPDF=Y")</f>
        <v>400.04</v>
      </c>
      <c r="I37" s="19">
        <f>_xll.BDH("SRPT US Equity","BS_TOT_NON_CUR_ASSET","FQ2 2020","FQ2 2020","Currency=USD","Period=FQ","BEST_FPERIOD_OVERRIDE=FQ","FILING_STATUS=MR","SCALING_FORMAT=MLN","Sort=A","Dates=H","DateFormat=P","Fill=—","Direction=H","UseDPDF=Y")</f>
        <v>423.62200000000001</v>
      </c>
      <c r="J37" s="19">
        <f>_xll.BDH("SRPT US Equity","BS_TOT_NON_CUR_ASSET","FQ3 2020","FQ3 2020","Currency=USD","Period=FQ","BEST_FPERIOD_OVERRIDE=FQ","FILING_STATUS=MR","SCALING_FORMAT=MLN","Sort=A","Dates=H","DateFormat=P","Fill=—","Direction=H","UseDPDF=Y")</f>
        <v>457.99099999999999</v>
      </c>
      <c r="K37" s="19">
        <f>_xll.BDH("SRPT US Equity","BS_TOT_NON_CUR_ASSET","FQ4 2020","FQ4 2020","Currency=USD","Period=FQ","BEST_FPERIOD_OVERRIDE=FQ","FILING_STATUS=MR","SCALING_FORMAT=MLN","Sort=A","Dates=H","DateFormat=P","Fill=—","Direction=H","UseDPDF=Y")</f>
        <v>499.52199999999999</v>
      </c>
      <c r="L37" s="19">
        <f>_xll.BDH("SRPT US Equity","BS_TOT_NON_CUR_ASSET","FQ1 2021","FQ1 2021","Currency=USD","Period=FQ","BEST_FPERIOD_OVERRIDE=FQ","FILING_STATUS=MR","SCALING_FORMAT=MLN","Sort=A","Dates=H","DateFormat=P","Fill=—","Direction=H","UseDPDF=Y")</f>
        <v>493.88299999999998</v>
      </c>
      <c r="M37" s="19">
        <f>_xll.BDH("SRPT US Equity","BS_TOT_NON_CUR_ASSET","FQ2 2021","FQ2 2021","Currency=USD","Period=FQ","BEST_FPERIOD_OVERRIDE=FQ","FILING_STATUS=MR","SCALING_FORMAT=MLN","Sort=A","Dates=H","DateFormat=P","Fill=—","Direction=H","UseDPDF=Y")</f>
        <v>493.85599999999999</v>
      </c>
      <c r="N37" s="19">
        <f>_xll.BDH("SRPT US Equity","BS_TOT_NON_CUR_ASSET","FQ3 2021","FQ3 2021","Currency=USD","Period=FQ","BEST_FPERIOD_OVERRIDE=FQ","FILING_STATUS=MR","SCALING_FORMAT=MLN","Sort=A","Dates=H","DateFormat=P","Fill=—","Direction=H","UseDPDF=Y")</f>
        <v>476.90800000000002</v>
      </c>
      <c r="O37" s="19">
        <f>_xll.BDH("SRPT US Equity","BS_TOT_NON_CUR_ASSET","FQ4 2021","FQ4 2021","Currency=USD","Period=FQ","BEST_FPERIOD_OVERRIDE=FQ","FILING_STATUS=MR","SCALING_FORMAT=MLN","Sort=A","Dates=H","DateFormat=P","Fill=—","Direction=H","UseDPDF=Y")</f>
        <v>543.875</v>
      </c>
      <c r="P37" s="19">
        <f>_xll.BDH("SRPT US Equity","BS_TOT_NON_CUR_ASSET","FQ1 2022","FQ1 2022","Currency=USD","Period=FQ","BEST_FPERIOD_OVERRIDE=FQ","FILING_STATUS=MR","SCALING_FORMAT=MLN","Sort=A","Dates=H","DateFormat=P","Fill=—","Direction=H","UseDPDF=Y")</f>
        <v>525.20699999999999</v>
      </c>
      <c r="Q37" s="19">
        <f>_xll.BDH("SRPT US Equity","BS_TOT_NON_CUR_ASSET","FQ2 2022","FQ2 2022","Currency=USD","Period=FQ","BEST_FPERIOD_OVERRIDE=FQ","FILING_STATUS=MR","SCALING_FORMAT=MLN","Sort=A","Dates=H","DateFormat=P","Fill=—","Direction=H","UseDPDF=Y")</f>
        <v>527.553</v>
      </c>
      <c r="R37" s="19">
        <f>_xll.BDH("SRPT US Equity","BS_TOT_NON_CUR_ASSET","FQ3 2022","FQ3 2022","Currency=USD","Period=FQ","BEST_FPERIOD_OVERRIDE=FQ","FILING_STATUS=MR","SCALING_FORMAT=MLN","Sort=A","Dates=H","DateFormat=P","Fill=—","Direction=H","UseDPDF=Y")</f>
        <v>530.22</v>
      </c>
      <c r="S37" s="19">
        <f>_xll.BDH("SRPT US Equity","BS_TOT_NON_CUR_ASSET","FQ4 2022","FQ4 2022","Currency=USD","Period=FQ","BEST_FPERIOD_OVERRIDE=FQ","FILING_STATUS=MR","SCALING_FORMAT=MLN","Sort=A","Dates=H","DateFormat=P","Fill=—","Direction=H","UseDPDF=Y")</f>
        <v>570.505</v>
      </c>
      <c r="T37" s="19">
        <f>_xll.BDH("SRPT US Equity","BS_TOT_NON_CUR_ASSET","FQ1 2023","FQ1 2023","Currency=USD","Period=FQ","BEST_FPERIOD_OVERRIDE=FQ","FILING_STATUS=MR","SCALING_FORMAT=MLN","Sort=A","Dates=H","DateFormat=P","Fill=—","Direction=H","UseDPDF=Y")</f>
        <v>571.40899999999999</v>
      </c>
      <c r="U37" s="19">
        <f>_xll.BDH("SRPT US Equity","BS_TOT_NON_CUR_ASSET","FQ2 2023","FQ2 2023","Currency=USD","Period=FQ","BEST_FPERIOD_OVERRIDE=FQ","FILING_STATUS=MR","SCALING_FORMAT=MLN","Sort=A","Dates=H","DateFormat=P","Fill=—","Direction=H","UseDPDF=Y")</f>
        <v>653.27599999999995</v>
      </c>
      <c r="V37" s="19">
        <f>_xll.BDH("SRPT US Equity","BS_TOT_NON_CUR_ASSET","FQ3 2023","FQ3 2023","Currency=USD","Period=FQ","BEST_FPERIOD_OVERRIDE=FQ","FILING_STATUS=MR","SCALING_FORMAT=MLN","Sort=A","Dates=H","DateFormat=P","Fill=—","Direction=H","UseDPDF=Y")</f>
        <v>658.85799999999995</v>
      </c>
      <c r="W37" s="19">
        <f>_xll.BDH("SRPT US Equity","BS_TOT_NON_CUR_ASSET","FQ4 2023","FQ4 2023","Currency=USD","Period=FQ","BEST_FPERIOD_OVERRIDE=FQ","FILING_STATUS=MR","SCALING_FORMAT=MLN","Sort=A","Dates=H","DateFormat=P","Fill=—","Direction=H","UseDPDF=Y")</f>
        <v>685.245</v>
      </c>
      <c r="X37" s="19">
        <f>_xll.BDH("SRPT US Equity","BS_TOT_NON_CUR_ASSET","FQ1 2024","FQ1 2024","Currency=USD","Period=FQ","BEST_FPERIOD_OVERRIDE=FQ","FILING_STATUS=MR","SCALING_FORMAT=MLN","Sort=A","Dates=H","DateFormat=P","Fill=—","Direction=H","UseDPDF=Y")</f>
        <v>759.52</v>
      </c>
      <c r="Y37" s="19">
        <f>_xll.BDH("SRPT US Equity","BS_TOT_NON_CUR_ASSET","FQ2 2024","FQ2 2024","Currency=USD","Period=FQ","BEST_FPERIOD_OVERRIDE=FQ","FILING_STATUS=MR","SCALING_FORMAT=MLN","Sort=A","Dates=H","DateFormat=P","Fill=—","Direction=H","UseDPDF=Y")</f>
        <v>740.62099999999998</v>
      </c>
      <c r="Z37" s="19">
        <f>_xll.BDH("SRPT US Equity","BS_TOT_NON_CUR_ASSET","FQ3 2024","FQ3 2024","Currency=USD","Period=FQ","BEST_FPERIOD_OVERRIDE=FQ","FILING_STATUS=MR","SCALING_FORMAT=MLN","Sort=A","Dates=H","DateFormat=P","Fill=—","Direction=H","UseDPDF=Y")</f>
        <v>914.56500000000005</v>
      </c>
      <c r="AA37" s="19">
        <f>_xll.BDH("SRPT US Equity","BS_TOT_NON_CUR_ASSET","FQ4 2024","FQ4 2024","Currency=USD","Period=FQ","BEST_FPERIOD_OVERRIDE=FQ","FILING_STATUS=MR","SCALING_FORMAT=MLN","Sort=A","Dates=H","DateFormat=P","Fill=—","Direction=H","UseDPDF=Y")</f>
        <v>889.71</v>
      </c>
    </row>
    <row r="38" spans="1:27" x14ac:dyDescent="0.25">
      <c r="A38" s="6" t="s">
        <v>112</v>
      </c>
      <c r="B38" s="6" t="s">
        <v>113</v>
      </c>
      <c r="C38" s="19">
        <f>_xll.BDH("SRPT US Equity","BS_TOT_ASSET","FQ4 2018","FQ4 2018","Currency=USD","Period=FQ","BEST_FPERIOD_OVERRIDE=FQ","FILING_STATUS=MR","SCALING_FORMAT=MLN","Sort=A","Dates=H","DateFormat=P","Fill=—","Direction=H","UseDPDF=Y")</f>
        <v>1642.075</v>
      </c>
      <c r="D38" s="19">
        <f>_xll.BDH("SRPT US Equity","BS_TOT_ASSET","FQ1 2019","FQ1 2019","Currency=USD","Period=FQ","BEST_FPERIOD_OVERRIDE=FQ","FILING_STATUS=MR","SCALING_FORMAT=MLN","Sort=A","Dates=H","DateFormat=P","Fill=—","Direction=H","UseDPDF=Y")</f>
        <v>1963.895</v>
      </c>
      <c r="E38" s="19">
        <f>_xll.BDH("SRPT US Equity","BS_TOT_ASSET","FQ2 2019","FQ2 2019","Currency=USD","Period=FQ","BEST_FPERIOD_OVERRIDE=FQ","FILING_STATUS=MR","SCALING_FORMAT=MLN","Sort=A","Dates=H","DateFormat=P","Fill=—","Direction=H","UseDPDF=Y")</f>
        <v>1747.7529999999999</v>
      </c>
      <c r="F38" s="19">
        <f>_xll.BDH("SRPT US Equity","BS_TOT_ASSET","FQ3 2019","FQ3 2019","Currency=USD","Period=FQ","BEST_FPERIOD_OVERRIDE=FQ","FILING_STATUS=MR","SCALING_FORMAT=MLN","Sort=A","Dates=H","DateFormat=P","Fill=—","Direction=H","UseDPDF=Y")</f>
        <v>1702.47</v>
      </c>
      <c r="G38" s="19">
        <f>_xll.BDH("SRPT US Equity","BS_TOT_ASSET","FQ4 2019","FQ4 2019","Currency=USD","Period=FQ","BEST_FPERIOD_OVERRIDE=FQ","FILING_STATUS=MR","SCALING_FORMAT=MLN","Sort=A","Dates=H","DateFormat=P","Fill=—","Direction=H","UseDPDF=Y")</f>
        <v>1822.8219999999999</v>
      </c>
      <c r="H38" s="19">
        <f>_xll.BDH("SRPT US Equity","BS_TOT_ASSET","FQ1 2020","FQ1 2020","Currency=USD","Period=FQ","BEST_FPERIOD_OVERRIDE=FQ","FILING_STATUS=MR","SCALING_FORMAT=MLN","Sort=A","Dates=H","DateFormat=P","Fill=—","Direction=H","UseDPDF=Y")</f>
        <v>2947.3879999999999</v>
      </c>
      <c r="I38" s="19">
        <f>_xll.BDH("SRPT US Equity","BS_TOT_ASSET","FQ2 2020","FQ2 2020","Currency=USD","Period=FQ","BEST_FPERIOD_OVERRIDE=FQ","FILING_STATUS=MR","SCALING_FORMAT=MLN","Sort=A","Dates=H","DateFormat=P","Fill=—","Direction=H","UseDPDF=Y")</f>
        <v>2883.0430000000001</v>
      </c>
      <c r="J38" s="19">
        <f>_xll.BDH("SRPT US Equity","BS_TOT_ASSET","FQ3 2020","FQ3 2020","Currency=USD","Period=FQ","BEST_FPERIOD_OVERRIDE=FQ","FILING_STATUS=MR","SCALING_FORMAT=MLN","Sort=A","Dates=H","DateFormat=P","Fill=—","Direction=H","UseDPDF=Y")</f>
        <v>2780.6640000000002</v>
      </c>
      <c r="K38" s="19">
        <f>_xll.BDH("SRPT US Equity","BS_TOT_ASSET","FQ4 2020","FQ4 2020","Currency=USD","Period=FQ","BEST_FPERIOD_OVERRIDE=FQ","FILING_STATUS=MR","SCALING_FORMAT=MLN","Sort=A","Dates=H","DateFormat=P","Fill=—","Direction=H","UseDPDF=Y")</f>
        <v>2984.7179999999998</v>
      </c>
      <c r="L38" s="19">
        <f>_xll.BDH("SRPT US Equity","BS_TOT_ASSET","FQ1 2021","FQ1 2021","Currency=USD","Period=FQ","BEST_FPERIOD_OVERRIDE=FQ","FILING_STATUS=MR","SCALING_FORMAT=MLN","Sort=A","Dates=H","DateFormat=P","Fill=—","Direction=H","UseDPDF=Y")</f>
        <v>2765.2330000000002</v>
      </c>
      <c r="M38" s="19">
        <f>_xll.BDH("SRPT US Equity","BS_TOT_ASSET","FQ2 2021","FQ2 2021","Currency=USD","Period=FQ","BEST_FPERIOD_OVERRIDE=FQ","FILING_STATUS=MR","SCALING_FORMAT=MLN","Sort=A","Dates=H","DateFormat=P","Fill=—","Direction=H","UseDPDF=Y")</f>
        <v>2759.0729999999999</v>
      </c>
      <c r="N38" s="19">
        <f>_xll.BDH("SRPT US Equity","BS_TOT_ASSET","FQ3 2021","FQ3 2021","Currency=USD","Period=FQ","BEST_FPERIOD_OVERRIDE=FQ","FILING_STATUS=MR","SCALING_FORMAT=MLN","Sort=A","Dates=H","DateFormat=P","Fill=—","Direction=H","UseDPDF=Y")</f>
        <v>2662.2179999999998</v>
      </c>
      <c r="O38" s="19">
        <f>_xll.BDH("SRPT US Equity","BS_TOT_ASSET","FQ4 2021","FQ4 2021","Currency=USD","Period=FQ","BEST_FPERIOD_OVERRIDE=FQ","FILING_STATUS=MR","SCALING_FORMAT=MLN","Sort=A","Dates=H","DateFormat=P","Fill=—","Direction=H","UseDPDF=Y")</f>
        <v>3147.9740000000002</v>
      </c>
      <c r="P38" s="19">
        <f>_xll.BDH("SRPT US Equity","BS_TOT_ASSET","FQ1 2022","FQ1 2022","Currency=USD","Period=FQ","BEST_FPERIOD_OVERRIDE=FQ","FILING_STATUS=MR","SCALING_FORMAT=MLN","Sort=A","Dates=H","DateFormat=P","Fill=—","Direction=H","UseDPDF=Y")</f>
        <v>3056.154</v>
      </c>
      <c r="Q38" s="19">
        <f>_xll.BDH("SRPT US Equity","BS_TOT_ASSET","FQ2 2022","FQ2 2022","Currency=USD","Period=FQ","BEST_FPERIOD_OVERRIDE=FQ","FILING_STATUS=MR","SCALING_FORMAT=MLN","Sort=A","Dates=H","DateFormat=P","Fill=—","Direction=H","UseDPDF=Y")</f>
        <v>2996.8530000000001</v>
      </c>
      <c r="R38" s="19">
        <f>_xll.BDH("SRPT US Equity","BS_TOT_ASSET","FQ3 2022","FQ3 2022","Currency=USD","Period=FQ","BEST_FPERIOD_OVERRIDE=FQ","FILING_STATUS=MR","SCALING_FORMAT=MLN","Sort=A","Dates=H","DateFormat=P","Fill=—","Direction=H","UseDPDF=Y")</f>
        <v>3156.1489999999999</v>
      </c>
      <c r="S38" s="19">
        <f>_xll.BDH("SRPT US Equity","BS_TOT_ASSET","FQ4 2022","FQ4 2022","Currency=USD","Period=FQ","BEST_FPERIOD_OVERRIDE=FQ","FILING_STATUS=MR","SCALING_FORMAT=MLN","Sort=A","Dates=H","DateFormat=P","Fill=—","Direction=H","UseDPDF=Y")</f>
        <v>3128.366</v>
      </c>
      <c r="T38" s="19">
        <f>_xll.BDH("SRPT US Equity","BS_TOT_ASSET","FQ1 2023","FQ1 2023","Currency=USD","Period=FQ","BEST_FPERIOD_OVERRIDE=FQ","FILING_STATUS=MR","SCALING_FORMAT=MLN","Sort=A","Dates=H","DateFormat=P","Fill=—","Direction=H","UseDPDF=Y")</f>
        <v>3059.7860000000001</v>
      </c>
      <c r="U38" s="19">
        <f>_xll.BDH("SRPT US Equity","BS_TOT_ASSET","FQ2 2023","FQ2 2023","Currency=USD","Period=FQ","BEST_FPERIOD_OVERRIDE=FQ","FILING_STATUS=MR","SCALING_FORMAT=MLN","Sort=A","Dates=H","DateFormat=P","Fill=—","Direction=H","UseDPDF=Y")</f>
        <v>3125.89</v>
      </c>
      <c r="V38" s="19">
        <f>_xll.BDH("SRPT US Equity","BS_TOT_ASSET","FQ3 2023","FQ3 2023","Currency=USD","Period=FQ","BEST_FPERIOD_OVERRIDE=FQ","FILING_STATUS=MR","SCALING_FORMAT=MLN","Sort=A","Dates=H","DateFormat=P","Fill=—","Direction=H","UseDPDF=Y")</f>
        <v>3109.7069999999999</v>
      </c>
      <c r="W38" s="19">
        <f>_xll.BDH("SRPT US Equity","BS_TOT_ASSET","FQ4 2023","FQ4 2023","Currency=USD","Period=FQ","BEST_FPERIOD_OVERRIDE=FQ","FILING_STATUS=MR","SCALING_FORMAT=MLN","Sort=A","Dates=H","DateFormat=P","Fill=—","Direction=H","UseDPDF=Y")</f>
        <v>3264.576</v>
      </c>
      <c r="X38" s="19">
        <f>_xll.BDH("SRPT US Equity","BS_TOT_ASSET","FQ1 2024","FQ1 2024","Currency=USD","Period=FQ","BEST_FPERIOD_OVERRIDE=FQ","FILING_STATUS=MR","SCALING_FORMAT=MLN","Sort=A","Dates=H","DateFormat=P","Fill=—","Direction=H","UseDPDF=Y")</f>
        <v>3224.3850000000002</v>
      </c>
      <c r="Y38" s="19">
        <f>_xll.BDH("SRPT US Equity","BS_TOT_ASSET","FQ2 2024","FQ2 2024","Currency=USD","Period=FQ","BEST_FPERIOD_OVERRIDE=FQ","FILING_STATUS=MR","SCALING_FORMAT=MLN","Sort=A","Dates=H","DateFormat=P","Fill=—","Direction=H","UseDPDF=Y")</f>
        <v>3424.2570000000001</v>
      </c>
      <c r="Z38" s="19">
        <f>_xll.BDH("SRPT US Equity","BS_TOT_ASSET","FQ3 2024","FQ3 2024","Currency=USD","Period=FQ","BEST_FPERIOD_OVERRIDE=FQ","FILING_STATUS=MR","SCALING_FORMAT=MLN","Sort=A","Dates=H","DateFormat=P","Fill=—","Direction=H","UseDPDF=Y")</f>
        <v>3599.9340000000002</v>
      </c>
      <c r="AA38" s="19">
        <f>_xll.BDH("SRPT US Equity","BS_TOT_ASSET","FQ4 2024","FQ4 2024","Currency=USD","Period=FQ","BEST_FPERIOD_OVERRIDE=FQ","FILING_STATUS=MR","SCALING_FORMAT=MLN","Sort=A","Dates=H","DateFormat=P","Fill=—","Direction=H","UseDPDF=Y")</f>
        <v>3963.1729999999998</v>
      </c>
    </row>
    <row r="39" spans="1:27" x14ac:dyDescent="0.25">
      <c r="A39" s="6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x14ac:dyDescent="0.25">
      <c r="A40" s="6" t="s">
        <v>750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 x14ac:dyDescent="0.25">
      <c r="A41" s="10" t="s">
        <v>751</v>
      </c>
      <c r="B41" s="10" t="s">
        <v>752</v>
      </c>
      <c r="C41" s="13">
        <f>_xll.BDH("SRPT US Equity","ACCT_PAYABLE_ACCRUALS_DETAILED","FQ4 2018","FQ4 2018","Currency=USD","Period=FQ","BEST_FPERIOD_OVERRIDE=FQ","FILING_STATUS=MR","SCALING_FORMAT=MLN","Sort=A","Dates=H","DateFormat=P","Fill=—","Direction=H","UseDPDF=Y")</f>
        <v>167.92400000000001</v>
      </c>
      <c r="D41" s="13">
        <f>_xll.BDH("SRPT US Equity","ACCT_PAYABLE_ACCRUALS_DETAILED","FQ1 2019","FQ1 2019","Currency=USD","Period=FQ","BEST_FPERIOD_OVERRIDE=FQ","FILING_STATUS=MR","SCALING_FORMAT=MLN","Sort=A","Dates=H","DateFormat=P","Fill=—","Direction=H","UseDPDF=Y")</f>
        <v>119.855</v>
      </c>
      <c r="E41" s="13">
        <f>_xll.BDH("SRPT US Equity","ACCT_PAYABLE_ACCRUALS_DETAILED","FQ2 2019","FQ2 2019","Currency=USD","Period=FQ","BEST_FPERIOD_OVERRIDE=FQ","FILING_STATUS=MR","SCALING_FORMAT=MLN","Sort=A","Dates=H","DateFormat=P","Fill=—","Direction=H","UseDPDF=Y")</f>
        <v>144.21199999999999</v>
      </c>
      <c r="F41" s="13">
        <f>_xll.BDH("SRPT US Equity","ACCT_PAYABLE_ACCRUALS_DETAILED","FQ3 2019","FQ3 2019","Currency=USD","Period=FQ","BEST_FPERIOD_OVERRIDE=FQ","FILING_STATUS=MR","SCALING_FORMAT=MLN","Sort=A","Dates=H","DateFormat=P","Fill=—","Direction=H","UseDPDF=Y")</f>
        <v>196.01300000000001</v>
      </c>
      <c r="G41" s="13">
        <f>_xll.BDH("SRPT US Equity","ACCT_PAYABLE_ACCRUALS_DETAILED","FQ4 2019","FQ4 2019","Currency=USD","Period=FQ","BEST_FPERIOD_OVERRIDE=FQ","FILING_STATUS=MR","SCALING_FORMAT=MLN","Sort=A","Dates=H","DateFormat=P","Fill=—","Direction=H","UseDPDF=Y")</f>
        <v>245.77500000000001</v>
      </c>
      <c r="H41" s="13">
        <f>_xll.BDH("SRPT US Equity","ACCT_PAYABLE_ACCRUALS_DETAILED","FQ1 2020","FQ1 2020","Currency=USD","Period=FQ","BEST_FPERIOD_OVERRIDE=FQ","FILING_STATUS=MR","SCALING_FORMAT=MLN","Sort=A","Dates=H","DateFormat=P","Fill=—","Direction=H","UseDPDF=Y")</f>
        <v>202.893</v>
      </c>
      <c r="I41" s="13">
        <f>_xll.BDH("SRPT US Equity","ACCT_PAYABLE_ACCRUALS_DETAILED","FQ2 2020","FQ2 2020","Currency=USD","Period=FQ","BEST_FPERIOD_OVERRIDE=FQ","FILING_STATUS=MR","SCALING_FORMAT=MLN","Sort=A","Dates=H","DateFormat=P","Fill=—","Direction=H","UseDPDF=Y")</f>
        <v>250.74799999999999</v>
      </c>
      <c r="J41" s="13">
        <f>_xll.BDH("SRPT US Equity","ACCT_PAYABLE_ACCRUALS_DETAILED","FQ3 2020","FQ3 2020","Currency=USD","Period=FQ","BEST_FPERIOD_OVERRIDE=FQ","FILING_STATUS=MR","SCALING_FORMAT=MLN","Sort=A","Dates=H","DateFormat=P","Fill=—","Direction=H","UseDPDF=Y")</f>
        <v>273.59100000000001</v>
      </c>
      <c r="K41" s="13">
        <f>_xll.BDH("SRPT US Equity","ACCT_PAYABLE_ACCRUALS_DETAILED","FQ4 2020","FQ4 2020","Currency=USD","Period=FQ","BEST_FPERIOD_OVERRIDE=FQ","FILING_STATUS=MR","SCALING_FORMAT=MLN","Sort=A","Dates=H","DateFormat=P","Fill=—","Direction=H","UseDPDF=Y")</f>
        <v>283.71300000000002</v>
      </c>
      <c r="L41" s="13">
        <f>_xll.BDH("SRPT US Equity","ACCT_PAYABLE_ACCRUALS_DETAILED","FQ1 2021","FQ1 2021","Currency=USD","Period=FQ","BEST_FPERIOD_OVERRIDE=FQ","FILING_STATUS=MR","SCALING_FORMAT=MLN","Sort=A","Dates=H","DateFormat=P","Fill=—","Direction=H","UseDPDF=Y")</f>
        <v>257.28699999999998</v>
      </c>
      <c r="M41" s="13">
        <f>_xll.BDH("SRPT US Equity","ACCT_PAYABLE_ACCRUALS_DETAILED","FQ2 2021","FQ2 2021","Currency=USD","Period=FQ","BEST_FPERIOD_OVERRIDE=FQ","FILING_STATUS=MR","SCALING_FORMAT=MLN","Sort=A","Dates=H","DateFormat=P","Fill=—","Direction=H","UseDPDF=Y")</f>
        <v>316.822</v>
      </c>
      <c r="N41" s="13">
        <f>_xll.BDH("SRPT US Equity","ACCT_PAYABLE_ACCRUALS_DETAILED","FQ3 2021","FQ3 2021","Currency=USD","Period=FQ","BEST_FPERIOD_OVERRIDE=FQ","FILING_STATUS=MR","SCALING_FORMAT=MLN","Sort=A","Dates=H","DateFormat=P","Fill=—","Direction=H","UseDPDF=Y")</f>
        <v>265.17200000000003</v>
      </c>
      <c r="O41" s="13">
        <f>_xll.BDH("SRPT US Equity","ACCT_PAYABLE_ACCRUALS_DETAILED","FQ4 2021","FQ4 2021","Currency=USD","Period=FQ","BEST_FPERIOD_OVERRIDE=FQ","FILING_STATUS=MR","SCALING_FORMAT=MLN","Sort=A","Dates=H","DateFormat=P","Fill=—","Direction=H","UseDPDF=Y")</f>
        <v>333.38900000000001</v>
      </c>
      <c r="P41" s="13">
        <f>_xll.BDH("SRPT US Equity","ACCT_PAYABLE_ACCRUALS_DETAILED","FQ1 2022","FQ1 2022","Currency=USD","Period=FQ","BEST_FPERIOD_OVERRIDE=FQ","FILING_STATUS=MR","SCALING_FORMAT=MLN","Sort=A","Dates=H","DateFormat=P","Fill=—","Direction=H","UseDPDF=Y")</f>
        <v>347.91500000000002</v>
      </c>
      <c r="Q41" s="13">
        <f>_xll.BDH("SRPT US Equity","ACCT_PAYABLE_ACCRUALS_DETAILED","FQ2 2022","FQ2 2022","Currency=USD","Period=FQ","BEST_FPERIOD_OVERRIDE=FQ","FILING_STATUS=MR","SCALING_FORMAT=MLN","Sort=A","Dates=H","DateFormat=P","Fill=—","Direction=H","UseDPDF=Y")</f>
        <v>439.90600000000001</v>
      </c>
      <c r="R41" s="13">
        <f>_xll.BDH("SRPT US Equity","ACCT_PAYABLE_ACCRUALS_DETAILED","FQ3 2022","FQ3 2022","Currency=USD","Period=FQ","BEST_FPERIOD_OVERRIDE=FQ","FILING_STATUS=MR","SCALING_FORMAT=MLN","Sort=A","Dates=H","DateFormat=P","Fill=—","Direction=H","UseDPDF=Y")</f>
        <v>487.459</v>
      </c>
      <c r="S41" s="13">
        <f>_xll.BDH("SRPT US Equity","ACCT_PAYABLE_ACCRUALS_DETAILED","FQ4 2022","FQ4 2022","Currency=USD","Period=FQ","BEST_FPERIOD_OVERRIDE=FQ","FILING_STATUS=MR","SCALING_FORMAT=MLN","Sort=A","Dates=H","DateFormat=P","Fill=—","Direction=H","UseDPDF=Y")</f>
        <v>499.38200000000001</v>
      </c>
      <c r="T41" s="13">
        <f>_xll.BDH("SRPT US Equity","ACCT_PAYABLE_ACCRUALS_DETAILED","FQ1 2023","FQ1 2023","Currency=USD","Period=FQ","BEST_FPERIOD_OVERRIDE=FQ","FILING_STATUS=MR","SCALING_FORMAT=MLN","Sort=A","Dates=H","DateFormat=P","Fill=—","Direction=H","UseDPDF=Y")</f>
        <v>452.26400000000001</v>
      </c>
      <c r="U41" s="13">
        <f>_xll.BDH("SRPT US Equity","ACCT_PAYABLE_ACCRUALS_DETAILED","FQ2 2023","FQ2 2023","Currency=USD","Period=FQ","BEST_FPERIOD_OVERRIDE=FQ","FILING_STATUS=MR","SCALING_FORMAT=MLN","Sort=A","Dates=H","DateFormat=P","Fill=—","Direction=H","UseDPDF=Y")</f>
        <v>436.673</v>
      </c>
      <c r="V41" s="13">
        <f>_xll.BDH("SRPT US Equity","ACCT_PAYABLE_ACCRUALS_DETAILED","FQ3 2023","FQ3 2023","Currency=USD","Period=FQ","BEST_FPERIOD_OVERRIDE=FQ","FILING_STATUS=MR","SCALING_FORMAT=MLN","Sort=A","Dates=H","DateFormat=P","Fill=—","Direction=H","UseDPDF=Y")</f>
        <v>392.34699999999998</v>
      </c>
      <c r="W41" s="13">
        <f>_xll.BDH("SRPT US Equity","ACCT_PAYABLE_ACCRUALS_DETAILED","FQ4 2023","FQ4 2023","Currency=USD","Period=FQ","BEST_FPERIOD_OVERRIDE=FQ","FILING_STATUS=MR","SCALING_FORMAT=MLN","Sort=A","Dates=H","DateFormat=P","Fill=—","Direction=H","UseDPDF=Y")</f>
        <v>462.07</v>
      </c>
      <c r="X41" s="13">
        <f>_xll.BDH("SRPT US Equity","ACCT_PAYABLE_ACCRUALS_DETAILED","FQ1 2024","FQ1 2024","Currency=USD","Period=FQ","BEST_FPERIOD_OVERRIDE=FQ","FILING_STATUS=MR","SCALING_FORMAT=MLN","Sort=A","Dates=H","DateFormat=P","Fill=—","Direction=H","UseDPDF=Y")</f>
        <v>374.85300000000001</v>
      </c>
      <c r="Y41" s="13">
        <f>_xll.BDH("SRPT US Equity","ACCT_PAYABLE_ACCRUALS_DETAILED","FQ2 2024","FQ2 2024","Currency=USD","Period=FQ","BEST_FPERIOD_OVERRIDE=FQ","FILING_STATUS=MR","SCALING_FORMAT=MLN","Sort=A","Dates=H","DateFormat=P","Fill=—","Direction=H","UseDPDF=Y")</f>
        <v>457.82100000000003</v>
      </c>
      <c r="Z41" s="13">
        <f>_xll.BDH("SRPT US Equity","ACCT_PAYABLE_ACCRUALS_DETAILED","FQ3 2024","FQ3 2024","Currency=USD","Period=FQ","BEST_FPERIOD_OVERRIDE=FQ","FILING_STATUS=MR","SCALING_FORMAT=MLN","Sort=A","Dates=H","DateFormat=P","Fill=—","Direction=H","UseDPDF=Y")</f>
        <v>463.60399999999998</v>
      </c>
      <c r="AA41" s="13">
        <f>_xll.BDH("SRPT US Equity","ACCT_PAYABLE_ACCRUALS_DETAILED","FQ4 2024","FQ4 2024","Currency=USD","Period=FQ","BEST_FPERIOD_OVERRIDE=FQ","FILING_STATUS=MR","SCALING_FORMAT=MLN","Sort=A","Dates=H","DateFormat=P","Fill=—","Direction=H","UseDPDF=Y")</f>
        <v>574.48199999999997</v>
      </c>
    </row>
    <row r="42" spans="1:27" x14ac:dyDescent="0.25">
      <c r="A42" s="10" t="s">
        <v>753</v>
      </c>
      <c r="B42" s="10" t="s">
        <v>754</v>
      </c>
      <c r="C42" s="13">
        <f>_xll.BDH("SRPT US Equity","BS_ACCT_PAYABLE","FQ4 2018","FQ4 2018","Currency=USD","Period=FQ","BEST_FPERIOD_OVERRIDE=FQ","FILING_STATUS=MR","SCALING_FORMAT=MLN","Sort=A","Dates=H","DateFormat=P","Fill=—","Direction=H","UseDPDF=Y")</f>
        <v>33.829000000000001</v>
      </c>
      <c r="D42" s="13">
        <f>_xll.BDH("SRPT US Equity","BS_ACCT_PAYABLE","FQ1 2019","FQ1 2019","Currency=USD","Period=FQ","BEST_FPERIOD_OVERRIDE=FQ","FILING_STATUS=MR","SCALING_FORMAT=MLN","Sort=A","Dates=H","DateFormat=P","Fill=—","Direction=H","UseDPDF=Y")</f>
        <v>26.498999999999999</v>
      </c>
      <c r="E42" s="13">
        <f>_xll.BDH("SRPT US Equity","BS_ACCT_PAYABLE","FQ2 2019","FQ2 2019","Currency=USD","Period=FQ","BEST_FPERIOD_OVERRIDE=FQ","FILING_STATUS=MR","SCALING_FORMAT=MLN","Sort=A","Dates=H","DateFormat=P","Fill=—","Direction=H","UseDPDF=Y")</f>
        <v>44.045000000000002</v>
      </c>
      <c r="F42" s="13">
        <f>_xll.BDH("SRPT US Equity","BS_ACCT_PAYABLE","FQ3 2019","FQ3 2019","Currency=USD","Period=FQ","BEST_FPERIOD_OVERRIDE=FQ","FILING_STATUS=MR","SCALING_FORMAT=MLN","Sort=A","Dates=H","DateFormat=P","Fill=—","Direction=H","UseDPDF=Y")</f>
        <v>81.945999999999998</v>
      </c>
      <c r="G42" s="13">
        <f>_xll.BDH("SRPT US Equity","BS_ACCT_PAYABLE","FQ4 2019","FQ4 2019","Currency=USD","Period=FQ","BEST_FPERIOD_OVERRIDE=FQ","FILING_STATUS=MR","SCALING_FORMAT=MLN","Sort=A","Dates=H","DateFormat=P","Fill=—","Direction=H","UseDPDF=Y")</f>
        <v>68.093999999999994</v>
      </c>
      <c r="H42" s="13">
        <f>_xll.BDH("SRPT US Equity","BS_ACCT_PAYABLE","FQ1 2020","FQ1 2020","Currency=USD","Period=FQ","BEST_FPERIOD_OVERRIDE=FQ","FILING_STATUS=MR","SCALING_FORMAT=MLN","Sort=A","Dates=H","DateFormat=P","Fill=—","Direction=H","UseDPDF=Y")</f>
        <v>26.594999999999999</v>
      </c>
      <c r="I42" s="13">
        <f>_xll.BDH("SRPT US Equity","BS_ACCT_PAYABLE","FQ2 2020","FQ2 2020","Currency=USD","Period=FQ","BEST_FPERIOD_OVERRIDE=FQ","FILING_STATUS=MR","SCALING_FORMAT=MLN","Sort=A","Dates=H","DateFormat=P","Fill=—","Direction=H","UseDPDF=Y")</f>
        <v>91.66</v>
      </c>
      <c r="J42" s="13">
        <f>_xll.BDH("SRPT US Equity","BS_ACCT_PAYABLE","FQ3 2020","FQ3 2020","Currency=USD","Period=FQ","BEST_FPERIOD_OVERRIDE=FQ","FILING_STATUS=MR","SCALING_FORMAT=MLN","Sort=A","Dates=H","DateFormat=P","Fill=—","Direction=H","UseDPDF=Y")</f>
        <v>74.528000000000006</v>
      </c>
      <c r="K42" s="13">
        <f>_xll.BDH("SRPT US Equity","BS_ACCT_PAYABLE","FQ4 2020","FQ4 2020","Currency=USD","Period=FQ","BEST_FPERIOD_OVERRIDE=FQ","FILING_STATUS=MR","SCALING_FORMAT=MLN","Sort=A","Dates=H","DateFormat=P","Fill=—","Direction=H","UseDPDF=Y")</f>
        <v>111.09</v>
      </c>
      <c r="L42" s="13">
        <f>_xll.BDH("SRPT US Equity","BS_ACCT_PAYABLE","FQ1 2021","FQ1 2021","Currency=USD","Period=FQ","BEST_FPERIOD_OVERRIDE=FQ","FILING_STATUS=MR","SCALING_FORMAT=MLN","Sort=A","Dates=H","DateFormat=P","Fill=—","Direction=H","UseDPDF=Y")</f>
        <v>76.650999999999996</v>
      </c>
      <c r="M42" s="13">
        <f>_xll.BDH("SRPT US Equity","BS_ACCT_PAYABLE","FQ2 2021","FQ2 2021","Currency=USD","Period=FQ","BEST_FPERIOD_OVERRIDE=FQ","FILING_STATUS=MR","SCALING_FORMAT=MLN","Sort=A","Dates=H","DateFormat=P","Fill=—","Direction=H","UseDPDF=Y")</f>
        <v>76.680999999999997</v>
      </c>
      <c r="N42" s="13">
        <f>_xll.BDH("SRPT US Equity","BS_ACCT_PAYABLE","FQ3 2021","FQ3 2021","Currency=USD","Period=FQ","BEST_FPERIOD_OVERRIDE=FQ","FILING_STATUS=MR","SCALING_FORMAT=MLN","Sort=A","Dates=H","DateFormat=P","Fill=—","Direction=H","UseDPDF=Y")</f>
        <v>44.162999999999997</v>
      </c>
      <c r="O42" s="13">
        <f>_xll.BDH("SRPT US Equity","BS_ACCT_PAYABLE","FQ4 2021","FQ4 2021","Currency=USD","Period=FQ","BEST_FPERIOD_OVERRIDE=FQ","FILING_STATUS=MR","SCALING_FORMAT=MLN","Sort=A","Dates=H","DateFormat=P","Fill=—","Direction=H","UseDPDF=Y")</f>
        <v>76.741</v>
      </c>
      <c r="P42" s="13">
        <f>_xll.BDH("SRPT US Equity","BS_ACCT_PAYABLE","FQ1 2022","FQ1 2022","Currency=USD","Period=FQ","BEST_FPERIOD_OVERRIDE=FQ","FILING_STATUS=MR","SCALING_FORMAT=MLN","Sort=A","Dates=H","DateFormat=P","Fill=—","Direction=H","UseDPDF=Y")</f>
        <v>54.006999999999998</v>
      </c>
      <c r="Q42" s="13">
        <f>_xll.BDH("SRPT US Equity","BS_ACCT_PAYABLE","FQ2 2022","FQ2 2022","Currency=USD","Period=FQ","BEST_FPERIOD_OVERRIDE=FQ","FILING_STATUS=MR","SCALING_FORMAT=MLN","Sort=A","Dates=H","DateFormat=P","Fill=—","Direction=H","UseDPDF=Y")</f>
        <v>56.207000000000001</v>
      </c>
      <c r="R42" s="13">
        <f>_xll.BDH("SRPT US Equity","BS_ACCT_PAYABLE","FQ3 2022","FQ3 2022","Currency=USD","Period=FQ","BEST_FPERIOD_OVERRIDE=FQ","FILING_STATUS=MR","SCALING_FORMAT=MLN","Sort=A","Dates=H","DateFormat=P","Fill=—","Direction=H","UseDPDF=Y")</f>
        <v>118.461</v>
      </c>
      <c r="S42" s="13">
        <f>_xll.BDH("SRPT US Equity","BS_ACCT_PAYABLE","FQ4 2022","FQ4 2022","Currency=USD","Period=FQ","BEST_FPERIOD_OVERRIDE=FQ","FILING_STATUS=MR","SCALING_FORMAT=MLN","Sort=A","Dates=H","DateFormat=P","Fill=—","Direction=H","UseDPDF=Y")</f>
        <v>95.875</v>
      </c>
      <c r="T42" s="13">
        <f>_xll.BDH("SRPT US Equity","BS_ACCT_PAYABLE","FQ1 2023","FQ1 2023","Currency=USD","Period=FQ","BEST_FPERIOD_OVERRIDE=FQ","FILING_STATUS=MR","SCALING_FORMAT=MLN","Sort=A","Dates=H","DateFormat=P","Fill=—","Direction=H","UseDPDF=Y")</f>
        <v>106.71</v>
      </c>
      <c r="U42" s="13">
        <f>_xll.BDH("SRPT US Equity","BS_ACCT_PAYABLE","FQ2 2023","FQ2 2023","Currency=USD","Period=FQ","BEST_FPERIOD_OVERRIDE=FQ","FILING_STATUS=MR","SCALING_FORMAT=MLN","Sort=A","Dates=H","DateFormat=P","Fill=—","Direction=H","UseDPDF=Y")</f>
        <v>109.79600000000001</v>
      </c>
      <c r="V42" s="13">
        <f>_xll.BDH("SRPT US Equity","BS_ACCT_PAYABLE","FQ3 2023","FQ3 2023","Currency=USD","Period=FQ","BEST_FPERIOD_OVERRIDE=FQ","FILING_STATUS=MR","SCALING_FORMAT=MLN","Sort=A","Dates=H","DateFormat=P","Fill=—","Direction=H","UseDPDF=Y")</f>
        <v>87.947999999999993</v>
      </c>
      <c r="W42" s="13">
        <f>_xll.BDH("SRPT US Equity","BS_ACCT_PAYABLE","FQ4 2023","FQ4 2023","Currency=USD","Period=FQ","BEST_FPERIOD_OVERRIDE=FQ","FILING_STATUS=MR","SCALING_FORMAT=MLN","Sort=A","Dates=H","DateFormat=P","Fill=—","Direction=H","UseDPDF=Y")</f>
        <v>164.91800000000001</v>
      </c>
      <c r="X42" s="13">
        <f>_xll.BDH("SRPT US Equity","BS_ACCT_PAYABLE","FQ1 2024","FQ1 2024","Currency=USD","Period=FQ","BEST_FPERIOD_OVERRIDE=FQ","FILING_STATUS=MR","SCALING_FORMAT=MLN","Sort=A","Dates=H","DateFormat=P","Fill=—","Direction=H","UseDPDF=Y")</f>
        <v>91.536000000000001</v>
      </c>
      <c r="Y42" s="13">
        <f>_xll.BDH("SRPT US Equity","BS_ACCT_PAYABLE","FQ2 2024","FQ2 2024","Currency=USD","Period=FQ","BEST_FPERIOD_OVERRIDE=FQ","FILING_STATUS=MR","SCALING_FORMAT=MLN","Sort=A","Dates=H","DateFormat=P","Fill=—","Direction=H","UseDPDF=Y")</f>
        <v>107.417</v>
      </c>
      <c r="Z42" s="13">
        <f>_xll.BDH("SRPT US Equity","BS_ACCT_PAYABLE","FQ3 2024","FQ3 2024","Currency=USD","Period=FQ","BEST_FPERIOD_OVERRIDE=FQ","FILING_STATUS=MR","SCALING_FORMAT=MLN","Sort=A","Dates=H","DateFormat=P","Fill=—","Direction=H","UseDPDF=Y")</f>
        <v>118.774</v>
      </c>
      <c r="AA42" s="13">
        <f>_xll.BDH("SRPT US Equity","BS_ACCT_PAYABLE","FQ4 2024","FQ4 2024","Currency=USD","Period=FQ","BEST_FPERIOD_OVERRIDE=FQ","FILING_STATUS=MR","SCALING_FORMAT=MLN","Sort=A","Dates=H","DateFormat=P","Fill=—","Direction=H","UseDPDF=Y")</f>
        <v>214.44200000000001</v>
      </c>
    </row>
    <row r="43" spans="1:27" x14ac:dyDescent="0.25">
      <c r="A43" s="10" t="s">
        <v>755</v>
      </c>
      <c r="B43" s="10" t="s">
        <v>756</v>
      </c>
      <c r="C43" s="13">
        <f>_xll.BDH("SRPT US Equity","BS_ACCRUAL","FQ4 2018","FQ4 2018","Currency=USD","Period=FQ","BEST_FPERIOD_OVERRIDE=FQ","FILING_STATUS=MR","SCALING_FORMAT=MLN","Sort=A","Dates=H","DateFormat=P","Fill=—","Direction=H","UseDPDF=Y")</f>
        <v>134.095</v>
      </c>
      <c r="D43" s="13">
        <f>_xll.BDH("SRPT US Equity","BS_ACCRUAL","FQ1 2019","FQ1 2019","Currency=USD","Period=FQ","BEST_FPERIOD_OVERRIDE=FQ","FILING_STATUS=MR","SCALING_FORMAT=MLN","Sort=A","Dates=H","DateFormat=P","Fill=—","Direction=H","UseDPDF=Y")</f>
        <v>93.355999999999995</v>
      </c>
      <c r="E43" s="13">
        <f>_xll.BDH("SRPT US Equity","BS_ACCRUAL","FQ2 2019","FQ2 2019","Currency=USD","Period=FQ","BEST_FPERIOD_OVERRIDE=FQ","FILING_STATUS=MR","SCALING_FORMAT=MLN","Sort=A","Dates=H","DateFormat=P","Fill=—","Direction=H","UseDPDF=Y")</f>
        <v>100.167</v>
      </c>
      <c r="F43" s="13">
        <f>_xll.BDH("SRPT US Equity","BS_ACCRUAL","FQ3 2019","FQ3 2019","Currency=USD","Period=FQ","BEST_FPERIOD_OVERRIDE=FQ","FILING_STATUS=MR","SCALING_FORMAT=MLN","Sort=A","Dates=H","DateFormat=P","Fill=—","Direction=H","UseDPDF=Y")</f>
        <v>114.06699999999999</v>
      </c>
      <c r="G43" s="13">
        <f>_xll.BDH("SRPT US Equity","BS_ACCRUAL","FQ4 2019","FQ4 2019","Currency=USD","Period=FQ","BEST_FPERIOD_OVERRIDE=FQ","FILING_STATUS=MR","SCALING_FORMAT=MLN","Sort=A","Dates=H","DateFormat=P","Fill=—","Direction=H","UseDPDF=Y")</f>
        <v>177.68100000000001</v>
      </c>
      <c r="H43" s="13">
        <f>_xll.BDH("SRPT US Equity","BS_ACCRUAL","FQ1 2020","FQ1 2020","Currency=USD","Period=FQ","BEST_FPERIOD_OVERRIDE=FQ","FILING_STATUS=MR","SCALING_FORMAT=MLN","Sort=A","Dates=H","DateFormat=P","Fill=—","Direction=H","UseDPDF=Y")</f>
        <v>176.298</v>
      </c>
      <c r="I43" s="13">
        <f>_xll.BDH("SRPT US Equity","BS_ACCRUAL","FQ2 2020","FQ2 2020","Currency=USD","Period=FQ","BEST_FPERIOD_OVERRIDE=FQ","FILING_STATUS=MR","SCALING_FORMAT=MLN","Sort=A","Dates=H","DateFormat=P","Fill=—","Direction=H","UseDPDF=Y")</f>
        <v>159.08799999999999</v>
      </c>
      <c r="J43" s="13">
        <f>_xll.BDH("SRPT US Equity","BS_ACCRUAL","FQ3 2020","FQ3 2020","Currency=USD","Period=FQ","BEST_FPERIOD_OVERRIDE=FQ","FILING_STATUS=MR","SCALING_FORMAT=MLN","Sort=A","Dates=H","DateFormat=P","Fill=—","Direction=H","UseDPDF=Y")</f>
        <v>199.06299999999999</v>
      </c>
      <c r="K43" s="13">
        <f>_xll.BDH("SRPT US Equity","BS_ACCRUAL","FQ4 2020","FQ4 2020","Currency=USD","Period=FQ","BEST_FPERIOD_OVERRIDE=FQ","FILING_STATUS=MR","SCALING_FORMAT=MLN","Sort=A","Dates=H","DateFormat=P","Fill=—","Direction=H","UseDPDF=Y")</f>
        <v>172.62299999999999</v>
      </c>
      <c r="L43" s="13">
        <f>_xll.BDH("SRPT US Equity","BS_ACCRUAL","FQ1 2021","FQ1 2021","Currency=USD","Period=FQ","BEST_FPERIOD_OVERRIDE=FQ","FILING_STATUS=MR","SCALING_FORMAT=MLN","Sort=A","Dates=H","DateFormat=P","Fill=—","Direction=H","UseDPDF=Y")</f>
        <v>180.636</v>
      </c>
      <c r="M43" s="13">
        <f>_xll.BDH("SRPT US Equity","BS_ACCRUAL","FQ2 2021","FQ2 2021","Currency=USD","Period=FQ","BEST_FPERIOD_OVERRIDE=FQ","FILING_STATUS=MR","SCALING_FORMAT=MLN","Sort=A","Dates=H","DateFormat=P","Fill=—","Direction=H","UseDPDF=Y")</f>
        <v>240.14099999999999</v>
      </c>
      <c r="N43" s="13">
        <f>_xll.BDH("SRPT US Equity","BS_ACCRUAL","FQ3 2021","FQ3 2021","Currency=USD","Period=FQ","BEST_FPERIOD_OVERRIDE=FQ","FILING_STATUS=MR","SCALING_FORMAT=MLN","Sort=A","Dates=H","DateFormat=P","Fill=—","Direction=H","UseDPDF=Y")</f>
        <v>221.00899999999999</v>
      </c>
      <c r="O43" s="13">
        <f>_xll.BDH("SRPT US Equity","BS_ACCRUAL","FQ4 2021","FQ4 2021","Currency=USD","Period=FQ","BEST_FPERIOD_OVERRIDE=FQ","FILING_STATUS=MR","SCALING_FORMAT=MLN","Sort=A","Dates=H","DateFormat=P","Fill=—","Direction=H","UseDPDF=Y")</f>
        <v>256.64800000000002</v>
      </c>
      <c r="P43" s="13">
        <f>_xll.BDH("SRPT US Equity","BS_ACCRUAL","FQ1 2022","FQ1 2022","Currency=USD","Period=FQ","BEST_FPERIOD_OVERRIDE=FQ","FILING_STATUS=MR","SCALING_FORMAT=MLN","Sort=A","Dates=H","DateFormat=P","Fill=—","Direction=H","UseDPDF=Y")</f>
        <v>293.90800000000002</v>
      </c>
      <c r="Q43" s="13">
        <f>_xll.BDH("SRPT US Equity","BS_ACCRUAL","FQ2 2022","FQ2 2022","Currency=USD","Period=FQ","BEST_FPERIOD_OVERRIDE=FQ","FILING_STATUS=MR","SCALING_FORMAT=MLN","Sort=A","Dates=H","DateFormat=P","Fill=—","Direction=H","UseDPDF=Y")</f>
        <v>383.69900000000001</v>
      </c>
      <c r="R43" s="13">
        <f>_xll.BDH("SRPT US Equity","BS_ACCRUAL","FQ3 2022","FQ3 2022","Currency=USD","Period=FQ","BEST_FPERIOD_OVERRIDE=FQ","FILING_STATUS=MR","SCALING_FORMAT=MLN","Sort=A","Dates=H","DateFormat=P","Fill=—","Direction=H","UseDPDF=Y")</f>
        <v>368.99799999999999</v>
      </c>
      <c r="S43" s="13">
        <f>_xll.BDH("SRPT US Equity","BS_ACCRUAL","FQ4 2022","FQ4 2022","Currency=USD","Period=FQ","BEST_FPERIOD_OVERRIDE=FQ","FILING_STATUS=MR","SCALING_FORMAT=MLN","Sort=A","Dates=H","DateFormat=P","Fill=—","Direction=H","UseDPDF=Y")</f>
        <v>403.50700000000001</v>
      </c>
      <c r="T43" s="13">
        <f>_xll.BDH("SRPT US Equity","BS_ACCRUAL","FQ1 2023","FQ1 2023","Currency=USD","Period=FQ","BEST_FPERIOD_OVERRIDE=FQ","FILING_STATUS=MR","SCALING_FORMAT=MLN","Sort=A","Dates=H","DateFormat=P","Fill=—","Direction=H","UseDPDF=Y")</f>
        <v>345.55399999999997</v>
      </c>
      <c r="U43" s="13">
        <f>_xll.BDH("SRPT US Equity","BS_ACCRUAL","FQ2 2023","FQ2 2023","Currency=USD","Period=FQ","BEST_FPERIOD_OVERRIDE=FQ","FILING_STATUS=MR","SCALING_FORMAT=MLN","Sort=A","Dates=H","DateFormat=P","Fill=—","Direction=H","UseDPDF=Y")</f>
        <v>326.87700000000001</v>
      </c>
      <c r="V43" s="13">
        <f>_xll.BDH("SRPT US Equity","BS_ACCRUAL","FQ3 2023","FQ3 2023","Currency=USD","Period=FQ","BEST_FPERIOD_OVERRIDE=FQ","FILING_STATUS=MR","SCALING_FORMAT=MLN","Sort=A","Dates=H","DateFormat=P","Fill=—","Direction=H","UseDPDF=Y")</f>
        <v>304.399</v>
      </c>
      <c r="W43" s="13">
        <f>_xll.BDH("SRPT US Equity","BS_ACCRUAL","FQ4 2023","FQ4 2023","Currency=USD","Period=FQ","BEST_FPERIOD_OVERRIDE=FQ","FILING_STATUS=MR","SCALING_FORMAT=MLN","Sort=A","Dates=H","DateFormat=P","Fill=—","Direction=H","UseDPDF=Y")</f>
        <v>297.15199999999999</v>
      </c>
      <c r="X43" s="13">
        <f>_xll.BDH("SRPT US Equity","BS_ACCRUAL","FQ1 2024","FQ1 2024","Currency=USD","Period=FQ","BEST_FPERIOD_OVERRIDE=FQ","FILING_STATUS=MR","SCALING_FORMAT=MLN","Sort=A","Dates=H","DateFormat=P","Fill=—","Direction=H","UseDPDF=Y")</f>
        <v>283.31700000000001</v>
      </c>
      <c r="Y43" s="13">
        <f>_xll.BDH("SRPT US Equity","BS_ACCRUAL","FQ2 2024","FQ2 2024","Currency=USD","Period=FQ","BEST_FPERIOD_OVERRIDE=FQ","FILING_STATUS=MR","SCALING_FORMAT=MLN","Sort=A","Dates=H","DateFormat=P","Fill=—","Direction=H","UseDPDF=Y")</f>
        <v>350.404</v>
      </c>
      <c r="Z43" s="13">
        <f>_xll.BDH("SRPT US Equity","BS_ACCRUAL","FQ3 2024","FQ3 2024","Currency=USD","Period=FQ","BEST_FPERIOD_OVERRIDE=FQ","FILING_STATUS=MR","SCALING_FORMAT=MLN","Sort=A","Dates=H","DateFormat=P","Fill=—","Direction=H","UseDPDF=Y")</f>
        <v>344.83</v>
      </c>
      <c r="AA43" s="13">
        <f>_xll.BDH("SRPT US Equity","BS_ACCRUAL","FQ4 2024","FQ4 2024","Currency=USD","Period=FQ","BEST_FPERIOD_OVERRIDE=FQ","FILING_STATUS=MR","SCALING_FORMAT=MLN","Sort=A","Dates=H","DateFormat=P","Fill=—","Direction=H","UseDPDF=Y")</f>
        <v>360.04</v>
      </c>
    </row>
    <row r="44" spans="1:27" x14ac:dyDescent="0.25">
      <c r="A44" s="10" t="s">
        <v>757</v>
      </c>
      <c r="B44" s="10" t="s">
        <v>758</v>
      </c>
      <c r="C44" s="13">
        <f>_xll.BDH("SRPT US Equity","BS_ST_BORROW","FQ4 2018","FQ4 2018","Currency=USD","Period=FQ","BEST_FPERIOD_OVERRIDE=FQ","FILING_STATUS=MR","SCALING_FORMAT=MLN","Sort=A","Dates=H","DateFormat=P","Fill=—","Direction=H","UseDPDF=Y")</f>
        <v>0</v>
      </c>
      <c r="D44" s="13">
        <f>_xll.BDH("SRPT US Equity","BS_ST_BORROW","FQ1 2019","FQ1 2019","Currency=USD","Period=FQ","BEST_FPERIOD_OVERRIDE=FQ","FILING_STATUS=MR","SCALING_FORMAT=MLN","Sort=A","Dates=H","DateFormat=P","Fill=—","Direction=H","UseDPDF=Y")</f>
        <v>6.7640000000000002</v>
      </c>
      <c r="E44" s="13">
        <f>_xll.BDH("SRPT US Equity","BS_ST_BORROW","FQ2 2019","FQ2 2019","Currency=USD","Period=FQ","BEST_FPERIOD_OVERRIDE=FQ","FILING_STATUS=MR","SCALING_FORMAT=MLN","Sort=A","Dates=H","DateFormat=P","Fill=—","Direction=H","UseDPDF=Y")</f>
        <v>7.1609999999999996</v>
      </c>
      <c r="F44" s="13">
        <f>_xll.BDH("SRPT US Equity","BS_ST_BORROW","FQ3 2019","FQ3 2019","Currency=USD","Period=FQ","BEST_FPERIOD_OVERRIDE=FQ","FILING_STATUS=MR","SCALING_FORMAT=MLN","Sort=A","Dates=H","DateFormat=P","Fill=—","Direction=H","UseDPDF=Y")</f>
        <v>7.5960000000000001</v>
      </c>
      <c r="G44" s="13">
        <f>_xll.BDH("SRPT US Equity","BS_ST_BORROW","FQ4 2019","FQ4 2019","Currency=USD","Period=FQ","BEST_FPERIOD_OVERRIDE=FQ","FILING_STATUS=MR","SCALING_FORMAT=MLN","Sort=A","Dates=H","DateFormat=P","Fill=—","Direction=H","UseDPDF=Y")</f>
        <v>7.8460000000000001</v>
      </c>
      <c r="H44" s="13">
        <f>_xll.BDH("SRPT US Equity","BS_ST_BORROW","FQ1 2020","FQ1 2020","Currency=USD","Period=FQ","BEST_FPERIOD_OVERRIDE=FQ","FILING_STATUS=MR","SCALING_FORMAT=MLN","Sort=A","Dates=H","DateFormat=P","Fill=—","Direction=H","UseDPDF=Y")</f>
        <v>0</v>
      </c>
      <c r="I44" s="13">
        <f>_xll.BDH("SRPT US Equity","BS_ST_BORROW","FQ2 2020","FQ2 2020","Currency=USD","Period=FQ","BEST_FPERIOD_OVERRIDE=FQ","FILING_STATUS=MR","SCALING_FORMAT=MLN","Sort=A","Dates=H","DateFormat=P","Fill=—","Direction=H","UseDPDF=Y")</f>
        <v>0</v>
      </c>
      <c r="J44" s="13">
        <f>_xll.BDH("SRPT US Equity","BS_ST_BORROW","FQ3 2020","FQ3 2020","Currency=USD","Period=FQ","BEST_FPERIOD_OVERRIDE=FQ","FILING_STATUS=MR","SCALING_FORMAT=MLN","Sort=A","Dates=H","DateFormat=P","Fill=—","Direction=H","UseDPDF=Y")</f>
        <v>0</v>
      </c>
      <c r="K44" s="13">
        <f>_xll.BDH("SRPT US Equity","BS_ST_BORROW","FQ4 2020","FQ4 2020","Currency=USD","Period=FQ","BEST_FPERIOD_OVERRIDE=FQ","FILING_STATUS=MR","SCALING_FORMAT=MLN","Sort=A","Dates=H","DateFormat=P","Fill=—","Direction=H","UseDPDF=Y")</f>
        <v>20.93</v>
      </c>
      <c r="L44" s="13" t="str">
        <f>_xll.BDH("SRPT US Equity","BS_ST_BORROW","FQ1 2021","FQ1 2021","Currency=USD","Period=FQ","BEST_FPERIOD_OVERRIDE=FQ","FILING_STATUS=MR","SCALING_FORMAT=MLN","Sort=A","Dates=H","DateFormat=P","Fill=—","Direction=H","UseDPDF=Y")</f>
        <v>—</v>
      </c>
      <c r="M44" s="13">
        <f>_xll.BDH("SRPT US Equity","BS_ST_BORROW","FQ2 2021","FQ2 2021","Currency=USD","Period=FQ","BEST_FPERIOD_OVERRIDE=FQ","FILING_STATUS=MR","SCALING_FORMAT=MLN","Sort=A","Dates=H","DateFormat=P","Fill=—","Direction=H","UseDPDF=Y")</f>
        <v>0</v>
      </c>
      <c r="N44" s="13">
        <f>_xll.BDH("SRPT US Equity","BS_ST_BORROW","FQ3 2021","FQ3 2021","Currency=USD","Period=FQ","BEST_FPERIOD_OVERRIDE=FQ","FILING_STATUS=MR","SCALING_FORMAT=MLN","Sort=A","Dates=H","DateFormat=P","Fill=—","Direction=H","UseDPDF=Y")</f>
        <v>0</v>
      </c>
      <c r="O44" s="13">
        <f>_xll.BDH("SRPT US Equity","BS_ST_BORROW","FQ4 2021","FQ4 2021","Currency=USD","Period=FQ","BEST_FPERIOD_OVERRIDE=FQ","FILING_STATUS=MR","SCALING_FORMAT=MLN","Sort=A","Dates=H","DateFormat=P","Fill=—","Direction=H","UseDPDF=Y")</f>
        <v>15.048999999999999</v>
      </c>
      <c r="P44" s="13" t="str">
        <f>_xll.BDH("SRPT US Equity","BS_ST_BORROW","FQ1 2022","FQ1 2022","Currency=USD","Period=FQ","BEST_FPERIOD_OVERRIDE=FQ","FILING_STATUS=MR","SCALING_FORMAT=MLN","Sort=A","Dates=H","DateFormat=P","Fill=—","Direction=H","UseDPDF=Y")</f>
        <v>—</v>
      </c>
      <c r="Q44" s="13">
        <f>_xll.BDH("SRPT US Equity","BS_ST_BORROW","FQ2 2022","FQ2 2022","Currency=USD","Period=FQ","BEST_FPERIOD_OVERRIDE=FQ","FILING_STATUS=MR","SCALING_FORMAT=MLN","Sort=A","Dates=H","DateFormat=P","Fill=—","Direction=H","UseDPDF=Y")</f>
        <v>0</v>
      </c>
      <c r="R44" s="13">
        <f>_xll.BDH("SRPT US Equity","BS_ST_BORROW","FQ3 2022","FQ3 2022","Currency=USD","Period=FQ","BEST_FPERIOD_OVERRIDE=FQ","FILING_STATUS=MR","SCALING_FORMAT=MLN","Sort=A","Dates=H","DateFormat=P","Fill=—","Direction=H","UseDPDF=Y")</f>
        <v>0</v>
      </c>
      <c r="S44" s="13">
        <f>_xll.BDH("SRPT US Equity","BS_ST_BORROW","FQ4 2022","FQ4 2022","Currency=USD","Period=FQ","BEST_FPERIOD_OVERRIDE=FQ","FILING_STATUS=MR","SCALING_FORMAT=MLN","Sort=A","Dates=H","DateFormat=P","Fill=—","Direction=H","UseDPDF=Y")</f>
        <v>15.489000000000001</v>
      </c>
      <c r="T44" s="13">
        <f>_xll.BDH("SRPT US Equity","BS_ST_BORROW","FQ1 2023","FQ1 2023","Currency=USD","Period=FQ","BEST_FPERIOD_OVERRIDE=FQ","FILING_STATUS=MR","SCALING_FORMAT=MLN","Sort=A","Dates=H","DateFormat=P","Fill=—","Direction=H","UseDPDF=Y")</f>
        <v>0</v>
      </c>
      <c r="U44" s="13">
        <f>_xll.BDH("SRPT US Equity","BS_ST_BORROW","FQ2 2023","FQ2 2023","Currency=USD","Period=FQ","BEST_FPERIOD_OVERRIDE=FQ","FILING_STATUS=MR","SCALING_FORMAT=MLN","Sort=A","Dates=H","DateFormat=P","Fill=—","Direction=H","UseDPDF=Y")</f>
        <v>0</v>
      </c>
      <c r="V44" s="13">
        <f>_xll.BDH("SRPT US Equity","BS_ST_BORROW","FQ3 2023","FQ3 2023","Currency=USD","Period=FQ","BEST_FPERIOD_OVERRIDE=FQ","FILING_STATUS=MR","SCALING_FORMAT=MLN","Sort=A","Dates=H","DateFormat=P","Fill=—","Direction=H","UseDPDF=Y")</f>
        <v>17.951000000000001</v>
      </c>
      <c r="W44" s="13">
        <f>_xll.BDH("SRPT US Equity","BS_ST_BORROW","FQ4 2023","FQ4 2023","Currency=USD","Period=FQ","BEST_FPERIOD_OVERRIDE=FQ","FILING_STATUS=MR","SCALING_FORMAT=MLN","Sort=A","Dates=H","DateFormat=P","Fill=—","Direction=H","UseDPDF=Y")</f>
        <v>123.328</v>
      </c>
      <c r="X44" s="13">
        <f>_xll.BDH("SRPT US Equity","BS_ST_BORROW","FQ1 2024","FQ1 2024","Currency=USD","Period=FQ","BEST_FPERIOD_OVERRIDE=FQ","FILING_STATUS=MR","SCALING_FORMAT=MLN","Sort=A","Dates=H","DateFormat=P","Fill=—","Direction=H","UseDPDF=Y")</f>
        <v>105.586</v>
      </c>
      <c r="Y44" s="13">
        <f>_xll.BDH("SRPT US Equity","BS_ST_BORROW","FQ2 2024","FQ2 2024","Currency=USD","Period=FQ","BEST_FPERIOD_OVERRIDE=FQ","FILING_STATUS=MR","SCALING_FORMAT=MLN","Sort=A","Dates=H","DateFormat=P","Fill=—","Direction=H","UseDPDF=Y")</f>
        <v>91.504999999999995</v>
      </c>
      <c r="Z44" s="13">
        <f>_xll.BDH("SRPT US Equity","BS_ST_BORROW","FQ3 2024","FQ3 2024","Currency=USD","Period=FQ","BEST_FPERIOD_OVERRIDE=FQ","FILING_STATUS=MR","SCALING_FORMAT=MLN","Sort=A","Dates=H","DateFormat=P","Fill=—","Direction=H","UseDPDF=Y")</f>
        <v>91.594999999999999</v>
      </c>
      <c r="AA44" s="13">
        <f>_xll.BDH("SRPT US Equity","BS_ST_BORROW","FQ4 2024","FQ4 2024","Currency=USD","Period=FQ","BEST_FPERIOD_OVERRIDE=FQ","FILING_STATUS=MR","SCALING_FORMAT=MLN","Sort=A","Dates=H","DateFormat=P","Fill=—","Direction=H","UseDPDF=Y")</f>
        <v>13.473000000000001</v>
      </c>
    </row>
    <row r="45" spans="1:27" x14ac:dyDescent="0.25">
      <c r="A45" s="10" t="s">
        <v>759</v>
      </c>
      <c r="B45" s="10" t="s">
        <v>760</v>
      </c>
      <c r="C45" s="13">
        <f>_xll.BDH("SRPT US Equity","SHORT_TERM_DEBT_DETAILED","FQ4 2018","FQ4 2018","Currency=USD","Period=FQ","BEST_FPERIOD_OVERRIDE=FQ","FILING_STATUS=MR","SCALING_FORMAT=MLN","Sort=A","Dates=H","DateFormat=P","Fill=—","Direction=H","UseDPDF=Y")</f>
        <v>0</v>
      </c>
      <c r="D45" s="13">
        <f>_xll.BDH("SRPT US Equity","SHORT_TERM_DEBT_DETAILED","FQ1 2019","FQ1 2019","Currency=USD","Period=FQ","BEST_FPERIOD_OVERRIDE=FQ","FILING_STATUS=MR","SCALING_FORMAT=MLN","Sort=A","Dates=H","DateFormat=P","Fill=—","Direction=H","UseDPDF=Y")</f>
        <v>0</v>
      </c>
      <c r="E45" s="13">
        <f>_xll.BDH("SRPT US Equity","SHORT_TERM_DEBT_DETAILED","FQ2 2019","FQ2 2019","Currency=USD","Period=FQ","BEST_FPERIOD_OVERRIDE=FQ","FILING_STATUS=MR","SCALING_FORMAT=MLN","Sort=A","Dates=H","DateFormat=P","Fill=—","Direction=H","UseDPDF=Y")</f>
        <v>0</v>
      </c>
      <c r="F45" s="13">
        <f>_xll.BDH("SRPT US Equity","SHORT_TERM_DEBT_DETAILED","FQ3 2019","FQ3 2019","Currency=USD","Period=FQ","BEST_FPERIOD_OVERRIDE=FQ","FILING_STATUS=MR","SCALING_FORMAT=MLN","Sort=A","Dates=H","DateFormat=P","Fill=—","Direction=H","UseDPDF=Y")</f>
        <v>0</v>
      </c>
      <c r="G45" s="13">
        <f>_xll.BDH("SRPT US Equity","SHORT_TERM_DEBT_DETAILED","FQ4 2019","FQ4 2019","Currency=USD","Period=FQ","BEST_FPERIOD_OVERRIDE=FQ","FILING_STATUS=MR","SCALING_FORMAT=MLN","Sort=A","Dates=H","DateFormat=P","Fill=—","Direction=H","UseDPDF=Y")</f>
        <v>0</v>
      </c>
      <c r="H45" s="13">
        <f>_xll.BDH("SRPT US Equity","SHORT_TERM_DEBT_DETAILED","FQ1 2020","FQ1 2020","Currency=USD","Period=FQ","BEST_FPERIOD_OVERRIDE=FQ","FILING_STATUS=MR","SCALING_FORMAT=MLN","Sort=A","Dates=H","DateFormat=P","Fill=—","Direction=H","UseDPDF=Y")</f>
        <v>0</v>
      </c>
      <c r="I45" s="13">
        <f>_xll.BDH("SRPT US Equity","SHORT_TERM_DEBT_DETAILED","FQ2 2020","FQ2 2020","Currency=USD","Period=FQ","BEST_FPERIOD_OVERRIDE=FQ","FILING_STATUS=MR","SCALING_FORMAT=MLN","Sort=A","Dates=H","DateFormat=P","Fill=—","Direction=H","UseDPDF=Y")</f>
        <v>0</v>
      </c>
      <c r="J45" s="13">
        <f>_xll.BDH("SRPT US Equity","SHORT_TERM_DEBT_DETAILED","FQ3 2020","FQ3 2020","Currency=USD","Period=FQ","BEST_FPERIOD_OVERRIDE=FQ","FILING_STATUS=MR","SCALING_FORMAT=MLN","Sort=A","Dates=H","DateFormat=P","Fill=—","Direction=H","UseDPDF=Y")</f>
        <v>0</v>
      </c>
      <c r="K45" s="13">
        <f>_xll.BDH("SRPT US Equity","SHORT_TERM_DEBT_DETAILED","FQ4 2020","FQ4 2020","Currency=USD","Period=FQ","BEST_FPERIOD_OVERRIDE=FQ","FILING_STATUS=MR","SCALING_FORMAT=MLN","Sort=A","Dates=H","DateFormat=P","Fill=—","Direction=H","UseDPDF=Y")</f>
        <v>0</v>
      </c>
      <c r="L45" s="13" t="str">
        <f>_xll.BDH("SRPT US Equity","SHORT_TERM_DEBT_DETAILED","FQ1 2021","FQ1 2021","Currency=USD","Period=FQ","BEST_FPERIOD_OVERRIDE=FQ","FILING_STATUS=MR","SCALING_FORMAT=MLN","Sort=A","Dates=H","DateFormat=P","Fill=—","Direction=H","UseDPDF=Y")</f>
        <v>—</v>
      </c>
      <c r="M45" s="13">
        <f>_xll.BDH("SRPT US Equity","SHORT_TERM_DEBT_DETAILED","FQ2 2021","FQ2 2021","Currency=USD","Period=FQ","BEST_FPERIOD_OVERRIDE=FQ","FILING_STATUS=MR","SCALING_FORMAT=MLN","Sort=A","Dates=H","DateFormat=P","Fill=—","Direction=H","UseDPDF=Y")</f>
        <v>0</v>
      </c>
      <c r="N45" s="13">
        <f>_xll.BDH("SRPT US Equity","SHORT_TERM_DEBT_DETAILED","FQ3 2021","FQ3 2021","Currency=USD","Period=FQ","BEST_FPERIOD_OVERRIDE=FQ","FILING_STATUS=MR","SCALING_FORMAT=MLN","Sort=A","Dates=H","DateFormat=P","Fill=—","Direction=H","UseDPDF=Y")</f>
        <v>0</v>
      </c>
      <c r="O45" s="13">
        <f>_xll.BDH("SRPT US Equity","SHORT_TERM_DEBT_DETAILED","FQ4 2021","FQ4 2021","Currency=USD","Period=FQ","BEST_FPERIOD_OVERRIDE=FQ","FILING_STATUS=MR","SCALING_FORMAT=MLN","Sort=A","Dates=H","DateFormat=P","Fill=—","Direction=H","UseDPDF=Y")</f>
        <v>0</v>
      </c>
      <c r="P45" s="13" t="str">
        <f>_xll.BDH("SRPT US Equity","SHORT_TERM_DEBT_DETAILED","FQ1 2022","FQ1 2022","Currency=USD","Period=FQ","BEST_FPERIOD_OVERRIDE=FQ","FILING_STATUS=MR","SCALING_FORMAT=MLN","Sort=A","Dates=H","DateFormat=P","Fill=—","Direction=H","UseDPDF=Y")</f>
        <v>—</v>
      </c>
      <c r="Q45" s="13">
        <f>_xll.BDH("SRPT US Equity","SHORT_TERM_DEBT_DETAILED","FQ2 2022","FQ2 2022","Currency=USD","Period=FQ","BEST_FPERIOD_OVERRIDE=FQ","FILING_STATUS=MR","SCALING_FORMAT=MLN","Sort=A","Dates=H","DateFormat=P","Fill=—","Direction=H","UseDPDF=Y")</f>
        <v>0</v>
      </c>
      <c r="R45" s="13">
        <f>_xll.BDH("SRPT US Equity","SHORT_TERM_DEBT_DETAILED","FQ3 2022","FQ3 2022","Currency=USD","Period=FQ","BEST_FPERIOD_OVERRIDE=FQ","FILING_STATUS=MR","SCALING_FORMAT=MLN","Sort=A","Dates=H","DateFormat=P","Fill=—","Direction=H","UseDPDF=Y")</f>
        <v>0</v>
      </c>
      <c r="S45" s="13">
        <f>_xll.BDH("SRPT US Equity","SHORT_TERM_DEBT_DETAILED","FQ4 2022","FQ4 2022","Currency=USD","Period=FQ","BEST_FPERIOD_OVERRIDE=FQ","FILING_STATUS=MR","SCALING_FORMAT=MLN","Sort=A","Dates=H","DateFormat=P","Fill=—","Direction=H","UseDPDF=Y")</f>
        <v>0</v>
      </c>
      <c r="T45" s="13">
        <f>_xll.BDH("SRPT US Equity","SHORT_TERM_DEBT_DETAILED","FQ1 2023","FQ1 2023","Currency=USD","Period=FQ","BEST_FPERIOD_OVERRIDE=FQ","FILING_STATUS=MR","SCALING_FORMAT=MLN","Sort=A","Dates=H","DateFormat=P","Fill=—","Direction=H","UseDPDF=Y")</f>
        <v>0</v>
      </c>
      <c r="U45" s="13">
        <f>_xll.BDH("SRPT US Equity","SHORT_TERM_DEBT_DETAILED","FQ2 2023","FQ2 2023","Currency=USD","Period=FQ","BEST_FPERIOD_OVERRIDE=FQ","FILING_STATUS=MR","SCALING_FORMAT=MLN","Sort=A","Dates=H","DateFormat=P","Fill=—","Direction=H","UseDPDF=Y")</f>
        <v>0</v>
      </c>
      <c r="V45" s="13">
        <f>_xll.BDH("SRPT US Equity","SHORT_TERM_DEBT_DETAILED","FQ3 2023","FQ3 2023","Currency=USD","Period=FQ","BEST_FPERIOD_OVERRIDE=FQ","FILING_STATUS=MR","SCALING_FORMAT=MLN","Sort=A","Dates=H","DateFormat=P","Fill=—","Direction=H","UseDPDF=Y")</f>
        <v>0</v>
      </c>
      <c r="W45" s="13">
        <f>_xll.BDH("SRPT US Equity","SHORT_TERM_DEBT_DETAILED","FQ4 2023","FQ4 2023","Currency=USD","Period=FQ","BEST_FPERIOD_OVERRIDE=FQ","FILING_STATUS=MR","SCALING_FORMAT=MLN","Sort=A","Dates=H","DateFormat=P","Fill=—","Direction=H","UseDPDF=Y")</f>
        <v>0</v>
      </c>
      <c r="X45" s="13">
        <f>_xll.BDH("SRPT US Equity","SHORT_TERM_DEBT_DETAILED","FQ1 2024","FQ1 2024","Currency=USD","Period=FQ","BEST_FPERIOD_OVERRIDE=FQ","FILING_STATUS=MR","SCALING_FORMAT=MLN","Sort=A","Dates=H","DateFormat=P","Fill=—","Direction=H","UseDPDF=Y")</f>
        <v>0</v>
      </c>
      <c r="Y45" s="13">
        <f>_xll.BDH("SRPT US Equity","SHORT_TERM_DEBT_DETAILED","FQ2 2024","FQ2 2024","Currency=USD","Period=FQ","BEST_FPERIOD_OVERRIDE=FQ","FILING_STATUS=MR","SCALING_FORMAT=MLN","Sort=A","Dates=H","DateFormat=P","Fill=—","Direction=H","UseDPDF=Y")</f>
        <v>0</v>
      </c>
      <c r="Z45" s="13">
        <f>_xll.BDH("SRPT US Equity","SHORT_TERM_DEBT_DETAILED","FQ3 2024","FQ3 2024","Currency=USD","Period=FQ","BEST_FPERIOD_OVERRIDE=FQ","FILING_STATUS=MR","SCALING_FORMAT=MLN","Sort=A","Dates=H","DateFormat=P","Fill=—","Direction=H","UseDPDF=Y")</f>
        <v>0</v>
      </c>
      <c r="AA45" s="13">
        <f>_xll.BDH("SRPT US Equity","SHORT_TERM_DEBT_DETAILED","FQ4 2024","FQ4 2024","Currency=USD","Period=FQ","BEST_FPERIOD_OVERRIDE=FQ","FILING_STATUS=MR","SCALING_FORMAT=MLN","Sort=A","Dates=H","DateFormat=P","Fill=—","Direction=H","UseDPDF=Y")</f>
        <v>0</v>
      </c>
    </row>
    <row r="46" spans="1:27" x14ac:dyDescent="0.25">
      <c r="A46" s="10" t="s">
        <v>761</v>
      </c>
      <c r="B46" s="10" t="s">
        <v>762</v>
      </c>
      <c r="C46" s="13">
        <f>_xll.BDH("SRPT US Equity","ST_CAPITALIZED_LEASE_LIABILITIES","FQ4 2018","FQ4 2018","Currency=USD","Period=FQ","BEST_FPERIOD_OVERRIDE=FQ","FILING_STATUS=MR","SCALING_FORMAT=MLN","Sort=A","Dates=H","DateFormat=P","Fill=—","Direction=H","UseDPDF=Y")</f>
        <v>0</v>
      </c>
      <c r="D46" s="13">
        <f>_xll.BDH("SRPT US Equity","ST_CAPITALIZED_LEASE_LIABILITIES","FQ1 2019","FQ1 2019","Currency=USD","Period=FQ","BEST_FPERIOD_OVERRIDE=FQ","FILING_STATUS=MR","SCALING_FORMAT=MLN","Sort=A","Dates=H","DateFormat=P","Fill=—","Direction=H","UseDPDF=Y")</f>
        <v>6.7640000000000002</v>
      </c>
      <c r="E46" s="13">
        <f>_xll.BDH("SRPT US Equity","ST_CAPITALIZED_LEASE_LIABILITIES","FQ2 2019","FQ2 2019","Currency=USD","Period=FQ","BEST_FPERIOD_OVERRIDE=FQ","FILING_STATUS=MR","SCALING_FORMAT=MLN","Sort=A","Dates=H","DateFormat=P","Fill=—","Direction=H","UseDPDF=Y")</f>
        <v>7.1609999999999996</v>
      </c>
      <c r="F46" s="13">
        <f>_xll.BDH("SRPT US Equity","ST_CAPITALIZED_LEASE_LIABILITIES","FQ3 2019","FQ3 2019","Currency=USD","Period=FQ","BEST_FPERIOD_OVERRIDE=FQ","FILING_STATUS=MR","SCALING_FORMAT=MLN","Sort=A","Dates=H","DateFormat=P","Fill=—","Direction=H","UseDPDF=Y")</f>
        <v>7.5960000000000001</v>
      </c>
      <c r="G46" s="13">
        <f>_xll.BDH("SRPT US Equity","ST_CAPITALIZED_LEASE_LIABILITIES","FQ4 2019","FQ4 2019","Currency=USD","Period=FQ","BEST_FPERIOD_OVERRIDE=FQ","FILING_STATUS=MR","SCALING_FORMAT=MLN","Sort=A","Dates=H","DateFormat=P","Fill=—","Direction=H","UseDPDF=Y")</f>
        <v>7.8460000000000001</v>
      </c>
      <c r="H46" s="13" t="str">
        <f>_xll.BDH("SRPT US Equity","ST_CAPITALIZED_LEASE_LIABILITIES","FQ1 2020","FQ1 2020","Currency=USD","Period=FQ","BEST_FPERIOD_OVERRIDE=FQ","FILING_STATUS=MR","SCALING_FORMAT=MLN","Sort=A","Dates=H","DateFormat=P","Fill=—","Direction=H","UseDPDF=Y")</f>
        <v>—</v>
      </c>
      <c r="I46" s="13" t="str">
        <f>_xll.BDH("SRPT US Equity","ST_CAPITALIZED_LEASE_LIABILITIES","FQ2 2020","FQ2 2020","Currency=USD","Period=FQ","BEST_FPERIOD_OVERRIDE=FQ","FILING_STATUS=MR","SCALING_FORMAT=MLN","Sort=A","Dates=H","DateFormat=P","Fill=—","Direction=H","UseDPDF=Y")</f>
        <v>—</v>
      </c>
      <c r="J46" s="13" t="str">
        <f>_xll.BDH("SRPT US Equity","ST_CAPITALIZED_LEASE_LIABILITIES","FQ3 2020","FQ3 2020","Currency=USD","Period=FQ","BEST_FPERIOD_OVERRIDE=FQ","FILING_STATUS=MR","SCALING_FORMAT=MLN","Sort=A","Dates=H","DateFormat=P","Fill=—","Direction=H","UseDPDF=Y")</f>
        <v>—</v>
      </c>
      <c r="K46" s="13">
        <f>_xll.BDH("SRPT US Equity","ST_CAPITALIZED_LEASE_LIABILITIES","FQ4 2020","FQ4 2020","Currency=USD","Period=FQ","BEST_FPERIOD_OVERRIDE=FQ","FILING_STATUS=MR","SCALING_FORMAT=MLN","Sort=A","Dates=H","DateFormat=P","Fill=—","Direction=H","UseDPDF=Y")</f>
        <v>20.93</v>
      </c>
      <c r="L46" s="13" t="str">
        <f>_xll.BDH("SRPT US Equity","ST_CAPITALIZED_LEASE_LIABILITIES","FQ1 2021","FQ1 2021","Currency=USD","Period=FQ","BEST_FPERIOD_OVERRIDE=FQ","FILING_STATUS=MR","SCALING_FORMAT=MLN","Sort=A","Dates=H","DateFormat=P","Fill=—","Direction=H","UseDPDF=Y")</f>
        <v>—</v>
      </c>
      <c r="M46" s="13" t="str">
        <f>_xll.BDH("SRPT US Equity","ST_CAPITALIZED_LEASE_LIABILITIES","FQ2 2021","FQ2 2021","Currency=USD","Period=FQ","BEST_FPERIOD_OVERRIDE=FQ","FILING_STATUS=MR","SCALING_FORMAT=MLN","Sort=A","Dates=H","DateFormat=P","Fill=—","Direction=H","UseDPDF=Y")</f>
        <v>—</v>
      </c>
      <c r="N46" s="13" t="str">
        <f>_xll.BDH("SRPT US Equity","ST_CAPITALIZED_LEASE_LIABILITIES","FQ3 2021","FQ3 2021","Currency=USD","Period=FQ","BEST_FPERIOD_OVERRIDE=FQ","FILING_STATUS=MR","SCALING_FORMAT=MLN","Sort=A","Dates=H","DateFormat=P","Fill=—","Direction=H","UseDPDF=Y")</f>
        <v>—</v>
      </c>
      <c r="O46" s="13">
        <f>_xll.BDH("SRPT US Equity","ST_CAPITALIZED_LEASE_LIABILITIES","FQ4 2021","FQ4 2021","Currency=USD","Period=FQ","BEST_FPERIOD_OVERRIDE=FQ","FILING_STATUS=MR","SCALING_FORMAT=MLN","Sort=A","Dates=H","DateFormat=P","Fill=—","Direction=H","UseDPDF=Y")</f>
        <v>15.048999999999999</v>
      </c>
      <c r="P46" s="13" t="str">
        <f>_xll.BDH("SRPT US Equity","ST_CAPITALIZED_LEASE_LIABILITIES","FQ1 2022","FQ1 2022","Currency=USD","Period=FQ","BEST_FPERIOD_OVERRIDE=FQ","FILING_STATUS=MR","SCALING_FORMAT=MLN","Sort=A","Dates=H","DateFormat=P","Fill=—","Direction=H","UseDPDF=Y")</f>
        <v>—</v>
      </c>
      <c r="Q46" s="13" t="str">
        <f>_xll.BDH("SRPT US Equity","ST_CAPITALIZED_LEASE_LIABILITIES","FQ2 2022","FQ2 2022","Currency=USD","Period=FQ","BEST_FPERIOD_OVERRIDE=FQ","FILING_STATUS=MR","SCALING_FORMAT=MLN","Sort=A","Dates=H","DateFormat=P","Fill=—","Direction=H","UseDPDF=Y")</f>
        <v>—</v>
      </c>
      <c r="R46" s="13" t="str">
        <f>_xll.BDH("SRPT US Equity","ST_CAPITALIZED_LEASE_LIABILITIES","FQ3 2022","FQ3 2022","Currency=USD","Period=FQ","BEST_FPERIOD_OVERRIDE=FQ","FILING_STATUS=MR","SCALING_FORMAT=MLN","Sort=A","Dates=H","DateFormat=P","Fill=—","Direction=H","UseDPDF=Y")</f>
        <v>—</v>
      </c>
      <c r="S46" s="13">
        <f>_xll.BDH("SRPT US Equity","ST_CAPITALIZED_LEASE_LIABILITIES","FQ4 2022","FQ4 2022","Currency=USD","Period=FQ","BEST_FPERIOD_OVERRIDE=FQ","FILING_STATUS=MR","SCALING_FORMAT=MLN","Sort=A","Dates=H","DateFormat=P","Fill=—","Direction=H","UseDPDF=Y")</f>
        <v>15.489000000000001</v>
      </c>
      <c r="T46" s="13" t="str">
        <f>_xll.BDH("SRPT US Equity","ST_CAPITALIZED_LEASE_LIABILITIES","FQ1 2023","FQ1 2023","Currency=USD","Period=FQ","BEST_FPERIOD_OVERRIDE=FQ","FILING_STATUS=MR","SCALING_FORMAT=MLN","Sort=A","Dates=H","DateFormat=P","Fill=—","Direction=H","UseDPDF=Y")</f>
        <v>—</v>
      </c>
      <c r="U46" s="13" t="str">
        <f>_xll.BDH("SRPT US Equity","ST_CAPITALIZED_LEASE_LIABILITIES","FQ2 2023","FQ2 2023","Currency=USD","Period=FQ","BEST_FPERIOD_OVERRIDE=FQ","FILING_STATUS=MR","SCALING_FORMAT=MLN","Sort=A","Dates=H","DateFormat=P","Fill=—","Direction=H","UseDPDF=Y")</f>
        <v>—</v>
      </c>
      <c r="V46" s="13">
        <f>_xll.BDH("SRPT US Equity","ST_CAPITALIZED_LEASE_LIABILITIES","FQ3 2023","FQ3 2023","Currency=USD","Period=FQ","BEST_FPERIOD_OVERRIDE=FQ","FILING_STATUS=MR","SCALING_FORMAT=MLN","Sort=A","Dates=H","DateFormat=P","Fill=—","Direction=H","UseDPDF=Y")</f>
        <v>17.951000000000001</v>
      </c>
      <c r="W46" s="13">
        <f>_xll.BDH("SRPT US Equity","ST_CAPITALIZED_LEASE_LIABILITIES","FQ4 2023","FQ4 2023","Currency=USD","Period=FQ","BEST_FPERIOD_OVERRIDE=FQ","FILING_STATUS=MR","SCALING_FORMAT=MLN","Sort=A","Dates=H","DateFormat=P","Fill=—","Direction=H","UseDPDF=Y")</f>
        <v>17.844999999999999</v>
      </c>
      <c r="X46" s="13" t="str">
        <f>_xll.BDH("SRPT US Equity","ST_CAPITALIZED_LEASE_LIABILITIES","FQ1 2024","FQ1 2024","Currency=USD","Period=FQ","BEST_FPERIOD_OVERRIDE=FQ","FILING_STATUS=MR","SCALING_FORMAT=MLN","Sort=A","Dates=H","DateFormat=P","Fill=—","Direction=H","UseDPDF=Y")</f>
        <v>—</v>
      </c>
      <c r="Y46" s="13" t="str">
        <f>_xll.BDH("SRPT US Equity","ST_CAPITALIZED_LEASE_LIABILITIES","FQ2 2024","FQ2 2024","Currency=USD","Period=FQ","BEST_FPERIOD_OVERRIDE=FQ","FILING_STATUS=MR","SCALING_FORMAT=MLN","Sort=A","Dates=H","DateFormat=P","Fill=—","Direction=H","UseDPDF=Y")</f>
        <v>—</v>
      </c>
      <c r="Z46" s="13" t="str">
        <f>_xll.BDH("SRPT US Equity","ST_CAPITALIZED_LEASE_LIABILITIES","FQ3 2024","FQ3 2024","Currency=USD","Period=FQ","BEST_FPERIOD_OVERRIDE=FQ","FILING_STATUS=MR","SCALING_FORMAT=MLN","Sort=A","Dates=H","DateFormat=P","Fill=—","Direction=H","UseDPDF=Y")</f>
        <v>—</v>
      </c>
      <c r="AA46" s="13">
        <f>_xll.BDH("SRPT US Equity","ST_CAPITALIZED_LEASE_LIABILITIES","FQ4 2024","FQ4 2024","Currency=USD","Period=FQ","BEST_FPERIOD_OVERRIDE=FQ","FILING_STATUS=MR","SCALING_FORMAT=MLN","Sort=A","Dates=H","DateFormat=P","Fill=—","Direction=H","UseDPDF=Y")</f>
        <v>13.473000000000001</v>
      </c>
    </row>
    <row r="47" spans="1:27" x14ac:dyDescent="0.25">
      <c r="A47" s="11" t="s">
        <v>763</v>
      </c>
      <c r="B47" s="11" t="s">
        <v>764</v>
      </c>
      <c r="C47" s="25">
        <f>_xll.BDH("SRPT US Equity","ST_CAPITAL_LEASE_OBLIGATIONS","FQ4 2018","FQ4 2018","Currency=USD","Period=FQ","BEST_FPERIOD_OVERRIDE=FQ","FILING_STATUS=MR","SCALING_FORMAT=MLN","Sort=A","Dates=H","DateFormat=P","Fill=—","Direction=H","UseDPDF=Y")</f>
        <v>0</v>
      </c>
      <c r="D47" s="25" t="str">
        <f>_xll.BDH("SRPT US Equity","ST_CAPITAL_LEASE_OBLIGATIONS","FQ1 2019","FQ1 2019","Currency=USD","Period=FQ","BEST_FPERIOD_OVERRIDE=FQ","FILING_STATUS=MR","SCALING_FORMAT=MLN","Sort=A","Dates=H","DateFormat=P","Fill=—","Direction=H","UseDPDF=Y")</f>
        <v>—</v>
      </c>
      <c r="E47" s="25" t="str">
        <f>_xll.BDH("SRPT US Equity","ST_CAPITAL_LEASE_OBLIGATIONS","FQ2 2019","FQ2 2019","Currency=USD","Period=FQ","BEST_FPERIOD_OVERRIDE=FQ","FILING_STATUS=MR","SCALING_FORMAT=MLN","Sort=A","Dates=H","DateFormat=P","Fill=—","Direction=H","UseDPDF=Y")</f>
        <v>—</v>
      </c>
      <c r="F47" s="25" t="str">
        <f>_xll.BDH("SRPT US Equity","ST_CAPITAL_LEASE_OBLIGATIONS","FQ3 2019","FQ3 2019","Currency=USD","Period=FQ","BEST_FPERIOD_OVERRIDE=FQ","FILING_STATUS=MR","SCALING_FORMAT=MLN","Sort=A","Dates=H","DateFormat=P","Fill=—","Direction=H","UseDPDF=Y")</f>
        <v>—</v>
      </c>
      <c r="G47" s="25" t="str">
        <f>_xll.BDH("SRPT US Equity","ST_CAPITAL_LEASE_OBLIGATIONS","FQ4 2019","FQ4 2019","Currency=USD","Period=FQ","BEST_FPERIOD_OVERRIDE=FQ","FILING_STATUS=MR","SCALING_FORMAT=MLN","Sort=A","Dates=H","DateFormat=P","Fill=—","Direction=H","UseDPDF=Y")</f>
        <v>—</v>
      </c>
      <c r="H47" s="25" t="str">
        <f>_xll.BDH("SRPT US Equity","ST_CAPITAL_LEASE_OBLIGATIONS","FQ1 2020","FQ1 2020","Currency=USD","Period=FQ","BEST_FPERIOD_OVERRIDE=FQ","FILING_STATUS=MR","SCALING_FORMAT=MLN","Sort=A","Dates=H","DateFormat=P","Fill=—","Direction=H","UseDPDF=Y")</f>
        <v>—</v>
      </c>
      <c r="I47" s="25" t="str">
        <f>_xll.BDH("SRPT US Equity","ST_CAPITAL_LEASE_OBLIGATIONS","FQ2 2020","FQ2 2020","Currency=USD","Period=FQ","BEST_FPERIOD_OVERRIDE=FQ","FILING_STATUS=MR","SCALING_FORMAT=MLN","Sort=A","Dates=H","DateFormat=P","Fill=—","Direction=H","UseDPDF=Y")</f>
        <v>—</v>
      </c>
      <c r="J47" s="25" t="str">
        <f>_xll.BDH("SRPT US Equity","ST_CAPITAL_LEASE_OBLIGATIONS","FQ3 2020","FQ3 2020","Currency=USD","Period=FQ","BEST_FPERIOD_OVERRIDE=FQ","FILING_STATUS=MR","SCALING_FORMAT=MLN","Sort=A","Dates=H","DateFormat=P","Fill=—","Direction=H","UseDPDF=Y")</f>
        <v>—</v>
      </c>
      <c r="K47" s="25">
        <f>_xll.BDH("SRPT US Equity","ST_CAPITAL_LEASE_OBLIGATIONS","FQ4 2020","FQ4 2020","Currency=USD","Period=FQ","BEST_FPERIOD_OVERRIDE=FQ","FILING_STATUS=MR","SCALING_FORMAT=MLN","Sort=A","Dates=H","DateFormat=P","Fill=—","Direction=H","UseDPDF=Y")</f>
        <v>0</v>
      </c>
      <c r="L47" s="25" t="str">
        <f>_xll.BDH("SRPT US Equity","ST_CAPITAL_LEASE_OBLIGATIONS","FQ1 2021","FQ1 2021","Currency=USD","Period=FQ","BEST_FPERIOD_OVERRIDE=FQ","FILING_STATUS=MR","SCALING_FORMAT=MLN","Sort=A","Dates=H","DateFormat=P","Fill=—","Direction=H","UseDPDF=Y")</f>
        <v>—</v>
      </c>
      <c r="M47" s="25" t="str">
        <f>_xll.BDH("SRPT US Equity","ST_CAPITAL_LEASE_OBLIGATIONS","FQ2 2021","FQ2 2021","Currency=USD","Period=FQ","BEST_FPERIOD_OVERRIDE=FQ","FILING_STATUS=MR","SCALING_FORMAT=MLN","Sort=A","Dates=H","DateFormat=P","Fill=—","Direction=H","UseDPDF=Y")</f>
        <v>—</v>
      </c>
      <c r="N47" s="25" t="str">
        <f>_xll.BDH("SRPT US Equity","ST_CAPITAL_LEASE_OBLIGATIONS","FQ3 2021","FQ3 2021","Currency=USD","Period=FQ","BEST_FPERIOD_OVERRIDE=FQ","FILING_STATUS=MR","SCALING_FORMAT=MLN","Sort=A","Dates=H","DateFormat=P","Fill=—","Direction=H","UseDPDF=Y")</f>
        <v>—</v>
      </c>
      <c r="O47" s="25">
        <f>_xll.BDH("SRPT US Equity","ST_CAPITAL_LEASE_OBLIGATIONS","FQ4 2021","FQ4 2021","Currency=USD","Period=FQ","BEST_FPERIOD_OVERRIDE=FQ","FILING_STATUS=MR","SCALING_FORMAT=MLN","Sort=A","Dates=H","DateFormat=P","Fill=—","Direction=H","UseDPDF=Y")</f>
        <v>0</v>
      </c>
      <c r="P47" s="25" t="str">
        <f>_xll.BDH("SRPT US Equity","ST_CAPITAL_LEASE_OBLIGATIONS","FQ1 2022","FQ1 2022","Currency=USD","Period=FQ","BEST_FPERIOD_OVERRIDE=FQ","FILING_STATUS=MR","SCALING_FORMAT=MLN","Sort=A","Dates=H","DateFormat=P","Fill=—","Direction=H","UseDPDF=Y")</f>
        <v>—</v>
      </c>
      <c r="Q47" s="25" t="str">
        <f>_xll.BDH("SRPT US Equity","ST_CAPITAL_LEASE_OBLIGATIONS","FQ2 2022","FQ2 2022","Currency=USD","Period=FQ","BEST_FPERIOD_OVERRIDE=FQ","FILING_STATUS=MR","SCALING_FORMAT=MLN","Sort=A","Dates=H","DateFormat=P","Fill=—","Direction=H","UseDPDF=Y")</f>
        <v>—</v>
      </c>
      <c r="R47" s="25" t="str">
        <f>_xll.BDH("SRPT US Equity","ST_CAPITAL_LEASE_OBLIGATIONS","FQ3 2022","FQ3 2022","Currency=USD","Period=FQ","BEST_FPERIOD_OVERRIDE=FQ","FILING_STATUS=MR","SCALING_FORMAT=MLN","Sort=A","Dates=H","DateFormat=P","Fill=—","Direction=H","UseDPDF=Y")</f>
        <v>—</v>
      </c>
      <c r="S47" s="25">
        <f>_xll.BDH("SRPT US Equity","ST_CAPITAL_LEASE_OBLIGATIONS","FQ4 2022","FQ4 2022","Currency=USD","Period=FQ","BEST_FPERIOD_OVERRIDE=FQ","FILING_STATUS=MR","SCALING_FORMAT=MLN","Sort=A","Dates=H","DateFormat=P","Fill=—","Direction=H","UseDPDF=Y")</f>
        <v>0</v>
      </c>
      <c r="T47" s="25" t="str">
        <f>_xll.BDH("SRPT US Equity","ST_CAPITAL_LEASE_OBLIGATIONS","FQ1 2023","FQ1 2023","Currency=USD","Period=FQ","BEST_FPERIOD_OVERRIDE=FQ","FILING_STATUS=MR","SCALING_FORMAT=MLN","Sort=A","Dates=H","DateFormat=P","Fill=—","Direction=H","UseDPDF=Y")</f>
        <v>—</v>
      </c>
      <c r="U47" s="25" t="str">
        <f>_xll.BDH("SRPT US Equity","ST_CAPITAL_LEASE_OBLIGATIONS","FQ2 2023","FQ2 2023","Currency=USD","Period=FQ","BEST_FPERIOD_OVERRIDE=FQ","FILING_STATUS=MR","SCALING_FORMAT=MLN","Sort=A","Dates=H","DateFormat=P","Fill=—","Direction=H","UseDPDF=Y")</f>
        <v>—</v>
      </c>
      <c r="V47" s="25" t="str">
        <f>_xll.BDH("SRPT US Equity","ST_CAPITAL_LEASE_OBLIGATIONS","FQ3 2023","FQ3 2023","Currency=USD","Period=FQ","BEST_FPERIOD_OVERRIDE=FQ","FILING_STATUS=MR","SCALING_FORMAT=MLN","Sort=A","Dates=H","DateFormat=P","Fill=—","Direction=H","UseDPDF=Y")</f>
        <v>—</v>
      </c>
      <c r="W47" s="25">
        <f>_xll.BDH("SRPT US Equity","ST_CAPITAL_LEASE_OBLIGATIONS","FQ4 2023","FQ4 2023","Currency=USD","Period=FQ","BEST_FPERIOD_OVERRIDE=FQ","FILING_STATUS=MR","SCALING_FORMAT=MLN","Sort=A","Dates=H","DateFormat=P","Fill=—","Direction=H","UseDPDF=Y")</f>
        <v>0</v>
      </c>
      <c r="X47" s="25" t="str">
        <f>_xll.BDH("SRPT US Equity","ST_CAPITAL_LEASE_OBLIGATIONS","FQ1 2024","FQ1 2024","Currency=USD","Period=FQ","BEST_FPERIOD_OVERRIDE=FQ","FILING_STATUS=MR","SCALING_FORMAT=MLN","Sort=A","Dates=H","DateFormat=P","Fill=—","Direction=H","UseDPDF=Y")</f>
        <v>—</v>
      </c>
      <c r="Y47" s="25" t="str">
        <f>_xll.BDH("SRPT US Equity","ST_CAPITAL_LEASE_OBLIGATIONS","FQ2 2024","FQ2 2024","Currency=USD","Period=FQ","BEST_FPERIOD_OVERRIDE=FQ","FILING_STATUS=MR","SCALING_FORMAT=MLN","Sort=A","Dates=H","DateFormat=P","Fill=—","Direction=H","UseDPDF=Y")</f>
        <v>—</v>
      </c>
      <c r="Z47" s="25" t="str">
        <f>_xll.BDH("SRPT US Equity","ST_CAPITAL_LEASE_OBLIGATIONS","FQ3 2024","FQ3 2024","Currency=USD","Period=FQ","BEST_FPERIOD_OVERRIDE=FQ","FILING_STATUS=MR","SCALING_FORMAT=MLN","Sort=A","Dates=H","DateFormat=P","Fill=—","Direction=H","UseDPDF=Y")</f>
        <v>—</v>
      </c>
      <c r="AA47" s="25">
        <f>_xll.BDH("SRPT US Equity","ST_CAPITAL_LEASE_OBLIGATIONS","FQ4 2024","FQ4 2024","Currency=USD","Period=FQ","BEST_FPERIOD_OVERRIDE=FQ","FILING_STATUS=MR","SCALING_FORMAT=MLN","Sort=A","Dates=H","DateFormat=P","Fill=—","Direction=H","UseDPDF=Y")</f>
        <v>0</v>
      </c>
    </row>
    <row r="48" spans="1:27" x14ac:dyDescent="0.25">
      <c r="A48" s="11" t="s">
        <v>765</v>
      </c>
      <c r="B48" s="11" t="s">
        <v>766</v>
      </c>
      <c r="C48" s="25" t="str">
        <f>_xll.BDH("SRPT US Equity","BS_ST_OPERATING_LEASE_LIABS","FQ4 2018","FQ4 2018","Currency=USD","Period=FQ","BEST_FPERIOD_OVERRIDE=FQ","FILING_STATUS=MR","SCALING_FORMAT=MLN","Sort=A","Dates=H","DateFormat=P","Fill=—","Direction=H","UseDPDF=Y")</f>
        <v>—</v>
      </c>
      <c r="D48" s="25">
        <f>_xll.BDH("SRPT US Equity","BS_ST_OPERATING_LEASE_LIABS","FQ1 2019","FQ1 2019","Currency=USD","Period=FQ","BEST_FPERIOD_OVERRIDE=FQ","FILING_STATUS=MR","SCALING_FORMAT=MLN","Sort=A","Dates=H","DateFormat=P","Fill=—","Direction=H","UseDPDF=Y")</f>
        <v>6.7640000000000002</v>
      </c>
      <c r="E48" s="25">
        <f>_xll.BDH("SRPT US Equity","BS_ST_OPERATING_LEASE_LIABS","FQ2 2019","FQ2 2019","Currency=USD","Period=FQ","BEST_FPERIOD_OVERRIDE=FQ","FILING_STATUS=MR","SCALING_FORMAT=MLN","Sort=A","Dates=H","DateFormat=P","Fill=—","Direction=H","UseDPDF=Y")</f>
        <v>7.1609999999999996</v>
      </c>
      <c r="F48" s="25">
        <f>_xll.BDH("SRPT US Equity","BS_ST_OPERATING_LEASE_LIABS","FQ3 2019","FQ3 2019","Currency=USD","Period=FQ","BEST_FPERIOD_OVERRIDE=FQ","FILING_STATUS=MR","SCALING_FORMAT=MLN","Sort=A","Dates=H","DateFormat=P","Fill=—","Direction=H","UseDPDF=Y")</f>
        <v>7.5960000000000001</v>
      </c>
      <c r="G48" s="25">
        <f>_xll.BDH("SRPT US Equity","BS_ST_OPERATING_LEASE_LIABS","FQ4 2019","FQ4 2019","Currency=USD","Period=FQ","BEST_FPERIOD_OVERRIDE=FQ","FILING_STATUS=MR","SCALING_FORMAT=MLN","Sort=A","Dates=H","DateFormat=P","Fill=—","Direction=H","UseDPDF=Y")</f>
        <v>7.8460000000000001</v>
      </c>
      <c r="H48" s="25" t="str">
        <f>_xll.BDH("SRPT US Equity","BS_ST_OPERATING_LEASE_LIABS","FQ1 2020","FQ1 2020","Currency=USD","Period=FQ","BEST_FPERIOD_OVERRIDE=FQ","FILING_STATUS=MR","SCALING_FORMAT=MLN","Sort=A","Dates=H","DateFormat=P","Fill=—","Direction=H","UseDPDF=Y")</f>
        <v>—</v>
      </c>
      <c r="I48" s="25" t="str">
        <f>_xll.BDH("SRPT US Equity","BS_ST_OPERATING_LEASE_LIABS","FQ2 2020","FQ2 2020","Currency=USD","Period=FQ","BEST_FPERIOD_OVERRIDE=FQ","FILING_STATUS=MR","SCALING_FORMAT=MLN","Sort=A","Dates=H","DateFormat=P","Fill=—","Direction=H","UseDPDF=Y")</f>
        <v>—</v>
      </c>
      <c r="J48" s="25" t="str">
        <f>_xll.BDH("SRPT US Equity","BS_ST_OPERATING_LEASE_LIABS","FQ3 2020","FQ3 2020","Currency=USD","Period=FQ","BEST_FPERIOD_OVERRIDE=FQ","FILING_STATUS=MR","SCALING_FORMAT=MLN","Sort=A","Dates=H","DateFormat=P","Fill=—","Direction=H","UseDPDF=Y")</f>
        <v>—</v>
      </c>
      <c r="K48" s="25">
        <f>_xll.BDH("SRPT US Equity","BS_ST_OPERATING_LEASE_LIABS","FQ4 2020","FQ4 2020","Currency=USD","Period=FQ","BEST_FPERIOD_OVERRIDE=FQ","FILING_STATUS=MR","SCALING_FORMAT=MLN","Sort=A","Dates=H","DateFormat=P","Fill=—","Direction=H","UseDPDF=Y")</f>
        <v>20.93</v>
      </c>
      <c r="L48" s="25" t="str">
        <f>_xll.BDH("SRPT US Equity","BS_ST_OPERATING_LEASE_LIABS","FQ1 2021","FQ1 2021","Currency=USD","Period=FQ","BEST_FPERIOD_OVERRIDE=FQ","FILING_STATUS=MR","SCALING_FORMAT=MLN","Sort=A","Dates=H","DateFormat=P","Fill=—","Direction=H","UseDPDF=Y")</f>
        <v>—</v>
      </c>
      <c r="M48" s="25" t="str">
        <f>_xll.BDH("SRPT US Equity","BS_ST_OPERATING_LEASE_LIABS","FQ2 2021","FQ2 2021","Currency=USD","Period=FQ","BEST_FPERIOD_OVERRIDE=FQ","FILING_STATUS=MR","SCALING_FORMAT=MLN","Sort=A","Dates=H","DateFormat=P","Fill=—","Direction=H","UseDPDF=Y")</f>
        <v>—</v>
      </c>
      <c r="N48" s="25" t="str">
        <f>_xll.BDH("SRPT US Equity","BS_ST_OPERATING_LEASE_LIABS","FQ3 2021","FQ3 2021","Currency=USD","Period=FQ","BEST_FPERIOD_OVERRIDE=FQ","FILING_STATUS=MR","SCALING_FORMAT=MLN","Sort=A","Dates=H","DateFormat=P","Fill=—","Direction=H","UseDPDF=Y")</f>
        <v>—</v>
      </c>
      <c r="O48" s="25">
        <f>_xll.BDH("SRPT US Equity","BS_ST_OPERATING_LEASE_LIABS","FQ4 2021","FQ4 2021","Currency=USD","Period=FQ","BEST_FPERIOD_OVERRIDE=FQ","FILING_STATUS=MR","SCALING_FORMAT=MLN","Sort=A","Dates=H","DateFormat=P","Fill=—","Direction=H","UseDPDF=Y")</f>
        <v>15.048999999999999</v>
      </c>
      <c r="P48" s="25" t="str">
        <f>_xll.BDH("SRPT US Equity","BS_ST_OPERATING_LEASE_LIABS","FQ1 2022","FQ1 2022","Currency=USD","Period=FQ","BEST_FPERIOD_OVERRIDE=FQ","FILING_STATUS=MR","SCALING_FORMAT=MLN","Sort=A","Dates=H","DateFormat=P","Fill=—","Direction=H","UseDPDF=Y")</f>
        <v>—</v>
      </c>
      <c r="Q48" s="25" t="str">
        <f>_xll.BDH("SRPT US Equity","BS_ST_OPERATING_LEASE_LIABS","FQ2 2022","FQ2 2022","Currency=USD","Period=FQ","BEST_FPERIOD_OVERRIDE=FQ","FILING_STATUS=MR","SCALING_FORMAT=MLN","Sort=A","Dates=H","DateFormat=P","Fill=—","Direction=H","UseDPDF=Y")</f>
        <v>—</v>
      </c>
      <c r="R48" s="25" t="str">
        <f>_xll.BDH("SRPT US Equity","BS_ST_OPERATING_LEASE_LIABS","FQ3 2022","FQ3 2022","Currency=USD","Period=FQ","BEST_FPERIOD_OVERRIDE=FQ","FILING_STATUS=MR","SCALING_FORMAT=MLN","Sort=A","Dates=H","DateFormat=P","Fill=—","Direction=H","UseDPDF=Y")</f>
        <v>—</v>
      </c>
      <c r="S48" s="25">
        <f>_xll.BDH("SRPT US Equity","BS_ST_OPERATING_LEASE_LIABS","FQ4 2022","FQ4 2022","Currency=USD","Period=FQ","BEST_FPERIOD_OVERRIDE=FQ","FILING_STATUS=MR","SCALING_FORMAT=MLN","Sort=A","Dates=H","DateFormat=P","Fill=—","Direction=H","UseDPDF=Y")</f>
        <v>15.489000000000001</v>
      </c>
      <c r="T48" s="25" t="str">
        <f>_xll.BDH("SRPT US Equity","BS_ST_OPERATING_LEASE_LIABS","FQ1 2023","FQ1 2023","Currency=USD","Period=FQ","BEST_FPERIOD_OVERRIDE=FQ","FILING_STATUS=MR","SCALING_FORMAT=MLN","Sort=A","Dates=H","DateFormat=P","Fill=—","Direction=H","UseDPDF=Y")</f>
        <v>—</v>
      </c>
      <c r="U48" s="25" t="str">
        <f>_xll.BDH("SRPT US Equity","BS_ST_OPERATING_LEASE_LIABS","FQ2 2023","FQ2 2023","Currency=USD","Period=FQ","BEST_FPERIOD_OVERRIDE=FQ","FILING_STATUS=MR","SCALING_FORMAT=MLN","Sort=A","Dates=H","DateFormat=P","Fill=—","Direction=H","UseDPDF=Y")</f>
        <v>—</v>
      </c>
      <c r="V48" s="25">
        <f>_xll.BDH("SRPT US Equity","BS_ST_OPERATING_LEASE_LIABS","FQ3 2023","FQ3 2023","Currency=USD","Period=FQ","BEST_FPERIOD_OVERRIDE=FQ","FILING_STATUS=MR","SCALING_FORMAT=MLN","Sort=A","Dates=H","DateFormat=P","Fill=—","Direction=H","UseDPDF=Y")</f>
        <v>17.951000000000001</v>
      </c>
      <c r="W48" s="25">
        <f>_xll.BDH("SRPT US Equity","BS_ST_OPERATING_LEASE_LIABS","FQ4 2023","FQ4 2023","Currency=USD","Period=FQ","BEST_FPERIOD_OVERRIDE=FQ","FILING_STATUS=MR","SCALING_FORMAT=MLN","Sort=A","Dates=H","DateFormat=P","Fill=—","Direction=H","UseDPDF=Y")</f>
        <v>17.844999999999999</v>
      </c>
      <c r="X48" s="25" t="str">
        <f>_xll.BDH("SRPT US Equity","BS_ST_OPERATING_LEASE_LIABS","FQ1 2024","FQ1 2024","Currency=USD","Period=FQ","BEST_FPERIOD_OVERRIDE=FQ","FILING_STATUS=MR","SCALING_FORMAT=MLN","Sort=A","Dates=H","DateFormat=P","Fill=—","Direction=H","UseDPDF=Y")</f>
        <v>—</v>
      </c>
      <c r="Y48" s="25" t="str">
        <f>_xll.BDH("SRPT US Equity","BS_ST_OPERATING_LEASE_LIABS","FQ2 2024","FQ2 2024","Currency=USD","Period=FQ","BEST_FPERIOD_OVERRIDE=FQ","FILING_STATUS=MR","SCALING_FORMAT=MLN","Sort=A","Dates=H","DateFormat=P","Fill=—","Direction=H","UseDPDF=Y")</f>
        <v>—</v>
      </c>
      <c r="Z48" s="25" t="str">
        <f>_xll.BDH("SRPT US Equity","BS_ST_OPERATING_LEASE_LIABS","FQ3 2024","FQ3 2024","Currency=USD","Period=FQ","BEST_FPERIOD_OVERRIDE=FQ","FILING_STATUS=MR","SCALING_FORMAT=MLN","Sort=A","Dates=H","DateFormat=P","Fill=—","Direction=H","UseDPDF=Y")</f>
        <v>—</v>
      </c>
      <c r="AA48" s="25">
        <f>_xll.BDH("SRPT US Equity","BS_ST_OPERATING_LEASE_LIABS","FQ4 2024","FQ4 2024","Currency=USD","Period=FQ","BEST_FPERIOD_OVERRIDE=FQ","FILING_STATUS=MR","SCALING_FORMAT=MLN","Sort=A","Dates=H","DateFormat=P","Fill=—","Direction=H","UseDPDF=Y")</f>
        <v>13.473000000000001</v>
      </c>
    </row>
    <row r="49" spans="1:27" x14ac:dyDescent="0.25">
      <c r="A49" s="10" t="s">
        <v>767</v>
      </c>
      <c r="B49" s="10" t="s">
        <v>768</v>
      </c>
      <c r="C49" s="13">
        <f>_xll.BDH("SRPT US Equity","BS_CURR_PORTION_LT_DEBT","FQ4 2018","FQ4 2018","Currency=USD","Period=FQ","BEST_FPERIOD_OVERRIDE=FQ","FILING_STATUS=MR","SCALING_FORMAT=MLN","Sort=A","Dates=H","DateFormat=P","Fill=—","Direction=H","UseDPDF=Y")</f>
        <v>0</v>
      </c>
      <c r="D49" s="13" t="str">
        <f>_xll.BDH("SRPT US Equity","BS_CURR_PORTION_LT_DEBT","FQ1 2019","FQ1 2019","Currency=USD","Period=FQ","BEST_FPERIOD_OVERRIDE=FQ","FILING_STATUS=MR","SCALING_FORMAT=MLN","Sort=A","Dates=H","DateFormat=P","Fill=—","Direction=H","UseDPDF=Y")</f>
        <v>—</v>
      </c>
      <c r="E49" s="13" t="str">
        <f>_xll.BDH("SRPT US Equity","BS_CURR_PORTION_LT_DEBT","FQ2 2019","FQ2 2019","Currency=USD","Period=FQ","BEST_FPERIOD_OVERRIDE=FQ","FILING_STATUS=MR","SCALING_FORMAT=MLN","Sort=A","Dates=H","DateFormat=P","Fill=—","Direction=H","UseDPDF=Y")</f>
        <v>—</v>
      </c>
      <c r="F49" s="13" t="str">
        <f>_xll.BDH("SRPT US Equity","BS_CURR_PORTION_LT_DEBT","FQ3 2019","FQ3 2019","Currency=USD","Period=FQ","BEST_FPERIOD_OVERRIDE=FQ","FILING_STATUS=MR","SCALING_FORMAT=MLN","Sort=A","Dates=H","DateFormat=P","Fill=—","Direction=H","UseDPDF=Y")</f>
        <v>—</v>
      </c>
      <c r="G49" s="13">
        <f>_xll.BDH("SRPT US Equity","BS_CURR_PORTION_LT_DEBT","FQ4 2019","FQ4 2019","Currency=USD","Period=FQ","BEST_FPERIOD_OVERRIDE=FQ","FILING_STATUS=MR","SCALING_FORMAT=MLN","Sort=A","Dates=H","DateFormat=P","Fill=—","Direction=H","UseDPDF=Y")</f>
        <v>0</v>
      </c>
      <c r="H49" s="13" t="str">
        <f>_xll.BDH("SRPT US Equity","BS_CURR_PORTION_LT_DEBT","FQ1 2020","FQ1 2020","Currency=USD","Period=FQ","BEST_FPERIOD_OVERRIDE=FQ","FILING_STATUS=MR","SCALING_FORMAT=MLN","Sort=A","Dates=H","DateFormat=P","Fill=—","Direction=H","UseDPDF=Y")</f>
        <v>—</v>
      </c>
      <c r="I49" s="13" t="str">
        <f>_xll.BDH("SRPT US Equity","BS_CURR_PORTION_LT_DEBT","FQ2 2020","FQ2 2020","Currency=USD","Period=FQ","BEST_FPERIOD_OVERRIDE=FQ","FILING_STATUS=MR","SCALING_FORMAT=MLN","Sort=A","Dates=H","DateFormat=P","Fill=—","Direction=H","UseDPDF=Y")</f>
        <v>—</v>
      </c>
      <c r="J49" s="13" t="str">
        <f>_xll.BDH("SRPT US Equity","BS_CURR_PORTION_LT_DEBT","FQ3 2020","FQ3 2020","Currency=USD","Period=FQ","BEST_FPERIOD_OVERRIDE=FQ","FILING_STATUS=MR","SCALING_FORMAT=MLN","Sort=A","Dates=H","DateFormat=P","Fill=—","Direction=H","UseDPDF=Y")</f>
        <v>—</v>
      </c>
      <c r="K49" s="13">
        <f>_xll.BDH("SRPT US Equity","BS_CURR_PORTION_LT_DEBT","FQ4 2020","FQ4 2020","Currency=USD","Period=FQ","BEST_FPERIOD_OVERRIDE=FQ","FILING_STATUS=MR","SCALING_FORMAT=MLN","Sort=A","Dates=H","DateFormat=P","Fill=—","Direction=H","UseDPDF=Y")</f>
        <v>0</v>
      </c>
      <c r="L49" s="13" t="str">
        <f>_xll.BDH("SRPT US Equity","BS_CURR_PORTION_LT_DEBT","FQ1 2021","FQ1 2021","Currency=USD","Period=FQ","BEST_FPERIOD_OVERRIDE=FQ","FILING_STATUS=MR","SCALING_FORMAT=MLN","Sort=A","Dates=H","DateFormat=P","Fill=—","Direction=H","UseDPDF=Y")</f>
        <v>—</v>
      </c>
      <c r="M49" s="13" t="str">
        <f>_xll.BDH("SRPT US Equity","BS_CURR_PORTION_LT_DEBT","FQ2 2021","FQ2 2021","Currency=USD","Period=FQ","BEST_FPERIOD_OVERRIDE=FQ","FILING_STATUS=MR","SCALING_FORMAT=MLN","Sort=A","Dates=H","DateFormat=P","Fill=—","Direction=H","UseDPDF=Y")</f>
        <v>—</v>
      </c>
      <c r="N49" s="13" t="str">
        <f>_xll.BDH("SRPT US Equity","BS_CURR_PORTION_LT_DEBT","FQ3 2021","FQ3 2021","Currency=USD","Period=FQ","BEST_FPERIOD_OVERRIDE=FQ","FILING_STATUS=MR","SCALING_FORMAT=MLN","Sort=A","Dates=H","DateFormat=P","Fill=—","Direction=H","UseDPDF=Y")</f>
        <v>—</v>
      </c>
      <c r="O49" s="13" t="str">
        <f>_xll.BDH("SRPT US Equity","BS_CURR_PORTION_LT_DEBT","FQ4 2021","FQ4 2021","Currency=USD","Period=FQ","BEST_FPERIOD_OVERRIDE=FQ","FILING_STATUS=MR","SCALING_FORMAT=MLN","Sort=A","Dates=H","DateFormat=P","Fill=—","Direction=H","UseDPDF=Y")</f>
        <v>—</v>
      </c>
      <c r="P49" s="13" t="str">
        <f>_xll.BDH("SRPT US Equity","BS_CURR_PORTION_LT_DEBT","FQ1 2022","FQ1 2022","Currency=USD","Period=FQ","BEST_FPERIOD_OVERRIDE=FQ","FILING_STATUS=MR","SCALING_FORMAT=MLN","Sort=A","Dates=H","DateFormat=P","Fill=—","Direction=H","UseDPDF=Y")</f>
        <v>—</v>
      </c>
      <c r="Q49" s="13" t="str">
        <f>_xll.BDH("SRPT US Equity","BS_CURR_PORTION_LT_DEBT","FQ2 2022","FQ2 2022","Currency=USD","Period=FQ","BEST_FPERIOD_OVERRIDE=FQ","FILING_STATUS=MR","SCALING_FORMAT=MLN","Sort=A","Dates=H","DateFormat=P","Fill=—","Direction=H","UseDPDF=Y")</f>
        <v>—</v>
      </c>
      <c r="R49" s="13" t="str">
        <f>_xll.BDH("SRPT US Equity","BS_CURR_PORTION_LT_DEBT","FQ3 2022","FQ3 2022","Currency=USD","Period=FQ","BEST_FPERIOD_OVERRIDE=FQ","FILING_STATUS=MR","SCALING_FORMAT=MLN","Sort=A","Dates=H","DateFormat=P","Fill=—","Direction=H","UseDPDF=Y")</f>
        <v>—</v>
      </c>
      <c r="S49" s="13" t="str">
        <f>_xll.BDH("SRPT US Equity","BS_CURR_PORTION_LT_DEBT","FQ4 2022","FQ4 2022","Currency=USD","Period=FQ","BEST_FPERIOD_OVERRIDE=FQ","FILING_STATUS=MR","SCALING_FORMAT=MLN","Sort=A","Dates=H","DateFormat=P","Fill=—","Direction=H","UseDPDF=Y")</f>
        <v>—</v>
      </c>
      <c r="T49" s="13" t="str">
        <f>_xll.BDH("SRPT US Equity","BS_CURR_PORTION_LT_DEBT","FQ1 2023","FQ1 2023","Currency=USD","Period=FQ","BEST_FPERIOD_OVERRIDE=FQ","FILING_STATUS=MR","SCALING_FORMAT=MLN","Sort=A","Dates=H","DateFormat=P","Fill=—","Direction=H","UseDPDF=Y")</f>
        <v>—</v>
      </c>
      <c r="U49" s="13" t="str">
        <f>_xll.BDH("SRPT US Equity","BS_CURR_PORTION_LT_DEBT","FQ2 2023","FQ2 2023","Currency=USD","Period=FQ","BEST_FPERIOD_OVERRIDE=FQ","FILING_STATUS=MR","SCALING_FORMAT=MLN","Sort=A","Dates=H","DateFormat=P","Fill=—","Direction=H","UseDPDF=Y")</f>
        <v>—</v>
      </c>
      <c r="V49" s="13" t="str">
        <f>_xll.BDH("SRPT US Equity","BS_CURR_PORTION_LT_DEBT","FQ3 2023","FQ3 2023","Currency=USD","Period=FQ","BEST_FPERIOD_OVERRIDE=FQ","FILING_STATUS=MR","SCALING_FORMAT=MLN","Sort=A","Dates=H","DateFormat=P","Fill=—","Direction=H","UseDPDF=Y")</f>
        <v>—</v>
      </c>
      <c r="W49" s="13">
        <f>_xll.BDH("SRPT US Equity","BS_CURR_PORTION_LT_DEBT","FQ4 2023","FQ4 2023","Currency=USD","Period=FQ","BEST_FPERIOD_OVERRIDE=FQ","FILING_STATUS=MR","SCALING_FORMAT=MLN","Sort=A","Dates=H","DateFormat=P","Fill=—","Direction=H","UseDPDF=Y")</f>
        <v>105.483</v>
      </c>
      <c r="X49" s="13">
        <f>_xll.BDH("SRPT US Equity","BS_CURR_PORTION_LT_DEBT","FQ1 2024","FQ1 2024","Currency=USD","Period=FQ","BEST_FPERIOD_OVERRIDE=FQ","FILING_STATUS=MR","SCALING_FORMAT=MLN","Sort=A","Dates=H","DateFormat=P","Fill=—","Direction=H","UseDPDF=Y")</f>
        <v>105.586</v>
      </c>
      <c r="Y49" s="13">
        <f>_xll.BDH("SRPT US Equity","BS_CURR_PORTION_LT_DEBT","FQ2 2024","FQ2 2024","Currency=USD","Period=FQ","BEST_FPERIOD_OVERRIDE=FQ","FILING_STATUS=MR","SCALING_FORMAT=MLN","Sort=A","Dates=H","DateFormat=P","Fill=—","Direction=H","UseDPDF=Y")</f>
        <v>91.504999999999995</v>
      </c>
      <c r="Z49" s="13">
        <f>_xll.BDH("SRPT US Equity","BS_CURR_PORTION_LT_DEBT","FQ3 2024","FQ3 2024","Currency=USD","Period=FQ","BEST_FPERIOD_OVERRIDE=FQ","FILING_STATUS=MR","SCALING_FORMAT=MLN","Sort=A","Dates=H","DateFormat=P","Fill=—","Direction=H","UseDPDF=Y")</f>
        <v>91.594999999999999</v>
      </c>
      <c r="AA49" s="13" t="str">
        <f>_xll.BDH("SRPT US Equity","BS_CURR_PORTION_LT_DEBT","FQ4 2024","FQ4 2024","Currency=USD","Period=FQ","BEST_FPERIOD_OVERRIDE=FQ","FILING_STATUS=MR","SCALING_FORMAT=MLN","Sort=A","Dates=H","DateFormat=P","Fill=—","Direction=H","UseDPDF=Y")</f>
        <v>—</v>
      </c>
    </row>
    <row r="50" spans="1:27" x14ac:dyDescent="0.25">
      <c r="A50" s="10" t="s">
        <v>769</v>
      </c>
      <c r="B50" s="10" t="s">
        <v>770</v>
      </c>
      <c r="C50" s="13">
        <f>_xll.BDH("SRPT US Equity","OTHER_CURRENT_LIABS_SUB_DETAILED","FQ4 2018","FQ4 2018","Currency=USD","Period=FQ","BEST_FPERIOD_OVERRIDE=FQ","FILING_STATUS=MR","SCALING_FORMAT=MLN","Sort=A","Dates=H","DateFormat=P","Fill=—","Direction=H","UseDPDF=Y")</f>
        <v>5.766</v>
      </c>
      <c r="D50" s="13">
        <f>_xll.BDH("SRPT US Equity","OTHER_CURRENT_LIABS_SUB_DETAILED","FQ1 2019","FQ1 2019","Currency=USD","Period=FQ","BEST_FPERIOD_OVERRIDE=FQ","FILING_STATUS=MR","SCALING_FORMAT=MLN","Sort=A","Dates=H","DateFormat=P","Fill=—","Direction=H","UseDPDF=Y")</f>
        <v>10.747</v>
      </c>
      <c r="E50" s="13">
        <f>_xll.BDH("SRPT US Equity","OTHER_CURRENT_LIABS_SUB_DETAILED","FQ2 2019","FQ2 2019","Currency=USD","Period=FQ","BEST_FPERIOD_OVERRIDE=FQ","FILING_STATUS=MR","SCALING_FORMAT=MLN","Sort=A","Dates=H","DateFormat=P","Fill=—","Direction=H","UseDPDF=Y")</f>
        <v>10.715999999999999</v>
      </c>
      <c r="F50" s="13">
        <f>_xll.BDH("SRPT US Equity","OTHER_CURRENT_LIABS_SUB_DETAILED","FQ3 2019","FQ3 2019","Currency=USD","Period=FQ","BEST_FPERIOD_OVERRIDE=FQ","FILING_STATUS=MR","SCALING_FORMAT=MLN","Sort=A","Dates=H","DateFormat=P","Fill=—","Direction=H","UseDPDF=Y")</f>
        <v>12.247</v>
      </c>
      <c r="G50" s="13">
        <f>_xll.BDH("SRPT US Equity","OTHER_CURRENT_LIABS_SUB_DETAILED","FQ4 2019","FQ4 2019","Currency=USD","Period=FQ","BEST_FPERIOD_OVERRIDE=FQ","FILING_STATUS=MR","SCALING_FORMAT=MLN","Sort=A","Dates=H","DateFormat=P","Fill=—","Direction=H","UseDPDF=Y")</f>
        <v>11.146000000000001</v>
      </c>
      <c r="H50" s="13">
        <f>_xll.BDH("SRPT US Equity","OTHER_CURRENT_LIABS_SUB_DETAILED","FQ1 2020","FQ1 2020","Currency=USD","Period=FQ","BEST_FPERIOD_OVERRIDE=FQ","FILING_STATUS=MR","SCALING_FORMAT=MLN","Sort=A","Dates=H","DateFormat=P","Fill=—","Direction=H","UseDPDF=Y")</f>
        <v>103.536</v>
      </c>
      <c r="I50" s="13">
        <f>_xll.BDH("SRPT US Equity","OTHER_CURRENT_LIABS_SUB_DETAILED","FQ2 2020","FQ2 2020","Currency=USD","Period=FQ","BEST_FPERIOD_OVERRIDE=FQ","FILING_STATUS=MR","SCALING_FORMAT=MLN","Sort=A","Dates=H","DateFormat=P","Fill=—","Direction=H","UseDPDF=Y")</f>
        <v>104.148</v>
      </c>
      <c r="J50" s="13">
        <f>_xll.BDH("SRPT US Equity","OTHER_CURRENT_LIABS_SUB_DETAILED","FQ3 2020","FQ3 2020","Currency=USD","Period=FQ","BEST_FPERIOD_OVERRIDE=FQ","FILING_STATUS=MR","SCALING_FORMAT=MLN","Sort=A","Dates=H","DateFormat=P","Fill=—","Direction=H","UseDPDF=Y")</f>
        <v>104.797</v>
      </c>
      <c r="K50" s="13">
        <f>_xll.BDH("SRPT US Equity","OTHER_CURRENT_LIABS_SUB_DETAILED","FQ4 2020","FQ4 2020","Currency=USD","Period=FQ","BEST_FPERIOD_OVERRIDE=FQ","FILING_STATUS=MR","SCALING_FORMAT=MLN","Sort=A","Dates=H","DateFormat=P","Fill=—","Direction=H","UseDPDF=Y")</f>
        <v>111.383</v>
      </c>
      <c r="L50" s="13">
        <f>_xll.BDH("SRPT US Equity","OTHER_CURRENT_LIABS_SUB_DETAILED","FQ1 2021","FQ1 2021","Currency=USD","Period=FQ","BEST_FPERIOD_OVERRIDE=FQ","FILING_STATUS=MR","SCALING_FORMAT=MLN","Sort=A","Dates=H","DateFormat=P","Fill=—","Direction=H","UseDPDF=Y")</f>
        <v>107.449</v>
      </c>
      <c r="M50" s="13">
        <f>_xll.BDH("SRPT US Equity","OTHER_CURRENT_LIABS_SUB_DETAILED","FQ2 2021","FQ2 2021","Currency=USD","Period=FQ","BEST_FPERIOD_OVERRIDE=FQ","FILING_STATUS=MR","SCALING_FORMAT=MLN","Sort=A","Dates=H","DateFormat=P","Fill=—","Direction=H","UseDPDF=Y")</f>
        <v>108.2</v>
      </c>
      <c r="N50" s="13">
        <f>_xll.BDH("SRPT US Equity","OTHER_CURRENT_LIABS_SUB_DETAILED","FQ3 2021","FQ3 2021","Currency=USD","Period=FQ","BEST_FPERIOD_OVERRIDE=FQ","FILING_STATUS=MR","SCALING_FORMAT=MLN","Sort=A","Dates=H","DateFormat=P","Fill=—","Direction=H","UseDPDF=Y")</f>
        <v>108.271</v>
      </c>
      <c r="O50" s="13">
        <f>_xll.BDH("SRPT US Equity","OTHER_CURRENT_LIABS_SUB_DETAILED","FQ4 2021","FQ4 2021","Currency=USD","Period=FQ","BEST_FPERIOD_OVERRIDE=FQ","FILING_STATUS=MR","SCALING_FORMAT=MLN","Sort=A","Dates=H","DateFormat=P","Fill=—","Direction=H","UseDPDF=Y")</f>
        <v>104.295</v>
      </c>
      <c r="P50" s="13">
        <f>_xll.BDH("SRPT US Equity","OTHER_CURRENT_LIABS_SUB_DETAILED","FQ1 2022","FQ1 2022","Currency=USD","Period=FQ","BEST_FPERIOD_OVERRIDE=FQ","FILING_STATUS=MR","SCALING_FORMAT=MLN","Sort=A","Dates=H","DateFormat=P","Fill=—","Direction=H","UseDPDF=Y")</f>
        <v>107.047</v>
      </c>
      <c r="Q50" s="13">
        <f>_xll.BDH("SRPT US Equity","OTHER_CURRENT_LIABS_SUB_DETAILED","FQ2 2022","FQ2 2022","Currency=USD","Period=FQ","BEST_FPERIOD_OVERRIDE=FQ","FILING_STATUS=MR","SCALING_FORMAT=MLN","Sort=A","Dates=H","DateFormat=P","Fill=—","Direction=H","UseDPDF=Y")</f>
        <v>105.66</v>
      </c>
      <c r="R50" s="13">
        <f>_xll.BDH("SRPT US Equity","OTHER_CURRENT_LIABS_SUB_DETAILED","FQ3 2022","FQ3 2022","Currency=USD","Period=FQ","BEST_FPERIOD_OVERRIDE=FQ","FILING_STATUS=MR","SCALING_FORMAT=MLN","Sort=A","Dates=H","DateFormat=P","Fill=—","Direction=H","UseDPDF=Y")</f>
        <v>115.45699999999999</v>
      </c>
      <c r="S50" s="13">
        <f>_xll.BDH("SRPT US Equity","OTHER_CURRENT_LIABS_SUB_DETAILED","FQ4 2022","FQ4 2022","Currency=USD","Period=FQ","BEST_FPERIOD_OVERRIDE=FQ","FILING_STATUS=MR","SCALING_FORMAT=MLN","Sort=A","Dates=H","DateFormat=P","Fill=—","Direction=H","UseDPDF=Y")</f>
        <v>104.733</v>
      </c>
      <c r="T50" s="13">
        <f>_xll.BDH("SRPT US Equity","OTHER_CURRENT_LIABS_SUB_DETAILED","FQ1 2023","FQ1 2023","Currency=USD","Period=FQ","BEST_FPERIOD_OVERRIDE=FQ","FILING_STATUS=MR","SCALING_FORMAT=MLN","Sort=A","Dates=H","DateFormat=P","Fill=—","Direction=H","UseDPDF=Y")</f>
        <v>84.62</v>
      </c>
      <c r="U50" s="13">
        <f>_xll.BDH("SRPT US Equity","OTHER_CURRENT_LIABS_SUB_DETAILED","FQ2 2023","FQ2 2023","Currency=USD","Period=FQ","BEST_FPERIOD_OVERRIDE=FQ","FILING_STATUS=MR","SCALING_FORMAT=MLN","Sort=A","Dates=H","DateFormat=P","Fill=—","Direction=H","UseDPDF=Y")</f>
        <v>61.981000000000002</v>
      </c>
      <c r="V50" s="13">
        <f>_xll.BDH("SRPT US Equity","OTHER_CURRENT_LIABS_SUB_DETAILED","FQ3 2023","FQ3 2023","Currency=USD","Period=FQ","BEST_FPERIOD_OVERRIDE=FQ","FILING_STATUS=MR","SCALING_FORMAT=MLN","Sort=A","Dates=H","DateFormat=P","Fill=—","Direction=H","UseDPDF=Y")</f>
        <v>40.445</v>
      </c>
      <c r="W50" s="13">
        <f>_xll.BDH("SRPT US Equity","OTHER_CURRENT_LIABS_SUB_DETAILED","FQ4 2023","FQ4 2023","Currency=USD","Period=FQ","BEST_FPERIOD_OVERRIDE=FQ","FILING_STATUS=MR","SCALING_FORMAT=MLN","Sort=A","Dates=H","DateFormat=P","Fill=—","Direction=H","UseDPDF=Y")</f>
        <v>68.260999999999996</v>
      </c>
      <c r="X50" s="13">
        <f>_xll.BDH("SRPT US Equity","OTHER_CURRENT_LIABS_SUB_DETAILED","FQ1 2024","FQ1 2024","Currency=USD","Period=FQ","BEST_FPERIOD_OVERRIDE=FQ","FILING_STATUS=MR","SCALING_FORMAT=MLN","Sort=A","Dates=H","DateFormat=P","Fill=—","Direction=H","UseDPDF=Y")</f>
        <v>128.27000000000001</v>
      </c>
      <c r="Y50" s="13">
        <f>_xll.BDH("SRPT US Equity","OTHER_CURRENT_LIABS_SUB_DETAILED","FQ2 2024","FQ2 2024","Currency=USD","Period=FQ","BEST_FPERIOD_OVERRIDE=FQ","FILING_STATUS=MR","SCALING_FORMAT=MLN","Sort=A","Dates=H","DateFormat=P","Fill=—","Direction=H","UseDPDF=Y")</f>
        <v>139.16399999999999</v>
      </c>
      <c r="Z50" s="13">
        <f>_xll.BDH("SRPT US Equity","OTHER_CURRENT_LIABS_SUB_DETAILED","FQ3 2024","FQ3 2024","Currency=USD","Period=FQ","BEST_FPERIOD_OVERRIDE=FQ","FILING_STATUS=MR","SCALING_FORMAT=MLN","Sort=A","Dates=H","DateFormat=P","Fill=—","Direction=H","UseDPDF=Y")</f>
        <v>144.29</v>
      </c>
      <c r="AA50" s="13">
        <f>_xll.BDH("SRPT US Equity","OTHER_CURRENT_LIABS_SUB_DETAILED","FQ4 2024","FQ4 2024","Currency=USD","Period=FQ","BEST_FPERIOD_OVERRIDE=FQ","FILING_STATUS=MR","SCALING_FORMAT=MLN","Sort=A","Dates=H","DateFormat=P","Fill=—","Direction=H","UseDPDF=Y")</f>
        <v>143.72900000000001</v>
      </c>
    </row>
    <row r="51" spans="1:27" x14ac:dyDescent="0.25">
      <c r="A51" s="10" t="s">
        <v>771</v>
      </c>
      <c r="B51" s="10" t="s">
        <v>772</v>
      </c>
      <c r="C51" s="13">
        <f>_xll.BDH("SRPT US Equity","ST_DEFERRED_REVENUE","FQ4 2018","FQ4 2018","Currency=USD","Period=FQ","BEST_FPERIOD_OVERRIDE=FQ","FILING_STATUS=MR","SCALING_FORMAT=MLN","Sort=A","Dates=H","DateFormat=P","Fill=—","Direction=H","UseDPDF=Y")</f>
        <v>3.3029999999999999</v>
      </c>
      <c r="D51" s="13">
        <f>_xll.BDH("SRPT US Equity","ST_DEFERRED_REVENUE","FQ1 2019","FQ1 2019","Currency=USD","Period=FQ","BEST_FPERIOD_OVERRIDE=FQ","FILING_STATUS=MR","SCALING_FORMAT=MLN","Sort=A","Dates=H","DateFormat=P","Fill=—","Direction=H","UseDPDF=Y")</f>
        <v>3.9849999999999999</v>
      </c>
      <c r="E51" s="13">
        <f>_xll.BDH("SRPT US Equity","ST_DEFERRED_REVENUE","FQ2 2019","FQ2 2019","Currency=USD","Period=FQ","BEST_FPERIOD_OVERRIDE=FQ","FILING_STATUS=MR","SCALING_FORMAT=MLN","Sort=A","Dates=H","DateFormat=P","Fill=—","Direction=H","UseDPDF=Y")</f>
        <v>3.3029999999999999</v>
      </c>
      <c r="F51" s="13">
        <f>_xll.BDH("SRPT US Equity","ST_DEFERRED_REVENUE","FQ3 2019","FQ3 2019","Currency=USD","Period=FQ","BEST_FPERIOD_OVERRIDE=FQ","FILING_STATUS=MR","SCALING_FORMAT=MLN","Sort=A","Dates=H","DateFormat=P","Fill=—","Direction=H","UseDPDF=Y")</f>
        <v>3.3029999999999999</v>
      </c>
      <c r="G51" s="13">
        <f>_xll.BDH("SRPT US Equity","ST_DEFERRED_REVENUE","FQ4 2019","FQ4 2019","Currency=USD","Period=FQ","BEST_FPERIOD_OVERRIDE=FQ","FILING_STATUS=MR","SCALING_FORMAT=MLN","Sort=A","Dates=H","DateFormat=P","Fill=—","Direction=H","UseDPDF=Y")</f>
        <v>0</v>
      </c>
      <c r="H51" s="13">
        <f>_xll.BDH("SRPT US Equity","ST_DEFERRED_REVENUE","FQ1 2020","FQ1 2020","Currency=USD","Period=FQ","BEST_FPERIOD_OVERRIDE=FQ","FILING_STATUS=MR","SCALING_FORMAT=MLN","Sort=A","Dates=H","DateFormat=P","Fill=—","Direction=H","UseDPDF=Y")</f>
        <v>91.072999999999993</v>
      </c>
      <c r="I51" s="13">
        <f>_xll.BDH("SRPT US Equity","ST_DEFERRED_REVENUE","FQ2 2020","FQ2 2020","Currency=USD","Period=FQ","BEST_FPERIOD_OVERRIDE=FQ","FILING_STATUS=MR","SCALING_FORMAT=MLN","Sort=A","Dates=H","DateFormat=P","Fill=—","Direction=H","UseDPDF=Y")</f>
        <v>89.311000000000007</v>
      </c>
      <c r="J51" s="13">
        <f>_xll.BDH("SRPT US Equity","ST_DEFERRED_REVENUE","FQ3 2020","FQ3 2020","Currency=USD","Period=FQ","BEST_FPERIOD_OVERRIDE=FQ","FILING_STATUS=MR","SCALING_FORMAT=MLN","Sort=A","Dates=H","DateFormat=P","Fill=—","Direction=H","UseDPDF=Y")</f>
        <v>89.244</v>
      </c>
      <c r="K51" s="13">
        <f>_xll.BDH("SRPT US Equity","ST_DEFERRED_REVENUE","FQ4 2020","FQ4 2020","Currency=USD","Period=FQ","BEST_FPERIOD_OVERRIDE=FQ","FILING_STATUS=MR","SCALING_FORMAT=MLN","Sort=A","Dates=H","DateFormat=P","Fill=—","Direction=H","UseDPDF=Y")</f>
        <v>89.244</v>
      </c>
      <c r="L51" s="13">
        <f>_xll.BDH("SRPT US Equity","ST_DEFERRED_REVENUE","FQ1 2021","FQ1 2021","Currency=USD","Period=FQ","BEST_FPERIOD_OVERRIDE=FQ","FILING_STATUS=MR","SCALING_FORMAT=MLN","Sort=A","Dates=H","DateFormat=P","Fill=—","Direction=H","UseDPDF=Y")</f>
        <v>89.244</v>
      </c>
      <c r="M51" s="13">
        <f>_xll.BDH("SRPT US Equity","ST_DEFERRED_REVENUE","FQ2 2021","FQ2 2021","Currency=USD","Period=FQ","BEST_FPERIOD_OVERRIDE=FQ","FILING_STATUS=MR","SCALING_FORMAT=MLN","Sort=A","Dates=H","DateFormat=P","Fill=—","Direction=H","UseDPDF=Y")</f>
        <v>89.244</v>
      </c>
      <c r="N51" s="13">
        <f>_xll.BDH("SRPT US Equity","ST_DEFERRED_REVENUE","FQ3 2021","FQ3 2021","Currency=USD","Period=FQ","BEST_FPERIOD_OVERRIDE=FQ","FILING_STATUS=MR","SCALING_FORMAT=MLN","Sort=A","Dates=H","DateFormat=P","Fill=—","Direction=H","UseDPDF=Y")</f>
        <v>89.244</v>
      </c>
      <c r="O51" s="13">
        <f>_xll.BDH("SRPT US Equity","ST_DEFERRED_REVENUE","FQ4 2021","FQ4 2021","Currency=USD","Period=FQ","BEST_FPERIOD_OVERRIDE=FQ","FILING_STATUS=MR","SCALING_FORMAT=MLN","Sort=A","Dates=H","DateFormat=P","Fill=—","Direction=H","UseDPDF=Y")</f>
        <v>89.244</v>
      </c>
      <c r="P51" s="13">
        <f>_xll.BDH("SRPT US Equity","ST_DEFERRED_REVENUE","FQ1 2022","FQ1 2022","Currency=USD","Period=FQ","BEST_FPERIOD_OVERRIDE=FQ","FILING_STATUS=MR","SCALING_FORMAT=MLN","Sort=A","Dates=H","DateFormat=P","Fill=—","Direction=H","UseDPDF=Y")</f>
        <v>89.244</v>
      </c>
      <c r="Q51" s="13">
        <f>_xll.BDH("SRPT US Equity","ST_DEFERRED_REVENUE","FQ2 2022","FQ2 2022","Currency=USD","Period=FQ","BEST_FPERIOD_OVERRIDE=FQ","FILING_STATUS=MR","SCALING_FORMAT=MLN","Sort=A","Dates=H","DateFormat=P","Fill=—","Direction=H","UseDPDF=Y")</f>
        <v>89.244</v>
      </c>
      <c r="R51" s="13">
        <f>_xll.BDH("SRPT US Equity","ST_DEFERRED_REVENUE","FQ3 2022","FQ3 2022","Currency=USD","Period=FQ","BEST_FPERIOD_OVERRIDE=FQ","FILING_STATUS=MR","SCALING_FORMAT=MLN","Sort=A","Dates=H","DateFormat=P","Fill=—","Direction=H","UseDPDF=Y")</f>
        <v>89.244</v>
      </c>
      <c r="S51" s="13">
        <f>_xll.BDH("SRPT US Equity","ST_DEFERRED_REVENUE","FQ4 2022","FQ4 2022","Currency=USD","Period=FQ","BEST_FPERIOD_OVERRIDE=FQ","FILING_STATUS=MR","SCALING_FORMAT=MLN","Sort=A","Dates=H","DateFormat=P","Fill=—","Direction=H","UseDPDF=Y")</f>
        <v>89.244</v>
      </c>
      <c r="T51" s="13">
        <f>_xll.BDH("SRPT US Equity","ST_DEFERRED_REVENUE","FQ1 2023","FQ1 2023","Currency=USD","Period=FQ","BEST_FPERIOD_OVERRIDE=FQ","FILING_STATUS=MR","SCALING_FORMAT=MLN","Sort=A","Dates=H","DateFormat=P","Fill=—","Direction=H","UseDPDF=Y")</f>
        <v>67.239000000000004</v>
      </c>
      <c r="U51" s="13">
        <f>_xll.BDH("SRPT US Equity","ST_DEFERRED_REVENUE","FQ2 2023","FQ2 2023","Currency=USD","Period=FQ","BEST_FPERIOD_OVERRIDE=FQ","FILING_STATUS=MR","SCALING_FORMAT=MLN","Sort=A","Dates=H","DateFormat=P","Fill=—","Direction=H","UseDPDF=Y")</f>
        <v>44.988999999999997</v>
      </c>
      <c r="V51" s="13">
        <f>_xll.BDH("SRPT US Equity","ST_DEFERRED_REVENUE","FQ3 2023","FQ3 2023","Currency=USD","Period=FQ","BEST_FPERIOD_OVERRIDE=FQ","FILING_STATUS=MR","SCALING_FORMAT=MLN","Sort=A","Dates=H","DateFormat=P","Fill=—","Direction=H","UseDPDF=Y")</f>
        <v>22.494</v>
      </c>
      <c r="W51" s="13">
        <f>_xll.BDH("SRPT US Equity","ST_DEFERRED_REVENUE","FQ4 2023","FQ4 2023","Currency=USD","Period=FQ","BEST_FPERIOD_OVERRIDE=FQ","FILING_STATUS=MR","SCALING_FORMAT=MLN","Sort=A","Dates=H","DateFormat=P","Fill=—","Direction=H","UseDPDF=Y")</f>
        <v>50.415999999999997</v>
      </c>
      <c r="X51" s="13">
        <f>_xll.BDH("SRPT US Equity","ST_DEFERRED_REVENUE","FQ1 2024","FQ1 2024","Currency=USD","Period=FQ","BEST_FPERIOD_OVERRIDE=FQ","FILING_STATUS=MR","SCALING_FORMAT=MLN","Sort=A","Dates=H","DateFormat=P","Fill=—","Direction=H","UseDPDF=Y")</f>
        <v>112</v>
      </c>
      <c r="Y51" s="13">
        <f>_xll.BDH("SRPT US Equity","ST_DEFERRED_REVENUE","FQ2 2024","FQ2 2024","Currency=USD","Period=FQ","BEST_FPERIOD_OVERRIDE=FQ","FILING_STATUS=MR","SCALING_FORMAT=MLN","Sort=A","Dates=H","DateFormat=P","Fill=—","Direction=H","UseDPDF=Y")</f>
        <v>122.036</v>
      </c>
      <c r="Z51" s="13">
        <f>_xll.BDH("SRPT US Equity","ST_DEFERRED_REVENUE","FQ3 2024","FQ3 2024","Currency=USD","Period=FQ","BEST_FPERIOD_OVERRIDE=FQ","FILING_STATUS=MR","SCALING_FORMAT=MLN","Sort=A","Dates=H","DateFormat=P","Fill=—","Direction=H","UseDPDF=Y")</f>
        <v>127.001</v>
      </c>
      <c r="AA51" s="13">
        <f>_xll.BDH("SRPT US Equity","ST_DEFERRED_REVENUE","FQ4 2024","FQ4 2024","Currency=USD","Period=FQ","BEST_FPERIOD_OVERRIDE=FQ","FILING_STATUS=MR","SCALING_FORMAT=MLN","Sort=A","Dates=H","DateFormat=P","Fill=—","Direction=H","UseDPDF=Y")</f>
        <v>130.256</v>
      </c>
    </row>
    <row r="52" spans="1:27" x14ac:dyDescent="0.25">
      <c r="A52" s="10" t="s">
        <v>773</v>
      </c>
      <c r="B52" s="10" t="s">
        <v>774</v>
      </c>
      <c r="C52" s="13">
        <f>_xll.BDH("SRPT US Equity","BS_DERIV_HEDGING_LIAB_ST","FQ4 2018","FQ4 2018","Currency=USD","Period=FQ","BEST_FPERIOD_OVERRIDE=FQ","FILING_STATUS=MR","SCALING_FORMAT=MLN","Sort=A","Dates=H","DateFormat=P","Fill=—","Direction=H","UseDPDF=Y")</f>
        <v>0</v>
      </c>
      <c r="D52" s="13" t="str">
        <f>_xll.BDH("SRPT US Equity","BS_DERIV_HEDGING_LIAB_ST","FQ1 2019","FQ1 2019","Currency=USD","Period=FQ","BEST_FPERIOD_OVERRIDE=FQ","FILING_STATUS=MR","SCALING_FORMAT=MLN","Sort=A","Dates=H","DateFormat=P","Fill=—","Direction=H","UseDPDF=Y")</f>
        <v>—</v>
      </c>
      <c r="E52" s="13" t="str">
        <f>_xll.BDH("SRPT US Equity","BS_DERIV_HEDGING_LIAB_ST","FQ2 2019","FQ2 2019","Currency=USD","Period=FQ","BEST_FPERIOD_OVERRIDE=FQ","FILING_STATUS=MR","SCALING_FORMAT=MLN","Sort=A","Dates=H","DateFormat=P","Fill=—","Direction=H","UseDPDF=Y")</f>
        <v>—</v>
      </c>
      <c r="F52" s="13" t="str">
        <f>_xll.BDH("SRPT US Equity","BS_DERIV_HEDGING_LIAB_ST","FQ3 2019","FQ3 2019","Currency=USD","Period=FQ","BEST_FPERIOD_OVERRIDE=FQ","FILING_STATUS=MR","SCALING_FORMAT=MLN","Sort=A","Dates=H","DateFormat=P","Fill=—","Direction=H","UseDPDF=Y")</f>
        <v>—</v>
      </c>
      <c r="G52" s="13">
        <f>_xll.BDH("SRPT US Equity","BS_DERIV_HEDGING_LIAB_ST","FQ4 2019","FQ4 2019","Currency=USD","Period=FQ","BEST_FPERIOD_OVERRIDE=FQ","FILING_STATUS=MR","SCALING_FORMAT=MLN","Sort=A","Dates=H","DateFormat=P","Fill=—","Direction=H","UseDPDF=Y")</f>
        <v>0</v>
      </c>
      <c r="H52" s="13" t="str">
        <f>_xll.BDH("SRPT US Equity","BS_DERIV_HEDGING_LIAB_ST","FQ1 2020","FQ1 2020","Currency=USD","Period=FQ","BEST_FPERIOD_OVERRIDE=FQ","FILING_STATUS=MR","SCALING_FORMAT=MLN","Sort=A","Dates=H","DateFormat=P","Fill=—","Direction=H","UseDPDF=Y")</f>
        <v>—</v>
      </c>
      <c r="I52" s="13" t="str">
        <f>_xll.BDH("SRPT US Equity","BS_DERIV_HEDGING_LIAB_ST","FQ2 2020","FQ2 2020","Currency=USD","Period=FQ","BEST_FPERIOD_OVERRIDE=FQ","FILING_STATUS=MR","SCALING_FORMAT=MLN","Sort=A","Dates=H","DateFormat=P","Fill=—","Direction=H","UseDPDF=Y")</f>
        <v>—</v>
      </c>
      <c r="J52" s="13" t="str">
        <f>_xll.BDH("SRPT US Equity","BS_DERIV_HEDGING_LIAB_ST","FQ3 2020","FQ3 2020","Currency=USD","Period=FQ","BEST_FPERIOD_OVERRIDE=FQ","FILING_STATUS=MR","SCALING_FORMAT=MLN","Sort=A","Dates=H","DateFormat=P","Fill=—","Direction=H","UseDPDF=Y")</f>
        <v>—</v>
      </c>
      <c r="K52" s="13">
        <f>_xll.BDH("SRPT US Equity","BS_DERIV_HEDGING_LIAB_ST","FQ4 2020","FQ4 2020","Currency=USD","Period=FQ","BEST_FPERIOD_OVERRIDE=FQ","FILING_STATUS=MR","SCALING_FORMAT=MLN","Sort=A","Dates=H","DateFormat=P","Fill=—","Direction=H","UseDPDF=Y")</f>
        <v>0</v>
      </c>
      <c r="L52" s="13" t="str">
        <f>_xll.BDH("SRPT US Equity","BS_DERIV_HEDGING_LIAB_ST","FQ1 2021","FQ1 2021","Currency=USD","Period=FQ","BEST_FPERIOD_OVERRIDE=FQ","FILING_STATUS=MR","SCALING_FORMAT=MLN","Sort=A","Dates=H","DateFormat=P","Fill=—","Direction=H","UseDPDF=Y")</f>
        <v>—</v>
      </c>
      <c r="M52" s="13" t="str">
        <f>_xll.BDH("SRPT US Equity","BS_DERIV_HEDGING_LIAB_ST","FQ2 2021","FQ2 2021","Currency=USD","Period=FQ","BEST_FPERIOD_OVERRIDE=FQ","FILING_STATUS=MR","SCALING_FORMAT=MLN","Sort=A","Dates=H","DateFormat=P","Fill=—","Direction=H","UseDPDF=Y")</f>
        <v>—</v>
      </c>
      <c r="N52" s="13" t="str">
        <f>_xll.BDH("SRPT US Equity","BS_DERIV_HEDGING_LIAB_ST","FQ3 2021","FQ3 2021","Currency=USD","Period=FQ","BEST_FPERIOD_OVERRIDE=FQ","FILING_STATUS=MR","SCALING_FORMAT=MLN","Sort=A","Dates=H","DateFormat=P","Fill=—","Direction=H","UseDPDF=Y")</f>
        <v>—</v>
      </c>
      <c r="O52" s="13">
        <f>_xll.BDH("SRPT US Equity","BS_DERIV_HEDGING_LIAB_ST","FQ4 2021","FQ4 2021","Currency=USD","Period=FQ","BEST_FPERIOD_OVERRIDE=FQ","FILING_STATUS=MR","SCALING_FORMAT=MLN","Sort=A","Dates=H","DateFormat=P","Fill=—","Direction=H","UseDPDF=Y")</f>
        <v>0</v>
      </c>
      <c r="P52" s="13" t="str">
        <f>_xll.BDH("SRPT US Equity","BS_DERIV_HEDGING_LIAB_ST","FQ1 2022","FQ1 2022","Currency=USD","Period=FQ","BEST_FPERIOD_OVERRIDE=FQ","FILING_STATUS=MR","SCALING_FORMAT=MLN","Sort=A","Dates=H","DateFormat=P","Fill=—","Direction=H","UseDPDF=Y")</f>
        <v>—</v>
      </c>
      <c r="Q52" s="13" t="str">
        <f>_xll.BDH("SRPT US Equity","BS_DERIV_HEDGING_LIAB_ST","FQ2 2022","FQ2 2022","Currency=USD","Period=FQ","BEST_FPERIOD_OVERRIDE=FQ","FILING_STATUS=MR","SCALING_FORMAT=MLN","Sort=A","Dates=H","DateFormat=P","Fill=—","Direction=H","UseDPDF=Y")</f>
        <v>—</v>
      </c>
      <c r="R52" s="13" t="str">
        <f>_xll.BDH("SRPT US Equity","BS_DERIV_HEDGING_LIAB_ST","FQ3 2022","FQ3 2022","Currency=USD","Period=FQ","BEST_FPERIOD_OVERRIDE=FQ","FILING_STATUS=MR","SCALING_FORMAT=MLN","Sort=A","Dates=H","DateFormat=P","Fill=—","Direction=H","UseDPDF=Y")</f>
        <v>—</v>
      </c>
      <c r="S52" s="13">
        <f>_xll.BDH("SRPT US Equity","BS_DERIV_HEDGING_LIAB_ST","FQ4 2022","FQ4 2022","Currency=USD","Period=FQ","BEST_FPERIOD_OVERRIDE=FQ","FILING_STATUS=MR","SCALING_FORMAT=MLN","Sort=A","Dates=H","DateFormat=P","Fill=—","Direction=H","UseDPDF=Y")</f>
        <v>0</v>
      </c>
      <c r="T52" s="13" t="str">
        <f>_xll.BDH("SRPT US Equity","BS_DERIV_HEDGING_LIAB_ST","FQ1 2023","FQ1 2023","Currency=USD","Period=FQ","BEST_FPERIOD_OVERRIDE=FQ","FILING_STATUS=MR","SCALING_FORMAT=MLN","Sort=A","Dates=H","DateFormat=P","Fill=—","Direction=H","UseDPDF=Y")</f>
        <v>—</v>
      </c>
      <c r="U52" s="13" t="str">
        <f>_xll.BDH("SRPT US Equity","BS_DERIV_HEDGING_LIAB_ST","FQ2 2023","FQ2 2023","Currency=USD","Period=FQ","BEST_FPERIOD_OVERRIDE=FQ","FILING_STATUS=MR","SCALING_FORMAT=MLN","Sort=A","Dates=H","DateFormat=P","Fill=—","Direction=H","UseDPDF=Y")</f>
        <v>—</v>
      </c>
      <c r="V52" s="13">
        <f>_xll.BDH("SRPT US Equity","BS_DERIV_HEDGING_LIAB_ST","FQ3 2023","FQ3 2023","Currency=USD","Period=FQ","BEST_FPERIOD_OVERRIDE=FQ","FILING_STATUS=MR","SCALING_FORMAT=MLN","Sort=A","Dates=H","DateFormat=P","Fill=—","Direction=H","UseDPDF=Y")</f>
        <v>0</v>
      </c>
      <c r="W52" s="13">
        <f>_xll.BDH("SRPT US Equity","BS_DERIV_HEDGING_LIAB_ST","FQ4 2023","FQ4 2023","Currency=USD","Period=FQ","BEST_FPERIOD_OVERRIDE=FQ","FILING_STATUS=MR","SCALING_FORMAT=MLN","Sort=A","Dates=H","DateFormat=P","Fill=—","Direction=H","UseDPDF=Y")</f>
        <v>0</v>
      </c>
      <c r="X52" s="13" t="str">
        <f>_xll.BDH("SRPT US Equity","BS_DERIV_HEDGING_LIAB_ST","FQ1 2024","FQ1 2024","Currency=USD","Period=FQ","BEST_FPERIOD_OVERRIDE=FQ","FILING_STATUS=MR","SCALING_FORMAT=MLN","Sort=A","Dates=H","DateFormat=P","Fill=—","Direction=H","UseDPDF=Y")</f>
        <v>—</v>
      </c>
      <c r="Y52" s="13" t="str">
        <f>_xll.BDH("SRPT US Equity","BS_DERIV_HEDGING_LIAB_ST","FQ2 2024","FQ2 2024","Currency=USD","Period=FQ","BEST_FPERIOD_OVERRIDE=FQ","FILING_STATUS=MR","SCALING_FORMAT=MLN","Sort=A","Dates=H","DateFormat=P","Fill=—","Direction=H","UseDPDF=Y")</f>
        <v>—</v>
      </c>
      <c r="Z52" s="13" t="str">
        <f>_xll.BDH("SRPT US Equity","BS_DERIV_HEDGING_LIAB_ST","FQ3 2024","FQ3 2024","Currency=USD","Period=FQ","BEST_FPERIOD_OVERRIDE=FQ","FILING_STATUS=MR","SCALING_FORMAT=MLN","Sort=A","Dates=H","DateFormat=P","Fill=—","Direction=H","UseDPDF=Y")</f>
        <v>—</v>
      </c>
      <c r="AA52" s="13" t="str">
        <f>_xll.BDH("SRPT US Equity","BS_DERIV_HEDGING_LIAB_ST","FQ4 2024","FQ4 2024","Currency=USD","Period=FQ","BEST_FPERIOD_OVERRIDE=FQ","FILING_STATUS=MR","SCALING_FORMAT=MLN","Sort=A","Dates=H","DateFormat=P","Fill=—","Direction=H","UseDPDF=Y")</f>
        <v>—</v>
      </c>
    </row>
    <row r="53" spans="1:27" x14ac:dyDescent="0.25">
      <c r="A53" s="10" t="s">
        <v>775</v>
      </c>
      <c r="B53" s="10" t="s">
        <v>776</v>
      </c>
      <c r="C53" s="13">
        <f>_xll.BDH("SRPT US Equity","OTHER_CURRENT_LIABS_DETAILED","FQ4 2018","FQ4 2018","Currency=USD","Period=FQ","BEST_FPERIOD_OVERRIDE=FQ","FILING_STATUS=MR","SCALING_FORMAT=MLN","Sort=A","Dates=H","DateFormat=P","Fill=—","Direction=H","UseDPDF=Y")</f>
        <v>2.4630000000000001</v>
      </c>
      <c r="D53" s="13">
        <f>_xll.BDH("SRPT US Equity","OTHER_CURRENT_LIABS_DETAILED","FQ1 2019","FQ1 2019","Currency=USD","Period=FQ","BEST_FPERIOD_OVERRIDE=FQ","FILING_STATUS=MR","SCALING_FORMAT=MLN","Sort=A","Dates=H","DateFormat=P","Fill=—","Direction=H","UseDPDF=Y")</f>
        <v>6.7619999999999996</v>
      </c>
      <c r="E53" s="13">
        <f>_xll.BDH("SRPT US Equity","OTHER_CURRENT_LIABS_DETAILED","FQ2 2019","FQ2 2019","Currency=USD","Period=FQ","BEST_FPERIOD_OVERRIDE=FQ","FILING_STATUS=MR","SCALING_FORMAT=MLN","Sort=A","Dates=H","DateFormat=P","Fill=—","Direction=H","UseDPDF=Y")</f>
        <v>7.4130000000000003</v>
      </c>
      <c r="F53" s="13">
        <f>_xll.BDH("SRPT US Equity","OTHER_CURRENT_LIABS_DETAILED","FQ3 2019","FQ3 2019","Currency=USD","Period=FQ","BEST_FPERIOD_OVERRIDE=FQ","FILING_STATUS=MR","SCALING_FORMAT=MLN","Sort=A","Dates=H","DateFormat=P","Fill=—","Direction=H","UseDPDF=Y")</f>
        <v>8.9440000000000008</v>
      </c>
      <c r="G53" s="13">
        <f>_xll.BDH("SRPT US Equity","OTHER_CURRENT_LIABS_DETAILED","FQ4 2019","FQ4 2019","Currency=USD","Period=FQ","BEST_FPERIOD_OVERRIDE=FQ","FILING_STATUS=MR","SCALING_FORMAT=MLN","Sort=A","Dates=H","DateFormat=P","Fill=—","Direction=H","UseDPDF=Y")</f>
        <v>11.146000000000001</v>
      </c>
      <c r="H53" s="13">
        <f>_xll.BDH("SRPT US Equity","OTHER_CURRENT_LIABS_DETAILED","FQ1 2020","FQ1 2020","Currency=USD","Period=FQ","BEST_FPERIOD_OVERRIDE=FQ","FILING_STATUS=MR","SCALING_FORMAT=MLN","Sort=A","Dates=H","DateFormat=P","Fill=—","Direction=H","UseDPDF=Y")</f>
        <v>12.462999999999999</v>
      </c>
      <c r="I53" s="13">
        <f>_xll.BDH("SRPT US Equity","OTHER_CURRENT_LIABS_DETAILED","FQ2 2020","FQ2 2020","Currency=USD","Period=FQ","BEST_FPERIOD_OVERRIDE=FQ","FILING_STATUS=MR","SCALING_FORMAT=MLN","Sort=A","Dates=H","DateFormat=P","Fill=—","Direction=H","UseDPDF=Y")</f>
        <v>14.837</v>
      </c>
      <c r="J53" s="13">
        <f>_xll.BDH("SRPT US Equity","OTHER_CURRENT_LIABS_DETAILED","FQ3 2020","FQ3 2020","Currency=USD","Period=FQ","BEST_FPERIOD_OVERRIDE=FQ","FILING_STATUS=MR","SCALING_FORMAT=MLN","Sort=A","Dates=H","DateFormat=P","Fill=—","Direction=H","UseDPDF=Y")</f>
        <v>15.553000000000001</v>
      </c>
      <c r="K53" s="13">
        <f>_xll.BDH("SRPT US Equity","OTHER_CURRENT_LIABS_DETAILED","FQ4 2020","FQ4 2020","Currency=USD","Period=FQ","BEST_FPERIOD_OVERRIDE=FQ","FILING_STATUS=MR","SCALING_FORMAT=MLN","Sort=A","Dates=H","DateFormat=P","Fill=—","Direction=H","UseDPDF=Y")</f>
        <v>22.138999999999999</v>
      </c>
      <c r="L53" s="13">
        <f>_xll.BDH("SRPT US Equity","OTHER_CURRENT_LIABS_DETAILED","FQ1 2021","FQ1 2021","Currency=USD","Period=FQ","BEST_FPERIOD_OVERRIDE=FQ","FILING_STATUS=MR","SCALING_FORMAT=MLN","Sort=A","Dates=H","DateFormat=P","Fill=—","Direction=H","UseDPDF=Y")</f>
        <v>18.204999999999998</v>
      </c>
      <c r="M53" s="13">
        <f>_xll.BDH("SRPT US Equity","OTHER_CURRENT_LIABS_DETAILED","FQ2 2021","FQ2 2021","Currency=USD","Period=FQ","BEST_FPERIOD_OVERRIDE=FQ","FILING_STATUS=MR","SCALING_FORMAT=MLN","Sort=A","Dates=H","DateFormat=P","Fill=—","Direction=H","UseDPDF=Y")</f>
        <v>18.956</v>
      </c>
      <c r="N53" s="13">
        <f>_xll.BDH("SRPT US Equity","OTHER_CURRENT_LIABS_DETAILED","FQ3 2021","FQ3 2021","Currency=USD","Period=FQ","BEST_FPERIOD_OVERRIDE=FQ","FILING_STATUS=MR","SCALING_FORMAT=MLN","Sort=A","Dates=H","DateFormat=P","Fill=—","Direction=H","UseDPDF=Y")</f>
        <v>19.027000000000001</v>
      </c>
      <c r="O53" s="13">
        <f>_xll.BDH("SRPT US Equity","OTHER_CURRENT_LIABS_DETAILED","FQ4 2021","FQ4 2021","Currency=USD","Period=FQ","BEST_FPERIOD_OVERRIDE=FQ","FILING_STATUS=MR","SCALING_FORMAT=MLN","Sort=A","Dates=H","DateFormat=P","Fill=—","Direction=H","UseDPDF=Y")</f>
        <v>15.051</v>
      </c>
      <c r="P53" s="13">
        <f>_xll.BDH("SRPT US Equity","OTHER_CURRENT_LIABS_DETAILED","FQ1 2022","FQ1 2022","Currency=USD","Period=FQ","BEST_FPERIOD_OVERRIDE=FQ","FILING_STATUS=MR","SCALING_FORMAT=MLN","Sort=A","Dates=H","DateFormat=P","Fill=—","Direction=H","UseDPDF=Y")</f>
        <v>17.803000000000001</v>
      </c>
      <c r="Q53" s="13">
        <f>_xll.BDH("SRPT US Equity","OTHER_CURRENT_LIABS_DETAILED","FQ2 2022","FQ2 2022","Currency=USD","Period=FQ","BEST_FPERIOD_OVERRIDE=FQ","FILING_STATUS=MR","SCALING_FORMAT=MLN","Sort=A","Dates=H","DateFormat=P","Fill=—","Direction=H","UseDPDF=Y")</f>
        <v>16.416</v>
      </c>
      <c r="R53" s="13">
        <f>_xll.BDH("SRPT US Equity","OTHER_CURRENT_LIABS_DETAILED","FQ3 2022","FQ3 2022","Currency=USD","Period=FQ","BEST_FPERIOD_OVERRIDE=FQ","FILING_STATUS=MR","SCALING_FORMAT=MLN","Sort=A","Dates=H","DateFormat=P","Fill=—","Direction=H","UseDPDF=Y")</f>
        <v>26.213000000000001</v>
      </c>
      <c r="S53" s="13">
        <f>_xll.BDH("SRPT US Equity","OTHER_CURRENT_LIABS_DETAILED","FQ4 2022","FQ4 2022","Currency=USD","Period=FQ","BEST_FPERIOD_OVERRIDE=FQ","FILING_STATUS=MR","SCALING_FORMAT=MLN","Sort=A","Dates=H","DateFormat=P","Fill=—","Direction=H","UseDPDF=Y")</f>
        <v>15.489000000000001</v>
      </c>
      <c r="T53" s="13">
        <f>_xll.BDH("SRPT US Equity","OTHER_CURRENT_LIABS_DETAILED","FQ1 2023","FQ1 2023","Currency=USD","Period=FQ","BEST_FPERIOD_OVERRIDE=FQ","FILING_STATUS=MR","SCALING_FORMAT=MLN","Sort=A","Dates=H","DateFormat=P","Fill=—","Direction=H","UseDPDF=Y")</f>
        <v>17.381</v>
      </c>
      <c r="U53" s="13">
        <f>_xll.BDH("SRPT US Equity","OTHER_CURRENT_LIABS_DETAILED","FQ2 2023","FQ2 2023","Currency=USD","Period=FQ","BEST_FPERIOD_OVERRIDE=FQ","FILING_STATUS=MR","SCALING_FORMAT=MLN","Sort=A","Dates=H","DateFormat=P","Fill=—","Direction=H","UseDPDF=Y")</f>
        <v>16.992000000000001</v>
      </c>
      <c r="V53" s="13">
        <f>_xll.BDH("SRPT US Equity","OTHER_CURRENT_LIABS_DETAILED","FQ3 2023","FQ3 2023","Currency=USD","Period=FQ","BEST_FPERIOD_OVERRIDE=FQ","FILING_STATUS=MR","SCALING_FORMAT=MLN","Sort=A","Dates=H","DateFormat=P","Fill=—","Direction=H","UseDPDF=Y")</f>
        <v>17.951000000000001</v>
      </c>
      <c r="W53" s="13">
        <f>_xll.BDH("SRPT US Equity","OTHER_CURRENT_LIABS_DETAILED","FQ4 2023","FQ4 2023","Currency=USD","Period=FQ","BEST_FPERIOD_OVERRIDE=FQ","FILING_STATUS=MR","SCALING_FORMAT=MLN","Sort=A","Dates=H","DateFormat=P","Fill=—","Direction=H","UseDPDF=Y")</f>
        <v>17.844999999999999</v>
      </c>
      <c r="X53" s="13">
        <f>_xll.BDH("SRPT US Equity","OTHER_CURRENT_LIABS_DETAILED","FQ1 2024","FQ1 2024","Currency=USD","Period=FQ","BEST_FPERIOD_OVERRIDE=FQ","FILING_STATUS=MR","SCALING_FORMAT=MLN","Sort=A","Dates=H","DateFormat=P","Fill=—","Direction=H","UseDPDF=Y")</f>
        <v>16.27</v>
      </c>
      <c r="Y53" s="13">
        <f>_xll.BDH("SRPT US Equity","OTHER_CURRENT_LIABS_DETAILED","FQ2 2024","FQ2 2024","Currency=USD","Period=FQ","BEST_FPERIOD_OVERRIDE=FQ","FILING_STATUS=MR","SCALING_FORMAT=MLN","Sort=A","Dates=H","DateFormat=P","Fill=—","Direction=H","UseDPDF=Y")</f>
        <v>17.128</v>
      </c>
      <c r="Z53" s="13">
        <f>_xll.BDH("SRPT US Equity","OTHER_CURRENT_LIABS_DETAILED","FQ3 2024","FQ3 2024","Currency=USD","Period=FQ","BEST_FPERIOD_OVERRIDE=FQ","FILING_STATUS=MR","SCALING_FORMAT=MLN","Sort=A","Dates=H","DateFormat=P","Fill=—","Direction=H","UseDPDF=Y")</f>
        <v>17.289000000000001</v>
      </c>
      <c r="AA53" s="13">
        <f>_xll.BDH("SRPT US Equity","OTHER_CURRENT_LIABS_DETAILED","FQ4 2024","FQ4 2024","Currency=USD","Period=FQ","BEST_FPERIOD_OVERRIDE=FQ","FILING_STATUS=MR","SCALING_FORMAT=MLN","Sort=A","Dates=H","DateFormat=P","Fill=—","Direction=H","UseDPDF=Y")</f>
        <v>13.473000000000001</v>
      </c>
    </row>
    <row r="54" spans="1:27" x14ac:dyDescent="0.25">
      <c r="A54" s="6" t="s">
        <v>114</v>
      </c>
      <c r="B54" s="6" t="s">
        <v>115</v>
      </c>
      <c r="C54" s="19">
        <f>_xll.BDH("SRPT US Equity","BS_CUR_LIAB","FQ4 2018","FQ4 2018","Currency=USD","Period=FQ","BEST_FPERIOD_OVERRIDE=FQ","FILING_STATUS=MR","SCALING_FORMAT=MLN","Sort=A","Dates=H","DateFormat=P","Fill=—","Direction=H","UseDPDF=Y")</f>
        <v>173.69</v>
      </c>
      <c r="D54" s="19">
        <f>_xll.BDH("SRPT US Equity","BS_CUR_LIAB","FQ1 2019","FQ1 2019","Currency=USD","Period=FQ","BEST_FPERIOD_OVERRIDE=FQ","FILING_STATUS=MR","SCALING_FORMAT=MLN","Sort=A","Dates=H","DateFormat=P","Fill=—","Direction=H","UseDPDF=Y")</f>
        <v>137.36600000000001</v>
      </c>
      <c r="E54" s="19">
        <f>_xll.BDH("SRPT US Equity","BS_CUR_LIAB","FQ2 2019","FQ2 2019","Currency=USD","Period=FQ","BEST_FPERIOD_OVERRIDE=FQ","FILING_STATUS=MR","SCALING_FORMAT=MLN","Sort=A","Dates=H","DateFormat=P","Fill=—","Direction=H","UseDPDF=Y")</f>
        <v>162.089</v>
      </c>
      <c r="F54" s="19">
        <f>_xll.BDH("SRPT US Equity","BS_CUR_LIAB","FQ3 2019","FQ3 2019","Currency=USD","Period=FQ","BEST_FPERIOD_OVERRIDE=FQ","FILING_STATUS=MR","SCALING_FORMAT=MLN","Sort=A","Dates=H","DateFormat=P","Fill=—","Direction=H","UseDPDF=Y")</f>
        <v>215.85599999999999</v>
      </c>
      <c r="G54" s="19">
        <f>_xll.BDH("SRPT US Equity","BS_CUR_LIAB","FQ4 2019","FQ4 2019","Currency=USD","Period=FQ","BEST_FPERIOD_OVERRIDE=FQ","FILING_STATUS=MR","SCALING_FORMAT=MLN","Sort=A","Dates=H","DateFormat=P","Fill=—","Direction=H","UseDPDF=Y")</f>
        <v>264.767</v>
      </c>
      <c r="H54" s="19">
        <f>_xll.BDH("SRPT US Equity","BS_CUR_LIAB","FQ1 2020","FQ1 2020","Currency=USD","Period=FQ","BEST_FPERIOD_OVERRIDE=FQ","FILING_STATUS=MR","SCALING_FORMAT=MLN","Sort=A","Dates=H","DateFormat=P","Fill=—","Direction=H","UseDPDF=Y")</f>
        <v>306.42899999999997</v>
      </c>
      <c r="I54" s="19">
        <f>_xll.BDH("SRPT US Equity","BS_CUR_LIAB","FQ2 2020","FQ2 2020","Currency=USD","Period=FQ","BEST_FPERIOD_OVERRIDE=FQ","FILING_STATUS=MR","SCALING_FORMAT=MLN","Sort=A","Dates=H","DateFormat=P","Fill=—","Direction=H","UseDPDF=Y")</f>
        <v>354.89600000000002</v>
      </c>
      <c r="J54" s="19">
        <f>_xll.BDH("SRPT US Equity","BS_CUR_LIAB","FQ3 2020","FQ3 2020","Currency=USD","Period=FQ","BEST_FPERIOD_OVERRIDE=FQ","FILING_STATUS=MR","SCALING_FORMAT=MLN","Sort=A","Dates=H","DateFormat=P","Fill=—","Direction=H","UseDPDF=Y")</f>
        <v>378.38799999999998</v>
      </c>
      <c r="K54" s="19">
        <f>_xll.BDH("SRPT US Equity","BS_CUR_LIAB","FQ4 2020","FQ4 2020","Currency=USD","Period=FQ","BEST_FPERIOD_OVERRIDE=FQ","FILING_STATUS=MR","SCALING_FORMAT=MLN","Sort=A","Dates=H","DateFormat=P","Fill=—","Direction=H","UseDPDF=Y")</f>
        <v>416.02600000000001</v>
      </c>
      <c r="L54" s="19">
        <f>_xll.BDH("SRPT US Equity","BS_CUR_LIAB","FQ1 2021","FQ1 2021","Currency=USD","Period=FQ","BEST_FPERIOD_OVERRIDE=FQ","FILING_STATUS=MR","SCALING_FORMAT=MLN","Sort=A","Dates=H","DateFormat=P","Fill=—","Direction=H","UseDPDF=Y")</f>
        <v>364.73599999999999</v>
      </c>
      <c r="M54" s="19">
        <f>_xll.BDH("SRPT US Equity","BS_CUR_LIAB","FQ2 2021","FQ2 2021","Currency=USD","Period=FQ","BEST_FPERIOD_OVERRIDE=FQ","FILING_STATUS=MR","SCALING_FORMAT=MLN","Sort=A","Dates=H","DateFormat=P","Fill=—","Direction=H","UseDPDF=Y")</f>
        <v>425.02199999999999</v>
      </c>
      <c r="N54" s="19">
        <f>_xll.BDH("SRPT US Equity","BS_CUR_LIAB","FQ3 2021","FQ3 2021","Currency=USD","Period=FQ","BEST_FPERIOD_OVERRIDE=FQ","FILING_STATUS=MR","SCALING_FORMAT=MLN","Sort=A","Dates=H","DateFormat=P","Fill=—","Direction=H","UseDPDF=Y")</f>
        <v>373.44299999999998</v>
      </c>
      <c r="O54" s="19">
        <f>_xll.BDH("SRPT US Equity","BS_CUR_LIAB","FQ4 2021","FQ4 2021","Currency=USD","Period=FQ","BEST_FPERIOD_OVERRIDE=FQ","FILING_STATUS=MR","SCALING_FORMAT=MLN","Sort=A","Dates=H","DateFormat=P","Fill=—","Direction=H","UseDPDF=Y")</f>
        <v>452.733</v>
      </c>
      <c r="P54" s="19">
        <f>_xll.BDH("SRPT US Equity","BS_CUR_LIAB","FQ1 2022","FQ1 2022","Currency=USD","Period=FQ","BEST_FPERIOD_OVERRIDE=FQ","FILING_STATUS=MR","SCALING_FORMAT=MLN","Sort=A","Dates=H","DateFormat=P","Fill=—","Direction=H","UseDPDF=Y")</f>
        <v>454.96199999999999</v>
      </c>
      <c r="Q54" s="19">
        <f>_xll.BDH("SRPT US Equity","BS_CUR_LIAB","FQ2 2022","FQ2 2022","Currency=USD","Period=FQ","BEST_FPERIOD_OVERRIDE=FQ","FILING_STATUS=MR","SCALING_FORMAT=MLN","Sort=A","Dates=H","DateFormat=P","Fill=—","Direction=H","UseDPDF=Y")</f>
        <v>545.56600000000003</v>
      </c>
      <c r="R54" s="19">
        <f>_xll.BDH("SRPT US Equity","BS_CUR_LIAB","FQ3 2022","FQ3 2022","Currency=USD","Period=FQ","BEST_FPERIOD_OVERRIDE=FQ","FILING_STATUS=MR","SCALING_FORMAT=MLN","Sort=A","Dates=H","DateFormat=P","Fill=—","Direction=H","UseDPDF=Y")</f>
        <v>602.91600000000005</v>
      </c>
      <c r="S54" s="19">
        <f>_xll.BDH("SRPT US Equity","BS_CUR_LIAB","FQ4 2022","FQ4 2022","Currency=USD","Period=FQ","BEST_FPERIOD_OVERRIDE=FQ","FILING_STATUS=MR","SCALING_FORMAT=MLN","Sort=A","Dates=H","DateFormat=P","Fill=—","Direction=H","UseDPDF=Y")</f>
        <v>619.60400000000004</v>
      </c>
      <c r="T54" s="19">
        <f>_xll.BDH("SRPT US Equity","BS_CUR_LIAB","FQ1 2023","FQ1 2023","Currency=USD","Period=FQ","BEST_FPERIOD_OVERRIDE=FQ","FILING_STATUS=MR","SCALING_FORMAT=MLN","Sort=A","Dates=H","DateFormat=P","Fill=—","Direction=H","UseDPDF=Y")</f>
        <v>536.88400000000001</v>
      </c>
      <c r="U54" s="19">
        <f>_xll.BDH("SRPT US Equity","BS_CUR_LIAB","FQ2 2023","FQ2 2023","Currency=USD","Period=FQ","BEST_FPERIOD_OVERRIDE=FQ","FILING_STATUS=MR","SCALING_FORMAT=MLN","Sort=A","Dates=H","DateFormat=P","Fill=—","Direction=H","UseDPDF=Y")</f>
        <v>498.654</v>
      </c>
      <c r="V54" s="19">
        <f>_xll.BDH("SRPT US Equity","BS_CUR_LIAB","FQ3 2023","FQ3 2023","Currency=USD","Period=FQ","BEST_FPERIOD_OVERRIDE=FQ","FILING_STATUS=MR","SCALING_FORMAT=MLN","Sort=A","Dates=H","DateFormat=P","Fill=—","Direction=H","UseDPDF=Y")</f>
        <v>450.74299999999999</v>
      </c>
      <c r="W54" s="19">
        <f>_xll.BDH("SRPT US Equity","BS_CUR_LIAB","FQ4 2023","FQ4 2023","Currency=USD","Period=FQ","BEST_FPERIOD_OVERRIDE=FQ","FILING_STATUS=MR","SCALING_FORMAT=MLN","Sort=A","Dates=H","DateFormat=P","Fill=—","Direction=H","UseDPDF=Y")</f>
        <v>653.65899999999999</v>
      </c>
      <c r="X54" s="19">
        <f>_xll.BDH("SRPT US Equity","BS_CUR_LIAB","FQ1 2024","FQ1 2024","Currency=USD","Period=FQ","BEST_FPERIOD_OVERRIDE=FQ","FILING_STATUS=MR","SCALING_FORMAT=MLN","Sort=A","Dates=H","DateFormat=P","Fill=—","Direction=H","UseDPDF=Y")</f>
        <v>608.70899999999995</v>
      </c>
      <c r="Y54" s="19">
        <f>_xll.BDH("SRPT US Equity","BS_CUR_LIAB","FQ2 2024","FQ2 2024","Currency=USD","Period=FQ","BEST_FPERIOD_OVERRIDE=FQ","FILING_STATUS=MR","SCALING_FORMAT=MLN","Sort=A","Dates=H","DateFormat=P","Fill=—","Direction=H","UseDPDF=Y")</f>
        <v>688.49</v>
      </c>
      <c r="Z54" s="19">
        <f>_xll.BDH("SRPT US Equity","BS_CUR_LIAB","FQ3 2024","FQ3 2024","Currency=USD","Period=FQ","BEST_FPERIOD_OVERRIDE=FQ","FILING_STATUS=MR","SCALING_FORMAT=MLN","Sort=A","Dates=H","DateFormat=P","Fill=—","Direction=H","UseDPDF=Y")</f>
        <v>699.48900000000003</v>
      </c>
      <c r="AA54" s="19">
        <f>_xll.BDH("SRPT US Equity","BS_CUR_LIAB","FQ4 2024","FQ4 2024","Currency=USD","Period=FQ","BEST_FPERIOD_OVERRIDE=FQ","FILING_STATUS=MR","SCALING_FORMAT=MLN","Sort=A","Dates=H","DateFormat=P","Fill=—","Direction=H","UseDPDF=Y")</f>
        <v>731.68399999999997</v>
      </c>
    </row>
    <row r="55" spans="1:27" x14ac:dyDescent="0.25">
      <c r="A55" s="10" t="s">
        <v>777</v>
      </c>
      <c r="B55" s="10" t="s">
        <v>778</v>
      </c>
      <c r="C55" s="13">
        <f>_xll.BDH("SRPT US Equity","BS_LT_BORROW","FQ4 2018","FQ4 2018","Currency=USD","Period=FQ","BEST_FPERIOD_OVERRIDE=FQ","FILING_STATUS=MR","SCALING_FORMAT=MLN","Sort=A","Dates=H","DateFormat=P","Fill=—","Direction=H","UseDPDF=Y")</f>
        <v>420.55399999999997</v>
      </c>
      <c r="D55" s="13">
        <f>_xll.BDH("SRPT US Equity","BS_LT_BORROW","FQ1 2019","FQ1 2019","Currency=USD","Period=FQ","BEST_FPERIOD_OVERRIDE=FQ","FILING_STATUS=MR","SCALING_FORMAT=MLN","Sort=A","Dates=H","DateFormat=P","Fill=—","Direction=H","UseDPDF=Y")</f>
        <v>477.91699999999997</v>
      </c>
      <c r="E55" s="13">
        <f>_xll.BDH("SRPT US Equity","BS_LT_BORROW","FQ2 2019","FQ2 2019","Currency=USD","Period=FQ","BEST_FPERIOD_OVERRIDE=FQ","FILING_STATUS=MR","SCALING_FORMAT=MLN","Sort=A","Dates=H","DateFormat=P","Fill=—","Direction=H","UseDPDF=Y")</f>
        <v>481.24900000000002</v>
      </c>
      <c r="F55" s="13">
        <f>_xll.BDH("SRPT US Equity","BS_LT_BORROW","FQ3 2019","FQ3 2019","Currency=USD","Period=FQ","BEST_FPERIOD_OVERRIDE=FQ","FILING_STATUS=MR","SCALING_FORMAT=MLN","Sort=A","Dates=H","DateFormat=P","Fill=—","Direction=H","UseDPDF=Y")</f>
        <v>486.16199999999998</v>
      </c>
      <c r="G55" s="13">
        <f>_xll.BDH("SRPT US Equity","BS_LT_BORROW","FQ4 2019","FQ4 2019","Currency=USD","Period=FQ","BEST_FPERIOD_OVERRIDE=FQ","FILING_STATUS=MR","SCALING_FORMAT=MLN","Sort=A","Dates=H","DateFormat=P","Fill=—","Direction=H","UseDPDF=Y")</f>
        <v>729.62</v>
      </c>
      <c r="H55" s="13">
        <f>_xll.BDH("SRPT US Equity","BS_LT_BORROW","FQ1 2020","FQ1 2020","Currency=USD","Period=FQ","BEST_FPERIOD_OVERRIDE=FQ","FILING_STATUS=MR","SCALING_FORMAT=MLN","Sort=A","Dates=H","DateFormat=P","Fill=—","Direction=H","UseDPDF=Y")</f>
        <v>753.21600000000001</v>
      </c>
      <c r="I55" s="13">
        <f>_xll.BDH("SRPT US Equity","BS_LT_BORROW","FQ2 2020","FQ2 2020","Currency=USD","Period=FQ","BEST_FPERIOD_OVERRIDE=FQ","FILING_STATUS=MR","SCALING_FORMAT=MLN","Sort=A","Dates=H","DateFormat=P","Fill=—","Direction=H","UseDPDF=Y")</f>
        <v>766.55700000000002</v>
      </c>
      <c r="J55" s="13">
        <f>_xll.BDH("SRPT US Equity","BS_LT_BORROW","FQ3 2020","FQ3 2020","Currency=USD","Period=FQ","BEST_FPERIOD_OVERRIDE=FQ","FILING_STATUS=MR","SCALING_FORMAT=MLN","Sort=A","Dates=H","DateFormat=P","Fill=—","Direction=H","UseDPDF=Y")</f>
        <v>768.69899999999996</v>
      </c>
      <c r="K55" s="13">
        <f>_xll.BDH("SRPT US Equity","BS_LT_BORROW","FQ4 2020","FQ4 2020","Currency=USD","Period=FQ","BEST_FPERIOD_OVERRIDE=FQ","FILING_STATUS=MR","SCALING_FORMAT=MLN","Sort=A","Dates=H","DateFormat=P","Fill=—","Direction=H","UseDPDF=Y")</f>
        <v>1072.8599999999999</v>
      </c>
      <c r="L55" s="13">
        <f>_xll.BDH("SRPT US Equity","BS_LT_BORROW","FQ1 2021","FQ1 2021","Currency=USD","Period=FQ","BEST_FPERIOD_OVERRIDE=FQ","FILING_STATUS=MR","SCALING_FORMAT=MLN","Sort=A","Dates=H","DateFormat=P","Fill=—","Direction=H","UseDPDF=Y")</f>
        <v>1151.7850000000001</v>
      </c>
      <c r="M55" s="13">
        <f>_xll.BDH("SRPT US Equity","BS_LT_BORROW","FQ2 2021","FQ2 2021","Currency=USD","Period=FQ","BEST_FPERIOD_OVERRIDE=FQ","FILING_STATUS=MR","SCALING_FORMAT=MLN","Sort=A","Dates=H","DateFormat=P","Fill=—","Direction=H","UseDPDF=Y")</f>
        <v>1158.27</v>
      </c>
      <c r="N55" s="13">
        <f>_xll.BDH("SRPT US Equity","BS_LT_BORROW","FQ3 2021","FQ3 2021","Currency=USD","Period=FQ","BEST_FPERIOD_OVERRIDE=FQ","FILING_STATUS=MR","SCALING_FORMAT=MLN","Sort=A","Dates=H","DateFormat=P","Fill=—","Direction=H","UseDPDF=Y")</f>
        <v>1158.3399999999999</v>
      </c>
      <c r="O55" s="13">
        <f>_xll.BDH("SRPT US Equity","BS_LT_BORROW","FQ4 2021","FQ4 2021","Currency=USD","Period=FQ","BEST_FPERIOD_OVERRIDE=FQ","FILING_STATUS=MR","SCALING_FORMAT=MLN","Sort=A","Dates=H","DateFormat=P","Fill=—","Direction=H","UseDPDF=Y")</f>
        <v>1138.3879999999999</v>
      </c>
      <c r="P55" s="13">
        <f>_xll.BDH("SRPT US Equity","BS_LT_BORROW","FQ1 2022","FQ1 2022","Currency=USD","Period=FQ","BEST_FPERIOD_OVERRIDE=FQ","FILING_STATUS=MR","SCALING_FORMAT=MLN","Sort=A","Dates=H","DateFormat=P","Fill=—","Direction=H","UseDPDF=Y")</f>
        <v>1137.4670000000001</v>
      </c>
      <c r="Q55" s="13">
        <f>_xll.BDH("SRPT US Equity","BS_LT_BORROW","FQ2 2022","FQ2 2022","Currency=USD","Period=FQ","BEST_FPERIOD_OVERRIDE=FQ","FILING_STATUS=MR","SCALING_FORMAT=MLN","Sort=A","Dates=H","DateFormat=P","Fill=—","Direction=H","UseDPDF=Y")</f>
        <v>1140.241</v>
      </c>
      <c r="R55" s="13">
        <f>_xll.BDH("SRPT US Equity","BS_LT_BORROW","FQ3 2022","FQ3 2022","Currency=USD","Period=FQ","BEST_FPERIOD_OVERRIDE=FQ","FILING_STATUS=MR","SCALING_FORMAT=MLN","Sort=A","Dates=H","DateFormat=P","Fill=—","Direction=H","UseDPDF=Y")</f>
        <v>1577.999</v>
      </c>
      <c r="S55" s="13">
        <f>_xll.BDH("SRPT US Equity","BS_LT_BORROW","FQ4 2022","FQ4 2022","Currency=USD","Period=FQ","BEST_FPERIOD_OVERRIDE=FQ","FILING_STATUS=MR","SCALING_FORMAT=MLN","Sort=A","Dates=H","DateFormat=P","Fill=—","Direction=H","UseDPDF=Y")</f>
        <v>1601.87</v>
      </c>
      <c r="T55" s="13">
        <f>_xll.BDH("SRPT US Equity","BS_LT_BORROW","FQ1 2023","FQ1 2023","Currency=USD","Period=FQ","BEST_FPERIOD_OVERRIDE=FQ","FILING_STATUS=MR","SCALING_FORMAT=MLN","Sort=A","Dates=H","DateFormat=P","Fill=—","Direction=H","UseDPDF=Y")</f>
        <v>1288.2149999999999</v>
      </c>
      <c r="U55" s="13">
        <f>_xll.BDH("SRPT US Equity","BS_LT_BORROW","FQ2 2023","FQ2 2023","Currency=USD","Period=FQ","BEST_FPERIOD_OVERRIDE=FQ","FILING_STATUS=MR","SCALING_FORMAT=MLN","Sort=A","Dates=H","DateFormat=P","Fill=—","Direction=H","UseDPDF=Y")</f>
        <v>1364.6869999999999</v>
      </c>
      <c r="V55" s="13">
        <f>_xll.BDH("SRPT US Equity","BS_LT_BORROW","FQ3 2023","FQ3 2023","Currency=USD","Period=FQ","BEST_FPERIOD_OVERRIDE=FQ","FILING_STATUS=MR","SCALING_FORMAT=MLN","Sort=A","Dates=H","DateFormat=P","Fill=—","Direction=H","UseDPDF=Y")</f>
        <v>1371.5070000000001</v>
      </c>
      <c r="W55" s="13">
        <f>_xll.BDH("SRPT US Equity","BS_LT_BORROW","FQ4 2023","FQ4 2023","Currency=USD","Period=FQ","BEST_FPERIOD_OVERRIDE=FQ","FILING_STATUS=MR","SCALING_FORMAT=MLN","Sort=A","Dates=H","DateFormat=P","Fill=—","Direction=H","UseDPDF=Y")</f>
        <v>1273.48</v>
      </c>
      <c r="X55" s="13">
        <f>_xll.BDH("SRPT US Equity","BS_LT_BORROW","FQ1 2024","FQ1 2024","Currency=USD","Period=FQ","BEST_FPERIOD_OVERRIDE=FQ","FILING_STATUS=MR","SCALING_FORMAT=MLN","Sort=A","Dates=H","DateFormat=P","Fill=—","Direction=H","UseDPDF=Y")</f>
        <v>1273.7619999999999</v>
      </c>
      <c r="Y55" s="13">
        <f>_xll.BDH("SRPT US Equity","BS_LT_BORROW","FQ2 2024","FQ2 2024","Currency=USD","Period=FQ","BEST_FPERIOD_OVERRIDE=FQ","FILING_STATUS=MR","SCALING_FORMAT=MLN","Sort=A","Dates=H","DateFormat=P","Fill=—","Direction=H","UseDPDF=Y")</f>
        <v>1278.4110000000001</v>
      </c>
      <c r="Z55" s="13">
        <f>_xll.BDH("SRPT US Equity","BS_LT_BORROW","FQ3 2024","FQ3 2024","Currency=USD","Period=FQ","BEST_FPERIOD_OVERRIDE=FQ","FILING_STATUS=MR","SCALING_FORMAT=MLN","Sort=A","Dates=H","DateFormat=P","Fill=—","Direction=H","UseDPDF=Y")</f>
        <v>1305.9739999999999</v>
      </c>
      <c r="AA55" s="13">
        <f>_xll.BDH("SRPT US Equity","BS_LT_BORROW","FQ4 2024","FQ4 2024","Currency=USD","Period=FQ","BEST_FPERIOD_OVERRIDE=FQ","FILING_STATUS=MR","SCALING_FORMAT=MLN","Sort=A","Dates=H","DateFormat=P","Fill=—","Direction=H","UseDPDF=Y")</f>
        <v>1329.597</v>
      </c>
    </row>
    <row r="56" spans="1:27" x14ac:dyDescent="0.25">
      <c r="A56" s="10" t="s">
        <v>779</v>
      </c>
      <c r="B56" s="10" t="s">
        <v>780</v>
      </c>
      <c r="C56" s="13">
        <f>_xll.BDH("SRPT US Equity","LONG_TERM_BORROWINGS_DETAILED","FQ4 2018","FQ4 2018","Currency=USD","Period=FQ","BEST_FPERIOD_OVERRIDE=FQ","FILING_STATUS=MR","SCALING_FORMAT=MLN","Sort=A","Dates=H","DateFormat=P","Fill=—","Direction=H","UseDPDF=Y")</f>
        <v>420.55399999999997</v>
      </c>
      <c r="D56" s="13">
        <f>_xll.BDH("SRPT US Equity","LONG_TERM_BORROWINGS_DETAILED","FQ1 2019","FQ1 2019","Currency=USD","Period=FQ","BEST_FPERIOD_OVERRIDE=FQ","FILING_STATUS=MR","SCALING_FORMAT=MLN","Sort=A","Dates=H","DateFormat=P","Fill=—","Direction=H","UseDPDF=Y")</f>
        <v>425.75200000000001</v>
      </c>
      <c r="E56" s="13">
        <f>_xll.BDH("SRPT US Equity","LONG_TERM_BORROWINGS_DETAILED","FQ2 2019","FQ2 2019","Currency=USD","Period=FQ","BEST_FPERIOD_OVERRIDE=FQ","FILING_STATUS=MR","SCALING_FORMAT=MLN","Sort=A","Dates=H","DateFormat=P","Fill=—","Direction=H","UseDPDF=Y")</f>
        <v>431.04</v>
      </c>
      <c r="F56" s="13">
        <f>_xll.BDH("SRPT US Equity","LONG_TERM_BORROWINGS_DETAILED","FQ3 2019","FQ3 2019","Currency=USD","Period=FQ","BEST_FPERIOD_OVERRIDE=FQ","FILING_STATUS=MR","SCALING_FORMAT=MLN","Sort=A","Dates=H","DateFormat=P","Fill=—","Direction=H","UseDPDF=Y")</f>
        <v>436.42099999999999</v>
      </c>
      <c r="G56" s="13">
        <f>_xll.BDH("SRPT US Equity","LONG_TERM_BORROWINGS_DETAILED","FQ4 2019","FQ4 2019","Currency=USD","Period=FQ","BEST_FPERIOD_OVERRIDE=FQ","FILING_STATUS=MR","SCALING_FORMAT=MLN","Sort=A","Dates=H","DateFormat=P","Fill=—","Direction=H","UseDPDF=Y")</f>
        <v>681.9</v>
      </c>
      <c r="H56" s="13">
        <f>_xll.BDH("SRPT US Equity","LONG_TERM_BORROWINGS_DETAILED","FQ1 2020","FQ1 2020","Currency=USD","Period=FQ","BEST_FPERIOD_OVERRIDE=FQ","FILING_STATUS=MR","SCALING_FORMAT=MLN","Sort=A","Dates=H","DateFormat=P","Fill=—","Direction=H","UseDPDF=Y")</f>
        <v>687.95299999999997</v>
      </c>
      <c r="I56" s="13">
        <f>_xll.BDH("SRPT US Equity","LONG_TERM_BORROWINGS_DETAILED","FQ2 2020","FQ2 2020","Currency=USD","Period=FQ","BEST_FPERIOD_OVERRIDE=FQ","FILING_STATUS=MR","SCALING_FORMAT=MLN","Sort=A","Dates=H","DateFormat=P","Fill=—","Direction=H","UseDPDF=Y")</f>
        <v>694.15599999999995</v>
      </c>
      <c r="J56" s="13">
        <f>_xll.BDH("SRPT US Equity","LONG_TERM_BORROWINGS_DETAILED","FQ3 2020","FQ3 2020","Currency=USD","Period=FQ","BEST_FPERIOD_OVERRIDE=FQ","FILING_STATUS=MR","SCALING_FORMAT=MLN","Sort=A","Dates=H","DateFormat=P","Fill=—","Direction=H","UseDPDF=Y")</f>
        <v>700.47</v>
      </c>
      <c r="K56" s="13">
        <f>_xll.BDH("SRPT US Equity","LONG_TERM_BORROWINGS_DETAILED","FQ4 2020","FQ4 2020","Currency=USD","Period=FQ","BEST_FPERIOD_OVERRIDE=FQ","FILING_STATUS=MR","SCALING_FORMAT=MLN","Sort=A","Dates=H","DateFormat=P","Fill=—","Direction=H","UseDPDF=Y")</f>
        <v>992.49300000000005</v>
      </c>
      <c r="L56" s="13">
        <f>_xll.BDH("SRPT US Equity","LONG_TERM_BORROWINGS_DETAILED","FQ1 2021","FQ1 2021","Currency=USD","Period=FQ","BEST_FPERIOD_OVERRIDE=FQ","FILING_STATUS=MR","SCALING_FORMAT=MLN","Sort=A","Dates=H","DateFormat=P","Fill=—","Direction=H","UseDPDF=Y")</f>
        <v>1091.1099999999999</v>
      </c>
      <c r="M56" s="13">
        <f>_xll.BDH("SRPT US Equity","LONG_TERM_BORROWINGS_DETAILED","FQ2 2021","FQ2 2021","Currency=USD","Period=FQ","BEST_FPERIOD_OVERRIDE=FQ","FILING_STATUS=MR","SCALING_FORMAT=MLN","Sort=A","Dates=H","DateFormat=P","Fill=—","Direction=H","UseDPDF=Y")</f>
        <v>1092.9849999999999</v>
      </c>
      <c r="N56" s="13">
        <f>_xll.BDH("SRPT US Equity","LONG_TERM_BORROWINGS_DETAILED","FQ3 2021","FQ3 2021","Currency=USD","Period=FQ","BEST_FPERIOD_OVERRIDE=FQ","FILING_STATUS=MR","SCALING_FORMAT=MLN","Sort=A","Dates=H","DateFormat=P","Fill=—","Direction=H","UseDPDF=Y")</f>
        <v>1094.912</v>
      </c>
      <c r="O56" s="13">
        <f>_xll.BDH("SRPT US Equity","LONG_TERM_BORROWINGS_DETAILED","FQ4 2021","FQ4 2021","Currency=USD","Period=FQ","BEST_FPERIOD_OVERRIDE=FQ","FILING_STATUS=MR","SCALING_FORMAT=MLN","Sort=A","Dates=H","DateFormat=P","Fill=—","Direction=H","UseDPDF=Y")</f>
        <v>1096.876</v>
      </c>
      <c r="P56" s="13">
        <f>_xll.BDH("SRPT US Equity","LONG_TERM_BORROWINGS_DETAILED","FQ1 2022","FQ1 2022","Currency=USD","Period=FQ","BEST_FPERIOD_OVERRIDE=FQ","FILING_STATUS=MR","SCALING_FORMAT=MLN","Sort=A","Dates=H","DateFormat=P","Fill=—","Direction=H","UseDPDF=Y")</f>
        <v>1098.847</v>
      </c>
      <c r="Q56" s="13">
        <f>_xll.BDH("SRPT US Equity","LONG_TERM_BORROWINGS_DETAILED","FQ2 2022","FQ2 2022","Currency=USD","Period=FQ","BEST_FPERIOD_OVERRIDE=FQ","FILING_STATUS=MR","SCALING_FORMAT=MLN","Sort=A","Dates=H","DateFormat=P","Fill=—","Direction=H","UseDPDF=Y")</f>
        <v>1100.873</v>
      </c>
      <c r="R56" s="13">
        <f>_xll.BDH("SRPT US Equity","LONG_TERM_BORROWINGS_DETAILED","FQ3 2022","FQ3 2022","Currency=USD","Period=FQ","BEST_FPERIOD_OVERRIDE=FQ","FILING_STATUS=MR","SCALING_FORMAT=MLN","Sort=A","Dates=H","DateFormat=P","Fill=—","Direction=H","UseDPDF=Y")</f>
        <v>1542.77</v>
      </c>
      <c r="S56" s="13">
        <f>_xll.BDH("SRPT US Equity","LONG_TERM_BORROWINGS_DETAILED","FQ4 2022","FQ4 2022","Currency=USD","Period=FQ","BEST_FPERIOD_OVERRIDE=FQ","FILING_STATUS=MR","SCALING_FORMAT=MLN","Sort=A","Dates=H","DateFormat=P","Fill=—","Direction=H","UseDPDF=Y")</f>
        <v>1544.2919999999999</v>
      </c>
      <c r="T56" s="13">
        <f>_xll.BDH("SRPT US Equity","LONG_TERM_BORROWINGS_DETAILED","FQ1 2023","FQ1 2023","Currency=USD","Period=FQ","BEST_FPERIOD_OVERRIDE=FQ","FILING_STATUS=MR","SCALING_FORMAT=MLN","Sort=A","Dates=H","DateFormat=P","Fill=—","Direction=H","UseDPDF=Y")</f>
        <v>1234.2840000000001</v>
      </c>
      <c r="U56" s="13">
        <f>_xll.BDH("SRPT US Equity","LONG_TERM_BORROWINGS_DETAILED","FQ2 2023","FQ2 2023","Currency=USD","Period=FQ","BEST_FPERIOD_OVERRIDE=FQ","FILING_STATUS=MR","SCALING_FORMAT=MLN","Sort=A","Dates=H","DateFormat=P","Fill=—","Direction=H","UseDPDF=Y")</f>
        <v>1235.5170000000001</v>
      </c>
      <c r="V56" s="13">
        <f>_xll.BDH("SRPT US Equity","LONG_TERM_BORROWINGS_DETAILED","FQ3 2023","FQ3 2023","Currency=USD","Period=FQ","BEST_FPERIOD_OVERRIDE=FQ","FILING_STATUS=MR","SCALING_FORMAT=MLN","Sort=A","Dates=H","DateFormat=P","Fill=—","Direction=H","UseDPDF=Y")</f>
        <v>1236.7550000000001</v>
      </c>
      <c r="W56" s="13">
        <f>_xll.BDH("SRPT US Equity","LONG_TERM_BORROWINGS_DETAILED","FQ4 2023","FQ4 2023","Currency=USD","Period=FQ","BEST_FPERIOD_OVERRIDE=FQ","FILING_STATUS=MR","SCALING_FORMAT=MLN","Sort=A","Dates=H","DateFormat=P","Fill=—","Direction=H","UseDPDF=Y")</f>
        <v>1132.5150000000001</v>
      </c>
      <c r="X56" s="13">
        <f>_xll.BDH("SRPT US Equity","LONG_TERM_BORROWINGS_DETAILED","FQ1 2024","FQ1 2024","Currency=USD","Period=FQ","BEST_FPERIOD_OVERRIDE=FQ","FILING_STATUS=MR","SCALING_FORMAT=MLN","Sort=A","Dates=H","DateFormat=P","Fill=—","Direction=H","UseDPDF=Y")</f>
        <v>1133.6600000000001</v>
      </c>
      <c r="Y56" s="13">
        <f>_xll.BDH("SRPT US Equity","LONG_TERM_BORROWINGS_DETAILED","FQ2 2024","FQ2 2024","Currency=USD","Period=FQ","BEST_FPERIOD_OVERRIDE=FQ","FILING_STATUS=MR","SCALING_FORMAT=MLN","Sort=A","Dates=H","DateFormat=P","Fill=—","Direction=H","UseDPDF=Y")</f>
        <v>1134.81</v>
      </c>
      <c r="Z56" s="13">
        <f>_xll.BDH("SRPT US Equity","LONG_TERM_BORROWINGS_DETAILED","FQ3 2024","FQ3 2024","Currency=USD","Period=FQ","BEST_FPERIOD_OVERRIDE=FQ","FILING_STATUS=MR","SCALING_FORMAT=MLN","Sort=A","Dates=H","DateFormat=P","Fill=—","Direction=H","UseDPDF=Y")</f>
        <v>1135.9649999999999</v>
      </c>
      <c r="AA56" s="13">
        <f>_xll.BDH("SRPT US Equity","LONG_TERM_BORROWINGS_DETAILED","FQ4 2024","FQ4 2024","Currency=USD","Period=FQ","BEST_FPERIOD_OVERRIDE=FQ","FILING_STATUS=MR","SCALING_FORMAT=MLN","Sort=A","Dates=H","DateFormat=P","Fill=—","Direction=H","UseDPDF=Y")</f>
        <v>1137.124</v>
      </c>
    </row>
    <row r="57" spans="1:27" x14ac:dyDescent="0.25">
      <c r="A57" s="10" t="s">
        <v>781</v>
      </c>
      <c r="B57" s="10" t="s">
        <v>782</v>
      </c>
      <c r="C57" s="13">
        <f>_xll.BDH("SRPT US Equity","LT_CAPITALIZED_LEASE_LIABILITIES","FQ4 2018","FQ4 2018","Currency=USD","Period=FQ","BEST_FPERIOD_OVERRIDE=FQ","FILING_STATUS=MR","SCALING_FORMAT=MLN","Sort=A","Dates=H","DateFormat=P","Fill=—","Direction=H","UseDPDF=Y")</f>
        <v>0</v>
      </c>
      <c r="D57" s="13">
        <f>_xll.BDH("SRPT US Equity","LT_CAPITALIZED_LEASE_LIABILITIES","FQ1 2019","FQ1 2019","Currency=USD","Period=FQ","BEST_FPERIOD_OVERRIDE=FQ","FILING_STATUS=MR","SCALING_FORMAT=MLN","Sort=A","Dates=H","DateFormat=P","Fill=—","Direction=H","UseDPDF=Y")</f>
        <v>52.164999999999999</v>
      </c>
      <c r="E57" s="13">
        <f>_xll.BDH("SRPT US Equity","LT_CAPITALIZED_LEASE_LIABILITIES","FQ2 2019","FQ2 2019","Currency=USD","Period=FQ","BEST_FPERIOD_OVERRIDE=FQ","FILING_STATUS=MR","SCALING_FORMAT=MLN","Sort=A","Dates=H","DateFormat=P","Fill=—","Direction=H","UseDPDF=Y")</f>
        <v>50.209000000000003</v>
      </c>
      <c r="F57" s="13">
        <f>_xll.BDH("SRPT US Equity","LT_CAPITALIZED_LEASE_LIABILITIES","FQ3 2019","FQ3 2019","Currency=USD","Period=FQ","BEST_FPERIOD_OVERRIDE=FQ","FILING_STATUS=MR","SCALING_FORMAT=MLN","Sort=A","Dates=H","DateFormat=P","Fill=—","Direction=H","UseDPDF=Y")</f>
        <v>49.741</v>
      </c>
      <c r="G57" s="13">
        <f>_xll.BDH("SRPT US Equity","LT_CAPITALIZED_LEASE_LIABILITIES","FQ4 2019","FQ4 2019","Currency=USD","Period=FQ","BEST_FPERIOD_OVERRIDE=FQ","FILING_STATUS=MR","SCALING_FORMAT=MLN","Sort=A","Dates=H","DateFormat=P","Fill=—","Direction=H","UseDPDF=Y")</f>
        <v>47.72</v>
      </c>
      <c r="H57" s="13">
        <f>_xll.BDH("SRPT US Equity","LT_CAPITALIZED_LEASE_LIABILITIES","FQ1 2020","FQ1 2020","Currency=USD","Period=FQ","BEST_FPERIOD_OVERRIDE=FQ","FILING_STATUS=MR","SCALING_FORMAT=MLN","Sort=A","Dates=H","DateFormat=P","Fill=—","Direction=H","UseDPDF=Y")</f>
        <v>65.263000000000005</v>
      </c>
      <c r="I57" s="13">
        <f>_xll.BDH("SRPT US Equity","LT_CAPITALIZED_LEASE_LIABILITIES","FQ2 2020","FQ2 2020","Currency=USD","Period=FQ","BEST_FPERIOD_OVERRIDE=FQ","FILING_STATUS=MR","SCALING_FORMAT=MLN","Sort=A","Dates=H","DateFormat=P","Fill=—","Direction=H","UseDPDF=Y")</f>
        <v>72.400999999999996</v>
      </c>
      <c r="J57" s="13">
        <f>_xll.BDH("SRPT US Equity","LT_CAPITALIZED_LEASE_LIABILITIES","FQ3 2020","FQ3 2020","Currency=USD","Period=FQ","BEST_FPERIOD_OVERRIDE=FQ","FILING_STATUS=MR","SCALING_FORMAT=MLN","Sort=A","Dates=H","DateFormat=P","Fill=—","Direction=H","UseDPDF=Y")</f>
        <v>68.228999999999999</v>
      </c>
      <c r="K57" s="13">
        <f>_xll.BDH("SRPT US Equity","LT_CAPITALIZED_LEASE_LIABILITIES","FQ4 2020","FQ4 2020","Currency=USD","Period=FQ","BEST_FPERIOD_OVERRIDE=FQ","FILING_STATUS=MR","SCALING_FORMAT=MLN","Sort=A","Dates=H","DateFormat=P","Fill=—","Direction=H","UseDPDF=Y")</f>
        <v>80.367000000000004</v>
      </c>
      <c r="L57" s="13">
        <f>_xll.BDH("SRPT US Equity","LT_CAPITALIZED_LEASE_LIABILITIES","FQ1 2021","FQ1 2021","Currency=USD","Period=FQ","BEST_FPERIOD_OVERRIDE=FQ","FILING_STATUS=MR","SCALING_FORMAT=MLN","Sort=A","Dates=H","DateFormat=P","Fill=—","Direction=H","UseDPDF=Y")</f>
        <v>60.674999999999997</v>
      </c>
      <c r="M57" s="13">
        <f>_xll.BDH("SRPT US Equity","LT_CAPITALIZED_LEASE_LIABILITIES","FQ2 2021","FQ2 2021","Currency=USD","Period=FQ","BEST_FPERIOD_OVERRIDE=FQ","FILING_STATUS=MR","SCALING_FORMAT=MLN","Sort=A","Dates=H","DateFormat=P","Fill=—","Direction=H","UseDPDF=Y")</f>
        <v>65.284999999999997</v>
      </c>
      <c r="N57" s="13">
        <f>_xll.BDH("SRPT US Equity","LT_CAPITALIZED_LEASE_LIABILITIES","FQ3 2021","FQ3 2021","Currency=USD","Period=FQ","BEST_FPERIOD_OVERRIDE=FQ","FILING_STATUS=MR","SCALING_FORMAT=MLN","Sort=A","Dates=H","DateFormat=P","Fill=—","Direction=H","UseDPDF=Y")</f>
        <v>63.427999999999997</v>
      </c>
      <c r="O57" s="13">
        <f>_xll.BDH("SRPT US Equity","LT_CAPITALIZED_LEASE_LIABILITIES","FQ4 2021","FQ4 2021","Currency=USD","Period=FQ","BEST_FPERIOD_OVERRIDE=FQ","FILING_STATUS=MR","SCALING_FORMAT=MLN","Sort=A","Dates=H","DateFormat=P","Fill=—","Direction=H","UseDPDF=Y")</f>
        <v>41.512</v>
      </c>
      <c r="P57" s="13">
        <f>_xll.BDH("SRPT US Equity","LT_CAPITALIZED_LEASE_LIABILITIES","FQ1 2022","FQ1 2022","Currency=USD","Period=FQ","BEST_FPERIOD_OVERRIDE=FQ","FILING_STATUS=MR","SCALING_FORMAT=MLN","Sort=A","Dates=H","DateFormat=P","Fill=—","Direction=H","UseDPDF=Y")</f>
        <v>38.619999999999997</v>
      </c>
      <c r="Q57" s="13">
        <f>_xll.BDH("SRPT US Equity","LT_CAPITALIZED_LEASE_LIABILITIES","FQ2 2022","FQ2 2022","Currency=USD","Period=FQ","BEST_FPERIOD_OVERRIDE=FQ","FILING_STATUS=MR","SCALING_FORMAT=MLN","Sort=A","Dates=H","DateFormat=P","Fill=—","Direction=H","UseDPDF=Y")</f>
        <v>39.368000000000002</v>
      </c>
      <c r="R57" s="13">
        <f>_xll.BDH("SRPT US Equity","LT_CAPITALIZED_LEASE_LIABILITIES","FQ3 2022","FQ3 2022","Currency=USD","Period=FQ","BEST_FPERIOD_OVERRIDE=FQ","FILING_STATUS=MR","SCALING_FORMAT=MLN","Sort=A","Dates=H","DateFormat=P","Fill=—","Direction=H","UseDPDF=Y")</f>
        <v>35.228999999999999</v>
      </c>
      <c r="S57" s="13">
        <f>_xll.BDH("SRPT US Equity","LT_CAPITALIZED_LEASE_LIABILITIES","FQ4 2022","FQ4 2022","Currency=USD","Period=FQ","BEST_FPERIOD_OVERRIDE=FQ","FILING_STATUS=MR","SCALING_FORMAT=MLN","Sort=A","Dates=H","DateFormat=P","Fill=—","Direction=H","UseDPDF=Y")</f>
        <v>57.578000000000003</v>
      </c>
      <c r="T57" s="13">
        <f>_xll.BDH("SRPT US Equity","LT_CAPITALIZED_LEASE_LIABILITIES","FQ1 2023","FQ1 2023","Currency=USD","Period=FQ","BEST_FPERIOD_OVERRIDE=FQ","FILING_STATUS=MR","SCALING_FORMAT=MLN","Sort=A","Dates=H","DateFormat=P","Fill=—","Direction=H","UseDPDF=Y")</f>
        <v>53.930999999999997</v>
      </c>
      <c r="U57" s="13">
        <f>_xll.BDH("SRPT US Equity","LT_CAPITALIZED_LEASE_LIABILITIES","FQ2 2023","FQ2 2023","Currency=USD","Period=FQ","BEST_FPERIOD_OVERRIDE=FQ","FILING_STATUS=MR","SCALING_FORMAT=MLN","Sort=A","Dates=H","DateFormat=P","Fill=—","Direction=H","UseDPDF=Y")</f>
        <v>129.16999999999999</v>
      </c>
      <c r="V57" s="13">
        <f>_xll.BDH("SRPT US Equity","LT_CAPITALIZED_LEASE_LIABILITIES","FQ3 2023","FQ3 2023","Currency=USD","Period=FQ","BEST_FPERIOD_OVERRIDE=FQ","FILING_STATUS=MR","SCALING_FORMAT=MLN","Sort=A","Dates=H","DateFormat=P","Fill=—","Direction=H","UseDPDF=Y")</f>
        <v>134.75200000000001</v>
      </c>
      <c r="W57" s="13">
        <f>_xll.BDH("SRPT US Equity","LT_CAPITALIZED_LEASE_LIABILITIES","FQ4 2023","FQ4 2023","Currency=USD","Period=FQ","BEST_FPERIOD_OVERRIDE=FQ","FILING_STATUS=MR","SCALING_FORMAT=MLN","Sort=A","Dates=H","DateFormat=P","Fill=—","Direction=H","UseDPDF=Y")</f>
        <v>140.965</v>
      </c>
      <c r="X57" s="13">
        <f>_xll.BDH("SRPT US Equity","LT_CAPITALIZED_LEASE_LIABILITIES","FQ1 2024","FQ1 2024","Currency=USD","Period=FQ","BEST_FPERIOD_OVERRIDE=FQ","FILING_STATUS=MR","SCALING_FORMAT=MLN","Sort=A","Dates=H","DateFormat=P","Fill=—","Direction=H","UseDPDF=Y")</f>
        <v>140.102</v>
      </c>
      <c r="Y57" s="13">
        <f>_xll.BDH("SRPT US Equity","LT_CAPITALIZED_LEASE_LIABILITIES","FQ2 2024","FQ2 2024","Currency=USD","Period=FQ","BEST_FPERIOD_OVERRIDE=FQ","FILING_STATUS=MR","SCALING_FORMAT=MLN","Sort=A","Dates=H","DateFormat=P","Fill=—","Direction=H","UseDPDF=Y")</f>
        <v>143.601</v>
      </c>
      <c r="Z57" s="13">
        <f>_xll.BDH("SRPT US Equity","LT_CAPITALIZED_LEASE_LIABILITIES","FQ3 2024","FQ3 2024","Currency=USD","Period=FQ","BEST_FPERIOD_OVERRIDE=FQ","FILING_STATUS=MR","SCALING_FORMAT=MLN","Sort=A","Dates=H","DateFormat=P","Fill=—","Direction=H","UseDPDF=Y")</f>
        <v>170.00899999999999</v>
      </c>
      <c r="AA57" s="13">
        <f>_xll.BDH("SRPT US Equity","LT_CAPITALIZED_LEASE_LIABILITIES","FQ4 2024","FQ4 2024","Currency=USD","Period=FQ","BEST_FPERIOD_OVERRIDE=FQ","FILING_STATUS=MR","SCALING_FORMAT=MLN","Sort=A","Dates=H","DateFormat=P","Fill=—","Direction=H","UseDPDF=Y")</f>
        <v>192.47300000000001</v>
      </c>
    </row>
    <row r="58" spans="1:27" x14ac:dyDescent="0.25">
      <c r="A58" s="11" t="s">
        <v>783</v>
      </c>
      <c r="B58" s="11" t="s">
        <v>784</v>
      </c>
      <c r="C58" s="25">
        <f>_xll.BDH("SRPT US Equity","LT_CAPITAL_LEASE_OBLIGATIONS","FQ4 2018","FQ4 2018","Currency=USD","Period=FQ","BEST_FPERIOD_OVERRIDE=FQ","FILING_STATUS=MR","SCALING_FORMAT=MLN","Sort=A","Dates=H","DateFormat=P","Fill=—","Direction=H","UseDPDF=Y")</f>
        <v>0</v>
      </c>
      <c r="D58" s="25" t="str">
        <f>_xll.BDH("SRPT US Equity","LT_CAPITAL_LEASE_OBLIGATIONS","FQ1 2019","FQ1 2019","Currency=USD","Period=FQ","BEST_FPERIOD_OVERRIDE=FQ","FILING_STATUS=MR","SCALING_FORMAT=MLN","Sort=A","Dates=H","DateFormat=P","Fill=—","Direction=H","UseDPDF=Y")</f>
        <v>—</v>
      </c>
      <c r="E58" s="25" t="str">
        <f>_xll.BDH("SRPT US Equity","LT_CAPITAL_LEASE_OBLIGATIONS","FQ2 2019","FQ2 2019","Currency=USD","Period=FQ","BEST_FPERIOD_OVERRIDE=FQ","FILING_STATUS=MR","SCALING_FORMAT=MLN","Sort=A","Dates=H","DateFormat=P","Fill=—","Direction=H","UseDPDF=Y")</f>
        <v>—</v>
      </c>
      <c r="F58" s="25" t="str">
        <f>_xll.BDH("SRPT US Equity","LT_CAPITAL_LEASE_OBLIGATIONS","FQ3 2019","FQ3 2019","Currency=USD","Period=FQ","BEST_FPERIOD_OVERRIDE=FQ","FILING_STATUS=MR","SCALING_FORMAT=MLN","Sort=A","Dates=H","DateFormat=P","Fill=—","Direction=H","UseDPDF=Y")</f>
        <v>—</v>
      </c>
      <c r="G58" s="25" t="str">
        <f>_xll.BDH("SRPT US Equity","LT_CAPITAL_LEASE_OBLIGATIONS","FQ4 2019","FQ4 2019","Currency=USD","Period=FQ","BEST_FPERIOD_OVERRIDE=FQ","FILING_STATUS=MR","SCALING_FORMAT=MLN","Sort=A","Dates=H","DateFormat=P","Fill=—","Direction=H","UseDPDF=Y")</f>
        <v>—</v>
      </c>
      <c r="H58" s="25" t="str">
        <f>_xll.BDH("SRPT US Equity","LT_CAPITAL_LEASE_OBLIGATIONS","FQ1 2020","FQ1 2020","Currency=USD","Period=FQ","BEST_FPERIOD_OVERRIDE=FQ","FILING_STATUS=MR","SCALING_FORMAT=MLN","Sort=A","Dates=H","DateFormat=P","Fill=—","Direction=H","UseDPDF=Y")</f>
        <v>—</v>
      </c>
      <c r="I58" s="25" t="str">
        <f>_xll.BDH("SRPT US Equity","LT_CAPITAL_LEASE_OBLIGATIONS","FQ2 2020","FQ2 2020","Currency=USD","Period=FQ","BEST_FPERIOD_OVERRIDE=FQ","FILING_STATUS=MR","SCALING_FORMAT=MLN","Sort=A","Dates=H","DateFormat=P","Fill=—","Direction=H","UseDPDF=Y")</f>
        <v>—</v>
      </c>
      <c r="J58" s="25" t="str">
        <f>_xll.BDH("SRPT US Equity","LT_CAPITAL_LEASE_OBLIGATIONS","FQ3 2020","FQ3 2020","Currency=USD","Period=FQ","BEST_FPERIOD_OVERRIDE=FQ","FILING_STATUS=MR","SCALING_FORMAT=MLN","Sort=A","Dates=H","DateFormat=P","Fill=—","Direction=H","UseDPDF=Y")</f>
        <v>—</v>
      </c>
      <c r="K58" s="25">
        <f>_xll.BDH("SRPT US Equity","LT_CAPITAL_LEASE_OBLIGATIONS","FQ4 2020","FQ4 2020","Currency=USD","Period=FQ","BEST_FPERIOD_OVERRIDE=FQ","FILING_STATUS=MR","SCALING_FORMAT=MLN","Sort=A","Dates=H","DateFormat=P","Fill=—","Direction=H","UseDPDF=Y")</f>
        <v>0</v>
      </c>
      <c r="L58" s="25" t="str">
        <f>_xll.BDH("SRPT US Equity","LT_CAPITAL_LEASE_OBLIGATIONS","FQ1 2021","FQ1 2021","Currency=USD","Period=FQ","BEST_FPERIOD_OVERRIDE=FQ","FILING_STATUS=MR","SCALING_FORMAT=MLN","Sort=A","Dates=H","DateFormat=P","Fill=—","Direction=H","UseDPDF=Y")</f>
        <v>—</v>
      </c>
      <c r="M58" s="25" t="str">
        <f>_xll.BDH("SRPT US Equity","LT_CAPITAL_LEASE_OBLIGATIONS","FQ2 2021","FQ2 2021","Currency=USD","Period=FQ","BEST_FPERIOD_OVERRIDE=FQ","FILING_STATUS=MR","SCALING_FORMAT=MLN","Sort=A","Dates=H","DateFormat=P","Fill=—","Direction=H","UseDPDF=Y")</f>
        <v>—</v>
      </c>
      <c r="N58" s="25" t="str">
        <f>_xll.BDH("SRPT US Equity","LT_CAPITAL_LEASE_OBLIGATIONS","FQ3 2021","FQ3 2021","Currency=USD","Period=FQ","BEST_FPERIOD_OVERRIDE=FQ","FILING_STATUS=MR","SCALING_FORMAT=MLN","Sort=A","Dates=H","DateFormat=P","Fill=—","Direction=H","UseDPDF=Y")</f>
        <v>—</v>
      </c>
      <c r="O58" s="25">
        <f>_xll.BDH("SRPT US Equity","LT_CAPITAL_LEASE_OBLIGATIONS","FQ4 2021","FQ4 2021","Currency=USD","Period=FQ","BEST_FPERIOD_OVERRIDE=FQ","FILING_STATUS=MR","SCALING_FORMAT=MLN","Sort=A","Dates=H","DateFormat=P","Fill=—","Direction=H","UseDPDF=Y")</f>
        <v>0</v>
      </c>
      <c r="P58" s="25" t="str">
        <f>_xll.BDH("SRPT US Equity","LT_CAPITAL_LEASE_OBLIGATIONS","FQ1 2022","FQ1 2022","Currency=USD","Period=FQ","BEST_FPERIOD_OVERRIDE=FQ","FILING_STATUS=MR","SCALING_FORMAT=MLN","Sort=A","Dates=H","DateFormat=P","Fill=—","Direction=H","UseDPDF=Y")</f>
        <v>—</v>
      </c>
      <c r="Q58" s="25" t="str">
        <f>_xll.BDH("SRPT US Equity","LT_CAPITAL_LEASE_OBLIGATIONS","FQ2 2022","FQ2 2022","Currency=USD","Period=FQ","BEST_FPERIOD_OVERRIDE=FQ","FILING_STATUS=MR","SCALING_FORMAT=MLN","Sort=A","Dates=H","DateFormat=P","Fill=—","Direction=H","UseDPDF=Y")</f>
        <v>—</v>
      </c>
      <c r="R58" s="25" t="str">
        <f>_xll.BDH("SRPT US Equity","LT_CAPITAL_LEASE_OBLIGATIONS","FQ3 2022","FQ3 2022","Currency=USD","Period=FQ","BEST_FPERIOD_OVERRIDE=FQ","FILING_STATUS=MR","SCALING_FORMAT=MLN","Sort=A","Dates=H","DateFormat=P","Fill=—","Direction=H","UseDPDF=Y")</f>
        <v>—</v>
      </c>
      <c r="S58" s="25">
        <f>_xll.BDH("SRPT US Equity","LT_CAPITAL_LEASE_OBLIGATIONS","FQ4 2022","FQ4 2022","Currency=USD","Period=FQ","BEST_FPERIOD_OVERRIDE=FQ","FILING_STATUS=MR","SCALING_FORMAT=MLN","Sort=A","Dates=H","DateFormat=P","Fill=—","Direction=H","UseDPDF=Y")</f>
        <v>0</v>
      </c>
      <c r="T58" s="25" t="str">
        <f>_xll.BDH("SRPT US Equity","LT_CAPITAL_LEASE_OBLIGATIONS","FQ1 2023","FQ1 2023","Currency=USD","Period=FQ","BEST_FPERIOD_OVERRIDE=FQ","FILING_STATUS=MR","SCALING_FORMAT=MLN","Sort=A","Dates=H","DateFormat=P","Fill=—","Direction=H","UseDPDF=Y")</f>
        <v>—</v>
      </c>
      <c r="U58" s="25" t="str">
        <f>_xll.BDH("SRPT US Equity","LT_CAPITAL_LEASE_OBLIGATIONS","FQ2 2023","FQ2 2023","Currency=USD","Period=FQ","BEST_FPERIOD_OVERRIDE=FQ","FILING_STATUS=MR","SCALING_FORMAT=MLN","Sort=A","Dates=H","DateFormat=P","Fill=—","Direction=H","UseDPDF=Y")</f>
        <v>—</v>
      </c>
      <c r="V58" s="25" t="str">
        <f>_xll.BDH("SRPT US Equity","LT_CAPITAL_LEASE_OBLIGATIONS","FQ3 2023","FQ3 2023","Currency=USD","Period=FQ","BEST_FPERIOD_OVERRIDE=FQ","FILING_STATUS=MR","SCALING_FORMAT=MLN","Sort=A","Dates=H","DateFormat=P","Fill=—","Direction=H","UseDPDF=Y")</f>
        <v>—</v>
      </c>
      <c r="W58" s="25">
        <f>_xll.BDH("SRPT US Equity","LT_CAPITAL_LEASE_OBLIGATIONS","FQ4 2023","FQ4 2023","Currency=USD","Period=FQ","BEST_FPERIOD_OVERRIDE=FQ","FILING_STATUS=MR","SCALING_FORMAT=MLN","Sort=A","Dates=H","DateFormat=P","Fill=—","Direction=H","UseDPDF=Y")</f>
        <v>0</v>
      </c>
      <c r="X58" s="25" t="str">
        <f>_xll.BDH("SRPT US Equity","LT_CAPITAL_LEASE_OBLIGATIONS","FQ1 2024","FQ1 2024","Currency=USD","Period=FQ","BEST_FPERIOD_OVERRIDE=FQ","FILING_STATUS=MR","SCALING_FORMAT=MLN","Sort=A","Dates=H","DateFormat=P","Fill=—","Direction=H","UseDPDF=Y")</f>
        <v>—</v>
      </c>
      <c r="Y58" s="25" t="str">
        <f>_xll.BDH("SRPT US Equity","LT_CAPITAL_LEASE_OBLIGATIONS","FQ2 2024","FQ2 2024","Currency=USD","Period=FQ","BEST_FPERIOD_OVERRIDE=FQ","FILING_STATUS=MR","SCALING_FORMAT=MLN","Sort=A","Dates=H","DateFormat=P","Fill=—","Direction=H","UseDPDF=Y")</f>
        <v>—</v>
      </c>
      <c r="Z58" s="25" t="str">
        <f>_xll.BDH("SRPT US Equity","LT_CAPITAL_LEASE_OBLIGATIONS","FQ3 2024","FQ3 2024","Currency=USD","Period=FQ","BEST_FPERIOD_OVERRIDE=FQ","FILING_STATUS=MR","SCALING_FORMAT=MLN","Sort=A","Dates=H","DateFormat=P","Fill=—","Direction=H","UseDPDF=Y")</f>
        <v>—</v>
      </c>
      <c r="AA58" s="25">
        <f>_xll.BDH("SRPT US Equity","LT_CAPITAL_LEASE_OBLIGATIONS","FQ4 2024","FQ4 2024","Currency=USD","Period=FQ","BEST_FPERIOD_OVERRIDE=FQ","FILING_STATUS=MR","SCALING_FORMAT=MLN","Sort=A","Dates=H","DateFormat=P","Fill=—","Direction=H","UseDPDF=Y")</f>
        <v>0</v>
      </c>
    </row>
    <row r="59" spans="1:27" x14ac:dyDescent="0.25">
      <c r="A59" s="11" t="s">
        <v>785</v>
      </c>
      <c r="B59" s="11" t="s">
        <v>786</v>
      </c>
      <c r="C59" s="25" t="str">
        <f>_xll.BDH("SRPT US Equity","BS_LT_OPERATING_LEASE_LIABS","FQ4 2018","FQ4 2018","Currency=USD","Period=FQ","BEST_FPERIOD_OVERRIDE=FQ","FILING_STATUS=MR","SCALING_FORMAT=MLN","Sort=A","Dates=H","DateFormat=P","Fill=—","Direction=H","UseDPDF=Y")</f>
        <v>—</v>
      </c>
      <c r="D59" s="25">
        <f>_xll.BDH("SRPT US Equity","BS_LT_OPERATING_LEASE_LIABS","FQ1 2019","FQ1 2019","Currency=USD","Period=FQ","BEST_FPERIOD_OVERRIDE=FQ","FILING_STATUS=MR","SCALING_FORMAT=MLN","Sort=A","Dates=H","DateFormat=P","Fill=—","Direction=H","UseDPDF=Y")</f>
        <v>52.164999999999999</v>
      </c>
      <c r="E59" s="25">
        <f>_xll.BDH("SRPT US Equity","BS_LT_OPERATING_LEASE_LIABS","FQ2 2019","FQ2 2019","Currency=USD","Period=FQ","BEST_FPERIOD_OVERRIDE=FQ","FILING_STATUS=MR","SCALING_FORMAT=MLN","Sort=A","Dates=H","DateFormat=P","Fill=—","Direction=H","UseDPDF=Y")</f>
        <v>50.209000000000003</v>
      </c>
      <c r="F59" s="25">
        <f>_xll.BDH("SRPT US Equity","BS_LT_OPERATING_LEASE_LIABS","FQ3 2019","FQ3 2019","Currency=USD","Period=FQ","BEST_FPERIOD_OVERRIDE=FQ","FILING_STATUS=MR","SCALING_FORMAT=MLN","Sort=A","Dates=H","DateFormat=P","Fill=—","Direction=H","UseDPDF=Y")</f>
        <v>49.741</v>
      </c>
      <c r="G59" s="25">
        <f>_xll.BDH("SRPT US Equity","BS_LT_OPERATING_LEASE_LIABS","FQ4 2019","FQ4 2019","Currency=USD","Period=FQ","BEST_FPERIOD_OVERRIDE=FQ","FILING_STATUS=MR","SCALING_FORMAT=MLN","Sort=A","Dates=H","DateFormat=P","Fill=—","Direction=H","UseDPDF=Y")</f>
        <v>47.72</v>
      </c>
      <c r="H59" s="25">
        <f>_xll.BDH("SRPT US Equity","BS_LT_OPERATING_LEASE_LIABS","FQ1 2020","FQ1 2020","Currency=USD","Period=FQ","BEST_FPERIOD_OVERRIDE=FQ","FILING_STATUS=MR","SCALING_FORMAT=MLN","Sort=A","Dates=H","DateFormat=P","Fill=—","Direction=H","UseDPDF=Y")</f>
        <v>65.263000000000005</v>
      </c>
      <c r="I59" s="25">
        <f>_xll.BDH("SRPT US Equity","BS_LT_OPERATING_LEASE_LIABS","FQ2 2020","FQ2 2020","Currency=USD","Period=FQ","BEST_FPERIOD_OVERRIDE=FQ","FILING_STATUS=MR","SCALING_FORMAT=MLN","Sort=A","Dates=H","DateFormat=P","Fill=—","Direction=H","UseDPDF=Y")</f>
        <v>72.400999999999996</v>
      </c>
      <c r="J59" s="25">
        <f>_xll.BDH("SRPT US Equity","BS_LT_OPERATING_LEASE_LIABS","FQ3 2020","FQ3 2020","Currency=USD","Period=FQ","BEST_FPERIOD_OVERRIDE=FQ","FILING_STATUS=MR","SCALING_FORMAT=MLN","Sort=A","Dates=H","DateFormat=P","Fill=—","Direction=H","UseDPDF=Y")</f>
        <v>68.228999999999999</v>
      </c>
      <c r="K59" s="25">
        <f>_xll.BDH("SRPT US Equity","BS_LT_OPERATING_LEASE_LIABS","FQ4 2020","FQ4 2020","Currency=USD","Period=FQ","BEST_FPERIOD_OVERRIDE=FQ","FILING_STATUS=MR","SCALING_FORMAT=MLN","Sort=A","Dates=H","DateFormat=P","Fill=—","Direction=H","UseDPDF=Y")</f>
        <v>80.367000000000004</v>
      </c>
      <c r="L59" s="25">
        <f>_xll.BDH("SRPT US Equity","BS_LT_OPERATING_LEASE_LIABS","FQ1 2021","FQ1 2021","Currency=USD","Period=FQ","BEST_FPERIOD_OVERRIDE=FQ","FILING_STATUS=MR","SCALING_FORMAT=MLN","Sort=A","Dates=H","DateFormat=P","Fill=—","Direction=H","UseDPDF=Y")</f>
        <v>60.674999999999997</v>
      </c>
      <c r="M59" s="25">
        <f>_xll.BDH("SRPT US Equity","BS_LT_OPERATING_LEASE_LIABS","FQ2 2021","FQ2 2021","Currency=USD","Period=FQ","BEST_FPERIOD_OVERRIDE=FQ","FILING_STATUS=MR","SCALING_FORMAT=MLN","Sort=A","Dates=H","DateFormat=P","Fill=—","Direction=H","UseDPDF=Y")</f>
        <v>65.284999999999997</v>
      </c>
      <c r="N59" s="25">
        <f>_xll.BDH("SRPT US Equity","BS_LT_OPERATING_LEASE_LIABS","FQ3 2021","FQ3 2021","Currency=USD","Period=FQ","BEST_FPERIOD_OVERRIDE=FQ","FILING_STATUS=MR","SCALING_FORMAT=MLN","Sort=A","Dates=H","DateFormat=P","Fill=—","Direction=H","UseDPDF=Y")</f>
        <v>63.427999999999997</v>
      </c>
      <c r="O59" s="25">
        <f>_xll.BDH("SRPT US Equity","BS_LT_OPERATING_LEASE_LIABS","FQ4 2021","FQ4 2021","Currency=USD","Period=FQ","BEST_FPERIOD_OVERRIDE=FQ","FILING_STATUS=MR","SCALING_FORMAT=MLN","Sort=A","Dates=H","DateFormat=P","Fill=—","Direction=H","UseDPDF=Y")</f>
        <v>41.512</v>
      </c>
      <c r="P59" s="25">
        <f>_xll.BDH("SRPT US Equity","BS_LT_OPERATING_LEASE_LIABS","FQ1 2022","FQ1 2022","Currency=USD","Period=FQ","BEST_FPERIOD_OVERRIDE=FQ","FILING_STATUS=MR","SCALING_FORMAT=MLN","Sort=A","Dates=H","DateFormat=P","Fill=—","Direction=H","UseDPDF=Y")</f>
        <v>38.619999999999997</v>
      </c>
      <c r="Q59" s="25">
        <f>_xll.BDH("SRPT US Equity","BS_LT_OPERATING_LEASE_LIABS","FQ2 2022","FQ2 2022","Currency=USD","Period=FQ","BEST_FPERIOD_OVERRIDE=FQ","FILING_STATUS=MR","SCALING_FORMAT=MLN","Sort=A","Dates=H","DateFormat=P","Fill=—","Direction=H","UseDPDF=Y")</f>
        <v>39.368000000000002</v>
      </c>
      <c r="R59" s="25">
        <f>_xll.BDH("SRPT US Equity","BS_LT_OPERATING_LEASE_LIABS","FQ3 2022","FQ3 2022","Currency=USD","Period=FQ","BEST_FPERIOD_OVERRIDE=FQ","FILING_STATUS=MR","SCALING_FORMAT=MLN","Sort=A","Dates=H","DateFormat=P","Fill=—","Direction=H","UseDPDF=Y")</f>
        <v>35.228999999999999</v>
      </c>
      <c r="S59" s="25">
        <f>_xll.BDH("SRPT US Equity","BS_LT_OPERATING_LEASE_LIABS","FQ4 2022","FQ4 2022","Currency=USD","Period=FQ","BEST_FPERIOD_OVERRIDE=FQ","FILING_STATUS=MR","SCALING_FORMAT=MLN","Sort=A","Dates=H","DateFormat=P","Fill=—","Direction=H","UseDPDF=Y")</f>
        <v>57.578000000000003</v>
      </c>
      <c r="T59" s="25">
        <f>_xll.BDH("SRPT US Equity","BS_LT_OPERATING_LEASE_LIABS","FQ1 2023","FQ1 2023","Currency=USD","Period=FQ","BEST_FPERIOD_OVERRIDE=FQ","FILING_STATUS=MR","SCALING_FORMAT=MLN","Sort=A","Dates=H","DateFormat=P","Fill=—","Direction=H","UseDPDF=Y")</f>
        <v>53.930999999999997</v>
      </c>
      <c r="U59" s="25">
        <f>_xll.BDH("SRPT US Equity","BS_LT_OPERATING_LEASE_LIABS","FQ2 2023","FQ2 2023","Currency=USD","Period=FQ","BEST_FPERIOD_OVERRIDE=FQ","FILING_STATUS=MR","SCALING_FORMAT=MLN","Sort=A","Dates=H","DateFormat=P","Fill=—","Direction=H","UseDPDF=Y")</f>
        <v>129.16999999999999</v>
      </c>
      <c r="V59" s="25">
        <f>_xll.BDH("SRPT US Equity","BS_LT_OPERATING_LEASE_LIABS","FQ3 2023","FQ3 2023","Currency=USD","Period=FQ","BEST_FPERIOD_OVERRIDE=FQ","FILING_STATUS=MR","SCALING_FORMAT=MLN","Sort=A","Dates=H","DateFormat=P","Fill=—","Direction=H","UseDPDF=Y")</f>
        <v>134.75200000000001</v>
      </c>
      <c r="W59" s="25">
        <f>_xll.BDH("SRPT US Equity","BS_LT_OPERATING_LEASE_LIABS","FQ4 2023","FQ4 2023","Currency=USD","Period=FQ","BEST_FPERIOD_OVERRIDE=FQ","FILING_STATUS=MR","SCALING_FORMAT=MLN","Sort=A","Dates=H","DateFormat=P","Fill=—","Direction=H","UseDPDF=Y")</f>
        <v>140.965</v>
      </c>
      <c r="X59" s="25">
        <f>_xll.BDH("SRPT US Equity","BS_LT_OPERATING_LEASE_LIABS","FQ1 2024","FQ1 2024","Currency=USD","Period=FQ","BEST_FPERIOD_OVERRIDE=FQ","FILING_STATUS=MR","SCALING_FORMAT=MLN","Sort=A","Dates=H","DateFormat=P","Fill=—","Direction=H","UseDPDF=Y")</f>
        <v>140.102</v>
      </c>
      <c r="Y59" s="25">
        <f>_xll.BDH("SRPT US Equity","BS_LT_OPERATING_LEASE_LIABS","FQ2 2024","FQ2 2024","Currency=USD","Period=FQ","BEST_FPERIOD_OVERRIDE=FQ","FILING_STATUS=MR","SCALING_FORMAT=MLN","Sort=A","Dates=H","DateFormat=P","Fill=—","Direction=H","UseDPDF=Y")</f>
        <v>143.601</v>
      </c>
      <c r="Z59" s="25">
        <f>_xll.BDH("SRPT US Equity","BS_LT_OPERATING_LEASE_LIABS","FQ3 2024","FQ3 2024","Currency=USD","Period=FQ","BEST_FPERIOD_OVERRIDE=FQ","FILING_STATUS=MR","SCALING_FORMAT=MLN","Sort=A","Dates=H","DateFormat=P","Fill=—","Direction=H","UseDPDF=Y")</f>
        <v>170.00899999999999</v>
      </c>
      <c r="AA59" s="25">
        <f>_xll.BDH("SRPT US Equity","BS_LT_OPERATING_LEASE_LIABS","FQ4 2024","FQ4 2024","Currency=USD","Period=FQ","BEST_FPERIOD_OVERRIDE=FQ","FILING_STATUS=MR","SCALING_FORMAT=MLN","Sort=A","Dates=H","DateFormat=P","Fill=—","Direction=H","UseDPDF=Y")</f>
        <v>192.47300000000001</v>
      </c>
    </row>
    <row r="60" spans="1:27" x14ac:dyDescent="0.25">
      <c r="A60" s="10" t="s">
        <v>787</v>
      </c>
      <c r="B60" s="10" t="s">
        <v>788</v>
      </c>
      <c r="C60" s="13">
        <f>_xll.BDH("SRPT US Equity","OTHER_NONCUR_LIABS_SUB_DETAILED","FQ4 2018","FQ4 2018","Currency=USD","Period=FQ","BEST_FPERIOD_OVERRIDE=FQ","FILING_STATUS=MR","SCALING_FORMAT=MLN","Sort=A","Dates=H","DateFormat=P","Fill=—","Direction=H","UseDPDF=Y")</f>
        <v>15.555</v>
      </c>
      <c r="D60" s="13">
        <f>_xll.BDH("SRPT US Equity","OTHER_NONCUR_LIABS_SUB_DETAILED","FQ1 2019","FQ1 2019","Currency=USD","Period=FQ","BEST_FPERIOD_OVERRIDE=FQ","FILING_STATUS=MR","SCALING_FORMAT=MLN","Sort=A","Dates=H","DateFormat=P","Fill=—","Direction=H","UseDPDF=Y")</f>
        <v>4.8000000000000001E-2</v>
      </c>
      <c r="E60" s="13">
        <f>_xll.BDH("SRPT US Equity","OTHER_NONCUR_LIABS_SUB_DETAILED","FQ2 2019","FQ2 2019","Currency=USD","Period=FQ","BEST_FPERIOD_OVERRIDE=FQ","FILING_STATUS=MR","SCALING_FORMAT=MLN","Sort=A","Dates=H","DateFormat=P","Fill=—","Direction=H","UseDPDF=Y")</f>
        <v>5.2480000000000002</v>
      </c>
      <c r="F60" s="13">
        <f>_xll.BDH("SRPT US Equity","OTHER_NONCUR_LIABS_SUB_DETAILED","FQ3 2019","FQ3 2019","Currency=USD","Period=FQ","BEST_FPERIOD_OVERRIDE=FQ","FILING_STATUS=MR","SCALING_FORMAT=MLN","Sort=A","Dates=H","DateFormat=P","Fill=—","Direction=H","UseDPDF=Y")</f>
        <v>5.2480000000000002</v>
      </c>
      <c r="G60" s="13">
        <f>_xll.BDH("SRPT US Equity","OTHER_NONCUR_LIABS_SUB_DETAILED","FQ4 2019","FQ4 2019","Currency=USD","Period=FQ","BEST_FPERIOD_OVERRIDE=FQ","FILING_STATUS=MR","SCALING_FORMAT=MLN","Sort=A","Dates=H","DateFormat=P","Fill=—","Direction=H","UseDPDF=Y")</f>
        <v>10.247999999999999</v>
      </c>
      <c r="H60" s="13">
        <f>_xll.BDH("SRPT US Equity","OTHER_NONCUR_LIABS_SUB_DETAILED","FQ1 2020","FQ1 2020","Currency=USD","Period=FQ","BEST_FPERIOD_OVERRIDE=FQ","FILING_STATUS=MR","SCALING_FORMAT=MLN","Sort=A","Dates=H","DateFormat=P","Fill=—","Direction=H","UseDPDF=Y")</f>
        <v>742.91499999999996</v>
      </c>
      <c r="I60" s="13">
        <f>_xll.BDH("SRPT US Equity","OTHER_NONCUR_LIABS_SUB_DETAILED","FQ2 2020","FQ2 2020","Currency=USD","Period=FQ","BEST_FPERIOD_OVERRIDE=FQ","FILING_STATUS=MR","SCALING_FORMAT=MLN","Sort=A","Dates=H","DateFormat=P","Fill=—","Direction=H","UseDPDF=Y")</f>
        <v>718.72400000000005</v>
      </c>
      <c r="J60" s="13">
        <f>_xll.BDH("SRPT US Equity","OTHER_NONCUR_LIABS_SUB_DETAILED","FQ3 2020","FQ3 2020","Currency=USD","Period=FQ","BEST_FPERIOD_OVERRIDE=FQ","FILING_STATUS=MR","SCALING_FORMAT=MLN","Sort=A","Dates=H","DateFormat=P","Fill=—","Direction=H","UseDPDF=Y")</f>
        <v>741.53</v>
      </c>
      <c r="K60" s="13">
        <f>_xll.BDH("SRPT US Equity","OTHER_NONCUR_LIABS_SUB_DETAILED","FQ4 2020","FQ4 2020","Currency=USD","Period=FQ","BEST_FPERIOD_OVERRIDE=FQ","FILING_STATUS=MR","SCALING_FORMAT=MLN","Sort=A","Dates=H","DateFormat=P","Fill=—","Direction=H","UseDPDF=Y")</f>
        <v>734.07299999999998</v>
      </c>
      <c r="L60" s="13">
        <f>_xll.BDH("SRPT US Equity","OTHER_NONCUR_LIABS_SUB_DETAILED","FQ1 2021","FQ1 2021","Currency=USD","Period=FQ","BEST_FPERIOD_OVERRIDE=FQ","FILING_STATUS=MR","SCALING_FORMAT=MLN","Sort=A","Dates=H","DateFormat=P","Fill=—","Direction=H","UseDPDF=Y")</f>
        <v>713.26700000000005</v>
      </c>
      <c r="M60" s="13">
        <f>_xll.BDH("SRPT US Equity","OTHER_NONCUR_LIABS_SUB_DETAILED","FQ2 2021","FQ2 2021","Currency=USD","Period=FQ","BEST_FPERIOD_OVERRIDE=FQ","FILING_STATUS=MR","SCALING_FORMAT=MLN","Sort=A","Dates=H","DateFormat=P","Fill=—","Direction=H","UseDPDF=Y")</f>
        <v>690.673</v>
      </c>
      <c r="N60" s="13">
        <f>_xll.BDH("SRPT US Equity","OTHER_NONCUR_LIABS_SUB_DETAILED","FQ3 2021","FQ3 2021","Currency=USD","Period=FQ","BEST_FPERIOD_OVERRIDE=FQ","FILING_STATUS=MR","SCALING_FORMAT=MLN","Sort=A","Dates=H","DateFormat=P","Fill=—","Direction=H","UseDPDF=Y")</f>
        <v>660.90700000000004</v>
      </c>
      <c r="O60" s="13">
        <f>_xll.BDH("SRPT US Equity","OTHER_NONCUR_LIABS_SUB_DETAILED","FQ4 2021","FQ4 2021","Currency=USD","Period=FQ","BEST_FPERIOD_OVERRIDE=FQ","FILING_STATUS=MR","SCALING_FORMAT=MLN","Sort=A","Dates=H","DateFormat=P","Fill=—","Direction=H","UseDPDF=Y")</f>
        <v>628.84400000000005</v>
      </c>
      <c r="P60" s="13">
        <f>_xll.BDH("SRPT US Equity","OTHER_NONCUR_LIABS_SUB_DETAILED","FQ1 2022","FQ1 2022","Currency=USD","Period=FQ","BEST_FPERIOD_OVERRIDE=FQ","FILING_STATUS=MR","SCALING_FORMAT=MLN","Sort=A","Dates=H","DateFormat=P","Fill=—","Direction=H","UseDPDF=Y")</f>
        <v>606.83900000000006</v>
      </c>
      <c r="Q60" s="13">
        <f>_xll.BDH("SRPT US Equity","OTHER_NONCUR_LIABS_SUB_DETAILED","FQ2 2022","FQ2 2022","Currency=USD","Period=FQ","BEST_FPERIOD_OVERRIDE=FQ","FILING_STATUS=MR","SCALING_FORMAT=MLN","Sort=A","Dates=H","DateFormat=P","Fill=—","Direction=H","UseDPDF=Y")</f>
        <v>584.58900000000006</v>
      </c>
      <c r="R60" s="13">
        <f>_xll.BDH("SRPT US Equity","OTHER_NONCUR_LIABS_SUB_DETAILED","FQ3 2022","FQ3 2022","Currency=USD","Period=FQ","BEST_FPERIOD_OVERRIDE=FQ","FILING_STATUS=MR","SCALING_FORMAT=MLN","Sort=A","Dates=H","DateFormat=P","Fill=—","Direction=H","UseDPDF=Y")</f>
        <v>544.39400000000001</v>
      </c>
      <c r="S60" s="13">
        <f>_xll.BDH("SRPT US Equity","OTHER_NONCUR_LIABS_SUB_DETAILED","FQ4 2022","FQ4 2022","Currency=USD","Period=FQ","BEST_FPERIOD_OVERRIDE=FQ","FILING_STATUS=MR","SCALING_FORMAT=MLN","Sort=A","Dates=H","DateFormat=P","Fill=—","Direction=H","UseDPDF=Y")</f>
        <v>521.94200000000001</v>
      </c>
      <c r="T60" s="13">
        <f>_xll.BDH("SRPT US Equity","OTHER_NONCUR_LIABS_SUB_DETAILED","FQ1 2023","FQ1 2023","Currency=USD","Period=FQ","BEST_FPERIOD_OVERRIDE=FQ","FILING_STATUS=MR","SCALING_FORMAT=MLN","Sort=A","Dates=H","DateFormat=P","Fill=—","Direction=H","UseDPDF=Y")</f>
        <v>521.93799999999999</v>
      </c>
      <c r="U60" s="13">
        <f>_xll.BDH("SRPT US Equity","OTHER_NONCUR_LIABS_SUB_DETAILED","FQ2 2023","FQ2 2023","Currency=USD","Period=FQ","BEST_FPERIOD_OVERRIDE=FQ","FILING_STATUS=MR","SCALING_FORMAT=MLN","Sort=A","Dates=H","DateFormat=P","Fill=—","Direction=H","UseDPDF=Y")</f>
        <v>521.13800000000003</v>
      </c>
      <c r="V60" s="13">
        <f>_xll.BDH("SRPT US Equity","OTHER_NONCUR_LIABS_SUB_DETAILED","FQ3 2023","FQ3 2023","Currency=USD","Period=FQ","BEST_FPERIOD_OVERRIDE=FQ","FILING_STATUS=MR","SCALING_FORMAT=MLN","Sort=A","Dates=H","DateFormat=P","Fill=—","Direction=H","UseDPDF=Y")</f>
        <v>523.1</v>
      </c>
      <c r="W60" s="13">
        <f>_xll.BDH("SRPT US Equity","OTHER_NONCUR_LIABS_SUB_DETAILED","FQ4 2023","FQ4 2023","Currency=USD","Period=FQ","BEST_FPERIOD_OVERRIDE=FQ","FILING_STATUS=MR","SCALING_FORMAT=MLN","Sort=A","Dates=H","DateFormat=P","Fill=—","Direction=H","UseDPDF=Y")</f>
        <v>478.1</v>
      </c>
      <c r="X60" s="13">
        <f>_xll.BDH("SRPT US Equity","OTHER_NONCUR_LIABS_SUB_DETAILED","FQ1 2024","FQ1 2024","Currency=USD","Period=FQ","BEST_FPERIOD_OVERRIDE=FQ","FILING_STATUS=MR","SCALING_FORMAT=MLN","Sort=A","Dates=H","DateFormat=P","Fill=—","Direction=H","UseDPDF=Y")</f>
        <v>380.72199999999998</v>
      </c>
      <c r="Y60" s="13">
        <f>_xll.BDH("SRPT US Equity","OTHER_NONCUR_LIABS_SUB_DETAILED","FQ2 2024","FQ2 2024","Currency=USD","Period=FQ","BEST_FPERIOD_OVERRIDE=FQ","FILING_STATUS=MR","SCALING_FORMAT=MLN","Sort=A","Dates=H","DateFormat=P","Fill=—","Direction=H","UseDPDF=Y")</f>
        <v>380.28699999999998</v>
      </c>
      <c r="Z60" s="13">
        <f>_xll.BDH("SRPT US Equity","OTHER_NONCUR_LIABS_SUB_DETAILED","FQ3 2024","FQ3 2024","Currency=USD","Period=FQ","BEST_FPERIOD_OVERRIDE=FQ","FILING_STATUS=MR","SCALING_FORMAT=MLN","Sort=A","Dates=H","DateFormat=P","Fill=—","Direction=H","UseDPDF=Y")</f>
        <v>373.4</v>
      </c>
      <c r="AA60" s="13">
        <f>_xll.BDH("SRPT US Equity","OTHER_NONCUR_LIABS_SUB_DETAILED","FQ4 2024","FQ4 2024","Currency=USD","Period=FQ","BEST_FPERIOD_OVERRIDE=FQ","FILING_STATUS=MR","SCALING_FORMAT=MLN","Sort=A","Dates=H","DateFormat=P","Fill=—","Direction=H","UseDPDF=Y")</f>
        <v>374.15</v>
      </c>
    </row>
    <row r="61" spans="1:27" x14ac:dyDescent="0.25">
      <c r="A61" s="10" t="s">
        <v>789</v>
      </c>
      <c r="B61" s="10" t="s">
        <v>790</v>
      </c>
      <c r="C61" s="13">
        <f>_xll.BDH("SRPT US Equity","BS_ACCRUED_LIABILITIES","FQ4 2018","FQ4 2018","Currency=USD","Period=FQ","BEST_FPERIOD_OVERRIDE=FQ","FILING_STATUS=MR","SCALING_FORMAT=MLN","Sort=A","Dates=H","DateFormat=P","Fill=—","Direction=H","UseDPDF=Y")</f>
        <v>0</v>
      </c>
      <c r="D61" s="13" t="str">
        <f>_xll.BDH("SRPT US Equity","BS_ACCRUED_LIABILITIES","FQ1 2019","FQ1 2019","Currency=USD","Period=FQ","BEST_FPERIOD_OVERRIDE=FQ","FILING_STATUS=MR","SCALING_FORMAT=MLN","Sort=A","Dates=H","DateFormat=P","Fill=—","Direction=H","UseDPDF=Y")</f>
        <v>—</v>
      </c>
      <c r="E61" s="13" t="str">
        <f>_xll.BDH("SRPT US Equity","BS_ACCRUED_LIABILITIES","FQ2 2019","FQ2 2019","Currency=USD","Period=FQ","BEST_FPERIOD_OVERRIDE=FQ","FILING_STATUS=MR","SCALING_FORMAT=MLN","Sort=A","Dates=H","DateFormat=P","Fill=—","Direction=H","UseDPDF=Y")</f>
        <v>—</v>
      </c>
      <c r="F61" s="13" t="str">
        <f>_xll.BDH("SRPT US Equity","BS_ACCRUED_LIABILITIES","FQ3 2019","FQ3 2019","Currency=USD","Period=FQ","BEST_FPERIOD_OVERRIDE=FQ","FILING_STATUS=MR","SCALING_FORMAT=MLN","Sort=A","Dates=H","DateFormat=P","Fill=—","Direction=H","UseDPDF=Y")</f>
        <v>—</v>
      </c>
      <c r="G61" s="13">
        <f>_xll.BDH("SRPT US Equity","BS_ACCRUED_LIABILITIES","FQ4 2019","FQ4 2019","Currency=USD","Period=FQ","BEST_FPERIOD_OVERRIDE=FQ","FILING_STATUS=MR","SCALING_FORMAT=MLN","Sort=A","Dates=H","DateFormat=P","Fill=—","Direction=H","UseDPDF=Y")</f>
        <v>0</v>
      </c>
      <c r="H61" s="13" t="str">
        <f>_xll.BDH("SRPT US Equity","BS_ACCRUED_LIABILITIES","FQ1 2020","FQ1 2020","Currency=USD","Period=FQ","BEST_FPERIOD_OVERRIDE=FQ","FILING_STATUS=MR","SCALING_FORMAT=MLN","Sort=A","Dates=H","DateFormat=P","Fill=—","Direction=H","UseDPDF=Y")</f>
        <v>—</v>
      </c>
      <c r="I61" s="13" t="str">
        <f>_xll.BDH("SRPT US Equity","BS_ACCRUED_LIABILITIES","FQ2 2020","FQ2 2020","Currency=USD","Period=FQ","BEST_FPERIOD_OVERRIDE=FQ","FILING_STATUS=MR","SCALING_FORMAT=MLN","Sort=A","Dates=H","DateFormat=P","Fill=—","Direction=H","UseDPDF=Y")</f>
        <v>—</v>
      </c>
      <c r="J61" s="13" t="str">
        <f>_xll.BDH("SRPT US Equity","BS_ACCRUED_LIABILITIES","FQ3 2020","FQ3 2020","Currency=USD","Period=FQ","BEST_FPERIOD_OVERRIDE=FQ","FILING_STATUS=MR","SCALING_FORMAT=MLN","Sort=A","Dates=H","DateFormat=P","Fill=—","Direction=H","UseDPDF=Y")</f>
        <v>—</v>
      </c>
      <c r="K61" s="13">
        <f>_xll.BDH("SRPT US Equity","BS_ACCRUED_LIABILITIES","FQ4 2020","FQ4 2020","Currency=USD","Period=FQ","BEST_FPERIOD_OVERRIDE=FQ","FILING_STATUS=MR","SCALING_FORMAT=MLN","Sort=A","Dates=H","DateFormat=P","Fill=—","Direction=H","UseDPDF=Y")</f>
        <v>0</v>
      </c>
      <c r="L61" s="13" t="str">
        <f>_xll.BDH("SRPT US Equity","BS_ACCRUED_LIABILITIES","FQ1 2021","FQ1 2021","Currency=USD","Period=FQ","BEST_FPERIOD_OVERRIDE=FQ","FILING_STATUS=MR","SCALING_FORMAT=MLN","Sort=A","Dates=H","DateFormat=P","Fill=—","Direction=H","UseDPDF=Y")</f>
        <v>—</v>
      </c>
      <c r="M61" s="13" t="str">
        <f>_xll.BDH("SRPT US Equity","BS_ACCRUED_LIABILITIES","FQ2 2021","FQ2 2021","Currency=USD","Period=FQ","BEST_FPERIOD_OVERRIDE=FQ","FILING_STATUS=MR","SCALING_FORMAT=MLN","Sort=A","Dates=H","DateFormat=P","Fill=—","Direction=H","UseDPDF=Y")</f>
        <v>—</v>
      </c>
      <c r="N61" s="13" t="str">
        <f>_xll.BDH("SRPT US Equity","BS_ACCRUED_LIABILITIES","FQ3 2021","FQ3 2021","Currency=USD","Period=FQ","BEST_FPERIOD_OVERRIDE=FQ","FILING_STATUS=MR","SCALING_FORMAT=MLN","Sort=A","Dates=H","DateFormat=P","Fill=—","Direction=H","UseDPDF=Y")</f>
        <v>—</v>
      </c>
      <c r="O61" s="13">
        <f>_xll.BDH("SRPT US Equity","BS_ACCRUED_LIABILITIES","FQ4 2021","FQ4 2021","Currency=USD","Period=FQ","BEST_FPERIOD_OVERRIDE=FQ","FILING_STATUS=MR","SCALING_FORMAT=MLN","Sort=A","Dates=H","DateFormat=P","Fill=—","Direction=H","UseDPDF=Y")</f>
        <v>0</v>
      </c>
      <c r="P61" s="13" t="str">
        <f>_xll.BDH("SRPT US Equity","BS_ACCRUED_LIABILITIES","FQ1 2022","FQ1 2022","Currency=USD","Period=FQ","BEST_FPERIOD_OVERRIDE=FQ","FILING_STATUS=MR","SCALING_FORMAT=MLN","Sort=A","Dates=H","DateFormat=P","Fill=—","Direction=H","UseDPDF=Y")</f>
        <v>—</v>
      </c>
      <c r="Q61" s="13" t="str">
        <f>_xll.BDH("SRPT US Equity","BS_ACCRUED_LIABILITIES","FQ2 2022","FQ2 2022","Currency=USD","Period=FQ","BEST_FPERIOD_OVERRIDE=FQ","FILING_STATUS=MR","SCALING_FORMAT=MLN","Sort=A","Dates=H","DateFormat=P","Fill=—","Direction=H","UseDPDF=Y")</f>
        <v>—</v>
      </c>
      <c r="R61" s="13" t="str">
        <f>_xll.BDH("SRPT US Equity","BS_ACCRUED_LIABILITIES","FQ3 2022","FQ3 2022","Currency=USD","Period=FQ","BEST_FPERIOD_OVERRIDE=FQ","FILING_STATUS=MR","SCALING_FORMAT=MLN","Sort=A","Dates=H","DateFormat=P","Fill=—","Direction=H","UseDPDF=Y")</f>
        <v>—</v>
      </c>
      <c r="S61" s="13">
        <f>_xll.BDH("SRPT US Equity","BS_ACCRUED_LIABILITIES","FQ4 2022","FQ4 2022","Currency=USD","Period=FQ","BEST_FPERIOD_OVERRIDE=FQ","FILING_STATUS=MR","SCALING_FORMAT=MLN","Sort=A","Dates=H","DateFormat=P","Fill=—","Direction=H","UseDPDF=Y")</f>
        <v>0</v>
      </c>
      <c r="T61" s="13" t="str">
        <f>_xll.BDH("SRPT US Equity","BS_ACCRUED_LIABILITIES","FQ1 2023","FQ1 2023","Currency=USD","Period=FQ","BEST_FPERIOD_OVERRIDE=FQ","FILING_STATUS=MR","SCALING_FORMAT=MLN","Sort=A","Dates=H","DateFormat=P","Fill=—","Direction=H","UseDPDF=Y")</f>
        <v>—</v>
      </c>
      <c r="U61" s="13" t="str">
        <f>_xll.BDH("SRPT US Equity","BS_ACCRUED_LIABILITIES","FQ2 2023","FQ2 2023","Currency=USD","Period=FQ","BEST_FPERIOD_OVERRIDE=FQ","FILING_STATUS=MR","SCALING_FORMAT=MLN","Sort=A","Dates=H","DateFormat=P","Fill=—","Direction=H","UseDPDF=Y")</f>
        <v>—</v>
      </c>
      <c r="V61" s="13">
        <f>_xll.BDH("SRPT US Equity","BS_ACCRUED_LIABILITIES","FQ3 2023","FQ3 2023","Currency=USD","Period=FQ","BEST_FPERIOD_OVERRIDE=FQ","FILING_STATUS=MR","SCALING_FORMAT=MLN","Sort=A","Dates=H","DateFormat=P","Fill=—","Direction=H","UseDPDF=Y")</f>
        <v>0</v>
      </c>
      <c r="W61" s="13">
        <f>_xll.BDH("SRPT US Equity","BS_ACCRUED_LIABILITIES","FQ4 2023","FQ4 2023","Currency=USD","Period=FQ","BEST_FPERIOD_OVERRIDE=FQ","FILING_STATUS=MR","SCALING_FORMAT=MLN","Sort=A","Dates=H","DateFormat=P","Fill=—","Direction=H","UseDPDF=Y")</f>
        <v>0</v>
      </c>
      <c r="X61" s="13" t="str">
        <f>_xll.BDH("SRPT US Equity","BS_ACCRUED_LIABILITIES","FQ1 2024","FQ1 2024","Currency=USD","Period=FQ","BEST_FPERIOD_OVERRIDE=FQ","FILING_STATUS=MR","SCALING_FORMAT=MLN","Sort=A","Dates=H","DateFormat=P","Fill=—","Direction=H","UseDPDF=Y")</f>
        <v>—</v>
      </c>
      <c r="Y61" s="13" t="str">
        <f>_xll.BDH("SRPT US Equity","BS_ACCRUED_LIABILITIES","FQ2 2024","FQ2 2024","Currency=USD","Period=FQ","BEST_FPERIOD_OVERRIDE=FQ","FILING_STATUS=MR","SCALING_FORMAT=MLN","Sort=A","Dates=H","DateFormat=P","Fill=—","Direction=H","UseDPDF=Y")</f>
        <v>—</v>
      </c>
      <c r="Z61" s="13" t="str">
        <f>_xll.BDH("SRPT US Equity","BS_ACCRUED_LIABILITIES","FQ3 2024","FQ3 2024","Currency=USD","Period=FQ","BEST_FPERIOD_OVERRIDE=FQ","FILING_STATUS=MR","SCALING_FORMAT=MLN","Sort=A","Dates=H","DateFormat=P","Fill=—","Direction=H","UseDPDF=Y")</f>
        <v>—</v>
      </c>
      <c r="AA61" s="13">
        <f>_xll.BDH("SRPT US Equity","BS_ACCRUED_LIABILITIES","FQ4 2024","FQ4 2024","Currency=USD","Period=FQ","BEST_FPERIOD_OVERRIDE=FQ","FILING_STATUS=MR","SCALING_FORMAT=MLN","Sort=A","Dates=H","DateFormat=P","Fill=—","Direction=H","UseDPDF=Y")</f>
        <v>0</v>
      </c>
    </row>
    <row r="62" spans="1:27" x14ac:dyDescent="0.25">
      <c r="A62" s="10" t="s">
        <v>791</v>
      </c>
      <c r="B62" s="10" t="s">
        <v>792</v>
      </c>
      <c r="C62" s="13" t="str">
        <f>_xll.BDH("SRPT US Equity","PENSION_LIABILITIES","FQ4 2018","FQ4 2018","Currency=USD","Period=FQ","BEST_FPERIOD_OVERRIDE=FQ","FILING_STATUS=MR","SCALING_FORMAT=MLN","Sort=A","Dates=H","DateFormat=P","Fill=—","Direction=H","UseDPDF=Y")</f>
        <v>—</v>
      </c>
      <c r="D62" s="13" t="str">
        <f>_xll.BDH("SRPT US Equity","PENSION_LIABILITIES","FQ1 2019","FQ1 2019","Currency=USD","Period=FQ","BEST_FPERIOD_OVERRIDE=FQ","FILING_STATUS=MR","SCALING_FORMAT=MLN","Sort=A","Dates=H","DateFormat=P","Fill=—","Direction=H","UseDPDF=Y")</f>
        <v>—</v>
      </c>
      <c r="E62" s="13" t="str">
        <f>_xll.BDH("SRPT US Equity","PENSION_LIABILITIES","FQ2 2019","FQ2 2019","Currency=USD","Period=FQ","BEST_FPERIOD_OVERRIDE=FQ","FILING_STATUS=MR","SCALING_FORMAT=MLN","Sort=A","Dates=H","DateFormat=P","Fill=—","Direction=H","UseDPDF=Y")</f>
        <v>—</v>
      </c>
      <c r="F62" s="13" t="str">
        <f>_xll.BDH("SRPT US Equity","PENSION_LIABILITIES","FQ3 2019","FQ3 2019","Currency=USD","Period=FQ","BEST_FPERIOD_OVERRIDE=FQ","FILING_STATUS=MR","SCALING_FORMAT=MLN","Sort=A","Dates=H","DateFormat=P","Fill=—","Direction=H","UseDPDF=Y")</f>
        <v>—</v>
      </c>
      <c r="G62" s="13" t="str">
        <f>_xll.BDH("SRPT US Equity","PENSION_LIABILITIES","FQ4 2019","FQ4 2019","Currency=USD","Period=FQ","BEST_FPERIOD_OVERRIDE=FQ","FILING_STATUS=MR","SCALING_FORMAT=MLN","Sort=A","Dates=H","DateFormat=P","Fill=—","Direction=H","UseDPDF=Y")</f>
        <v>—</v>
      </c>
      <c r="H62" s="13" t="str">
        <f>_xll.BDH("SRPT US Equity","PENSION_LIABILITIES","FQ1 2020","FQ1 2020","Currency=USD","Period=FQ","BEST_FPERIOD_OVERRIDE=FQ","FILING_STATUS=MR","SCALING_FORMAT=MLN","Sort=A","Dates=H","DateFormat=P","Fill=—","Direction=H","UseDPDF=Y")</f>
        <v>—</v>
      </c>
      <c r="I62" s="13" t="str">
        <f>_xll.BDH("SRPT US Equity","PENSION_LIABILITIES","FQ2 2020","FQ2 2020","Currency=USD","Period=FQ","BEST_FPERIOD_OVERRIDE=FQ","FILING_STATUS=MR","SCALING_FORMAT=MLN","Sort=A","Dates=H","DateFormat=P","Fill=—","Direction=H","UseDPDF=Y")</f>
        <v>—</v>
      </c>
      <c r="J62" s="13" t="str">
        <f>_xll.BDH("SRPT US Equity","PENSION_LIABILITIES","FQ3 2020","FQ3 2020","Currency=USD","Period=FQ","BEST_FPERIOD_OVERRIDE=FQ","FILING_STATUS=MR","SCALING_FORMAT=MLN","Sort=A","Dates=H","DateFormat=P","Fill=—","Direction=H","UseDPDF=Y")</f>
        <v>—</v>
      </c>
      <c r="K62" s="13">
        <f>_xll.BDH("SRPT US Equity","PENSION_LIABILITIES","FQ4 2020","FQ4 2020","Currency=USD","Period=FQ","BEST_FPERIOD_OVERRIDE=FQ","FILING_STATUS=MR","SCALING_FORMAT=MLN","Sort=A","Dates=H","DateFormat=P","Fill=—","Direction=H","UseDPDF=Y")</f>
        <v>0</v>
      </c>
      <c r="L62" s="13" t="str">
        <f>_xll.BDH("SRPT US Equity","PENSION_LIABILITIES","FQ1 2021","FQ1 2021","Currency=USD","Period=FQ","BEST_FPERIOD_OVERRIDE=FQ","FILING_STATUS=MR","SCALING_FORMAT=MLN","Sort=A","Dates=H","DateFormat=P","Fill=—","Direction=H","UseDPDF=Y")</f>
        <v>—</v>
      </c>
      <c r="M62" s="13" t="str">
        <f>_xll.BDH("SRPT US Equity","PENSION_LIABILITIES","FQ2 2021","FQ2 2021","Currency=USD","Period=FQ","BEST_FPERIOD_OVERRIDE=FQ","FILING_STATUS=MR","SCALING_FORMAT=MLN","Sort=A","Dates=H","DateFormat=P","Fill=—","Direction=H","UseDPDF=Y")</f>
        <v>—</v>
      </c>
      <c r="N62" s="13" t="str">
        <f>_xll.BDH("SRPT US Equity","PENSION_LIABILITIES","FQ3 2021","FQ3 2021","Currency=USD","Period=FQ","BEST_FPERIOD_OVERRIDE=FQ","FILING_STATUS=MR","SCALING_FORMAT=MLN","Sort=A","Dates=H","DateFormat=P","Fill=—","Direction=H","UseDPDF=Y")</f>
        <v>—</v>
      </c>
      <c r="O62" s="13">
        <f>_xll.BDH("SRPT US Equity","PENSION_LIABILITIES","FQ4 2021","FQ4 2021","Currency=USD","Period=FQ","BEST_FPERIOD_OVERRIDE=FQ","FILING_STATUS=MR","SCALING_FORMAT=MLN","Sort=A","Dates=H","DateFormat=P","Fill=—","Direction=H","UseDPDF=Y")</f>
        <v>0</v>
      </c>
      <c r="P62" s="13" t="str">
        <f>_xll.BDH("SRPT US Equity","PENSION_LIABILITIES","FQ1 2022","FQ1 2022","Currency=USD","Period=FQ","BEST_FPERIOD_OVERRIDE=FQ","FILING_STATUS=MR","SCALING_FORMAT=MLN","Sort=A","Dates=H","DateFormat=P","Fill=—","Direction=H","UseDPDF=Y")</f>
        <v>—</v>
      </c>
      <c r="Q62" s="13" t="str">
        <f>_xll.BDH("SRPT US Equity","PENSION_LIABILITIES","FQ2 2022","FQ2 2022","Currency=USD","Period=FQ","BEST_FPERIOD_OVERRIDE=FQ","FILING_STATUS=MR","SCALING_FORMAT=MLN","Sort=A","Dates=H","DateFormat=P","Fill=—","Direction=H","UseDPDF=Y")</f>
        <v>—</v>
      </c>
      <c r="R62" s="13" t="str">
        <f>_xll.BDH("SRPT US Equity","PENSION_LIABILITIES","FQ3 2022","FQ3 2022","Currency=USD","Period=FQ","BEST_FPERIOD_OVERRIDE=FQ","FILING_STATUS=MR","SCALING_FORMAT=MLN","Sort=A","Dates=H","DateFormat=P","Fill=—","Direction=H","UseDPDF=Y")</f>
        <v>—</v>
      </c>
      <c r="S62" s="13">
        <f>_xll.BDH("SRPT US Equity","PENSION_LIABILITIES","FQ4 2022","FQ4 2022","Currency=USD","Period=FQ","BEST_FPERIOD_OVERRIDE=FQ","FILING_STATUS=MR","SCALING_FORMAT=MLN","Sort=A","Dates=H","DateFormat=P","Fill=—","Direction=H","UseDPDF=Y")</f>
        <v>0</v>
      </c>
      <c r="T62" s="13" t="str">
        <f>_xll.BDH("SRPT US Equity","PENSION_LIABILITIES","FQ1 2023","FQ1 2023","Currency=USD","Period=FQ","BEST_FPERIOD_OVERRIDE=FQ","FILING_STATUS=MR","SCALING_FORMAT=MLN","Sort=A","Dates=H","DateFormat=P","Fill=—","Direction=H","UseDPDF=Y")</f>
        <v>—</v>
      </c>
      <c r="U62" s="13" t="str">
        <f>_xll.BDH("SRPT US Equity","PENSION_LIABILITIES","FQ2 2023","FQ2 2023","Currency=USD","Period=FQ","BEST_FPERIOD_OVERRIDE=FQ","FILING_STATUS=MR","SCALING_FORMAT=MLN","Sort=A","Dates=H","DateFormat=P","Fill=—","Direction=H","UseDPDF=Y")</f>
        <v>—</v>
      </c>
      <c r="V62" s="13">
        <f>_xll.BDH("SRPT US Equity","PENSION_LIABILITIES","FQ3 2023","FQ3 2023","Currency=USD","Period=FQ","BEST_FPERIOD_OVERRIDE=FQ","FILING_STATUS=MR","SCALING_FORMAT=MLN","Sort=A","Dates=H","DateFormat=P","Fill=—","Direction=H","UseDPDF=Y")</f>
        <v>0</v>
      </c>
      <c r="W62" s="13">
        <f>_xll.BDH("SRPT US Equity","PENSION_LIABILITIES","FQ4 2023","FQ4 2023","Currency=USD","Period=FQ","BEST_FPERIOD_OVERRIDE=FQ","FILING_STATUS=MR","SCALING_FORMAT=MLN","Sort=A","Dates=H","DateFormat=P","Fill=—","Direction=H","UseDPDF=Y")</f>
        <v>0</v>
      </c>
      <c r="X62" s="13" t="str">
        <f>_xll.BDH("SRPT US Equity","PENSION_LIABILITIES","FQ1 2024","FQ1 2024","Currency=USD","Period=FQ","BEST_FPERIOD_OVERRIDE=FQ","FILING_STATUS=MR","SCALING_FORMAT=MLN","Sort=A","Dates=H","DateFormat=P","Fill=—","Direction=H","UseDPDF=Y")</f>
        <v>—</v>
      </c>
      <c r="Y62" s="13" t="str">
        <f>_xll.BDH("SRPT US Equity","PENSION_LIABILITIES","FQ2 2024","FQ2 2024","Currency=USD","Period=FQ","BEST_FPERIOD_OVERRIDE=FQ","FILING_STATUS=MR","SCALING_FORMAT=MLN","Sort=A","Dates=H","DateFormat=P","Fill=—","Direction=H","UseDPDF=Y")</f>
        <v>—</v>
      </c>
      <c r="Z62" s="13" t="str">
        <f>_xll.BDH("SRPT US Equity","PENSION_LIABILITIES","FQ3 2024","FQ3 2024","Currency=USD","Period=FQ","BEST_FPERIOD_OVERRIDE=FQ","FILING_STATUS=MR","SCALING_FORMAT=MLN","Sort=A","Dates=H","DateFormat=P","Fill=—","Direction=H","UseDPDF=Y")</f>
        <v>—</v>
      </c>
      <c r="AA62" s="13">
        <f>_xll.BDH("SRPT US Equity","PENSION_LIABILITIES","FQ4 2024","FQ4 2024","Currency=USD","Period=FQ","BEST_FPERIOD_OVERRIDE=FQ","FILING_STATUS=MR","SCALING_FORMAT=MLN","Sort=A","Dates=H","DateFormat=P","Fill=—","Direction=H","UseDPDF=Y")</f>
        <v>0</v>
      </c>
    </row>
    <row r="63" spans="1:27" x14ac:dyDescent="0.25">
      <c r="A63" s="11" t="s">
        <v>793</v>
      </c>
      <c r="B63" s="11" t="s">
        <v>794</v>
      </c>
      <c r="C63" s="25" t="str">
        <f>_xll.BDH("SRPT US Equity","BS_PENSIONS_LT_LIABS","FQ4 2018","FQ4 2018","Currency=USD","Period=FQ","BEST_FPERIOD_OVERRIDE=FQ","FILING_STATUS=MR","SCALING_FORMAT=MLN","Sort=A","Dates=H","DateFormat=P","Fill=—","Direction=H","UseDPDF=Y")</f>
        <v>—</v>
      </c>
      <c r="D63" s="25" t="str">
        <f>_xll.BDH("SRPT US Equity","BS_PENSIONS_LT_LIABS","FQ1 2019","FQ1 2019","Currency=USD","Period=FQ","BEST_FPERIOD_OVERRIDE=FQ","FILING_STATUS=MR","SCALING_FORMAT=MLN","Sort=A","Dates=H","DateFormat=P","Fill=—","Direction=H","UseDPDF=Y")</f>
        <v>—</v>
      </c>
      <c r="E63" s="25" t="str">
        <f>_xll.BDH("SRPT US Equity","BS_PENSIONS_LT_LIABS","FQ2 2019","FQ2 2019","Currency=USD","Period=FQ","BEST_FPERIOD_OVERRIDE=FQ","FILING_STATUS=MR","SCALING_FORMAT=MLN","Sort=A","Dates=H","DateFormat=P","Fill=—","Direction=H","UseDPDF=Y")</f>
        <v>—</v>
      </c>
      <c r="F63" s="25" t="str">
        <f>_xll.BDH("SRPT US Equity","BS_PENSIONS_LT_LIABS","FQ3 2019","FQ3 2019","Currency=USD","Period=FQ","BEST_FPERIOD_OVERRIDE=FQ","FILING_STATUS=MR","SCALING_FORMAT=MLN","Sort=A","Dates=H","DateFormat=P","Fill=—","Direction=H","UseDPDF=Y")</f>
        <v>—</v>
      </c>
      <c r="G63" s="25">
        <f>_xll.BDH("SRPT US Equity","BS_PENSIONS_LT_LIABS","FQ4 2019","FQ4 2019","Currency=USD","Period=FQ","BEST_FPERIOD_OVERRIDE=FQ","FILING_STATUS=MR","SCALING_FORMAT=MLN","Sort=A","Dates=H","DateFormat=P","Fill=—","Direction=H","UseDPDF=Y")</f>
        <v>0</v>
      </c>
      <c r="H63" s="25" t="str">
        <f>_xll.BDH("SRPT US Equity","BS_PENSIONS_LT_LIABS","FQ1 2020","FQ1 2020","Currency=USD","Period=FQ","BEST_FPERIOD_OVERRIDE=FQ","FILING_STATUS=MR","SCALING_FORMAT=MLN","Sort=A","Dates=H","DateFormat=P","Fill=—","Direction=H","UseDPDF=Y")</f>
        <v>—</v>
      </c>
      <c r="I63" s="25" t="str">
        <f>_xll.BDH("SRPT US Equity","BS_PENSIONS_LT_LIABS","FQ2 2020","FQ2 2020","Currency=USD","Period=FQ","BEST_FPERIOD_OVERRIDE=FQ","FILING_STATUS=MR","SCALING_FORMAT=MLN","Sort=A","Dates=H","DateFormat=P","Fill=—","Direction=H","UseDPDF=Y")</f>
        <v>—</v>
      </c>
      <c r="J63" s="25" t="str">
        <f>_xll.BDH("SRPT US Equity","BS_PENSIONS_LT_LIABS","FQ3 2020","FQ3 2020","Currency=USD","Period=FQ","BEST_FPERIOD_OVERRIDE=FQ","FILING_STATUS=MR","SCALING_FORMAT=MLN","Sort=A","Dates=H","DateFormat=P","Fill=—","Direction=H","UseDPDF=Y")</f>
        <v>—</v>
      </c>
      <c r="K63" s="25">
        <f>_xll.BDH("SRPT US Equity","BS_PENSIONS_LT_LIABS","FQ4 2020","FQ4 2020","Currency=USD","Period=FQ","BEST_FPERIOD_OVERRIDE=FQ","FILING_STATUS=MR","SCALING_FORMAT=MLN","Sort=A","Dates=H","DateFormat=P","Fill=—","Direction=H","UseDPDF=Y")</f>
        <v>0</v>
      </c>
      <c r="L63" s="25" t="str">
        <f>_xll.BDH("SRPT US Equity","BS_PENSIONS_LT_LIABS","FQ1 2021","FQ1 2021","Currency=USD","Period=FQ","BEST_FPERIOD_OVERRIDE=FQ","FILING_STATUS=MR","SCALING_FORMAT=MLN","Sort=A","Dates=H","DateFormat=P","Fill=—","Direction=H","UseDPDF=Y")</f>
        <v>—</v>
      </c>
      <c r="M63" s="25" t="str">
        <f>_xll.BDH("SRPT US Equity","BS_PENSIONS_LT_LIABS","FQ2 2021","FQ2 2021","Currency=USD","Period=FQ","BEST_FPERIOD_OVERRIDE=FQ","FILING_STATUS=MR","SCALING_FORMAT=MLN","Sort=A","Dates=H","DateFormat=P","Fill=—","Direction=H","UseDPDF=Y")</f>
        <v>—</v>
      </c>
      <c r="N63" s="25" t="str">
        <f>_xll.BDH("SRPT US Equity","BS_PENSIONS_LT_LIABS","FQ3 2021","FQ3 2021","Currency=USD","Period=FQ","BEST_FPERIOD_OVERRIDE=FQ","FILING_STATUS=MR","SCALING_FORMAT=MLN","Sort=A","Dates=H","DateFormat=P","Fill=—","Direction=H","UseDPDF=Y")</f>
        <v>—</v>
      </c>
      <c r="O63" s="25">
        <f>_xll.BDH("SRPT US Equity","BS_PENSIONS_LT_LIABS","FQ4 2021","FQ4 2021","Currency=USD","Period=FQ","BEST_FPERIOD_OVERRIDE=FQ","FILING_STATUS=MR","SCALING_FORMAT=MLN","Sort=A","Dates=H","DateFormat=P","Fill=—","Direction=H","UseDPDF=Y")</f>
        <v>0</v>
      </c>
      <c r="P63" s="25" t="str">
        <f>_xll.BDH("SRPT US Equity","BS_PENSIONS_LT_LIABS","FQ1 2022","FQ1 2022","Currency=USD","Period=FQ","BEST_FPERIOD_OVERRIDE=FQ","FILING_STATUS=MR","SCALING_FORMAT=MLN","Sort=A","Dates=H","DateFormat=P","Fill=—","Direction=H","UseDPDF=Y")</f>
        <v>—</v>
      </c>
      <c r="Q63" s="25" t="str">
        <f>_xll.BDH("SRPT US Equity","BS_PENSIONS_LT_LIABS","FQ2 2022","FQ2 2022","Currency=USD","Period=FQ","BEST_FPERIOD_OVERRIDE=FQ","FILING_STATUS=MR","SCALING_FORMAT=MLN","Sort=A","Dates=H","DateFormat=P","Fill=—","Direction=H","UseDPDF=Y")</f>
        <v>—</v>
      </c>
      <c r="R63" s="25" t="str">
        <f>_xll.BDH("SRPT US Equity","BS_PENSIONS_LT_LIABS","FQ3 2022","FQ3 2022","Currency=USD","Period=FQ","BEST_FPERIOD_OVERRIDE=FQ","FILING_STATUS=MR","SCALING_FORMAT=MLN","Sort=A","Dates=H","DateFormat=P","Fill=—","Direction=H","UseDPDF=Y")</f>
        <v>—</v>
      </c>
      <c r="S63" s="25">
        <f>_xll.BDH("SRPT US Equity","BS_PENSIONS_LT_LIABS","FQ4 2022","FQ4 2022","Currency=USD","Period=FQ","BEST_FPERIOD_OVERRIDE=FQ","FILING_STATUS=MR","SCALING_FORMAT=MLN","Sort=A","Dates=H","DateFormat=P","Fill=—","Direction=H","UseDPDF=Y")</f>
        <v>0</v>
      </c>
      <c r="T63" s="25" t="str">
        <f>_xll.BDH("SRPT US Equity","BS_PENSIONS_LT_LIABS","FQ1 2023","FQ1 2023","Currency=USD","Period=FQ","BEST_FPERIOD_OVERRIDE=FQ","FILING_STATUS=MR","SCALING_FORMAT=MLN","Sort=A","Dates=H","DateFormat=P","Fill=—","Direction=H","UseDPDF=Y")</f>
        <v>—</v>
      </c>
      <c r="U63" s="25" t="str">
        <f>_xll.BDH("SRPT US Equity","BS_PENSIONS_LT_LIABS","FQ2 2023","FQ2 2023","Currency=USD","Period=FQ","BEST_FPERIOD_OVERRIDE=FQ","FILING_STATUS=MR","SCALING_FORMAT=MLN","Sort=A","Dates=H","DateFormat=P","Fill=—","Direction=H","UseDPDF=Y")</f>
        <v>—</v>
      </c>
      <c r="V63" s="25">
        <f>_xll.BDH("SRPT US Equity","BS_PENSIONS_LT_LIABS","FQ3 2023","FQ3 2023","Currency=USD","Period=FQ","BEST_FPERIOD_OVERRIDE=FQ","FILING_STATUS=MR","SCALING_FORMAT=MLN","Sort=A","Dates=H","DateFormat=P","Fill=—","Direction=H","UseDPDF=Y")</f>
        <v>0</v>
      </c>
      <c r="W63" s="25">
        <f>_xll.BDH("SRPT US Equity","BS_PENSIONS_LT_LIABS","FQ4 2023","FQ4 2023","Currency=USD","Period=FQ","BEST_FPERIOD_OVERRIDE=FQ","FILING_STATUS=MR","SCALING_FORMAT=MLN","Sort=A","Dates=H","DateFormat=P","Fill=—","Direction=H","UseDPDF=Y")</f>
        <v>0</v>
      </c>
      <c r="X63" s="25" t="str">
        <f>_xll.BDH("SRPT US Equity","BS_PENSIONS_LT_LIABS","FQ1 2024","FQ1 2024","Currency=USD","Period=FQ","BEST_FPERIOD_OVERRIDE=FQ","FILING_STATUS=MR","SCALING_FORMAT=MLN","Sort=A","Dates=H","DateFormat=P","Fill=—","Direction=H","UseDPDF=Y")</f>
        <v>—</v>
      </c>
      <c r="Y63" s="25" t="str">
        <f>_xll.BDH("SRPT US Equity","BS_PENSIONS_LT_LIABS","FQ2 2024","FQ2 2024","Currency=USD","Period=FQ","BEST_FPERIOD_OVERRIDE=FQ","FILING_STATUS=MR","SCALING_FORMAT=MLN","Sort=A","Dates=H","DateFormat=P","Fill=—","Direction=H","UseDPDF=Y")</f>
        <v>—</v>
      </c>
      <c r="Z63" s="25" t="str">
        <f>_xll.BDH("SRPT US Equity","BS_PENSIONS_LT_LIABS","FQ3 2024","FQ3 2024","Currency=USD","Period=FQ","BEST_FPERIOD_OVERRIDE=FQ","FILING_STATUS=MR","SCALING_FORMAT=MLN","Sort=A","Dates=H","DateFormat=P","Fill=—","Direction=H","UseDPDF=Y")</f>
        <v>—</v>
      </c>
      <c r="AA63" s="25">
        <f>_xll.BDH("SRPT US Equity","BS_PENSIONS_LT_LIABS","FQ4 2024","FQ4 2024","Currency=USD","Period=FQ","BEST_FPERIOD_OVERRIDE=FQ","FILING_STATUS=MR","SCALING_FORMAT=MLN","Sort=A","Dates=H","DateFormat=P","Fill=—","Direction=H","UseDPDF=Y")</f>
        <v>0</v>
      </c>
    </row>
    <row r="64" spans="1:27" x14ac:dyDescent="0.25">
      <c r="A64" s="11" t="s">
        <v>795</v>
      </c>
      <c r="B64" s="11" t="s">
        <v>796</v>
      </c>
      <c r="C64" s="25" t="str">
        <f>_xll.BDH("SRPT US Equity","BS_OPRB_LT_LIABS","FQ4 2018","FQ4 2018","Currency=USD","Period=FQ","BEST_FPERIOD_OVERRIDE=FQ","FILING_STATUS=MR","SCALING_FORMAT=MLN","Sort=A","Dates=H","DateFormat=P","Fill=—","Direction=H","UseDPDF=Y")</f>
        <v>—</v>
      </c>
      <c r="D64" s="25" t="str">
        <f>_xll.BDH("SRPT US Equity","BS_OPRB_LT_LIABS","FQ1 2019","FQ1 2019","Currency=USD","Period=FQ","BEST_FPERIOD_OVERRIDE=FQ","FILING_STATUS=MR","SCALING_FORMAT=MLN","Sort=A","Dates=H","DateFormat=P","Fill=—","Direction=H","UseDPDF=Y")</f>
        <v>—</v>
      </c>
      <c r="E64" s="25" t="str">
        <f>_xll.BDH("SRPT US Equity","BS_OPRB_LT_LIABS","FQ2 2019","FQ2 2019","Currency=USD","Period=FQ","BEST_FPERIOD_OVERRIDE=FQ","FILING_STATUS=MR","SCALING_FORMAT=MLN","Sort=A","Dates=H","DateFormat=P","Fill=—","Direction=H","UseDPDF=Y")</f>
        <v>—</v>
      </c>
      <c r="F64" s="25" t="str">
        <f>_xll.BDH("SRPT US Equity","BS_OPRB_LT_LIABS","FQ3 2019","FQ3 2019","Currency=USD","Period=FQ","BEST_FPERIOD_OVERRIDE=FQ","FILING_STATUS=MR","SCALING_FORMAT=MLN","Sort=A","Dates=H","DateFormat=P","Fill=—","Direction=H","UseDPDF=Y")</f>
        <v>—</v>
      </c>
      <c r="G64" s="25">
        <f>_xll.BDH("SRPT US Equity","BS_OPRB_LT_LIABS","FQ4 2019","FQ4 2019","Currency=USD","Period=FQ","BEST_FPERIOD_OVERRIDE=FQ","FILING_STATUS=MR","SCALING_FORMAT=MLN","Sort=A","Dates=H","DateFormat=P","Fill=—","Direction=H","UseDPDF=Y")</f>
        <v>0</v>
      </c>
      <c r="H64" s="25" t="str">
        <f>_xll.BDH("SRPT US Equity","BS_OPRB_LT_LIABS","FQ1 2020","FQ1 2020","Currency=USD","Period=FQ","BEST_FPERIOD_OVERRIDE=FQ","FILING_STATUS=MR","SCALING_FORMAT=MLN","Sort=A","Dates=H","DateFormat=P","Fill=—","Direction=H","UseDPDF=Y")</f>
        <v>—</v>
      </c>
      <c r="I64" s="25" t="str">
        <f>_xll.BDH("SRPT US Equity","BS_OPRB_LT_LIABS","FQ2 2020","FQ2 2020","Currency=USD","Period=FQ","BEST_FPERIOD_OVERRIDE=FQ","FILING_STATUS=MR","SCALING_FORMAT=MLN","Sort=A","Dates=H","DateFormat=P","Fill=—","Direction=H","UseDPDF=Y")</f>
        <v>—</v>
      </c>
      <c r="J64" s="25" t="str">
        <f>_xll.BDH("SRPT US Equity","BS_OPRB_LT_LIABS","FQ3 2020","FQ3 2020","Currency=USD","Period=FQ","BEST_FPERIOD_OVERRIDE=FQ","FILING_STATUS=MR","SCALING_FORMAT=MLN","Sort=A","Dates=H","DateFormat=P","Fill=—","Direction=H","UseDPDF=Y")</f>
        <v>—</v>
      </c>
      <c r="K64" s="25">
        <f>_xll.BDH("SRPT US Equity","BS_OPRB_LT_LIABS","FQ4 2020","FQ4 2020","Currency=USD","Period=FQ","BEST_FPERIOD_OVERRIDE=FQ","FILING_STATUS=MR","SCALING_FORMAT=MLN","Sort=A","Dates=H","DateFormat=P","Fill=—","Direction=H","UseDPDF=Y")</f>
        <v>0</v>
      </c>
      <c r="L64" s="25" t="str">
        <f>_xll.BDH("SRPT US Equity","BS_OPRB_LT_LIABS","FQ1 2021","FQ1 2021","Currency=USD","Period=FQ","BEST_FPERIOD_OVERRIDE=FQ","FILING_STATUS=MR","SCALING_FORMAT=MLN","Sort=A","Dates=H","DateFormat=P","Fill=—","Direction=H","UseDPDF=Y")</f>
        <v>—</v>
      </c>
      <c r="M64" s="25" t="str">
        <f>_xll.BDH("SRPT US Equity","BS_OPRB_LT_LIABS","FQ2 2021","FQ2 2021","Currency=USD","Period=FQ","BEST_FPERIOD_OVERRIDE=FQ","FILING_STATUS=MR","SCALING_FORMAT=MLN","Sort=A","Dates=H","DateFormat=P","Fill=—","Direction=H","UseDPDF=Y")</f>
        <v>—</v>
      </c>
      <c r="N64" s="25" t="str">
        <f>_xll.BDH("SRPT US Equity","BS_OPRB_LT_LIABS","FQ3 2021","FQ3 2021","Currency=USD","Period=FQ","BEST_FPERIOD_OVERRIDE=FQ","FILING_STATUS=MR","SCALING_FORMAT=MLN","Sort=A","Dates=H","DateFormat=P","Fill=—","Direction=H","UseDPDF=Y")</f>
        <v>—</v>
      </c>
      <c r="O64" s="25">
        <f>_xll.BDH("SRPT US Equity","BS_OPRB_LT_LIABS","FQ4 2021","FQ4 2021","Currency=USD","Period=FQ","BEST_FPERIOD_OVERRIDE=FQ","FILING_STATUS=MR","SCALING_FORMAT=MLN","Sort=A","Dates=H","DateFormat=P","Fill=—","Direction=H","UseDPDF=Y")</f>
        <v>0</v>
      </c>
      <c r="P64" s="25" t="str">
        <f>_xll.BDH("SRPT US Equity","BS_OPRB_LT_LIABS","FQ1 2022","FQ1 2022","Currency=USD","Period=FQ","BEST_FPERIOD_OVERRIDE=FQ","FILING_STATUS=MR","SCALING_FORMAT=MLN","Sort=A","Dates=H","DateFormat=P","Fill=—","Direction=H","UseDPDF=Y")</f>
        <v>—</v>
      </c>
      <c r="Q64" s="25" t="str">
        <f>_xll.BDH("SRPT US Equity","BS_OPRB_LT_LIABS","FQ2 2022","FQ2 2022","Currency=USD","Period=FQ","BEST_FPERIOD_OVERRIDE=FQ","FILING_STATUS=MR","SCALING_FORMAT=MLN","Sort=A","Dates=H","DateFormat=P","Fill=—","Direction=H","UseDPDF=Y")</f>
        <v>—</v>
      </c>
      <c r="R64" s="25" t="str">
        <f>_xll.BDH("SRPT US Equity","BS_OPRB_LT_LIABS","FQ3 2022","FQ3 2022","Currency=USD","Period=FQ","BEST_FPERIOD_OVERRIDE=FQ","FILING_STATUS=MR","SCALING_FORMAT=MLN","Sort=A","Dates=H","DateFormat=P","Fill=—","Direction=H","UseDPDF=Y")</f>
        <v>—</v>
      </c>
      <c r="S64" s="25">
        <f>_xll.BDH("SRPT US Equity","BS_OPRB_LT_LIABS","FQ4 2022","FQ4 2022","Currency=USD","Period=FQ","BEST_FPERIOD_OVERRIDE=FQ","FILING_STATUS=MR","SCALING_FORMAT=MLN","Sort=A","Dates=H","DateFormat=P","Fill=—","Direction=H","UseDPDF=Y")</f>
        <v>0</v>
      </c>
      <c r="T64" s="25" t="str">
        <f>_xll.BDH("SRPT US Equity","BS_OPRB_LT_LIABS","FQ1 2023","FQ1 2023","Currency=USD","Period=FQ","BEST_FPERIOD_OVERRIDE=FQ","FILING_STATUS=MR","SCALING_FORMAT=MLN","Sort=A","Dates=H","DateFormat=P","Fill=—","Direction=H","UseDPDF=Y")</f>
        <v>—</v>
      </c>
      <c r="U64" s="25" t="str">
        <f>_xll.BDH("SRPT US Equity","BS_OPRB_LT_LIABS","FQ2 2023","FQ2 2023","Currency=USD","Period=FQ","BEST_FPERIOD_OVERRIDE=FQ","FILING_STATUS=MR","SCALING_FORMAT=MLN","Sort=A","Dates=H","DateFormat=P","Fill=—","Direction=H","UseDPDF=Y")</f>
        <v>—</v>
      </c>
      <c r="V64" s="25">
        <f>_xll.BDH("SRPT US Equity","BS_OPRB_LT_LIABS","FQ3 2023","FQ3 2023","Currency=USD","Period=FQ","BEST_FPERIOD_OVERRIDE=FQ","FILING_STATUS=MR","SCALING_FORMAT=MLN","Sort=A","Dates=H","DateFormat=P","Fill=—","Direction=H","UseDPDF=Y")</f>
        <v>0</v>
      </c>
      <c r="W64" s="25">
        <f>_xll.BDH("SRPT US Equity","BS_OPRB_LT_LIABS","FQ4 2023","FQ4 2023","Currency=USD","Period=FQ","BEST_FPERIOD_OVERRIDE=FQ","FILING_STATUS=MR","SCALING_FORMAT=MLN","Sort=A","Dates=H","DateFormat=P","Fill=—","Direction=H","UseDPDF=Y")</f>
        <v>0</v>
      </c>
      <c r="X64" s="25" t="str">
        <f>_xll.BDH("SRPT US Equity","BS_OPRB_LT_LIABS","FQ1 2024","FQ1 2024","Currency=USD","Period=FQ","BEST_FPERIOD_OVERRIDE=FQ","FILING_STATUS=MR","SCALING_FORMAT=MLN","Sort=A","Dates=H","DateFormat=P","Fill=—","Direction=H","UseDPDF=Y")</f>
        <v>—</v>
      </c>
      <c r="Y64" s="25" t="str">
        <f>_xll.BDH("SRPT US Equity","BS_OPRB_LT_LIABS","FQ2 2024","FQ2 2024","Currency=USD","Period=FQ","BEST_FPERIOD_OVERRIDE=FQ","FILING_STATUS=MR","SCALING_FORMAT=MLN","Sort=A","Dates=H","DateFormat=P","Fill=—","Direction=H","UseDPDF=Y")</f>
        <v>—</v>
      </c>
      <c r="Z64" s="25" t="str">
        <f>_xll.BDH("SRPT US Equity","BS_OPRB_LT_LIABS","FQ3 2024","FQ3 2024","Currency=USD","Period=FQ","BEST_FPERIOD_OVERRIDE=FQ","FILING_STATUS=MR","SCALING_FORMAT=MLN","Sort=A","Dates=H","DateFormat=P","Fill=—","Direction=H","UseDPDF=Y")</f>
        <v>—</v>
      </c>
      <c r="AA64" s="25">
        <f>_xll.BDH("SRPT US Equity","BS_OPRB_LT_LIABS","FQ4 2024","FQ4 2024","Currency=USD","Period=FQ","BEST_FPERIOD_OVERRIDE=FQ","FILING_STATUS=MR","SCALING_FORMAT=MLN","Sort=A","Dates=H","DateFormat=P","Fill=—","Direction=H","UseDPDF=Y")</f>
        <v>0</v>
      </c>
    </row>
    <row r="65" spans="1:27" x14ac:dyDescent="0.25">
      <c r="A65" s="10" t="s">
        <v>771</v>
      </c>
      <c r="B65" s="10" t="s">
        <v>797</v>
      </c>
      <c r="C65" s="13">
        <f>_xll.BDH("SRPT US Equity","LT_DEFERRED_REVENUE","FQ4 2018","FQ4 2018","Currency=USD","Period=FQ","BEST_FPERIOD_OVERRIDE=FQ","FILING_STATUS=MR","SCALING_FORMAT=MLN","Sort=A","Dates=H","DateFormat=P","Fill=—","Direction=H","UseDPDF=Y")</f>
        <v>0</v>
      </c>
      <c r="D65" s="13" t="str">
        <f>_xll.BDH("SRPT US Equity","LT_DEFERRED_REVENUE","FQ1 2019","FQ1 2019","Currency=USD","Period=FQ","BEST_FPERIOD_OVERRIDE=FQ","FILING_STATUS=MR","SCALING_FORMAT=MLN","Sort=A","Dates=H","DateFormat=P","Fill=—","Direction=H","UseDPDF=Y")</f>
        <v>—</v>
      </c>
      <c r="E65" s="13" t="str">
        <f>_xll.BDH("SRPT US Equity","LT_DEFERRED_REVENUE","FQ2 2019","FQ2 2019","Currency=USD","Period=FQ","BEST_FPERIOD_OVERRIDE=FQ","FILING_STATUS=MR","SCALING_FORMAT=MLN","Sort=A","Dates=H","DateFormat=P","Fill=—","Direction=H","UseDPDF=Y")</f>
        <v>—</v>
      </c>
      <c r="F65" s="13" t="str">
        <f>_xll.BDH("SRPT US Equity","LT_DEFERRED_REVENUE","FQ3 2019","FQ3 2019","Currency=USD","Period=FQ","BEST_FPERIOD_OVERRIDE=FQ","FILING_STATUS=MR","SCALING_FORMAT=MLN","Sort=A","Dates=H","DateFormat=P","Fill=—","Direction=H","UseDPDF=Y")</f>
        <v>—</v>
      </c>
      <c r="G65" s="13">
        <f>_xll.BDH("SRPT US Equity","LT_DEFERRED_REVENUE","FQ4 2019","FQ4 2019","Currency=USD","Period=FQ","BEST_FPERIOD_OVERRIDE=FQ","FILING_STATUS=MR","SCALING_FORMAT=MLN","Sort=A","Dates=H","DateFormat=P","Fill=—","Direction=H","UseDPDF=Y")</f>
        <v>0</v>
      </c>
      <c r="H65" s="13">
        <f>_xll.BDH("SRPT US Equity","LT_DEFERRED_REVENUE","FQ1 2020","FQ1 2020","Currency=USD","Period=FQ","BEST_FPERIOD_OVERRIDE=FQ","FILING_STATUS=MR","SCALING_FORMAT=MLN","Sort=A","Dates=H","DateFormat=P","Fill=—","Direction=H","UseDPDF=Y")</f>
        <v>732.66700000000003</v>
      </c>
      <c r="I65" s="13">
        <f>_xll.BDH("SRPT US Equity","LT_DEFERRED_REVENUE","FQ2 2020","FQ2 2020","Currency=USD","Period=FQ","BEST_FPERIOD_OVERRIDE=FQ","FILING_STATUS=MR","SCALING_FORMAT=MLN","Sort=A","Dates=H","DateFormat=P","Fill=—","Direction=H","UseDPDF=Y")</f>
        <v>708.476</v>
      </c>
      <c r="J65" s="13">
        <f>_xll.BDH("SRPT US Equity","LT_DEFERRED_REVENUE","FQ3 2020","FQ3 2020","Currency=USD","Period=FQ","BEST_FPERIOD_OVERRIDE=FQ","FILING_STATUS=MR","SCALING_FORMAT=MLN","Sort=A","Dates=H","DateFormat=P","Fill=—","Direction=H","UseDPDF=Y")</f>
        <v>685.98199999999997</v>
      </c>
      <c r="K65" s="13">
        <f>_xll.BDH("SRPT US Equity","LT_DEFERRED_REVENUE","FQ4 2020","FQ4 2020","Currency=USD","Period=FQ","BEST_FPERIOD_OVERRIDE=FQ","FILING_STATUS=MR","SCALING_FORMAT=MLN","Sort=A","Dates=H","DateFormat=P","Fill=—","Direction=H","UseDPDF=Y")</f>
        <v>663.48800000000006</v>
      </c>
      <c r="L65" s="13">
        <f>_xll.BDH("SRPT US Equity","LT_DEFERRED_REVENUE","FQ1 2021","FQ1 2021","Currency=USD","Period=FQ","BEST_FPERIOD_OVERRIDE=FQ","FILING_STATUS=MR","SCALING_FORMAT=MLN","Sort=A","Dates=H","DateFormat=P","Fill=—","Direction=H","UseDPDF=Y")</f>
        <v>641.48299999999995</v>
      </c>
      <c r="M65" s="13">
        <f>_xll.BDH("SRPT US Equity","LT_DEFERRED_REVENUE","FQ2 2021","FQ2 2021","Currency=USD","Period=FQ","BEST_FPERIOD_OVERRIDE=FQ","FILING_STATUS=MR","SCALING_FORMAT=MLN","Sort=A","Dates=H","DateFormat=P","Fill=—","Direction=H","UseDPDF=Y")</f>
        <v>619.23299999999995</v>
      </c>
      <c r="N65" s="13">
        <f>_xll.BDH("SRPT US Equity","LT_DEFERRED_REVENUE","FQ3 2021","FQ3 2021","Currency=USD","Period=FQ","BEST_FPERIOD_OVERRIDE=FQ","FILING_STATUS=MR","SCALING_FORMAT=MLN","Sort=A","Dates=H","DateFormat=P","Fill=—","Direction=H","UseDPDF=Y")</f>
        <v>596.73800000000006</v>
      </c>
      <c r="O65" s="13">
        <f>_xll.BDH("SRPT US Equity","LT_DEFERRED_REVENUE","FQ4 2021","FQ4 2021","Currency=USD","Period=FQ","BEST_FPERIOD_OVERRIDE=FQ","FILING_STATUS=MR","SCALING_FORMAT=MLN","Sort=A","Dates=H","DateFormat=P","Fill=—","Direction=H","UseDPDF=Y")</f>
        <v>574.24400000000003</v>
      </c>
      <c r="P65" s="13">
        <f>_xll.BDH("SRPT US Equity","LT_DEFERRED_REVENUE","FQ1 2022","FQ1 2022","Currency=USD","Period=FQ","BEST_FPERIOD_OVERRIDE=FQ","FILING_STATUS=MR","SCALING_FORMAT=MLN","Sort=A","Dates=H","DateFormat=P","Fill=—","Direction=H","UseDPDF=Y")</f>
        <v>552.23900000000003</v>
      </c>
      <c r="Q65" s="13">
        <f>_xll.BDH("SRPT US Equity","LT_DEFERRED_REVENUE","FQ2 2022","FQ2 2022","Currency=USD","Period=FQ","BEST_FPERIOD_OVERRIDE=FQ","FILING_STATUS=MR","SCALING_FORMAT=MLN","Sort=A","Dates=H","DateFormat=P","Fill=—","Direction=H","UseDPDF=Y")</f>
        <v>529.98900000000003</v>
      </c>
      <c r="R65" s="13">
        <f>_xll.BDH("SRPT US Equity","LT_DEFERRED_REVENUE","FQ3 2022","FQ3 2022","Currency=USD","Period=FQ","BEST_FPERIOD_OVERRIDE=FQ","FILING_STATUS=MR","SCALING_FORMAT=MLN","Sort=A","Dates=H","DateFormat=P","Fill=—","Direction=H","UseDPDF=Y")</f>
        <v>507.49400000000003</v>
      </c>
      <c r="S65" s="13">
        <f>_xll.BDH("SRPT US Equity","LT_DEFERRED_REVENUE","FQ4 2022","FQ4 2022","Currency=USD","Period=FQ","BEST_FPERIOD_OVERRIDE=FQ","FILING_STATUS=MR","SCALING_FORMAT=MLN","Sort=A","Dates=H","DateFormat=P","Fill=—","Direction=H","UseDPDF=Y")</f>
        <v>485</v>
      </c>
      <c r="T65" s="13">
        <f>_xll.BDH("SRPT US Equity","LT_DEFERRED_REVENUE","FQ1 2023","FQ1 2023","Currency=USD","Period=FQ","BEST_FPERIOD_OVERRIDE=FQ","FILING_STATUS=MR","SCALING_FORMAT=MLN","Sort=A","Dates=H","DateFormat=P","Fill=—","Direction=H","UseDPDF=Y")</f>
        <v>485</v>
      </c>
      <c r="U65" s="13">
        <f>_xll.BDH("SRPT US Equity","LT_DEFERRED_REVENUE","FQ2 2023","FQ2 2023","Currency=USD","Period=FQ","BEST_FPERIOD_OVERRIDE=FQ","FILING_STATUS=MR","SCALING_FORMAT=MLN","Sort=A","Dates=H","DateFormat=P","Fill=—","Direction=H","UseDPDF=Y")</f>
        <v>485</v>
      </c>
      <c r="V65" s="13">
        <f>_xll.BDH("SRPT US Equity","LT_DEFERRED_REVENUE","FQ3 2023","FQ3 2023","Currency=USD","Period=FQ","BEST_FPERIOD_OVERRIDE=FQ","FILING_STATUS=MR","SCALING_FORMAT=MLN","Sort=A","Dates=H","DateFormat=P","Fill=—","Direction=H","UseDPDF=Y")</f>
        <v>485</v>
      </c>
      <c r="W65" s="13">
        <f>_xll.BDH("SRPT US Equity","LT_DEFERRED_REVENUE","FQ4 2023","FQ4 2023","Currency=USD","Period=FQ","BEST_FPERIOD_OVERRIDE=FQ","FILING_STATUS=MR","SCALING_FORMAT=MLN","Sort=A","Dates=H","DateFormat=P","Fill=—","Direction=H","UseDPDF=Y")</f>
        <v>437</v>
      </c>
      <c r="X65" s="13">
        <f>_xll.BDH("SRPT US Equity","LT_DEFERRED_REVENUE","FQ1 2024","FQ1 2024","Currency=USD","Period=FQ","BEST_FPERIOD_OVERRIDE=FQ","FILING_STATUS=MR","SCALING_FORMAT=MLN","Sort=A","Dates=H","DateFormat=P","Fill=—","Direction=H","UseDPDF=Y")</f>
        <v>325</v>
      </c>
      <c r="Y65" s="13">
        <f>_xll.BDH("SRPT US Equity","LT_DEFERRED_REVENUE","FQ2 2024","FQ2 2024","Currency=USD","Period=FQ","BEST_FPERIOD_OVERRIDE=FQ","FILING_STATUS=MR","SCALING_FORMAT=MLN","Sort=A","Dates=H","DateFormat=P","Fill=—","Direction=H","UseDPDF=Y")</f>
        <v>325</v>
      </c>
      <c r="Z65" s="13">
        <f>_xll.BDH("SRPT US Equity","LT_DEFERRED_REVENUE","FQ3 2024","FQ3 2024","Currency=USD","Period=FQ","BEST_FPERIOD_OVERRIDE=FQ","FILING_STATUS=MR","SCALING_FORMAT=MLN","Sort=A","Dates=H","DateFormat=P","Fill=—","Direction=H","UseDPDF=Y")</f>
        <v>325</v>
      </c>
      <c r="AA65" s="13">
        <f>_xll.BDH("SRPT US Equity","LT_DEFERRED_REVENUE","FQ4 2024","FQ4 2024","Currency=USD","Period=FQ","BEST_FPERIOD_OVERRIDE=FQ","FILING_STATUS=MR","SCALING_FORMAT=MLN","Sort=A","Dates=H","DateFormat=P","Fill=—","Direction=H","UseDPDF=Y")</f>
        <v>325</v>
      </c>
    </row>
    <row r="66" spans="1:27" x14ac:dyDescent="0.25">
      <c r="A66" s="10" t="s">
        <v>773</v>
      </c>
      <c r="B66" s="10" t="s">
        <v>798</v>
      </c>
      <c r="C66" s="13">
        <f>_xll.BDH("SRPT US Equity","BS_DERIV_HEDGING_LIAB_LT","FQ4 2018","FQ4 2018","Currency=USD","Period=FQ","BEST_FPERIOD_OVERRIDE=FQ","FILING_STATUS=MR","SCALING_FORMAT=MLN","Sort=A","Dates=H","DateFormat=P","Fill=—","Direction=H","UseDPDF=Y")</f>
        <v>0</v>
      </c>
      <c r="D66" s="13" t="str">
        <f>_xll.BDH("SRPT US Equity","BS_DERIV_HEDGING_LIAB_LT","FQ1 2019","FQ1 2019","Currency=USD","Period=FQ","BEST_FPERIOD_OVERRIDE=FQ","FILING_STATUS=MR","SCALING_FORMAT=MLN","Sort=A","Dates=H","DateFormat=P","Fill=—","Direction=H","UseDPDF=Y")</f>
        <v>—</v>
      </c>
      <c r="E66" s="13" t="str">
        <f>_xll.BDH("SRPT US Equity","BS_DERIV_HEDGING_LIAB_LT","FQ2 2019","FQ2 2019","Currency=USD","Period=FQ","BEST_FPERIOD_OVERRIDE=FQ","FILING_STATUS=MR","SCALING_FORMAT=MLN","Sort=A","Dates=H","DateFormat=P","Fill=—","Direction=H","UseDPDF=Y")</f>
        <v>—</v>
      </c>
      <c r="F66" s="13" t="str">
        <f>_xll.BDH("SRPT US Equity","BS_DERIV_HEDGING_LIAB_LT","FQ3 2019","FQ3 2019","Currency=USD","Period=FQ","BEST_FPERIOD_OVERRIDE=FQ","FILING_STATUS=MR","SCALING_FORMAT=MLN","Sort=A","Dates=H","DateFormat=P","Fill=—","Direction=H","UseDPDF=Y")</f>
        <v>—</v>
      </c>
      <c r="G66" s="13">
        <f>_xll.BDH("SRPT US Equity","BS_DERIV_HEDGING_LIAB_LT","FQ4 2019","FQ4 2019","Currency=USD","Period=FQ","BEST_FPERIOD_OVERRIDE=FQ","FILING_STATUS=MR","SCALING_FORMAT=MLN","Sort=A","Dates=H","DateFormat=P","Fill=—","Direction=H","UseDPDF=Y")</f>
        <v>0</v>
      </c>
      <c r="H66" s="13" t="str">
        <f>_xll.BDH("SRPT US Equity","BS_DERIV_HEDGING_LIAB_LT","FQ1 2020","FQ1 2020","Currency=USD","Period=FQ","BEST_FPERIOD_OVERRIDE=FQ","FILING_STATUS=MR","SCALING_FORMAT=MLN","Sort=A","Dates=H","DateFormat=P","Fill=—","Direction=H","UseDPDF=Y")</f>
        <v>—</v>
      </c>
      <c r="I66" s="13" t="str">
        <f>_xll.BDH("SRPT US Equity","BS_DERIV_HEDGING_LIAB_LT","FQ2 2020","FQ2 2020","Currency=USD","Period=FQ","BEST_FPERIOD_OVERRIDE=FQ","FILING_STATUS=MR","SCALING_FORMAT=MLN","Sort=A","Dates=H","DateFormat=P","Fill=—","Direction=H","UseDPDF=Y")</f>
        <v>—</v>
      </c>
      <c r="J66" s="13" t="str">
        <f>_xll.BDH("SRPT US Equity","BS_DERIV_HEDGING_LIAB_LT","FQ3 2020","FQ3 2020","Currency=USD","Period=FQ","BEST_FPERIOD_OVERRIDE=FQ","FILING_STATUS=MR","SCALING_FORMAT=MLN","Sort=A","Dates=H","DateFormat=P","Fill=—","Direction=H","UseDPDF=Y")</f>
        <v>—</v>
      </c>
      <c r="K66" s="13">
        <f>_xll.BDH("SRPT US Equity","BS_DERIV_HEDGING_LIAB_LT","FQ4 2020","FQ4 2020","Currency=USD","Period=FQ","BEST_FPERIOD_OVERRIDE=FQ","FILING_STATUS=MR","SCALING_FORMAT=MLN","Sort=A","Dates=H","DateFormat=P","Fill=—","Direction=H","UseDPDF=Y")</f>
        <v>0</v>
      </c>
      <c r="L66" s="13" t="str">
        <f>_xll.BDH("SRPT US Equity","BS_DERIV_HEDGING_LIAB_LT","FQ1 2021","FQ1 2021","Currency=USD","Period=FQ","BEST_FPERIOD_OVERRIDE=FQ","FILING_STATUS=MR","SCALING_FORMAT=MLN","Sort=A","Dates=H","DateFormat=P","Fill=—","Direction=H","UseDPDF=Y")</f>
        <v>—</v>
      </c>
      <c r="M66" s="13" t="str">
        <f>_xll.BDH("SRPT US Equity","BS_DERIV_HEDGING_LIAB_LT","FQ2 2021","FQ2 2021","Currency=USD","Period=FQ","BEST_FPERIOD_OVERRIDE=FQ","FILING_STATUS=MR","SCALING_FORMAT=MLN","Sort=A","Dates=H","DateFormat=P","Fill=—","Direction=H","UseDPDF=Y")</f>
        <v>—</v>
      </c>
      <c r="N66" s="13" t="str">
        <f>_xll.BDH("SRPT US Equity","BS_DERIV_HEDGING_LIAB_LT","FQ3 2021","FQ3 2021","Currency=USD","Period=FQ","BEST_FPERIOD_OVERRIDE=FQ","FILING_STATUS=MR","SCALING_FORMAT=MLN","Sort=A","Dates=H","DateFormat=P","Fill=—","Direction=H","UseDPDF=Y")</f>
        <v>—</v>
      </c>
      <c r="O66" s="13">
        <f>_xll.BDH("SRPT US Equity","BS_DERIV_HEDGING_LIAB_LT","FQ4 2021","FQ4 2021","Currency=USD","Period=FQ","BEST_FPERIOD_OVERRIDE=FQ","FILING_STATUS=MR","SCALING_FORMAT=MLN","Sort=A","Dates=H","DateFormat=P","Fill=—","Direction=H","UseDPDF=Y")</f>
        <v>0</v>
      </c>
      <c r="P66" s="13" t="str">
        <f>_xll.BDH("SRPT US Equity","BS_DERIV_HEDGING_LIAB_LT","FQ1 2022","FQ1 2022","Currency=USD","Period=FQ","BEST_FPERIOD_OVERRIDE=FQ","FILING_STATUS=MR","SCALING_FORMAT=MLN","Sort=A","Dates=H","DateFormat=P","Fill=—","Direction=H","UseDPDF=Y")</f>
        <v>—</v>
      </c>
      <c r="Q66" s="13" t="str">
        <f>_xll.BDH("SRPT US Equity","BS_DERIV_HEDGING_LIAB_LT","FQ2 2022","FQ2 2022","Currency=USD","Period=FQ","BEST_FPERIOD_OVERRIDE=FQ","FILING_STATUS=MR","SCALING_FORMAT=MLN","Sort=A","Dates=H","DateFormat=P","Fill=—","Direction=H","UseDPDF=Y")</f>
        <v>—</v>
      </c>
      <c r="R66" s="13" t="str">
        <f>_xll.BDH("SRPT US Equity","BS_DERIV_HEDGING_LIAB_LT","FQ3 2022","FQ3 2022","Currency=USD","Period=FQ","BEST_FPERIOD_OVERRIDE=FQ","FILING_STATUS=MR","SCALING_FORMAT=MLN","Sort=A","Dates=H","DateFormat=P","Fill=—","Direction=H","UseDPDF=Y")</f>
        <v>—</v>
      </c>
      <c r="S66" s="13">
        <f>_xll.BDH("SRPT US Equity","BS_DERIV_HEDGING_LIAB_LT","FQ4 2022","FQ4 2022","Currency=USD","Period=FQ","BEST_FPERIOD_OVERRIDE=FQ","FILING_STATUS=MR","SCALING_FORMAT=MLN","Sort=A","Dates=H","DateFormat=P","Fill=—","Direction=H","UseDPDF=Y")</f>
        <v>0</v>
      </c>
      <c r="T66" s="13" t="str">
        <f>_xll.BDH("SRPT US Equity","BS_DERIV_HEDGING_LIAB_LT","FQ1 2023","FQ1 2023","Currency=USD","Period=FQ","BEST_FPERIOD_OVERRIDE=FQ","FILING_STATUS=MR","SCALING_FORMAT=MLN","Sort=A","Dates=H","DateFormat=P","Fill=—","Direction=H","UseDPDF=Y")</f>
        <v>—</v>
      </c>
      <c r="U66" s="13" t="str">
        <f>_xll.BDH("SRPT US Equity","BS_DERIV_HEDGING_LIAB_LT","FQ2 2023","FQ2 2023","Currency=USD","Period=FQ","BEST_FPERIOD_OVERRIDE=FQ","FILING_STATUS=MR","SCALING_FORMAT=MLN","Sort=A","Dates=H","DateFormat=P","Fill=—","Direction=H","UseDPDF=Y")</f>
        <v>—</v>
      </c>
      <c r="V66" s="13">
        <f>_xll.BDH("SRPT US Equity","BS_DERIV_HEDGING_LIAB_LT","FQ3 2023","FQ3 2023","Currency=USD","Period=FQ","BEST_FPERIOD_OVERRIDE=FQ","FILING_STATUS=MR","SCALING_FORMAT=MLN","Sort=A","Dates=H","DateFormat=P","Fill=—","Direction=H","UseDPDF=Y")</f>
        <v>0</v>
      </c>
      <c r="W66" s="13">
        <f>_xll.BDH("SRPT US Equity","BS_DERIV_HEDGING_LIAB_LT","FQ4 2023","FQ4 2023","Currency=USD","Period=FQ","BEST_FPERIOD_OVERRIDE=FQ","FILING_STATUS=MR","SCALING_FORMAT=MLN","Sort=A","Dates=H","DateFormat=P","Fill=—","Direction=H","UseDPDF=Y")</f>
        <v>0</v>
      </c>
      <c r="X66" s="13" t="str">
        <f>_xll.BDH("SRPT US Equity","BS_DERIV_HEDGING_LIAB_LT","FQ1 2024","FQ1 2024","Currency=USD","Period=FQ","BEST_FPERIOD_OVERRIDE=FQ","FILING_STATUS=MR","SCALING_FORMAT=MLN","Sort=A","Dates=H","DateFormat=P","Fill=—","Direction=H","UseDPDF=Y")</f>
        <v>—</v>
      </c>
      <c r="Y66" s="13" t="str">
        <f>_xll.BDH("SRPT US Equity","BS_DERIV_HEDGING_LIAB_LT","FQ2 2024","FQ2 2024","Currency=USD","Period=FQ","BEST_FPERIOD_OVERRIDE=FQ","FILING_STATUS=MR","SCALING_FORMAT=MLN","Sort=A","Dates=H","DateFormat=P","Fill=—","Direction=H","UseDPDF=Y")</f>
        <v>—</v>
      </c>
      <c r="Z66" s="13" t="str">
        <f>_xll.BDH("SRPT US Equity","BS_DERIV_HEDGING_LIAB_LT","FQ3 2024","FQ3 2024","Currency=USD","Period=FQ","BEST_FPERIOD_OVERRIDE=FQ","FILING_STATUS=MR","SCALING_FORMAT=MLN","Sort=A","Dates=H","DateFormat=P","Fill=—","Direction=H","UseDPDF=Y")</f>
        <v>—</v>
      </c>
      <c r="AA66" s="13" t="str">
        <f>_xll.BDH("SRPT US Equity","BS_DERIV_HEDGING_LIAB_LT","FQ4 2024","FQ4 2024","Currency=USD","Period=FQ","BEST_FPERIOD_OVERRIDE=FQ","FILING_STATUS=MR","SCALING_FORMAT=MLN","Sort=A","Dates=H","DateFormat=P","Fill=—","Direction=H","UseDPDF=Y")</f>
        <v>—</v>
      </c>
    </row>
    <row r="67" spans="1:27" x14ac:dyDescent="0.25">
      <c r="A67" s="10" t="s">
        <v>799</v>
      </c>
      <c r="B67" s="10" t="s">
        <v>800</v>
      </c>
      <c r="C67" s="13">
        <f>_xll.BDH("SRPT US Equity","OTHER_NONCURRENT_LIABS_DETAILED","FQ4 2018","FQ4 2018","Currency=USD","Period=FQ","BEST_FPERIOD_OVERRIDE=FQ","FILING_STATUS=MR","SCALING_FORMAT=MLN","Sort=A","Dates=H","DateFormat=P","Fill=—","Direction=H","UseDPDF=Y")</f>
        <v>15.555</v>
      </c>
      <c r="D67" s="13">
        <f>_xll.BDH("SRPT US Equity","OTHER_NONCURRENT_LIABS_DETAILED","FQ1 2019","FQ1 2019","Currency=USD","Period=FQ","BEST_FPERIOD_OVERRIDE=FQ","FILING_STATUS=MR","SCALING_FORMAT=MLN","Sort=A","Dates=H","DateFormat=P","Fill=—","Direction=H","UseDPDF=Y")</f>
        <v>4.8000000000000001E-2</v>
      </c>
      <c r="E67" s="13">
        <f>_xll.BDH("SRPT US Equity","OTHER_NONCURRENT_LIABS_DETAILED","FQ2 2019","FQ2 2019","Currency=USD","Period=FQ","BEST_FPERIOD_OVERRIDE=FQ","FILING_STATUS=MR","SCALING_FORMAT=MLN","Sort=A","Dates=H","DateFormat=P","Fill=—","Direction=H","UseDPDF=Y")</f>
        <v>5.2480000000000002</v>
      </c>
      <c r="F67" s="13">
        <f>_xll.BDH("SRPT US Equity","OTHER_NONCURRENT_LIABS_DETAILED","FQ3 2019","FQ3 2019","Currency=USD","Period=FQ","BEST_FPERIOD_OVERRIDE=FQ","FILING_STATUS=MR","SCALING_FORMAT=MLN","Sort=A","Dates=H","DateFormat=P","Fill=—","Direction=H","UseDPDF=Y")</f>
        <v>5.2480000000000002</v>
      </c>
      <c r="G67" s="13">
        <f>_xll.BDH("SRPT US Equity","OTHER_NONCURRENT_LIABS_DETAILED","FQ4 2019","FQ4 2019","Currency=USD","Period=FQ","BEST_FPERIOD_OVERRIDE=FQ","FILING_STATUS=MR","SCALING_FORMAT=MLN","Sort=A","Dates=H","DateFormat=P","Fill=—","Direction=H","UseDPDF=Y")</f>
        <v>10.247999999999999</v>
      </c>
      <c r="H67" s="13">
        <f>_xll.BDH("SRPT US Equity","OTHER_NONCURRENT_LIABS_DETAILED","FQ1 2020","FQ1 2020","Currency=USD","Period=FQ","BEST_FPERIOD_OVERRIDE=FQ","FILING_STATUS=MR","SCALING_FORMAT=MLN","Sort=A","Dates=H","DateFormat=P","Fill=—","Direction=H","UseDPDF=Y")</f>
        <v>10.247999999999999</v>
      </c>
      <c r="I67" s="13">
        <f>_xll.BDH("SRPT US Equity","OTHER_NONCURRENT_LIABS_DETAILED","FQ2 2020","FQ2 2020","Currency=USD","Period=FQ","BEST_FPERIOD_OVERRIDE=FQ","FILING_STATUS=MR","SCALING_FORMAT=MLN","Sort=A","Dates=H","DateFormat=P","Fill=—","Direction=H","UseDPDF=Y")</f>
        <v>10.247999999999999</v>
      </c>
      <c r="J67" s="13">
        <f>_xll.BDH("SRPT US Equity","OTHER_NONCURRENT_LIABS_DETAILED","FQ3 2020","FQ3 2020","Currency=USD","Period=FQ","BEST_FPERIOD_OVERRIDE=FQ","FILING_STATUS=MR","SCALING_FORMAT=MLN","Sort=A","Dates=H","DateFormat=P","Fill=—","Direction=H","UseDPDF=Y")</f>
        <v>55.548000000000002</v>
      </c>
      <c r="K67" s="13">
        <f>_xll.BDH("SRPT US Equity","OTHER_NONCURRENT_LIABS_DETAILED","FQ4 2020","FQ4 2020","Currency=USD","Period=FQ","BEST_FPERIOD_OVERRIDE=FQ","FILING_STATUS=MR","SCALING_FORMAT=MLN","Sort=A","Dates=H","DateFormat=P","Fill=—","Direction=H","UseDPDF=Y")</f>
        <v>70.584999999999994</v>
      </c>
      <c r="L67" s="13">
        <f>_xll.BDH("SRPT US Equity","OTHER_NONCURRENT_LIABS_DETAILED","FQ1 2021","FQ1 2021","Currency=USD","Period=FQ","BEST_FPERIOD_OVERRIDE=FQ","FILING_STATUS=MR","SCALING_FORMAT=MLN","Sort=A","Dates=H","DateFormat=P","Fill=—","Direction=H","UseDPDF=Y")</f>
        <v>71.784000000000006</v>
      </c>
      <c r="M67" s="13">
        <f>_xll.BDH("SRPT US Equity","OTHER_NONCURRENT_LIABS_DETAILED","FQ2 2021","FQ2 2021","Currency=USD","Period=FQ","BEST_FPERIOD_OVERRIDE=FQ","FILING_STATUS=MR","SCALING_FORMAT=MLN","Sort=A","Dates=H","DateFormat=P","Fill=—","Direction=H","UseDPDF=Y")</f>
        <v>71.44</v>
      </c>
      <c r="N67" s="13">
        <f>_xll.BDH("SRPT US Equity","OTHER_NONCURRENT_LIABS_DETAILED","FQ3 2021","FQ3 2021","Currency=USD","Period=FQ","BEST_FPERIOD_OVERRIDE=FQ","FILING_STATUS=MR","SCALING_FORMAT=MLN","Sort=A","Dates=H","DateFormat=P","Fill=—","Direction=H","UseDPDF=Y")</f>
        <v>64.168999999999997</v>
      </c>
      <c r="O67" s="13">
        <f>_xll.BDH("SRPT US Equity","OTHER_NONCURRENT_LIABS_DETAILED","FQ4 2021","FQ4 2021","Currency=USD","Period=FQ","BEST_FPERIOD_OVERRIDE=FQ","FILING_STATUS=MR","SCALING_FORMAT=MLN","Sort=A","Dates=H","DateFormat=P","Fill=—","Direction=H","UseDPDF=Y")</f>
        <v>54.6</v>
      </c>
      <c r="P67" s="13">
        <f>_xll.BDH("SRPT US Equity","OTHER_NONCURRENT_LIABS_DETAILED","FQ1 2022","FQ1 2022","Currency=USD","Period=FQ","BEST_FPERIOD_OVERRIDE=FQ","FILING_STATUS=MR","SCALING_FORMAT=MLN","Sort=A","Dates=H","DateFormat=P","Fill=—","Direction=H","UseDPDF=Y")</f>
        <v>54.6</v>
      </c>
      <c r="Q67" s="13">
        <f>_xll.BDH("SRPT US Equity","OTHER_NONCURRENT_LIABS_DETAILED","FQ2 2022","FQ2 2022","Currency=USD","Period=FQ","BEST_FPERIOD_OVERRIDE=FQ","FILING_STATUS=MR","SCALING_FORMAT=MLN","Sort=A","Dates=H","DateFormat=P","Fill=—","Direction=H","UseDPDF=Y")</f>
        <v>54.6</v>
      </c>
      <c r="R67" s="13">
        <f>_xll.BDH("SRPT US Equity","OTHER_NONCURRENT_LIABS_DETAILED","FQ3 2022","FQ3 2022","Currency=USD","Period=FQ","BEST_FPERIOD_OVERRIDE=FQ","FILING_STATUS=MR","SCALING_FORMAT=MLN","Sort=A","Dates=H","DateFormat=P","Fill=—","Direction=H","UseDPDF=Y")</f>
        <v>36.9</v>
      </c>
      <c r="S67" s="13">
        <f>_xll.BDH("SRPT US Equity","OTHER_NONCURRENT_LIABS_DETAILED","FQ4 2022","FQ4 2022","Currency=USD","Period=FQ","BEST_FPERIOD_OVERRIDE=FQ","FILING_STATUS=MR","SCALING_FORMAT=MLN","Sort=A","Dates=H","DateFormat=P","Fill=—","Direction=H","UseDPDF=Y")</f>
        <v>36.942</v>
      </c>
      <c r="T67" s="13">
        <f>_xll.BDH("SRPT US Equity","OTHER_NONCURRENT_LIABS_DETAILED","FQ1 2023","FQ1 2023","Currency=USD","Period=FQ","BEST_FPERIOD_OVERRIDE=FQ","FILING_STATUS=MR","SCALING_FORMAT=MLN","Sort=A","Dates=H","DateFormat=P","Fill=—","Direction=H","UseDPDF=Y")</f>
        <v>36.938000000000002</v>
      </c>
      <c r="U67" s="13">
        <f>_xll.BDH("SRPT US Equity","OTHER_NONCURRENT_LIABS_DETAILED","FQ2 2023","FQ2 2023","Currency=USD","Period=FQ","BEST_FPERIOD_OVERRIDE=FQ","FILING_STATUS=MR","SCALING_FORMAT=MLN","Sort=A","Dates=H","DateFormat=P","Fill=—","Direction=H","UseDPDF=Y")</f>
        <v>36.137999999999998</v>
      </c>
      <c r="V67" s="13">
        <f>_xll.BDH("SRPT US Equity","OTHER_NONCURRENT_LIABS_DETAILED","FQ3 2023","FQ3 2023","Currency=USD","Period=FQ","BEST_FPERIOD_OVERRIDE=FQ","FILING_STATUS=MR","SCALING_FORMAT=MLN","Sort=A","Dates=H","DateFormat=P","Fill=—","Direction=H","UseDPDF=Y")</f>
        <v>38.1</v>
      </c>
      <c r="W67" s="13">
        <f>_xll.BDH("SRPT US Equity","OTHER_NONCURRENT_LIABS_DETAILED","FQ4 2023","FQ4 2023","Currency=USD","Period=FQ","BEST_FPERIOD_OVERRIDE=FQ","FILING_STATUS=MR","SCALING_FORMAT=MLN","Sort=A","Dates=H","DateFormat=P","Fill=—","Direction=H","UseDPDF=Y")</f>
        <v>41.1</v>
      </c>
      <c r="X67" s="13">
        <f>_xll.BDH("SRPT US Equity","OTHER_NONCURRENT_LIABS_DETAILED","FQ1 2024","FQ1 2024","Currency=USD","Period=FQ","BEST_FPERIOD_OVERRIDE=FQ","FILING_STATUS=MR","SCALING_FORMAT=MLN","Sort=A","Dates=H","DateFormat=P","Fill=—","Direction=H","UseDPDF=Y")</f>
        <v>55.722000000000001</v>
      </c>
      <c r="Y67" s="13">
        <f>_xll.BDH("SRPT US Equity","OTHER_NONCURRENT_LIABS_DETAILED","FQ2 2024","FQ2 2024","Currency=USD","Period=FQ","BEST_FPERIOD_OVERRIDE=FQ","FILING_STATUS=MR","SCALING_FORMAT=MLN","Sort=A","Dates=H","DateFormat=P","Fill=—","Direction=H","UseDPDF=Y")</f>
        <v>55.286999999999999</v>
      </c>
      <c r="Z67" s="13">
        <f>_xll.BDH("SRPT US Equity","OTHER_NONCURRENT_LIABS_DETAILED","FQ3 2024","FQ3 2024","Currency=USD","Period=FQ","BEST_FPERIOD_OVERRIDE=FQ","FILING_STATUS=MR","SCALING_FORMAT=MLN","Sort=A","Dates=H","DateFormat=P","Fill=—","Direction=H","UseDPDF=Y")</f>
        <v>48.4</v>
      </c>
      <c r="AA67" s="13">
        <f>_xll.BDH("SRPT US Equity","OTHER_NONCURRENT_LIABS_DETAILED","FQ4 2024","FQ4 2024","Currency=USD","Period=FQ","BEST_FPERIOD_OVERRIDE=FQ","FILING_STATUS=MR","SCALING_FORMAT=MLN","Sort=A","Dates=H","DateFormat=P","Fill=—","Direction=H","UseDPDF=Y")</f>
        <v>49.15</v>
      </c>
    </row>
    <row r="68" spans="1:27" x14ac:dyDescent="0.25">
      <c r="A68" s="6" t="s">
        <v>801</v>
      </c>
      <c r="B68" s="6" t="s">
        <v>802</v>
      </c>
      <c r="C68" s="19">
        <f>_xll.BDH("SRPT US Equity","NON_CUR_LIAB","FQ4 2018","FQ4 2018","Currency=USD","Period=FQ","BEST_FPERIOD_OVERRIDE=FQ","FILING_STATUS=MR","SCALING_FORMAT=MLN","Sort=A","Dates=H","DateFormat=P","Fill=—","Direction=H","UseDPDF=Y")</f>
        <v>436.10899999999998</v>
      </c>
      <c r="D68" s="19">
        <f>_xll.BDH("SRPT US Equity","NON_CUR_LIAB","FQ1 2019","FQ1 2019","Currency=USD","Period=FQ","BEST_FPERIOD_OVERRIDE=FQ","FILING_STATUS=MR","SCALING_FORMAT=MLN","Sort=A","Dates=H","DateFormat=P","Fill=—","Direction=H","UseDPDF=Y")</f>
        <v>477.96499999999997</v>
      </c>
      <c r="E68" s="19">
        <f>_xll.BDH("SRPT US Equity","NON_CUR_LIAB","FQ2 2019","FQ2 2019","Currency=USD","Period=FQ","BEST_FPERIOD_OVERRIDE=FQ","FILING_STATUS=MR","SCALING_FORMAT=MLN","Sort=A","Dates=H","DateFormat=P","Fill=—","Direction=H","UseDPDF=Y")</f>
        <v>486.49700000000001</v>
      </c>
      <c r="F68" s="19">
        <f>_xll.BDH("SRPT US Equity","NON_CUR_LIAB","FQ3 2019","FQ3 2019","Currency=USD","Period=FQ","BEST_FPERIOD_OVERRIDE=FQ","FILING_STATUS=MR","SCALING_FORMAT=MLN","Sort=A","Dates=H","DateFormat=P","Fill=—","Direction=H","UseDPDF=Y")</f>
        <v>491.41</v>
      </c>
      <c r="G68" s="19">
        <f>_xll.BDH("SRPT US Equity","NON_CUR_LIAB","FQ4 2019","FQ4 2019","Currency=USD","Period=FQ","BEST_FPERIOD_OVERRIDE=FQ","FILING_STATUS=MR","SCALING_FORMAT=MLN","Sort=A","Dates=H","DateFormat=P","Fill=—","Direction=H","UseDPDF=Y")</f>
        <v>739.86800000000005</v>
      </c>
      <c r="H68" s="19">
        <f>_xll.BDH("SRPT US Equity","NON_CUR_LIAB","FQ1 2020","FQ1 2020","Currency=USD","Period=FQ","BEST_FPERIOD_OVERRIDE=FQ","FILING_STATUS=MR","SCALING_FORMAT=MLN","Sort=A","Dates=H","DateFormat=P","Fill=—","Direction=H","UseDPDF=Y")</f>
        <v>1496.1310000000001</v>
      </c>
      <c r="I68" s="19">
        <f>_xll.BDH("SRPT US Equity","NON_CUR_LIAB","FQ2 2020","FQ2 2020","Currency=USD","Period=FQ","BEST_FPERIOD_OVERRIDE=FQ","FILING_STATUS=MR","SCALING_FORMAT=MLN","Sort=A","Dates=H","DateFormat=P","Fill=—","Direction=H","UseDPDF=Y")</f>
        <v>1485.2809999999999</v>
      </c>
      <c r="J68" s="19">
        <f>_xll.BDH("SRPT US Equity","NON_CUR_LIAB","FQ3 2020","FQ3 2020","Currency=USD","Period=FQ","BEST_FPERIOD_OVERRIDE=FQ","FILING_STATUS=MR","SCALING_FORMAT=MLN","Sort=A","Dates=H","DateFormat=P","Fill=—","Direction=H","UseDPDF=Y")</f>
        <v>1510.229</v>
      </c>
      <c r="K68" s="19">
        <f>_xll.BDH("SRPT US Equity","NON_CUR_LIAB","FQ4 2020","FQ4 2020","Currency=USD","Period=FQ","BEST_FPERIOD_OVERRIDE=FQ","FILING_STATUS=MR","SCALING_FORMAT=MLN","Sort=A","Dates=H","DateFormat=P","Fill=—","Direction=H","UseDPDF=Y")</f>
        <v>1806.933</v>
      </c>
      <c r="L68" s="19">
        <f>_xll.BDH("SRPT US Equity","NON_CUR_LIAB","FQ1 2021","FQ1 2021","Currency=USD","Period=FQ","BEST_FPERIOD_OVERRIDE=FQ","FILING_STATUS=MR","SCALING_FORMAT=MLN","Sort=A","Dates=H","DateFormat=P","Fill=—","Direction=H","UseDPDF=Y")</f>
        <v>1865.0519999999999</v>
      </c>
      <c r="M68" s="19">
        <f>_xll.BDH("SRPT US Equity","NON_CUR_LIAB","FQ2 2021","FQ2 2021","Currency=USD","Period=FQ","BEST_FPERIOD_OVERRIDE=FQ","FILING_STATUS=MR","SCALING_FORMAT=MLN","Sort=A","Dates=H","DateFormat=P","Fill=—","Direction=H","UseDPDF=Y")</f>
        <v>1848.943</v>
      </c>
      <c r="N68" s="19">
        <f>_xll.BDH("SRPT US Equity","NON_CUR_LIAB","FQ3 2021","FQ3 2021","Currency=USD","Period=FQ","BEST_FPERIOD_OVERRIDE=FQ","FILING_STATUS=MR","SCALING_FORMAT=MLN","Sort=A","Dates=H","DateFormat=P","Fill=—","Direction=H","UseDPDF=Y")</f>
        <v>1819.2470000000001</v>
      </c>
      <c r="O68" s="19">
        <f>_xll.BDH("SRPT US Equity","NON_CUR_LIAB","FQ4 2021","FQ4 2021","Currency=USD","Period=FQ","BEST_FPERIOD_OVERRIDE=FQ","FILING_STATUS=MR","SCALING_FORMAT=MLN","Sort=A","Dates=H","DateFormat=P","Fill=—","Direction=H","UseDPDF=Y")</f>
        <v>1767.232</v>
      </c>
      <c r="P68" s="19">
        <f>_xll.BDH("SRPT US Equity","NON_CUR_LIAB","FQ1 2022","FQ1 2022","Currency=USD","Period=FQ","BEST_FPERIOD_OVERRIDE=FQ","FILING_STATUS=MR","SCALING_FORMAT=MLN","Sort=A","Dates=H","DateFormat=P","Fill=—","Direction=H","UseDPDF=Y")</f>
        <v>1744.306</v>
      </c>
      <c r="Q68" s="19">
        <f>_xll.BDH("SRPT US Equity","NON_CUR_LIAB","FQ2 2022","FQ2 2022","Currency=USD","Period=FQ","BEST_FPERIOD_OVERRIDE=FQ","FILING_STATUS=MR","SCALING_FORMAT=MLN","Sort=A","Dates=H","DateFormat=P","Fill=—","Direction=H","UseDPDF=Y")</f>
        <v>1724.83</v>
      </c>
      <c r="R68" s="19">
        <f>_xll.BDH("SRPT US Equity","NON_CUR_LIAB","FQ3 2022","FQ3 2022","Currency=USD","Period=FQ","BEST_FPERIOD_OVERRIDE=FQ","FILING_STATUS=MR","SCALING_FORMAT=MLN","Sort=A","Dates=H","DateFormat=P","Fill=—","Direction=H","UseDPDF=Y")</f>
        <v>2122.393</v>
      </c>
      <c r="S68" s="19">
        <f>_xll.BDH("SRPT US Equity","NON_CUR_LIAB","FQ4 2022","FQ4 2022","Currency=USD","Period=FQ","BEST_FPERIOD_OVERRIDE=FQ","FILING_STATUS=MR","SCALING_FORMAT=MLN","Sort=A","Dates=H","DateFormat=P","Fill=—","Direction=H","UseDPDF=Y")</f>
        <v>2123.8119999999999</v>
      </c>
      <c r="T68" s="19">
        <f>_xll.BDH("SRPT US Equity","NON_CUR_LIAB","FQ1 2023","FQ1 2023","Currency=USD","Period=FQ","BEST_FPERIOD_OVERRIDE=FQ","FILING_STATUS=MR","SCALING_FORMAT=MLN","Sort=A","Dates=H","DateFormat=P","Fill=—","Direction=H","UseDPDF=Y")</f>
        <v>1810.153</v>
      </c>
      <c r="U68" s="19">
        <f>_xll.BDH("SRPT US Equity","NON_CUR_LIAB","FQ2 2023","FQ2 2023","Currency=USD","Period=FQ","BEST_FPERIOD_OVERRIDE=FQ","FILING_STATUS=MR","SCALING_FORMAT=MLN","Sort=A","Dates=H","DateFormat=P","Fill=—","Direction=H","UseDPDF=Y")</f>
        <v>1885.825</v>
      </c>
      <c r="V68" s="19">
        <f>_xll.BDH("SRPT US Equity","NON_CUR_LIAB","FQ3 2023","FQ3 2023","Currency=USD","Period=FQ","BEST_FPERIOD_OVERRIDE=FQ","FILING_STATUS=MR","SCALING_FORMAT=MLN","Sort=A","Dates=H","DateFormat=P","Fill=—","Direction=H","UseDPDF=Y")</f>
        <v>1894.607</v>
      </c>
      <c r="W68" s="19">
        <f>_xll.BDH("SRPT US Equity","NON_CUR_LIAB","FQ4 2023","FQ4 2023","Currency=USD","Period=FQ","BEST_FPERIOD_OVERRIDE=FQ","FILING_STATUS=MR","SCALING_FORMAT=MLN","Sort=A","Dates=H","DateFormat=P","Fill=—","Direction=H","UseDPDF=Y")</f>
        <v>1751.58</v>
      </c>
      <c r="X68" s="19">
        <f>_xll.BDH("SRPT US Equity","NON_CUR_LIAB","FQ1 2024","FQ1 2024","Currency=USD","Period=FQ","BEST_FPERIOD_OVERRIDE=FQ","FILING_STATUS=MR","SCALING_FORMAT=MLN","Sort=A","Dates=H","DateFormat=P","Fill=—","Direction=H","UseDPDF=Y")</f>
        <v>1654.4839999999999</v>
      </c>
      <c r="Y68" s="19">
        <f>_xll.BDH("SRPT US Equity","NON_CUR_LIAB","FQ2 2024","FQ2 2024","Currency=USD","Period=FQ","BEST_FPERIOD_OVERRIDE=FQ","FILING_STATUS=MR","SCALING_FORMAT=MLN","Sort=A","Dates=H","DateFormat=P","Fill=—","Direction=H","UseDPDF=Y")</f>
        <v>1658.6980000000001</v>
      </c>
      <c r="Z68" s="19">
        <f>_xll.BDH("SRPT US Equity","NON_CUR_LIAB","FQ3 2024","FQ3 2024","Currency=USD","Period=FQ","BEST_FPERIOD_OVERRIDE=FQ","FILING_STATUS=MR","SCALING_FORMAT=MLN","Sort=A","Dates=H","DateFormat=P","Fill=—","Direction=H","UseDPDF=Y")</f>
        <v>1679.374</v>
      </c>
      <c r="AA68" s="19">
        <f>_xll.BDH("SRPT US Equity","NON_CUR_LIAB","FQ4 2024","FQ4 2024","Currency=USD","Period=FQ","BEST_FPERIOD_OVERRIDE=FQ","FILING_STATUS=MR","SCALING_FORMAT=MLN","Sort=A","Dates=H","DateFormat=P","Fill=—","Direction=H","UseDPDF=Y")</f>
        <v>1703.7470000000001</v>
      </c>
    </row>
    <row r="69" spans="1:27" x14ac:dyDescent="0.25">
      <c r="A69" s="6" t="s">
        <v>116</v>
      </c>
      <c r="B69" s="6" t="s">
        <v>117</v>
      </c>
      <c r="C69" s="19">
        <f>_xll.BDH("SRPT US Equity","BS_TOT_LIAB2","FQ4 2018","FQ4 2018","Currency=USD","Period=FQ","BEST_FPERIOD_OVERRIDE=FQ","FILING_STATUS=MR","SCALING_FORMAT=MLN","Sort=A","Dates=H","DateFormat=P","Fill=—","Direction=H","UseDPDF=Y")</f>
        <v>609.79899999999998</v>
      </c>
      <c r="D69" s="19">
        <f>_xll.BDH("SRPT US Equity","BS_TOT_LIAB2","FQ1 2019","FQ1 2019","Currency=USD","Period=FQ","BEST_FPERIOD_OVERRIDE=FQ","FILING_STATUS=MR","SCALING_FORMAT=MLN","Sort=A","Dates=H","DateFormat=P","Fill=—","Direction=H","UseDPDF=Y")</f>
        <v>615.33100000000002</v>
      </c>
      <c r="E69" s="19">
        <f>_xll.BDH("SRPT US Equity","BS_TOT_LIAB2","FQ2 2019","FQ2 2019","Currency=USD","Period=FQ","BEST_FPERIOD_OVERRIDE=FQ","FILING_STATUS=MR","SCALING_FORMAT=MLN","Sort=A","Dates=H","DateFormat=P","Fill=—","Direction=H","UseDPDF=Y")</f>
        <v>648.58600000000001</v>
      </c>
      <c r="F69" s="19">
        <f>_xll.BDH("SRPT US Equity","BS_TOT_LIAB2","FQ3 2019","FQ3 2019","Currency=USD","Period=FQ","BEST_FPERIOD_OVERRIDE=FQ","FILING_STATUS=MR","SCALING_FORMAT=MLN","Sort=A","Dates=H","DateFormat=P","Fill=—","Direction=H","UseDPDF=Y")</f>
        <v>707.26599999999996</v>
      </c>
      <c r="G69" s="19">
        <f>_xll.BDH("SRPT US Equity","BS_TOT_LIAB2","FQ4 2019","FQ4 2019","Currency=USD","Period=FQ","BEST_FPERIOD_OVERRIDE=FQ","FILING_STATUS=MR","SCALING_FORMAT=MLN","Sort=A","Dates=H","DateFormat=P","Fill=—","Direction=H","UseDPDF=Y")</f>
        <v>1004.635</v>
      </c>
      <c r="H69" s="19">
        <f>_xll.BDH("SRPT US Equity","BS_TOT_LIAB2","FQ1 2020","FQ1 2020","Currency=USD","Period=FQ","BEST_FPERIOD_OVERRIDE=FQ","FILING_STATUS=MR","SCALING_FORMAT=MLN","Sort=A","Dates=H","DateFormat=P","Fill=—","Direction=H","UseDPDF=Y")</f>
        <v>1802.56</v>
      </c>
      <c r="I69" s="19">
        <f>_xll.BDH("SRPT US Equity","BS_TOT_LIAB2","FQ2 2020","FQ2 2020","Currency=USD","Period=FQ","BEST_FPERIOD_OVERRIDE=FQ","FILING_STATUS=MR","SCALING_FORMAT=MLN","Sort=A","Dates=H","DateFormat=P","Fill=—","Direction=H","UseDPDF=Y")</f>
        <v>1840.1769999999999</v>
      </c>
      <c r="J69" s="19">
        <f>_xll.BDH("SRPT US Equity","BS_TOT_LIAB2","FQ3 2020","FQ3 2020","Currency=USD","Period=FQ","BEST_FPERIOD_OVERRIDE=FQ","FILING_STATUS=MR","SCALING_FORMAT=MLN","Sort=A","Dates=H","DateFormat=P","Fill=—","Direction=H","UseDPDF=Y")</f>
        <v>1888.617</v>
      </c>
      <c r="K69" s="19">
        <f>_xll.BDH("SRPT US Equity","BS_TOT_LIAB2","FQ4 2020","FQ4 2020","Currency=USD","Period=FQ","BEST_FPERIOD_OVERRIDE=FQ","FILING_STATUS=MR","SCALING_FORMAT=MLN","Sort=A","Dates=H","DateFormat=P","Fill=—","Direction=H","UseDPDF=Y")</f>
        <v>2222.9589999999998</v>
      </c>
      <c r="L69" s="19">
        <f>_xll.BDH("SRPT US Equity","BS_TOT_LIAB2","FQ1 2021","FQ1 2021","Currency=USD","Period=FQ","BEST_FPERIOD_OVERRIDE=FQ","FILING_STATUS=MR","SCALING_FORMAT=MLN","Sort=A","Dates=H","DateFormat=P","Fill=—","Direction=H","UseDPDF=Y")</f>
        <v>2229.788</v>
      </c>
      <c r="M69" s="19">
        <f>_xll.BDH("SRPT US Equity","BS_TOT_LIAB2","FQ2 2021","FQ2 2021","Currency=USD","Period=FQ","BEST_FPERIOD_OVERRIDE=FQ","FILING_STATUS=MR","SCALING_FORMAT=MLN","Sort=A","Dates=H","DateFormat=P","Fill=—","Direction=H","UseDPDF=Y")</f>
        <v>2273.9650000000001</v>
      </c>
      <c r="N69" s="19">
        <f>_xll.BDH("SRPT US Equity","BS_TOT_LIAB2","FQ3 2021","FQ3 2021","Currency=USD","Period=FQ","BEST_FPERIOD_OVERRIDE=FQ","FILING_STATUS=MR","SCALING_FORMAT=MLN","Sort=A","Dates=H","DateFormat=P","Fill=—","Direction=H","UseDPDF=Y")</f>
        <v>2192.69</v>
      </c>
      <c r="O69" s="19">
        <f>_xll.BDH("SRPT US Equity","BS_TOT_LIAB2","FQ4 2021","FQ4 2021","Currency=USD","Period=FQ","BEST_FPERIOD_OVERRIDE=FQ","FILING_STATUS=MR","SCALING_FORMAT=MLN","Sort=A","Dates=H","DateFormat=P","Fill=—","Direction=H","UseDPDF=Y")</f>
        <v>2219.9650000000001</v>
      </c>
      <c r="P69" s="19">
        <f>_xll.BDH("SRPT US Equity","BS_TOT_LIAB2","FQ1 2022","FQ1 2022","Currency=USD","Period=FQ","BEST_FPERIOD_OVERRIDE=FQ","FILING_STATUS=MR","SCALING_FORMAT=MLN","Sort=A","Dates=H","DateFormat=P","Fill=—","Direction=H","UseDPDF=Y")</f>
        <v>2199.268</v>
      </c>
      <c r="Q69" s="19">
        <f>_xll.BDH("SRPT US Equity","BS_TOT_LIAB2","FQ2 2022","FQ2 2022","Currency=USD","Period=FQ","BEST_FPERIOD_OVERRIDE=FQ","FILING_STATUS=MR","SCALING_FORMAT=MLN","Sort=A","Dates=H","DateFormat=P","Fill=—","Direction=H","UseDPDF=Y")</f>
        <v>2270.3960000000002</v>
      </c>
      <c r="R69" s="19">
        <f>_xll.BDH("SRPT US Equity","BS_TOT_LIAB2","FQ3 2022","FQ3 2022","Currency=USD","Period=FQ","BEST_FPERIOD_OVERRIDE=FQ","FILING_STATUS=MR","SCALING_FORMAT=MLN","Sort=A","Dates=H","DateFormat=P","Fill=—","Direction=H","UseDPDF=Y")</f>
        <v>2725.3090000000002</v>
      </c>
      <c r="S69" s="19">
        <f>_xll.BDH("SRPT US Equity","BS_TOT_LIAB2","FQ4 2022","FQ4 2022","Currency=USD","Period=FQ","BEST_FPERIOD_OVERRIDE=FQ","FILING_STATUS=MR","SCALING_FORMAT=MLN","Sort=A","Dates=H","DateFormat=P","Fill=—","Direction=H","UseDPDF=Y")</f>
        <v>2743.4160000000002</v>
      </c>
      <c r="T69" s="19">
        <f>_xll.BDH("SRPT US Equity","BS_TOT_LIAB2","FQ1 2023","FQ1 2023","Currency=USD","Period=FQ","BEST_FPERIOD_OVERRIDE=FQ","FILING_STATUS=MR","SCALING_FORMAT=MLN","Sort=A","Dates=H","DateFormat=P","Fill=—","Direction=H","UseDPDF=Y")</f>
        <v>2347.0369999999998</v>
      </c>
      <c r="U69" s="19">
        <f>_xll.BDH("SRPT US Equity","BS_TOT_LIAB2","FQ2 2023","FQ2 2023","Currency=USD","Period=FQ","BEST_FPERIOD_OVERRIDE=FQ","FILING_STATUS=MR","SCALING_FORMAT=MLN","Sort=A","Dates=H","DateFormat=P","Fill=—","Direction=H","UseDPDF=Y")</f>
        <v>2384.4789999999998</v>
      </c>
      <c r="V69" s="19">
        <f>_xll.BDH("SRPT US Equity","BS_TOT_LIAB2","FQ3 2023","FQ3 2023","Currency=USD","Period=FQ","BEST_FPERIOD_OVERRIDE=FQ","FILING_STATUS=MR","SCALING_FORMAT=MLN","Sort=A","Dates=H","DateFormat=P","Fill=—","Direction=H","UseDPDF=Y")</f>
        <v>2345.35</v>
      </c>
      <c r="W69" s="19">
        <f>_xll.BDH("SRPT US Equity","BS_TOT_LIAB2","FQ4 2023","FQ4 2023","Currency=USD","Period=FQ","BEST_FPERIOD_OVERRIDE=FQ","FILING_STATUS=MR","SCALING_FORMAT=MLN","Sort=A","Dates=H","DateFormat=P","Fill=—","Direction=H","UseDPDF=Y")</f>
        <v>2405.239</v>
      </c>
      <c r="X69" s="19">
        <f>_xll.BDH("SRPT US Equity","BS_TOT_LIAB2","FQ1 2024","FQ1 2024","Currency=USD","Period=FQ","BEST_FPERIOD_OVERRIDE=FQ","FILING_STATUS=MR","SCALING_FORMAT=MLN","Sort=A","Dates=H","DateFormat=P","Fill=—","Direction=H","UseDPDF=Y")</f>
        <v>2263.1930000000002</v>
      </c>
      <c r="Y69" s="19">
        <f>_xll.BDH("SRPT US Equity","BS_TOT_LIAB2","FQ2 2024","FQ2 2024","Currency=USD","Period=FQ","BEST_FPERIOD_OVERRIDE=FQ","FILING_STATUS=MR","SCALING_FORMAT=MLN","Sort=A","Dates=H","DateFormat=P","Fill=—","Direction=H","UseDPDF=Y")</f>
        <v>2347.1880000000001</v>
      </c>
      <c r="Z69" s="19">
        <f>_xll.BDH("SRPT US Equity","BS_TOT_LIAB2","FQ3 2024","FQ3 2024","Currency=USD","Period=FQ","BEST_FPERIOD_OVERRIDE=FQ","FILING_STATUS=MR","SCALING_FORMAT=MLN","Sort=A","Dates=H","DateFormat=P","Fill=—","Direction=H","UseDPDF=Y")</f>
        <v>2378.8629999999998</v>
      </c>
      <c r="AA69" s="19">
        <f>_xll.BDH("SRPT US Equity","BS_TOT_LIAB2","FQ4 2024","FQ4 2024","Currency=USD","Period=FQ","BEST_FPERIOD_OVERRIDE=FQ","FILING_STATUS=MR","SCALING_FORMAT=MLN","Sort=A","Dates=H","DateFormat=P","Fill=—","Direction=H","UseDPDF=Y")</f>
        <v>2435.431</v>
      </c>
    </row>
    <row r="70" spans="1:27" x14ac:dyDescent="0.25">
      <c r="A70" s="10" t="s">
        <v>803</v>
      </c>
      <c r="B70" s="10" t="s">
        <v>168</v>
      </c>
      <c r="C70" s="13">
        <f>_xll.BDH("SRPT US Equity","PFD_EQTY_HYBRID_CAPITAL","FQ4 2018","FQ4 2018","Currency=USD","Period=FQ","BEST_FPERIOD_OVERRIDE=FQ","FILING_STATUS=MR","SCALING_FORMAT=MLN","Sort=A","Dates=H","DateFormat=P","Fill=—","Direction=H","UseDPDF=Y")</f>
        <v>0</v>
      </c>
      <c r="D70" s="13">
        <f>_xll.BDH("SRPT US Equity","PFD_EQTY_HYBRID_CAPITAL","FQ1 2019","FQ1 2019","Currency=USD","Period=FQ","BEST_FPERIOD_OVERRIDE=FQ","FILING_STATUS=MR","SCALING_FORMAT=MLN","Sort=A","Dates=H","DateFormat=P","Fill=—","Direction=H","UseDPDF=Y")</f>
        <v>0</v>
      </c>
      <c r="E70" s="13">
        <f>_xll.BDH("SRPT US Equity","PFD_EQTY_HYBRID_CAPITAL","FQ2 2019","FQ2 2019","Currency=USD","Period=FQ","BEST_FPERIOD_OVERRIDE=FQ","FILING_STATUS=MR","SCALING_FORMAT=MLN","Sort=A","Dates=H","DateFormat=P","Fill=—","Direction=H","UseDPDF=Y")</f>
        <v>0</v>
      </c>
      <c r="F70" s="13">
        <f>_xll.BDH("SRPT US Equity","PFD_EQTY_HYBRID_CAPITAL","FQ3 2019","FQ3 2019","Currency=USD","Period=FQ","BEST_FPERIOD_OVERRIDE=FQ","FILING_STATUS=MR","SCALING_FORMAT=MLN","Sort=A","Dates=H","DateFormat=P","Fill=—","Direction=H","UseDPDF=Y")</f>
        <v>0</v>
      </c>
      <c r="G70" s="13">
        <f>_xll.BDH("SRPT US Equity","PFD_EQTY_HYBRID_CAPITAL","FQ4 2019","FQ4 2019","Currency=USD","Period=FQ","BEST_FPERIOD_OVERRIDE=FQ","FILING_STATUS=MR","SCALING_FORMAT=MLN","Sort=A","Dates=H","DateFormat=P","Fill=—","Direction=H","UseDPDF=Y")</f>
        <v>0</v>
      </c>
      <c r="H70" s="13">
        <f>_xll.BDH("SRPT US Equity","PFD_EQTY_HYBRID_CAPITAL","FQ1 2020","FQ1 2020","Currency=USD","Period=FQ","BEST_FPERIOD_OVERRIDE=FQ","FILING_STATUS=MR","SCALING_FORMAT=MLN","Sort=A","Dates=H","DateFormat=P","Fill=—","Direction=H","UseDPDF=Y")</f>
        <v>0</v>
      </c>
      <c r="I70" s="13">
        <f>_xll.BDH("SRPT US Equity","PFD_EQTY_HYBRID_CAPITAL","FQ2 2020","FQ2 2020","Currency=USD","Period=FQ","BEST_FPERIOD_OVERRIDE=FQ","FILING_STATUS=MR","SCALING_FORMAT=MLN","Sort=A","Dates=H","DateFormat=P","Fill=—","Direction=H","UseDPDF=Y")</f>
        <v>0</v>
      </c>
      <c r="J70" s="13">
        <f>_xll.BDH("SRPT US Equity","PFD_EQTY_HYBRID_CAPITAL","FQ3 2020","FQ3 2020","Currency=USD","Period=FQ","BEST_FPERIOD_OVERRIDE=FQ","FILING_STATUS=MR","SCALING_FORMAT=MLN","Sort=A","Dates=H","DateFormat=P","Fill=—","Direction=H","UseDPDF=Y")</f>
        <v>0</v>
      </c>
      <c r="K70" s="13">
        <f>_xll.BDH("SRPT US Equity","PFD_EQTY_HYBRID_CAPITAL","FQ4 2020","FQ4 2020","Currency=USD","Period=FQ","BEST_FPERIOD_OVERRIDE=FQ","FILING_STATUS=MR","SCALING_FORMAT=MLN","Sort=A","Dates=H","DateFormat=P","Fill=—","Direction=H","UseDPDF=Y")</f>
        <v>0</v>
      </c>
      <c r="L70" s="13">
        <f>_xll.BDH("SRPT US Equity","PFD_EQTY_HYBRID_CAPITAL","FQ1 2021","FQ1 2021","Currency=USD","Period=FQ","BEST_FPERIOD_OVERRIDE=FQ","FILING_STATUS=MR","SCALING_FORMAT=MLN","Sort=A","Dates=H","DateFormat=P","Fill=—","Direction=H","UseDPDF=Y")</f>
        <v>0</v>
      </c>
      <c r="M70" s="13">
        <f>_xll.BDH("SRPT US Equity","PFD_EQTY_HYBRID_CAPITAL","FQ2 2021","FQ2 2021","Currency=USD","Period=FQ","BEST_FPERIOD_OVERRIDE=FQ","FILING_STATUS=MR","SCALING_FORMAT=MLN","Sort=A","Dates=H","DateFormat=P","Fill=—","Direction=H","UseDPDF=Y")</f>
        <v>0</v>
      </c>
      <c r="N70" s="13">
        <f>_xll.BDH("SRPT US Equity","PFD_EQTY_HYBRID_CAPITAL","FQ3 2021","FQ3 2021","Currency=USD","Period=FQ","BEST_FPERIOD_OVERRIDE=FQ","FILING_STATUS=MR","SCALING_FORMAT=MLN","Sort=A","Dates=H","DateFormat=P","Fill=—","Direction=H","UseDPDF=Y")</f>
        <v>0</v>
      </c>
      <c r="O70" s="13">
        <f>_xll.BDH("SRPT US Equity","PFD_EQTY_HYBRID_CAPITAL","FQ4 2021","FQ4 2021","Currency=USD","Period=FQ","BEST_FPERIOD_OVERRIDE=FQ","FILING_STATUS=MR","SCALING_FORMAT=MLN","Sort=A","Dates=H","DateFormat=P","Fill=—","Direction=H","UseDPDF=Y")</f>
        <v>0</v>
      </c>
      <c r="P70" s="13">
        <f>_xll.BDH("SRPT US Equity","PFD_EQTY_HYBRID_CAPITAL","FQ1 2022","FQ1 2022","Currency=USD","Period=FQ","BEST_FPERIOD_OVERRIDE=FQ","FILING_STATUS=MR","SCALING_FORMAT=MLN","Sort=A","Dates=H","DateFormat=P","Fill=—","Direction=H","UseDPDF=Y")</f>
        <v>0</v>
      </c>
      <c r="Q70" s="13">
        <f>_xll.BDH("SRPT US Equity","PFD_EQTY_HYBRID_CAPITAL","FQ2 2022","FQ2 2022","Currency=USD","Period=FQ","BEST_FPERIOD_OVERRIDE=FQ","FILING_STATUS=MR","SCALING_FORMAT=MLN","Sort=A","Dates=H","DateFormat=P","Fill=—","Direction=H","UseDPDF=Y")</f>
        <v>0</v>
      </c>
      <c r="R70" s="13">
        <f>_xll.BDH("SRPT US Equity","PFD_EQTY_HYBRID_CAPITAL","FQ3 2022","FQ3 2022","Currency=USD","Period=FQ","BEST_FPERIOD_OVERRIDE=FQ","FILING_STATUS=MR","SCALING_FORMAT=MLN","Sort=A","Dates=H","DateFormat=P","Fill=—","Direction=H","UseDPDF=Y")</f>
        <v>0</v>
      </c>
      <c r="S70" s="13">
        <f>_xll.BDH("SRPT US Equity","PFD_EQTY_HYBRID_CAPITAL","FQ4 2022","FQ4 2022","Currency=USD","Period=FQ","BEST_FPERIOD_OVERRIDE=FQ","FILING_STATUS=MR","SCALING_FORMAT=MLN","Sort=A","Dates=H","DateFormat=P","Fill=—","Direction=H","UseDPDF=Y")</f>
        <v>0</v>
      </c>
      <c r="T70" s="13">
        <f>_xll.BDH("SRPT US Equity","PFD_EQTY_HYBRID_CAPITAL","FQ1 2023","FQ1 2023","Currency=USD","Period=FQ","BEST_FPERIOD_OVERRIDE=FQ","FILING_STATUS=MR","SCALING_FORMAT=MLN","Sort=A","Dates=H","DateFormat=P","Fill=—","Direction=H","UseDPDF=Y")</f>
        <v>0</v>
      </c>
      <c r="U70" s="13">
        <f>_xll.BDH("SRPT US Equity","PFD_EQTY_HYBRID_CAPITAL","FQ2 2023","FQ2 2023","Currency=USD","Period=FQ","BEST_FPERIOD_OVERRIDE=FQ","FILING_STATUS=MR","SCALING_FORMAT=MLN","Sort=A","Dates=H","DateFormat=P","Fill=—","Direction=H","UseDPDF=Y")</f>
        <v>0</v>
      </c>
      <c r="V70" s="13">
        <f>_xll.BDH("SRPT US Equity","PFD_EQTY_HYBRID_CAPITAL","FQ3 2023","FQ3 2023","Currency=USD","Period=FQ","BEST_FPERIOD_OVERRIDE=FQ","FILING_STATUS=MR","SCALING_FORMAT=MLN","Sort=A","Dates=H","DateFormat=P","Fill=—","Direction=H","UseDPDF=Y")</f>
        <v>0</v>
      </c>
      <c r="W70" s="13">
        <f>_xll.BDH("SRPT US Equity","PFD_EQTY_HYBRID_CAPITAL","FQ4 2023","FQ4 2023","Currency=USD","Period=FQ","BEST_FPERIOD_OVERRIDE=FQ","FILING_STATUS=MR","SCALING_FORMAT=MLN","Sort=A","Dates=H","DateFormat=P","Fill=—","Direction=H","UseDPDF=Y")</f>
        <v>0</v>
      </c>
      <c r="X70" s="13">
        <f>_xll.BDH("SRPT US Equity","PFD_EQTY_HYBRID_CAPITAL","FQ1 2024","FQ1 2024","Currency=USD","Period=FQ","BEST_FPERIOD_OVERRIDE=FQ","FILING_STATUS=MR","SCALING_FORMAT=MLN","Sort=A","Dates=H","DateFormat=P","Fill=—","Direction=H","UseDPDF=Y")</f>
        <v>0</v>
      </c>
      <c r="Y70" s="13">
        <f>_xll.BDH("SRPT US Equity","PFD_EQTY_HYBRID_CAPITAL","FQ2 2024","FQ2 2024","Currency=USD","Period=FQ","BEST_FPERIOD_OVERRIDE=FQ","FILING_STATUS=MR","SCALING_FORMAT=MLN","Sort=A","Dates=H","DateFormat=P","Fill=—","Direction=H","UseDPDF=Y")</f>
        <v>0</v>
      </c>
      <c r="Z70" s="13">
        <f>_xll.BDH("SRPT US Equity","PFD_EQTY_HYBRID_CAPITAL","FQ3 2024","FQ3 2024","Currency=USD","Period=FQ","BEST_FPERIOD_OVERRIDE=FQ","FILING_STATUS=MR","SCALING_FORMAT=MLN","Sort=A","Dates=H","DateFormat=P","Fill=—","Direction=H","UseDPDF=Y")</f>
        <v>0</v>
      </c>
      <c r="AA70" s="13">
        <f>_xll.BDH("SRPT US Equity","PFD_EQTY_HYBRID_CAPITAL","FQ4 2024","FQ4 2024","Currency=USD","Period=FQ","BEST_FPERIOD_OVERRIDE=FQ","FILING_STATUS=MR","SCALING_FORMAT=MLN","Sort=A","Dates=H","DateFormat=P","Fill=—","Direction=H","UseDPDF=Y")</f>
        <v>0</v>
      </c>
    </row>
    <row r="71" spans="1:27" x14ac:dyDescent="0.25">
      <c r="A71" s="10" t="s">
        <v>804</v>
      </c>
      <c r="B71" s="10" t="s">
        <v>805</v>
      </c>
      <c r="C71" s="13">
        <f>_xll.BDH("SRPT US Equity","BS_SH_CAP_AND_APIC","FQ4 2018","FQ4 2018","Currency=USD","Period=FQ","BEST_FPERIOD_OVERRIDE=FQ","FILING_STATUS=MR","SCALING_FORMAT=MLN","Sort=A","Dates=H","DateFormat=P","Fill=—","Direction=H","UseDPDF=Y")</f>
        <v>2611.3009999999999</v>
      </c>
      <c r="D71" s="13">
        <f>_xll.BDH("SRPT US Equity","BS_SH_CAP_AND_APIC","FQ1 2019","FQ1 2019","Currency=USD","Period=FQ","BEST_FPERIOD_OVERRIDE=FQ","FILING_STATUS=MR","SCALING_FORMAT=MLN","Sort=A","Dates=H","DateFormat=P","Fill=—","Direction=H","UseDPDF=Y")</f>
        <v>3004.114</v>
      </c>
      <c r="E71" s="13">
        <f>_xll.BDH("SRPT US Equity","BS_SH_CAP_AND_APIC","FQ2 2019","FQ2 2019","Currency=USD","Period=FQ","BEST_FPERIOD_OVERRIDE=FQ","FILING_STATUS=MR","SCALING_FORMAT=MLN","Sort=A","Dates=H","DateFormat=P","Fill=—","Direction=H","UseDPDF=Y")</f>
        <v>3031.0569999999998</v>
      </c>
      <c r="F71" s="13">
        <f>_xll.BDH("SRPT US Equity","BS_SH_CAP_AND_APIC","FQ3 2019","FQ3 2019","Currency=USD","Period=FQ","BEST_FPERIOD_OVERRIDE=FQ","FILING_STATUS=MR","SCALING_FORMAT=MLN","Sort=A","Dates=H","DateFormat=P","Fill=—","Direction=H","UseDPDF=Y")</f>
        <v>3053.4270000000001</v>
      </c>
      <c r="G71" s="13">
        <f>_xll.BDH("SRPT US Equity","BS_SH_CAP_AND_APIC","FQ4 2019","FQ4 2019","Currency=USD","Period=FQ","BEST_FPERIOD_OVERRIDE=FQ","FILING_STATUS=MR","SCALING_FORMAT=MLN","Sort=A","Dates=H","DateFormat=P","Fill=—","Direction=H","UseDPDF=Y")</f>
        <v>3112.1379999999999</v>
      </c>
      <c r="H71" s="13">
        <f>_xll.BDH("SRPT US Equity","BS_SH_CAP_AND_APIC","FQ1 2020","FQ1 2020","Currency=USD","Period=FQ","BEST_FPERIOD_OVERRIDE=FQ","FILING_STATUS=MR","SCALING_FORMAT=MLN","Sort=A","Dates=H","DateFormat=P","Fill=—","Direction=H","UseDPDF=Y")</f>
        <v>3455.6970000000001</v>
      </c>
      <c r="I71" s="13">
        <f>_xll.BDH("SRPT US Equity","BS_SH_CAP_AND_APIC","FQ2 2020","FQ2 2020","Currency=USD","Period=FQ","BEST_FPERIOD_OVERRIDE=FQ","FILING_STATUS=MR","SCALING_FORMAT=MLN","Sort=A","Dates=H","DateFormat=P","Fill=—","Direction=H","UseDPDF=Y")</f>
        <v>3505.1729999999998</v>
      </c>
      <c r="J71" s="13">
        <f>_xll.BDH("SRPT US Equity","BS_SH_CAP_AND_APIC","FQ3 2020","FQ3 2020","Currency=USD","Period=FQ","BEST_FPERIOD_OVERRIDE=FQ","FILING_STATUS=MR","SCALING_FORMAT=MLN","Sort=A","Dates=H","DateFormat=P","Fill=—","Direction=H","UseDPDF=Y")</f>
        <v>3550.8649999999998</v>
      </c>
      <c r="K71" s="13">
        <f>_xll.BDH("SRPT US Equity","BS_SH_CAP_AND_APIC","FQ4 2020","FQ4 2020","Currency=USD","Period=FQ","BEST_FPERIOD_OVERRIDE=FQ","FILING_STATUS=MR","SCALING_FORMAT=MLN","Sort=A","Dates=H","DateFormat=P","Fill=—","Direction=H","UseDPDF=Y")</f>
        <v>3609.8850000000002</v>
      </c>
      <c r="L71" s="13">
        <f>_xll.BDH("SRPT US Equity","BS_SH_CAP_AND_APIC","FQ1 2021","FQ1 2021","Currency=USD","Period=FQ","BEST_FPERIOD_OVERRIDE=FQ","FILING_STATUS=MR","SCALING_FORMAT=MLN","Sort=A","Dates=H","DateFormat=P","Fill=—","Direction=H","UseDPDF=Y")</f>
        <v>3490.6660000000002</v>
      </c>
      <c r="M71" s="13">
        <f>_xll.BDH("SRPT US Equity","BS_SH_CAP_AND_APIC","FQ2 2021","FQ2 2021","Currency=USD","Period=FQ","BEST_FPERIOD_OVERRIDE=FQ","FILING_STATUS=MR","SCALING_FORMAT=MLN","Sort=A","Dates=H","DateFormat=P","Fill=—","Direction=H","UseDPDF=Y")</f>
        <v>3521.7289999999998</v>
      </c>
      <c r="N71" s="13">
        <f>_xll.BDH("SRPT US Equity","BS_SH_CAP_AND_APIC","FQ3 2021","FQ3 2021","Currency=USD","Period=FQ","BEST_FPERIOD_OVERRIDE=FQ","FILING_STATUS=MR","SCALING_FORMAT=MLN","Sort=A","Dates=H","DateFormat=P","Fill=—","Direction=H","UseDPDF=Y")</f>
        <v>3554.3150000000001</v>
      </c>
      <c r="O71" s="13">
        <f>_xll.BDH("SRPT US Equity","BS_SH_CAP_AND_APIC","FQ4 2021","FQ4 2021","Currency=USD","Period=FQ","BEST_FPERIOD_OVERRIDE=FQ","FILING_STATUS=MR","SCALING_FORMAT=MLN","Sort=A","Dates=H","DateFormat=P","Fill=—","Direction=H","UseDPDF=Y")</f>
        <v>4134.777</v>
      </c>
      <c r="P71" s="13">
        <f>_xll.BDH("SRPT US Equity","BS_SH_CAP_AND_APIC","FQ1 2022","FQ1 2022","Currency=USD","Period=FQ","BEST_FPERIOD_OVERRIDE=FQ","FILING_STATUS=MR","SCALING_FORMAT=MLN","Sort=A","Dates=H","DateFormat=P","Fill=—","Direction=H","UseDPDF=Y")</f>
        <v>4168.9650000000001</v>
      </c>
      <c r="Q71" s="13">
        <f>_xll.BDH("SRPT US Equity","BS_SH_CAP_AND_APIC","FQ2 2022","FQ2 2022","Currency=USD","Period=FQ","BEST_FPERIOD_OVERRIDE=FQ","FILING_STATUS=MR","SCALING_FORMAT=MLN","Sort=A","Dates=H","DateFormat=P","Fill=—","Direction=H","UseDPDF=Y")</f>
        <v>4272.1959999999999</v>
      </c>
      <c r="R71" s="13">
        <f>_xll.BDH("SRPT US Equity","BS_SH_CAP_AND_APIC","FQ3 2022","FQ3 2022","Currency=USD","Period=FQ","BEST_FPERIOD_OVERRIDE=FQ","FILING_STATUS=MR","SCALING_FORMAT=MLN","Sort=A","Dates=H","DateFormat=P","Fill=—","Direction=H","UseDPDF=Y")</f>
        <v>4235.0370000000003</v>
      </c>
      <c r="S71" s="13">
        <f>_xll.BDH("SRPT US Equity","BS_SH_CAP_AND_APIC","FQ4 2022","FQ4 2022","Currency=USD","Period=FQ","BEST_FPERIOD_OVERRIDE=FQ","FILING_STATUS=MR","SCALING_FORMAT=MLN","Sort=A","Dates=H","DateFormat=P","Fill=—","Direction=H","UseDPDF=Y")</f>
        <v>4296.8500000000004</v>
      </c>
      <c r="T71" s="13">
        <f>_xll.BDH("SRPT US Equity","BS_SH_CAP_AND_APIC","FQ1 2023","FQ1 2023","Currency=USD","Period=FQ","BEST_FPERIOD_OVERRIDE=FQ","FILING_STATUS=MR","SCALING_FORMAT=MLN","Sort=A","Dates=H","DateFormat=P","Fill=—","Direction=H","UseDPDF=Y")</f>
        <v>5140.1589999999997</v>
      </c>
      <c r="U71" s="13">
        <f>_xll.BDH("SRPT US Equity","BS_SH_CAP_AND_APIC","FQ2 2023","FQ2 2023","Currency=USD","Period=FQ","BEST_FPERIOD_OVERRIDE=FQ","FILING_STATUS=MR","SCALING_FORMAT=MLN","Sort=A","Dates=H","DateFormat=P","Fill=—","Direction=H","UseDPDF=Y")</f>
        <v>5193.3969999999999</v>
      </c>
      <c r="V71" s="13">
        <f>_xll.BDH("SRPT US Equity","BS_SH_CAP_AND_APIC","FQ3 2023","FQ3 2023","Currency=USD","Period=FQ","BEST_FPERIOD_OVERRIDE=FQ","FILING_STATUS=MR","SCALING_FORMAT=MLN","Sort=A","Dates=H","DateFormat=P","Fill=—","Direction=H","UseDPDF=Y")</f>
        <v>5256.8630000000003</v>
      </c>
      <c r="W71" s="13">
        <f>_xll.BDH("SRPT US Equity","BS_SH_CAP_AND_APIC","FQ4 2023","FQ4 2023","Currency=USD","Period=FQ","BEST_FPERIOD_OVERRIDE=FQ","FILING_STATUS=MR","SCALING_FORMAT=MLN","Sort=A","Dates=H","DateFormat=P","Fill=—","Direction=H","UseDPDF=Y")</f>
        <v>5304.6319999999996</v>
      </c>
      <c r="X71" s="13">
        <f>_xll.BDH("SRPT US Equity","BS_SH_CAP_AND_APIC","FQ1 2024","FQ1 2024","Currency=USD","Period=FQ","BEST_FPERIOD_OVERRIDE=FQ","FILING_STATUS=MR","SCALING_FORMAT=MLN","Sort=A","Dates=H","DateFormat=P","Fill=—","Direction=H","UseDPDF=Y")</f>
        <v>5371.9769999999999</v>
      </c>
      <c r="Y71" s="13">
        <f>_xll.BDH("SRPT US Equity","BS_SH_CAP_AND_APIC","FQ2 2024","FQ2 2024","Currency=USD","Period=FQ","BEST_FPERIOD_OVERRIDE=FQ","FILING_STATUS=MR","SCALING_FORMAT=MLN","Sort=A","Dates=H","DateFormat=P","Fill=—","Direction=H","UseDPDF=Y")</f>
        <v>5481.7330000000002</v>
      </c>
      <c r="Z71" s="13">
        <f>_xll.BDH("SRPT US Equity","BS_SH_CAP_AND_APIC","FQ3 2024","FQ3 2024","Currency=USD","Period=FQ","BEST_FPERIOD_OVERRIDE=FQ","FILING_STATUS=MR","SCALING_FORMAT=MLN","Sort=A","Dates=H","DateFormat=P","Fill=—","Direction=H","UseDPDF=Y")</f>
        <v>5588.8490000000002</v>
      </c>
      <c r="AA71" s="13">
        <f>_xll.BDH("SRPT US Equity","BS_SH_CAP_AND_APIC","FQ4 2024","FQ4 2024","Currency=USD","Period=FQ","BEST_FPERIOD_OVERRIDE=FQ","FILING_STATUS=MR","SCALING_FORMAT=MLN","Sort=A","Dates=H","DateFormat=P","Fill=—","Direction=H","UseDPDF=Y")</f>
        <v>5738.9340000000002</v>
      </c>
    </row>
    <row r="72" spans="1:27" x14ac:dyDescent="0.25">
      <c r="A72" s="10" t="s">
        <v>806</v>
      </c>
      <c r="B72" s="10" t="s">
        <v>807</v>
      </c>
      <c r="C72" s="13">
        <f>_xll.BDH("SRPT US Equity","BS_COMMON_STOCK","FQ4 2018","FQ4 2018","Currency=USD","Period=FQ","BEST_FPERIOD_OVERRIDE=FQ","FILING_STATUS=MR","SCALING_FORMAT=MLN","Sort=A","Dates=H","DateFormat=P","Fill=—","Direction=H","UseDPDF=Y")</f>
        <v>7.0000000000000001E-3</v>
      </c>
      <c r="D72" s="13">
        <f>_xll.BDH("SRPT US Equity","BS_COMMON_STOCK","FQ1 2019","FQ1 2019","Currency=USD","Period=FQ","BEST_FPERIOD_OVERRIDE=FQ","FILING_STATUS=MR","SCALING_FORMAT=MLN","Sort=A","Dates=H","DateFormat=P","Fill=—","Direction=H","UseDPDF=Y")</f>
        <v>7.0000000000000001E-3</v>
      </c>
      <c r="E72" s="13">
        <f>_xll.BDH("SRPT US Equity","BS_COMMON_STOCK","FQ2 2019","FQ2 2019","Currency=USD","Period=FQ","BEST_FPERIOD_OVERRIDE=FQ","FILING_STATUS=MR","SCALING_FORMAT=MLN","Sort=A","Dates=H","DateFormat=P","Fill=—","Direction=H","UseDPDF=Y")</f>
        <v>7.0000000000000001E-3</v>
      </c>
      <c r="F72" s="13">
        <f>_xll.BDH("SRPT US Equity","BS_COMMON_STOCK","FQ3 2019","FQ3 2019","Currency=USD","Period=FQ","BEST_FPERIOD_OVERRIDE=FQ","FILING_STATUS=MR","SCALING_FORMAT=MLN","Sort=A","Dates=H","DateFormat=P","Fill=—","Direction=H","UseDPDF=Y")</f>
        <v>7.0000000000000001E-3</v>
      </c>
      <c r="G72" s="13">
        <f>_xll.BDH("SRPT US Equity","BS_COMMON_STOCK","FQ4 2019","FQ4 2019","Currency=USD","Period=FQ","BEST_FPERIOD_OVERRIDE=FQ","FILING_STATUS=MR","SCALING_FORMAT=MLN","Sort=A","Dates=H","DateFormat=P","Fill=—","Direction=H","UseDPDF=Y")</f>
        <v>8.0000000000000002E-3</v>
      </c>
      <c r="H72" s="13">
        <f>_xll.BDH("SRPT US Equity","BS_COMMON_STOCK","FQ1 2020","FQ1 2020","Currency=USD","Period=FQ","BEST_FPERIOD_OVERRIDE=FQ","FILING_STATUS=MR","SCALING_FORMAT=MLN","Sort=A","Dates=H","DateFormat=P","Fill=—","Direction=H","UseDPDF=Y")</f>
        <v>8.0000000000000002E-3</v>
      </c>
      <c r="I72" s="13">
        <f>_xll.BDH("SRPT US Equity","BS_COMMON_STOCK","FQ2 2020","FQ2 2020","Currency=USD","Period=FQ","BEST_FPERIOD_OVERRIDE=FQ","FILING_STATUS=MR","SCALING_FORMAT=MLN","Sort=A","Dates=H","DateFormat=P","Fill=—","Direction=H","UseDPDF=Y")</f>
        <v>8.0000000000000002E-3</v>
      </c>
      <c r="J72" s="13">
        <f>_xll.BDH("SRPT US Equity","BS_COMMON_STOCK","FQ3 2020","FQ3 2020","Currency=USD","Period=FQ","BEST_FPERIOD_OVERRIDE=FQ","FILING_STATUS=MR","SCALING_FORMAT=MLN","Sort=A","Dates=H","DateFormat=P","Fill=—","Direction=H","UseDPDF=Y")</f>
        <v>8.0000000000000002E-3</v>
      </c>
      <c r="K72" s="13">
        <f>_xll.BDH("SRPT US Equity","BS_COMMON_STOCK","FQ4 2020","FQ4 2020","Currency=USD","Period=FQ","BEST_FPERIOD_OVERRIDE=FQ","FILING_STATUS=MR","SCALING_FORMAT=MLN","Sort=A","Dates=H","DateFormat=P","Fill=—","Direction=H","UseDPDF=Y")</f>
        <v>8.0000000000000002E-3</v>
      </c>
      <c r="L72" s="13">
        <f>_xll.BDH("SRPT US Equity","BS_COMMON_STOCK","FQ1 2021","FQ1 2021","Currency=USD","Period=FQ","BEST_FPERIOD_OVERRIDE=FQ","FILING_STATUS=MR","SCALING_FORMAT=MLN","Sort=A","Dates=H","DateFormat=P","Fill=—","Direction=H","UseDPDF=Y")</f>
        <v>8.0000000000000002E-3</v>
      </c>
      <c r="M72" s="13">
        <f>_xll.BDH("SRPT US Equity","BS_COMMON_STOCK","FQ2 2021","FQ2 2021","Currency=USD","Period=FQ","BEST_FPERIOD_OVERRIDE=FQ","FILING_STATUS=MR","SCALING_FORMAT=MLN","Sort=A","Dates=H","DateFormat=P","Fill=—","Direction=H","UseDPDF=Y")</f>
        <v>8.0000000000000002E-3</v>
      </c>
      <c r="N72" s="13">
        <f>_xll.BDH("SRPT US Equity","BS_COMMON_STOCK","FQ3 2021","FQ3 2021","Currency=USD","Period=FQ","BEST_FPERIOD_OVERRIDE=FQ","FILING_STATUS=MR","SCALING_FORMAT=MLN","Sort=A","Dates=H","DateFormat=P","Fill=—","Direction=H","UseDPDF=Y")</f>
        <v>8.0000000000000002E-3</v>
      </c>
      <c r="O72" s="13">
        <f>_xll.BDH("SRPT US Equity","BS_COMMON_STOCK","FQ4 2021","FQ4 2021","Currency=USD","Period=FQ","BEST_FPERIOD_OVERRIDE=FQ","FILING_STATUS=MR","SCALING_FORMAT=MLN","Sort=A","Dates=H","DateFormat=P","Fill=—","Direction=H","UseDPDF=Y")</f>
        <v>8.9999999999999993E-3</v>
      </c>
      <c r="P72" s="13">
        <f>_xll.BDH("SRPT US Equity","BS_COMMON_STOCK","FQ1 2022","FQ1 2022","Currency=USD","Period=FQ","BEST_FPERIOD_OVERRIDE=FQ","FILING_STATUS=MR","SCALING_FORMAT=MLN","Sort=A","Dates=H","DateFormat=P","Fill=—","Direction=H","UseDPDF=Y")</f>
        <v>8.9999999999999993E-3</v>
      </c>
      <c r="Q72" s="13">
        <f>_xll.BDH("SRPT US Equity","BS_COMMON_STOCK","FQ2 2022","FQ2 2022","Currency=USD","Period=FQ","BEST_FPERIOD_OVERRIDE=FQ","FILING_STATUS=MR","SCALING_FORMAT=MLN","Sort=A","Dates=H","DateFormat=P","Fill=—","Direction=H","UseDPDF=Y")</f>
        <v>8.9999999999999993E-3</v>
      </c>
      <c r="R72" s="13">
        <f>_xll.BDH("SRPT US Equity","BS_COMMON_STOCK","FQ3 2022","FQ3 2022","Currency=USD","Period=FQ","BEST_FPERIOD_OVERRIDE=FQ","FILING_STATUS=MR","SCALING_FORMAT=MLN","Sort=A","Dates=H","DateFormat=P","Fill=—","Direction=H","UseDPDF=Y")</f>
        <v>8.9999999999999993E-3</v>
      </c>
      <c r="S72" s="13">
        <f>_xll.BDH("SRPT US Equity","BS_COMMON_STOCK","FQ4 2022","FQ4 2022","Currency=USD","Period=FQ","BEST_FPERIOD_OVERRIDE=FQ","FILING_STATUS=MR","SCALING_FORMAT=MLN","Sort=A","Dates=H","DateFormat=P","Fill=—","Direction=H","UseDPDF=Y")</f>
        <v>8.9999999999999993E-3</v>
      </c>
      <c r="T72" s="13">
        <f>_xll.BDH("SRPT US Equity","BS_COMMON_STOCK","FQ1 2023","FQ1 2023","Currency=USD","Period=FQ","BEST_FPERIOD_OVERRIDE=FQ","FILING_STATUS=MR","SCALING_FORMAT=MLN","Sort=A","Dates=H","DateFormat=P","Fill=—","Direction=H","UseDPDF=Y")</f>
        <v>8.9999999999999993E-3</v>
      </c>
      <c r="U72" s="13">
        <f>_xll.BDH("SRPT US Equity","BS_COMMON_STOCK","FQ2 2023","FQ2 2023","Currency=USD","Period=FQ","BEST_FPERIOD_OVERRIDE=FQ","FILING_STATUS=MR","SCALING_FORMAT=MLN","Sort=A","Dates=H","DateFormat=P","Fill=—","Direction=H","UseDPDF=Y")</f>
        <v>8.9999999999999993E-3</v>
      </c>
      <c r="V72" s="13">
        <f>_xll.BDH("SRPT US Equity","BS_COMMON_STOCK","FQ3 2023","FQ3 2023","Currency=USD","Period=FQ","BEST_FPERIOD_OVERRIDE=FQ","FILING_STATUS=MR","SCALING_FORMAT=MLN","Sort=A","Dates=H","DateFormat=P","Fill=—","Direction=H","UseDPDF=Y")</f>
        <v>8.9999999999999993E-3</v>
      </c>
      <c r="W72" s="13">
        <f>_xll.BDH("SRPT US Equity","BS_COMMON_STOCK","FQ4 2023","FQ4 2023","Currency=USD","Period=FQ","BEST_FPERIOD_OVERRIDE=FQ","FILING_STATUS=MR","SCALING_FORMAT=MLN","Sort=A","Dates=H","DateFormat=P","Fill=—","Direction=H","UseDPDF=Y")</f>
        <v>8.9999999999999993E-3</v>
      </c>
      <c r="X72" s="13">
        <f>_xll.BDH("SRPT US Equity","BS_COMMON_STOCK","FQ1 2024","FQ1 2024","Currency=USD","Period=FQ","BEST_FPERIOD_OVERRIDE=FQ","FILING_STATUS=MR","SCALING_FORMAT=MLN","Sort=A","Dates=H","DateFormat=P","Fill=—","Direction=H","UseDPDF=Y")</f>
        <v>8.9999999999999993E-3</v>
      </c>
      <c r="Y72" s="13">
        <f>_xll.BDH("SRPT US Equity","BS_COMMON_STOCK","FQ2 2024","FQ2 2024","Currency=USD","Period=FQ","BEST_FPERIOD_OVERRIDE=FQ","FILING_STATUS=MR","SCALING_FORMAT=MLN","Sort=A","Dates=H","DateFormat=P","Fill=—","Direction=H","UseDPDF=Y")</f>
        <v>0.01</v>
      </c>
      <c r="Z72" s="13">
        <f>_xll.BDH("SRPT US Equity","BS_COMMON_STOCK","FQ3 2024","FQ3 2024","Currency=USD","Period=FQ","BEST_FPERIOD_OVERRIDE=FQ","FILING_STATUS=MR","SCALING_FORMAT=MLN","Sort=A","Dates=H","DateFormat=P","Fill=—","Direction=H","UseDPDF=Y")</f>
        <v>0.01</v>
      </c>
      <c r="AA72" s="13">
        <f>_xll.BDH("SRPT US Equity","BS_COMMON_STOCK","FQ4 2024","FQ4 2024","Currency=USD","Period=FQ","BEST_FPERIOD_OVERRIDE=FQ","FILING_STATUS=MR","SCALING_FORMAT=MLN","Sort=A","Dates=H","DateFormat=P","Fill=—","Direction=H","UseDPDF=Y")</f>
        <v>0.01</v>
      </c>
    </row>
    <row r="73" spans="1:27" x14ac:dyDescent="0.25">
      <c r="A73" s="10" t="s">
        <v>808</v>
      </c>
      <c r="B73" s="10" t="s">
        <v>809</v>
      </c>
      <c r="C73" s="13">
        <f>_xll.BDH("SRPT US Equity","BS_ADD_PAID_IN_CAP","FQ4 2018","FQ4 2018","Currency=USD","Period=FQ","BEST_FPERIOD_OVERRIDE=FQ","FILING_STATUS=MR","SCALING_FORMAT=MLN","Sort=A","Dates=H","DateFormat=P","Fill=—","Direction=H","UseDPDF=Y")</f>
        <v>2611.2939999999999</v>
      </c>
      <c r="D73" s="13">
        <f>_xll.BDH("SRPT US Equity","BS_ADD_PAID_IN_CAP","FQ1 2019","FQ1 2019","Currency=USD","Period=FQ","BEST_FPERIOD_OVERRIDE=FQ","FILING_STATUS=MR","SCALING_FORMAT=MLN","Sort=A","Dates=H","DateFormat=P","Fill=—","Direction=H","UseDPDF=Y")</f>
        <v>3004.107</v>
      </c>
      <c r="E73" s="13">
        <f>_xll.BDH("SRPT US Equity","BS_ADD_PAID_IN_CAP","FQ2 2019","FQ2 2019","Currency=USD","Period=FQ","BEST_FPERIOD_OVERRIDE=FQ","FILING_STATUS=MR","SCALING_FORMAT=MLN","Sort=A","Dates=H","DateFormat=P","Fill=—","Direction=H","UseDPDF=Y")</f>
        <v>3031.05</v>
      </c>
      <c r="F73" s="13">
        <f>_xll.BDH("SRPT US Equity","BS_ADD_PAID_IN_CAP","FQ3 2019","FQ3 2019","Currency=USD","Period=FQ","BEST_FPERIOD_OVERRIDE=FQ","FILING_STATUS=MR","SCALING_FORMAT=MLN","Sort=A","Dates=H","DateFormat=P","Fill=—","Direction=H","UseDPDF=Y")</f>
        <v>3053.42</v>
      </c>
      <c r="G73" s="13">
        <f>_xll.BDH("SRPT US Equity","BS_ADD_PAID_IN_CAP","FQ4 2019","FQ4 2019","Currency=USD","Period=FQ","BEST_FPERIOD_OVERRIDE=FQ","FILING_STATUS=MR","SCALING_FORMAT=MLN","Sort=A","Dates=H","DateFormat=P","Fill=—","Direction=H","UseDPDF=Y")</f>
        <v>3112.13</v>
      </c>
      <c r="H73" s="13">
        <f>_xll.BDH("SRPT US Equity","BS_ADD_PAID_IN_CAP","FQ1 2020","FQ1 2020","Currency=USD","Period=FQ","BEST_FPERIOD_OVERRIDE=FQ","FILING_STATUS=MR","SCALING_FORMAT=MLN","Sort=A","Dates=H","DateFormat=P","Fill=—","Direction=H","UseDPDF=Y")</f>
        <v>3455.6889999999999</v>
      </c>
      <c r="I73" s="13">
        <f>_xll.BDH("SRPT US Equity","BS_ADD_PAID_IN_CAP","FQ2 2020","FQ2 2020","Currency=USD","Period=FQ","BEST_FPERIOD_OVERRIDE=FQ","FILING_STATUS=MR","SCALING_FORMAT=MLN","Sort=A","Dates=H","DateFormat=P","Fill=—","Direction=H","UseDPDF=Y")</f>
        <v>3505.165</v>
      </c>
      <c r="J73" s="13">
        <f>_xll.BDH("SRPT US Equity","BS_ADD_PAID_IN_CAP","FQ3 2020","FQ3 2020","Currency=USD","Period=FQ","BEST_FPERIOD_OVERRIDE=FQ","FILING_STATUS=MR","SCALING_FORMAT=MLN","Sort=A","Dates=H","DateFormat=P","Fill=—","Direction=H","UseDPDF=Y")</f>
        <v>3550.857</v>
      </c>
      <c r="K73" s="13">
        <f>_xll.BDH("SRPT US Equity","BS_ADD_PAID_IN_CAP","FQ4 2020","FQ4 2020","Currency=USD","Period=FQ","BEST_FPERIOD_OVERRIDE=FQ","FILING_STATUS=MR","SCALING_FORMAT=MLN","Sort=A","Dates=H","DateFormat=P","Fill=—","Direction=H","UseDPDF=Y")</f>
        <v>3609.877</v>
      </c>
      <c r="L73" s="13">
        <f>_xll.BDH("SRPT US Equity","BS_ADD_PAID_IN_CAP","FQ1 2021","FQ1 2021","Currency=USD","Period=FQ","BEST_FPERIOD_OVERRIDE=FQ","FILING_STATUS=MR","SCALING_FORMAT=MLN","Sort=A","Dates=H","DateFormat=P","Fill=—","Direction=H","UseDPDF=Y")</f>
        <v>3490.6579999999999</v>
      </c>
      <c r="M73" s="13">
        <f>_xll.BDH("SRPT US Equity","BS_ADD_PAID_IN_CAP","FQ2 2021","FQ2 2021","Currency=USD","Period=FQ","BEST_FPERIOD_OVERRIDE=FQ","FILING_STATUS=MR","SCALING_FORMAT=MLN","Sort=A","Dates=H","DateFormat=P","Fill=—","Direction=H","UseDPDF=Y")</f>
        <v>3521.721</v>
      </c>
      <c r="N73" s="13">
        <f>_xll.BDH("SRPT US Equity","BS_ADD_PAID_IN_CAP","FQ3 2021","FQ3 2021","Currency=USD","Period=FQ","BEST_FPERIOD_OVERRIDE=FQ","FILING_STATUS=MR","SCALING_FORMAT=MLN","Sort=A","Dates=H","DateFormat=P","Fill=—","Direction=H","UseDPDF=Y")</f>
        <v>3554.3069999999998</v>
      </c>
      <c r="O73" s="13">
        <f>_xll.BDH("SRPT US Equity","BS_ADD_PAID_IN_CAP","FQ4 2021","FQ4 2021","Currency=USD","Period=FQ","BEST_FPERIOD_OVERRIDE=FQ","FILING_STATUS=MR","SCALING_FORMAT=MLN","Sort=A","Dates=H","DateFormat=P","Fill=—","Direction=H","UseDPDF=Y")</f>
        <v>4134.768</v>
      </c>
      <c r="P73" s="13">
        <f>_xll.BDH("SRPT US Equity","BS_ADD_PAID_IN_CAP","FQ1 2022","FQ1 2022","Currency=USD","Period=FQ","BEST_FPERIOD_OVERRIDE=FQ","FILING_STATUS=MR","SCALING_FORMAT=MLN","Sort=A","Dates=H","DateFormat=P","Fill=—","Direction=H","UseDPDF=Y")</f>
        <v>4168.9560000000001</v>
      </c>
      <c r="Q73" s="13">
        <f>_xll.BDH("SRPT US Equity","BS_ADD_PAID_IN_CAP","FQ2 2022","FQ2 2022","Currency=USD","Period=FQ","BEST_FPERIOD_OVERRIDE=FQ","FILING_STATUS=MR","SCALING_FORMAT=MLN","Sort=A","Dates=H","DateFormat=P","Fill=—","Direction=H","UseDPDF=Y")</f>
        <v>4272.1869999999999</v>
      </c>
      <c r="R73" s="13">
        <f>_xll.BDH("SRPT US Equity","BS_ADD_PAID_IN_CAP","FQ3 2022","FQ3 2022","Currency=USD","Period=FQ","BEST_FPERIOD_OVERRIDE=FQ","FILING_STATUS=MR","SCALING_FORMAT=MLN","Sort=A","Dates=H","DateFormat=P","Fill=—","Direction=H","UseDPDF=Y")</f>
        <v>4235.0280000000002</v>
      </c>
      <c r="S73" s="13">
        <f>_xll.BDH("SRPT US Equity","BS_ADD_PAID_IN_CAP","FQ4 2022","FQ4 2022","Currency=USD","Period=FQ","BEST_FPERIOD_OVERRIDE=FQ","FILING_STATUS=MR","SCALING_FORMAT=MLN","Sort=A","Dates=H","DateFormat=P","Fill=—","Direction=H","UseDPDF=Y")</f>
        <v>4296.8410000000003</v>
      </c>
      <c r="T73" s="13">
        <f>_xll.BDH("SRPT US Equity","BS_ADD_PAID_IN_CAP","FQ1 2023","FQ1 2023","Currency=USD","Period=FQ","BEST_FPERIOD_OVERRIDE=FQ","FILING_STATUS=MR","SCALING_FORMAT=MLN","Sort=A","Dates=H","DateFormat=P","Fill=—","Direction=H","UseDPDF=Y")</f>
        <v>5140.1499999999996</v>
      </c>
      <c r="U73" s="13">
        <f>_xll.BDH("SRPT US Equity","BS_ADD_PAID_IN_CAP","FQ2 2023","FQ2 2023","Currency=USD","Period=FQ","BEST_FPERIOD_OVERRIDE=FQ","FILING_STATUS=MR","SCALING_FORMAT=MLN","Sort=A","Dates=H","DateFormat=P","Fill=—","Direction=H","UseDPDF=Y")</f>
        <v>5193.3879999999999</v>
      </c>
      <c r="V73" s="13">
        <f>_xll.BDH("SRPT US Equity","BS_ADD_PAID_IN_CAP","FQ3 2023","FQ3 2023","Currency=USD","Period=FQ","BEST_FPERIOD_OVERRIDE=FQ","FILING_STATUS=MR","SCALING_FORMAT=MLN","Sort=A","Dates=H","DateFormat=P","Fill=—","Direction=H","UseDPDF=Y")</f>
        <v>5256.8540000000003</v>
      </c>
      <c r="W73" s="13">
        <f>_xll.BDH("SRPT US Equity","BS_ADD_PAID_IN_CAP","FQ4 2023","FQ4 2023","Currency=USD","Period=FQ","BEST_FPERIOD_OVERRIDE=FQ","FILING_STATUS=MR","SCALING_FORMAT=MLN","Sort=A","Dates=H","DateFormat=P","Fill=—","Direction=H","UseDPDF=Y")</f>
        <v>5304.6229999999996</v>
      </c>
      <c r="X73" s="13">
        <f>_xll.BDH("SRPT US Equity","BS_ADD_PAID_IN_CAP","FQ1 2024","FQ1 2024","Currency=USD","Period=FQ","BEST_FPERIOD_OVERRIDE=FQ","FILING_STATUS=MR","SCALING_FORMAT=MLN","Sort=A","Dates=H","DateFormat=P","Fill=—","Direction=H","UseDPDF=Y")</f>
        <v>5371.9679999999998</v>
      </c>
      <c r="Y73" s="13">
        <f>_xll.BDH("SRPT US Equity","BS_ADD_PAID_IN_CAP","FQ2 2024","FQ2 2024","Currency=USD","Period=FQ","BEST_FPERIOD_OVERRIDE=FQ","FILING_STATUS=MR","SCALING_FORMAT=MLN","Sort=A","Dates=H","DateFormat=P","Fill=—","Direction=H","UseDPDF=Y")</f>
        <v>5481.723</v>
      </c>
      <c r="Z73" s="13">
        <f>_xll.BDH("SRPT US Equity","BS_ADD_PAID_IN_CAP","FQ3 2024","FQ3 2024","Currency=USD","Period=FQ","BEST_FPERIOD_OVERRIDE=FQ","FILING_STATUS=MR","SCALING_FORMAT=MLN","Sort=A","Dates=H","DateFormat=P","Fill=—","Direction=H","UseDPDF=Y")</f>
        <v>5588.8389999999999</v>
      </c>
      <c r="AA73" s="13">
        <f>_xll.BDH("SRPT US Equity","BS_ADD_PAID_IN_CAP","FQ4 2024","FQ4 2024","Currency=USD","Period=FQ","BEST_FPERIOD_OVERRIDE=FQ","FILING_STATUS=MR","SCALING_FORMAT=MLN","Sort=A","Dates=H","DateFormat=P","Fill=—","Direction=H","UseDPDF=Y")</f>
        <v>5738.924</v>
      </c>
    </row>
    <row r="74" spans="1:27" x14ac:dyDescent="0.25">
      <c r="A74" s="10" t="s">
        <v>810</v>
      </c>
      <c r="B74" s="10" t="s">
        <v>811</v>
      </c>
      <c r="C74" s="13">
        <f>_xll.BDH("SRPT US Equity","BS_AMT_OF_TSY_STOCK","FQ4 2018","FQ4 2018","Currency=USD","Period=FQ","BEST_FPERIOD_OVERRIDE=FQ","FILING_STATUS=MR","SCALING_FORMAT=MLN","Sort=A","Dates=H","DateFormat=P","Fill=—","Direction=H","UseDPDF=Y")</f>
        <v>0</v>
      </c>
      <c r="D74" s="13">
        <f>_xll.BDH("SRPT US Equity","BS_AMT_OF_TSY_STOCK","FQ1 2019","FQ1 2019","Currency=USD","Period=FQ","BEST_FPERIOD_OVERRIDE=FQ","FILING_STATUS=MR","SCALING_FORMAT=MLN","Sort=A","Dates=H","DateFormat=P","Fill=—","Direction=H","UseDPDF=Y")</f>
        <v>0</v>
      </c>
      <c r="E74" s="13">
        <f>_xll.BDH("SRPT US Equity","BS_AMT_OF_TSY_STOCK","FQ2 2019","FQ2 2019","Currency=USD","Period=FQ","BEST_FPERIOD_OVERRIDE=FQ","FILING_STATUS=MR","SCALING_FORMAT=MLN","Sort=A","Dates=H","DateFormat=P","Fill=—","Direction=H","UseDPDF=Y")</f>
        <v>0</v>
      </c>
      <c r="F74" s="13">
        <f>_xll.BDH("SRPT US Equity","BS_AMT_OF_TSY_STOCK","FQ3 2019","FQ3 2019","Currency=USD","Period=FQ","BEST_FPERIOD_OVERRIDE=FQ","FILING_STATUS=MR","SCALING_FORMAT=MLN","Sort=A","Dates=H","DateFormat=P","Fill=—","Direction=H","UseDPDF=Y")</f>
        <v>0</v>
      </c>
      <c r="G74" s="13">
        <f>_xll.BDH("SRPT US Equity","BS_AMT_OF_TSY_STOCK","FQ4 2019","FQ4 2019","Currency=USD","Period=FQ","BEST_FPERIOD_OVERRIDE=FQ","FILING_STATUS=MR","SCALING_FORMAT=MLN","Sort=A","Dates=H","DateFormat=P","Fill=—","Direction=H","UseDPDF=Y")</f>
        <v>0</v>
      </c>
      <c r="H74" s="13">
        <f>_xll.BDH("SRPT US Equity","BS_AMT_OF_TSY_STOCK","FQ1 2020","FQ1 2020","Currency=USD","Period=FQ","BEST_FPERIOD_OVERRIDE=FQ","FILING_STATUS=MR","SCALING_FORMAT=MLN","Sort=A","Dates=H","DateFormat=P","Fill=—","Direction=H","UseDPDF=Y")</f>
        <v>0</v>
      </c>
      <c r="I74" s="13">
        <f>_xll.BDH("SRPT US Equity","BS_AMT_OF_TSY_STOCK","FQ2 2020","FQ2 2020","Currency=USD","Period=FQ","BEST_FPERIOD_OVERRIDE=FQ","FILING_STATUS=MR","SCALING_FORMAT=MLN","Sort=A","Dates=H","DateFormat=P","Fill=—","Direction=H","UseDPDF=Y")</f>
        <v>0</v>
      </c>
      <c r="J74" s="13">
        <f>_xll.BDH("SRPT US Equity","BS_AMT_OF_TSY_STOCK","FQ3 2020","FQ3 2020","Currency=USD","Period=FQ","BEST_FPERIOD_OVERRIDE=FQ","FILING_STATUS=MR","SCALING_FORMAT=MLN","Sort=A","Dates=H","DateFormat=P","Fill=—","Direction=H","UseDPDF=Y")</f>
        <v>0</v>
      </c>
      <c r="K74" s="13">
        <f>_xll.BDH("SRPT US Equity","BS_AMT_OF_TSY_STOCK","FQ4 2020","FQ4 2020","Currency=USD","Period=FQ","BEST_FPERIOD_OVERRIDE=FQ","FILING_STATUS=MR","SCALING_FORMAT=MLN","Sort=A","Dates=H","DateFormat=P","Fill=—","Direction=H","UseDPDF=Y")</f>
        <v>0</v>
      </c>
      <c r="L74" s="13">
        <f>_xll.BDH("SRPT US Equity","BS_AMT_OF_TSY_STOCK","FQ1 2021","FQ1 2021","Currency=USD","Period=FQ","BEST_FPERIOD_OVERRIDE=FQ","FILING_STATUS=MR","SCALING_FORMAT=MLN","Sort=A","Dates=H","DateFormat=P","Fill=—","Direction=H","UseDPDF=Y")</f>
        <v>0</v>
      </c>
      <c r="M74" s="13">
        <f>_xll.BDH("SRPT US Equity","BS_AMT_OF_TSY_STOCK","FQ2 2021","FQ2 2021","Currency=USD","Period=FQ","BEST_FPERIOD_OVERRIDE=FQ","FILING_STATUS=MR","SCALING_FORMAT=MLN","Sort=A","Dates=H","DateFormat=P","Fill=—","Direction=H","UseDPDF=Y")</f>
        <v>0</v>
      </c>
      <c r="N74" s="13">
        <f>_xll.BDH("SRPT US Equity","BS_AMT_OF_TSY_STOCK","FQ3 2021","FQ3 2021","Currency=USD","Period=FQ","BEST_FPERIOD_OVERRIDE=FQ","FILING_STATUS=MR","SCALING_FORMAT=MLN","Sort=A","Dates=H","DateFormat=P","Fill=—","Direction=H","UseDPDF=Y")</f>
        <v>0</v>
      </c>
      <c r="O74" s="13">
        <f>_xll.BDH("SRPT US Equity","BS_AMT_OF_TSY_STOCK","FQ4 2021","FQ4 2021","Currency=USD","Period=FQ","BEST_FPERIOD_OVERRIDE=FQ","FILING_STATUS=MR","SCALING_FORMAT=MLN","Sort=A","Dates=H","DateFormat=P","Fill=—","Direction=H","UseDPDF=Y")</f>
        <v>0</v>
      </c>
      <c r="P74" s="13">
        <f>_xll.BDH("SRPT US Equity","BS_AMT_OF_TSY_STOCK","FQ1 2022","FQ1 2022","Currency=USD","Period=FQ","BEST_FPERIOD_OVERRIDE=FQ","FILING_STATUS=MR","SCALING_FORMAT=MLN","Sort=A","Dates=H","DateFormat=P","Fill=—","Direction=H","UseDPDF=Y")</f>
        <v>0</v>
      </c>
      <c r="Q74" s="13">
        <f>_xll.BDH("SRPT US Equity","BS_AMT_OF_TSY_STOCK","FQ2 2022","FQ2 2022","Currency=USD","Period=FQ","BEST_FPERIOD_OVERRIDE=FQ","FILING_STATUS=MR","SCALING_FORMAT=MLN","Sort=A","Dates=H","DateFormat=P","Fill=—","Direction=H","UseDPDF=Y")</f>
        <v>0</v>
      </c>
      <c r="R74" s="13">
        <f>_xll.BDH("SRPT US Equity","BS_AMT_OF_TSY_STOCK","FQ3 2022","FQ3 2022","Currency=USD","Period=FQ","BEST_FPERIOD_OVERRIDE=FQ","FILING_STATUS=MR","SCALING_FORMAT=MLN","Sort=A","Dates=H","DateFormat=P","Fill=—","Direction=H","UseDPDF=Y")</f>
        <v>0</v>
      </c>
      <c r="S74" s="13">
        <f>_xll.BDH("SRPT US Equity","BS_AMT_OF_TSY_STOCK","FQ4 2022","FQ4 2022","Currency=USD","Period=FQ","BEST_FPERIOD_OVERRIDE=FQ","FILING_STATUS=MR","SCALING_FORMAT=MLN","Sort=A","Dates=H","DateFormat=P","Fill=—","Direction=H","UseDPDF=Y")</f>
        <v>0</v>
      </c>
      <c r="T74" s="13">
        <f>_xll.BDH("SRPT US Equity","BS_AMT_OF_TSY_STOCK","FQ1 2023","FQ1 2023","Currency=USD","Period=FQ","BEST_FPERIOD_OVERRIDE=FQ","FILING_STATUS=MR","SCALING_FORMAT=MLN","Sort=A","Dates=H","DateFormat=P","Fill=—","Direction=H","UseDPDF=Y")</f>
        <v>0</v>
      </c>
      <c r="U74" s="13">
        <f>_xll.BDH("SRPT US Equity","BS_AMT_OF_TSY_STOCK","FQ2 2023","FQ2 2023","Currency=USD","Period=FQ","BEST_FPERIOD_OVERRIDE=FQ","FILING_STATUS=MR","SCALING_FORMAT=MLN","Sort=A","Dates=H","DateFormat=P","Fill=—","Direction=H","UseDPDF=Y")</f>
        <v>0</v>
      </c>
      <c r="V74" s="13">
        <f>_xll.BDH("SRPT US Equity","BS_AMT_OF_TSY_STOCK","FQ3 2023","FQ3 2023","Currency=USD","Period=FQ","BEST_FPERIOD_OVERRIDE=FQ","FILING_STATUS=MR","SCALING_FORMAT=MLN","Sort=A","Dates=H","DateFormat=P","Fill=—","Direction=H","UseDPDF=Y")</f>
        <v>0</v>
      </c>
      <c r="W74" s="13">
        <f>_xll.BDH("SRPT US Equity","BS_AMT_OF_TSY_STOCK","FQ4 2023","FQ4 2023","Currency=USD","Period=FQ","BEST_FPERIOD_OVERRIDE=FQ","FILING_STATUS=MR","SCALING_FORMAT=MLN","Sort=A","Dates=H","DateFormat=P","Fill=—","Direction=H","UseDPDF=Y")</f>
        <v>0</v>
      </c>
      <c r="X74" s="13">
        <f>_xll.BDH("SRPT US Equity","BS_AMT_OF_TSY_STOCK","FQ1 2024","FQ1 2024","Currency=USD","Period=FQ","BEST_FPERIOD_OVERRIDE=FQ","FILING_STATUS=MR","SCALING_FORMAT=MLN","Sort=A","Dates=H","DateFormat=P","Fill=—","Direction=H","UseDPDF=Y")</f>
        <v>0</v>
      </c>
      <c r="Y74" s="13">
        <f>_xll.BDH("SRPT US Equity","BS_AMT_OF_TSY_STOCK","FQ2 2024","FQ2 2024","Currency=USD","Period=FQ","BEST_FPERIOD_OVERRIDE=FQ","FILING_STATUS=MR","SCALING_FORMAT=MLN","Sort=A","Dates=H","DateFormat=P","Fill=—","Direction=H","UseDPDF=Y")</f>
        <v>0</v>
      </c>
      <c r="Z74" s="13">
        <f>_xll.BDH("SRPT US Equity","BS_AMT_OF_TSY_STOCK","FQ3 2024","FQ3 2024","Currency=USD","Period=FQ","BEST_FPERIOD_OVERRIDE=FQ","FILING_STATUS=MR","SCALING_FORMAT=MLN","Sort=A","Dates=H","DateFormat=P","Fill=—","Direction=H","UseDPDF=Y")</f>
        <v>0</v>
      </c>
      <c r="AA74" s="13">
        <f>_xll.BDH("SRPT US Equity","BS_AMT_OF_TSY_STOCK","FQ4 2024","FQ4 2024","Currency=USD","Period=FQ","BEST_FPERIOD_OVERRIDE=FQ","FILING_STATUS=MR","SCALING_FORMAT=MLN","Sort=A","Dates=H","DateFormat=P","Fill=—","Direction=H","UseDPDF=Y")</f>
        <v>0</v>
      </c>
    </row>
    <row r="75" spans="1:27" x14ac:dyDescent="0.25">
      <c r="A75" s="10" t="s">
        <v>812</v>
      </c>
      <c r="B75" s="10" t="s">
        <v>813</v>
      </c>
      <c r="C75" s="13">
        <f>_xll.BDH("SRPT US Equity","BS_PURE_RETAINED_EARNINGS","FQ4 2018","FQ4 2018","Currency=USD","Period=FQ","BEST_FPERIOD_OVERRIDE=FQ","FILING_STATUS=MR","SCALING_FORMAT=MLN","Sort=A","Dates=H","DateFormat=P","Fill=—","Direction=H","UseDPDF=Y")</f>
        <v>-1578.9259999999999</v>
      </c>
      <c r="D75" s="13">
        <f>_xll.BDH("SRPT US Equity","BS_PURE_RETAINED_EARNINGS","FQ1 2019","FQ1 2019","Currency=USD","Period=FQ","BEST_FPERIOD_OVERRIDE=FQ","FILING_STATUS=MR","SCALING_FORMAT=MLN","Sort=A","Dates=H","DateFormat=P","Fill=—","Direction=H","UseDPDF=Y")</f>
        <v>-1655.569</v>
      </c>
      <c r="E75" s="13">
        <f>_xll.BDH("SRPT US Equity","BS_PURE_RETAINED_EARNINGS","FQ2 2019","FQ2 2019","Currency=USD","Period=FQ","BEST_FPERIOD_OVERRIDE=FQ","FILING_STATUS=MR","SCALING_FORMAT=MLN","Sort=A","Dates=H","DateFormat=P","Fill=—","Direction=H","UseDPDF=Y")</f>
        <v>-1931.972</v>
      </c>
      <c r="F75" s="13">
        <f>_xll.BDH("SRPT US Equity","BS_PURE_RETAINED_EARNINGS","FQ3 2019","FQ3 2019","Currency=USD","Period=FQ","BEST_FPERIOD_OVERRIDE=FQ","FILING_STATUS=MR","SCALING_FORMAT=MLN","Sort=A","Dates=H","DateFormat=P","Fill=—","Direction=H","UseDPDF=Y")</f>
        <v>-2058.2979999999998</v>
      </c>
      <c r="G75" s="13">
        <f>_xll.BDH("SRPT US Equity","BS_PURE_RETAINED_EARNINGS","FQ4 2019","FQ4 2019","Currency=USD","Period=FQ","BEST_FPERIOD_OVERRIDE=FQ","FILING_STATUS=MR","SCALING_FORMAT=MLN","Sort=A","Dates=H","DateFormat=P","Fill=—","Direction=H","UseDPDF=Y")</f>
        <v>-2294.0010000000002</v>
      </c>
      <c r="H75" s="13">
        <f>_xll.BDH("SRPT US Equity","BS_PURE_RETAINED_EARNINGS","FQ1 2020","FQ1 2020","Currency=USD","Period=FQ","BEST_FPERIOD_OVERRIDE=FQ","FILING_STATUS=MR","SCALING_FORMAT=MLN","Sort=A","Dates=H","DateFormat=P","Fill=—","Direction=H","UseDPDF=Y")</f>
        <v>-2311.4929999999999</v>
      </c>
      <c r="I75" s="13">
        <f>_xll.BDH("SRPT US Equity","BS_PURE_RETAINED_EARNINGS","FQ2 2020","FQ2 2020","Currency=USD","Period=FQ","BEST_FPERIOD_OVERRIDE=FQ","FILING_STATUS=MR","SCALING_FORMAT=MLN","Sort=A","Dates=H","DateFormat=P","Fill=—","Direction=H","UseDPDF=Y")</f>
        <v>-2462.3130000000001</v>
      </c>
      <c r="J75" s="13">
        <f>_xll.BDH("SRPT US Equity","BS_PURE_RETAINED_EARNINGS","FQ3 2020","FQ3 2020","Currency=USD","Period=FQ","BEST_FPERIOD_OVERRIDE=FQ","FILING_STATUS=MR","SCALING_FORMAT=MLN","Sort=A","Dates=H","DateFormat=P","Fill=—","Direction=H","UseDPDF=Y")</f>
        <v>-2658.8119999999999</v>
      </c>
      <c r="K75" s="13">
        <f>_xll.BDH("SRPT US Equity","BS_PURE_RETAINED_EARNINGS","FQ4 2020","FQ4 2020","Currency=USD","Period=FQ","BEST_FPERIOD_OVERRIDE=FQ","FILING_STATUS=MR","SCALING_FORMAT=MLN","Sort=A","Dates=H","DateFormat=P","Fill=—","Direction=H","UseDPDF=Y")</f>
        <v>-2848.1289999999999</v>
      </c>
      <c r="L75" s="13">
        <f>_xll.BDH("SRPT US Equity","BS_PURE_RETAINED_EARNINGS","FQ1 2021","FQ1 2021","Currency=USD","Period=FQ","BEST_FPERIOD_OVERRIDE=FQ","FILING_STATUS=MR","SCALING_FORMAT=MLN","Sort=A","Dates=H","DateFormat=P","Fill=—","Direction=H","UseDPDF=Y")</f>
        <v>-2955.2179999999998</v>
      </c>
      <c r="M75" s="13">
        <f>_xll.BDH("SRPT US Equity","BS_PURE_RETAINED_EARNINGS","FQ2 2021","FQ2 2021","Currency=USD","Period=FQ","BEST_FPERIOD_OVERRIDE=FQ","FILING_STATUS=MR","SCALING_FORMAT=MLN","Sort=A","Dates=H","DateFormat=P","Fill=—","Direction=H","UseDPDF=Y")</f>
        <v>-3036.623</v>
      </c>
      <c r="N75" s="13">
        <f>_xll.BDH("SRPT US Equity","BS_PURE_RETAINED_EARNINGS","FQ3 2021","FQ3 2021","Currency=USD","Period=FQ","BEST_FPERIOD_OVERRIDE=FQ","FILING_STATUS=MR","SCALING_FORMAT=MLN","Sort=A","Dates=H","DateFormat=P","Fill=—","Direction=H","UseDPDF=Y")</f>
        <v>-3084.7669999999998</v>
      </c>
      <c r="O75" s="13">
        <f>_xll.BDH("SRPT US Equity","BS_PURE_RETAINED_EARNINGS","FQ4 2021","FQ4 2021","Currency=USD","Period=FQ","BEST_FPERIOD_OVERRIDE=FQ","FILING_STATUS=MR","SCALING_FORMAT=MLN","Sort=A","Dates=H","DateFormat=P","Fill=—","Direction=H","UseDPDF=Y")</f>
        <v>-3206.748</v>
      </c>
      <c r="P75" s="13">
        <f>_xll.BDH("SRPT US Equity","BS_PURE_RETAINED_EARNINGS","FQ1 2022","FQ1 2022","Currency=USD","Period=FQ","BEST_FPERIOD_OVERRIDE=FQ","FILING_STATUS=MR","SCALING_FORMAT=MLN","Sort=A","Dates=H","DateFormat=P","Fill=—","Direction=H","UseDPDF=Y")</f>
        <v>-3311.7730000000001</v>
      </c>
      <c r="Q75" s="13">
        <f>_xll.BDH("SRPT US Equity","BS_PURE_RETAINED_EARNINGS","FQ2 2022","FQ2 2022","Currency=USD","Period=FQ","BEST_FPERIOD_OVERRIDE=FQ","FILING_STATUS=MR","SCALING_FORMAT=MLN","Sort=A","Dates=H","DateFormat=P","Fill=—","Direction=H","UseDPDF=Y")</f>
        <v>-3543.2539999999999</v>
      </c>
      <c r="R75" s="13">
        <f>_xll.BDH("SRPT US Equity","BS_PURE_RETAINED_EARNINGS","FQ3 2022","FQ3 2022","Currency=USD","Period=FQ","BEST_FPERIOD_OVERRIDE=FQ","FILING_STATUS=MR","SCALING_FORMAT=MLN","Sort=A","Dates=H","DateFormat=P","Fill=—","Direction=H","UseDPDF=Y")</f>
        <v>-3800.9920000000002</v>
      </c>
      <c r="S75" s="13">
        <f>_xll.BDH("SRPT US Equity","BS_PURE_RETAINED_EARNINGS","FQ4 2022","FQ4 2022","Currency=USD","Period=FQ","BEST_FPERIOD_OVERRIDE=FQ","FILING_STATUS=MR","SCALING_FORMAT=MLN","Sort=A","Dates=H","DateFormat=P","Fill=—","Direction=H","UseDPDF=Y")</f>
        <v>-3910.2359999999999</v>
      </c>
      <c r="T75" s="13">
        <f>_xll.BDH("SRPT US Equity","BS_PURE_RETAINED_EARNINGS","FQ1 2023","FQ1 2023","Currency=USD","Period=FQ","BEST_FPERIOD_OVERRIDE=FQ","FILING_STATUS=MR","SCALING_FORMAT=MLN","Sort=A","Dates=H","DateFormat=P","Fill=—","Direction=H","UseDPDF=Y")</f>
        <v>-4426.991</v>
      </c>
      <c r="U75" s="13">
        <f>_xll.BDH("SRPT US Equity","BS_PURE_RETAINED_EARNINGS","FQ2 2023","FQ2 2023","Currency=USD","Period=FQ","BEST_FPERIOD_OVERRIDE=FQ","FILING_STATUS=MR","SCALING_FORMAT=MLN","Sort=A","Dates=H","DateFormat=P","Fill=—","Direction=H","UseDPDF=Y")</f>
        <v>-4450.9309999999996</v>
      </c>
      <c r="V75" s="13">
        <f>_xll.BDH("SRPT US Equity","BS_PURE_RETAINED_EARNINGS","FQ3 2023","FQ3 2023","Currency=USD","Period=FQ","BEST_FPERIOD_OVERRIDE=FQ","FILING_STATUS=MR","SCALING_FORMAT=MLN","Sort=A","Dates=H","DateFormat=P","Fill=—","Direction=H","UseDPDF=Y")</f>
        <v>-4491.8680000000004</v>
      </c>
      <c r="W75" s="13">
        <f>_xll.BDH("SRPT US Equity","BS_PURE_RETAINED_EARNINGS","FQ4 2023","FQ4 2023","Currency=USD","Period=FQ","BEST_FPERIOD_OVERRIDE=FQ","FILING_STATUS=MR","SCALING_FORMAT=MLN","Sort=A","Dates=H","DateFormat=P","Fill=—","Direction=H","UseDPDF=Y")</f>
        <v>-4446.2129999999997</v>
      </c>
      <c r="X75" s="13">
        <f>_xll.BDH("SRPT US Equity","BS_PURE_RETAINED_EARNINGS","FQ1 2024","FQ1 2024","Currency=USD","Period=FQ","BEST_FPERIOD_OVERRIDE=FQ","FILING_STATUS=MR","SCALING_FORMAT=MLN","Sort=A","Dates=H","DateFormat=P","Fill=—","Direction=H","UseDPDF=Y")</f>
        <v>-4410.0940000000001</v>
      </c>
      <c r="Y75" s="13">
        <f>_xll.BDH("SRPT US Equity","BS_PURE_RETAINED_EARNINGS","FQ2 2024","FQ2 2024","Currency=USD","Period=FQ","BEST_FPERIOD_OVERRIDE=FQ","FILING_STATUS=MR","SCALING_FORMAT=MLN","Sort=A","Dates=H","DateFormat=P","Fill=—","Direction=H","UseDPDF=Y")</f>
        <v>-4403.634</v>
      </c>
      <c r="Z75" s="13">
        <f>_xll.BDH("SRPT US Equity","BS_PURE_RETAINED_EARNINGS","FQ3 2024","FQ3 2024","Currency=USD","Period=FQ","BEST_FPERIOD_OVERRIDE=FQ","FILING_STATUS=MR","SCALING_FORMAT=MLN","Sort=A","Dates=H","DateFormat=P","Fill=—","Direction=H","UseDPDF=Y")</f>
        <v>-4370.0230000000001</v>
      </c>
      <c r="AA75" s="13">
        <f>_xll.BDH("SRPT US Equity","BS_PURE_RETAINED_EARNINGS","FQ4 2024","FQ4 2024","Currency=USD","Period=FQ","BEST_FPERIOD_OVERRIDE=FQ","FILING_STATUS=MR","SCALING_FORMAT=MLN","Sort=A","Dates=H","DateFormat=P","Fill=—","Direction=H","UseDPDF=Y")</f>
        <v>-4210.9740000000002</v>
      </c>
    </row>
    <row r="76" spans="1:27" x14ac:dyDescent="0.25">
      <c r="A76" s="10" t="s">
        <v>814</v>
      </c>
      <c r="B76" s="10" t="s">
        <v>815</v>
      </c>
      <c r="C76" s="13">
        <f>_xll.BDH("SRPT US Equity","OTHER_EQUITY_RATIO","FQ4 2018","FQ4 2018","Currency=USD","Period=FQ","BEST_FPERIOD_OVERRIDE=FQ","FILING_STATUS=MR","SCALING_FORMAT=MLN","Sort=A","Dates=H","DateFormat=P","Fill=—","Direction=H","UseDPDF=Y")</f>
        <v>-9.9000000000000005E-2</v>
      </c>
      <c r="D76" s="13">
        <f>_xll.BDH("SRPT US Equity","OTHER_EQUITY_RATIO","FQ1 2019","FQ1 2019","Currency=USD","Period=FQ","BEST_FPERIOD_OVERRIDE=FQ","FILING_STATUS=MR","SCALING_FORMAT=MLN","Sort=A","Dates=H","DateFormat=P","Fill=—","Direction=H","UseDPDF=Y")</f>
        <v>1.9E-2</v>
      </c>
      <c r="E76" s="13">
        <f>_xll.BDH("SRPT US Equity","OTHER_EQUITY_RATIO","FQ2 2019","FQ2 2019","Currency=USD","Period=FQ","BEST_FPERIOD_OVERRIDE=FQ","FILING_STATUS=MR","SCALING_FORMAT=MLN","Sort=A","Dates=H","DateFormat=P","Fill=—","Direction=H","UseDPDF=Y")</f>
        <v>8.2000000000000003E-2</v>
      </c>
      <c r="F76" s="13">
        <f>_xll.BDH("SRPT US Equity","OTHER_EQUITY_RATIO","FQ3 2019","FQ3 2019","Currency=USD","Period=FQ","BEST_FPERIOD_OVERRIDE=FQ","FILING_STATUS=MR","SCALING_FORMAT=MLN","Sort=A","Dates=H","DateFormat=P","Fill=—","Direction=H","UseDPDF=Y")</f>
        <v>7.4999999999999997E-2</v>
      </c>
      <c r="G76" s="13">
        <f>_xll.BDH("SRPT US Equity","OTHER_EQUITY_RATIO","FQ4 2019","FQ4 2019","Currency=USD","Period=FQ","BEST_FPERIOD_OVERRIDE=FQ","FILING_STATUS=MR","SCALING_FORMAT=MLN","Sort=A","Dates=H","DateFormat=P","Fill=—","Direction=H","UseDPDF=Y")</f>
        <v>0.05</v>
      </c>
      <c r="H76" s="13">
        <f>_xll.BDH("SRPT US Equity","OTHER_EQUITY_RATIO","FQ1 2020","FQ1 2020","Currency=USD","Period=FQ","BEST_FPERIOD_OVERRIDE=FQ","FILING_STATUS=MR","SCALING_FORMAT=MLN","Sort=A","Dates=H","DateFormat=P","Fill=—","Direction=H","UseDPDF=Y")</f>
        <v>0.624</v>
      </c>
      <c r="I76" s="13">
        <f>_xll.BDH("SRPT US Equity","OTHER_EQUITY_RATIO","FQ2 2020","FQ2 2020","Currency=USD","Period=FQ","BEST_FPERIOD_OVERRIDE=FQ","FILING_STATUS=MR","SCALING_FORMAT=MLN","Sort=A","Dates=H","DateFormat=P","Fill=—","Direction=H","UseDPDF=Y")</f>
        <v>6.0000000000000001E-3</v>
      </c>
      <c r="J76" s="13">
        <f>_xll.BDH("SRPT US Equity","OTHER_EQUITY_RATIO","FQ3 2020","FQ3 2020","Currency=USD","Period=FQ","BEST_FPERIOD_OVERRIDE=FQ","FILING_STATUS=MR","SCALING_FORMAT=MLN","Sort=A","Dates=H","DateFormat=P","Fill=—","Direction=H","UseDPDF=Y")</f>
        <v>-6.0000000000000001E-3</v>
      </c>
      <c r="K76" s="13">
        <f>_xll.BDH("SRPT US Equity","OTHER_EQUITY_RATIO","FQ4 2020","FQ4 2020","Currency=USD","Period=FQ","BEST_FPERIOD_OVERRIDE=FQ","FILING_STATUS=MR","SCALING_FORMAT=MLN","Sort=A","Dates=H","DateFormat=P","Fill=—","Direction=H","UseDPDF=Y")</f>
        <v>3.0000000000000001E-3</v>
      </c>
      <c r="L76" s="13">
        <f>_xll.BDH("SRPT US Equity","OTHER_EQUITY_RATIO","FQ1 2021","FQ1 2021","Currency=USD","Period=FQ","BEST_FPERIOD_OVERRIDE=FQ","FILING_STATUS=MR","SCALING_FORMAT=MLN","Sort=A","Dates=H","DateFormat=P","Fill=—","Direction=H","UseDPDF=Y")</f>
        <v>-3.0000000000000001E-3</v>
      </c>
      <c r="M76" s="13">
        <f>_xll.BDH("SRPT US Equity","OTHER_EQUITY_RATIO","FQ2 2021","FQ2 2021","Currency=USD","Period=FQ","BEST_FPERIOD_OVERRIDE=FQ","FILING_STATUS=MR","SCALING_FORMAT=MLN","Sort=A","Dates=H","DateFormat=P","Fill=—","Direction=H","UseDPDF=Y")</f>
        <v>2E-3</v>
      </c>
      <c r="N76" s="13">
        <f>_xll.BDH("SRPT US Equity","OTHER_EQUITY_RATIO","FQ3 2021","FQ3 2021","Currency=USD","Period=FQ","BEST_FPERIOD_OVERRIDE=FQ","FILING_STATUS=MR","SCALING_FORMAT=MLN","Sort=A","Dates=H","DateFormat=P","Fill=—","Direction=H","UseDPDF=Y")</f>
        <v>-0.02</v>
      </c>
      <c r="O76" s="13">
        <f>_xll.BDH("SRPT US Equity","OTHER_EQUITY_RATIO","FQ4 2021","FQ4 2021","Currency=USD","Period=FQ","BEST_FPERIOD_OVERRIDE=FQ","FILING_STATUS=MR","SCALING_FORMAT=MLN","Sort=A","Dates=H","DateFormat=P","Fill=—","Direction=H","UseDPDF=Y")</f>
        <v>-0.02</v>
      </c>
      <c r="P76" s="13">
        <f>_xll.BDH("SRPT US Equity","OTHER_EQUITY_RATIO","FQ1 2022","FQ1 2022","Currency=USD","Period=FQ","BEST_FPERIOD_OVERRIDE=FQ","FILING_STATUS=MR","SCALING_FORMAT=MLN","Sort=A","Dates=H","DateFormat=P","Fill=—","Direction=H","UseDPDF=Y")</f>
        <v>-0.30599999999999999</v>
      </c>
      <c r="Q76" s="13">
        <f>_xll.BDH("SRPT US Equity","OTHER_EQUITY_RATIO","FQ2 2022","FQ2 2022","Currency=USD","Period=FQ","BEST_FPERIOD_OVERRIDE=FQ","FILING_STATUS=MR","SCALING_FORMAT=MLN","Sort=A","Dates=H","DateFormat=P","Fill=—","Direction=H","UseDPDF=Y")</f>
        <v>-2.4849999999999999</v>
      </c>
      <c r="R76" s="13">
        <f>_xll.BDH("SRPT US Equity","OTHER_EQUITY_RATIO","FQ3 2022","FQ3 2022","Currency=USD","Period=FQ","BEST_FPERIOD_OVERRIDE=FQ","FILING_STATUS=MR","SCALING_FORMAT=MLN","Sort=A","Dates=H","DateFormat=P","Fill=—","Direction=H","UseDPDF=Y")</f>
        <v>-3.2050000000000001</v>
      </c>
      <c r="S76" s="13">
        <f>_xll.BDH("SRPT US Equity","OTHER_EQUITY_RATIO","FQ4 2022","FQ4 2022","Currency=USD","Period=FQ","BEST_FPERIOD_OVERRIDE=FQ","FILING_STATUS=MR","SCALING_FORMAT=MLN","Sort=A","Dates=H","DateFormat=P","Fill=—","Direction=H","UseDPDF=Y")</f>
        <v>-1.6639999999999999</v>
      </c>
      <c r="T76" s="13">
        <f>_xll.BDH("SRPT US Equity","OTHER_EQUITY_RATIO","FQ1 2023","FQ1 2023","Currency=USD","Period=FQ","BEST_FPERIOD_OVERRIDE=FQ","FILING_STATUS=MR","SCALING_FORMAT=MLN","Sort=A","Dates=H","DateFormat=P","Fill=—","Direction=H","UseDPDF=Y")</f>
        <v>-0.41899999999999998</v>
      </c>
      <c r="U76" s="13">
        <f>_xll.BDH("SRPT US Equity","OTHER_EQUITY_RATIO","FQ2 2023","FQ2 2023","Currency=USD","Period=FQ","BEST_FPERIOD_OVERRIDE=FQ","FILING_STATUS=MR","SCALING_FORMAT=MLN","Sort=A","Dates=H","DateFormat=P","Fill=—","Direction=H","UseDPDF=Y")</f>
        <v>-1.0549999999999999</v>
      </c>
      <c r="V76" s="13">
        <f>_xll.BDH("SRPT US Equity","OTHER_EQUITY_RATIO","FQ3 2023","FQ3 2023","Currency=USD","Period=FQ","BEST_FPERIOD_OVERRIDE=FQ","FILING_STATUS=MR","SCALING_FORMAT=MLN","Sort=A","Dates=H","DateFormat=P","Fill=—","Direction=H","UseDPDF=Y")</f>
        <v>-0.63800000000000001</v>
      </c>
      <c r="W76" s="13">
        <f>_xll.BDH("SRPT US Equity","OTHER_EQUITY_RATIO","FQ4 2023","FQ4 2023","Currency=USD","Period=FQ","BEST_FPERIOD_OVERRIDE=FQ","FILING_STATUS=MR","SCALING_FORMAT=MLN","Sort=A","Dates=H","DateFormat=P","Fill=—","Direction=H","UseDPDF=Y")</f>
        <v>0.91800000000000004</v>
      </c>
      <c r="X76" s="13">
        <f>_xll.BDH("SRPT US Equity","OTHER_EQUITY_RATIO","FQ1 2024","FQ1 2024","Currency=USD","Period=FQ","BEST_FPERIOD_OVERRIDE=FQ","FILING_STATUS=MR","SCALING_FORMAT=MLN","Sort=A","Dates=H","DateFormat=P","Fill=—","Direction=H","UseDPDF=Y")</f>
        <v>-0.69099999999999995</v>
      </c>
      <c r="Y76" s="13">
        <f>_xll.BDH("SRPT US Equity","OTHER_EQUITY_RATIO","FQ2 2024","FQ2 2024","Currency=USD","Period=FQ","BEST_FPERIOD_OVERRIDE=FQ","FILING_STATUS=MR","SCALING_FORMAT=MLN","Sort=A","Dates=H","DateFormat=P","Fill=—","Direction=H","UseDPDF=Y")</f>
        <v>-1.03</v>
      </c>
      <c r="Z76" s="13">
        <f>_xll.BDH("SRPT US Equity","OTHER_EQUITY_RATIO","FQ3 2024","FQ3 2024","Currency=USD","Period=FQ","BEST_FPERIOD_OVERRIDE=FQ","FILING_STATUS=MR","SCALING_FORMAT=MLN","Sort=A","Dates=H","DateFormat=P","Fill=—","Direction=H","UseDPDF=Y")</f>
        <v>2.2450000000000001</v>
      </c>
      <c r="AA76" s="13">
        <f>_xll.BDH("SRPT US Equity","OTHER_EQUITY_RATIO","FQ4 2024","FQ4 2024","Currency=USD","Period=FQ","BEST_FPERIOD_OVERRIDE=FQ","FILING_STATUS=MR","SCALING_FORMAT=MLN","Sort=A","Dates=H","DateFormat=P","Fill=—","Direction=H","UseDPDF=Y")</f>
        <v>-0.218</v>
      </c>
    </row>
    <row r="77" spans="1:27" x14ac:dyDescent="0.25">
      <c r="A77" s="6" t="s">
        <v>816</v>
      </c>
      <c r="B77" s="6" t="s">
        <v>817</v>
      </c>
      <c r="C77" s="19">
        <f>_xll.BDH("SRPT US Equity","EQTY_BEF_MINORITY_INT_DETAILED","FQ4 2018","FQ4 2018","Currency=USD","Period=FQ","BEST_FPERIOD_OVERRIDE=FQ","FILING_STATUS=MR","SCALING_FORMAT=MLN","Sort=A","Dates=H","DateFormat=P","Fill=—","Direction=H","UseDPDF=Y")</f>
        <v>1032.2760000000001</v>
      </c>
      <c r="D77" s="19">
        <f>_xll.BDH("SRPT US Equity","EQTY_BEF_MINORITY_INT_DETAILED","FQ1 2019","FQ1 2019","Currency=USD","Period=FQ","BEST_FPERIOD_OVERRIDE=FQ","FILING_STATUS=MR","SCALING_FORMAT=MLN","Sort=A","Dates=H","DateFormat=P","Fill=—","Direction=H","UseDPDF=Y")</f>
        <v>1348.5640000000001</v>
      </c>
      <c r="E77" s="19">
        <f>_xll.BDH("SRPT US Equity","EQTY_BEF_MINORITY_INT_DETAILED","FQ2 2019","FQ2 2019","Currency=USD","Period=FQ","BEST_FPERIOD_OVERRIDE=FQ","FILING_STATUS=MR","SCALING_FORMAT=MLN","Sort=A","Dates=H","DateFormat=P","Fill=—","Direction=H","UseDPDF=Y")</f>
        <v>1099.1669999999999</v>
      </c>
      <c r="F77" s="19">
        <f>_xll.BDH("SRPT US Equity","EQTY_BEF_MINORITY_INT_DETAILED","FQ3 2019","FQ3 2019","Currency=USD","Period=FQ","BEST_FPERIOD_OVERRIDE=FQ","FILING_STATUS=MR","SCALING_FORMAT=MLN","Sort=A","Dates=H","DateFormat=P","Fill=—","Direction=H","UseDPDF=Y")</f>
        <v>995.20399999999995</v>
      </c>
      <c r="G77" s="19">
        <f>_xll.BDH("SRPT US Equity","EQTY_BEF_MINORITY_INT_DETAILED","FQ4 2019","FQ4 2019","Currency=USD","Period=FQ","BEST_FPERIOD_OVERRIDE=FQ","FILING_STATUS=MR","SCALING_FORMAT=MLN","Sort=A","Dates=H","DateFormat=P","Fill=—","Direction=H","UseDPDF=Y")</f>
        <v>818.18700000000001</v>
      </c>
      <c r="H77" s="19">
        <f>_xll.BDH("SRPT US Equity","EQTY_BEF_MINORITY_INT_DETAILED","FQ1 2020","FQ1 2020","Currency=USD","Period=FQ","BEST_FPERIOD_OVERRIDE=FQ","FILING_STATUS=MR","SCALING_FORMAT=MLN","Sort=A","Dates=H","DateFormat=P","Fill=—","Direction=H","UseDPDF=Y")</f>
        <v>1144.828</v>
      </c>
      <c r="I77" s="19">
        <f>_xll.BDH("SRPT US Equity","EQTY_BEF_MINORITY_INT_DETAILED","FQ2 2020","FQ2 2020","Currency=USD","Period=FQ","BEST_FPERIOD_OVERRIDE=FQ","FILING_STATUS=MR","SCALING_FORMAT=MLN","Sort=A","Dates=H","DateFormat=P","Fill=—","Direction=H","UseDPDF=Y")</f>
        <v>1042.866</v>
      </c>
      <c r="J77" s="19">
        <f>_xll.BDH("SRPT US Equity","EQTY_BEF_MINORITY_INT_DETAILED","FQ3 2020","FQ3 2020","Currency=USD","Period=FQ","BEST_FPERIOD_OVERRIDE=FQ","FILING_STATUS=MR","SCALING_FORMAT=MLN","Sort=A","Dates=H","DateFormat=P","Fill=—","Direction=H","UseDPDF=Y")</f>
        <v>892.04700000000003</v>
      </c>
      <c r="K77" s="19">
        <f>_xll.BDH("SRPT US Equity","EQTY_BEF_MINORITY_INT_DETAILED","FQ4 2020","FQ4 2020","Currency=USD","Period=FQ","BEST_FPERIOD_OVERRIDE=FQ","FILING_STATUS=MR","SCALING_FORMAT=MLN","Sort=A","Dates=H","DateFormat=P","Fill=—","Direction=H","UseDPDF=Y")</f>
        <v>761.75900000000001</v>
      </c>
      <c r="L77" s="19">
        <f>_xll.BDH("SRPT US Equity","EQTY_BEF_MINORITY_INT_DETAILED","FQ1 2021","FQ1 2021","Currency=USD","Period=FQ","BEST_FPERIOD_OVERRIDE=FQ","FILING_STATUS=MR","SCALING_FORMAT=MLN","Sort=A","Dates=H","DateFormat=P","Fill=—","Direction=H","UseDPDF=Y")</f>
        <v>535.44500000000005</v>
      </c>
      <c r="M77" s="19">
        <f>_xll.BDH("SRPT US Equity","EQTY_BEF_MINORITY_INT_DETAILED","FQ2 2021","FQ2 2021","Currency=USD","Period=FQ","BEST_FPERIOD_OVERRIDE=FQ","FILING_STATUS=MR","SCALING_FORMAT=MLN","Sort=A","Dates=H","DateFormat=P","Fill=—","Direction=H","UseDPDF=Y")</f>
        <v>485.108</v>
      </c>
      <c r="N77" s="19">
        <f>_xll.BDH("SRPT US Equity","EQTY_BEF_MINORITY_INT_DETAILED","FQ3 2021","FQ3 2021","Currency=USD","Period=FQ","BEST_FPERIOD_OVERRIDE=FQ","FILING_STATUS=MR","SCALING_FORMAT=MLN","Sort=A","Dates=H","DateFormat=P","Fill=—","Direction=H","UseDPDF=Y")</f>
        <v>469.52800000000002</v>
      </c>
      <c r="O77" s="19">
        <f>_xll.BDH("SRPT US Equity","EQTY_BEF_MINORITY_INT_DETAILED","FQ4 2021","FQ4 2021","Currency=USD","Period=FQ","BEST_FPERIOD_OVERRIDE=FQ","FILING_STATUS=MR","SCALING_FORMAT=MLN","Sort=A","Dates=H","DateFormat=P","Fill=—","Direction=H","UseDPDF=Y")</f>
        <v>928.00900000000001</v>
      </c>
      <c r="P77" s="19">
        <f>_xll.BDH("SRPT US Equity","EQTY_BEF_MINORITY_INT_DETAILED","FQ1 2022","FQ1 2022","Currency=USD","Period=FQ","BEST_FPERIOD_OVERRIDE=FQ","FILING_STATUS=MR","SCALING_FORMAT=MLN","Sort=A","Dates=H","DateFormat=P","Fill=—","Direction=H","UseDPDF=Y")</f>
        <v>856.88599999999997</v>
      </c>
      <c r="Q77" s="19">
        <f>_xll.BDH("SRPT US Equity","EQTY_BEF_MINORITY_INT_DETAILED","FQ2 2022","FQ2 2022","Currency=USD","Period=FQ","BEST_FPERIOD_OVERRIDE=FQ","FILING_STATUS=MR","SCALING_FORMAT=MLN","Sort=A","Dates=H","DateFormat=P","Fill=—","Direction=H","UseDPDF=Y")</f>
        <v>726.45699999999999</v>
      </c>
      <c r="R77" s="19">
        <f>_xll.BDH("SRPT US Equity","EQTY_BEF_MINORITY_INT_DETAILED","FQ3 2022","FQ3 2022","Currency=USD","Period=FQ","BEST_FPERIOD_OVERRIDE=FQ","FILING_STATUS=MR","SCALING_FORMAT=MLN","Sort=A","Dates=H","DateFormat=P","Fill=—","Direction=H","UseDPDF=Y")</f>
        <v>430.84</v>
      </c>
      <c r="S77" s="19">
        <f>_xll.BDH("SRPT US Equity","EQTY_BEF_MINORITY_INT_DETAILED","FQ4 2022","FQ4 2022","Currency=USD","Period=FQ","BEST_FPERIOD_OVERRIDE=FQ","FILING_STATUS=MR","SCALING_FORMAT=MLN","Sort=A","Dates=H","DateFormat=P","Fill=—","Direction=H","UseDPDF=Y")</f>
        <v>384.95</v>
      </c>
      <c r="T77" s="19">
        <f>_xll.BDH("SRPT US Equity","EQTY_BEF_MINORITY_INT_DETAILED","FQ1 2023","FQ1 2023","Currency=USD","Period=FQ","BEST_FPERIOD_OVERRIDE=FQ","FILING_STATUS=MR","SCALING_FORMAT=MLN","Sort=A","Dates=H","DateFormat=P","Fill=—","Direction=H","UseDPDF=Y")</f>
        <v>712.74900000000002</v>
      </c>
      <c r="U77" s="19">
        <f>_xll.BDH("SRPT US Equity","EQTY_BEF_MINORITY_INT_DETAILED","FQ2 2023","FQ2 2023","Currency=USD","Period=FQ","BEST_FPERIOD_OVERRIDE=FQ","FILING_STATUS=MR","SCALING_FORMAT=MLN","Sort=A","Dates=H","DateFormat=P","Fill=—","Direction=H","UseDPDF=Y")</f>
        <v>741.41099999999994</v>
      </c>
      <c r="V77" s="19">
        <f>_xll.BDH("SRPT US Equity","EQTY_BEF_MINORITY_INT_DETAILED","FQ3 2023","FQ3 2023","Currency=USD","Period=FQ","BEST_FPERIOD_OVERRIDE=FQ","FILING_STATUS=MR","SCALING_FORMAT=MLN","Sort=A","Dates=H","DateFormat=P","Fill=—","Direction=H","UseDPDF=Y")</f>
        <v>764.35699999999997</v>
      </c>
      <c r="W77" s="19">
        <f>_xll.BDH("SRPT US Equity","EQTY_BEF_MINORITY_INT_DETAILED","FQ4 2023","FQ4 2023","Currency=USD","Period=FQ","BEST_FPERIOD_OVERRIDE=FQ","FILING_STATUS=MR","SCALING_FORMAT=MLN","Sort=A","Dates=H","DateFormat=P","Fill=—","Direction=H","UseDPDF=Y")</f>
        <v>859.33699999999999</v>
      </c>
      <c r="X77" s="19">
        <f>_xll.BDH("SRPT US Equity","EQTY_BEF_MINORITY_INT_DETAILED","FQ1 2024","FQ1 2024","Currency=USD","Period=FQ","BEST_FPERIOD_OVERRIDE=FQ","FILING_STATUS=MR","SCALING_FORMAT=MLN","Sort=A","Dates=H","DateFormat=P","Fill=—","Direction=H","UseDPDF=Y")</f>
        <v>961.19200000000001</v>
      </c>
      <c r="Y77" s="19">
        <f>_xll.BDH("SRPT US Equity","EQTY_BEF_MINORITY_INT_DETAILED","FQ2 2024","FQ2 2024","Currency=USD","Period=FQ","BEST_FPERIOD_OVERRIDE=FQ","FILING_STATUS=MR","SCALING_FORMAT=MLN","Sort=A","Dates=H","DateFormat=P","Fill=—","Direction=H","UseDPDF=Y")</f>
        <v>1077.069</v>
      </c>
      <c r="Z77" s="19">
        <f>_xll.BDH("SRPT US Equity","EQTY_BEF_MINORITY_INT_DETAILED","FQ3 2024","FQ3 2024","Currency=USD","Period=FQ","BEST_FPERIOD_OVERRIDE=FQ","FILING_STATUS=MR","SCALING_FORMAT=MLN","Sort=A","Dates=H","DateFormat=P","Fill=—","Direction=H","UseDPDF=Y")</f>
        <v>1221.0709999999999</v>
      </c>
      <c r="AA77" s="19">
        <f>_xll.BDH("SRPT US Equity","EQTY_BEF_MINORITY_INT_DETAILED","FQ4 2024","FQ4 2024","Currency=USD","Period=FQ","BEST_FPERIOD_OVERRIDE=FQ","FILING_STATUS=MR","SCALING_FORMAT=MLN","Sort=A","Dates=H","DateFormat=P","Fill=—","Direction=H","UseDPDF=Y")</f>
        <v>1527.742</v>
      </c>
    </row>
    <row r="78" spans="1:27" x14ac:dyDescent="0.25">
      <c r="A78" s="10" t="s">
        <v>818</v>
      </c>
      <c r="B78" s="10" t="s">
        <v>170</v>
      </c>
      <c r="C78" s="13">
        <f>_xll.BDH("SRPT US Equity","MINORITY_NONCONTROLLING_INTEREST","FQ4 2018","FQ4 2018","Currency=USD","Period=FQ","BEST_FPERIOD_OVERRIDE=FQ","FILING_STATUS=MR","SCALING_FORMAT=MLN","Sort=A","Dates=H","DateFormat=P","Fill=—","Direction=H","UseDPDF=Y")</f>
        <v>0</v>
      </c>
      <c r="D78" s="13">
        <f>_xll.BDH("SRPT US Equity","MINORITY_NONCONTROLLING_INTEREST","FQ1 2019","FQ1 2019","Currency=USD","Period=FQ","BEST_FPERIOD_OVERRIDE=FQ","FILING_STATUS=MR","SCALING_FORMAT=MLN","Sort=A","Dates=H","DateFormat=P","Fill=—","Direction=H","UseDPDF=Y")</f>
        <v>0</v>
      </c>
      <c r="E78" s="13">
        <f>_xll.BDH("SRPT US Equity","MINORITY_NONCONTROLLING_INTEREST","FQ2 2019","FQ2 2019","Currency=USD","Period=FQ","BEST_FPERIOD_OVERRIDE=FQ","FILING_STATUS=MR","SCALING_FORMAT=MLN","Sort=A","Dates=H","DateFormat=P","Fill=—","Direction=H","UseDPDF=Y")</f>
        <v>0</v>
      </c>
      <c r="F78" s="13">
        <f>_xll.BDH("SRPT US Equity","MINORITY_NONCONTROLLING_INTEREST","FQ3 2019","FQ3 2019","Currency=USD","Period=FQ","BEST_FPERIOD_OVERRIDE=FQ","FILING_STATUS=MR","SCALING_FORMAT=MLN","Sort=A","Dates=H","DateFormat=P","Fill=—","Direction=H","UseDPDF=Y")</f>
        <v>0</v>
      </c>
      <c r="G78" s="13">
        <f>_xll.BDH("SRPT US Equity","MINORITY_NONCONTROLLING_INTEREST","FQ4 2019","FQ4 2019","Currency=USD","Period=FQ","BEST_FPERIOD_OVERRIDE=FQ","FILING_STATUS=MR","SCALING_FORMAT=MLN","Sort=A","Dates=H","DateFormat=P","Fill=—","Direction=H","UseDPDF=Y")</f>
        <v>0</v>
      </c>
      <c r="H78" s="13">
        <f>_xll.BDH("SRPT US Equity","MINORITY_NONCONTROLLING_INTEREST","FQ1 2020","FQ1 2020","Currency=USD","Period=FQ","BEST_FPERIOD_OVERRIDE=FQ","FILING_STATUS=MR","SCALING_FORMAT=MLN","Sort=A","Dates=H","DateFormat=P","Fill=—","Direction=H","UseDPDF=Y")</f>
        <v>0</v>
      </c>
      <c r="I78" s="13">
        <f>_xll.BDH("SRPT US Equity","MINORITY_NONCONTROLLING_INTEREST","FQ2 2020","FQ2 2020","Currency=USD","Period=FQ","BEST_FPERIOD_OVERRIDE=FQ","FILING_STATUS=MR","SCALING_FORMAT=MLN","Sort=A","Dates=H","DateFormat=P","Fill=—","Direction=H","UseDPDF=Y")</f>
        <v>0</v>
      </c>
      <c r="J78" s="13">
        <f>_xll.BDH("SRPT US Equity","MINORITY_NONCONTROLLING_INTEREST","FQ3 2020","FQ3 2020","Currency=USD","Period=FQ","BEST_FPERIOD_OVERRIDE=FQ","FILING_STATUS=MR","SCALING_FORMAT=MLN","Sort=A","Dates=H","DateFormat=P","Fill=—","Direction=H","UseDPDF=Y")</f>
        <v>0</v>
      </c>
      <c r="K78" s="13">
        <f>_xll.BDH("SRPT US Equity","MINORITY_NONCONTROLLING_INTEREST","FQ4 2020","FQ4 2020","Currency=USD","Period=FQ","BEST_FPERIOD_OVERRIDE=FQ","FILING_STATUS=MR","SCALING_FORMAT=MLN","Sort=A","Dates=H","DateFormat=P","Fill=—","Direction=H","UseDPDF=Y")</f>
        <v>0</v>
      </c>
      <c r="L78" s="13">
        <f>_xll.BDH("SRPT US Equity","MINORITY_NONCONTROLLING_INTEREST","FQ1 2021","FQ1 2021","Currency=USD","Period=FQ","BEST_FPERIOD_OVERRIDE=FQ","FILING_STATUS=MR","SCALING_FORMAT=MLN","Sort=A","Dates=H","DateFormat=P","Fill=—","Direction=H","UseDPDF=Y")</f>
        <v>0</v>
      </c>
      <c r="M78" s="13">
        <f>_xll.BDH("SRPT US Equity","MINORITY_NONCONTROLLING_INTEREST","FQ2 2021","FQ2 2021","Currency=USD","Period=FQ","BEST_FPERIOD_OVERRIDE=FQ","FILING_STATUS=MR","SCALING_FORMAT=MLN","Sort=A","Dates=H","DateFormat=P","Fill=—","Direction=H","UseDPDF=Y")</f>
        <v>0</v>
      </c>
      <c r="N78" s="13">
        <f>_xll.BDH("SRPT US Equity","MINORITY_NONCONTROLLING_INTEREST","FQ3 2021","FQ3 2021","Currency=USD","Period=FQ","BEST_FPERIOD_OVERRIDE=FQ","FILING_STATUS=MR","SCALING_FORMAT=MLN","Sort=A","Dates=H","DateFormat=P","Fill=—","Direction=H","UseDPDF=Y")</f>
        <v>0</v>
      </c>
      <c r="O78" s="13">
        <f>_xll.BDH("SRPT US Equity","MINORITY_NONCONTROLLING_INTEREST","FQ4 2021","FQ4 2021","Currency=USD","Period=FQ","BEST_FPERIOD_OVERRIDE=FQ","FILING_STATUS=MR","SCALING_FORMAT=MLN","Sort=A","Dates=H","DateFormat=P","Fill=—","Direction=H","UseDPDF=Y")</f>
        <v>0</v>
      </c>
      <c r="P78" s="13">
        <f>_xll.BDH("SRPT US Equity","MINORITY_NONCONTROLLING_INTEREST","FQ1 2022","FQ1 2022","Currency=USD","Period=FQ","BEST_FPERIOD_OVERRIDE=FQ","FILING_STATUS=MR","SCALING_FORMAT=MLN","Sort=A","Dates=H","DateFormat=P","Fill=—","Direction=H","UseDPDF=Y")</f>
        <v>0</v>
      </c>
      <c r="Q78" s="13">
        <f>_xll.BDH("SRPT US Equity","MINORITY_NONCONTROLLING_INTEREST","FQ2 2022","FQ2 2022","Currency=USD","Period=FQ","BEST_FPERIOD_OVERRIDE=FQ","FILING_STATUS=MR","SCALING_FORMAT=MLN","Sort=A","Dates=H","DateFormat=P","Fill=—","Direction=H","UseDPDF=Y")</f>
        <v>0</v>
      </c>
      <c r="R78" s="13">
        <f>_xll.BDH("SRPT US Equity","MINORITY_NONCONTROLLING_INTEREST","FQ3 2022","FQ3 2022","Currency=USD","Period=FQ","BEST_FPERIOD_OVERRIDE=FQ","FILING_STATUS=MR","SCALING_FORMAT=MLN","Sort=A","Dates=H","DateFormat=P","Fill=—","Direction=H","UseDPDF=Y")</f>
        <v>0</v>
      </c>
      <c r="S78" s="13">
        <f>_xll.BDH("SRPT US Equity","MINORITY_NONCONTROLLING_INTEREST","FQ4 2022","FQ4 2022","Currency=USD","Period=FQ","BEST_FPERIOD_OVERRIDE=FQ","FILING_STATUS=MR","SCALING_FORMAT=MLN","Sort=A","Dates=H","DateFormat=P","Fill=—","Direction=H","UseDPDF=Y")</f>
        <v>0</v>
      </c>
      <c r="T78" s="13">
        <f>_xll.BDH("SRPT US Equity","MINORITY_NONCONTROLLING_INTEREST","FQ1 2023","FQ1 2023","Currency=USD","Period=FQ","BEST_FPERIOD_OVERRIDE=FQ","FILING_STATUS=MR","SCALING_FORMAT=MLN","Sort=A","Dates=H","DateFormat=P","Fill=—","Direction=H","UseDPDF=Y")</f>
        <v>0</v>
      </c>
      <c r="U78" s="13">
        <f>_xll.BDH("SRPT US Equity","MINORITY_NONCONTROLLING_INTEREST","FQ2 2023","FQ2 2023","Currency=USD","Period=FQ","BEST_FPERIOD_OVERRIDE=FQ","FILING_STATUS=MR","SCALING_FORMAT=MLN","Sort=A","Dates=H","DateFormat=P","Fill=—","Direction=H","UseDPDF=Y")</f>
        <v>0</v>
      </c>
      <c r="V78" s="13">
        <f>_xll.BDH("SRPT US Equity","MINORITY_NONCONTROLLING_INTEREST","FQ3 2023","FQ3 2023","Currency=USD","Period=FQ","BEST_FPERIOD_OVERRIDE=FQ","FILING_STATUS=MR","SCALING_FORMAT=MLN","Sort=A","Dates=H","DateFormat=P","Fill=—","Direction=H","UseDPDF=Y")</f>
        <v>0</v>
      </c>
      <c r="W78" s="13">
        <f>_xll.BDH("SRPT US Equity","MINORITY_NONCONTROLLING_INTEREST","FQ4 2023","FQ4 2023","Currency=USD","Period=FQ","BEST_FPERIOD_OVERRIDE=FQ","FILING_STATUS=MR","SCALING_FORMAT=MLN","Sort=A","Dates=H","DateFormat=P","Fill=—","Direction=H","UseDPDF=Y")</f>
        <v>0</v>
      </c>
      <c r="X78" s="13">
        <f>_xll.BDH("SRPT US Equity","MINORITY_NONCONTROLLING_INTEREST","FQ1 2024","FQ1 2024","Currency=USD","Period=FQ","BEST_FPERIOD_OVERRIDE=FQ","FILING_STATUS=MR","SCALING_FORMAT=MLN","Sort=A","Dates=H","DateFormat=P","Fill=—","Direction=H","UseDPDF=Y")</f>
        <v>0</v>
      </c>
      <c r="Y78" s="13">
        <f>_xll.BDH("SRPT US Equity","MINORITY_NONCONTROLLING_INTEREST","FQ2 2024","FQ2 2024","Currency=USD","Period=FQ","BEST_FPERIOD_OVERRIDE=FQ","FILING_STATUS=MR","SCALING_FORMAT=MLN","Sort=A","Dates=H","DateFormat=P","Fill=—","Direction=H","UseDPDF=Y")</f>
        <v>0</v>
      </c>
      <c r="Z78" s="13">
        <f>_xll.BDH("SRPT US Equity","MINORITY_NONCONTROLLING_INTEREST","FQ3 2024","FQ3 2024","Currency=USD","Period=FQ","BEST_FPERIOD_OVERRIDE=FQ","FILING_STATUS=MR","SCALING_FORMAT=MLN","Sort=A","Dates=H","DateFormat=P","Fill=—","Direction=H","UseDPDF=Y")</f>
        <v>0</v>
      </c>
      <c r="AA78" s="13">
        <f>_xll.BDH("SRPT US Equity","MINORITY_NONCONTROLLING_INTEREST","FQ4 2024","FQ4 2024","Currency=USD","Period=FQ","BEST_FPERIOD_OVERRIDE=FQ","FILING_STATUS=MR","SCALING_FORMAT=MLN","Sort=A","Dates=H","DateFormat=P","Fill=—","Direction=H","UseDPDF=Y")</f>
        <v>0</v>
      </c>
    </row>
    <row r="79" spans="1:27" x14ac:dyDescent="0.25">
      <c r="A79" s="6" t="s">
        <v>118</v>
      </c>
      <c r="B79" s="6" t="s">
        <v>119</v>
      </c>
      <c r="C79" s="19">
        <f>_xll.BDH("SRPT US Equity","TOTAL_EQUITY","FQ4 2018","FQ4 2018","Currency=USD","Period=FQ","BEST_FPERIOD_OVERRIDE=FQ","FILING_STATUS=MR","SCALING_FORMAT=MLN","Sort=A","Dates=H","DateFormat=P","Fill=—","Direction=H","UseDPDF=Y")</f>
        <v>1032.2760000000001</v>
      </c>
      <c r="D79" s="19">
        <f>_xll.BDH("SRPT US Equity","TOTAL_EQUITY","FQ1 2019","FQ1 2019","Currency=USD","Period=FQ","BEST_FPERIOD_OVERRIDE=FQ","FILING_STATUS=MR","SCALING_FORMAT=MLN","Sort=A","Dates=H","DateFormat=P","Fill=—","Direction=H","UseDPDF=Y")</f>
        <v>1348.5640000000001</v>
      </c>
      <c r="E79" s="19">
        <f>_xll.BDH("SRPT US Equity","TOTAL_EQUITY","FQ2 2019","FQ2 2019","Currency=USD","Period=FQ","BEST_FPERIOD_OVERRIDE=FQ","FILING_STATUS=MR","SCALING_FORMAT=MLN","Sort=A","Dates=H","DateFormat=P","Fill=—","Direction=H","UseDPDF=Y")</f>
        <v>1099.1669999999999</v>
      </c>
      <c r="F79" s="19">
        <f>_xll.BDH("SRPT US Equity","TOTAL_EQUITY","FQ3 2019","FQ3 2019","Currency=USD","Period=FQ","BEST_FPERIOD_OVERRIDE=FQ","FILING_STATUS=MR","SCALING_FORMAT=MLN","Sort=A","Dates=H","DateFormat=P","Fill=—","Direction=H","UseDPDF=Y")</f>
        <v>995.20399999999995</v>
      </c>
      <c r="G79" s="19">
        <f>_xll.BDH("SRPT US Equity","TOTAL_EQUITY","FQ4 2019","FQ4 2019","Currency=USD","Period=FQ","BEST_FPERIOD_OVERRIDE=FQ","FILING_STATUS=MR","SCALING_FORMAT=MLN","Sort=A","Dates=H","DateFormat=P","Fill=—","Direction=H","UseDPDF=Y")</f>
        <v>818.18700000000001</v>
      </c>
      <c r="H79" s="19">
        <f>_xll.BDH("SRPT US Equity","TOTAL_EQUITY","FQ1 2020","FQ1 2020","Currency=USD","Period=FQ","BEST_FPERIOD_OVERRIDE=FQ","FILING_STATUS=MR","SCALING_FORMAT=MLN","Sort=A","Dates=H","DateFormat=P","Fill=—","Direction=H","UseDPDF=Y")</f>
        <v>1144.828</v>
      </c>
      <c r="I79" s="19">
        <f>_xll.BDH("SRPT US Equity","TOTAL_EQUITY","FQ2 2020","FQ2 2020","Currency=USD","Period=FQ","BEST_FPERIOD_OVERRIDE=FQ","FILING_STATUS=MR","SCALING_FORMAT=MLN","Sort=A","Dates=H","DateFormat=P","Fill=—","Direction=H","UseDPDF=Y")</f>
        <v>1042.866</v>
      </c>
      <c r="J79" s="19">
        <f>_xll.BDH("SRPT US Equity","TOTAL_EQUITY","FQ3 2020","FQ3 2020","Currency=USD","Period=FQ","BEST_FPERIOD_OVERRIDE=FQ","FILING_STATUS=MR","SCALING_FORMAT=MLN","Sort=A","Dates=H","DateFormat=P","Fill=—","Direction=H","UseDPDF=Y")</f>
        <v>892.04700000000003</v>
      </c>
      <c r="K79" s="19">
        <f>_xll.BDH("SRPT US Equity","TOTAL_EQUITY","FQ4 2020","FQ4 2020","Currency=USD","Period=FQ","BEST_FPERIOD_OVERRIDE=FQ","FILING_STATUS=MR","SCALING_FORMAT=MLN","Sort=A","Dates=H","DateFormat=P","Fill=—","Direction=H","UseDPDF=Y")</f>
        <v>761.75900000000001</v>
      </c>
      <c r="L79" s="19">
        <f>_xll.BDH("SRPT US Equity","TOTAL_EQUITY","FQ1 2021","FQ1 2021","Currency=USD","Period=FQ","BEST_FPERIOD_OVERRIDE=FQ","FILING_STATUS=MR","SCALING_FORMAT=MLN","Sort=A","Dates=H","DateFormat=P","Fill=—","Direction=H","UseDPDF=Y")</f>
        <v>535.44500000000005</v>
      </c>
      <c r="M79" s="19">
        <f>_xll.BDH("SRPT US Equity","TOTAL_EQUITY","FQ2 2021","FQ2 2021","Currency=USD","Period=FQ","BEST_FPERIOD_OVERRIDE=FQ","FILING_STATUS=MR","SCALING_FORMAT=MLN","Sort=A","Dates=H","DateFormat=P","Fill=—","Direction=H","UseDPDF=Y")</f>
        <v>485.108</v>
      </c>
      <c r="N79" s="19">
        <f>_xll.BDH("SRPT US Equity","TOTAL_EQUITY","FQ3 2021","FQ3 2021","Currency=USD","Period=FQ","BEST_FPERIOD_OVERRIDE=FQ","FILING_STATUS=MR","SCALING_FORMAT=MLN","Sort=A","Dates=H","DateFormat=P","Fill=—","Direction=H","UseDPDF=Y")</f>
        <v>469.52800000000002</v>
      </c>
      <c r="O79" s="19">
        <f>_xll.BDH("SRPT US Equity","TOTAL_EQUITY","FQ4 2021","FQ4 2021","Currency=USD","Period=FQ","BEST_FPERIOD_OVERRIDE=FQ","FILING_STATUS=MR","SCALING_FORMAT=MLN","Sort=A","Dates=H","DateFormat=P","Fill=—","Direction=H","UseDPDF=Y")</f>
        <v>928.00900000000001</v>
      </c>
      <c r="P79" s="19">
        <f>_xll.BDH("SRPT US Equity","TOTAL_EQUITY","FQ1 2022","FQ1 2022","Currency=USD","Period=FQ","BEST_FPERIOD_OVERRIDE=FQ","FILING_STATUS=MR","SCALING_FORMAT=MLN","Sort=A","Dates=H","DateFormat=P","Fill=—","Direction=H","UseDPDF=Y")</f>
        <v>856.88599999999997</v>
      </c>
      <c r="Q79" s="19">
        <f>_xll.BDH("SRPT US Equity","TOTAL_EQUITY","FQ2 2022","FQ2 2022","Currency=USD","Period=FQ","BEST_FPERIOD_OVERRIDE=FQ","FILING_STATUS=MR","SCALING_FORMAT=MLN","Sort=A","Dates=H","DateFormat=P","Fill=—","Direction=H","UseDPDF=Y")</f>
        <v>726.45699999999999</v>
      </c>
      <c r="R79" s="19">
        <f>_xll.BDH("SRPT US Equity","TOTAL_EQUITY","FQ3 2022","FQ3 2022","Currency=USD","Period=FQ","BEST_FPERIOD_OVERRIDE=FQ","FILING_STATUS=MR","SCALING_FORMAT=MLN","Sort=A","Dates=H","DateFormat=P","Fill=—","Direction=H","UseDPDF=Y")</f>
        <v>430.84</v>
      </c>
      <c r="S79" s="19">
        <f>_xll.BDH("SRPT US Equity","TOTAL_EQUITY","FQ4 2022","FQ4 2022","Currency=USD","Period=FQ","BEST_FPERIOD_OVERRIDE=FQ","FILING_STATUS=MR","SCALING_FORMAT=MLN","Sort=A","Dates=H","DateFormat=P","Fill=—","Direction=H","UseDPDF=Y")</f>
        <v>384.95</v>
      </c>
      <c r="T79" s="19">
        <f>_xll.BDH("SRPT US Equity","TOTAL_EQUITY","FQ1 2023","FQ1 2023","Currency=USD","Period=FQ","BEST_FPERIOD_OVERRIDE=FQ","FILING_STATUS=MR","SCALING_FORMAT=MLN","Sort=A","Dates=H","DateFormat=P","Fill=—","Direction=H","UseDPDF=Y")</f>
        <v>712.74900000000002</v>
      </c>
      <c r="U79" s="19">
        <f>_xll.BDH("SRPT US Equity","TOTAL_EQUITY","FQ2 2023","FQ2 2023","Currency=USD","Period=FQ","BEST_FPERIOD_OVERRIDE=FQ","FILING_STATUS=MR","SCALING_FORMAT=MLN","Sort=A","Dates=H","DateFormat=P","Fill=—","Direction=H","UseDPDF=Y")</f>
        <v>741.41099999999994</v>
      </c>
      <c r="V79" s="19">
        <f>_xll.BDH("SRPT US Equity","TOTAL_EQUITY","FQ3 2023","FQ3 2023","Currency=USD","Period=FQ","BEST_FPERIOD_OVERRIDE=FQ","FILING_STATUS=MR","SCALING_FORMAT=MLN","Sort=A","Dates=H","DateFormat=P","Fill=—","Direction=H","UseDPDF=Y")</f>
        <v>764.35699999999997</v>
      </c>
      <c r="W79" s="19">
        <f>_xll.BDH("SRPT US Equity","TOTAL_EQUITY","FQ4 2023","FQ4 2023","Currency=USD","Period=FQ","BEST_FPERIOD_OVERRIDE=FQ","FILING_STATUS=MR","SCALING_FORMAT=MLN","Sort=A","Dates=H","DateFormat=P","Fill=—","Direction=H","UseDPDF=Y")</f>
        <v>859.33699999999999</v>
      </c>
      <c r="X79" s="19">
        <f>_xll.BDH("SRPT US Equity","TOTAL_EQUITY","FQ1 2024","FQ1 2024","Currency=USD","Period=FQ","BEST_FPERIOD_OVERRIDE=FQ","FILING_STATUS=MR","SCALING_FORMAT=MLN","Sort=A","Dates=H","DateFormat=P","Fill=—","Direction=H","UseDPDF=Y")</f>
        <v>961.19200000000001</v>
      </c>
      <c r="Y79" s="19">
        <f>_xll.BDH("SRPT US Equity","TOTAL_EQUITY","FQ2 2024","FQ2 2024","Currency=USD","Period=FQ","BEST_FPERIOD_OVERRIDE=FQ","FILING_STATUS=MR","SCALING_FORMAT=MLN","Sort=A","Dates=H","DateFormat=P","Fill=—","Direction=H","UseDPDF=Y")</f>
        <v>1077.069</v>
      </c>
      <c r="Z79" s="19">
        <f>_xll.BDH("SRPT US Equity","TOTAL_EQUITY","FQ3 2024","FQ3 2024","Currency=USD","Period=FQ","BEST_FPERIOD_OVERRIDE=FQ","FILING_STATUS=MR","SCALING_FORMAT=MLN","Sort=A","Dates=H","DateFormat=P","Fill=—","Direction=H","UseDPDF=Y")</f>
        <v>1221.0709999999999</v>
      </c>
      <c r="AA79" s="19">
        <f>_xll.BDH("SRPT US Equity","TOTAL_EQUITY","FQ4 2024","FQ4 2024","Currency=USD","Period=FQ","BEST_FPERIOD_OVERRIDE=FQ","FILING_STATUS=MR","SCALING_FORMAT=MLN","Sort=A","Dates=H","DateFormat=P","Fill=—","Direction=H","UseDPDF=Y")</f>
        <v>1527.742</v>
      </c>
    </row>
    <row r="80" spans="1:27" x14ac:dyDescent="0.25">
      <c r="A80" s="6" t="s">
        <v>819</v>
      </c>
      <c r="B80" s="6" t="s">
        <v>820</v>
      </c>
      <c r="C80" s="19">
        <f>_xll.BDH("SRPT US Equity","TOT_LIAB_AND_EQY","FQ4 2018","FQ4 2018","Currency=USD","Period=FQ","BEST_FPERIOD_OVERRIDE=FQ","FILING_STATUS=MR","SCALING_FORMAT=MLN","Sort=A","Dates=H","DateFormat=P","Fill=—","Direction=H","UseDPDF=Y")</f>
        <v>1642.075</v>
      </c>
      <c r="D80" s="19">
        <f>_xll.BDH("SRPT US Equity","TOT_LIAB_AND_EQY","FQ1 2019","FQ1 2019","Currency=USD","Period=FQ","BEST_FPERIOD_OVERRIDE=FQ","FILING_STATUS=MR","SCALING_FORMAT=MLN","Sort=A","Dates=H","DateFormat=P","Fill=—","Direction=H","UseDPDF=Y")</f>
        <v>1963.895</v>
      </c>
      <c r="E80" s="19">
        <f>_xll.BDH("SRPT US Equity","TOT_LIAB_AND_EQY","FQ2 2019","FQ2 2019","Currency=USD","Period=FQ","BEST_FPERIOD_OVERRIDE=FQ","FILING_STATUS=MR","SCALING_FORMAT=MLN","Sort=A","Dates=H","DateFormat=P","Fill=—","Direction=H","UseDPDF=Y")</f>
        <v>1747.7529999999999</v>
      </c>
      <c r="F80" s="19">
        <f>_xll.BDH("SRPT US Equity","TOT_LIAB_AND_EQY","FQ3 2019","FQ3 2019","Currency=USD","Period=FQ","BEST_FPERIOD_OVERRIDE=FQ","FILING_STATUS=MR","SCALING_FORMAT=MLN","Sort=A","Dates=H","DateFormat=P","Fill=—","Direction=H","UseDPDF=Y")</f>
        <v>1702.47</v>
      </c>
      <c r="G80" s="19">
        <f>_xll.BDH("SRPT US Equity","TOT_LIAB_AND_EQY","FQ4 2019","FQ4 2019","Currency=USD","Period=FQ","BEST_FPERIOD_OVERRIDE=FQ","FILING_STATUS=MR","SCALING_FORMAT=MLN","Sort=A","Dates=H","DateFormat=P","Fill=—","Direction=H","UseDPDF=Y")</f>
        <v>1822.8219999999999</v>
      </c>
      <c r="H80" s="19">
        <f>_xll.BDH("SRPT US Equity","TOT_LIAB_AND_EQY","FQ1 2020","FQ1 2020","Currency=USD","Period=FQ","BEST_FPERIOD_OVERRIDE=FQ","FILING_STATUS=MR","SCALING_FORMAT=MLN","Sort=A","Dates=H","DateFormat=P","Fill=—","Direction=H","UseDPDF=Y")</f>
        <v>2947.3879999999999</v>
      </c>
      <c r="I80" s="19">
        <f>_xll.BDH("SRPT US Equity","TOT_LIAB_AND_EQY","FQ2 2020","FQ2 2020","Currency=USD","Period=FQ","BEST_FPERIOD_OVERRIDE=FQ","FILING_STATUS=MR","SCALING_FORMAT=MLN","Sort=A","Dates=H","DateFormat=P","Fill=—","Direction=H","UseDPDF=Y")</f>
        <v>2883.0430000000001</v>
      </c>
      <c r="J80" s="19">
        <f>_xll.BDH("SRPT US Equity","TOT_LIAB_AND_EQY","FQ3 2020","FQ3 2020","Currency=USD","Period=FQ","BEST_FPERIOD_OVERRIDE=FQ","FILING_STATUS=MR","SCALING_FORMAT=MLN","Sort=A","Dates=H","DateFormat=P","Fill=—","Direction=H","UseDPDF=Y")</f>
        <v>2780.6640000000002</v>
      </c>
      <c r="K80" s="19">
        <f>_xll.BDH("SRPT US Equity","TOT_LIAB_AND_EQY","FQ4 2020","FQ4 2020","Currency=USD","Period=FQ","BEST_FPERIOD_OVERRIDE=FQ","FILING_STATUS=MR","SCALING_FORMAT=MLN","Sort=A","Dates=H","DateFormat=P","Fill=—","Direction=H","UseDPDF=Y")</f>
        <v>2984.7179999999998</v>
      </c>
      <c r="L80" s="19">
        <f>_xll.BDH("SRPT US Equity","TOT_LIAB_AND_EQY","FQ1 2021","FQ1 2021","Currency=USD","Period=FQ","BEST_FPERIOD_OVERRIDE=FQ","FILING_STATUS=MR","SCALING_FORMAT=MLN","Sort=A","Dates=H","DateFormat=P","Fill=—","Direction=H","UseDPDF=Y")</f>
        <v>2765.2330000000002</v>
      </c>
      <c r="M80" s="19">
        <f>_xll.BDH("SRPT US Equity","TOT_LIAB_AND_EQY","FQ2 2021","FQ2 2021","Currency=USD","Period=FQ","BEST_FPERIOD_OVERRIDE=FQ","FILING_STATUS=MR","SCALING_FORMAT=MLN","Sort=A","Dates=H","DateFormat=P","Fill=—","Direction=H","UseDPDF=Y")</f>
        <v>2759.0729999999999</v>
      </c>
      <c r="N80" s="19">
        <f>_xll.BDH("SRPT US Equity","TOT_LIAB_AND_EQY","FQ3 2021","FQ3 2021","Currency=USD","Period=FQ","BEST_FPERIOD_OVERRIDE=FQ","FILING_STATUS=MR","SCALING_FORMAT=MLN","Sort=A","Dates=H","DateFormat=P","Fill=—","Direction=H","UseDPDF=Y")</f>
        <v>2662.2179999999998</v>
      </c>
      <c r="O80" s="19">
        <f>_xll.BDH("SRPT US Equity","TOT_LIAB_AND_EQY","FQ4 2021","FQ4 2021","Currency=USD","Period=FQ","BEST_FPERIOD_OVERRIDE=FQ","FILING_STATUS=MR","SCALING_FORMAT=MLN","Sort=A","Dates=H","DateFormat=P","Fill=—","Direction=H","UseDPDF=Y")</f>
        <v>3147.9740000000002</v>
      </c>
      <c r="P80" s="19">
        <f>_xll.BDH("SRPT US Equity","TOT_LIAB_AND_EQY","FQ1 2022","FQ1 2022","Currency=USD","Period=FQ","BEST_FPERIOD_OVERRIDE=FQ","FILING_STATUS=MR","SCALING_FORMAT=MLN","Sort=A","Dates=H","DateFormat=P","Fill=—","Direction=H","UseDPDF=Y")</f>
        <v>3056.154</v>
      </c>
      <c r="Q80" s="19">
        <f>_xll.BDH("SRPT US Equity","TOT_LIAB_AND_EQY","FQ2 2022","FQ2 2022","Currency=USD","Period=FQ","BEST_FPERIOD_OVERRIDE=FQ","FILING_STATUS=MR","SCALING_FORMAT=MLN","Sort=A","Dates=H","DateFormat=P","Fill=—","Direction=H","UseDPDF=Y")</f>
        <v>2996.8530000000001</v>
      </c>
      <c r="R80" s="19">
        <f>_xll.BDH("SRPT US Equity","TOT_LIAB_AND_EQY","FQ3 2022","FQ3 2022","Currency=USD","Period=FQ","BEST_FPERIOD_OVERRIDE=FQ","FILING_STATUS=MR","SCALING_FORMAT=MLN","Sort=A","Dates=H","DateFormat=P","Fill=—","Direction=H","UseDPDF=Y")</f>
        <v>3156.1489999999999</v>
      </c>
      <c r="S80" s="19">
        <f>_xll.BDH("SRPT US Equity","TOT_LIAB_AND_EQY","FQ4 2022","FQ4 2022","Currency=USD","Period=FQ","BEST_FPERIOD_OVERRIDE=FQ","FILING_STATUS=MR","SCALING_FORMAT=MLN","Sort=A","Dates=H","DateFormat=P","Fill=—","Direction=H","UseDPDF=Y")</f>
        <v>3128.366</v>
      </c>
      <c r="T80" s="19">
        <f>_xll.BDH("SRPT US Equity","TOT_LIAB_AND_EQY","FQ1 2023","FQ1 2023","Currency=USD","Period=FQ","BEST_FPERIOD_OVERRIDE=FQ","FILING_STATUS=MR","SCALING_FORMAT=MLN","Sort=A","Dates=H","DateFormat=P","Fill=—","Direction=H","UseDPDF=Y")</f>
        <v>3059.7860000000001</v>
      </c>
      <c r="U80" s="19">
        <f>_xll.BDH("SRPT US Equity","TOT_LIAB_AND_EQY","FQ2 2023","FQ2 2023","Currency=USD","Period=FQ","BEST_FPERIOD_OVERRIDE=FQ","FILING_STATUS=MR","SCALING_FORMAT=MLN","Sort=A","Dates=H","DateFormat=P","Fill=—","Direction=H","UseDPDF=Y")</f>
        <v>3125.89</v>
      </c>
      <c r="V80" s="19">
        <f>_xll.BDH("SRPT US Equity","TOT_LIAB_AND_EQY","FQ3 2023","FQ3 2023","Currency=USD","Period=FQ","BEST_FPERIOD_OVERRIDE=FQ","FILING_STATUS=MR","SCALING_FORMAT=MLN","Sort=A","Dates=H","DateFormat=P","Fill=—","Direction=H","UseDPDF=Y")</f>
        <v>3109.7069999999999</v>
      </c>
      <c r="W80" s="19">
        <f>_xll.BDH("SRPT US Equity","TOT_LIAB_AND_EQY","FQ4 2023","FQ4 2023","Currency=USD","Period=FQ","BEST_FPERIOD_OVERRIDE=FQ","FILING_STATUS=MR","SCALING_FORMAT=MLN","Sort=A","Dates=H","DateFormat=P","Fill=—","Direction=H","UseDPDF=Y")</f>
        <v>3264.576</v>
      </c>
      <c r="X80" s="19">
        <f>_xll.BDH("SRPT US Equity","TOT_LIAB_AND_EQY","FQ1 2024","FQ1 2024","Currency=USD","Period=FQ","BEST_FPERIOD_OVERRIDE=FQ","FILING_STATUS=MR","SCALING_FORMAT=MLN","Sort=A","Dates=H","DateFormat=P","Fill=—","Direction=H","UseDPDF=Y")</f>
        <v>3224.3850000000002</v>
      </c>
      <c r="Y80" s="19">
        <f>_xll.BDH("SRPT US Equity","TOT_LIAB_AND_EQY","FQ2 2024","FQ2 2024","Currency=USD","Period=FQ","BEST_FPERIOD_OVERRIDE=FQ","FILING_STATUS=MR","SCALING_FORMAT=MLN","Sort=A","Dates=H","DateFormat=P","Fill=—","Direction=H","UseDPDF=Y")</f>
        <v>3424.2570000000001</v>
      </c>
      <c r="Z80" s="19">
        <f>_xll.BDH("SRPT US Equity","TOT_LIAB_AND_EQY","FQ3 2024","FQ3 2024","Currency=USD","Period=FQ","BEST_FPERIOD_OVERRIDE=FQ","FILING_STATUS=MR","SCALING_FORMAT=MLN","Sort=A","Dates=H","DateFormat=P","Fill=—","Direction=H","UseDPDF=Y")</f>
        <v>3599.9340000000002</v>
      </c>
      <c r="AA80" s="19">
        <f>_xll.BDH("SRPT US Equity","TOT_LIAB_AND_EQY","FQ4 2024","FQ4 2024","Currency=USD","Period=FQ","BEST_FPERIOD_OVERRIDE=FQ","FILING_STATUS=MR","SCALING_FORMAT=MLN","Sort=A","Dates=H","DateFormat=P","Fill=—","Direction=H","UseDPDF=Y")</f>
        <v>3963.1729999999998</v>
      </c>
    </row>
    <row r="81" spans="1:27" x14ac:dyDescent="0.25">
      <c r="A81" s="6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 x14ac:dyDescent="0.25">
      <c r="A82" s="6" t="s">
        <v>4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 x14ac:dyDescent="0.25">
      <c r="A83" s="10" t="s">
        <v>395</v>
      </c>
      <c r="B83" s="10" t="s">
        <v>396</v>
      </c>
      <c r="C83" s="12" t="s">
        <v>397</v>
      </c>
      <c r="D83" s="12" t="s">
        <v>397</v>
      </c>
      <c r="E83" s="12" t="s">
        <v>397</v>
      </c>
      <c r="F83" s="12" t="s">
        <v>397</v>
      </c>
      <c r="G83" s="12" t="s">
        <v>397</v>
      </c>
      <c r="H83" s="12" t="s">
        <v>397</v>
      </c>
      <c r="I83" s="12" t="s">
        <v>397</v>
      </c>
      <c r="J83" s="12" t="s">
        <v>397</v>
      </c>
      <c r="K83" s="12" t="s">
        <v>397</v>
      </c>
      <c r="L83" s="12" t="s">
        <v>397</v>
      </c>
      <c r="M83" s="12" t="s">
        <v>397</v>
      </c>
      <c r="N83" s="12" t="s">
        <v>397</v>
      </c>
      <c r="O83" s="12" t="s">
        <v>397</v>
      </c>
      <c r="P83" s="12" t="s">
        <v>397</v>
      </c>
      <c r="Q83" s="12" t="s">
        <v>397</v>
      </c>
      <c r="R83" s="12" t="s">
        <v>397</v>
      </c>
      <c r="S83" s="12" t="s">
        <v>397</v>
      </c>
      <c r="T83" s="12" t="s">
        <v>397</v>
      </c>
      <c r="U83" s="12" t="s">
        <v>397</v>
      </c>
      <c r="V83" s="12" t="s">
        <v>397</v>
      </c>
      <c r="W83" s="12" t="s">
        <v>397</v>
      </c>
      <c r="X83" s="12" t="s">
        <v>397</v>
      </c>
      <c r="Y83" s="12" t="s">
        <v>397</v>
      </c>
      <c r="Z83" s="12" t="s">
        <v>397</v>
      </c>
      <c r="AA83" s="12" t="s">
        <v>397</v>
      </c>
    </row>
    <row r="84" spans="1:27" x14ac:dyDescent="0.25">
      <c r="A84" s="10" t="s">
        <v>821</v>
      </c>
      <c r="B84" s="10" t="s">
        <v>121</v>
      </c>
      <c r="C84" s="13">
        <f>_xll.BDH("SRPT US Equity","BS_SH_OUT","FQ4 2018","FQ4 2018","Currency=USD","Period=FQ","BEST_FPERIOD_OVERRIDE=FQ","FILING_STATUS=MR","Sort=A","Dates=H","DateFormat=P","Fill=—","Direction=H","UseDPDF=Y")</f>
        <v>71.071899999999999</v>
      </c>
      <c r="D84" s="13">
        <f>_xll.BDH("SRPT US Equity","BS_SH_OUT","FQ1 2019","FQ1 2019","Currency=USD","Period=FQ","BEST_FPERIOD_OVERRIDE=FQ","FILING_STATUS=MR","Sort=A","Dates=H","DateFormat=P","Fill=—","Direction=H","UseDPDF=Y")</f>
        <v>74.133499999999998</v>
      </c>
      <c r="E84" s="13">
        <f>_xll.BDH("SRPT US Equity","BS_SH_OUT","FQ2 2019","FQ2 2019","Currency=USD","Period=FQ","BEST_FPERIOD_OVERRIDE=FQ","FILING_STATUS=MR","Sort=A","Dates=H","DateFormat=P","Fill=—","Direction=H","UseDPDF=Y")</f>
        <v>74.327799999999996</v>
      </c>
      <c r="F84" s="13">
        <f>_xll.BDH("SRPT US Equity","BS_SH_OUT","FQ3 2019","FQ3 2019","Currency=USD","Period=FQ","BEST_FPERIOD_OVERRIDE=FQ","FILING_STATUS=MR","Sort=A","Dates=H","DateFormat=P","Fill=—","Direction=H","UseDPDF=Y")</f>
        <v>74.504800000000003</v>
      </c>
      <c r="G84" s="13">
        <f>_xll.BDH("SRPT US Equity","BS_SH_OUT","FQ4 2019","FQ4 2019","Currency=USD","Period=FQ","BEST_FPERIOD_OVERRIDE=FQ","FILING_STATUS=MR","Sort=A","Dates=H","DateFormat=P","Fill=—","Direction=H","UseDPDF=Y")</f>
        <v>75.184899999999999</v>
      </c>
      <c r="H84" s="13">
        <f>_xll.BDH("SRPT US Equity","BS_SH_OUT","FQ1 2020","FQ1 2020","Currency=USD","Period=FQ","BEST_FPERIOD_OVERRIDE=FQ","FILING_STATUS=MR","Sort=A","Dates=H","DateFormat=P","Fill=—","Direction=H","UseDPDF=Y")</f>
        <v>77.957800000000006</v>
      </c>
      <c r="I84" s="13">
        <f>_xll.BDH("SRPT US Equity","BS_SH_OUT","FQ2 2020","FQ2 2020","Currency=USD","Period=FQ","BEST_FPERIOD_OVERRIDE=FQ","FILING_STATUS=MR","Sort=A","Dates=H","DateFormat=P","Fill=—","Direction=H","UseDPDF=Y")</f>
        <v>78.432199999999995</v>
      </c>
      <c r="J84" s="13">
        <f>_xll.BDH("SRPT US Equity","BS_SH_OUT","FQ3 2020","FQ3 2020","Currency=USD","Period=FQ","BEST_FPERIOD_OVERRIDE=FQ","FILING_STATUS=MR","Sort=A","Dates=H","DateFormat=P","Fill=—","Direction=H","UseDPDF=Y")</f>
        <v>78.7898</v>
      </c>
      <c r="K84" s="13">
        <f>_xll.BDH("SRPT US Equity","BS_SH_OUT","FQ4 2020","FQ4 2020","Currency=USD","Period=FQ","BEST_FPERIOD_OVERRIDE=FQ","FILING_STATUS=MR","Sort=A","Dates=H","DateFormat=P","Fill=—","Direction=H","UseDPDF=Y")</f>
        <v>79.374200000000002</v>
      </c>
      <c r="L84" s="13">
        <f>_xll.BDH("SRPT US Equity","BS_SH_OUT","FQ1 2021","FQ1 2021","Currency=USD","Period=FQ","BEST_FPERIOD_OVERRIDE=FQ","FILING_STATUS=MR","Sort=A","Dates=H","DateFormat=P","Fill=—","Direction=H","UseDPDF=Y")</f>
        <v>79.748099999999994</v>
      </c>
      <c r="M84" s="13">
        <f>_xll.BDH("SRPT US Equity","BS_SH_OUT","FQ2 2021","FQ2 2021","Currency=USD","Period=FQ","BEST_FPERIOD_OVERRIDE=FQ","FILING_STATUS=MR","Sort=A","Dates=H","DateFormat=P","Fill=—","Direction=H","UseDPDF=Y")</f>
        <v>79.830399999999997</v>
      </c>
      <c r="N84" s="13">
        <f>_xll.BDH("SRPT US Equity","BS_SH_OUT","FQ3 2021","FQ3 2021","Currency=USD","Period=FQ","BEST_FPERIOD_OVERRIDE=FQ","FILING_STATUS=MR","Sort=A","Dates=H","DateFormat=P","Fill=—","Direction=H","UseDPDF=Y")</f>
        <v>79.958500000000001</v>
      </c>
      <c r="O84" s="13">
        <f>_xll.BDH("SRPT US Equity","BS_SH_OUT","FQ4 2021","FQ4 2021","Currency=USD","Period=FQ","BEST_FPERIOD_OVERRIDE=FQ","FILING_STATUS=MR","Sort=A","Dates=H","DateFormat=P","Fill=—","Direction=H","UseDPDF=Y")</f>
        <v>87.126999999999995</v>
      </c>
      <c r="P84" s="13">
        <f>_xll.BDH("SRPT US Equity","BS_SH_OUT","FQ1 2022","FQ1 2022","Currency=USD","Period=FQ","BEST_FPERIOD_OVERRIDE=FQ","FILING_STATUS=MR","Sort=A","Dates=H","DateFormat=P","Fill=—","Direction=H","UseDPDF=Y")</f>
        <v>87.495599999999996</v>
      </c>
      <c r="Q84" s="13">
        <f>_xll.BDH("SRPT US Equity","BS_SH_OUT","FQ2 2022","FQ2 2022","Currency=USD","Period=FQ","BEST_FPERIOD_OVERRIDE=FQ","FILING_STATUS=MR","Sort=A","Dates=H","DateFormat=P","Fill=—","Direction=H","UseDPDF=Y")</f>
        <v>87.535300000000007</v>
      </c>
      <c r="R84" s="13">
        <f>_xll.BDH("SRPT US Equity","BS_SH_OUT","FQ3 2022","FQ3 2022","Currency=USD","Period=FQ","BEST_FPERIOD_OVERRIDE=FQ","FILING_STATUS=MR","Sort=A","Dates=H","DateFormat=P","Fill=—","Direction=H","UseDPDF=Y")</f>
        <v>87.766199999999998</v>
      </c>
      <c r="S84" s="13">
        <f>_xll.BDH("SRPT US Equity","BS_SH_OUT","FQ4 2022","FQ4 2022","Currency=USD","Period=FQ","BEST_FPERIOD_OVERRIDE=FQ","FILING_STATUS=MR","Sort=A","Dates=H","DateFormat=P","Fill=—","Direction=H","UseDPDF=Y")</f>
        <v>87.950100000000006</v>
      </c>
      <c r="T84" s="13">
        <f>_xll.BDH("SRPT US Equity","BS_SH_OUT","FQ1 2023","FQ1 2023","Currency=USD","Period=FQ","BEST_FPERIOD_OVERRIDE=FQ","FILING_STATUS=MR","Sort=A","Dates=H","DateFormat=P","Fill=—","Direction=H","UseDPDF=Y")</f>
        <v>93.140100000000004</v>
      </c>
      <c r="U84" s="13">
        <f>_xll.BDH("SRPT US Equity","BS_SH_OUT","FQ2 2023","FQ2 2023","Currency=USD","Period=FQ","BEST_FPERIOD_OVERRIDE=FQ","FILING_STATUS=MR","Sort=A","Dates=H","DateFormat=P","Fill=—","Direction=H","UseDPDF=Y")</f>
        <v>93.273499999999999</v>
      </c>
      <c r="V84" s="13">
        <f>_xll.BDH("SRPT US Equity","BS_SH_OUT","FQ3 2023","FQ3 2023","Currency=USD","Period=FQ","BEST_FPERIOD_OVERRIDE=FQ","FILING_STATUS=MR","Sort=A","Dates=H","DateFormat=P","Fill=—","Direction=H","UseDPDF=Y")</f>
        <v>93.537400000000005</v>
      </c>
      <c r="W84" s="13">
        <f>_xll.BDH("SRPT US Equity","BS_SH_OUT","FQ4 2023","FQ4 2023","Currency=USD","Period=FQ","BEST_FPERIOD_OVERRIDE=FQ","FILING_STATUS=MR","Sort=A","Dates=H","DateFormat=P","Fill=—","Direction=H","UseDPDF=Y")</f>
        <v>93.731800000000007</v>
      </c>
      <c r="X84" s="13">
        <f>_xll.BDH("SRPT US Equity","BS_SH_OUT","FQ1 2024","FQ1 2024","Currency=USD","Period=FQ","BEST_FPERIOD_OVERRIDE=FQ","FILING_STATUS=MR","Sort=A","Dates=H","DateFormat=P","Fill=—","Direction=H","UseDPDF=Y")</f>
        <v>94.490200000000002</v>
      </c>
      <c r="Y84" s="13">
        <f>_xll.BDH("SRPT US Equity","BS_SH_OUT","FQ2 2024","FQ2 2024","Currency=USD","Period=FQ","BEST_FPERIOD_OVERRIDE=FQ","FILING_STATUS=MR","Sort=A","Dates=H","DateFormat=P","Fill=—","Direction=H","UseDPDF=Y")</f>
        <v>95.282600000000002</v>
      </c>
      <c r="Z84" s="13">
        <f>_xll.BDH("SRPT US Equity","BS_SH_OUT","FQ3 2024","FQ3 2024","Currency=USD","Period=FQ","BEST_FPERIOD_OVERRIDE=FQ","FILING_STATUS=MR","Sort=A","Dates=H","DateFormat=P","Fill=—","Direction=H","UseDPDF=Y")</f>
        <v>95.492999999999995</v>
      </c>
      <c r="AA84" s="13">
        <f>_xll.BDH("SRPT US Equity","BS_SH_OUT","FQ4 2024","FQ4 2024","Currency=USD","Period=FQ","BEST_FPERIOD_OVERRIDE=FQ","FILING_STATUS=MR","Sort=A","Dates=H","DateFormat=P","Fill=—","Direction=H","UseDPDF=Y")</f>
        <v>96.900499999999994</v>
      </c>
    </row>
    <row r="85" spans="1:27" x14ac:dyDescent="0.25">
      <c r="A85" s="10" t="s">
        <v>822</v>
      </c>
      <c r="B85" s="10" t="s">
        <v>823</v>
      </c>
      <c r="C85" s="13">
        <f>_xll.BDH("SRPT US Equity","BS_NUM_OF_TSY_SH","FQ4 2018","FQ4 2018","Currency=USD","Period=FQ","BEST_FPERIOD_OVERRIDE=FQ","FILING_STATUS=MR","Sort=A","Dates=H","DateFormat=P","Fill=—","Direction=H","UseDPDF=Y")</f>
        <v>0</v>
      </c>
      <c r="D85" s="13">
        <f>_xll.BDH("SRPT US Equity","BS_NUM_OF_TSY_SH","FQ1 2019","FQ1 2019","Currency=USD","Period=FQ","BEST_FPERIOD_OVERRIDE=FQ","FILING_STATUS=MR","Sort=A","Dates=H","DateFormat=P","Fill=—","Direction=H","UseDPDF=Y")</f>
        <v>0</v>
      </c>
      <c r="E85" s="13">
        <f>_xll.BDH("SRPT US Equity","BS_NUM_OF_TSY_SH","FQ2 2019","FQ2 2019","Currency=USD","Period=FQ","BEST_FPERIOD_OVERRIDE=FQ","FILING_STATUS=MR","Sort=A","Dates=H","DateFormat=P","Fill=—","Direction=H","UseDPDF=Y")</f>
        <v>0</v>
      </c>
      <c r="F85" s="13">
        <f>_xll.BDH("SRPT US Equity","BS_NUM_OF_TSY_SH","FQ3 2019","FQ3 2019","Currency=USD","Period=FQ","BEST_FPERIOD_OVERRIDE=FQ","FILING_STATUS=MR","Sort=A","Dates=H","DateFormat=P","Fill=—","Direction=H","UseDPDF=Y")</f>
        <v>0</v>
      </c>
      <c r="G85" s="13">
        <f>_xll.BDH("SRPT US Equity","BS_NUM_OF_TSY_SH","FQ4 2019","FQ4 2019","Currency=USD","Period=FQ","BEST_FPERIOD_OVERRIDE=FQ","FILING_STATUS=MR","Sort=A","Dates=H","DateFormat=P","Fill=—","Direction=H","UseDPDF=Y")</f>
        <v>0</v>
      </c>
      <c r="H85" s="13">
        <f>_xll.BDH("SRPT US Equity","BS_NUM_OF_TSY_SH","FQ1 2020","FQ1 2020","Currency=USD","Period=FQ","BEST_FPERIOD_OVERRIDE=FQ","FILING_STATUS=MR","Sort=A","Dates=H","DateFormat=P","Fill=—","Direction=H","UseDPDF=Y")</f>
        <v>0</v>
      </c>
      <c r="I85" s="13">
        <f>_xll.BDH("SRPT US Equity","BS_NUM_OF_TSY_SH","FQ2 2020","FQ2 2020","Currency=USD","Period=FQ","BEST_FPERIOD_OVERRIDE=FQ","FILING_STATUS=MR","Sort=A","Dates=H","DateFormat=P","Fill=—","Direction=H","UseDPDF=Y")</f>
        <v>0</v>
      </c>
      <c r="J85" s="13">
        <f>_xll.BDH("SRPT US Equity","BS_NUM_OF_TSY_SH","FQ3 2020","FQ3 2020","Currency=USD","Period=FQ","BEST_FPERIOD_OVERRIDE=FQ","FILING_STATUS=MR","Sort=A","Dates=H","DateFormat=P","Fill=—","Direction=H","UseDPDF=Y")</f>
        <v>0</v>
      </c>
      <c r="K85" s="13">
        <f>_xll.BDH("SRPT US Equity","BS_NUM_OF_TSY_SH","FQ4 2020","FQ4 2020","Currency=USD","Period=FQ","BEST_FPERIOD_OVERRIDE=FQ","FILING_STATUS=MR","Sort=A","Dates=H","DateFormat=P","Fill=—","Direction=H","UseDPDF=Y")</f>
        <v>0</v>
      </c>
      <c r="L85" s="13">
        <f>_xll.BDH("SRPT US Equity","BS_NUM_OF_TSY_SH","FQ1 2021","FQ1 2021","Currency=USD","Period=FQ","BEST_FPERIOD_OVERRIDE=FQ","FILING_STATUS=MR","Sort=A","Dates=H","DateFormat=P","Fill=—","Direction=H","UseDPDF=Y")</f>
        <v>0</v>
      </c>
      <c r="M85" s="13">
        <f>_xll.BDH("SRPT US Equity","BS_NUM_OF_TSY_SH","FQ2 2021","FQ2 2021","Currency=USD","Period=FQ","BEST_FPERIOD_OVERRIDE=FQ","FILING_STATUS=MR","Sort=A","Dates=H","DateFormat=P","Fill=—","Direction=H","UseDPDF=Y")</f>
        <v>0</v>
      </c>
      <c r="N85" s="13">
        <f>_xll.BDH("SRPT US Equity","BS_NUM_OF_TSY_SH","FQ3 2021","FQ3 2021","Currency=USD","Period=FQ","BEST_FPERIOD_OVERRIDE=FQ","FILING_STATUS=MR","Sort=A","Dates=H","DateFormat=P","Fill=—","Direction=H","UseDPDF=Y")</f>
        <v>0</v>
      </c>
      <c r="O85" s="13">
        <f>_xll.BDH("SRPT US Equity","BS_NUM_OF_TSY_SH","FQ4 2021","FQ4 2021","Currency=USD","Period=FQ","BEST_FPERIOD_OVERRIDE=FQ","FILING_STATUS=MR","Sort=A","Dates=H","DateFormat=P","Fill=—","Direction=H","UseDPDF=Y")</f>
        <v>0</v>
      </c>
      <c r="P85" s="13">
        <f>_xll.BDH("SRPT US Equity","BS_NUM_OF_TSY_SH","FQ1 2022","FQ1 2022","Currency=USD","Period=FQ","BEST_FPERIOD_OVERRIDE=FQ","FILING_STATUS=MR","Sort=A","Dates=H","DateFormat=P","Fill=—","Direction=H","UseDPDF=Y")</f>
        <v>0</v>
      </c>
      <c r="Q85" s="13">
        <f>_xll.BDH("SRPT US Equity","BS_NUM_OF_TSY_SH","FQ2 2022","FQ2 2022","Currency=USD","Period=FQ","BEST_FPERIOD_OVERRIDE=FQ","FILING_STATUS=MR","Sort=A","Dates=H","DateFormat=P","Fill=—","Direction=H","UseDPDF=Y")</f>
        <v>0</v>
      </c>
      <c r="R85" s="13">
        <f>_xll.BDH("SRPT US Equity","BS_NUM_OF_TSY_SH","FQ3 2022","FQ3 2022","Currency=USD","Period=FQ","BEST_FPERIOD_OVERRIDE=FQ","FILING_STATUS=MR","Sort=A","Dates=H","DateFormat=P","Fill=—","Direction=H","UseDPDF=Y")</f>
        <v>0</v>
      </c>
      <c r="S85" s="13">
        <f>_xll.BDH("SRPT US Equity","BS_NUM_OF_TSY_SH","FQ4 2022","FQ4 2022","Currency=USD","Period=FQ","BEST_FPERIOD_OVERRIDE=FQ","FILING_STATUS=MR","Sort=A","Dates=H","DateFormat=P","Fill=—","Direction=H","UseDPDF=Y")</f>
        <v>0</v>
      </c>
      <c r="T85" s="13">
        <f>_xll.BDH("SRPT US Equity","BS_NUM_OF_TSY_SH","FQ1 2023","FQ1 2023","Currency=USD","Period=FQ","BEST_FPERIOD_OVERRIDE=FQ","FILING_STATUS=MR","Sort=A","Dates=H","DateFormat=P","Fill=—","Direction=H","UseDPDF=Y")</f>
        <v>0</v>
      </c>
      <c r="U85" s="13">
        <f>_xll.BDH("SRPT US Equity","BS_NUM_OF_TSY_SH","FQ2 2023","FQ2 2023","Currency=USD","Period=FQ","BEST_FPERIOD_OVERRIDE=FQ","FILING_STATUS=MR","Sort=A","Dates=H","DateFormat=P","Fill=—","Direction=H","UseDPDF=Y")</f>
        <v>0</v>
      </c>
      <c r="V85" s="13">
        <f>_xll.BDH("SRPT US Equity","BS_NUM_OF_TSY_SH","FQ3 2023","FQ3 2023","Currency=USD","Period=FQ","BEST_FPERIOD_OVERRIDE=FQ","FILING_STATUS=MR","Sort=A","Dates=H","DateFormat=P","Fill=—","Direction=H","UseDPDF=Y")</f>
        <v>0</v>
      </c>
      <c r="W85" s="13">
        <f>_xll.BDH("SRPT US Equity","BS_NUM_OF_TSY_SH","FQ4 2023","FQ4 2023","Currency=USD","Period=FQ","BEST_FPERIOD_OVERRIDE=FQ","FILING_STATUS=MR","Sort=A","Dates=H","DateFormat=P","Fill=—","Direction=H","UseDPDF=Y")</f>
        <v>0</v>
      </c>
      <c r="X85" s="13">
        <f>_xll.BDH("SRPT US Equity","BS_NUM_OF_TSY_SH","FQ1 2024","FQ1 2024","Currency=USD","Period=FQ","BEST_FPERIOD_OVERRIDE=FQ","FILING_STATUS=MR","Sort=A","Dates=H","DateFormat=P","Fill=—","Direction=H","UseDPDF=Y")</f>
        <v>0</v>
      </c>
      <c r="Y85" s="13">
        <f>_xll.BDH("SRPT US Equity","BS_NUM_OF_TSY_SH","FQ2 2024","FQ2 2024","Currency=USD","Period=FQ","BEST_FPERIOD_OVERRIDE=FQ","FILING_STATUS=MR","Sort=A","Dates=H","DateFormat=P","Fill=—","Direction=H","UseDPDF=Y")</f>
        <v>0</v>
      </c>
      <c r="Z85" s="13">
        <f>_xll.BDH("SRPT US Equity","BS_NUM_OF_TSY_SH","FQ3 2024","FQ3 2024","Currency=USD","Period=FQ","BEST_FPERIOD_OVERRIDE=FQ","FILING_STATUS=MR","Sort=A","Dates=H","DateFormat=P","Fill=—","Direction=H","UseDPDF=Y")</f>
        <v>0</v>
      </c>
      <c r="AA85" s="13">
        <f>_xll.BDH("SRPT US Equity","BS_NUM_OF_TSY_SH","FQ4 2024","FQ4 2024","Currency=USD","Period=FQ","BEST_FPERIOD_OVERRIDE=FQ","FILING_STATUS=MR","Sort=A","Dates=H","DateFormat=P","Fill=—","Direction=H","UseDPDF=Y")</f>
        <v>0</v>
      </c>
    </row>
    <row r="86" spans="1:27" x14ac:dyDescent="0.25">
      <c r="A86" s="10" t="s">
        <v>824</v>
      </c>
      <c r="B86" s="10" t="s">
        <v>825</v>
      </c>
      <c r="C86" s="13">
        <f>_xll.BDH("SRPT US Equity","BS_PENSION_RSRV","FQ4 2018","FQ4 2018","Currency=USD","Period=FQ","BEST_FPERIOD_OVERRIDE=FQ","FILING_STATUS=MR","SCALING_FORMAT=MLN","Sort=A","Dates=H","DateFormat=P","Fill=—","Direction=H","UseDPDF=Y")</f>
        <v>0</v>
      </c>
      <c r="D86" s="13">
        <f>_xll.BDH("SRPT US Equity","BS_PENSION_RSRV","FQ1 2019","FQ1 2019","Currency=USD","Period=FQ","BEST_FPERIOD_OVERRIDE=FQ","FILING_STATUS=MR","SCALING_FORMAT=MLN","Sort=A","Dates=H","DateFormat=P","Fill=—","Direction=H","UseDPDF=Y")</f>
        <v>0</v>
      </c>
      <c r="E86" s="13">
        <f>_xll.BDH("SRPT US Equity","BS_PENSION_RSRV","FQ2 2019","FQ2 2019","Currency=USD","Period=FQ","BEST_FPERIOD_OVERRIDE=FQ","FILING_STATUS=MR","SCALING_FORMAT=MLN","Sort=A","Dates=H","DateFormat=P","Fill=—","Direction=H","UseDPDF=Y")</f>
        <v>0</v>
      </c>
      <c r="F86" s="13">
        <f>_xll.BDH("SRPT US Equity","BS_PENSION_RSRV","FQ3 2019","FQ3 2019","Currency=USD","Period=FQ","BEST_FPERIOD_OVERRIDE=FQ","FILING_STATUS=MR","SCALING_FORMAT=MLN","Sort=A","Dates=H","DateFormat=P","Fill=—","Direction=H","UseDPDF=Y")</f>
        <v>0</v>
      </c>
      <c r="G86" s="13">
        <f>_xll.BDH("SRPT US Equity","BS_PENSION_RSRV","FQ4 2019","FQ4 2019","Currency=USD","Period=FQ","BEST_FPERIOD_OVERRIDE=FQ","FILING_STATUS=MR","SCALING_FORMAT=MLN","Sort=A","Dates=H","DateFormat=P","Fill=—","Direction=H","UseDPDF=Y")</f>
        <v>0</v>
      </c>
      <c r="H86" s="13">
        <f>_xll.BDH("SRPT US Equity","BS_PENSION_RSRV","FQ1 2020","FQ1 2020","Currency=USD","Period=FQ","BEST_FPERIOD_OVERRIDE=FQ","FILING_STATUS=MR","SCALING_FORMAT=MLN","Sort=A","Dates=H","DateFormat=P","Fill=—","Direction=H","UseDPDF=Y")</f>
        <v>0</v>
      </c>
      <c r="I86" s="13">
        <f>_xll.BDH("SRPT US Equity","BS_PENSION_RSRV","FQ2 2020","FQ2 2020","Currency=USD","Period=FQ","BEST_FPERIOD_OVERRIDE=FQ","FILING_STATUS=MR","SCALING_FORMAT=MLN","Sort=A","Dates=H","DateFormat=P","Fill=—","Direction=H","UseDPDF=Y")</f>
        <v>0</v>
      </c>
      <c r="J86" s="13">
        <f>_xll.BDH("SRPT US Equity","BS_PENSION_RSRV","FQ3 2020","FQ3 2020","Currency=USD","Period=FQ","BEST_FPERIOD_OVERRIDE=FQ","FILING_STATUS=MR","SCALING_FORMAT=MLN","Sort=A","Dates=H","DateFormat=P","Fill=—","Direction=H","UseDPDF=Y")</f>
        <v>0</v>
      </c>
      <c r="K86" s="13">
        <f>_xll.BDH("SRPT US Equity","BS_PENSION_RSRV","FQ4 2020","FQ4 2020","Currency=USD","Period=FQ","BEST_FPERIOD_OVERRIDE=FQ","FILING_STATUS=MR","SCALING_FORMAT=MLN","Sort=A","Dates=H","DateFormat=P","Fill=—","Direction=H","UseDPDF=Y")</f>
        <v>0</v>
      </c>
      <c r="L86" s="13">
        <f>_xll.BDH("SRPT US Equity","BS_PENSION_RSRV","FQ1 2021","FQ1 2021","Currency=USD","Period=FQ","BEST_FPERIOD_OVERRIDE=FQ","FILING_STATUS=MR","SCALING_FORMAT=MLN","Sort=A","Dates=H","DateFormat=P","Fill=—","Direction=H","UseDPDF=Y")</f>
        <v>0</v>
      </c>
      <c r="M86" s="13">
        <f>_xll.BDH("SRPT US Equity","BS_PENSION_RSRV","FQ2 2021","FQ2 2021","Currency=USD","Period=FQ","BEST_FPERIOD_OVERRIDE=FQ","FILING_STATUS=MR","SCALING_FORMAT=MLN","Sort=A","Dates=H","DateFormat=P","Fill=—","Direction=H","UseDPDF=Y")</f>
        <v>0</v>
      </c>
      <c r="N86" s="13">
        <f>_xll.BDH("SRPT US Equity","BS_PENSION_RSRV","FQ3 2021","FQ3 2021","Currency=USD","Period=FQ","BEST_FPERIOD_OVERRIDE=FQ","FILING_STATUS=MR","SCALING_FORMAT=MLN","Sort=A","Dates=H","DateFormat=P","Fill=—","Direction=H","UseDPDF=Y")</f>
        <v>0</v>
      </c>
      <c r="O86" s="13">
        <f>_xll.BDH("SRPT US Equity","BS_PENSION_RSRV","FQ4 2021","FQ4 2021","Currency=USD","Period=FQ","BEST_FPERIOD_OVERRIDE=FQ","FILING_STATUS=MR","SCALING_FORMAT=MLN","Sort=A","Dates=H","DateFormat=P","Fill=—","Direction=H","UseDPDF=Y")</f>
        <v>0</v>
      </c>
      <c r="P86" s="13">
        <f>_xll.BDH("SRPT US Equity","BS_PENSION_RSRV","FQ1 2022","FQ1 2022","Currency=USD","Period=FQ","BEST_FPERIOD_OVERRIDE=FQ","FILING_STATUS=MR","SCALING_FORMAT=MLN","Sort=A","Dates=H","DateFormat=P","Fill=—","Direction=H","UseDPDF=Y")</f>
        <v>0</v>
      </c>
      <c r="Q86" s="13">
        <f>_xll.BDH("SRPT US Equity","BS_PENSION_RSRV","FQ2 2022","FQ2 2022","Currency=USD","Period=FQ","BEST_FPERIOD_OVERRIDE=FQ","FILING_STATUS=MR","SCALING_FORMAT=MLN","Sort=A","Dates=H","DateFormat=P","Fill=—","Direction=H","UseDPDF=Y")</f>
        <v>0</v>
      </c>
      <c r="R86" s="13">
        <f>_xll.BDH("SRPT US Equity","BS_PENSION_RSRV","FQ3 2022","FQ3 2022","Currency=USD","Period=FQ","BEST_FPERIOD_OVERRIDE=FQ","FILING_STATUS=MR","SCALING_FORMAT=MLN","Sort=A","Dates=H","DateFormat=P","Fill=—","Direction=H","UseDPDF=Y")</f>
        <v>0</v>
      </c>
      <c r="S86" s="13">
        <f>_xll.BDH("SRPT US Equity","BS_PENSION_RSRV","FQ4 2022","FQ4 2022","Currency=USD","Period=FQ","BEST_FPERIOD_OVERRIDE=FQ","FILING_STATUS=MR","SCALING_FORMAT=MLN","Sort=A","Dates=H","DateFormat=P","Fill=—","Direction=H","UseDPDF=Y")</f>
        <v>0</v>
      </c>
      <c r="T86" s="13">
        <f>_xll.BDH("SRPT US Equity","BS_PENSION_RSRV","FQ1 2023","FQ1 2023","Currency=USD","Period=FQ","BEST_FPERIOD_OVERRIDE=FQ","FILING_STATUS=MR","SCALING_FORMAT=MLN","Sort=A","Dates=H","DateFormat=P","Fill=—","Direction=H","UseDPDF=Y")</f>
        <v>0</v>
      </c>
      <c r="U86" s="13">
        <f>_xll.BDH("SRPT US Equity","BS_PENSION_RSRV","FQ2 2023","FQ2 2023","Currency=USD","Period=FQ","BEST_FPERIOD_OVERRIDE=FQ","FILING_STATUS=MR","SCALING_FORMAT=MLN","Sort=A","Dates=H","DateFormat=P","Fill=—","Direction=H","UseDPDF=Y")</f>
        <v>0</v>
      </c>
      <c r="V86" s="13">
        <f>_xll.BDH("SRPT US Equity","BS_PENSION_RSRV","FQ3 2023","FQ3 2023","Currency=USD","Period=FQ","BEST_FPERIOD_OVERRIDE=FQ","FILING_STATUS=MR","SCALING_FORMAT=MLN","Sort=A","Dates=H","DateFormat=P","Fill=—","Direction=H","UseDPDF=Y")</f>
        <v>0</v>
      </c>
      <c r="W86" s="13">
        <f>_xll.BDH("SRPT US Equity","BS_PENSION_RSRV","FQ4 2023","FQ4 2023","Currency=USD","Period=FQ","BEST_FPERIOD_OVERRIDE=FQ","FILING_STATUS=MR","SCALING_FORMAT=MLN","Sort=A","Dates=H","DateFormat=P","Fill=—","Direction=H","UseDPDF=Y")</f>
        <v>0</v>
      </c>
      <c r="X86" s="13">
        <f>_xll.BDH("SRPT US Equity","BS_PENSION_RSRV","FQ1 2024","FQ1 2024","Currency=USD","Period=FQ","BEST_FPERIOD_OVERRIDE=FQ","FILING_STATUS=MR","SCALING_FORMAT=MLN","Sort=A","Dates=H","DateFormat=P","Fill=—","Direction=H","UseDPDF=Y")</f>
        <v>0</v>
      </c>
      <c r="Y86" s="13">
        <f>_xll.BDH("SRPT US Equity","BS_PENSION_RSRV","FQ2 2024","FQ2 2024","Currency=USD","Period=FQ","BEST_FPERIOD_OVERRIDE=FQ","FILING_STATUS=MR","SCALING_FORMAT=MLN","Sort=A","Dates=H","DateFormat=P","Fill=—","Direction=H","UseDPDF=Y")</f>
        <v>0</v>
      </c>
      <c r="Z86" s="13">
        <f>_xll.BDH("SRPT US Equity","BS_PENSION_RSRV","FQ3 2024","FQ3 2024","Currency=USD","Period=FQ","BEST_FPERIOD_OVERRIDE=FQ","FILING_STATUS=MR","SCALING_FORMAT=MLN","Sort=A","Dates=H","DateFormat=P","Fill=—","Direction=H","UseDPDF=Y")</f>
        <v>0</v>
      </c>
      <c r="AA86" s="13">
        <f>_xll.BDH("SRPT US Equity","BS_PENSION_RSRV","FQ4 2024","FQ4 2024","Currency=USD","Period=FQ","BEST_FPERIOD_OVERRIDE=FQ","FILING_STATUS=MR","SCALING_FORMAT=MLN","Sort=A","Dates=H","DateFormat=P","Fill=—","Direction=H","UseDPDF=Y")</f>
        <v>0</v>
      </c>
    </row>
    <row r="87" spans="1:27" x14ac:dyDescent="0.25">
      <c r="A87" s="10" t="s">
        <v>826</v>
      </c>
      <c r="B87" s="10" t="s">
        <v>827</v>
      </c>
      <c r="C87" s="13">
        <f>_xll.BDH("SRPT US Equity","BS_FUTURE_MIN_OPER_LEASE_OBLIG","FQ4 2018","FQ4 2018","Currency=USD","Period=FQ","BEST_FPERIOD_OVERRIDE=FQ","FILING_STATUS=MR","SCALING_FORMAT=MLN","Sort=A","Dates=H","DateFormat=P","Fill=—","Direction=H","UseDPDF=Y")</f>
        <v>77.72</v>
      </c>
      <c r="D87" s="13">
        <f>_xll.BDH("SRPT US Equity","BS_FUTURE_MIN_OPER_LEASE_OBLIG","FQ1 2019","FQ1 2019","Currency=USD","Period=FQ","BEST_FPERIOD_OVERRIDE=FQ","FILING_STATUS=MR","SCALING_FORMAT=MLN","Sort=A","Dates=H","DateFormat=P","Fill=—","Direction=H","UseDPDF=Y")</f>
        <v>74.111999999999995</v>
      </c>
      <c r="E87" s="13">
        <f>_xll.BDH("SRPT US Equity","BS_FUTURE_MIN_OPER_LEASE_OBLIG","FQ2 2019","FQ2 2019","Currency=USD","Period=FQ","BEST_FPERIOD_OVERRIDE=FQ","FILING_STATUS=MR","SCALING_FORMAT=MLN","Sort=A","Dates=H","DateFormat=P","Fill=—","Direction=H","UseDPDF=Y")</f>
        <v>71.518000000000001</v>
      </c>
      <c r="F87" s="13">
        <f>_xll.BDH("SRPT US Equity","BS_FUTURE_MIN_OPER_LEASE_OBLIG","FQ3 2019","FQ3 2019","Currency=USD","Period=FQ","BEST_FPERIOD_OVERRIDE=FQ","FILING_STATUS=MR","SCALING_FORMAT=MLN","Sort=A","Dates=H","DateFormat=P","Fill=—","Direction=H","UseDPDF=Y")</f>
        <v>70.852999999999994</v>
      </c>
      <c r="G87" s="13">
        <f>_xll.BDH("SRPT US Equity","BS_FUTURE_MIN_OPER_LEASE_OBLIG","FQ4 2019","FQ4 2019","Currency=USD","Period=FQ","BEST_FPERIOD_OVERRIDE=FQ","FILING_STATUS=MR","SCALING_FORMAT=MLN","Sort=A","Dates=H","DateFormat=P","Fill=—","Direction=H","UseDPDF=Y")</f>
        <v>68.043999999999997</v>
      </c>
      <c r="H87" s="13">
        <f>_xll.BDH("SRPT US Equity","BS_FUTURE_MIN_OPER_LEASE_OBLIG","FQ1 2020","FQ1 2020","Currency=USD","Period=FQ","BEST_FPERIOD_OVERRIDE=FQ","FILING_STATUS=MR","SCALING_FORMAT=MLN","Sort=A","Dates=H","DateFormat=P","Fill=—","Direction=H","UseDPDF=Y")</f>
        <v>64.917000000000002</v>
      </c>
      <c r="I87" s="13">
        <f>_xll.BDH("SRPT US Equity","BS_FUTURE_MIN_OPER_LEASE_OBLIG","FQ2 2020","FQ2 2020","Currency=USD","Period=FQ","BEST_FPERIOD_OVERRIDE=FQ","FILING_STATUS=MR","SCALING_FORMAT=MLN","Sort=A","Dates=H","DateFormat=P","Fill=—","Direction=H","UseDPDF=Y")</f>
        <v>64.206000000000003</v>
      </c>
      <c r="J87" s="13">
        <f>_xll.BDH("SRPT US Equity","BS_FUTURE_MIN_OPER_LEASE_OBLIG","FQ3 2020","FQ3 2020","Currency=USD","Period=FQ","BEST_FPERIOD_OVERRIDE=FQ","FILING_STATUS=MR","SCALING_FORMAT=MLN","Sort=A","Dates=H","DateFormat=P","Fill=—","Direction=H","UseDPDF=Y")</f>
        <v>61.290999999999997</v>
      </c>
      <c r="K87" s="13">
        <f>_xll.BDH("SRPT US Equity","BS_FUTURE_MIN_OPER_LEASE_OBLIG","FQ4 2020","FQ4 2020","Currency=USD","Period=FQ","BEST_FPERIOD_OVERRIDE=FQ","FILING_STATUS=MR","SCALING_FORMAT=MLN","Sort=A","Dates=H","DateFormat=P","Fill=—","Direction=H","UseDPDF=Y")</f>
        <v>119.44499999999999</v>
      </c>
      <c r="L87" s="13">
        <f>_xll.BDH("SRPT US Equity","BS_FUTURE_MIN_OPER_LEASE_OBLIG","FQ1 2021","FQ1 2021","Currency=USD","Period=FQ","BEST_FPERIOD_OVERRIDE=FQ","FILING_STATUS=MR","SCALING_FORMAT=MLN","Sort=A","Dates=H","DateFormat=P","Fill=—","Direction=H","UseDPDF=Y")</f>
        <v>55.009</v>
      </c>
      <c r="M87" s="13">
        <f>_xll.BDH("SRPT US Equity","BS_FUTURE_MIN_OPER_LEASE_OBLIG","FQ2 2021","FQ2 2021","Currency=USD","Period=FQ","BEST_FPERIOD_OVERRIDE=FQ","FILING_STATUS=MR","SCALING_FORMAT=MLN","Sort=A","Dates=H","DateFormat=P","Fill=—","Direction=H","UseDPDF=Y")</f>
        <v>52.892000000000003</v>
      </c>
      <c r="N87" s="13">
        <f>_xll.BDH("SRPT US Equity","BS_FUTURE_MIN_OPER_LEASE_OBLIG","FQ3 2021","FQ3 2021","Currency=USD","Period=FQ","BEST_FPERIOD_OVERRIDE=FQ","FILING_STATUS=MR","SCALING_FORMAT=MLN","Sort=A","Dates=H","DateFormat=P","Fill=—","Direction=H","UseDPDF=Y")</f>
        <v>49.725000000000001</v>
      </c>
      <c r="O87" s="13">
        <f>_xll.BDH("SRPT US Equity","BS_FUTURE_MIN_OPER_LEASE_OBLIG","FQ4 2021","FQ4 2021","Currency=USD","Period=FQ","BEST_FPERIOD_OVERRIDE=FQ","FILING_STATUS=MR","SCALING_FORMAT=MLN","Sort=A","Dates=H","DateFormat=P","Fill=—","Direction=H","UseDPDF=Y")</f>
        <v>64.233000000000004</v>
      </c>
      <c r="P87" s="13" t="str">
        <f>_xll.BDH("SRPT US Equity","BS_FUTURE_MIN_OPER_LEASE_OBLIG","FQ1 2022","FQ1 2022","Currency=USD","Period=FQ","BEST_FPERIOD_OVERRIDE=FQ","FILING_STATUS=MR","SCALING_FORMAT=MLN","Sort=A","Dates=H","DateFormat=P","Fill=—","Direction=H","UseDPDF=Y")</f>
        <v>—</v>
      </c>
      <c r="Q87" s="13" t="str">
        <f>_xll.BDH("SRPT US Equity","BS_FUTURE_MIN_OPER_LEASE_OBLIG","FQ2 2022","FQ2 2022","Currency=USD","Period=FQ","BEST_FPERIOD_OVERRIDE=FQ","FILING_STATUS=MR","SCALING_FORMAT=MLN","Sort=A","Dates=H","DateFormat=P","Fill=—","Direction=H","UseDPDF=Y")</f>
        <v>—</v>
      </c>
      <c r="R87" s="13" t="str">
        <f>_xll.BDH("SRPT US Equity","BS_FUTURE_MIN_OPER_LEASE_OBLIG","FQ3 2022","FQ3 2022","Currency=USD","Period=FQ","BEST_FPERIOD_OVERRIDE=FQ","FILING_STATUS=MR","SCALING_FORMAT=MLN","Sort=A","Dates=H","DateFormat=P","Fill=—","Direction=H","UseDPDF=Y")</f>
        <v>—</v>
      </c>
      <c r="S87" s="13">
        <f>_xll.BDH("SRPT US Equity","BS_FUTURE_MIN_OPER_LEASE_OBLIG","FQ4 2022","FQ4 2022","Currency=USD","Period=FQ","BEST_FPERIOD_OVERRIDE=FQ","FILING_STATUS=MR","SCALING_FORMAT=MLN","Sort=A","Dates=H","DateFormat=P","Fill=—","Direction=H","UseDPDF=Y")</f>
        <v>101.69799999999999</v>
      </c>
      <c r="T87" s="13" t="str">
        <f>_xll.BDH("SRPT US Equity","BS_FUTURE_MIN_OPER_LEASE_OBLIG","FQ1 2023","FQ1 2023","Currency=USD","Period=FQ","BEST_FPERIOD_OVERRIDE=FQ","FILING_STATUS=MR","SCALING_FORMAT=MLN","Sort=A","Dates=H","DateFormat=P","Fill=—","Direction=H","UseDPDF=Y")</f>
        <v>—</v>
      </c>
      <c r="U87" s="13" t="str">
        <f>_xll.BDH("SRPT US Equity","BS_FUTURE_MIN_OPER_LEASE_OBLIG","FQ2 2023","FQ2 2023","Currency=USD","Period=FQ","BEST_FPERIOD_OVERRIDE=FQ","FILING_STATUS=MR","SCALING_FORMAT=MLN","Sort=A","Dates=H","DateFormat=P","Fill=—","Direction=H","UseDPDF=Y")</f>
        <v>—</v>
      </c>
      <c r="V87" s="13" t="str">
        <f>_xll.BDH("SRPT US Equity","BS_FUTURE_MIN_OPER_LEASE_OBLIG","FQ3 2023","FQ3 2023","Currency=USD","Period=FQ","BEST_FPERIOD_OVERRIDE=FQ","FILING_STATUS=MR","SCALING_FORMAT=MLN","Sort=A","Dates=H","DateFormat=P","Fill=—","Direction=H","UseDPDF=Y")</f>
        <v>—</v>
      </c>
      <c r="W87" s="13">
        <f>_xll.BDH("SRPT US Equity","BS_FUTURE_MIN_OPER_LEASE_OBLIG","FQ4 2023","FQ4 2023","Currency=USD","Period=FQ","BEST_FPERIOD_OVERRIDE=FQ","FILING_STATUS=MR","SCALING_FORMAT=MLN","Sort=A","Dates=H","DateFormat=P","Fill=—","Direction=H","UseDPDF=Y")</f>
        <v>398.642</v>
      </c>
      <c r="X87" s="13" t="str">
        <f>_xll.BDH("SRPT US Equity","BS_FUTURE_MIN_OPER_LEASE_OBLIG","FQ1 2024","FQ1 2024","Currency=USD","Period=FQ","BEST_FPERIOD_OVERRIDE=FQ","FILING_STATUS=MR","SCALING_FORMAT=MLN","Sort=A","Dates=H","DateFormat=P","Fill=—","Direction=H","UseDPDF=Y")</f>
        <v>—</v>
      </c>
      <c r="Y87" s="13" t="str">
        <f>_xll.BDH("SRPT US Equity","BS_FUTURE_MIN_OPER_LEASE_OBLIG","FQ2 2024","FQ2 2024","Currency=USD","Period=FQ","BEST_FPERIOD_OVERRIDE=FQ","FILING_STATUS=MR","SCALING_FORMAT=MLN","Sort=A","Dates=H","DateFormat=P","Fill=—","Direction=H","UseDPDF=Y")</f>
        <v>—</v>
      </c>
      <c r="Z87" s="13" t="str">
        <f>_xll.BDH("SRPT US Equity","BS_FUTURE_MIN_OPER_LEASE_OBLIG","FQ3 2024","FQ3 2024","Currency=USD","Period=FQ","BEST_FPERIOD_OVERRIDE=FQ","FILING_STATUS=MR","SCALING_FORMAT=MLN","Sort=A","Dates=H","DateFormat=P","Fill=—","Direction=H","UseDPDF=Y")</f>
        <v>—</v>
      </c>
      <c r="AA87" s="13">
        <f>_xll.BDH("SRPT US Equity","BS_FUTURE_MIN_OPER_LEASE_OBLIG","FQ4 2024","FQ4 2024","Currency=USD","Period=FQ","BEST_FPERIOD_OVERRIDE=FQ","FILING_STATUS=MR","SCALING_FORMAT=MLN","Sort=A","Dates=H","DateFormat=P","Fill=—","Direction=H","UseDPDF=Y")</f>
        <v>382.27199999999999</v>
      </c>
    </row>
    <row r="88" spans="1:27" x14ac:dyDescent="0.25">
      <c r="A88" s="10" t="s">
        <v>828</v>
      </c>
      <c r="B88" s="10" t="s">
        <v>829</v>
      </c>
      <c r="C88" s="13">
        <f>_xll.BDH("SRPT US Equity","BS_TOTAL_CAPITAL_LEASES","FQ4 2018","FQ4 2018","Currency=USD","Period=FQ","BEST_FPERIOD_OVERRIDE=FQ","FILING_STATUS=MR","SCALING_FORMAT=MLN","Sort=A","Dates=H","DateFormat=P","Fill=—","Direction=H","UseDPDF=Y")</f>
        <v>0</v>
      </c>
      <c r="D88" s="13" t="str">
        <f>_xll.BDH("SRPT US Equity","BS_TOTAL_CAPITAL_LEASES","FQ1 2019","FQ1 2019","Currency=USD","Period=FQ","BEST_FPERIOD_OVERRIDE=FQ","FILING_STATUS=MR","SCALING_FORMAT=MLN","Sort=A","Dates=H","DateFormat=P","Fill=—","Direction=H","UseDPDF=Y")</f>
        <v>—</v>
      </c>
      <c r="E88" s="13" t="str">
        <f>_xll.BDH("SRPT US Equity","BS_TOTAL_CAPITAL_LEASES","FQ2 2019","FQ2 2019","Currency=USD","Period=FQ","BEST_FPERIOD_OVERRIDE=FQ","FILING_STATUS=MR","SCALING_FORMAT=MLN","Sort=A","Dates=H","DateFormat=P","Fill=—","Direction=H","UseDPDF=Y")</f>
        <v>—</v>
      </c>
      <c r="F88" s="13" t="str">
        <f>_xll.BDH("SRPT US Equity","BS_TOTAL_CAPITAL_LEASES","FQ3 2019","FQ3 2019","Currency=USD","Period=FQ","BEST_FPERIOD_OVERRIDE=FQ","FILING_STATUS=MR","SCALING_FORMAT=MLN","Sort=A","Dates=H","DateFormat=P","Fill=—","Direction=H","UseDPDF=Y")</f>
        <v>—</v>
      </c>
      <c r="G88" s="13" t="str">
        <f>_xll.BDH("SRPT US Equity","BS_TOTAL_CAPITAL_LEASES","FQ4 2019","FQ4 2019","Currency=USD","Period=FQ","BEST_FPERIOD_OVERRIDE=FQ","FILING_STATUS=MR","SCALING_FORMAT=MLN","Sort=A","Dates=H","DateFormat=P","Fill=—","Direction=H","UseDPDF=Y")</f>
        <v>—</v>
      </c>
      <c r="H88" s="13" t="str">
        <f>_xll.BDH("SRPT US Equity","BS_TOTAL_CAPITAL_LEASES","FQ1 2020","FQ1 2020","Currency=USD","Period=FQ","BEST_FPERIOD_OVERRIDE=FQ","FILING_STATUS=MR","SCALING_FORMAT=MLN","Sort=A","Dates=H","DateFormat=P","Fill=—","Direction=H","UseDPDF=Y")</f>
        <v>—</v>
      </c>
      <c r="I88" s="13" t="str">
        <f>_xll.BDH("SRPT US Equity","BS_TOTAL_CAPITAL_LEASES","FQ2 2020","FQ2 2020","Currency=USD","Period=FQ","BEST_FPERIOD_OVERRIDE=FQ","FILING_STATUS=MR","SCALING_FORMAT=MLN","Sort=A","Dates=H","DateFormat=P","Fill=—","Direction=H","UseDPDF=Y")</f>
        <v>—</v>
      </c>
      <c r="J88" s="13" t="str">
        <f>_xll.BDH("SRPT US Equity","BS_TOTAL_CAPITAL_LEASES","FQ3 2020","FQ3 2020","Currency=USD","Period=FQ","BEST_FPERIOD_OVERRIDE=FQ","FILING_STATUS=MR","SCALING_FORMAT=MLN","Sort=A","Dates=H","DateFormat=P","Fill=—","Direction=H","UseDPDF=Y")</f>
        <v>—</v>
      </c>
      <c r="K88" s="13">
        <f>_xll.BDH("SRPT US Equity","BS_TOTAL_CAPITAL_LEASES","FQ4 2020","FQ4 2020","Currency=USD","Period=FQ","BEST_FPERIOD_OVERRIDE=FQ","FILING_STATUS=MR","SCALING_FORMAT=MLN","Sort=A","Dates=H","DateFormat=P","Fill=—","Direction=H","UseDPDF=Y")</f>
        <v>0</v>
      </c>
      <c r="L88" s="13" t="str">
        <f>_xll.BDH("SRPT US Equity","BS_TOTAL_CAPITAL_LEASES","FQ1 2021","FQ1 2021","Currency=USD","Period=FQ","BEST_FPERIOD_OVERRIDE=FQ","FILING_STATUS=MR","SCALING_FORMAT=MLN","Sort=A","Dates=H","DateFormat=P","Fill=—","Direction=H","UseDPDF=Y")</f>
        <v>—</v>
      </c>
      <c r="M88" s="13" t="str">
        <f>_xll.BDH("SRPT US Equity","BS_TOTAL_CAPITAL_LEASES","FQ2 2021","FQ2 2021","Currency=USD","Period=FQ","BEST_FPERIOD_OVERRIDE=FQ","FILING_STATUS=MR","SCALING_FORMAT=MLN","Sort=A","Dates=H","DateFormat=P","Fill=—","Direction=H","UseDPDF=Y")</f>
        <v>—</v>
      </c>
      <c r="N88" s="13" t="str">
        <f>_xll.BDH("SRPT US Equity","BS_TOTAL_CAPITAL_LEASES","FQ3 2021","FQ3 2021","Currency=USD","Period=FQ","BEST_FPERIOD_OVERRIDE=FQ","FILING_STATUS=MR","SCALING_FORMAT=MLN","Sort=A","Dates=H","DateFormat=P","Fill=—","Direction=H","UseDPDF=Y")</f>
        <v>—</v>
      </c>
      <c r="O88" s="13">
        <f>_xll.BDH("SRPT US Equity","BS_TOTAL_CAPITAL_LEASES","FQ4 2021","FQ4 2021","Currency=USD","Period=FQ","BEST_FPERIOD_OVERRIDE=FQ","FILING_STATUS=MR","SCALING_FORMAT=MLN","Sort=A","Dates=H","DateFormat=P","Fill=—","Direction=H","UseDPDF=Y")</f>
        <v>0</v>
      </c>
      <c r="P88" s="13" t="str">
        <f>_xll.BDH("SRPT US Equity","BS_TOTAL_CAPITAL_LEASES","FQ1 2022","FQ1 2022","Currency=USD","Period=FQ","BEST_FPERIOD_OVERRIDE=FQ","FILING_STATUS=MR","SCALING_FORMAT=MLN","Sort=A","Dates=H","DateFormat=P","Fill=—","Direction=H","UseDPDF=Y")</f>
        <v>—</v>
      </c>
      <c r="Q88" s="13" t="str">
        <f>_xll.BDH("SRPT US Equity","BS_TOTAL_CAPITAL_LEASES","FQ2 2022","FQ2 2022","Currency=USD","Period=FQ","BEST_FPERIOD_OVERRIDE=FQ","FILING_STATUS=MR","SCALING_FORMAT=MLN","Sort=A","Dates=H","DateFormat=P","Fill=—","Direction=H","UseDPDF=Y")</f>
        <v>—</v>
      </c>
      <c r="R88" s="13" t="str">
        <f>_xll.BDH("SRPT US Equity","BS_TOTAL_CAPITAL_LEASES","FQ3 2022","FQ3 2022","Currency=USD","Period=FQ","BEST_FPERIOD_OVERRIDE=FQ","FILING_STATUS=MR","SCALING_FORMAT=MLN","Sort=A","Dates=H","DateFormat=P","Fill=—","Direction=H","UseDPDF=Y")</f>
        <v>—</v>
      </c>
      <c r="S88" s="13">
        <f>_xll.BDH("SRPT US Equity","BS_TOTAL_CAPITAL_LEASES","FQ4 2022","FQ4 2022","Currency=USD","Period=FQ","BEST_FPERIOD_OVERRIDE=FQ","FILING_STATUS=MR","SCALING_FORMAT=MLN","Sort=A","Dates=H","DateFormat=P","Fill=—","Direction=H","UseDPDF=Y")</f>
        <v>0</v>
      </c>
      <c r="T88" s="13" t="str">
        <f>_xll.BDH("SRPT US Equity","BS_TOTAL_CAPITAL_LEASES","FQ1 2023","FQ1 2023","Currency=USD","Period=FQ","BEST_FPERIOD_OVERRIDE=FQ","FILING_STATUS=MR","SCALING_FORMAT=MLN","Sort=A","Dates=H","DateFormat=P","Fill=—","Direction=H","UseDPDF=Y")</f>
        <v>—</v>
      </c>
      <c r="U88" s="13" t="str">
        <f>_xll.BDH("SRPT US Equity","BS_TOTAL_CAPITAL_LEASES","FQ2 2023","FQ2 2023","Currency=USD","Period=FQ","BEST_FPERIOD_OVERRIDE=FQ","FILING_STATUS=MR","SCALING_FORMAT=MLN","Sort=A","Dates=H","DateFormat=P","Fill=—","Direction=H","UseDPDF=Y")</f>
        <v>—</v>
      </c>
      <c r="V88" s="13" t="str">
        <f>_xll.BDH("SRPT US Equity","BS_TOTAL_CAPITAL_LEASES","FQ3 2023","FQ3 2023","Currency=USD","Period=FQ","BEST_FPERIOD_OVERRIDE=FQ","FILING_STATUS=MR","SCALING_FORMAT=MLN","Sort=A","Dates=H","DateFormat=P","Fill=—","Direction=H","UseDPDF=Y")</f>
        <v>—</v>
      </c>
      <c r="W88" s="13">
        <f>_xll.BDH("SRPT US Equity","BS_TOTAL_CAPITAL_LEASES","FQ4 2023","FQ4 2023","Currency=USD","Period=FQ","BEST_FPERIOD_OVERRIDE=FQ","FILING_STATUS=MR","SCALING_FORMAT=MLN","Sort=A","Dates=H","DateFormat=P","Fill=—","Direction=H","UseDPDF=Y")</f>
        <v>0</v>
      </c>
      <c r="X88" s="13" t="str">
        <f>_xll.BDH("SRPT US Equity","BS_TOTAL_CAPITAL_LEASES","FQ1 2024","FQ1 2024","Currency=USD","Period=FQ","BEST_FPERIOD_OVERRIDE=FQ","FILING_STATUS=MR","SCALING_FORMAT=MLN","Sort=A","Dates=H","DateFormat=P","Fill=—","Direction=H","UseDPDF=Y")</f>
        <v>—</v>
      </c>
      <c r="Y88" s="13" t="str">
        <f>_xll.BDH("SRPT US Equity","BS_TOTAL_CAPITAL_LEASES","FQ2 2024","FQ2 2024","Currency=USD","Period=FQ","BEST_FPERIOD_OVERRIDE=FQ","FILING_STATUS=MR","SCALING_FORMAT=MLN","Sort=A","Dates=H","DateFormat=P","Fill=—","Direction=H","UseDPDF=Y")</f>
        <v>—</v>
      </c>
      <c r="Z88" s="13" t="str">
        <f>_xll.BDH("SRPT US Equity","BS_TOTAL_CAPITAL_LEASES","FQ3 2024","FQ3 2024","Currency=USD","Period=FQ","BEST_FPERIOD_OVERRIDE=FQ","FILING_STATUS=MR","SCALING_FORMAT=MLN","Sort=A","Dates=H","DateFormat=P","Fill=—","Direction=H","UseDPDF=Y")</f>
        <v>—</v>
      </c>
      <c r="AA88" s="13">
        <f>_xll.BDH("SRPT US Equity","BS_TOTAL_CAPITAL_LEASES","FQ4 2024","FQ4 2024","Currency=USD","Period=FQ","BEST_FPERIOD_OVERRIDE=FQ","FILING_STATUS=MR","SCALING_FORMAT=MLN","Sort=A","Dates=H","DateFormat=P","Fill=—","Direction=H","UseDPDF=Y")</f>
        <v>0</v>
      </c>
    </row>
    <row r="89" spans="1:27" x14ac:dyDescent="0.25">
      <c r="A89" s="10" t="s">
        <v>830</v>
      </c>
      <c r="B89" s="10" t="s">
        <v>831</v>
      </c>
      <c r="C89" s="13">
        <f>_xll.BDH("SRPT US Equity","BS_OPTIONS_GRANTED","FQ4 2018","FQ4 2018","Currency=USD","Period=FQ","BEST_FPERIOD_OVERRIDE=FQ","FILING_STATUS=MR","Sort=A","Dates=H","DateFormat=P","Fill=—","Direction=H","UseDPDF=Y")</f>
        <v>0.1406</v>
      </c>
      <c r="D89" s="13">
        <f>_xll.BDH("SRPT US Equity","BS_OPTIONS_GRANTED","FQ1 2019","FQ1 2019","Currency=USD","Period=FQ","BEST_FPERIOD_OVERRIDE=FQ","FILING_STATUS=MR","Sort=A","Dates=H","DateFormat=P","Fill=—","Direction=H","UseDPDF=Y")</f>
        <v>0.99019999999999997</v>
      </c>
      <c r="E89" s="13">
        <f>_xll.BDH("SRPT US Equity","BS_OPTIONS_GRANTED","FQ2 2019","FQ2 2019","Currency=USD","Period=FQ","BEST_FPERIOD_OVERRIDE=FQ","FILING_STATUS=MR","Sort=A","Dates=H","DateFormat=P","Fill=—","Direction=H","UseDPDF=Y")</f>
        <v>0.15529999999999999</v>
      </c>
      <c r="F89" s="13">
        <f>_xll.BDH("SRPT US Equity","BS_OPTIONS_GRANTED","FQ3 2019","FQ3 2019","Currency=USD","Period=FQ","BEST_FPERIOD_OVERRIDE=FQ","FILING_STATUS=MR","Sort=A","Dates=H","DateFormat=P","Fill=—","Direction=H","UseDPDF=Y")</f>
        <v>0.1522</v>
      </c>
      <c r="G89" s="13">
        <f>_xll.BDH("SRPT US Equity","BS_OPTIONS_GRANTED","FQ4 2019","FQ4 2019","Currency=USD","Period=FQ","BEST_FPERIOD_OVERRIDE=FQ","FILING_STATUS=MR","Sort=A","Dates=H","DateFormat=P","Fill=—","Direction=H","UseDPDF=Y")</f>
        <v>1.2774000000000001</v>
      </c>
      <c r="H89" s="13">
        <f>_xll.BDH("SRPT US Equity","BS_OPTIONS_GRANTED","FQ1 2020","FQ1 2020","Currency=USD","Period=FQ","BEST_FPERIOD_OVERRIDE=FQ","FILING_STATUS=MR","Sort=A","Dates=H","DateFormat=P","Fill=—","Direction=H","UseDPDF=Y")</f>
        <v>1.0852999999999999</v>
      </c>
      <c r="I89" s="13">
        <f>_xll.BDH("SRPT US Equity","BS_OPTIONS_GRANTED","FQ2 2020","FQ2 2020","Currency=USD","Period=FQ","BEST_FPERIOD_OVERRIDE=FQ","FILING_STATUS=MR","Sort=A","Dates=H","DateFormat=P","Fill=—","Direction=H","UseDPDF=Y")</f>
        <v>7.3499999999999996E-2</v>
      </c>
      <c r="J89" s="13">
        <f>_xll.BDH("SRPT US Equity","BS_OPTIONS_GRANTED","FQ3 2020","FQ3 2020","Currency=USD","Period=FQ","BEST_FPERIOD_OVERRIDE=FQ","FILING_STATUS=MR","Sort=A","Dates=H","DateFormat=P","Fill=—","Direction=H","UseDPDF=Y")</f>
        <v>9.7199999999999995E-2</v>
      </c>
      <c r="K89" s="13">
        <f>_xll.BDH("SRPT US Equity","BS_OPTIONS_GRANTED","FQ4 2020","FQ4 2020","Currency=USD","Period=FQ","BEST_FPERIOD_OVERRIDE=FQ","FILING_STATUS=MR","Sort=A","Dates=H","DateFormat=P","Fill=—","Direction=H","UseDPDF=Y")</f>
        <v>0.14630000000000001</v>
      </c>
      <c r="L89" s="13">
        <f>_xll.BDH("SRPT US Equity","BS_OPTIONS_GRANTED","FQ1 2021","FQ1 2021","Currency=USD","Period=FQ","BEST_FPERIOD_OVERRIDE=FQ","FILING_STATUS=MR","Sort=A","Dates=H","DateFormat=P","Fill=—","Direction=H","UseDPDF=Y")</f>
        <v>1.3595999999999999</v>
      </c>
      <c r="M89" s="13">
        <f>_xll.BDH("SRPT US Equity","BS_OPTIONS_GRANTED","FQ2 2021","FQ2 2021","Currency=USD","Period=FQ","BEST_FPERIOD_OVERRIDE=FQ","FILING_STATUS=MR","Sort=A","Dates=H","DateFormat=P","Fill=—","Direction=H","UseDPDF=Y")</f>
        <v>7.2099999999999997E-2</v>
      </c>
      <c r="N89" s="13">
        <f>_xll.BDH("SRPT US Equity","BS_OPTIONS_GRANTED","FQ3 2021","FQ3 2021","Currency=USD","Period=FQ","BEST_FPERIOD_OVERRIDE=FQ","FILING_STATUS=MR","Sort=A","Dates=H","DateFormat=P","Fill=—","Direction=H","UseDPDF=Y")</f>
        <v>9.1200000000000003E-2</v>
      </c>
      <c r="O89" s="13">
        <f>_xll.BDH("SRPT US Equity","BS_OPTIONS_GRANTED","FQ4 2021","FQ4 2021","Currency=USD","Period=FQ","BEST_FPERIOD_OVERRIDE=FQ","FILING_STATUS=MR","Sort=A","Dates=H","DateFormat=P","Fill=—","Direction=H","UseDPDF=Y")</f>
        <v>0.16289999999999999</v>
      </c>
      <c r="P89" s="13">
        <f>_xll.BDH("SRPT US Equity","BS_OPTIONS_GRANTED","FQ1 2022","FQ1 2022","Currency=USD","Period=FQ","BEST_FPERIOD_OVERRIDE=FQ","FILING_STATUS=MR","Sort=A","Dates=H","DateFormat=P","Fill=—","Direction=H","UseDPDF=Y")</f>
        <v>1.2915000000000001</v>
      </c>
      <c r="Q89" s="13">
        <f>_xll.BDH("SRPT US Equity","BS_OPTIONS_GRANTED","FQ2 2022","FQ2 2022","Currency=USD","Period=FQ","BEST_FPERIOD_OVERRIDE=FQ","FILING_STATUS=MR","Sort=A","Dates=H","DateFormat=P","Fill=—","Direction=H","UseDPDF=Y")</f>
        <v>0.20760000000000001</v>
      </c>
      <c r="R89" s="13">
        <f>_xll.BDH("SRPT US Equity","BS_OPTIONS_GRANTED","FQ3 2022","FQ3 2022","Currency=USD","Period=FQ","BEST_FPERIOD_OVERRIDE=FQ","FILING_STATUS=MR","Sort=A","Dates=H","DateFormat=P","Fill=—","Direction=H","UseDPDF=Y")</f>
        <v>0.12709999999999999</v>
      </c>
      <c r="S89" s="13">
        <f>_xll.BDH("SRPT US Equity","BS_OPTIONS_GRANTED","FQ4 2022","FQ4 2022","Currency=USD","Period=FQ","BEST_FPERIOD_OVERRIDE=FQ","FILING_STATUS=MR","Sort=A","Dates=H","DateFormat=P","Fill=—","Direction=H","UseDPDF=Y")</f>
        <v>1.7773000000000001</v>
      </c>
      <c r="T89" s="13">
        <f>_xll.BDH("SRPT US Equity","BS_OPTIONS_GRANTED","FQ1 2023","FQ1 2023","Currency=USD","Period=FQ","BEST_FPERIOD_OVERRIDE=FQ","FILING_STATUS=MR","Sort=A","Dates=H","DateFormat=P","Fill=—","Direction=H","UseDPDF=Y")</f>
        <v>1.0303</v>
      </c>
      <c r="U89" s="13">
        <f>_xll.BDH("SRPT US Equity","BS_OPTIONS_GRANTED","FQ2 2023","FQ2 2023","Currency=USD","Period=FQ","BEST_FPERIOD_OVERRIDE=FQ","FILING_STATUS=MR","Sort=A","Dates=H","DateFormat=P","Fill=—","Direction=H","UseDPDF=Y")</f>
        <v>5.4600000000000003E-2</v>
      </c>
      <c r="V89" s="13">
        <f>_xll.BDH("SRPT US Equity","BS_OPTIONS_GRANTED","FQ3 2023","FQ3 2023","Currency=USD","Period=FQ","BEST_FPERIOD_OVERRIDE=FQ","FILING_STATUS=MR","Sort=A","Dates=H","DateFormat=P","Fill=—","Direction=H","UseDPDF=Y")</f>
        <v>3.7000000000000002E-3</v>
      </c>
      <c r="W89" s="13">
        <f>_xll.BDH("SRPT US Equity","BS_OPTIONS_GRANTED","FQ4 2023","FQ4 2023","Currency=USD","Period=FQ","BEST_FPERIOD_OVERRIDE=FQ","FILING_STATUS=MR","Sort=A","Dates=H","DateFormat=P","Fill=—","Direction=H","UseDPDF=Y")</f>
        <v>5.0599999999999999E-2</v>
      </c>
      <c r="X89" s="13">
        <f>_xll.BDH("SRPT US Equity","BS_OPTIONS_GRANTED","FQ1 2024","FQ1 2024","Currency=USD","Period=FQ","BEST_FPERIOD_OVERRIDE=FQ","FILING_STATUS=MR","Sort=A","Dates=H","DateFormat=P","Fill=—","Direction=H","UseDPDF=Y")</f>
        <v>0.31640000000000001</v>
      </c>
      <c r="Y89" s="13">
        <f>_xll.BDH("SRPT US Equity","BS_OPTIONS_GRANTED","FQ2 2024","FQ2 2024","Currency=USD","Period=FQ","BEST_FPERIOD_OVERRIDE=FQ","FILING_STATUS=MR","Sort=A","Dates=H","DateFormat=P","Fill=—","Direction=H","UseDPDF=Y")</f>
        <v>5.1000000000000004E-3</v>
      </c>
      <c r="Z89" s="13">
        <f>_xll.BDH("SRPT US Equity","BS_OPTIONS_GRANTED","FQ3 2024","FQ3 2024","Currency=USD","Period=FQ","BEST_FPERIOD_OVERRIDE=FQ","FILING_STATUS=MR","Sort=A","Dates=H","DateFormat=P","Fill=—","Direction=H","UseDPDF=Y")</f>
        <v>6.4000000000000003E-3</v>
      </c>
      <c r="AA89" s="13">
        <f>_xll.BDH("SRPT US Equity","BS_OPTIONS_GRANTED","FQ4 2024","FQ4 2024","Currency=USD","Period=FQ","BEST_FPERIOD_OVERRIDE=FQ","FILING_STATUS=MR","Sort=A","Dates=H","DateFormat=P","Fill=—","Direction=H","UseDPDF=Y")</f>
        <v>4.0000000000000001E-3</v>
      </c>
    </row>
    <row r="90" spans="1:27" x14ac:dyDescent="0.25">
      <c r="A90" s="10" t="s">
        <v>832</v>
      </c>
      <c r="B90" s="10" t="s">
        <v>833</v>
      </c>
      <c r="C90" s="13">
        <f>_xll.BDH("SRPT US Equity","BS_OPTIONS_OUTSTANDING","FQ4 2018","FQ4 2018","Currency=USD","Period=FQ","BEST_FPERIOD_OVERRIDE=FQ","FILING_STATUS=MR","Sort=A","Dates=H","DateFormat=P","Fill=—","Direction=H","UseDPDF=Y")</f>
        <v>8.3911999999999995</v>
      </c>
      <c r="D90" s="13" t="str">
        <f>_xll.BDH("SRPT US Equity","BS_OPTIONS_OUTSTANDING","FQ1 2019","FQ1 2019","Currency=USD","Period=FQ","BEST_FPERIOD_OVERRIDE=FQ","FILING_STATUS=MR","Sort=A","Dates=H","DateFormat=P","Fill=—","Direction=H","UseDPDF=Y")</f>
        <v>—</v>
      </c>
      <c r="E90" s="13" t="str">
        <f>_xll.BDH("SRPT US Equity","BS_OPTIONS_OUTSTANDING","FQ2 2019","FQ2 2019","Currency=USD","Period=FQ","BEST_FPERIOD_OVERRIDE=FQ","FILING_STATUS=MR","Sort=A","Dates=H","DateFormat=P","Fill=—","Direction=H","UseDPDF=Y")</f>
        <v>—</v>
      </c>
      <c r="F90" s="13" t="str">
        <f>_xll.BDH("SRPT US Equity","BS_OPTIONS_OUTSTANDING","FQ3 2019","FQ3 2019","Currency=USD","Period=FQ","BEST_FPERIOD_OVERRIDE=FQ","FILING_STATUS=MR","Sort=A","Dates=H","DateFormat=P","Fill=—","Direction=H","UseDPDF=Y")</f>
        <v>—</v>
      </c>
      <c r="G90" s="13">
        <f>_xll.BDH("SRPT US Equity","BS_OPTIONS_OUTSTANDING","FQ4 2019","FQ4 2019","Currency=USD","Period=FQ","BEST_FPERIOD_OVERRIDE=FQ","FILING_STATUS=MR","Sort=A","Dates=H","DateFormat=P","Fill=—","Direction=H","UseDPDF=Y")</f>
        <v>8.3462999999999994</v>
      </c>
      <c r="H90" s="13" t="str">
        <f>_xll.BDH("SRPT US Equity","BS_OPTIONS_OUTSTANDING","FQ1 2020","FQ1 2020","Currency=USD","Period=FQ","BEST_FPERIOD_OVERRIDE=FQ","FILING_STATUS=MR","Sort=A","Dates=H","DateFormat=P","Fill=—","Direction=H","UseDPDF=Y")</f>
        <v>—</v>
      </c>
      <c r="I90" s="13" t="str">
        <f>_xll.BDH("SRPT US Equity","BS_OPTIONS_OUTSTANDING","FQ2 2020","FQ2 2020","Currency=USD","Period=FQ","BEST_FPERIOD_OVERRIDE=FQ","FILING_STATUS=MR","Sort=A","Dates=H","DateFormat=P","Fill=—","Direction=H","UseDPDF=Y")</f>
        <v>—</v>
      </c>
      <c r="J90" s="13" t="str">
        <f>_xll.BDH("SRPT US Equity","BS_OPTIONS_OUTSTANDING","FQ3 2020","FQ3 2020","Currency=USD","Period=FQ","BEST_FPERIOD_OVERRIDE=FQ","FILING_STATUS=MR","Sort=A","Dates=H","DateFormat=P","Fill=—","Direction=H","UseDPDF=Y")</f>
        <v>—</v>
      </c>
      <c r="K90" s="13">
        <f>_xll.BDH("SRPT US Equity","BS_OPTIONS_OUTSTANDING","FQ4 2020","FQ4 2020","Currency=USD","Period=FQ","BEST_FPERIOD_OVERRIDE=FQ","FILING_STATUS=MR","Sort=A","Dates=H","DateFormat=P","Fill=—","Direction=H","UseDPDF=Y")</f>
        <v>7.8449</v>
      </c>
      <c r="L90" s="13" t="str">
        <f>_xll.BDH("SRPT US Equity","BS_OPTIONS_OUTSTANDING","FQ1 2021","FQ1 2021","Currency=USD","Period=FQ","BEST_FPERIOD_OVERRIDE=FQ","FILING_STATUS=MR","Sort=A","Dates=H","DateFormat=P","Fill=—","Direction=H","UseDPDF=Y")</f>
        <v>—</v>
      </c>
      <c r="M90" s="13" t="str">
        <f>_xll.BDH("SRPT US Equity","BS_OPTIONS_OUTSTANDING","FQ2 2021","FQ2 2021","Currency=USD","Period=FQ","BEST_FPERIOD_OVERRIDE=FQ","FILING_STATUS=MR","Sort=A","Dates=H","DateFormat=P","Fill=—","Direction=H","UseDPDF=Y")</f>
        <v>—</v>
      </c>
      <c r="N90" s="13" t="str">
        <f>_xll.BDH("SRPT US Equity","BS_OPTIONS_OUTSTANDING","FQ3 2021","FQ3 2021","Currency=USD","Period=FQ","BEST_FPERIOD_OVERRIDE=FQ","FILING_STATUS=MR","Sort=A","Dates=H","DateFormat=P","Fill=—","Direction=H","UseDPDF=Y")</f>
        <v>—</v>
      </c>
      <c r="O90" s="13">
        <f>_xll.BDH("SRPT US Equity","BS_OPTIONS_OUTSTANDING","FQ4 2021","FQ4 2021","Currency=USD","Period=FQ","BEST_FPERIOD_OVERRIDE=FQ","FILING_STATUS=MR","Sort=A","Dates=H","DateFormat=P","Fill=—","Direction=H","UseDPDF=Y")</f>
        <v>8.1968999999999994</v>
      </c>
      <c r="P90" s="13" t="str">
        <f>_xll.BDH("SRPT US Equity","BS_OPTIONS_OUTSTANDING","FQ1 2022","FQ1 2022","Currency=USD","Period=FQ","BEST_FPERIOD_OVERRIDE=FQ","FILING_STATUS=MR","Sort=A","Dates=H","DateFormat=P","Fill=—","Direction=H","UseDPDF=Y")</f>
        <v>—</v>
      </c>
      <c r="Q90" s="13" t="str">
        <f>_xll.BDH("SRPT US Equity","BS_OPTIONS_OUTSTANDING","FQ2 2022","FQ2 2022","Currency=USD","Period=FQ","BEST_FPERIOD_OVERRIDE=FQ","FILING_STATUS=MR","Sort=A","Dates=H","DateFormat=P","Fill=—","Direction=H","UseDPDF=Y")</f>
        <v>—</v>
      </c>
      <c r="R90" s="13" t="str">
        <f>_xll.BDH("SRPT US Equity","BS_OPTIONS_OUTSTANDING","FQ3 2022","FQ3 2022","Currency=USD","Period=FQ","BEST_FPERIOD_OVERRIDE=FQ","FILING_STATUS=MR","Sort=A","Dates=H","DateFormat=P","Fill=—","Direction=H","UseDPDF=Y")</f>
        <v>—</v>
      </c>
      <c r="S90" s="13">
        <f>_xll.BDH("SRPT US Equity","BS_OPTIONS_OUTSTANDING","FQ4 2022","FQ4 2022","Currency=USD","Period=FQ","BEST_FPERIOD_OVERRIDE=FQ","FILING_STATUS=MR","Sort=A","Dates=H","DateFormat=P","Fill=—","Direction=H","UseDPDF=Y")</f>
        <v>9.1301000000000005</v>
      </c>
      <c r="T90" s="13">
        <f>_xll.BDH("SRPT US Equity","BS_OPTIONS_OUTSTANDING","FQ1 2023","FQ1 2023","Currency=USD","Period=FQ","BEST_FPERIOD_OVERRIDE=FQ","FILING_STATUS=MR","Sort=A","Dates=H","DateFormat=P","Fill=—","Direction=H","UseDPDF=Y")</f>
        <v>10.160500000000001</v>
      </c>
      <c r="U90" s="13">
        <f>_xll.BDH("SRPT US Equity","BS_OPTIONS_OUTSTANDING","FQ2 2023","FQ2 2023","Currency=USD","Period=FQ","BEST_FPERIOD_OVERRIDE=FQ","FILING_STATUS=MR","Sort=A","Dates=H","DateFormat=P","Fill=—","Direction=H","UseDPDF=Y")</f>
        <v>10.2151</v>
      </c>
      <c r="V90" s="13">
        <f>_xll.BDH("SRPT US Equity","BS_OPTIONS_OUTSTANDING","FQ3 2023","FQ3 2023","Currency=USD","Period=FQ","BEST_FPERIOD_OVERRIDE=FQ","FILING_STATUS=MR","Sort=A","Dates=H","DateFormat=P","Fill=—","Direction=H","UseDPDF=Y")</f>
        <v>10.2188</v>
      </c>
      <c r="W90" s="13">
        <f>_xll.BDH("SRPT US Equity","BS_OPTIONS_OUTSTANDING","FQ4 2023","FQ4 2023","Currency=USD","Period=FQ","BEST_FPERIOD_OVERRIDE=FQ","FILING_STATUS=MR","Sort=A","Dates=H","DateFormat=P","Fill=—","Direction=H","UseDPDF=Y")</f>
        <v>9.5827000000000009</v>
      </c>
      <c r="X90" s="13">
        <f>_xll.BDH("SRPT US Equity","BS_OPTIONS_OUTSTANDING","FQ1 2024","FQ1 2024","Currency=USD","Period=FQ","BEST_FPERIOD_OVERRIDE=FQ","FILING_STATUS=MR","Sort=A","Dates=H","DateFormat=P","Fill=—","Direction=H","UseDPDF=Y")</f>
        <v>9.8991000000000007</v>
      </c>
      <c r="Y90" s="13">
        <f>_xll.BDH("SRPT US Equity","BS_OPTIONS_OUTSTANDING","FQ2 2024","FQ2 2024","Currency=USD","Period=FQ","BEST_FPERIOD_OVERRIDE=FQ","FILING_STATUS=MR","Sort=A","Dates=H","DateFormat=P","Fill=—","Direction=H","UseDPDF=Y")</f>
        <v>9.9041999999999994</v>
      </c>
      <c r="Z90" s="13">
        <f>_xll.BDH("SRPT US Equity","BS_OPTIONS_OUTSTANDING","FQ3 2024","FQ3 2024","Currency=USD","Period=FQ","BEST_FPERIOD_OVERRIDE=FQ","FILING_STATUS=MR","Sort=A","Dates=H","DateFormat=P","Fill=—","Direction=H","UseDPDF=Y")</f>
        <v>9.9106000000000005</v>
      </c>
      <c r="AA90" s="13">
        <f>_xll.BDH("SRPT US Equity","BS_OPTIONS_OUTSTANDING","FQ4 2024","FQ4 2024","Currency=USD","Period=FQ","BEST_FPERIOD_OVERRIDE=FQ","FILING_STATUS=MR","Sort=A","Dates=H","DateFormat=P","Fill=—","Direction=H","UseDPDF=Y")</f>
        <v>18.788599999999999</v>
      </c>
    </row>
    <row r="91" spans="1:27" x14ac:dyDescent="0.25">
      <c r="A91" s="10" t="s">
        <v>834</v>
      </c>
      <c r="B91" s="10" t="s">
        <v>835</v>
      </c>
      <c r="C91" s="13">
        <f>_xll.BDH("SRPT US Equity","NET_DEBT","FQ4 2018","FQ4 2018","Currency=USD","Period=FQ","BEST_FPERIOD_OVERRIDE=FQ","FILING_STATUS=MR","SCALING_FORMAT=MLN","Sort=A","Dates=H","DateFormat=P","Fill=—","Direction=H","UseDPDF=Y")</f>
        <v>-753.35799999999995</v>
      </c>
      <c r="D91" s="13">
        <f>_xll.BDH("SRPT US Equity","NET_DEBT","FQ1 2019","FQ1 2019","Currency=USD","Period=FQ","BEST_FPERIOD_OVERRIDE=FQ","FILING_STATUS=MR","SCALING_FORMAT=MLN","Sort=A","Dates=H","DateFormat=P","Fill=—","Direction=H","UseDPDF=Y")</f>
        <v>-859.52700000000004</v>
      </c>
      <c r="E91" s="13">
        <f>_xll.BDH("SRPT US Equity","NET_DEBT","FQ2 2019","FQ2 2019","Currency=USD","Period=FQ","BEST_FPERIOD_OVERRIDE=FQ","FILING_STATUS=MR","SCALING_FORMAT=MLN","Sort=A","Dates=H","DateFormat=P","Fill=—","Direction=H","UseDPDF=Y")</f>
        <v>-614.65899999999999</v>
      </c>
      <c r="F91" s="13">
        <f>_xll.BDH("SRPT US Equity","NET_DEBT","FQ3 2019","FQ3 2019","Currency=USD","Period=FQ","BEST_FPERIOD_OVERRIDE=FQ","FILING_STATUS=MR","SCALING_FORMAT=MLN","Sort=A","Dates=H","DateFormat=P","Fill=—","Direction=H","UseDPDF=Y")</f>
        <v>-555.13400000000001</v>
      </c>
      <c r="G91" s="13">
        <f>_xll.BDH("SRPT US Equity","NET_DEBT","FQ4 2019","FQ4 2019","Currency=USD","Period=FQ","BEST_FPERIOD_OVERRIDE=FQ","FILING_STATUS=MR","SCALING_FORMAT=MLN","Sort=A","Dates=H","DateFormat=P","Fill=—","Direction=H","UseDPDF=Y")</f>
        <v>-387.28199999999998</v>
      </c>
      <c r="H91" s="13">
        <f>_xll.BDH("SRPT US Equity","NET_DEBT","FQ1 2020","FQ1 2020","Currency=USD","Period=FQ","BEST_FPERIOD_OVERRIDE=FQ","FILING_STATUS=MR","SCALING_FORMAT=MLN","Sort=A","Dates=H","DateFormat=P","Fill=—","Direction=H","UseDPDF=Y")</f>
        <v>-1427.502</v>
      </c>
      <c r="I91" s="13">
        <f>_xll.BDH("SRPT US Equity","NET_DEBT","FQ2 2020","FQ2 2020","Currency=USD","Period=FQ","BEST_FPERIOD_OVERRIDE=FQ","FILING_STATUS=MR","SCALING_FORMAT=MLN","Sort=A","Dates=H","DateFormat=P","Fill=—","Direction=H","UseDPDF=Y")</f>
        <v>-1304.317</v>
      </c>
      <c r="J91" s="13">
        <f>_xll.BDH("SRPT US Equity","NET_DEBT","FQ3 2020","FQ3 2020","Currency=USD","Period=FQ","BEST_FPERIOD_OVERRIDE=FQ","FILING_STATUS=MR","SCALING_FORMAT=MLN","Sort=A","Dates=H","DateFormat=P","Fill=—","Direction=H","UseDPDF=Y")</f>
        <v>-1056.971</v>
      </c>
      <c r="K91" s="13">
        <f>_xll.BDH("SRPT US Equity","NET_DEBT","FQ4 2020","FQ4 2020","Currency=USD","Period=FQ","BEST_FPERIOD_OVERRIDE=FQ","FILING_STATUS=MR","SCALING_FORMAT=MLN","Sort=A","Dates=H","DateFormat=P","Fill=—","Direction=H","UseDPDF=Y")</f>
        <v>-854.096</v>
      </c>
      <c r="L91" s="13">
        <f>_xll.BDH("SRPT US Equity","NET_DEBT","FQ1 2021","FQ1 2021","Currency=USD","Period=FQ","BEST_FPERIOD_OVERRIDE=FQ","FILING_STATUS=MR","SCALING_FORMAT=MLN","Sort=A","Dates=H","DateFormat=P","Fill=—","Direction=H","UseDPDF=Y")</f>
        <v>-595.36300000000006</v>
      </c>
      <c r="M91" s="13">
        <f>_xll.BDH("SRPT US Equity","NET_DEBT","FQ2 2021","FQ2 2021","Currency=USD","Period=FQ","BEST_FPERIOD_OVERRIDE=FQ","FILING_STATUS=MR","SCALING_FORMAT=MLN","Sort=A","Dates=H","DateFormat=P","Fill=—","Direction=H","UseDPDF=Y")</f>
        <v>-578.32000000000005</v>
      </c>
      <c r="N91" s="13">
        <f>_xll.BDH("SRPT US Equity","NET_DEBT","FQ3 2021","FQ3 2021","Currency=USD","Period=FQ","BEST_FPERIOD_OVERRIDE=FQ","FILING_STATUS=MR","SCALING_FORMAT=MLN","Sort=A","Dates=H","DateFormat=P","Fill=—","Direction=H","UseDPDF=Y")</f>
        <v>-450.08800000000002</v>
      </c>
      <c r="O91" s="13">
        <f>_xll.BDH("SRPT US Equity","NET_DEBT","FQ4 2021","FQ4 2021","Currency=USD","Period=FQ","BEST_FPERIOD_OVERRIDE=FQ","FILING_STATUS=MR","SCALING_FORMAT=MLN","Sort=A","Dates=H","DateFormat=P","Fill=—","Direction=H","UseDPDF=Y")</f>
        <v>-972.33600000000001</v>
      </c>
      <c r="P91" s="13">
        <f>_xll.BDH("SRPT US Equity","NET_DEBT","FQ1 2022","FQ1 2022","Currency=USD","Period=FQ","BEST_FPERIOD_OVERRIDE=FQ","FILING_STATUS=MR","SCALING_FORMAT=MLN","Sort=A","Dates=H","DateFormat=P","Fill=—","Direction=H","UseDPDF=Y")</f>
        <v>-885.61199999999997</v>
      </c>
      <c r="Q91" s="13">
        <f>_xll.BDH("SRPT US Equity","NET_DEBT","FQ2 2022","FQ2 2022","Currency=USD","Period=FQ","BEST_FPERIOD_OVERRIDE=FQ","FILING_STATUS=MR","SCALING_FORMAT=MLN","Sort=A","Dates=H","DateFormat=P","Fill=—","Direction=H","UseDPDF=Y")</f>
        <v>-806.27700000000004</v>
      </c>
      <c r="R91" s="13">
        <f>_xll.BDH("SRPT US Equity","NET_DEBT","FQ3 2022","FQ3 2022","Currency=USD","Period=FQ","BEST_FPERIOD_OVERRIDE=FQ","FILING_STATUS=MR","SCALING_FORMAT=MLN","Sort=A","Dates=H","DateFormat=P","Fill=—","Direction=H","UseDPDF=Y")</f>
        <v>-513.50900000000001</v>
      </c>
      <c r="S91" s="13">
        <f>_xll.BDH("SRPT US Equity","NET_DEBT","FQ4 2022","FQ4 2022","Currency=USD","Period=FQ","BEST_FPERIOD_OVERRIDE=FQ","FILING_STATUS=MR","SCALING_FORMAT=MLN","Sort=A","Dates=H","DateFormat=P","Fill=—","Direction=H","UseDPDF=Y")</f>
        <v>-391.03899999999999</v>
      </c>
      <c r="T91" s="13">
        <f>_xll.BDH("SRPT US Equity","NET_DEBT","FQ1 2023","FQ1 2023","Currency=USD","Period=FQ","BEST_FPERIOD_OVERRIDE=FQ","FILING_STATUS=MR","SCALING_FORMAT=MLN","Sort=A","Dates=H","DateFormat=P","Fill=—","Direction=H","UseDPDF=Y")</f>
        <v>-612.90599999999995</v>
      </c>
      <c r="U91" s="13">
        <f>_xll.BDH("SRPT US Equity","NET_DEBT","FQ2 2023","FQ2 2023","Currency=USD","Period=FQ","BEST_FPERIOD_OVERRIDE=FQ","FILING_STATUS=MR","SCALING_FORMAT=MLN","Sort=A","Dates=H","DateFormat=P","Fill=—","Direction=H","UseDPDF=Y")</f>
        <v>-515.05200000000002</v>
      </c>
      <c r="V91" s="13">
        <f>_xll.BDH("SRPT US Equity","NET_DEBT","FQ3 2023","FQ3 2023","Currency=USD","Period=FQ","BEST_FPERIOD_OVERRIDE=FQ","FILING_STATUS=MR","SCALING_FORMAT=MLN","Sort=A","Dates=H","DateFormat=P","Fill=—","Direction=H","UseDPDF=Y")</f>
        <v>-351.584</v>
      </c>
      <c r="W91" s="13">
        <f>_xll.BDH("SRPT US Equity","NET_DEBT","FQ4 2023","FQ4 2023","Currency=USD","Period=FQ","BEST_FPERIOD_OVERRIDE=FQ","FILING_STATUS=MR","SCALING_FORMAT=MLN","Sort=A","Dates=H","DateFormat=P","Fill=—","Direction=H","UseDPDF=Y")</f>
        <v>-285.96899999999999</v>
      </c>
      <c r="X91" s="13">
        <f>_xll.BDH("SRPT US Equity","NET_DEBT","FQ1 2024","FQ1 2024","Currency=USD","Period=FQ","BEST_FPERIOD_OVERRIDE=FQ","FILING_STATUS=MR","SCALING_FORMAT=MLN","Sort=A","Dates=H","DateFormat=P","Fill=—","Direction=H","UseDPDF=Y")</f>
        <v>-26.974</v>
      </c>
      <c r="Y91" s="13">
        <f>_xll.BDH("SRPT US Equity","NET_DEBT","FQ2 2024","FQ2 2024","Currency=USD","Period=FQ","BEST_FPERIOD_OVERRIDE=FQ","FILING_STATUS=MR","SCALING_FORMAT=MLN","Sort=A","Dates=H","DateFormat=P","Fill=—","Direction=H","UseDPDF=Y")</f>
        <v>-106.137</v>
      </c>
      <c r="Z91" s="13">
        <f>_xll.BDH("SRPT US Equity","NET_DEBT","FQ3 2024","FQ3 2024","Currency=USD","Period=FQ","BEST_FPERIOD_OVERRIDE=FQ","FILING_STATUS=MR","SCALING_FORMAT=MLN","Sort=A","Dates=H","DateFormat=P","Fill=—","Direction=H","UseDPDF=Y")</f>
        <v>194.45699999999999</v>
      </c>
      <c r="AA91" s="13">
        <f>_xll.BDH("SRPT US Equity","NET_DEBT","FQ4 2024","FQ4 2024","Currency=USD","Period=FQ","BEST_FPERIOD_OVERRIDE=FQ","FILING_STATUS=MR","SCALING_FORMAT=MLN","Sort=A","Dates=H","DateFormat=P","Fill=—","Direction=H","UseDPDF=Y")</f>
        <v>-15.432</v>
      </c>
    </row>
    <row r="92" spans="1:27" x14ac:dyDescent="0.25">
      <c r="A92" s="10" t="s">
        <v>836</v>
      </c>
      <c r="B92" s="10" t="s">
        <v>837</v>
      </c>
      <c r="C92" s="14">
        <f>_xll.BDH("SRPT US Equity","NET_DEBT_TO_SHRHLDR_EQTY","FQ4 2018","FQ4 2018","Currency=USD","Period=FQ","BEST_FPERIOD_OVERRIDE=FQ","FILING_STATUS=MR","Sort=A","Dates=H","DateFormat=P","Fill=—","Direction=H","UseDPDF=Y")</f>
        <v>-72.9803</v>
      </c>
      <c r="D92" s="14">
        <f>_xll.BDH("SRPT US Equity","NET_DEBT_TO_SHRHLDR_EQTY","FQ1 2019","FQ1 2019","Currency=USD","Period=FQ","BEST_FPERIOD_OVERRIDE=FQ","FILING_STATUS=MR","Sort=A","Dates=H","DateFormat=P","Fill=—","Direction=H","UseDPDF=Y")</f>
        <v>-63.736499999999999</v>
      </c>
      <c r="E92" s="14">
        <f>_xll.BDH("SRPT US Equity","NET_DEBT_TO_SHRHLDR_EQTY","FQ2 2019","FQ2 2019","Currency=USD","Period=FQ","BEST_FPERIOD_OVERRIDE=FQ","FILING_STATUS=MR","Sort=A","Dates=H","DateFormat=P","Fill=—","Direction=H","UseDPDF=Y")</f>
        <v>-55.920400000000001</v>
      </c>
      <c r="F92" s="14">
        <f>_xll.BDH("SRPT US Equity","NET_DEBT_TO_SHRHLDR_EQTY","FQ3 2019","FQ3 2019","Currency=USD","Period=FQ","BEST_FPERIOD_OVERRIDE=FQ","FILING_STATUS=MR","Sort=A","Dates=H","DateFormat=P","Fill=—","Direction=H","UseDPDF=Y")</f>
        <v>-55.780900000000003</v>
      </c>
      <c r="G92" s="14">
        <f>_xll.BDH("SRPT US Equity","NET_DEBT_TO_SHRHLDR_EQTY","FQ4 2019","FQ4 2019","Currency=USD","Period=FQ","BEST_FPERIOD_OVERRIDE=FQ","FILING_STATUS=MR","Sort=A","Dates=H","DateFormat=P","Fill=—","Direction=H","UseDPDF=Y")</f>
        <v>-47.334200000000003</v>
      </c>
      <c r="H92" s="14">
        <f>_xll.BDH("SRPT US Equity","NET_DEBT_TO_SHRHLDR_EQTY","FQ1 2020","FQ1 2020","Currency=USD","Period=FQ","BEST_FPERIOD_OVERRIDE=FQ","FILING_STATUS=MR","Sort=A","Dates=H","DateFormat=P","Fill=—","Direction=H","UseDPDF=Y")</f>
        <v>-124.6914</v>
      </c>
      <c r="I92" s="14">
        <f>_xll.BDH("SRPT US Equity","NET_DEBT_TO_SHRHLDR_EQTY","FQ2 2020","FQ2 2020","Currency=USD","Period=FQ","BEST_FPERIOD_OVERRIDE=FQ","FILING_STATUS=MR","Sort=A","Dates=H","DateFormat=P","Fill=—","Direction=H","UseDPDF=Y")</f>
        <v>-125.07040000000001</v>
      </c>
      <c r="J92" s="14">
        <f>_xll.BDH("SRPT US Equity","NET_DEBT_TO_SHRHLDR_EQTY","FQ3 2020","FQ3 2020","Currency=USD","Period=FQ","BEST_FPERIOD_OVERRIDE=FQ","FILING_STATUS=MR","Sort=A","Dates=H","DateFormat=P","Fill=—","Direction=H","UseDPDF=Y")</f>
        <v>-118.4883</v>
      </c>
      <c r="K92" s="14">
        <f>_xll.BDH("SRPT US Equity","NET_DEBT_TO_SHRHLDR_EQTY","FQ4 2020","FQ4 2020","Currency=USD","Period=FQ","BEST_FPERIOD_OVERRIDE=FQ","FILING_STATUS=MR","Sort=A","Dates=H","DateFormat=P","Fill=—","Direction=H","UseDPDF=Y")</f>
        <v>-112.1216</v>
      </c>
      <c r="L92" s="14">
        <f>_xll.BDH("SRPT US Equity","NET_DEBT_TO_SHRHLDR_EQTY","FQ1 2021","FQ1 2021","Currency=USD","Period=FQ","BEST_FPERIOD_OVERRIDE=FQ","FILING_STATUS=MR","Sort=A","Dates=H","DateFormat=P","Fill=—","Direction=H","UseDPDF=Y")</f>
        <v>-111.19029999999999</v>
      </c>
      <c r="M92" s="14">
        <f>_xll.BDH("SRPT US Equity","NET_DEBT_TO_SHRHLDR_EQTY","FQ2 2021","FQ2 2021","Currency=USD","Period=FQ","BEST_FPERIOD_OVERRIDE=FQ","FILING_STATUS=MR","Sort=A","Dates=H","DateFormat=P","Fill=—","Direction=H","UseDPDF=Y")</f>
        <v>-119.21469999999999</v>
      </c>
      <c r="N92" s="14">
        <f>_xll.BDH("SRPT US Equity","NET_DEBT_TO_SHRHLDR_EQTY","FQ3 2021","FQ3 2021","Currency=USD","Period=FQ","BEST_FPERIOD_OVERRIDE=FQ","FILING_STATUS=MR","Sort=A","Dates=H","DateFormat=P","Fill=—","Direction=H","UseDPDF=Y")</f>
        <v>-95.859700000000004</v>
      </c>
      <c r="O92" s="14">
        <f>_xll.BDH("SRPT US Equity","NET_DEBT_TO_SHRHLDR_EQTY","FQ4 2021","FQ4 2021","Currency=USD","Period=FQ","BEST_FPERIOD_OVERRIDE=FQ","FILING_STATUS=MR","Sort=A","Dates=H","DateFormat=P","Fill=—","Direction=H","UseDPDF=Y")</f>
        <v>-104.7766</v>
      </c>
      <c r="P92" s="14">
        <f>_xll.BDH("SRPT US Equity","NET_DEBT_TO_SHRHLDR_EQTY","FQ1 2022","FQ1 2022","Currency=USD","Period=FQ","BEST_FPERIOD_OVERRIDE=FQ","FILING_STATUS=MR","Sort=A","Dates=H","DateFormat=P","Fill=—","Direction=H","UseDPDF=Y")</f>
        <v>-103.3524</v>
      </c>
      <c r="Q92" s="14">
        <f>_xll.BDH("SRPT US Equity","NET_DEBT_TO_SHRHLDR_EQTY","FQ2 2022","FQ2 2022","Currency=USD","Period=FQ","BEST_FPERIOD_OVERRIDE=FQ","FILING_STATUS=MR","Sort=A","Dates=H","DateFormat=P","Fill=—","Direction=H","UseDPDF=Y")</f>
        <v>-110.9876</v>
      </c>
      <c r="R92" s="14">
        <f>_xll.BDH("SRPT US Equity","NET_DEBT_TO_SHRHLDR_EQTY","FQ3 2022","FQ3 2022","Currency=USD","Period=FQ","BEST_FPERIOD_OVERRIDE=FQ","FILING_STATUS=MR","Sort=A","Dates=H","DateFormat=P","Fill=—","Direction=H","UseDPDF=Y")</f>
        <v>-119.1879</v>
      </c>
      <c r="S92" s="14">
        <f>_xll.BDH("SRPT US Equity","NET_DEBT_TO_SHRHLDR_EQTY","FQ4 2022","FQ4 2022","Currency=USD","Period=FQ","BEST_FPERIOD_OVERRIDE=FQ","FILING_STATUS=MR","Sort=A","Dates=H","DateFormat=P","Fill=—","Direction=H","UseDPDF=Y")</f>
        <v>-101.5818</v>
      </c>
      <c r="T92" s="14">
        <f>_xll.BDH("SRPT US Equity","NET_DEBT_TO_SHRHLDR_EQTY","FQ1 2023","FQ1 2023","Currency=USD","Period=FQ","BEST_FPERIOD_OVERRIDE=FQ","FILING_STATUS=MR","Sort=A","Dates=H","DateFormat=P","Fill=—","Direction=H","UseDPDF=Y")</f>
        <v>-85.991799999999998</v>
      </c>
      <c r="U92" s="14">
        <f>_xll.BDH("SRPT US Equity","NET_DEBT_TO_SHRHLDR_EQTY","FQ2 2023","FQ2 2023","Currency=USD","Period=FQ","BEST_FPERIOD_OVERRIDE=FQ","FILING_STATUS=MR","Sort=A","Dates=H","DateFormat=P","Fill=—","Direction=H","UseDPDF=Y")</f>
        <v>-69.469200000000001</v>
      </c>
      <c r="V92" s="14">
        <f>_xll.BDH("SRPT US Equity","NET_DEBT_TO_SHRHLDR_EQTY","FQ3 2023","FQ3 2023","Currency=USD","Period=FQ","BEST_FPERIOD_OVERRIDE=FQ","FILING_STATUS=MR","Sort=A","Dates=H","DateFormat=P","Fill=—","Direction=H","UseDPDF=Y")</f>
        <v>-45.997399999999999</v>
      </c>
      <c r="W92" s="14">
        <f>_xll.BDH("SRPT US Equity","NET_DEBT_TO_SHRHLDR_EQTY","FQ4 2023","FQ4 2023","Currency=USD","Period=FQ","BEST_FPERIOD_OVERRIDE=FQ","FILING_STATUS=MR","Sort=A","Dates=H","DateFormat=P","Fill=—","Direction=H","UseDPDF=Y")</f>
        <v>-33.277900000000002</v>
      </c>
      <c r="X92" s="14">
        <f>_xll.BDH("SRPT US Equity","NET_DEBT_TO_SHRHLDR_EQTY","FQ1 2024","FQ1 2024","Currency=USD","Period=FQ","BEST_FPERIOD_OVERRIDE=FQ","FILING_STATUS=MR","Sort=A","Dates=H","DateFormat=P","Fill=—","Direction=H","UseDPDF=Y")</f>
        <v>-2.8062999999999998</v>
      </c>
      <c r="Y92" s="14">
        <f>_xll.BDH("SRPT US Equity","NET_DEBT_TO_SHRHLDR_EQTY","FQ2 2024","FQ2 2024","Currency=USD","Period=FQ","BEST_FPERIOD_OVERRIDE=FQ","FILING_STATUS=MR","Sort=A","Dates=H","DateFormat=P","Fill=—","Direction=H","UseDPDF=Y")</f>
        <v>-9.8542000000000005</v>
      </c>
      <c r="Z92" s="14">
        <f>_xll.BDH("SRPT US Equity","NET_DEBT_TO_SHRHLDR_EQTY","FQ3 2024","FQ3 2024","Currency=USD","Period=FQ","BEST_FPERIOD_OVERRIDE=FQ","FILING_STATUS=MR","Sort=A","Dates=H","DateFormat=P","Fill=—","Direction=H","UseDPDF=Y")</f>
        <v>15.9251</v>
      </c>
      <c r="AA92" s="14">
        <f>_xll.BDH("SRPT US Equity","NET_DEBT_TO_SHRHLDR_EQTY","FQ4 2024","FQ4 2024","Currency=USD","Period=FQ","BEST_FPERIOD_OVERRIDE=FQ","FILING_STATUS=MR","Sort=A","Dates=H","DateFormat=P","Fill=—","Direction=H","UseDPDF=Y")</f>
        <v>-1.0101</v>
      </c>
    </row>
    <row r="93" spans="1:27" x14ac:dyDescent="0.25">
      <c r="A93" s="10" t="s">
        <v>838</v>
      </c>
      <c r="B93" s="10" t="s">
        <v>839</v>
      </c>
      <c r="C93" s="14">
        <f>_xll.BDH("SRPT US Equity","TCE_RATIO","FQ4 2018","FQ4 2018","Currency=USD","Period=FQ","BEST_FPERIOD_OVERRIDE=FQ","FILING_STATUS=MR","Sort=A","Dates=H","DateFormat=P","Fill=—","Direction=H","UseDPDF=Y")</f>
        <v>62.600499999999997</v>
      </c>
      <c r="D93" s="14">
        <f>_xll.BDH("SRPT US Equity","TCE_RATIO","FQ1 2019","FQ1 2019","Currency=USD","Period=FQ","BEST_FPERIOD_OVERRIDE=FQ","FILING_STATUS=MR","Sort=A","Dates=H","DateFormat=P","Fill=—","Direction=H","UseDPDF=Y")</f>
        <v>68.478700000000003</v>
      </c>
      <c r="E93" s="14">
        <f>_xll.BDH("SRPT US Equity","TCE_RATIO","FQ2 2019","FQ2 2019","Currency=USD","Period=FQ","BEST_FPERIOD_OVERRIDE=FQ","FILING_STATUS=MR","Sort=A","Dates=H","DateFormat=P","Fill=—","Direction=H","UseDPDF=Y")</f>
        <v>62.637500000000003</v>
      </c>
      <c r="F93" s="14">
        <f>_xll.BDH("SRPT US Equity","TCE_RATIO","FQ3 2019","FQ3 2019","Currency=USD","Period=FQ","BEST_FPERIOD_OVERRIDE=FQ","FILING_STATUS=MR","Sort=A","Dates=H","DateFormat=P","Fill=—","Direction=H","UseDPDF=Y")</f>
        <v>58.162199999999999</v>
      </c>
      <c r="G93" s="14">
        <f>_xll.BDH("SRPT US Equity","TCE_RATIO","FQ4 2019","FQ4 2019","Currency=USD","Period=FQ","BEST_FPERIOD_OVERRIDE=FQ","FILING_STATUS=MR","Sort=A","Dates=H","DateFormat=P","Fill=—","Direction=H","UseDPDF=Y")</f>
        <v>44.505299999999998</v>
      </c>
      <c r="H93" s="14">
        <f>_xll.BDH("SRPT US Equity","TCE_RATIO","FQ1 2020","FQ1 2020","Currency=USD","Period=FQ","BEST_FPERIOD_OVERRIDE=FQ","FILING_STATUS=MR","Sort=A","Dates=H","DateFormat=P","Fill=—","Direction=H","UseDPDF=Y")</f>
        <v>38.575099999999999</v>
      </c>
      <c r="I93" s="14">
        <f>_xll.BDH("SRPT US Equity","TCE_RATIO","FQ2 2020","FQ2 2020","Currency=USD","Period=FQ","BEST_FPERIOD_OVERRIDE=FQ","FILING_STATUS=MR","Sort=A","Dates=H","DateFormat=P","Fill=—","Direction=H","UseDPDF=Y")</f>
        <v>35.880899999999997</v>
      </c>
      <c r="J93" s="14">
        <f>_xll.BDH("SRPT US Equity","TCE_RATIO","FQ3 2020","FQ3 2020","Currency=USD","Period=FQ","BEST_FPERIOD_OVERRIDE=FQ","FILING_STATUS=MR","Sort=A","Dates=H","DateFormat=P","Fill=—","Direction=H","UseDPDF=Y")</f>
        <v>31.7529</v>
      </c>
      <c r="K93" s="14">
        <f>_xll.BDH("SRPT US Equity","TCE_RATIO","FQ4 2020","FQ4 2020","Currency=USD","Period=FQ","BEST_FPERIOD_OVERRIDE=FQ","FILING_STATUS=MR","Sort=A","Dates=H","DateFormat=P","Fill=—","Direction=H","UseDPDF=Y")</f>
        <v>25.180399999999999</v>
      </c>
      <c r="L93" s="14">
        <f>_xll.BDH("SRPT US Equity","TCE_RATIO","FQ1 2021","FQ1 2021","Currency=USD","Period=FQ","BEST_FPERIOD_OVERRIDE=FQ","FILING_STATUS=MR","Sort=A","Dates=H","DateFormat=P","Fill=—","Direction=H","UseDPDF=Y")</f>
        <v>18.9495</v>
      </c>
      <c r="M93" s="14">
        <f>_xll.BDH("SRPT US Equity","TCE_RATIO","FQ2 2021","FQ2 2021","Currency=USD","Period=FQ","BEST_FPERIOD_OVERRIDE=FQ","FILING_STATUS=MR","Sort=A","Dates=H","DateFormat=P","Fill=—","Direction=H","UseDPDF=Y")</f>
        <v>17.158799999999999</v>
      </c>
      <c r="N93" s="14">
        <f>_xll.BDH("SRPT US Equity","TCE_RATIO","FQ3 2021","FQ3 2021","Currency=USD","Period=FQ","BEST_FPERIOD_OVERRIDE=FQ","FILING_STATUS=MR","Sort=A","Dates=H","DateFormat=P","Fill=—","Direction=H","UseDPDF=Y")</f>
        <v>17.194900000000001</v>
      </c>
      <c r="O93" s="14">
        <f>_xll.BDH("SRPT US Equity","TCE_RATIO","FQ4 2021","FQ4 2021","Currency=USD","Period=FQ","BEST_FPERIOD_OVERRIDE=FQ","FILING_STATUS=MR","Sort=A","Dates=H","DateFormat=P","Fill=—","Direction=H","UseDPDF=Y")</f>
        <v>29.159099999999999</v>
      </c>
      <c r="P93" s="14">
        <f>_xll.BDH("SRPT US Equity","TCE_RATIO","FQ1 2022","FQ1 2022","Currency=USD","Period=FQ","BEST_FPERIOD_OVERRIDE=FQ","FILING_STATUS=MR","Sort=A","Dates=H","DateFormat=P","Fill=—","Direction=H","UseDPDF=Y")</f>
        <v>27.722799999999999</v>
      </c>
      <c r="Q93" s="14">
        <f>_xll.BDH("SRPT US Equity","TCE_RATIO","FQ2 2022","FQ2 2022","Currency=USD","Period=FQ","BEST_FPERIOD_OVERRIDE=FQ","FILING_STATUS=MR","Sort=A","Dates=H","DateFormat=P","Fill=—","Direction=H","UseDPDF=Y")</f>
        <v>23.908999999999999</v>
      </c>
      <c r="R93" s="14">
        <f>_xll.BDH("SRPT US Equity","TCE_RATIO","FQ3 2022","FQ3 2022","Currency=USD","Period=FQ","BEST_FPERIOD_OVERRIDE=FQ","FILING_STATUS=MR","Sort=A","Dates=H","DateFormat=P","Fill=—","Direction=H","UseDPDF=Y")</f>
        <v>13.2921</v>
      </c>
      <c r="S93" s="14">
        <f>_xll.BDH("SRPT US Equity","TCE_RATIO","FQ4 2022","FQ4 2022","Currency=USD","Period=FQ","BEST_FPERIOD_OVERRIDE=FQ","FILING_STATUS=MR","Sort=A","Dates=H","DateFormat=P","Fill=—","Direction=H","UseDPDF=Y")</f>
        <v>11.9115</v>
      </c>
      <c r="T93" s="14">
        <f>_xll.BDH("SRPT US Equity","TCE_RATIO","FQ1 2023","FQ1 2023","Currency=USD","Period=FQ","BEST_FPERIOD_OVERRIDE=FQ","FILING_STATUS=MR","Sort=A","Dates=H","DateFormat=P","Fill=—","Direction=H","UseDPDF=Y")</f>
        <v>23.113199999999999</v>
      </c>
      <c r="U93" s="14">
        <f>_xll.BDH("SRPT US Equity","TCE_RATIO","FQ2 2023","FQ2 2023","Currency=USD","Period=FQ","BEST_FPERIOD_OVERRIDE=FQ","FILING_STATUS=MR","Sort=A","Dates=H","DateFormat=P","Fill=—","Direction=H","UseDPDF=Y")</f>
        <v>23.276199999999999</v>
      </c>
      <c r="V93" s="14">
        <f>_xll.BDH("SRPT US Equity","TCE_RATIO","FQ3 2023","FQ3 2023","Currency=USD","Period=FQ","BEST_FPERIOD_OVERRIDE=FQ","FILING_STATUS=MR","Sort=A","Dates=H","DateFormat=P","Fill=—","Direction=H","UseDPDF=Y")</f>
        <v>24.1038</v>
      </c>
      <c r="W93" s="14">
        <f>_xll.BDH("SRPT US Equity","TCE_RATIO","FQ4 2023","FQ4 2023","Currency=USD","Period=FQ","BEST_FPERIOD_OVERRIDE=FQ","FILING_STATUS=MR","Sort=A","Dates=H","DateFormat=P","Fill=—","Direction=H","UseDPDF=Y")</f>
        <v>25.458500000000001</v>
      </c>
      <c r="X93" s="14">
        <f>_xll.BDH("SRPT US Equity","TCE_RATIO","FQ1 2024","FQ1 2024","Currency=USD","Period=FQ","BEST_FPERIOD_OVERRIDE=FQ","FILING_STATUS=MR","Sort=A","Dates=H","DateFormat=P","Fill=—","Direction=H","UseDPDF=Y")</f>
        <v>29.174600000000002</v>
      </c>
      <c r="Y93" s="14">
        <f>_xll.BDH("SRPT US Equity","TCE_RATIO","FQ2 2024","FQ2 2024","Currency=USD","Period=FQ","BEST_FPERIOD_OVERRIDE=FQ","FILING_STATUS=MR","Sort=A","Dates=H","DateFormat=P","Fill=—","Direction=H","UseDPDF=Y")</f>
        <v>30.883800000000001</v>
      </c>
      <c r="Z93" s="14">
        <f>_xll.BDH("SRPT US Equity","TCE_RATIO","FQ3 2024","FQ3 2024","Currency=USD","Period=FQ","BEST_FPERIOD_OVERRIDE=FQ","FILING_STATUS=MR","Sort=A","Dates=H","DateFormat=P","Fill=—","Direction=H","UseDPDF=Y")</f>
        <v>33.409300000000002</v>
      </c>
      <c r="AA93" s="14">
        <f>_xll.BDH("SRPT US Equity","TCE_RATIO","FQ4 2024","FQ4 2024","Currency=USD","Period=FQ","BEST_FPERIOD_OVERRIDE=FQ","FILING_STATUS=MR","Sort=A","Dates=H","DateFormat=P","Fill=—","Direction=H","UseDPDF=Y")</f>
        <v>37.956200000000003</v>
      </c>
    </row>
    <row r="94" spans="1:27" x14ac:dyDescent="0.25">
      <c r="A94" s="10" t="s">
        <v>840</v>
      </c>
      <c r="B94" s="10" t="s">
        <v>841</v>
      </c>
      <c r="C94" s="14">
        <f>_xll.BDH("SRPT US Equity","CUR_RATIO","FQ4 2018","FQ4 2018","Currency=USD","Period=FQ","BEST_FPERIOD_OVERRIDE=FQ","FILING_STATUS=MR","Sort=A","Dates=H","DateFormat=P","Fill=—","Direction=H","UseDPDF=Y")</f>
        <v>8.2111000000000001</v>
      </c>
      <c r="D94" s="14">
        <f>_xll.BDH("SRPT US Equity","CUR_RATIO","FQ1 2019","FQ1 2019","Currency=USD","Period=FQ","BEST_FPERIOD_OVERRIDE=FQ","FILING_STATUS=MR","Sort=A","Dates=H","DateFormat=P","Fill=—","Direction=H","UseDPDF=Y")</f>
        <v>12.1677</v>
      </c>
      <c r="E94" s="14">
        <f>_xll.BDH("SRPT US Equity","CUR_RATIO","FQ2 2019","FQ2 2019","Currency=USD","Period=FQ","BEST_FPERIOD_OVERRIDE=FQ","FILING_STATUS=MR","Sort=A","Dates=H","DateFormat=P","Fill=—","Direction=H","UseDPDF=Y")</f>
        <v>8.8064</v>
      </c>
      <c r="F94" s="14">
        <f>_xll.BDH("SRPT US Equity","CUR_RATIO","FQ3 2019","FQ3 2019","Currency=USD","Period=FQ","BEST_FPERIOD_OVERRIDE=FQ","FILING_STATUS=MR","Sort=A","Dates=H","DateFormat=P","Fill=—","Direction=H","UseDPDF=Y")</f>
        <v>6.3110999999999997</v>
      </c>
      <c r="G94" s="14">
        <f>_xll.BDH("SRPT US Equity","CUR_RATIO","FQ4 2019","FQ4 2019","Currency=USD","Period=FQ","BEST_FPERIOD_OVERRIDE=FQ","FILING_STATUS=MR","Sort=A","Dates=H","DateFormat=P","Fill=—","Direction=H","UseDPDF=Y")</f>
        <v>5.5479000000000003</v>
      </c>
      <c r="H94" s="14">
        <f>_xll.BDH("SRPT US Equity","CUR_RATIO","FQ1 2020","FQ1 2020","Currency=USD","Period=FQ","BEST_FPERIOD_OVERRIDE=FQ","FILING_STATUS=MR","Sort=A","Dates=H","DateFormat=P","Fill=—","Direction=H","UseDPDF=Y")</f>
        <v>8.3130000000000006</v>
      </c>
      <c r="I94" s="14">
        <f>_xll.BDH("SRPT US Equity","CUR_RATIO","FQ2 2020","FQ2 2020","Currency=USD","Period=FQ","BEST_FPERIOD_OVERRIDE=FQ","FILING_STATUS=MR","Sort=A","Dates=H","DateFormat=P","Fill=—","Direction=H","UseDPDF=Y")</f>
        <v>6.93</v>
      </c>
      <c r="J94" s="14">
        <f>_xll.BDH("SRPT US Equity","CUR_RATIO","FQ3 2020","FQ3 2020","Currency=USD","Period=FQ","BEST_FPERIOD_OVERRIDE=FQ","FILING_STATUS=MR","Sort=A","Dates=H","DateFormat=P","Fill=—","Direction=H","UseDPDF=Y")</f>
        <v>6.1383000000000001</v>
      </c>
      <c r="K94" s="14">
        <f>_xll.BDH("SRPT US Equity","CUR_RATIO","FQ4 2020","FQ4 2020","Currency=USD","Period=FQ","BEST_FPERIOD_OVERRIDE=FQ","FILING_STATUS=MR","Sort=A","Dates=H","DateFormat=P","Fill=—","Direction=H","UseDPDF=Y")</f>
        <v>5.9737</v>
      </c>
      <c r="L94" s="14">
        <f>_xll.BDH("SRPT US Equity","CUR_RATIO","FQ1 2021","FQ1 2021","Currency=USD","Period=FQ","BEST_FPERIOD_OVERRIDE=FQ","FILING_STATUS=MR","Sort=A","Dates=H","DateFormat=P","Fill=—","Direction=H","UseDPDF=Y")</f>
        <v>6.2274000000000003</v>
      </c>
      <c r="M94" s="14">
        <f>_xll.BDH("SRPT US Equity","CUR_RATIO","FQ2 2021","FQ2 2021","Currency=USD","Period=FQ","BEST_FPERIOD_OVERRIDE=FQ","FILING_STATUS=MR","Sort=A","Dates=H","DateFormat=P","Fill=—","Direction=H","UseDPDF=Y")</f>
        <v>5.3296000000000001</v>
      </c>
      <c r="N94" s="14">
        <f>_xll.BDH("SRPT US Equity","CUR_RATIO","FQ3 2021","FQ3 2021","Currency=USD","Period=FQ","BEST_FPERIOD_OVERRIDE=FQ","FILING_STATUS=MR","Sort=A","Dates=H","DateFormat=P","Fill=—","Direction=H","UseDPDF=Y")</f>
        <v>5.8517999999999999</v>
      </c>
      <c r="O94" s="14">
        <f>_xll.BDH("SRPT US Equity","CUR_RATIO","FQ4 2021","FQ4 2021","Currency=USD","Period=FQ","BEST_FPERIOD_OVERRIDE=FQ","FILING_STATUS=MR","Sort=A","Dates=H","DateFormat=P","Fill=—","Direction=H","UseDPDF=Y")</f>
        <v>5.7519999999999998</v>
      </c>
      <c r="P94" s="14">
        <f>_xll.BDH("SRPT US Equity","CUR_RATIO","FQ1 2022","FQ1 2022","Currency=USD","Period=FQ","BEST_FPERIOD_OVERRIDE=FQ","FILING_STATUS=MR","Sort=A","Dates=H","DateFormat=P","Fill=—","Direction=H","UseDPDF=Y")</f>
        <v>5.5629999999999997</v>
      </c>
      <c r="Q94" s="14">
        <f>_xll.BDH("SRPT US Equity","CUR_RATIO","FQ2 2022","FQ2 2022","Currency=USD","Period=FQ","BEST_FPERIOD_OVERRIDE=FQ","FILING_STATUS=MR","Sort=A","Dates=H","DateFormat=P","Fill=—","Direction=H","UseDPDF=Y")</f>
        <v>4.5260999999999996</v>
      </c>
      <c r="R94" s="14">
        <f>_xll.BDH("SRPT US Equity","CUR_RATIO","FQ3 2022","FQ3 2022","Currency=USD","Period=FQ","BEST_FPERIOD_OVERRIDE=FQ","FILING_STATUS=MR","Sort=A","Dates=H","DateFormat=P","Fill=—","Direction=H","UseDPDF=Y")</f>
        <v>4.3554000000000004</v>
      </c>
      <c r="S94" s="14">
        <f>_xll.BDH("SRPT US Equity","CUR_RATIO","FQ4 2022","FQ4 2022","Currency=USD","Period=FQ","BEST_FPERIOD_OVERRIDE=FQ","FILING_STATUS=MR","Sort=A","Dates=H","DateFormat=P","Fill=—","Direction=H","UseDPDF=Y")</f>
        <v>4.1281999999999996</v>
      </c>
      <c r="T94" s="14">
        <f>_xll.BDH("SRPT US Equity","CUR_RATIO","FQ1 2023","FQ1 2023","Currency=USD","Period=FQ","BEST_FPERIOD_OVERRIDE=FQ","FILING_STATUS=MR","Sort=A","Dates=H","DateFormat=P","Fill=—","Direction=H","UseDPDF=Y")</f>
        <v>4.6349</v>
      </c>
      <c r="U94" s="14">
        <f>_xll.BDH("SRPT US Equity","CUR_RATIO","FQ2 2023","FQ2 2023","Currency=USD","Period=FQ","BEST_FPERIOD_OVERRIDE=FQ","FILING_STATUS=MR","Sort=A","Dates=H","DateFormat=P","Fill=—","Direction=H","UseDPDF=Y")</f>
        <v>4.9585999999999997</v>
      </c>
      <c r="V94" s="14">
        <f>_xll.BDH("SRPT US Equity","CUR_RATIO","FQ3 2023","FQ3 2023","Currency=USD","Period=FQ","BEST_FPERIOD_OVERRIDE=FQ","FILING_STATUS=MR","Sort=A","Dates=H","DateFormat=P","Fill=—","Direction=H","UseDPDF=Y")</f>
        <v>5.4374000000000002</v>
      </c>
      <c r="W94" s="14">
        <f>_xll.BDH("SRPT US Equity","CUR_RATIO","FQ4 2023","FQ4 2023","Currency=USD","Period=FQ","BEST_FPERIOD_OVERRIDE=FQ","FILING_STATUS=MR","Sort=A","Dates=H","DateFormat=P","Fill=—","Direction=H","UseDPDF=Y")</f>
        <v>3.9460000000000002</v>
      </c>
      <c r="X94" s="14">
        <f>_xll.BDH("SRPT US Equity","CUR_RATIO","FQ1 2024","FQ1 2024","Currency=USD","Period=FQ","BEST_FPERIOD_OVERRIDE=FQ","FILING_STATUS=MR","Sort=A","Dates=H","DateFormat=P","Fill=—","Direction=H","UseDPDF=Y")</f>
        <v>4.0492999999999997</v>
      </c>
      <c r="Y94" s="14">
        <f>_xll.BDH("SRPT US Equity","CUR_RATIO","FQ2 2024","FQ2 2024","Currency=USD","Period=FQ","BEST_FPERIOD_OVERRIDE=FQ","FILING_STATUS=MR","Sort=A","Dates=H","DateFormat=P","Fill=—","Direction=H","UseDPDF=Y")</f>
        <v>3.8978999999999999</v>
      </c>
      <c r="Z94" s="14">
        <f>_xll.BDH("SRPT US Equity","CUR_RATIO","FQ3 2024","FQ3 2024","Currency=USD","Period=FQ","BEST_FPERIOD_OVERRIDE=FQ","FILING_STATUS=MR","Sort=A","Dates=H","DateFormat=P","Fill=—","Direction=H","UseDPDF=Y")</f>
        <v>3.839</v>
      </c>
      <c r="AA94" s="14">
        <f>_xll.BDH("SRPT US Equity","CUR_RATIO","FQ4 2024","FQ4 2024","Currency=USD","Period=FQ","BEST_FPERIOD_OVERRIDE=FQ","FILING_STATUS=MR","Sort=A","Dates=H","DateFormat=P","Fill=—","Direction=H","UseDPDF=Y")</f>
        <v>4.2004999999999999</v>
      </c>
    </row>
    <row r="95" spans="1:27" x14ac:dyDescent="0.25">
      <c r="A95" s="10" t="s">
        <v>842</v>
      </c>
      <c r="B95" s="10" t="s">
        <v>843</v>
      </c>
      <c r="C95" s="14">
        <f>_xll.BDH("SRPT US Equity","CASH_CONVERSION_CYCLE","FQ4 2018","FQ4 2018","Currency=USD","Period=FQ","BEST_FPERIOD_OVERRIDE=FQ","FILING_STATUS=MR","FA_ADJUSTED=GAAP","Sort=A","Dates=H","DateFormat=P","Fill=—","Direction=H","UseDPDF=Y")</f>
        <v>1061.8484000000001</v>
      </c>
      <c r="D95" s="14">
        <f>_xll.BDH("SRPT US Equity","CASH_CONVERSION_CYCLE","FQ1 2019","FQ1 2019","Currency=USD","Period=FQ","BEST_FPERIOD_OVERRIDE=FQ","FILING_STATUS=MR","FA_ADJUSTED=GAAP","Sort=A","Dates=H","DateFormat=P","Fill=—","Direction=H","UseDPDF=Y")</f>
        <v>1029.1953000000001</v>
      </c>
      <c r="E95" s="14">
        <f>_xll.BDH("SRPT US Equity","CASH_CONVERSION_CYCLE","FQ2 2019","FQ2 2019","Currency=USD","Period=FQ","BEST_FPERIOD_OVERRIDE=FQ","FILING_STATUS=MR","FA_ADJUSTED=GAAP","Sort=A","Dates=H","DateFormat=P","Fill=—","Direction=H","UseDPDF=Y")</f>
        <v>897.60910000000001</v>
      </c>
      <c r="F95" s="14">
        <f>_xll.BDH("SRPT US Equity","CASH_CONVERSION_CYCLE","FQ3 2019","FQ3 2019","Currency=USD","Period=FQ","BEST_FPERIOD_OVERRIDE=FQ","FILING_STATUS=MR","FA_ADJUSTED=GAAP","Sort=A","Dates=H","DateFormat=P","Fill=—","Direction=H","UseDPDF=Y")</f>
        <v>830.81920000000002</v>
      </c>
      <c r="G95" s="14">
        <f>_xll.BDH("SRPT US Equity","CASH_CONVERSION_CYCLE","FQ4 2019","FQ4 2019","Currency=USD","Period=FQ","BEST_FPERIOD_OVERRIDE=FQ","FILING_STATUS=MR","FA_ADJUSTED=GAAP","Sort=A","Dates=H","DateFormat=P","Fill=—","Direction=H","UseDPDF=Y")</f>
        <v>842.92629999999997</v>
      </c>
      <c r="H95" s="14">
        <f>_xll.BDH("SRPT US Equity","CASH_CONVERSION_CYCLE","FQ1 2020","FQ1 2020","Currency=USD","Period=FQ","BEST_FPERIOD_OVERRIDE=FQ","FILING_STATUS=MR","FA_ADJUSTED=GAAP","Sort=A","Dates=H","DateFormat=P","Fill=—","Direction=H","UseDPDF=Y")</f>
        <v>966.91470000000004</v>
      </c>
      <c r="I95" s="14">
        <f>_xll.BDH("SRPT US Equity","CASH_CONVERSION_CYCLE","FQ2 2020","FQ2 2020","Currency=USD","Period=FQ","BEST_FPERIOD_OVERRIDE=FQ","FILING_STATUS=MR","FA_ADJUSTED=GAAP","Sort=A","Dates=H","DateFormat=P","Fill=—","Direction=H","UseDPDF=Y")</f>
        <v>873.19039999999995</v>
      </c>
      <c r="J95" s="14">
        <f>_xll.BDH("SRPT US Equity","CASH_CONVERSION_CYCLE","FQ3 2020","FQ3 2020","Currency=USD","Period=FQ","BEST_FPERIOD_OVERRIDE=FQ","FILING_STATUS=MR","FA_ADJUSTED=GAAP","Sort=A","Dates=H","DateFormat=P","Fill=—","Direction=H","UseDPDF=Y")</f>
        <v>1061.3612000000001</v>
      </c>
      <c r="K95" s="14">
        <f>_xll.BDH("SRPT US Equity","CASH_CONVERSION_CYCLE","FQ4 2020","FQ4 2020","Currency=USD","Period=FQ","BEST_FPERIOD_OVERRIDE=FQ","FILING_STATUS=MR","FA_ADJUSTED=GAAP","Sort=A","Dates=H","DateFormat=P","Fill=—","Direction=H","UseDPDF=Y")</f>
        <v>965.1567</v>
      </c>
      <c r="L95" s="14">
        <f>_xll.BDH("SRPT US Equity","CASH_CONVERSION_CYCLE","FQ1 2021","FQ1 2021","Currency=USD","Period=FQ","BEST_FPERIOD_OVERRIDE=FQ","FILING_STATUS=MR","FA_ADJUSTED=GAAP","Sort=A","Dates=H","DateFormat=P","Fill=—","Direction=H","UseDPDF=Y")</f>
        <v>969.56769999999995</v>
      </c>
      <c r="M95" s="14">
        <f>_xll.BDH("SRPT US Equity","CASH_CONVERSION_CYCLE","FQ2 2021","FQ2 2021","Currency=USD","Period=FQ","BEST_FPERIOD_OVERRIDE=FQ","FILING_STATUS=MR","FA_ADJUSTED=GAAP","Sort=A","Dates=H","DateFormat=P","Fill=—","Direction=H","UseDPDF=Y")</f>
        <v>920.18449999999996</v>
      </c>
      <c r="N95" s="14">
        <f>_xll.BDH("SRPT US Equity","CASH_CONVERSION_CYCLE","FQ3 2021","FQ3 2021","Currency=USD","Period=FQ","BEST_FPERIOD_OVERRIDE=FQ","FILING_STATUS=MR","FA_ADJUSTED=GAAP","Sort=A","Dates=H","DateFormat=P","Fill=—","Direction=H","UseDPDF=Y")</f>
        <v>996.22450000000003</v>
      </c>
      <c r="O95" s="14">
        <f>_xll.BDH("SRPT US Equity","CASH_CONVERSION_CYCLE","FQ4 2021","FQ4 2021","Currency=USD","Period=FQ","BEST_FPERIOD_OVERRIDE=FQ","FILING_STATUS=MR","FA_ADJUSTED=GAAP","Sort=A","Dates=H","DateFormat=P","Fill=—","Direction=H","UseDPDF=Y")</f>
        <v>184.2911</v>
      </c>
      <c r="P95" s="14">
        <f>_xll.BDH("SRPT US Equity","CASH_CONVERSION_CYCLE","FQ1 2022","FQ1 2022","Currency=USD","Period=FQ","BEST_FPERIOD_OVERRIDE=FQ","FILING_STATUS=MR","FA_ADJUSTED=GAAP","Sort=A","Dates=H","DateFormat=P","Fill=—","Direction=H","UseDPDF=Y")</f>
        <v>458.0668</v>
      </c>
      <c r="Q95" s="14">
        <f>_xll.BDH("SRPT US Equity","CASH_CONVERSION_CYCLE","FQ2 2022","FQ2 2022","Currency=USD","Period=FQ","BEST_FPERIOD_OVERRIDE=FQ","FILING_STATUS=MR","FA_ADJUSTED=GAAP","Sort=A","Dates=H","DateFormat=P","Fill=—","Direction=H","UseDPDF=Y")</f>
        <v>391.48930000000001</v>
      </c>
      <c r="R95" s="14">
        <f>_xll.BDH("SRPT US Equity","CASH_CONVERSION_CYCLE","FQ3 2022","FQ3 2022","Currency=USD","Period=FQ","BEST_FPERIOD_OVERRIDE=FQ","FILING_STATUS=MR","FA_ADJUSTED=GAAP","Sort=A","Dates=H","DateFormat=P","Fill=—","Direction=H","UseDPDF=Y")</f>
        <v>330.22570000000002</v>
      </c>
      <c r="S95" s="14">
        <f>_xll.BDH("SRPT US Equity","CASH_CONVERSION_CYCLE","FQ4 2022","FQ4 2022","Currency=USD","Period=FQ","BEST_FPERIOD_OVERRIDE=FQ","FILING_STATUS=MR","FA_ADJUSTED=GAAP","Sort=A","Dates=H","DateFormat=P","Fill=—","Direction=H","UseDPDF=Y")</f>
        <v>380.86989999999997</v>
      </c>
      <c r="T95" s="14">
        <f>_xll.BDH("SRPT US Equity","CASH_CONVERSION_CYCLE","FQ1 2023","FQ1 2023","Currency=USD","Period=FQ","BEST_FPERIOD_OVERRIDE=FQ","FILING_STATUS=MR","FA_ADJUSTED=GAAP","Sort=A","Dates=H","DateFormat=P","Fill=—","Direction=H","UseDPDF=Y")</f>
        <v>386.60910000000001</v>
      </c>
      <c r="U95" s="14">
        <f>_xll.BDH("SRPT US Equity","CASH_CONVERSION_CYCLE","FQ2 2023","FQ2 2023","Currency=USD","Period=FQ","BEST_FPERIOD_OVERRIDE=FQ","FILING_STATUS=MR","FA_ADJUSTED=GAAP","Sort=A","Dates=H","DateFormat=P","Fill=—","Direction=H","UseDPDF=Y")</f>
        <v>456.66840000000002</v>
      </c>
      <c r="V95" s="14">
        <f>_xll.BDH("SRPT US Equity","CASH_CONVERSION_CYCLE","FQ3 2023","FQ3 2023","Currency=USD","Period=FQ","BEST_FPERIOD_OVERRIDE=FQ","FILING_STATUS=MR","FA_ADJUSTED=GAAP","Sort=A","Dates=H","DateFormat=P","Fill=—","Direction=H","UseDPDF=Y")</f>
        <v>470.05040000000002</v>
      </c>
      <c r="W95" s="14">
        <f>_xll.BDH("SRPT US Equity","CASH_CONVERSION_CYCLE","FQ4 2023","FQ4 2023","Currency=USD","Period=FQ","BEST_FPERIOD_OVERRIDE=FQ","FILING_STATUS=MR","FA_ADJUSTED=GAAP","Sort=A","Dates=H","DateFormat=P","Fill=—","Direction=H","UseDPDF=Y")</f>
        <v>552.99689999999998</v>
      </c>
      <c r="X95" s="14">
        <f>_xll.BDH("SRPT US Equity","CASH_CONVERSION_CYCLE","FQ1 2024","FQ1 2024","Currency=USD","Period=FQ","BEST_FPERIOD_OVERRIDE=FQ","FILING_STATUS=MR","FA_ADJUSTED=GAAP","Sort=A","Dates=H","DateFormat=P","Fill=—","Direction=H","UseDPDF=Y")</f>
        <v>606.50699999999995</v>
      </c>
      <c r="Y95" s="14">
        <f>_xll.BDH("SRPT US Equity","CASH_CONVERSION_CYCLE","FQ2 2024","FQ2 2024","Currency=USD","Period=FQ","BEST_FPERIOD_OVERRIDE=FQ","FILING_STATUS=MR","FA_ADJUSTED=GAAP","Sort=A","Dates=H","DateFormat=P","Fill=—","Direction=H","UseDPDF=Y")</f>
        <v>720.96640000000002</v>
      </c>
      <c r="Z95" s="14">
        <f>_xll.BDH("SRPT US Equity","CASH_CONVERSION_CYCLE","FQ3 2024","FQ3 2024","Currency=USD","Period=FQ","BEST_FPERIOD_OVERRIDE=FQ","FILING_STATUS=MR","FA_ADJUSTED=GAAP","Sort=A","Dates=H","DateFormat=P","Fill=—","Direction=H","UseDPDF=Y")</f>
        <v>657.3424</v>
      </c>
      <c r="AA95" s="14">
        <f>_xll.BDH("SRPT US Equity","CASH_CONVERSION_CYCLE","FQ4 2024","FQ4 2024","Currency=USD","Period=FQ","BEST_FPERIOD_OVERRIDE=FQ","FILING_STATUS=MR","FA_ADJUSTED=GAAP","Sort=A","Dates=H","DateFormat=P","Fill=—","Direction=H","UseDPDF=Y")</f>
        <v>618.65380000000005</v>
      </c>
    </row>
    <row r="96" spans="1:27" x14ac:dyDescent="0.25">
      <c r="A96" s="10" t="s">
        <v>844</v>
      </c>
      <c r="B96" s="10" t="s">
        <v>845</v>
      </c>
      <c r="C96" s="14">
        <f>_xll.BDH("SRPT US Equity","NUM_OF_EMPLOYEES","FQ4 2018","FQ4 2018","Currency=USD","Period=FQ","BEST_FPERIOD_OVERRIDE=FQ","FILING_STATUS=MR","Sort=A","Dates=H","DateFormat=P","Fill=—","Direction=H","UseDPDF=Y")</f>
        <v>499</v>
      </c>
      <c r="D96" s="14" t="str">
        <f>_xll.BDH("SRPT US Equity","NUM_OF_EMPLOYEES","FQ1 2019","FQ1 2019","Currency=USD","Period=FQ","BEST_FPERIOD_OVERRIDE=FQ","FILING_STATUS=MR","Sort=A","Dates=H","DateFormat=P","Fill=—","Direction=H","UseDPDF=Y")</f>
        <v>—</v>
      </c>
      <c r="E96" s="14" t="str">
        <f>_xll.BDH("SRPT US Equity","NUM_OF_EMPLOYEES","FQ2 2019","FQ2 2019","Currency=USD","Period=FQ","BEST_FPERIOD_OVERRIDE=FQ","FILING_STATUS=MR","Sort=A","Dates=H","DateFormat=P","Fill=—","Direction=H","UseDPDF=Y")</f>
        <v>—</v>
      </c>
      <c r="F96" s="14" t="str">
        <f>_xll.BDH("SRPT US Equity","NUM_OF_EMPLOYEES","FQ3 2019","FQ3 2019","Currency=USD","Period=FQ","BEST_FPERIOD_OVERRIDE=FQ","FILING_STATUS=MR","Sort=A","Dates=H","DateFormat=P","Fill=—","Direction=H","UseDPDF=Y")</f>
        <v>—</v>
      </c>
      <c r="G96" s="14">
        <f>_xll.BDH("SRPT US Equity","NUM_OF_EMPLOYEES","FQ4 2019","FQ4 2019","Currency=USD","Period=FQ","BEST_FPERIOD_OVERRIDE=FQ","FILING_STATUS=MR","Sort=A","Dates=H","DateFormat=P","Fill=—","Direction=H","UseDPDF=Y")</f>
        <v>743</v>
      </c>
      <c r="H96" s="14" t="str">
        <f>_xll.BDH("SRPT US Equity","NUM_OF_EMPLOYEES","FQ1 2020","FQ1 2020","Currency=USD","Period=FQ","BEST_FPERIOD_OVERRIDE=FQ","FILING_STATUS=MR","Sort=A","Dates=H","DateFormat=P","Fill=—","Direction=H","UseDPDF=Y")</f>
        <v>—</v>
      </c>
      <c r="I96" s="14" t="str">
        <f>_xll.BDH("SRPT US Equity","NUM_OF_EMPLOYEES","FQ2 2020","FQ2 2020","Currency=USD","Period=FQ","BEST_FPERIOD_OVERRIDE=FQ","FILING_STATUS=MR","Sort=A","Dates=H","DateFormat=P","Fill=—","Direction=H","UseDPDF=Y")</f>
        <v>—</v>
      </c>
      <c r="J96" s="14" t="str">
        <f>_xll.BDH("SRPT US Equity","NUM_OF_EMPLOYEES","FQ3 2020","FQ3 2020","Currency=USD","Period=FQ","BEST_FPERIOD_OVERRIDE=FQ","FILING_STATUS=MR","Sort=A","Dates=H","DateFormat=P","Fill=—","Direction=H","UseDPDF=Y")</f>
        <v>—</v>
      </c>
      <c r="K96" s="14">
        <f>_xll.BDH("SRPT US Equity","NUM_OF_EMPLOYEES","FQ4 2020","FQ4 2020","Currency=USD","Period=FQ","BEST_FPERIOD_OVERRIDE=FQ","FILING_STATUS=MR","Sort=A","Dates=H","DateFormat=P","Fill=—","Direction=H","UseDPDF=Y")</f>
        <v>866</v>
      </c>
      <c r="L96" s="14" t="str">
        <f>_xll.BDH("SRPT US Equity","NUM_OF_EMPLOYEES","FQ1 2021","FQ1 2021","Currency=USD","Period=FQ","BEST_FPERIOD_OVERRIDE=FQ","FILING_STATUS=MR","Sort=A","Dates=H","DateFormat=P","Fill=—","Direction=H","UseDPDF=Y")</f>
        <v>—</v>
      </c>
      <c r="M96" s="14" t="str">
        <f>_xll.BDH("SRPT US Equity","NUM_OF_EMPLOYEES","FQ2 2021","FQ2 2021","Currency=USD","Period=FQ","BEST_FPERIOD_OVERRIDE=FQ","FILING_STATUS=MR","Sort=A","Dates=H","DateFormat=P","Fill=—","Direction=H","UseDPDF=Y")</f>
        <v>—</v>
      </c>
      <c r="N96" s="14" t="str">
        <f>_xll.BDH("SRPT US Equity","NUM_OF_EMPLOYEES","FQ3 2021","FQ3 2021","Currency=USD","Period=FQ","BEST_FPERIOD_OVERRIDE=FQ","FILING_STATUS=MR","Sort=A","Dates=H","DateFormat=P","Fill=—","Direction=H","UseDPDF=Y")</f>
        <v>—</v>
      </c>
      <c r="O96" s="14">
        <f>_xll.BDH("SRPT US Equity","NUM_OF_EMPLOYEES","FQ4 2021","FQ4 2021","Currency=USD","Period=FQ","BEST_FPERIOD_OVERRIDE=FQ","FILING_STATUS=MR","Sort=A","Dates=H","DateFormat=P","Fill=—","Direction=H","UseDPDF=Y")</f>
        <v>840</v>
      </c>
      <c r="P96" s="14" t="str">
        <f>_xll.BDH("SRPT US Equity","NUM_OF_EMPLOYEES","FQ1 2022","FQ1 2022","Currency=USD","Period=FQ","BEST_FPERIOD_OVERRIDE=FQ","FILING_STATUS=MR","Sort=A","Dates=H","DateFormat=P","Fill=—","Direction=H","UseDPDF=Y")</f>
        <v>—</v>
      </c>
      <c r="Q96" s="14" t="str">
        <f>_xll.BDH("SRPT US Equity","NUM_OF_EMPLOYEES","FQ2 2022","FQ2 2022","Currency=USD","Period=FQ","BEST_FPERIOD_OVERRIDE=FQ","FILING_STATUS=MR","Sort=A","Dates=H","DateFormat=P","Fill=—","Direction=H","UseDPDF=Y")</f>
        <v>—</v>
      </c>
      <c r="R96" s="14" t="str">
        <f>_xll.BDH("SRPT US Equity","NUM_OF_EMPLOYEES","FQ3 2022","FQ3 2022","Currency=USD","Period=FQ","BEST_FPERIOD_OVERRIDE=FQ","FILING_STATUS=MR","Sort=A","Dates=H","DateFormat=P","Fill=—","Direction=H","UseDPDF=Y")</f>
        <v>—</v>
      </c>
      <c r="S96" s="14">
        <f>_xll.BDH("SRPT US Equity","NUM_OF_EMPLOYEES","FQ4 2022","FQ4 2022","Currency=USD","Period=FQ","BEST_FPERIOD_OVERRIDE=FQ","FILING_STATUS=MR","Sort=A","Dates=H","DateFormat=P","Fill=—","Direction=H","UseDPDF=Y")</f>
        <v>1162</v>
      </c>
      <c r="T96" s="14" t="str">
        <f>_xll.BDH("SRPT US Equity","NUM_OF_EMPLOYEES","FQ1 2023","FQ1 2023","Currency=USD","Period=FQ","BEST_FPERIOD_OVERRIDE=FQ","FILING_STATUS=MR","Sort=A","Dates=H","DateFormat=P","Fill=—","Direction=H","UseDPDF=Y")</f>
        <v>—</v>
      </c>
      <c r="U96" s="14" t="str">
        <f>_xll.BDH("SRPT US Equity","NUM_OF_EMPLOYEES","FQ2 2023","FQ2 2023","Currency=USD","Period=FQ","BEST_FPERIOD_OVERRIDE=FQ","FILING_STATUS=MR","Sort=A","Dates=H","DateFormat=P","Fill=—","Direction=H","UseDPDF=Y")</f>
        <v>—</v>
      </c>
      <c r="V96" s="14" t="str">
        <f>_xll.BDH("SRPT US Equity","NUM_OF_EMPLOYEES","FQ3 2023","FQ3 2023","Currency=USD","Period=FQ","BEST_FPERIOD_OVERRIDE=FQ","FILING_STATUS=MR","Sort=A","Dates=H","DateFormat=P","Fill=—","Direction=H","UseDPDF=Y")</f>
        <v>—</v>
      </c>
      <c r="W96" s="14">
        <f>_xll.BDH("SRPT US Equity","NUM_OF_EMPLOYEES","FQ4 2023","FQ4 2023","Currency=USD","Period=FQ","BEST_FPERIOD_OVERRIDE=FQ","FILING_STATUS=MR","Sort=A","Dates=H","DateFormat=P","Fill=—","Direction=H","UseDPDF=Y")</f>
        <v>1314</v>
      </c>
      <c r="X96" s="14" t="str">
        <f>_xll.BDH("SRPT US Equity","NUM_OF_EMPLOYEES","FQ1 2024","FQ1 2024","Currency=USD","Period=FQ","BEST_FPERIOD_OVERRIDE=FQ","FILING_STATUS=MR","Sort=A","Dates=H","DateFormat=P","Fill=—","Direction=H","UseDPDF=Y")</f>
        <v>—</v>
      </c>
      <c r="Y96" s="14" t="str">
        <f>_xll.BDH("SRPT US Equity","NUM_OF_EMPLOYEES","FQ2 2024","FQ2 2024","Currency=USD","Period=FQ","BEST_FPERIOD_OVERRIDE=FQ","FILING_STATUS=MR","Sort=A","Dates=H","DateFormat=P","Fill=—","Direction=H","UseDPDF=Y")</f>
        <v>—</v>
      </c>
      <c r="Z96" s="14" t="str">
        <f>_xll.BDH("SRPT US Equity","NUM_OF_EMPLOYEES","FQ3 2024","FQ3 2024","Currency=USD","Period=FQ","BEST_FPERIOD_OVERRIDE=FQ","FILING_STATUS=MR","Sort=A","Dates=H","DateFormat=P","Fill=—","Direction=H","UseDPDF=Y")</f>
        <v>—</v>
      </c>
      <c r="AA96" s="14">
        <f>_xll.BDH("SRPT US Equity","NUM_OF_EMPLOYEES","FQ4 2024","FQ4 2024","Currency=USD","Period=FQ","BEST_FPERIOD_OVERRIDE=FQ","FILING_STATUS=MR","Sort=A","Dates=H","DateFormat=P","Fill=—","Direction=H","UseDPDF=Y")</f>
        <v>1372</v>
      </c>
    </row>
    <row r="97" spans="1:27" x14ac:dyDescent="0.25">
      <c r="A97" s="7" t="s">
        <v>90</v>
      </c>
      <c r="B97" s="7"/>
      <c r="C97" s="7" t="s">
        <v>5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76"/>
  <sheetViews>
    <sheetView topLeftCell="F1"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421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846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847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109</v>
      </c>
      <c r="B8" s="10" t="s">
        <v>848</v>
      </c>
      <c r="C8" s="13">
        <f>_xll.BDH("SRPT US Equity","ARD_CASH_AND_EQUIVALENTS","FQ4 2018","FQ4 2018","Currency=USD","Period=FQ","BEST_FPERIOD_OVERRIDE=FQ","FILING_STATUS=MR","SCALING_FORMAT=MLN","Sort=A","Dates=H","DateFormat=P","Fill=—","Direction=H","UseDPDF=Y")</f>
        <v>370.82900000000001</v>
      </c>
      <c r="D8" s="13">
        <f>_xll.BDH("SRPT US Equity","ARD_CASH_AND_EQUIVALENTS","FQ1 2019","FQ1 2019","Currency=USD","Period=FQ","BEST_FPERIOD_OVERRIDE=FQ","FILING_STATUS=MR","SCALING_FORMAT=MLN","Sort=A","Dates=H","DateFormat=P","Fill=—","Direction=H","UseDPDF=Y")</f>
        <v>732.19</v>
      </c>
      <c r="E8" s="13">
        <f>_xll.BDH("SRPT US Equity","ARD_CASH_AND_EQUIVALENTS","FQ2 2019","FQ2 2019","Currency=USD","Period=FQ","BEST_FPERIOD_OVERRIDE=FQ","FILING_STATUS=MR","SCALING_FORMAT=MLN","Sort=A","Dates=H","DateFormat=P","Fill=—","Direction=H","UseDPDF=Y")</f>
        <v>808.59100000000001</v>
      </c>
      <c r="F8" s="13">
        <f>_xll.BDH("SRPT US Equity","ARD_CASH_AND_EQUIVALENTS","FQ3 2019","FQ3 2019","Currency=USD","Period=FQ","BEST_FPERIOD_OVERRIDE=FQ","FILING_STATUS=MR","SCALING_FORMAT=MLN","Sort=A","Dates=H","DateFormat=P","Fill=—","Direction=H","UseDPDF=Y")</f>
        <v>724.82899999999995</v>
      </c>
      <c r="G8" s="13">
        <f>_xll.BDH("SRPT US Equity","ARD_CASH_AND_EQUIVALENTS","FQ4 2019","FQ4 2019","Currency=USD","Period=FQ","BEST_FPERIOD_OVERRIDE=FQ","FILING_STATUS=MR","SCALING_FORMAT=MLN","Sort=A","Dates=H","DateFormat=P","Fill=—","Direction=H","UseDPDF=Y")</f>
        <v>835.08</v>
      </c>
      <c r="H8" s="13">
        <f>_xll.BDH("SRPT US Equity","ARD_CASH_AND_EQUIVALENTS","FQ1 2020","FQ1 2020","Currency=USD","Period=FQ","BEST_FPERIOD_OVERRIDE=FQ","FILING_STATUS=MR","SCALING_FORMAT=MLN","Sort=A","Dates=H","DateFormat=P","Fill=—","Direction=H","UseDPDF=Y")</f>
        <v>1764.212</v>
      </c>
      <c r="I8" s="13">
        <f>_xll.BDH("SRPT US Equity","ARD_CASH_AND_EQUIVALENTS","FQ2 2020","FQ2 2020","Currency=USD","Period=FQ","BEST_FPERIOD_OVERRIDE=FQ","FILING_STATUS=MR","SCALING_FORMAT=MLN","Sort=A","Dates=H","DateFormat=P","Fill=—","Direction=H","UseDPDF=Y")</f>
        <v>1639.9590000000001</v>
      </c>
      <c r="J8" s="13">
        <f>_xll.BDH("SRPT US Equity","ARD_CASH_AND_EQUIVALENTS","FQ3 2020","FQ3 2020","Currency=USD","Period=FQ","BEST_FPERIOD_OVERRIDE=FQ","FILING_STATUS=MR","SCALING_FORMAT=MLN","Sort=A","Dates=H","DateFormat=P","Fill=—","Direction=H","UseDPDF=Y")</f>
        <v>1474.6369999999999</v>
      </c>
      <c r="K8" s="13">
        <f>_xll.BDH("SRPT US Equity","ARD_CASH_AND_EQUIVALENTS","FQ4 2020","FQ4 2020","Currency=USD","Period=FQ","BEST_FPERIOD_OVERRIDE=FQ","FILING_STATUS=MR","SCALING_FORMAT=MLN","Sort=A","Dates=H","DateFormat=P","Fill=—","Direction=H","UseDPDF=Y")</f>
        <v>1502.6479999999999</v>
      </c>
      <c r="L8" s="13">
        <f>_xll.BDH("SRPT US Equity","ARD_CASH_AND_EQUIVALENTS","FQ1 2021","FQ1 2021","Currency=USD","Period=FQ","BEST_FPERIOD_OVERRIDE=FQ","FILING_STATUS=MR","SCALING_FORMAT=MLN","Sort=A","Dates=H","DateFormat=P","Fill=—","Direction=H","UseDPDF=Y")</f>
        <v>1481.836</v>
      </c>
      <c r="M8" s="13">
        <f>_xll.BDH("SRPT US Equity","ARD_CASH_AND_EQUIVALENTS","FQ2 2021","FQ2 2021","Currency=USD","Period=FQ","BEST_FPERIOD_OVERRIDE=FQ","FILING_STATUS=MR","SCALING_FORMAT=MLN","Sort=A","Dates=H","DateFormat=P","Fill=—","Direction=H","UseDPDF=Y")</f>
        <v>1697.2750000000001</v>
      </c>
      <c r="N8" s="13">
        <f>_xll.BDH("SRPT US Equity","ARD_CASH_AND_EQUIVALENTS","FQ3 2021","FQ3 2021","Currency=USD","Period=FQ","BEST_FPERIOD_OVERRIDE=FQ","FILING_STATUS=MR","SCALING_FORMAT=MLN","Sort=A","Dates=H","DateFormat=P","Fill=—","Direction=H","UseDPDF=Y")</f>
        <v>1599.1130000000001</v>
      </c>
      <c r="O8" s="13">
        <f>_xll.BDH("SRPT US Equity","ARD_CASH_AND_EQUIVALENTS","FQ4 2021","FQ4 2021","Currency=USD","Period=FQ","BEST_FPERIOD_OVERRIDE=FQ","FILING_STATUS=MR","SCALING_FORMAT=MLN","Sort=A","Dates=H","DateFormat=P","Fill=—","Direction=H","UseDPDF=Y")</f>
        <v>2115.8690000000001</v>
      </c>
      <c r="P8" s="13">
        <f>_xll.BDH("SRPT US Equity","ARD_CASH_AND_EQUIVALENTS","FQ1 2022","FQ1 2022","Currency=USD","Period=FQ","BEST_FPERIOD_OVERRIDE=FQ","FILING_STATUS=MR","SCALING_FORMAT=MLN","Sort=A","Dates=H","DateFormat=P","Fill=—","Direction=H","UseDPDF=Y")</f>
        <v>1233.877</v>
      </c>
      <c r="Q8" s="13">
        <f>_xll.BDH("SRPT US Equity","ARD_CASH_AND_EQUIVALENTS","FQ2 2022","FQ2 2022","Currency=USD","Period=FQ","BEST_FPERIOD_OVERRIDE=FQ","FILING_STATUS=MR","SCALING_FORMAT=MLN","Sort=A","Dates=H","DateFormat=P","Fill=—","Direction=H","UseDPDF=Y")</f>
        <v>868.56500000000005</v>
      </c>
      <c r="R8" s="13">
        <f>_xll.BDH("SRPT US Equity","ARD_CASH_AND_EQUIVALENTS","FQ3 2022","FQ3 2022","Currency=USD","Period=FQ","BEST_FPERIOD_OVERRIDE=FQ","FILING_STATUS=MR","SCALING_FORMAT=MLN","Sort=A","Dates=H","DateFormat=P","Fill=—","Direction=H","UseDPDF=Y")</f>
        <v>1038.624</v>
      </c>
      <c r="S8" s="13">
        <f>_xll.BDH("SRPT US Equity","ARD_CASH_AND_EQUIVALENTS","FQ4 2022","FQ4 2022","Currency=USD","Period=FQ","BEST_FPERIOD_OVERRIDE=FQ","FILING_STATUS=MR","SCALING_FORMAT=MLN","Sort=A","Dates=H","DateFormat=P","Fill=—","Direction=H","UseDPDF=Y")</f>
        <v>966.77700000000004</v>
      </c>
      <c r="T8" s="13">
        <f>_xll.BDH("SRPT US Equity","ARD_CASH_AND_EQUIVALENTS","FQ1 2023","FQ1 2023","Currency=USD","Period=FQ","BEST_FPERIOD_OVERRIDE=FQ","FILING_STATUS=MR","SCALING_FORMAT=MLN","Sort=A","Dates=H","DateFormat=P","Fill=—","Direction=H","UseDPDF=Y")</f>
        <v>871.66800000000001</v>
      </c>
      <c r="U8" s="13">
        <f>_xll.BDH("SRPT US Equity","ARD_CASH_AND_EQUIVALENTS","FQ2 2023","FQ2 2023","Currency=USD","Period=FQ","BEST_FPERIOD_OVERRIDE=FQ","FILING_STATUS=MR","SCALING_FORMAT=MLN","Sort=A","Dates=H","DateFormat=P","Fill=—","Direction=H","UseDPDF=Y")</f>
        <v>851.92899999999997</v>
      </c>
      <c r="V8" s="13">
        <f>_xll.BDH("SRPT US Equity","ARD_CASH_AND_EQUIVALENTS","FQ3 2023","FQ3 2023","Currency=USD","Period=FQ","BEST_FPERIOD_OVERRIDE=FQ","FILING_STATUS=MR","SCALING_FORMAT=MLN","Sort=A","Dates=H","DateFormat=P","Fill=—","Direction=H","UseDPDF=Y")</f>
        <v>541.93200000000002</v>
      </c>
      <c r="W8" s="13">
        <f>_xll.BDH("SRPT US Equity","ARD_CASH_AND_EQUIVALENTS","FQ4 2023","FQ4 2023","Currency=USD","Period=FQ","BEST_FPERIOD_OVERRIDE=FQ","FILING_STATUS=MR","SCALING_FORMAT=MLN","Sort=A","Dates=H","DateFormat=P","Fill=—","Direction=H","UseDPDF=Y")</f>
        <v>428.43</v>
      </c>
      <c r="X8" s="13">
        <f>_xll.BDH("SRPT US Equity","ARD_CASH_AND_EQUIVALENTS","FQ1 2024","FQ1 2024","Currency=USD","Period=FQ","BEST_FPERIOD_OVERRIDE=FQ","FILING_STATUS=MR","SCALING_FORMAT=MLN","Sort=A","Dates=H","DateFormat=P","Fill=—","Direction=H","UseDPDF=Y")</f>
        <v>427.29</v>
      </c>
      <c r="Y8" s="13">
        <f>_xll.BDH("SRPT US Equity","ARD_CASH_AND_EQUIVALENTS","FQ2 2024","FQ2 2024","Currency=USD","Period=FQ","BEST_FPERIOD_OVERRIDE=FQ","FILING_STATUS=MR","SCALING_FORMAT=MLN","Sort=A","Dates=H","DateFormat=P","Fill=—","Direction=H","UseDPDF=Y")</f>
        <v>383.62200000000001</v>
      </c>
      <c r="Z8" s="13">
        <f>_xll.BDH("SRPT US Equity","ARD_CASH_AND_EQUIVALENTS","FQ3 2024","FQ3 2024","Currency=USD","Period=FQ","BEST_FPERIOD_OVERRIDE=FQ","FILING_STATUS=MR","SCALING_FORMAT=MLN","Sort=A","Dates=H","DateFormat=P","Fill=—","Direction=H","UseDPDF=Y")</f>
        <v>197.85499999999999</v>
      </c>
      <c r="AA8" s="13">
        <f>_xll.BDH("SRPT US Equity","ARD_CASH_AND_EQUIVALENTS","FQ4 2024","FQ4 2024","Currency=USD","Period=FQ","BEST_FPERIOD_OVERRIDE=FQ","FILING_STATUS=MR","SCALING_FORMAT=MLN","Sort=A","Dates=H","DateFormat=P","Fill=—","Direction=H","UseDPDF=Y")</f>
        <v>1103.01</v>
      </c>
    </row>
    <row r="9" spans="1:27" x14ac:dyDescent="0.25">
      <c r="A9" s="10" t="s">
        <v>849</v>
      </c>
      <c r="B9" s="10" t="s">
        <v>850</v>
      </c>
      <c r="C9" s="13">
        <f>_xll.BDH("SRPT US Equity","ARD_ACCTS_RECEIVABLE_TRADE","FQ4 2018","FQ4 2018","Currency=USD","Period=FQ","BEST_FPERIOD_OVERRIDE=FQ","FILING_STATUS=MR","SCALING_FORMAT=MLN","Sort=A","Dates=H","DateFormat=P","Fill=—","Direction=H","UseDPDF=Y")</f>
        <v>49.043999999999997</v>
      </c>
      <c r="D9" s="13">
        <f>_xll.BDH("SRPT US Equity","ARD_ACCTS_RECEIVABLE_TRADE","FQ1 2019","FQ1 2019","Currency=USD","Period=FQ","BEST_FPERIOD_OVERRIDE=FQ","FILING_STATUS=MR","SCALING_FORMAT=MLN","Sort=A","Dates=H","DateFormat=P","Fill=—","Direction=H","UseDPDF=Y")</f>
        <v>50.51</v>
      </c>
      <c r="E9" s="13">
        <f>_xll.BDH("SRPT US Equity","ARD_ACCTS_RECEIVABLE_TRADE","FQ2 2019","FQ2 2019","Currency=USD","Period=FQ","BEST_FPERIOD_OVERRIDE=FQ","FILING_STATUS=MR","SCALING_FORMAT=MLN","Sort=A","Dates=H","DateFormat=P","Fill=—","Direction=H","UseDPDF=Y")</f>
        <v>56.981000000000002</v>
      </c>
      <c r="F9" s="13">
        <f>_xll.BDH("SRPT US Equity","ARD_ACCTS_RECEIVABLE_TRADE","FQ3 2019","FQ3 2019","Currency=USD","Period=FQ","BEST_FPERIOD_OVERRIDE=FQ","FILING_STATUS=MR","SCALING_FORMAT=MLN","Sort=A","Dates=H","DateFormat=P","Fill=—","Direction=H","UseDPDF=Y")</f>
        <v>68.031999999999996</v>
      </c>
      <c r="G9" s="13">
        <f>_xll.BDH("SRPT US Equity","ARD_ACCTS_RECEIVABLE_TRADE","FQ4 2019","FQ4 2019","Currency=USD","Period=FQ","BEST_FPERIOD_OVERRIDE=FQ","FILING_STATUS=MR","SCALING_FORMAT=MLN","Sort=A","Dates=H","DateFormat=P","Fill=—","Direction=H","UseDPDF=Y")</f>
        <v>90.879000000000005</v>
      </c>
      <c r="H9" s="13">
        <f>_xll.BDH("SRPT US Equity","ARD_ACCTS_RECEIVABLE_TRADE","FQ1 2020","FQ1 2020","Currency=USD","Period=FQ","BEST_FPERIOD_OVERRIDE=FQ","FILING_STATUS=MR","SCALING_FORMAT=MLN","Sort=A","Dates=H","DateFormat=P","Fill=—","Direction=H","UseDPDF=Y")</f>
        <v>106.875</v>
      </c>
      <c r="I9" s="13">
        <f>_xll.BDH("SRPT US Equity","ARD_ACCTS_RECEIVABLE_TRADE","FQ2 2020","FQ2 2020","Currency=USD","Period=FQ","BEST_FPERIOD_OVERRIDE=FQ","FILING_STATUS=MR","SCALING_FORMAT=MLN","Sort=A","Dates=H","DateFormat=P","Fill=—","Direction=H","UseDPDF=Y")</f>
        <v>104.02800000000001</v>
      </c>
      <c r="J9" s="13">
        <f>_xll.BDH("SRPT US Equity","ARD_ACCTS_RECEIVABLE_TRADE","FQ3 2020","FQ3 2020","Currency=USD","Period=FQ","BEST_FPERIOD_OVERRIDE=FQ","FILING_STATUS=MR","SCALING_FORMAT=MLN","Sort=A","Dates=H","DateFormat=P","Fill=—","Direction=H","UseDPDF=Y")</f>
        <v>121.827</v>
      </c>
      <c r="K9" s="13">
        <f>_xll.BDH("SRPT US Equity","ARD_ACCTS_RECEIVABLE_TRADE","FQ4 2020","FQ4 2020","Currency=USD","Period=FQ","BEST_FPERIOD_OVERRIDE=FQ","FILING_STATUS=MR","SCALING_FORMAT=MLN","Sort=A","Dates=H","DateFormat=P","Fill=—","Direction=H","UseDPDF=Y")</f>
        <v>101.34</v>
      </c>
      <c r="L9" s="13">
        <f>_xll.BDH("SRPT US Equity","ARD_ACCTS_RECEIVABLE_TRADE","FQ1 2021","FQ1 2021","Currency=USD","Period=FQ","BEST_FPERIOD_OVERRIDE=FQ","FILING_STATUS=MR","SCALING_FORMAT=MLN","Sort=A","Dates=H","DateFormat=P","Fill=—","Direction=H","UseDPDF=Y")</f>
        <v>118.203</v>
      </c>
      <c r="M9" s="13">
        <f>_xll.BDH("SRPT US Equity","ARD_ACCTS_RECEIVABLE_TRADE","FQ2 2021","FQ2 2021","Currency=USD","Period=FQ","BEST_FPERIOD_OVERRIDE=FQ","FILING_STATUS=MR","SCALING_FORMAT=MLN","Sort=A","Dates=H","DateFormat=P","Fill=—","Direction=H","UseDPDF=Y")</f>
        <v>127.52</v>
      </c>
      <c r="N9" s="13">
        <f>_xll.BDH("SRPT US Equity","ARD_ACCTS_RECEIVABLE_TRADE","FQ3 2021","FQ3 2021","Currency=USD","Period=FQ","BEST_FPERIOD_OVERRIDE=FQ","FILING_STATUS=MR","SCALING_FORMAT=MLN","Sort=A","Dates=H","DateFormat=P","Fill=—","Direction=H","UseDPDF=Y")</f>
        <v>149.78700000000001</v>
      </c>
      <c r="O9" s="13">
        <f>_xll.BDH("SRPT US Equity","ARD_ACCTS_RECEIVABLE_TRADE","FQ4 2021","FQ4 2021","Currency=USD","Period=FQ","BEST_FPERIOD_OVERRIDE=FQ","FILING_STATUS=MR","SCALING_FORMAT=MLN","Sort=A","Dates=H","DateFormat=P","Fill=—","Direction=H","UseDPDF=Y")</f>
        <v>152.99</v>
      </c>
      <c r="P9" s="13">
        <f>_xll.BDH("SRPT US Equity","ARD_ACCTS_RECEIVABLE_TRADE","FQ1 2022","FQ1 2022","Currency=USD","Period=FQ","BEST_FPERIOD_OVERRIDE=FQ","FILING_STATUS=MR","SCALING_FORMAT=MLN","Sort=A","Dates=H","DateFormat=P","Fill=—","Direction=H","UseDPDF=Y")</f>
        <v>178.19399999999999</v>
      </c>
      <c r="Q9" s="13">
        <f>_xll.BDH("SRPT US Equity","ARD_ACCTS_RECEIVABLE_TRADE","FQ2 2022","FQ2 2022","Currency=USD","Period=FQ","BEST_FPERIOD_OVERRIDE=FQ","FILING_STATUS=MR","SCALING_FORMAT=MLN","Sort=A","Dates=H","DateFormat=P","Fill=—","Direction=H","UseDPDF=Y")</f>
        <v>203.85400000000001</v>
      </c>
      <c r="R9" s="13">
        <f>_xll.BDH("SRPT US Equity","ARD_ACCTS_RECEIVABLE_TRADE","FQ3 2022","FQ3 2022","Currency=USD","Period=FQ","BEST_FPERIOD_OVERRIDE=FQ","FILING_STATUS=MR","SCALING_FORMAT=MLN","Sort=A","Dates=H","DateFormat=P","Fill=—","Direction=H","UseDPDF=Y")</f>
        <v>201.50899999999999</v>
      </c>
      <c r="S9" s="13">
        <f>_xll.BDH("SRPT US Equity","ARD_ACCTS_RECEIVABLE_TRADE","FQ4 2022","FQ4 2022","Currency=USD","Period=FQ","BEST_FPERIOD_OVERRIDE=FQ","FILING_STATUS=MR","SCALING_FORMAT=MLN","Sort=A","Dates=H","DateFormat=P","Fill=—","Direction=H","UseDPDF=Y")</f>
        <v>214.62799999999999</v>
      </c>
      <c r="T9" s="13">
        <f>_xll.BDH("SRPT US Equity","ARD_ACCTS_RECEIVABLE_TRADE","FQ1 2023","FQ1 2023","Currency=USD","Period=FQ","BEST_FPERIOD_OVERRIDE=FQ","FILING_STATUS=MR","SCALING_FORMAT=MLN","Sort=A","Dates=H","DateFormat=P","Fill=—","Direction=H","UseDPDF=Y")</f>
        <v>223.83600000000001</v>
      </c>
      <c r="U9" s="13">
        <f>_xll.BDH("SRPT US Equity","ARD_ACCTS_RECEIVABLE_TRADE","FQ2 2023","FQ2 2023","Currency=USD","Period=FQ","BEST_FPERIOD_OVERRIDE=FQ","FILING_STATUS=MR","SCALING_FORMAT=MLN","Sort=A","Dates=H","DateFormat=P","Fill=—","Direction=H","UseDPDF=Y")</f>
        <v>236.80799999999999</v>
      </c>
      <c r="V9" s="13">
        <f>_xll.BDH("SRPT US Equity","ARD_ACCTS_RECEIVABLE_TRADE","FQ3 2023","FQ3 2023","Currency=USD","Period=FQ","BEST_FPERIOD_OVERRIDE=FQ","FILING_STATUS=MR","SCALING_FORMAT=MLN","Sort=A","Dates=H","DateFormat=P","Fill=—","Direction=H","UseDPDF=Y")</f>
        <v>318.85500000000002</v>
      </c>
      <c r="W9" s="13">
        <f>_xll.BDH("SRPT US Equity","ARD_ACCTS_RECEIVABLE_TRADE","FQ4 2023","FQ4 2023","Currency=USD","Period=FQ","BEST_FPERIOD_OVERRIDE=FQ","FILING_STATUS=MR","SCALING_FORMAT=MLN","Sort=A","Dates=H","DateFormat=P","Fill=—","Direction=H","UseDPDF=Y")</f>
        <v>400.327</v>
      </c>
      <c r="X9" s="13">
        <f>_xll.BDH("SRPT US Equity","ARD_ACCTS_RECEIVABLE_TRADE","FQ1 2024","FQ1 2024","Currency=USD","Period=FQ","BEST_FPERIOD_OVERRIDE=FQ","FILING_STATUS=MR","SCALING_FORMAT=MLN","Sort=A","Dates=H","DateFormat=P","Fill=—","Direction=H","UseDPDF=Y")</f>
        <v>378.80599999999998</v>
      </c>
      <c r="Y9" s="13">
        <f>_xll.BDH("SRPT US Equity","ARD_ACCTS_RECEIVABLE_TRADE","FQ2 2024","FQ2 2024","Currency=USD","Period=FQ","BEST_FPERIOD_OVERRIDE=FQ","FILING_STATUS=MR","SCALING_FORMAT=MLN","Sort=A","Dates=H","DateFormat=P","Fill=—","Direction=H","UseDPDF=Y")</f>
        <v>359.99700000000001</v>
      </c>
      <c r="Z9" s="13">
        <f>_xll.BDH("SRPT US Equity","ARD_ACCTS_RECEIVABLE_TRADE","FQ3 2024","FQ3 2024","Currency=USD","Period=FQ","BEST_FPERIOD_OVERRIDE=FQ","FILING_STATUS=MR","SCALING_FORMAT=MLN","Sort=A","Dates=H","DateFormat=P","Fill=—","Direction=H","UseDPDF=Y")</f>
        <v>434.524</v>
      </c>
      <c r="AA9" s="13">
        <f>_xll.BDH("SRPT US Equity","ARD_ACCTS_RECEIVABLE_TRADE","FQ4 2024","FQ4 2024","Currency=USD","Period=FQ","BEST_FPERIOD_OVERRIDE=FQ","FILING_STATUS=MR","SCALING_FORMAT=MLN","Sort=A","Dates=H","DateFormat=P","Fill=—","Direction=H","UseDPDF=Y")</f>
        <v>601.98800000000006</v>
      </c>
    </row>
    <row r="10" spans="1:27" x14ac:dyDescent="0.25">
      <c r="A10" s="10" t="s">
        <v>851</v>
      </c>
      <c r="B10" s="10" t="s">
        <v>852</v>
      </c>
      <c r="C10" s="13">
        <f>_xll.BDH("SRPT US Equity","ARD_INVENTORY","FQ4 2018","FQ4 2018","Currency=USD","Period=FQ","BEST_FPERIOD_OVERRIDE=FQ","FILING_STATUS=MR","SCALING_FORMAT=MLN","Sort=A","Dates=H","DateFormat=P","Fill=—","Direction=H","UseDPDF=Y")</f>
        <v>125.44499999999999</v>
      </c>
      <c r="D10" s="13">
        <f>_xll.BDH("SRPT US Equity","ARD_INVENTORY","FQ1 2019","FQ1 2019","Currency=USD","Period=FQ","BEST_FPERIOD_OVERRIDE=FQ","FILING_STATUS=MR","SCALING_FORMAT=MLN","Sort=A","Dates=H","DateFormat=P","Fill=—","Direction=H","UseDPDF=Y")</f>
        <v>140.46700000000001</v>
      </c>
      <c r="E10" s="13">
        <f>_xll.BDH("SRPT US Equity","ARD_INVENTORY","FQ2 2019","FQ2 2019","Currency=USD","Period=FQ","BEST_FPERIOD_OVERRIDE=FQ","FILING_STATUS=MR","SCALING_FORMAT=MLN","Sort=A","Dates=H","DateFormat=P","Fill=—","Direction=H","UseDPDF=Y")</f>
        <v>156.56899999999999</v>
      </c>
      <c r="F10" s="13">
        <f>_xll.BDH("SRPT US Equity","ARD_INVENTORY","FQ3 2019","FQ3 2019","Currency=USD","Period=FQ","BEST_FPERIOD_OVERRIDE=FQ","FILING_STATUS=MR","SCALING_FORMAT=MLN","Sort=A","Dates=H","DateFormat=P","Fill=—","Direction=H","UseDPDF=Y")</f>
        <v>166.36</v>
      </c>
      <c r="G10" s="13">
        <f>_xll.BDH("SRPT US Equity","ARD_INVENTORY","FQ4 2019","FQ4 2019","Currency=USD","Period=FQ","BEST_FPERIOD_OVERRIDE=FQ","FILING_STATUS=MR","SCALING_FORMAT=MLN","Sort=A","Dates=H","DateFormat=P","Fill=—","Direction=H","UseDPDF=Y")</f>
        <v>171.37899999999999</v>
      </c>
      <c r="H10" s="13">
        <f>_xll.BDH("SRPT US Equity","ARD_INVENTORY","FQ1 2020","FQ1 2020","Currency=USD","Period=FQ","BEST_FPERIOD_OVERRIDE=FQ","FILING_STATUS=MR","SCALING_FORMAT=MLN","Sort=A","Dates=H","DateFormat=P","Fill=—","Direction=H","UseDPDF=Y")</f>
        <v>173.16800000000001</v>
      </c>
      <c r="I10" s="13">
        <f>_xll.BDH("SRPT US Equity","ARD_INVENTORY","FQ2 2020","FQ2 2020","Currency=USD","Period=FQ","BEST_FPERIOD_OVERRIDE=FQ","FILING_STATUS=MR","SCALING_FORMAT=MLN","Sort=A","Dates=H","DateFormat=P","Fill=—","Direction=H","UseDPDF=Y")</f>
        <v>179.65</v>
      </c>
      <c r="J10" s="13">
        <f>_xll.BDH("SRPT US Equity","ARD_INVENTORY","FQ3 2020","FQ3 2020","Currency=USD","Period=FQ","BEST_FPERIOD_OVERRIDE=FQ","FILING_STATUS=MR","SCALING_FORMAT=MLN","Sort=A","Dates=H","DateFormat=P","Fill=—","Direction=H","UseDPDF=Y")</f>
        <v>220.11799999999999</v>
      </c>
      <c r="K10" s="13">
        <f>_xll.BDH("SRPT US Equity","ARD_INVENTORY","FQ4 2020","FQ4 2020","Currency=USD","Period=FQ","BEST_FPERIOD_OVERRIDE=FQ","FILING_STATUS=MR","SCALING_FORMAT=MLN","Sort=A","Dates=H","DateFormat=P","Fill=—","Direction=H","UseDPDF=Y")</f>
        <v>231.96100000000001</v>
      </c>
      <c r="L10" s="13">
        <f>_xll.BDH("SRPT US Equity","ARD_INVENTORY","FQ1 2021","FQ1 2021","Currency=USD","Period=FQ","BEST_FPERIOD_OVERRIDE=FQ","FILING_STATUS=MR","SCALING_FORMAT=MLN","Sort=A","Dates=H","DateFormat=P","Fill=—","Direction=H","UseDPDF=Y")</f>
        <v>240.333</v>
      </c>
      <c r="M10" s="13">
        <f>_xll.BDH("SRPT US Equity","ARD_INVENTORY","FQ2 2021","FQ2 2021","Currency=USD","Period=FQ","BEST_FPERIOD_OVERRIDE=FQ","FILING_STATUS=MR","SCALING_FORMAT=MLN","Sort=A","Dates=H","DateFormat=P","Fill=—","Direction=H","UseDPDF=Y")</f>
        <v>268.75599999999997</v>
      </c>
      <c r="N10" s="13">
        <f>_xll.BDH("SRPT US Equity","ARD_INVENTORY","FQ3 2021","FQ3 2021","Currency=USD","Period=FQ","BEST_FPERIOD_OVERRIDE=FQ","FILING_STATUS=MR","SCALING_FORMAT=MLN","Sort=A","Dates=H","DateFormat=P","Fill=—","Direction=H","UseDPDF=Y")</f>
        <v>288.46899999999999</v>
      </c>
      <c r="O10" s="13">
        <f>_xll.BDH("SRPT US Equity","ARD_INVENTORY","FQ4 2021","FQ4 2021","Currency=USD","Period=FQ","BEST_FPERIOD_OVERRIDE=FQ","FILING_STATUS=MR","SCALING_FORMAT=MLN","Sort=A","Dates=H","DateFormat=P","Fill=—","Direction=H","UseDPDF=Y")</f>
        <v>186.21199999999999</v>
      </c>
      <c r="P10" s="13">
        <f>_xll.BDH("SRPT US Equity","ARD_INVENTORY","FQ1 2022","FQ1 2022","Currency=USD","Period=FQ","BEST_FPERIOD_OVERRIDE=FQ","FILING_STATUS=MR","SCALING_FORMAT=MLN","Sort=A","Dates=H","DateFormat=P","Fill=—","Direction=H","UseDPDF=Y")</f>
        <v>198.99700000000001</v>
      </c>
      <c r="Q10" s="13">
        <f>_xll.BDH("SRPT US Equity","ARD_INVENTORY","FQ2 2022","FQ2 2022","Currency=USD","Period=FQ","BEST_FPERIOD_OVERRIDE=FQ","FILING_STATUS=MR","SCALING_FORMAT=MLN","Sort=A","Dates=H","DateFormat=P","Fill=—","Direction=H","UseDPDF=Y")</f>
        <v>208.095</v>
      </c>
      <c r="R10" s="13">
        <f>_xll.BDH("SRPT US Equity","ARD_INVENTORY","FQ3 2022","FQ3 2022","Currency=USD","Period=FQ","BEST_FPERIOD_OVERRIDE=FQ","FILING_STATUS=MR","SCALING_FORMAT=MLN","Sort=A","Dates=H","DateFormat=P","Fill=—","Direction=H","UseDPDF=Y")</f>
        <v>221.19200000000001</v>
      </c>
      <c r="S10" s="13">
        <f>_xll.BDH("SRPT US Equity","ARD_INVENTORY","FQ4 2022","FQ4 2022","Currency=USD","Period=FQ","BEST_FPERIOD_OVERRIDE=FQ","FILING_STATUS=MR","SCALING_FORMAT=MLN","Sort=A","Dates=H","DateFormat=P","Fill=—","Direction=H","UseDPDF=Y")</f>
        <v>203.96799999999999</v>
      </c>
      <c r="T10" s="13">
        <f>_xll.BDH("SRPT US Equity","ARD_INVENTORY","FQ1 2023","FQ1 2023","Currency=USD","Period=FQ","BEST_FPERIOD_OVERRIDE=FQ","FILING_STATUS=MR","SCALING_FORMAT=MLN","Sort=A","Dates=H","DateFormat=P","Fill=—","Direction=H","UseDPDF=Y")</f>
        <v>202.67500000000001</v>
      </c>
      <c r="U10" s="13">
        <f>_xll.BDH("SRPT US Equity","ARD_INVENTORY","FQ2 2023","FQ2 2023","Currency=USD","Period=FQ","BEST_FPERIOD_OVERRIDE=FQ","FILING_STATUS=MR","SCALING_FORMAT=MLN","Sort=A","Dates=H","DateFormat=P","Fill=—","Direction=H","UseDPDF=Y")</f>
        <v>226.876</v>
      </c>
      <c r="V10" s="13">
        <f>_xll.BDH("SRPT US Equity","ARD_INVENTORY","FQ3 2023","FQ3 2023","Currency=USD","Period=FQ","BEST_FPERIOD_OVERRIDE=FQ","FILING_STATUS=MR","SCALING_FORMAT=MLN","Sort=A","Dates=H","DateFormat=P","Fill=—","Direction=H","UseDPDF=Y")</f>
        <v>244.011</v>
      </c>
      <c r="W10" s="13">
        <f>_xll.BDH("SRPT US Equity","ARD_INVENTORY","FQ4 2023","FQ4 2023","Currency=USD","Period=FQ","BEST_FPERIOD_OVERRIDE=FQ","FILING_STATUS=MR","SCALING_FORMAT=MLN","Sort=A","Dates=H","DateFormat=P","Fill=—","Direction=H","UseDPDF=Y")</f>
        <v>322.85899999999998</v>
      </c>
      <c r="X10" s="13">
        <f>_xll.BDH("SRPT US Equity","ARD_INVENTORY","FQ1 2024","FQ1 2024","Currency=USD","Period=FQ","BEST_FPERIOD_OVERRIDE=FQ","FILING_STATUS=MR","SCALING_FORMAT=MLN","Sort=A","Dates=H","DateFormat=P","Fill=—","Direction=H","UseDPDF=Y")</f>
        <v>373.53</v>
      </c>
      <c r="Y10" s="13">
        <f>_xll.BDH("SRPT US Equity","ARD_INVENTORY","FQ2 2024","FQ2 2024","Currency=USD","Period=FQ","BEST_FPERIOD_OVERRIDE=FQ","FILING_STATUS=MR","SCALING_FORMAT=MLN","Sort=A","Dates=H","DateFormat=P","Fill=—","Direction=H","UseDPDF=Y")</f>
        <v>485.79500000000002</v>
      </c>
      <c r="Z10" s="13">
        <f>_xll.BDH("SRPT US Equity","ARD_INVENTORY","FQ3 2024","FQ3 2024","Currency=USD","Period=FQ","BEST_FPERIOD_OVERRIDE=FQ","FILING_STATUS=MR","SCALING_FORMAT=MLN","Sort=A","Dates=H","DateFormat=P","Fill=—","Direction=H","UseDPDF=Y")</f>
        <v>565.92399999999998</v>
      </c>
      <c r="AA10" s="13">
        <f>_xll.BDH("SRPT US Equity","ARD_INVENTORY","FQ4 2024","FQ4 2024","Currency=USD","Period=FQ","BEST_FPERIOD_OVERRIDE=FQ","FILING_STATUS=MR","SCALING_FORMAT=MLN","Sort=A","Dates=H","DateFormat=P","Fill=—","Direction=H","UseDPDF=Y")</f>
        <v>749.96</v>
      </c>
    </row>
    <row r="11" spans="1:27" x14ac:dyDescent="0.25">
      <c r="A11" s="10" t="s">
        <v>853</v>
      </c>
      <c r="B11" s="10" t="s">
        <v>854</v>
      </c>
      <c r="C11" s="13">
        <f>_xll.BDH("SRPT US Equity","ARD_OTHER_CURRENT_ASSETS","FQ4 2018","FQ4 2018","Currency=USD","Period=FQ","BEST_FPERIOD_OVERRIDE=FQ","FILING_STATUS=MR","SCALING_FORMAT=MLN","Sort=A","Dates=H","DateFormat=P","Fill=—","Direction=H","UseDPDF=Y")</f>
        <v>77.781999999999996</v>
      </c>
      <c r="D11" s="13">
        <f>_xll.BDH("SRPT US Equity","ARD_OTHER_CURRENT_ASSETS","FQ1 2019","FQ1 2019","Currency=USD","Period=FQ","BEST_FPERIOD_OVERRIDE=FQ","FILING_STATUS=MR","SCALING_FORMAT=MLN","Sort=A","Dates=H","DateFormat=P","Fill=—","Direction=H","UseDPDF=Y")</f>
        <v>136.238</v>
      </c>
      <c r="E11" s="13">
        <f>_xll.BDH("SRPT US Equity","ARD_OTHER_CURRENT_ASSETS","FQ2 2019","FQ2 2019","Currency=USD","Period=FQ","BEST_FPERIOD_OVERRIDE=FQ","FILING_STATUS=MR","SCALING_FORMAT=MLN","Sort=A","Dates=H","DateFormat=P","Fill=—","Direction=H","UseDPDF=Y")</f>
        <v>110.79900000000001</v>
      </c>
      <c r="F11" s="13">
        <f>_xll.BDH("SRPT US Equity","ARD_OTHER_CURRENT_ASSETS","FQ3 2019","FQ3 2019","Currency=USD","Period=FQ","BEST_FPERIOD_OVERRIDE=FQ","FILING_STATUS=MR","SCALING_FORMAT=MLN","Sort=A","Dates=H","DateFormat=P","Fill=—","Direction=H","UseDPDF=Y")</f>
        <v>79.015000000000001</v>
      </c>
      <c r="G11" s="13">
        <f>_xll.BDH("SRPT US Equity","ARD_OTHER_CURRENT_ASSETS","FQ4 2019","FQ4 2019","Currency=USD","Period=FQ","BEST_FPERIOD_OVERRIDE=FQ","FILING_STATUS=MR","SCALING_FORMAT=MLN","Sort=A","Dates=H","DateFormat=P","Fill=—","Direction=H","UseDPDF=Y")</f>
        <v>81.906999999999996</v>
      </c>
      <c r="H11" s="13">
        <f>_xll.BDH("SRPT US Equity","ARD_OTHER_CURRENT_ASSETS","FQ1 2020","FQ1 2020","Currency=USD","Period=FQ","BEST_FPERIOD_OVERRIDE=FQ","FILING_STATUS=MR","SCALING_FORMAT=MLN","Sort=A","Dates=H","DateFormat=P","Fill=—","Direction=H","UseDPDF=Y")</f>
        <v>96.153000000000006</v>
      </c>
      <c r="I11" s="13">
        <f>_xll.BDH("SRPT US Equity","ARD_OTHER_CURRENT_ASSETS","FQ2 2020","FQ2 2020","Currency=USD","Period=FQ","BEST_FPERIOD_OVERRIDE=FQ","FILING_STATUS=MR","SCALING_FORMAT=MLN","Sort=A","Dates=H","DateFormat=P","Fill=—","Direction=H","UseDPDF=Y")</f>
        <v>114.435</v>
      </c>
      <c r="J11" s="13">
        <f>_xll.BDH("SRPT US Equity","ARD_OTHER_CURRENT_ASSETS","FQ3 2020","FQ3 2020","Currency=USD","Period=FQ","BEST_FPERIOD_OVERRIDE=FQ","FILING_STATUS=MR","SCALING_FORMAT=MLN","Sort=A","Dates=H","DateFormat=P","Fill=—","Direction=H","UseDPDF=Y")</f>
        <v>164.624</v>
      </c>
      <c r="K11" s="13">
        <f>_xll.BDH("SRPT US Equity","ARD_OTHER_CURRENT_ASSETS","FQ4 2020","FQ4 2020","Currency=USD","Period=FQ","BEST_FPERIOD_OVERRIDE=FQ","FILING_STATUS=MR","SCALING_FORMAT=MLN","Sort=A","Dates=H","DateFormat=P","Fill=—","Direction=H","UseDPDF=Y")</f>
        <v>213.32400000000001</v>
      </c>
      <c r="L11" s="13">
        <f>_xll.BDH("SRPT US Equity","ARD_OTHER_CURRENT_ASSETS","FQ1 2021","FQ1 2021","Currency=USD","Period=FQ","BEST_FPERIOD_OVERRIDE=FQ","FILING_STATUS=MR","SCALING_FORMAT=MLN","Sort=A","Dates=H","DateFormat=P","Fill=—","Direction=H","UseDPDF=Y")</f>
        <v>174.98099999999999</v>
      </c>
      <c r="M11" s="13">
        <f>_xll.BDH("SRPT US Equity","ARD_OTHER_CURRENT_ASSETS","FQ2 2021","FQ2 2021","Currency=USD","Period=FQ","BEST_FPERIOD_OVERRIDE=FQ","FILING_STATUS=MR","SCALING_FORMAT=MLN","Sort=A","Dates=H","DateFormat=P","Fill=—","Direction=H","UseDPDF=Y")</f>
        <v>141.666</v>
      </c>
      <c r="N11" s="13">
        <f>_xll.BDH("SRPT US Equity","ARD_OTHER_CURRENT_ASSETS","FQ3 2021","FQ3 2021","Currency=USD","Period=FQ","BEST_FPERIOD_OVERRIDE=FQ","FILING_STATUS=MR","SCALING_FORMAT=MLN","Sort=A","Dates=H","DateFormat=P","Fill=—","Direction=H","UseDPDF=Y")</f>
        <v>147.941</v>
      </c>
      <c r="O11" s="13">
        <f>_xll.BDH("SRPT US Equity","ARD_OTHER_CURRENT_ASSETS","FQ4 2021","FQ4 2021","Currency=USD","Period=FQ","BEST_FPERIOD_OVERRIDE=FQ","FILING_STATUS=MR","SCALING_FORMAT=MLN","Sort=A","Dates=H","DateFormat=P","Fill=—","Direction=H","UseDPDF=Y")</f>
        <v>149.02799999999999</v>
      </c>
      <c r="P11" s="13">
        <f>_xll.BDH("SRPT US Equity","ARD_OTHER_CURRENT_ASSETS","FQ1 2022","FQ1 2022","Currency=USD","Period=FQ","BEST_FPERIOD_OVERRIDE=FQ","FILING_STATUS=MR","SCALING_FORMAT=MLN","Sort=A","Dates=H","DateFormat=P","Fill=—","Direction=H","UseDPDF=Y")</f>
        <v>140.33099999999999</v>
      </c>
      <c r="Q11" s="13">
        <f>_xll.BDH("SRPT US Equity","ARD_OTHER_CURRENT_ASSETS","FQ2 2022","FQ2 2022","Currency=USD","Period=FQ","BEST_FPERIOD_OVERRIDE=FQ","FILING_STATUS=MR","SCALING_FORMAT=MLN","Sort=A","Dates=H","DateFormat=P","Fill=—","Direction=H","UseDPDF=Y")</f>
        <v>129.33199999999999</v>
      </c>
      <c r="R11" s="13">
        <f>_xll.BDH("SRPT US Equity","ARD_OTHER_CURRENT_ASSETS","FQ3 2022","FQ3 2022","Currency=USD","Period=FQ","BEST_FPERIOD_OVERRIDE=FQ","FILING_STATUS=MR","SCALING_FORMAT=MLN","Sort=A","Dates=H","DateFormat=P","Fill=—","Direction=H","UseDPDF=Y")</f>
        <v>130.744</v>
      </c>
      <c r="S11" s="13">
        <f>_xll.BDH("SRPT US Equity","ARD_OTHER_CURRENT_ASSETS","FQ4 2022","FQ4 2022","Currency=USD","Period=FQ","BEST_FPERIOD_OVERRIDE=FQ","FILING_STATUS=MR","SCALING_FORMAT=MLN","Sort=A","Dates=H","DateFormat=P","Fill=—","Direction=H","UseDPDF=Y")</f>
        <v>149.89099999999999</v>
      </c>
      <c r="T11" s="13">
        <f>_xll.BDH("SRPT US Equity","ARD_OTHER_CURRENT_ASSETS","FQ1 2023","FQ1 2023","Currency=USD","Period=FQ","BEST_FPERIOD_OVERRIDE=FQ","FILING_STATUS=MR","SCALING_FORMAT=MLN","Sort=A","Dates=H","DateFormat=P","Fill=—","Direction=H","UseDPDF=Y")</f>
        <v>179.76900000000001</v>
      </c>
      <c r="U11" s="13">
        <f>_xll.BDH("SRPT US Equity","ARD_OTHER_CURRENT_ASSETS","FQ2 2023","FQ2 2023","Currency=USD","Period=FQ","BEST_FPERIOD_OVERRIDE=FQ","FILING_STATUS=MR","SCALING_FORMAT=MLN","Sort=A","Dates=H","DateFormat=P","Fill=—","Direction=H","UseDPDF=Y")</f>
        <v>148.215</v>
      </c>
      <c r="V11" s="13">
        <f>_xll.BDH("SRPT US Equity","ARD_OTHER_CURRENT_ASSETS","FQ3 2023","FQ3 2023","Currency=USD","Period=FQ","BEST_FPERIOD_OVERRIDE=FQ","FILING_STATUS=MR","SCALING_FORMAT=MLN","Sort=A","Dates=H","DateFormat=P","Fill=—","Direction=H","UseDPDF=Y")</f>
        <v>154.441</v>
      </c>
      <c r="W11" s="13">
        <f>_xll.BDH("SRPT US Equity","ARD_OTHER_CURRENT_ASSETS","FQ4 2023","FQ4 2023","Currency=USD","Period=FQ","BEST_FPERIOD_OVERRIDE=FQ","FILING_STATUS=MR","SCALING_FORMAT=MLN","Sort=A","Dates=H","DateFormat=P","Fill=—","Direction=H","UseDPDF=Y")</f>
        <v>179.89500000000001</v>
      </c>
      <c r="X11" s="13">
        <f>_xll.BDH("SRPT US Equity","ARD_OTHER_CURRENT_ASSETS","FQ1 2024","FQ1 2024","Currency=USD","Period=FQ","BEST_FPERIOD_OVERRIDE=FQ","FILING_STATUS=MR","SCALING_FORMAT=MLN","Sort=A","Dates=H","DateFormat=P","Fill=—","Direction=H","UseDPDF=Y")</f>
        <v>321.786</v>
      </c>
      <c r="Y11" s="13">
        <f>_xll.BDH("SRPT US Equity","ARD_OTHER_CURRENT_ASSETS","FQ2 2024","FQ2 2024","Currency=USD","Period=FQ","BEST_FPERIOD_OVERRIDE=FQ","FILING_STATUS=MR","SCALING_FORMAT=MLN","Sort=A","Dates=H","DateFormat=P","Fill=—","Direction=H","UseDPDF=Y")</f>
        <v>377.37</v>
      </c>
      <c r="Z11" s="13">
        <f>_xll.BDH("SRPT US Equity","ARD_OTHER_CURRENT_ASSETS","FQ3 2024","FQ3 2024","Currency=USD","Period=FQ","BEST_FPERIOD_OVERRIDE=FQ","FILING_STATUS=MR","SCALING_FORMAT=MLN","Sort=A","Dates=H","DateFormat=P","Fill=—","Direction=H","UseDPDF=Y")</f>
        <v>486.53199999999998</v>
      </c>
      <c r="AA11" s="13">
        <f>_xll.BDH("SRPT US Equity","ARD_OTHER_CURRENT_ASSETS","FQ4 2024","FQ4 2024","Currency=USD","Period=FQ","BEST_FPERIOD_OVERRIDE=FQ","FILING_STATUS=MR","SCALING_FORMAT=MLN","Sort=A","Dates=H","DateFormat=P","Fill=—","Direction=H","UseDPDF=Y")</f>
        <v>366.72300000000001</v>
      </c>
    </row>
    <row r="12" spans="1:27" x14ac:dyDescent="0.25">
      <c r="A12" s="10" t="s">
        <v>855</v>
      </c>
      <c r="B12" s="10" t="s">
        <v>856</v>
      </c>
      <c r="C12" s="13">
        <f>_xll.BDH("SRPT US Equity","ARD_ST_INVEST","FQ4 2018","FQ4 2018","Currency=USD","Period=FQ","BEST_FPERIOD_OVERRIDE=FQ","FILING_STATUS=MR","SCALING_FORMAT=MLN","Sort=A","Dates=H","DateFormat=P","Fill=—","Direction=H","UseDPDF=Y")</f>
        <v>803.08299999999997</v>
      </c>
      <c r="D12" s="13">
        <f>_xll.BDH("SRPT US Equity","ARD_ST_INVEST","FQ1 2019","FQ1 2019","Currency=USD","Period=FQ","BEST_FPERIOD_OVERRIDE=FQ","FILING_STATUS=MR","SCALING_FORMAT=MLN","Sort=A","Dates=H","DateFormat=P","Fill=—","Direction=H","UseDPDF=Y")</f>
        <v>612.01800000000003</v>
      </c>
      <c r="E12" s="13">
        <f>_xll.BDH("SRPT US Equity","ARD_ST_INVEST","FQ2 2019","FQ2 2019","Currency=USD","Period=FQ","BEST_FPERIOD_OVERRIDE=FQ","FILING_STATUS=MR","SCALING_FORMAT=MLN","Sort=A","Dates=H","DateFormat=P","Fill=—","Direction=H","UseDPDF=Y")</f>
        <v>294.47800000000001</v>
      </c>
      <c r="F12" s="13">
        <f>_xll.BDH("SRPT US Equity","ARD_ST_INVEST","FQ3 2019","FQ3 2019","Currency=USD","Period=FQ","BEST_FPERIOD_OVERRIDE=FQ","FILING_STATUS=MR","SCALING_FORMAT=MLN","Sort=A","Dates=H","DateFormat=P","Fill=—","Direction=H","UseDPDF=Y")</f>
        <v>324.06299999999999</v>
      </c>
      <c r="G12" s="13">
        <f>_xll.BDH("SRPT US Equity","ARD_ST_INVEST","FQ4 2019","FQ4 2019","Currency=USD","Period=FQ","BEST_FPERIOD_OVERRIDE=FQ","FILING_STATUS=MR","SCALING_FORMAT=MLN","Sort=A","Dates=H","DateFormat=P","Fill=—","Direction=H","UseDPDF=Y")</f>
        <v>289.66800000000001</v>
      </c>
      <c r="H12" s="13">
        <f>_xll.BDH("SRPT US Equity","ARD_ST_INVEST","FQ1 2020","FQ1 2020","Currency=USD","Period=FQ","BEST_FPERIOD_OVERRIDE=FQ","FILING_STATUS=MR","SCALING_FORMAT=MLN","Sort=A","Dates=H","DateFormat=P","Fill=—","Direction=H","UseDPDF=Y")</f>
        <v>406.94</v>
      </c>
      <c r="I12" s="13">
        <f>_xll.BDH("SRPT US Equity","ARD_ST_INVEST","FQ2 2020","FQ2 2020","Currency=USD","Period=FQ","BEST_FPERIOD_OVERRIDE=FQ","FILING_STATUS=MR","SCALING_FORMAT=MLN","Sort=A","Dates=H","DateFormat=P","Fill=—","Direction=H","UseDPDF=Y")</f>
        <v>421.34899999999999</v>
      </c>
      <c r="J12" s="13">
        <f>_xll.BDH("SRPT US Equity","ARD_ST_INVEST","FQ3 2020","FQ3 2020","Currency=USD","Period=FQ","BEST_FPERIOD_OVERRIDE=FQ","FILING_STATUS=MR","SCALING_FORMAT=MLN","Sort=A","Dates=H","DateFormat=P","Fill=—","Direction=H","UseDPDF=Y")</f>
        <v>341.46699999999998</v>
      </c>
      <c r="K12" s="13">
        <f>_xll.BDH("SRPT US Equity","ARD_ST_INVEST","FQ4 2020","FQ4 2020","Currency=USD","Period=FQ","BEST_FPERIOD_OVERRIDE=FQ","FILING_STATUS=MR","SCALING_FORMAT=MLN","Sort=A","Dates=H","DateFormat=P","Fill=—","Direction=H","UseDPDF=Y")</f>
        <v>435.923</v>
      </c>
      <c r="L12" s="13">
        <f>_xll.BDH("SRPT US Equity","ARD_ST_INVEST","FQ1 2021","FQ1 2021","Currency=USD","Period=FQ","BEST_FPERIOD_OVERRIDE=FQ","FILING_STATUS=MR","SCALING_FORMAT=MLN","Sort=A","Dates=H","DateFormat=P","Fill=—","Direction=H","UseDPDF=Y")</f>
        <v>255.99700000000001</v>
      </c>
      <c r="M12" s="13">
        <f>_xll.BDH("SRPT US Equity","ARD_ST_INVEST","FQ2 2021","FQ2 2021","Currency=USD","Period=FQ","BEST_FPERIOD_OVERRIDE=FQ","FILING_STATUS=MR","SCALING_FORMAT=MLN","Sort=A","Dates=H","DateFormat=P","Fill=—","Direction=H","UseDPDF=Y")</f>
        <v>30</v>
      </c>
      <c r="N12" s="13">
        <f>_xll.BDH("SRPT US Equity","ARD_ST_INVEST","FQ3 2021","FQ3 2021","Currency=USD","Period=FQ","BEST_FPERIOD_OVERRIDE=FQ","FILING_STATUS=MR","SCALING_FORMAT=MLN","Sort=A","Dates=H","DateFormat=P","Fill=—","Direction=H","UseDPDF=Y")</f>
        <v>0</v>
      </c>
      <c r="O12" s="13">
        <f>_xll.BDH("SRPT US Equity","ARD_ST_INVEST","FQ4 2021","FQ4 2021","Currency=USD","Period=FQ","BEST_FPERIOD_OVERRIDE=FQ","FILING_STATUS=MR","SCALING_FORMAT=MLN","Sort=A","Dates=H","DateFormat=P","Fill=—","Direction=H","UseDPDF=Y")</f>
        <v>0</v>
      </c>
      <c r="P12" s="13">
        <f>_xll.BDH("SRPT US Equity","ARD_ST_INVEST","FQ1 2022","FQ1 2022","Currency=USD","Period=FQ","BEST_FPERIOD_OVERRIDE=FQ","FILING_STATUS=MR","SCALING_FORMAT=MLN","Sort=A","Dates=H","DateFormat=P","Fill=—","Direction=H","UseDPDF=Y")</f>
        <v>779.548</v>
      </c>
      <c r="Q12" s="13">
        <f>_xll.BDH("SRPT US Equity","ARD_ST_INVEST","FQ2 2022","FQ2 2022","Currency=USD","Period=FQ","BEST_FPERIOD_OVERRIDE=FQ","FILING_STATUS=MR","SCALING_FORMAT=MLN","Sort=A","Dates=H","DateFormat=P","Fill=—","Direction=H","UseDPDF=Y")</f>
        <v>1059.454</v>
      </c>
      <c r="R12" s="13">
        <f>_xll.BDH("SRPT US Equity","ARD_ST_INVEST","FQ3 2022","FQ3 2022","Currency=USD","Period=FQ","BEST_FPERIOD_OVERRIDE=FQ","FILING_STATUS=MR","SCALING_FORMAT=MLN","Sort=A","Dates=H","DateFormat=P","Fill=—","Direction=H","UseDPDF=Y")</f>
        <v>1033.8599999999999</v>
      </c>
      <c r="S12" s="13">
        <f>_xll.BDH("SRPT US Equity","ARD_ST_INVEST","FQ4 2022","FQ4 2022","Currency=USD","Period=FQ","BEST_FPERIOD_OVERRIDE=FQ","FILING_STATUS=MR","SCALING_FORMAT=MLN","Sort=A","Dates=H","DateFormat=P","Fill=—","Direction=H","UseDPDF=Y")</f>
        <v>1022.597</v>
      </c>
      <c r="T12" s="13">
        <f>_xll.BDH("SRPT US Equity","ARD_ST_INVEST","FQ1 2023","FQ1 2023","Currency=USD","Period=FQ","BEST_FPERIOD_OVERRIDE=FQ","FILING_STATUS=MR","SCALING_FORMAT=MLN","Sort=A","Dates=H","DateFormat=P","Fill=—","Direction=H","UseDPDF=Y")</f>
        <v>1010.429</v>
      </c>
      <c r="U12" s="13">
        <f>_xll.BDH("SRPT US Equity","ARD_ST_INVEST","FQ2 2023","FQ2 2023","Currency=USD","Period=FQ","BEST_FPERIOD_OVERRIDE=FQ","FILING_STATUS=MR","SCALING_FORMAT=MLN","Sort=A","Dates=H","DateFormat=P","Fill=—","Direction=H","UseDPDF=Y")</f>
        <v>1008.7859999999999</v>
      </c>
      <c r="V12" s="13">
        <f>_xll.BDH("SRPT US Equity","ARD_ST_INVEST","FQ3 2023","FQ3 2023","Currency=USD","Period=FQ","BEST_FPERIOD_OVERRIDE=FQ","FILING_STATUS=MR","SCALING_FORMAT=MLN","Sort=A","Dates=H","DateFormat=P","Fill=—","Direction=H","UseDPDF=Y")</f>
        <v>1191.6099999999999</v>
      </c>
      <c r="W12" s="13">
        <f>_xll.BDH("SRPT US Equity","ARD_ST_INVEST","FQ4 2023","FQ4 2023","Currency=USD","Period=FQ","BEST_FPERIOD_OVERRIDE=FQ","FILING_STATUS=MR","SCALING_FORMAT=MLN","Sort=A","Dates=H","DateFormat=P","Fill=—","Direction=H","UseDPDF=Y")</f>
        <v>1247.82</v>
      </c>
      <c r="X12" s="13">
        <f>_xll.BDH("SRPT US Equity","ARD_ST_INVEST","FQ1 2024","FQ1 2024","Currency=USD","Period=FQ","BEST_FPERIOD_OVERRIDE=FQ","FILING_STATUS=MR","SCALING_FORMAT=MLN","Sort=A","Dates=H","DateFormat=P","Fill=—","Direction=H","UseDPDF=Y")</f>
        <v>963.45299999999997</v>
      </c>
      <c r="Y12" s="13">
        <f>_xll.BDH("SRPT US Equity","ARD_ST_INVEST","FQ2 2024","FQ2 2024","Currency=USD","Period=FQ","BEST_FPERIOD_OVERRIDE=FQ","FILING_STATUS=MR","SCALING_FORMAT=MLN","Sort=A","Dates=H","DateFormat=P","Fill=—","Direction=H","UseDPDF=Y")</f>
        <v>1076.8520000000001</v>
      </c>
      <c r="Z12" s="13">
        <f>_xll.BDH("SRPT US Equity","ARD_ST_INVEST","FQ3 2024","FQ3 2024","Currency=USD","Period=FQ","BEST_FPERIOD_OVERRIDE=FQ","FILING_STATUS=MR","SCALING_FORMAT=MLN","Sort=A","Dates=H","DateFormat=P","Fill=—","Direction=H","UseDPDF=Y")</f>
        <v>1000.534</v>
      </c>
      <c r="AA12" s="13">
        <f>_xll.BDH("SRPT US Equity","ARD_ST_INVEST","FQ4 2024","FQ4 2024","Currency=USD","Period=FQ","BEST_FPERIOD_OVERRIDE=FQ","FILING_STATUS=MR","SCALING_FORMAT=MLN","Sort=A","Dates=H","DateFormat=P","Fill=—","Direction=H","UseDPDF=Y")</f>
        <v>251.78200000000001</v>
      </c>
    </row>
    <row r="13" spans="1:27" x14ac:dyDescent="0.25">
      <c r="A13" s="6" t="s">
        <v>110</v>
      </c>
      <c r="B13" s="6" t="s">
        <v>857</v>
      </c>
      <c r="C13" s="19">
        <f>_xll.BDH("SRPT US Equity","ARD_TOTAL_CUR_ASSETS","FQ4 2018","FQ4 2018","Currency=USD","Period=FQ","BEST_FPERIOD_OVERRIDE=FQ","FILING_STATUS=MR","SCALING_FORMAT=MLN","Sort=A","Dates=H","DateFormat=P","Fill=—","Direction=H","UseDPDF=Y")</f>
        <v>1426.183</v>
      </c>
      <c r="D13" s="19">
        <f>_xll.BDH("SRPT US Equity","ARD_TOTAL_CUR_ASSETS","FQ1 2019","FQ1 2019","Currency=USD","Period=FQ","BEST_FPERIOD_OVERRIDE=FQ","FILING_STATUS=MR","SCALING_FORMAT=MLN","Sort=A","Dates=H","DateFormat=P","Fill=—","Direction=H","UseDPDF=Y")</f>
        <v>1671.423</v>
      </c>
      <c r="E13" s="19">
        <f>_xll.BDH("SRPT US Equity","ARD_TOTAL_CUR_ASSETS","FQ2 2019","FQ2 2019","Currency=USD","Period=FQ","BEST_FPERIOD_OVERRIDE=FQ","FILING_STATUS=MR","SCALING_FORMAT=MLN","Sort=A","Dates=H","DateFormat=P","Fill=—","Direction=H","UseDPDF=Y")</f>
        <v>1427.4179999999999</v>
      </c>
      <c r="F13" s="19">
        <f>_xll.BDH("SRPT US Equity","ARD_TOTAL_CUR_ASSETS","FQ3 2019","FQ3 2019","Currency=USD","Period=FQ","BEST_FPERIOD_OVERRIDE=FQ","FILING_STATUS=MR","SCALING_FORMAT=MLN","Sort=A","Dates=H","DateFormat=P","Fill=—","Direction=H","UseDPDF=Y")</f>
        <v>1362.299</v>
      </c>
      <c r="G13" s="19">
        <f>_xll.BDH("SRPT US Equity","ARD_TOTAL_CUR_ASSETS","FQ4 2019","FQ4 2019","Currency=USD","Period=FQ","BEST_FPERIOD_OVERRIDE=FQ","FILING_STATUS=MR","SCALING_FORMAT=MLN","Sort=A","Dates=H","DateFormat=P","Fill=—","Direction=H","UseDPDF=Y")</f>
        <v>1468.913</v>
      </c>
      <c r="H13" s="19">
        <f>_xll.BDH("SRPT US Equity","ARD_TOTAL_CUR_ASSETS","FQ1 2020","FQ1 2020","Currency=USD","Period=FQ","BEST_FPERIOD_OVERRIDE=FQ","FILING_STATUS=MR","SCALING_FORMAT=MLN","Sort=A","Dates=H","DateFormat=P","Fill=—","Direction=H","UseDPDF=Y")</f>
        <v>2547.348</v>
      </c>
      <c r="I13" s="19">
        <f>_xll.BDH("SRPT US Equity","ARD_TOTAL_CUR_ASSETS","FQ2 2020","FQ2 2020","Currency=USD","Period=FQ","BEST_FPERIOD_OVERRIDE=FQ","FILING_STATUS=MR","SCALING_FORMAT=MLN","Sort=A","Dates=H","DateFormat=P","Fill=—","Direction=H","UseDPDF=Y")</f>
        <v>2459.4209999999998</v>
      </c>
      <c r="J13" s="19">
        <f>_xll.BDH("SRPT US Equity","ARD_TOTAL_CUR_ASSETS","FQ3 2020","FQ3 2020","Currency=USD","Period=FQ","BEST_FPERIOD_OVERRIDE=FQ","FILING_STATUS=MR","SCALING_FORMAT=MLN","Sort=A","Dates=H","DateFormat=P","Fill=—","Direction=H","UseDPDF=Y")</f>
        <v>2322.6729999999998</v>
      </c>
      <c r="K13" s="19">
        <f>_xll.BDH("SRPT US Equity","ARD_TOTAL_CUR_ASSETS","FQ4 2020","FQ4 2020","Currency=USD","Period=FQ","BEST_FPERIOD_OVERRIDE=FQ","FILING_STATUS=MR","SCALING_FORMAT=MLN","Sort=A","Dates=H","DateFormat=P","Fill=—","Direction=H","UseDPDF=Y")</f>
        <v>2485.1959999999999</v>
      </c>
      <c r="L13" s="19">
        <f>_xll.BDH("SRPT US Equity","ARD_TOTAL_CUR_ASSETS","FQ1 2021","FQ1 2021","Currency=USD","Period=FQ","BEST_FPERIOD_OVERRIDE=FQ","FILING_STATUS=MR","SCALING_FORMAT=MLN","Sort=A","Dates=H","DateFormat=P","Fill=—","Direction=H","UseDPDF=Y")</f>
        <v>2271.35</v>
      </c>
      <c r="M13" s="19">
        <f>_xll.BDH("SRPT US Equity","ARD_TOTAL_CUR_ASSETS","FQ2 2021","FQ2 2021","Currency=USD","Period=FQ","BEST_FPERIOD_OVERRIDE=FQ","FILING_STATUS=MR","SCALING_FORMAT=MLN","Sort=A","Dates=H","DateFormat=P","Fill=—","Direction=H","UseDPDF=Y")</f>
        <v>2265.2170000000001</v>
      </c>
      <c r="N13" s="19">
        <f>_xll.BDH("SRPT US Equity","ARD_TOTAL_CUR_ASSETS","FQ3 2021","FQ3 2021","Currency=USD","Period=FQ","BEST_FPERIOD_OVERRIDE=FQ","FILING_STATUS=MR","SCALING_FORMAT=MLN","Sort=A","Dates=H","DateFormat=P","Fill=—","Direction=H","UseDPDF=Y")</f>
        <v>2185.31</v>
      </c>
      <c r="O13" s="19">
        <f>_xll.BDH("SRPT US Equity","ARD_TOTAL_CUR_ASSETS","FQ4 2021","FQ4 2021","Currency=USD","Period=FQ","BEST_FPERIOD_OVERRIDE=FQ","FILING_STATUS=MR","SCALING_FORMAT=MLN","Sort=A","Dates=H","DateFormat=P","Fill=—","Direction=H","UseDPDF=Y")</f>
        <v>2604.0990000000002</v>
      </c>
      <c r="P13" s="19">
        <f>_xll.BDH("SRPT US Equity","ARD_TOTAL_CUR_ASSETS","FQ1 2022","FQ1 2022","Currency=USD","Period=FQ","BEST_FPERIOD_OVERRIDE=FQ","FILING_STATUS=MR","SCALING_FORMAT=MLN","Sort=A","Dates=H","DateFormat=P","Fill=—","Direction=H","UseDPDF=Y")</f>
        <v>2530.9470000000001</v>
      </c>
      <c r="Q13" s="19">
        <f>_xll.BDH("SRPT US Equity","ARD_TOTAL_CUR_ASSETS","FQ2 2022","FQ2 2022","Currency=USD","Period=FQ","BEST_FPERIOD_OVERRIDE=FQ","FILING_STATUS=MR","SCALING_FORMAT=MLN","Sort=A","Dates=H","DateFormat=P","Fill=—","Direction=H","UseDPDF=Y")</f>
        <v>2469.3000000000002</v>
      </c>
      <c r="R13" s="19">
        <f>_xll.BDH("SRPT US Equity","ARD_TOTAL_CUR_ASSETS","FQ3 2022","FQ3 2022","Currency=USD","Period=FQ","BEST_FPERIOD_OVERRIDE=FQ","FILING_STATUS=MR","SCALING_FORMAT=MLN","Sort=A","Dates=H","DateFormat=P","Fill=—","Direction=H","UseDPDF=Y")</f>
        <v>2625.9290000000001</v>
      </c>
      <c r="S13" s="19">
        <f>_xll.BDH("SRPT US Equity","ARD_TOTAL_CUR_ASSETS","FQ4 2022","FQ4 2022","Currency=USD","Period=FQ","BEST_FPERIOD_OVERRIDE=FQ","FILING_STATUS=MR","SCALING_FORMAT=MLN","Sort=A","Dates=H","DateFormat=P","Fill=—","Direction=H","UseDPDF=Y")</f>
        <v>2557.8609999999999</v>
      </c>
      <c r="T13" s="19">
        <f>_xll.BDH("SRPT US Equity","ARD_TOTAL_CUR_ASSETS","FQ1 2023","FQ1 2023","Currency=USD","Period=FQ","BEST_FPERIOD_OVERRIDE=FQ","FILING_STATUS=MR","SCALING_FORMAT=MLN","Sort=A","Dates=H","DateFormat=P","Fill=—","Direction=H","UseDPDF=Y")</f>
        <v>2488.377</v>
      </c>
      <c r="U13" s="19">
        <f>_xll.BDH("SRPT US Equity","ARD_TOTAL_CUR_ASSETS","FQ2 2023","FQ2 2023","Currency=USD","Period=FQ","BEST_FPERIOD_OVERRIDE=FQ","FILING_STATUS=MR","SCALING_FORMAT=MLN","Sort=A","Dates=H","DateFormat=P","Fill=—","Direction=H","UseDPDF=Y")</f>
        <v>2472.614</v>
      </c>
      <c r="V13" s="19">
        <f>_xll.BDH("SRPT US Equity","ARD_TOTAL_CUR_ASSETS","FQ3 2023","FQ3 2023","Currency=USD","Period=FQ","BEST_FPERIOD_OVERRIDE=FQ","FILING_STATUS=MR","SCALING_FORMAT=MLN","Sort=A","Dates=H","DateFormat=P","Fill=—","Direction=H","UseDPDF=Y")</f>
        <v>2450.8490000000002</v>
      </c>
      <c r="W13" s="19">
        <f>_xll.BDH("SRPT US Equity","ARD_TOTAL_CUR_ASSETS","FQ4 2023","FQ4 2023","Currency=USD","Period=FQ","BEST_FPERIOD_OVERRIDE=FQ","FILING_STATUS=MR","SCALING_FORMAT=MLN","Sort=A","Dates=H","DateFormat=P","Fill=—","Direction=H","UseDPDF=Y")</f>
        <v>2579.3310000000001</v>
      </c>
      <c r="X13" s="19">
        <f>_xll.BDH("SRPT US Equity","ARD_TOTAL_CUR_ASSETS","FQ1 2024","FQ1 2024","Currency=USD","Period=FQ","BEST_FPERIOD_OVERRIDE=FQ","FILING_STATUS=MR","SCALING_FORMAT=MLN","Sort=A","Dates=H","DateFormat=P","Fill=—","Direction=H","UseDPDF=Y")</f>
        <v>2464.8649999999998</v>
      </c>
      <c r="Y13" s="19">
        <f>_xll.BDH("SRPT US Equity","ARD_TOTAL_CUR_ASSETS","FQ2 2024","FQ2 2024","Currency=USD","Period=FQ","BEST_FPERIOD_OVERRIDE=FQ","FILING_STATUS=MR","SCALING_FORMAT=MLN","Sort=A","Dates=H","DateFormat=P","Fill=—","Direction=H","UseDPDF=Y")</f>
        <v>2683.636</v>
      </c>
      <c r="Z13" s="19">
        <f>_xll.BDH("SRPT US Equity","ARD_TOTAL_CUR_ASSETS","FQ3 2024","FQ3 2024","Currency=USD","Period=FQ","BEST_FPERIOD_OVERRIDE=FQ","FILING_STATUS=MR","SCALING_FORMAT=MLN","Sort=A","Dates=H","DateFormat=P","Fill=—","Direction=H","UseDPDF=Y")</f>
        <v>2685.3690000000001</v>
      </c>
      <c r="AA13" s="19">
        <f>_xll.BDH("SRPT US Equity","ARD_TOTAL_CUR_ASSETS","FQ4 2024","FQ4 2024","Currency=USD","Period=FQ","BEST_FPERIOD_OVERRIDE=FQ","FILING_STATUS=MR","SCALING_FORMAT=MLN","Sort=A","Dates=H","DateFormat=P","Fill=—","Direction=H","UseDPDF=Y")</f>
        <v>3073.4630000000002</v>
      </c>
    </row>
    <row r="14" spans="1:27" x14ac:dyDescent="0.25">
      <c r="A14" s="10" t="s">
        <v>858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5">
      <c r="A15" s="10" t="s">
        <v>859</v>
      </c>
      <c r="B15" s="10" t="s">
        <v>860</v>
      </c>
      <c r="C15" s="13" t="str">
        <f>_xll.BDH("SRPT US Equity","ARD_LT_INVEST","FQ4 2018","FQ4 2018","Currency=USD","Period=FQ","BEST_FPERIOD_OVERRIDE=FQ","FILING_STATUS=MR","SCALING_FORMAT=MLN","Sort=A","Dates=H","DateFormat=P","Fill=—","Direction=H","UseDPDF=Y")</f>
        <v>—</v>
      </c>
      <c r="D15" s="13" t="str">
        <f>_xll.BDH("SRPT US Equity","ARD_LT_INVEST","FQ1 2019","FQ1 2019","Currency=USD","Period=FQ","BEST_FPERIOD_OVERRIDE=FQ","FILING_STATUS=MR","SCALING_FORMAT=MLN","Sort=A","Dates=H","DateFormat=P","Fill=—","Direction=H","UseDPDF=Y")</f>
        <v>—</v>
      </c>
      <c r="E15" s="13" t="str">
        <f>_xll.BDH("SRPT US Equity","ARD_LT_INVEST","FQ2 2019","FQ2 2019","Currency=USD","Period=FQ","BEST_FPERIOD_OVERRIDE=FQ","FILING_STATUS=MR","SCALING_FORMAT=MLN","Sort=A","Dates=H","DateFormat=P","Fill=—","Direction=H","UseDPDF=Y")</f>
        <v>—</v>
      </c>
      <c r="F15" s="13" t="str">
        <f>_xll.BDH("SRPT US Equity","ARD_LT_INVEST","FQ3 2019","FQ3 2019","Currency=USD","Period=FQ","BEST_FPERIOD_OVERRIDE=FQ","FILING_STATUS=MR","SCALING_FORMAT=MLN","Sort=A","Dates=H","DateFormat=P","Fill=—","Direction=H","UseDPDF=Y")</f>
        <v>—</v>
      </c>
      <c r="G15" s="13" t="str">
        <f>_xll.BDH("SRPT US Equity","ARD_LT_INVEST","FQ4 2019","FQ4 2019","Currency=USD","Period=FQ","BEST_FPERIOD_OVERRIDE=FQ","FILING_STATUS=MR","SCALING_FORMAT=MLN","Sort=A","Dates=H","DateFormat=P","Fill=—","Direction=H","UseDPDF=Y")</f>
        <v>—</v>
      </c>
      <c r="H15" s="13" t="str">
        <f>_xll.BDH("SRPT US Equity","ARD_LT_INVEST","FQ1 2020","FQ1 2020","Currency=USD","Period=FQ","BEST_FPERIOD_OVERRIDE=FQ","FILING_STATUS=MR","SCALING_FORMAT=MLN","Sort=A","Dates=H","DateFormat=P","Fill=—","Direction=H","UseDPDF=Y")</f>
        <v>—</v>
      </c>
      <c r="I15" s="13" t="str">
        <f>_xll.BDH("SRPT US Equity","ARD_LT_INVEST","FQ2 2020","FQ2 2020","Currency=USD","Period=FQ","BEST_FPERIOD_OVERRIDE=FQ","FILING_STATUS=MR","SCALING_FORMAT=MLN","Sort=A","Dates=H","DateFormat=P","Fill=—","Direction=H","UseDPDF=Y")</f>
        <v>—</v>
      </c>
      <c r="J15" s="13" t="str">
        <f>_xll.BDH("SRPT US Equity","ARD_LT_INVEST","FQ3 2020","FQ3 2020","Currency=USD","Period=FQ","BEST_FPERIOD_OVERRIDE=FQ","FILING_STATUS=MR","SCALING_FORMAT=MLN","Sort=A","Dates=H","DateFormat=P","Fill=—","Direction=H","UseDPDF=Y")</f>
        <v>—</v>
      </c>
      <c r="K15" s="13" t="str">
        <f>_xll.BDH("SRPT US Equity","ARD_LT_INVEST","FQ4 2020","FQ4 2020","Currency=USD","Period=FQ","BEST_FPERIOD_OVERRIDE=FQ","FILING_STATUS=MR","SCALING_FORMAT=MLN","Sort=A","Dates=H","DateFormat=P","Fill=—","Direction=H","UseDPDF=Y")</f>
        <v>—</v>
      </c>
      <c r="L15" s="13" t="str">
        <f>_xll.BDH("SRPT US Equity","ARD_LT_INVEST","FQ1 2021","FQ1 2021","Currency=USD","Period=FQ","BEST_FPERIOD_OVERRIDE=FQ","FILING_STATUS=MR","SCALING_FORMAT=MLN","Sort=A","Dates=H","DateFormat=P","Fill=—","Direction=H","UseDPDF=Y")</f>
        <v>—</v>
      </c>
      <c r="M15" s="13" t="str">
        <f>_xll.BDH("SRPT US Equity","ARD_LT_INVEST","FQ2 2021","FQ2 2021","Currency=USD","Period=FQ","BEST_FPERIOD_OVERRIDE=FQ","FILING_STATUS=MR","SCALING_FORMAT=MLN","Sort=A","Dates=H","DateFormat=P","Fill=—","Direction=H","UseDPDF=Y")</f>
        <v>—</v>
      </c>
      <c r="N15" s="13" t="str">
        <f>_xll.BDH("SRPT US Equity","ARD_LT_INVEST","FQ3 2021","FQ3 2021","Currency=USD","Period=FQ","BEST_FPERIOD_OVERRIDE=FQ","FILING_STATUS=MR","SCALING_FORMAT=MLN","Sort=A","Dates=H","DateFormat=P","Fill=—","Direction=H","UseDPDF=Y")</f>
        <v>—</v>
      </c>
      <c r="O15" s="13" t="str">
        <f>_xll.BDH("SRPT US Equity","ARD_LT_INVEST","FQ4 2021","FQ4 2021","Currency=USD","Period=FQ","BEST_FPERIOD_OVERRIDE=FQ","FILING_STATUS=MR","SCALING_FORMAT=MLN","Sort=A","Dates=H","DateFormat=P","Fill=—","Direction=H","UseDPDF=Y")</f>
        <v>—</v>
      </c>
      <c r="P15" s="13" t="str">
        <f>_xll.BDH("SRPT US Equity","ARD_LT_INVEST","FQ1 2022","FQ1 2022","Currency=USD","Period=FQ","BEST_FPERIOD_OVERRIDE=FQ","FILING_STATUS=MR","SCALING_FORMAT=MLN","Sort=A","Dates=H","DateFormat=P","Fill=—","Direction=H","UseDPDF=Y")</f>
        <v>—</v>
      </c>
      <c r="Q15" s="13" t="str">
        <f>_xll.BDH("SRPT US Equity","ARD_LT_INVEST","FQ2 2022","FQ2 2022","Currency=USD","Period=FQ","BEST_FPERIOD_OVERRIDE=FQ","FILING_STATUS=MR","SCALING_FORMAT=MLN","Sort=A","Dates=H","DateFormat=P","Fill=—","Direction=H","UseDPDF=Y")</f>
        <v>—</v>
      </c>
      <c r="R15" s="13" t="str">
        <f>_xll.BDH("SRPT US Equity","ARD_LT_INVEST","FQ3 2022","FQ3 2022","Currency=USD","Period=FQ","BEST_FPERIOD_OVERRIDE=FQ","FILING_STATUS=MR","SCALING_FORMAT=MLN","Sort=A","Dates=H","DateFormat=P","Fill=—","Direction=H","UseDPDF=Y")</f>
        <v>—</v>
      </c>
      <c r="S15" s="13" t="str">
        <f>_xll.BDH("SRPT US Equity","ARD_LT_INVEST","FQ4 2022","FQ4 2022","Currency=USD","Period=FQ","BEST_FPERIOD_OVERRIDE=FQ","FILING_STATUS=MR","SCALING_FORMAT=MLN","Sort=A","Dates=H","DateFormat=P","Fill=—","Direction=H","UseDPDF=Y")</f>
        <v>—</v>
      </c>
      <c r="T15" s="13" t="str">
        <f>_xll.BDH("SRPT US Equity","ARD_LT_INVEST","FQ1 2023","FQ1 2023","Currency=USD","Period=FQ","BEST_FPERIOD_OVERRIDE=FQ","FILING_STATUS=MR","SCALING_FORMAT=MLN","Sort=A","Dates=H","DateFormat=P","Fill=—","Direction=H","UseDPDF=Y")</f>
        <v>—</v>
      </c>
      <c r="U15" s="13" t="str">
        <f>_xll.BDH("SRPT US Equity","ARD_LT_INVEST","FQ2 2023","FQ2 2023","Currency=USD","Period=FQ","BEST_FPERIOD_OVERRIDE=FQ","FILING_STATUS=MR","SCALING_FORMAT=MLN","Sort=A","Dates=H","DateFormat=P","Fill=—","Direction=H","UseDPDF=Y")</f>
        <v>—</v>
      </c>
      <c r="V15" s="13" t="str">
        <f>_xll.BDH("SRPT US Equity","ARD_LT_INVEST","FQ3 2023","FQ3 2023","Currency=USD","Period=FQ","BEST_FPERIOD_OVERRIDE=FQ","FILING_STATUS=MR","SCALING_FORMAT=MLN","Sort=A","Dates=H","DateFormat=P","Fill=—","Direction=H","UseDPDF=Y")</f>
        <v>—</v>
      </c>
      <c r="W15" s="13" t="str">
        <f>_xll.BDH("SRPT US Equity","ARD_LT_INVEST","FQ4 2023","FQ4 2023","Currency=USD","Period=FQ","BEST_FPERIOD_OVERRIDE=FQ","FILING_STATUS=MR","SCALING_FORMAT=MLN","Sort=A","Dates=H","DateFormat=P","Fill=—","Direction=H","UseDPDF=Y")</f>
        <v>—</v>
      </c>
      <c r="X15" s="13" t="str">
        <f>_xll.BDH("SRPT US Equity","ARD_LT_INVEST","FQ1 2024","FQ1 2024","Currency=USD","Period=FQ","BEST_FPERIOD_OVERRIDE=FQ","FILING_STATUS=MR","SCALING_FORMAT=MLN","Sort=A","Dates=H","DateFormat=P","Fill=—","Direction=H","UseDPDF=Y")</f>
        <v>—</v>
      </c>
      <c r="Y15" s="13" t="str">
        <f>_xll.BDH("SRPT US Equity","ARD_LT_INVEST","FQ2 2024","FQ2 2024","Currency=USD","Period=FQ","BEST_FPERIOD_OVERRIDE=FQ","FILING_STATUS=MR","SCALING_FORMAT=MLN","Sort=A","Dates=H","DateFormat=P","Fill=—","Direction=H","UseDPDF=Y")</f>
        <v>—</v>
      </c>
      <c r="Z15" s="13">
        <f>_xll.BDH("SRPT US Equity","ARD_LT_INVEST","FQ3 2024","FQ3 2024","Currency=USD","Period=FQ","BEST_FPERIOD_OVERRIDE=FQ","FILING_STATUS=MR","SCALING_FORMAT=MLN","Sort=A","Dates=H","DateFormat=P","Fill=—","Direction=H","UseDPDF=Y")</f>
        <v>181.77</v>
      </c>
      <c r="AA15" s="13">
        <f>_xll.BDH("SRPT US Equity","ARD_LT_INVEST","FQ4 2024","FQ4 2024","Currency=USD","Period=FQ","BEST_FPERIOD_OVERRIDE=FQ","FILING_STATUS=MR","SCALING_FORMAT=MLN","Sort=A","Dates=H","DateFormat=P","Fill=—","Direction=H","UseDPDF=Y")</f>
        <v>133.16300000000001</v>
      </c>
    </row>
    <row r="16" spans="1:27" x14ac:dyDescent="0.25">
      <c r="A16" s="10" t="s">
        <v>861</v>
      </c>
      <c r="B16" s="10" t="s">
        <v>862</v>
      </c>
      <c r="C16" s="13">
        <f>_xll.BDH("SRPT US Equity","ARD_ACCUMULATED_DEPREC","FQ4 2018","FQ4 2018","Currency=USD","Period=FQ","BEST_FPERIOD_OVERRIDE=FQ","FILING_STATUS=MR","SCALING_FORMAT=MLN","Sort=A","Dates=H","DateFormat=P","Fill=—","Direction=H","UseDPDF=Y")</f>
        <v>28.149000000000001</v>
      </c>
      <c r="D16" s="13">
        <f>_xll.BDH("SRPT US Equity","ARD_ACCUMULATED_DEPREC","FQ1 2019","FQ1 2019","Currency=USD","Period=FQ","BEST_FPERIOD_OVERRIDE=FQ","FILING_STATUS=MR","SCALING_FORMAT=MLN","Sort=A","Dates=H","DateFormat=P","Fill=—","Direction=H","UseDPDF=Y")</f>
        <v>32.612000000000002</v>
      </c>
      <c r="E16" s="13">
        <f>_xll.BDH("SRPT US Equity","ARD_ACCUMULATED_DEPREC","FQ2 2019","FQ2 2019","Currency=USD","Period=FQ","BEST_FPERIOD_OVERRIDE=FQ","FILING_STATUS=MR","SCALING_FORMAT=MLN","Sort=A","Dates=H","DateFormat=P","Fill=—","Direction=H","UseDPDF=Y")</f>
        <v>38.398000000000003</v>
      </c>
      <c r="F16" s="13">
        <f>_xll.BDH("SRPT US Equity","ARD_ACCUMULATED_DEPREC","FQ3 2019","FQ3 2019","Currency=USD","Period=FQ","BEST_FPERIOD_OVERRIDE=FQ","FILING_STATUS=MR","SCALING_FORMAT=MLN","Sort=A","Dates=H","DateFormat=P","Fill=—","Direction=H","UseDPDF=Y")</f>
        <v>44.701000000000001</v>
      </c>
      <c r="G16" s="13" t="str">
        <f>_xll.BDH("SRPT US Equity","ARD_ACCUMULATED_DEPREC","FQ4 2019","FQ4 2019","Currency=USD","Period=FQ","BEST_FPERIOD_OVERRIDE=FQ","FILING_STATUS=MR","SCALING_FORMAT=MLN","Sort=A","Dates=H","DateFormat=P","Fill=—","Direction=H","UseDPDF=Y")</f>
        <v>—</v>
      </c>
      <c r="H16" s="13" t="str">
        <f>_xll.BDH("SRPT US Equity","ARD_ACCUMULATED_DEPREC","FQ1 2020","FQ1 2020","Currency=USD","Period=FQ","BEST_FPERIOD_OVERRIDE=FQ","FILING_STATUS=MR","SCALING_FORMAT=MLN","Sort=A","Dates=H","DateFormat=P","Fill=—","Direction=H","UseDPDF=Y")</f>
        <v>—</v>
      </c>
      <c r="I16" s="13" t="str">
        <f>_xll.BDH("SRPT US Equity","ARD_ACCUMULATED_DEPREC","FQ2 2020","FQ2 2020","Currency=USD","Period=FQ","BEST_FPERIOD_OVERRIDE=FQ","FILING_STATUS=MR","SCALING_FORMAT=MLN","Sort=A","Dates=H","DateFormat=P","Fill=—","Direction=H","UseDPDF=Y")</f>
        <v>—</v>
      </c>
      <c r="J16" s="13" t="str">
        <f>_xll.BDH("SRPT US Equity","ARD_ACCUMULATED_DEPREC","FQ3 2020","FQ3 2020","Currency=USD","Period=FQ","BEST_FPERIOD_OVERRIDE=FQ","FILING_STATUS=MR","SCALING_FORMAT=MLN","Sort=A","Dates=H","DateFormat=P","Fill=—","Direction=H","UseDPDF=Y")</f>
        <v>—</v>
      </c>
      <c r="K16" s="13" t="str">
        <f>_xll.BDH("SRPT US Equity","ARD_ACCUMULATED_DEPREC","FQ4 2020","FQ4 2020","Currency=USD","Period=FQ","BEST_FPERIOD_OVERRIDE=FQ","FILING_STATUS=MR","SCALING_FORMAT=MLN","Sort=A","Dates=H","DateFormat=P","Fill=—","Direction=H","UseDPDF=Y")</f>
        <v>—</v>
      </c>
      <c r="L16" s="13" t="str">
        <f>_xll.BDH("SRPT US Equity","ARD_ACCUMULATED_DEPREC","FQ1 2021","FQ1 2021","Currency=USD","Period=FQ","BEST_FPERIOD_OVERRIDE=FQ","FILING_STATUS=MR","SCALING_FORMAT=MLN","Sort=A","Dates=H","DateFormat=P","Fill=—","Direction=H","UseDPDF=Y")</f>
        <v>—</v>
      </c>
      <c r="M16" s="13" t="str">
        <f>_xll.BDH("SRPT US Equity","ARD_ACCUMULATED_DEPREC","FQ2 2021","FQ2 2021","Currency=USD","Period=FQ","BEST_FPERIOD_OVERRIDE=FQ","FILING_STATUS=MR","SCALING_FORMAT=MLN","Sort=A","Dates=H","DateFormat=P","Fill=—","Direction=H","UseDPDF=Y")</f>
        <v>—</v>
      </c>
      <c r="N16" s="13" t="str">
        <f>_xll.BDH("SRPT US Equity","ARD_ACCUMULATED_DEPREC","FQ3 2021","FQ3 2021","Currency=USD","Period=FQ","BEST_FPERIOD_OVERRIDE=FQ","FILING_STATUS=MR","SCALING_FORMAT=MLN","Sort=A","Dates=H","DateFormat=P","Fill=—","Direction=H","UseDPDF=Y")</f>
        <v>—</v>
      </c>
      <c r="O16" s="13" t="str">
        <f>_xll.BDH("SRPT US Equity","ARD_ACCUMULATED_DEPREC","FQ4 2021","FQ4 2021","Currency=USD","Period=FQ","BEST_FPERIOD_OVERRIDE=FQ","FILING_STATUS=MR","SCALING_FORMAT=MLN","Sort=A","Dates=H","DateFormat=P","Fill=—","Direction=H","UseDPDF=Y")</f>
        <v>—</v>
      </c>
      <c r="P16" s="13" t="str">
        <f>_xll.BDH("SRPT US Equity","ARD_ACCUMULATED_DEPREC","FQ1 2022","FQ1 2022","Currency=USD","Period=FQ","BEST_FPERIOD_OVERRIDE=FQ","FILING_STATUS=MR","SCALING_FORMAT=MLN","Sort=A","Dates=H","DateFormat=P","Fill=—","Direction=H","UseDPDF=Y")</f>
        <v>—</v>
      </c>
      <c r="Q16" s="13" t="str">
        <f>_xll.BDH("SRPT US Equity","ARD_ACCUMULATED_DEPREC","FQ2 2022","FQ2 2022","Currency=USD","Period=FQ","BEST_FPERIOD_OVERRIDE=FQ","FILING_STATUS=MR","SCALING_FORMAT=MLN","Sort=A","Dates=H","DateFormat=P","Fill=—","Direction=H","UseDPDF=Y")</f>
        <v>—</v>
      </c>
      <c r="R16" s="13" t="str">
        <f>_xll.BDH("SRPT US Equity","ARD_ACCUMULATED_DEPREC","FQ3 2022","FQ3 2022","Currency=USD","Period=FQ","BEST_FPERIOD_OVERRIDE=FQ","FILING_STATUS=MR","SCALING_FORMAT=MLN","Sort=A","Dates=H","DateFormat=P","Fill=—","Direction=H","UseDPDF=Y")</f>
        <v>—</v>
      </c>
      <c r="S16" s="13" t="str">
        <f>_xll.BDH("SRPT US Equity","ARD_ACCUMULATED_DEPREC","FQ4 2022","FQ4 2022","Currency=USD","Period=FQ","BEST_FPERIOD_OVERRIDE=FQ","FILING_STATUS=MR","SCALING_FORMAT=MLN","Sort=A","Dates=H","DateFormat=P","Fill=—","Direction=H","UseDPDF=Y")</f>
        <v>—</v>
      </c>
      <c r="T16" s="13" t="str">
        <f>_xll.BDH("SRPT US Equity","ARD_ACCUMULATED_DEPREC","FQ1 2023","FQ1 2023","Currency=USD","Period=FQ","BEST_FPERIOD_OVERRIDE=FQ","FILING_STATUS=MR","SCALING_FORMAT=MLN","Sort=A","Dates=H","DateFormat=P","Fill=—","Direction=H","UseDPDF=Y")</f>
        <v>—</v>
      </c>
      <c r="U16" s="13" t="str">
        <f>_xll.BDH("SRPT US Equity","ARD_ACCUMULATED_DEPREC","FQ2 2023","FQ2 2023","Currency=USD","Period=FQ","BEST_FPERIOD_OVERRIDE=FQ","FILING_STATUS=MR","SCALING_FORMAT=MLN","Sort=A","Dates=H","DateFormat=P","Fill=—","Direction=H","UseDPDF=Y")</f>
        <v>—</v>
      </c>
      <c r="V16" s="13" t="str">
        <f>_xll.BDH("SRPT US Equity","ARD_ACCUMULATED_DEPREC","FQ3 2023","FQ3 2023","Currency=USD","Period=FQ","BEST_FPERIOD_OVERRIDE=FQ","FILING_STATUS=MR","SCALING_FORMAT=MLN","Sort=A","Dates=H","DateFormat=P","Fill=—","Direction=H","UseDPDF=Y")</f>
        <v>—</v>
      </c>
      <c r="W16" s="13" t="str">
        <f>_xll.BDH("SRPT US Equity","ARD_ACCUMULATED_DEPREC","FQ4 2023","FQ4 2023","Currency=USD","Period=FQ","BEST_FPERIOD_OVERRIDE=FQ","FILING_STATUS=MR","SCALING_FORMAT=MLN","Sort=A","Dates=H","DateFormat=P","Fill=—","Direction=H","UseDPDF=Y")</f>
        <v>—</v>
      </c>
      <c r="X16" s="13" t="str">
        <f>_xll.BDH("SRPT US Equity","ARD_ACCUMULATED_DEPREC","FQ1 2024","FQ1 2024","Currency=USD","Period=FQ","BEST_FPERIOD_OVERRIDE=FQ","FILING_STATUS=MR","SCALING_FORMAT=MLN","Sort=A","Dates=H","DateFormat=P","Fill=—","Direction=H","UseDPDF=Y")</f>
        <v>—</v>
      </c>
      <c r="Y16" s="13" t="str">
        <f>_xll.BDH("SRPT US Equity","ARD_ACCUMULATED_DEPREC","FQ2 2024","FQ2 2024","Currency=USD","Period=FQ","BEST_FPERIOD_OVERRIDE=FQ","FILING_STATUS=MR","SCALING_FORMAT=MLN","Sort=A","Dates=H","DateFormat=P","Fill=—","Direction=H","UseDPDF=Y")</f>
        <v>—</v>
      </c>
      <c r="Z16" s="13" t="str">
        <f>_xll.BDH("SRPT US Equity","ARD_ACCUMULATED_DEPREC","FQ3 2024","FQ3 2024","Currency=USD","Period=FQ","BEST_FPERIOD_OVERRIDE=FQ","FILING_STATUS=MR","SCALING_FORMAT=MLN","Sort=A","Dates=H","DateFormat=P","Fill=—","Direction=H","UseDPDF=Y")</f>
        <v>—</v>
      </c>
      <c r="AA16" s="13" t="str">
        <f>_xll.BDH("SRPT US Equity","ARD_ACCUMULATED_DEPREC","FQ4 2024","FQ4 2024","Currency=USD","Period=FQ","BEST_FPERIOD_OVERRIDE=FQ","FILING_STATUS=MR","SCALING_FORMAT=MLN","Sort=A","Dates=H","DateFormat=P","Fill=—","Direction=H","UseDPDF=Y")</f>
        <v>—</v>
      </c>
    </row>
    <row r="17" spans="1:27" x14ac:dyDescent="0.25">
      <c r="A17" s="10" t="s">
        <v>863</v>
      </c>
      <c r="B17" s="10" t="s">
        <v>864</v>
      </c>
      <c r="C17" s="13">
        <f>_xll.BDH("SRPT US Equity","ARD_PROPERTY_PLANT_EQUIP_NET","FQ4 2018","FQ4 2018","Currency=USD","Period=FQ","BEST_FPERIOD_OVERRIDE=FQ","FILING_STATUS=MR","SCALING_FORMAT=MLN","Sort=A","Dates=H","DateFormat=P","Fill=—","Direction=H","UseDPDF=Y")</f>
        <v>97.024000000000001</v>
      </c>
      <c r="D17" s="13">
        <f>_xll.BDH("SRPT US Equity","ARD_PROPERTY_PLANT_EQUIP_NET","FQ1 2019","FQ1 2019","Currency=USD","Period=FQ","BEST_FPERIOD_OVERRIDE=FQ","FILING_STATUS=MR","SCALING_FORMAT=MLN","Sort=A","Dates=H","DateFormat=P","Fill=—","Direction=H","UseDPDF=Y")</f>
        <v>106.28</v>
      </c>
      <c r="E17" s="13">
        <f>_xll.BDH("SRPT US Equity","ARD_PROPERTY_PLANT_EQUIP_NET","FQ2 2019","FQ2 2019","Currency=USD","Period=FQ","BEST_FPERIOD_OVERRIDE=FQ","FILING_STATUS=MR","SCALING_FORMAT=MLN","Sort=A","Dates=H","DateFormat=P","Fill=—","Direction=H","UseDPDF=Y")</f>
        <v>117.20099999999999</v>
      </c>
      <c r="F17" s="13">
        <f>_xll.BDH("SRPT US Equity","ARD_PROPERTY_PLANT_EQUIP_NET","FQ3 2019","FQ3 2019","Currency=USD","Period=FQ","BEST_FPERIOD_OVERRIDE=FQ","FILING_STATUS=MR","SCALING_FORMAT=MLN","Sort=A","Dates=H","DateFormat=P","Fill=—","Direction=H","UseDPDF=Y")</f>
        <v>119.532</v>
      </c>
      <c r="G17" s="13">
        <f>_xll.BDH("SRPT US Equity","ARD_PROPERTY_PLANT_EQUIP_NET","FQ4 2019","FQ4 2019","Currency=USD","Period=FQ","BEST_FPERIOD_OVERRIDE=FQ","FILING_STATUS=MR","SCALING_FORMAT=MLN","Sort=A","Dates=H","DateFormat=P","Fill=—","Direction=H","UseDPDF=Y")</f>
        <v>129.62</v>
      </c>
      <c r="H17" s="13">
        <f>_xll.BDH("SRPT US Equity","ARD_PROPERTY_PLANT_EQUIP_NET","FQ1 2020","FQ1 2020","Currency=USD","Period=FQ","BEST_FPERIOD_OVERRIDE=FQ","FILING_STATUS=MR","SCALING_FORMAT=MLN","Sort=A","Dates=H","DateFormat=P","Fill=—","Direction=H","UseDPDF=Y")</f>
        <v>137.32499999999999</v>
      </c>
      <c r="I17" s="13">
        <f>_xll.BDH("SRPT US Equity","ARD_PROPERTY_PLANT_EQUIP_NET","FQ2 2020","FQ2 2020","Currency=USD","Period=FQ","BEST_FPERIOD_OVERRIDE=FQ","FILING_STATUS=MR","SCALING_FORMAT=MLN","Sort=A","Dates=H","DateFormat=P","Fill=—","Direction=H","UseDPDF=Y")</f>
        <v>153.34</v>
      </c>
      <c r="J17" s="13">
        <f>_xll.BDH("SRPT US Equity","ARD_PROPERTY_PLANT_EQUIP_NET","FQ3 2020","FQ3 2020","Currency=USD","Period=FQ","BEST_FPERIOD_OVERRIDE=FQ","FILING_STATUS=MR","SCALING_FORMAT=MLN","Sort=A","Dates=H","DateFormat=P","Fill=—","Direction=H","UseDPDF=Y")</f>
        <v>171.715</v>
      </c>
      <c r="K17" s="13">
        <f>_xll.BDH("SRPT US Equity","ARD_PROPERTY_PLANT_EQUIP_NET","FQ4 2020","FQ4 2020","Currency=USD","Period=FQ","BEST_FPERIOD_OVERRIDE=FQ","FILING_STATUS=MR","SCALING_FORMAT=MLN","Sort=A","Dates=H","DateFormat=P","Fill=—","Direction=H","UseDPDF=Y")</f>
        <v>190.43</v>
      </c>
      <c r="L17" s="13">
        <f>_xll.BDH("SRPT US Equity","ARD_PROPERTY_PLANT_EQUIP_NET","FQ1 2021","FQ1 2021","Currency=USD","Period=FQ","BEST_FPERIOD_OVERRIDE=FQ","FILING_STATUS=MR","SCALING_FORMAT=MLN","Sort=A","Dates=H","DateFormat=P","Fill=—","Direction=H","UseDPDF=Y")</f>
        <v>203.107</v>
      </c>
      <c r="M17" s="13">
        <f>_xll.BDH("SRPT US Equity","ARD_PROPERTY_PLANT_EQUIP_NET","FQ2 2021","FQ2 2021","Currency=USD","Period=FQ","BEST_FPERIOD_OVERRIDE=FQ","FILING_STATUS=MR","SCALING_FORMAT=MLN","Sort=A","Dates=H","DateFormat=P","Fill=—","Direction=H","UseDPDF=Y")</f>
        <v>203.33</v>
      </c>
      <c r="N17" s="13">
        <f>_xll.BDH("SRPT US Equity","ARD_PROPERTY_PLANT_EQUIP_NET","FQ3 2021","FQ3 2021","Currency=USD","Period=FQ","BEST_FPERIOD_OVERRIDE=FQ","FILING_STATUS=MR","SCALING_FORMAT=MLN","Sort=A","Dates=H","DateFormat=P","Fill=—","Direction=H","UseDPDF=Y")</f>
        <v>199.249</v>
      </c>
      <c r="O17" s="13">
        <f>_xll.BDH("SRPT US Equity","ARD_PROPERTY_PLANT_EQUIP_NET","FQ4 2021","FQ4 2021","Currency=USD","Period=FQ","BEST_FPERIOD_OVERRIDE=FQ","FILING_STATUS=MR","SCALING_FORMAT=MLN","Sort=A","Dates=H","DateFormat=P","Fill=—","Direction=H","UseDPDF=Y")</f>
        <v>191.15600000000001</v>
      </c>
      <c r="P17" s="13">
        <f>_xll.BDH("SRPT US Equity","ARD_PROPERTY_PLANT_EQUIP_NET","FQ1 2022","FQ1 2022","Currency=USD","Period=FQ","BEST_FPERIOD_OVERRIDE=FQ","FILING_STATUS=MR","SCALING_FORMAT=MLN","Sort=A","Dates=H","DateFormat=P","Fill=—","Direction=H","UseDPDF=Y")</f>
        <v>187.24799999999999</v>
      </c>
      <c r="Q17" s="13">
        <f>_xll.BDH("SRPT US Equity","ARD_PROPERTY_PLANT_EQUIP_NET","FQ2 2022","FQ2 2022","Currency=USD","Period=FQ","BEST_FPERIOD_OVERRIDE=FQ","FILING_STATUS=MR","SCALING_FORMAT=MLN","Sort=A","Dates=H","DateFormat=P","Fill=—","Direction=H","UseDPDF=Y")</f>
        <v>183.292</v>
      </c>
      <c r="R17" s="13">
        <f>_xll.BDH("SRPT US Equity","ARD_PROPERTY_PLANT_EQUIP_NET","FQ3 2022","FQ3 2022","Currency=USD","Period=FQ","BEST_FPERIOD_OVERRIDE=FQ","FILING_STATUS=MR","SCALING_FORMAT=MLN","Sort=A","Dates=H","DateFormat=P","Fill=—","Direction=H","UseDPDF=Y")</f>
        <v>181.005</v>
      </c>
      <c r="S17" s="13">
        <f>_xll.BDH("SRPT US Equity","ARD_PROPERTY_PLANT_EQUIP_NET","FQ4 2022","FQ4 2022","Currency=USD","Period=FQ","BEST_FPERIOD_OVERRIDE=FQ","FILING_STATUS=MR","SCALING_FORMAT=MLN","Sort=A","Dates=H","DateFormat=P","Fill=—","Direction=H","UseDPDF=Y")</f>
        <v>180.03700000000001</v>
      </c>
      <c r="T17" s="13">
        <f>_xll.BDH("SRPT US Equity","ARD_PROPERTY_PLANT_EQUIP_NET","FQ1 2023","FQ1 2023","Currency=USD","Period=FQ","BEST_FPERIOD_OVERRIDE=FQ","FILING_STATUS=MR","SCALING_FORMAT=MLN","Sort=A","Dates=H","DateFormat=P","Fill=—","Direction=H","UseDPDF=Y")</f>
        <v>182.86199999999999</v>
      </c>
      <c r="U17" s="13">
        <f>_xll.BDH("SRPT US Equity","ARD_PROPERTY_PLANT_EQUIP_NET","FQ2 2023","FQ2 2023","Currency=USD","Period=FQ","BEST_FPERIOD_OVERRIDE=FQ","FILING_STATUS=MR","SCALING_FORMAT=MLN","Sort=A","Dates=H","DateFormat=P","Fill=—","Direction=H","UseDPDF=Y")</f>
        <v>188.874</v>
      </c>
      <c r="V17" s="13">
        <f>_xll.BDH("SRPT US Equity","ARD_PROPERTY_PLANT_EQUIP_NET","FQ3 2023","FQ3 2023","Currency=USD","Period=FQ","BEST_FPERIOD_OVERRIDE=FQ","FILING_STATUS=MR","SCALING_FORMAT=MLN","Sort=A","Dates=H","DateFormat=P","Fill=—","Direction=H","UseDPDF=Y")</f>
        <v>212.36699999999999</v>
      </c>
      <c r="W17" s="13">
        <f>_xll.BDH("SRPT US Equity","ARD_PROPERTY_PLANT_EQUIP_NET","FQ4 2023","FQ4 2023","Currency=USD","Period=FQ","BEST_FPERIOD_OVERRIDE=FQ","FILING_STATUS=MR","SCALING_FORMAT=MLN","Sort=A","Dates=H","DateFormat=P","Fill=—","Direction=H","UseDPDF=Y")</f>
        <v>227.154</v>
      </c>
      <c r="X17" s="13">
        <f>_xll.BDH("SRPT US Equity","ARD_PROPERTY_PLANT_EQUIP_NET","FQ1 2024","FQ1 2024","Currency=USD","Period=FQ","BEST_FPERIOD_OVERRIDE=FQ","FILING_STATUS=MR","SCALING_FORMAT=MLN","Sort=A","Dates=H","DateFormat=P","Fill=—","Direction=H","UseDPDF=Y")</f>
        <v>249.30199999999999</v>
      </c>
      <c r="Y17" s="13">
        <f>_xll.BDH("SRPT US Equity","ARD_PROPERTY_PLANT_EQUIP_NET","FQ2 2024","FQ2 2024","Currency=USD","Period=FQ","BEST_FPERIOD_OVERRIDE=FQ","FILING_STATUS=MR","SCALING_FORMAT=MLN","Sort=A","Dates=H","DateFormat=P","Fill=—","Direction=H","UseDPDF=Y")</f>
        <v>276.2</v>
      </c>
      <c r="Z17" s="13">
        <f>_xll.BDH("SRPT US Equity","ARD_PROPERTY_PLANT_EQUIP_NET","FQ3 2024","FQ3 2024","Currency=USD","Period=FQ","BEST_FPERIOD_OVERRIDE=FQ","FILING_STATUS=MR","SCALING_FORMAT=MLN","Sort=A","Dates=H","DateFormat=P","Fill=—","Direction=H","UseDPDF=Y")</f>
        <v>305.78800000000001</v>
      </c>
      <c r="AA17" s="13">
        <f>_xll.BDH("SRPT US Equity","ARD_PROPERTY_PLANT_EQUIP_NET","FQ4 2024","FQ4 2024","Currency=USD","Period=FQ","BEST_FPERIOD_OVERRIDE=FQ","FILING_STATUS=MR","SCALING_FORMAT=MLN","Sort=A","Dates=H","DateFormat=P","Fill=—","Direction=H","UseDPDF=Y")</f>
        <v>340.33600000000001</v>
      </c>
    </row>
    <row r="18" spans="1:27" x14ac:dyDescent="0.25">
      <c r="A18" s="10" t="s">
        <v>865</v>
      </c>
      <c r="B18" s="10" t="s">
        <v>866</v>
      </c>
      <c r="C18" s="13" t="str">
        <f>_xll.BDH("SRPT US Equity","ARD_TOTAL_INTANGIBLE_ASSET_NET","FQ4 2018","FQ4 2018","Currency=USD","Period=FQ","BEST_FPERIOD_OVERRIDE=FQ","FILING_STATUS=MR","SCALING_FORMAT=MLN","Sort=A","Dates=H","DateFormat=P","Fill=—","Direction=H","UseDPDF=Y")</f>
        <v>—</v>
      </c>
      <c r="D18" s="13">
        <f>_xll.BDH("SRPT US Equity","ARD_TOTAL_INTANGIBLE_ASSET_NET","FQ1 2019","FQ1 2019","Currency=USD","Period=FQ","BEST_FPERIOD_OVERRIDE=FQ","FILING_STATUS=MR","SCALING_FORMAT=MLN","Sort=A","Dates=H","DateFormat=P","Fill=—","Direction=H","UseDPDF=Y")</f>
        <v>11.781000000000001</v>
      </c>
      <c r="E18" s="13">
        <f>_xll.BDH("SRPT US Equity","ARD_TOTAL_INTANGIBLE_ASSET_NET","FQ2 2019","FQ2 2019","Currency=USD","Period=FQ","BEST_FPERIOD_OVERRIDE=FQ","FILING_STATUS=MR","SCALING_FORMAT=MLN","Sort=A","Dates=H","DateFormat=P","Fill=—","Direction=H","UseDPDF=Y")</f>
        <v>11.824999999999999</v>
      </c>
      <c r="F18" s="13">
        <f>_xll.BDH("SRPT US Equity","ARD_TOTAL_INTANGIBLE_ASSET_NET","FQ3 2019","FQ3 2019","Currency=USD","Period=FQ","BEST_FPERIOD_OVERRIDE=FQ","FILING_STATUS=MR","SCALING_FORMAT=MLN","Sort=A","Dates=H","DateFormat=P","Fill=—","Direction=H","UseDPDF=Y")</f>
        <v>11.975</v>
      </c>
      <c r="G18" s="13">
        <f>_xll.BDH("SRPT US Equity","ARD_TOTAL_INTANGIBLE_ASSET_NET","FQ4 2019","FQ4 2019","Currency=USD","Period=FQ","BEST_FPERIOD_OVERRIDE=FQ","FILING_STATUS=MR","SCALING_FORMAT=MLN","Sort=A","Dates=H","DateFormat=P","Fill=—","Direction=H","UseDPDF=Y")</f>
        <v>12.497</v>
      </c>
      <c r="H18" s="13">
        <f>_xll.BDH("SRPT US Equity","ARD_TOTAL_INTANGIBLE_ASSET_NET","FQ1 2020","FQ1 2020","Currency=USD","Period=FQ","BEST_FPERIOD_OVERRIDE=FQ","FILING_STATUS=MR","SCALING_FORMAT=MLN","Sort=A","Dates=H","DateFormat=P","Fill=—","Direction=H","UseDPDF=Y")</f>
        <v>12.813000000000001</v>
      </c>
      <c r="I18" s="13">
        <f>_xll.BDH("SRPT US Equity","ARD_TOTAL_INTANGIBLE_ASSET_NET","FQ2 2020","FQ2 2020","Currency=USD","Period=FQ","BEST_FPERIOD_OVERRIDE=FQ","FILING_STATUS=MR","SCALING_FORMAT=MLN","Sort=A","Dates=H","DateFormat=P","Fill=—","Direction=H","UseDPDF=Y")</f>
        <v>13.105</v>
      </c>
      <c r="J18" s="13">
        <f>_xll.BDH("SRPT US Equity","ARD_TOTAL_INTANGIBLE_ASSET_NET","FQ3 2020","FQ3 2020","Currency=USD","Period=FQ","BEST_FPERIOD_OVERRIDE=FQ","FILING_STATUS=MR","SCALING_FORMAT=MLN","Sort=A","Dates=H","DateFormat=P","Fill=—","Direction=H","UseDPDF=Y")</f>
        <v>13.343999999999999</v>
      </c>
      <c r="K18" s="13">
        <f>_xll.BDH("SRPT US Equity","ARD_TOTAL_INTANGIBLE_ASSET_NET","FQ4 2020","FQ4 2020","Currency=USD","Period=FQ","BEST_FPERIOD_OVERRIDE=FQ","FILING_STATUS=MR","SCALING_FORMAT=MLN","Sort=A","Dates=H","DateFormat=P","Fill=—","Direction=H","UseDPDF=Y")</f>
        <v>13.628</v>
      </c>
      <c r="L18" s="13">
        <f>_xll.BDH("SRPT US Equity","ARD_TOTAL_INTANGIBLE_ASSET_NET","FQ1 2021","FQ1 2021","Currency=USD","Period=FQ","BEST_FPERIOD_OVERRIDE=FQ","FILING_STATUS=MR","SCALING_FORMAT=MLN","Sort=A","Dates=H","DateFormat=P","Fill=—","Direction=H","UseDPDF=Y")</f>
        <v>14.124000000000001</v>
      </c>
      <c r="M18" s="13">
        <f>_xll.BDH("SRPT US Equity","ARD_TOTAL_INTANGIBLE_ASSET_NET","FQ2 2021","FQ2 2021","Currency=USD","Period=FQ","BEST_FPERIOD_OVERRIDE=FQ","FILING_STATUS=MR","SCALING_FORMAT=MLN","Sort=A","Dates=H","DateFormat=P","Fill=—","Direction=H","UseDPDF=Y")</f>
        <v>14.105</v>
      </c>
      <c r="N18" s="13">
        <f>_xll.BDH("SRPT US Equity","ARD_TOTAL_INTANGIBLE_ASSET_NET","FQ3 2021","FQ3 2021","Currency=USD","Period=FQ","BEST_FPERIOD_OVERRIDE=FQ","FILING_STATUS=MR","SCALING_FORMAT=MLN","Sort=A","Dates=H","DateFormat=P","Fill=—","Direction=H","UseDPDF=Y")</f>
        <v>14.204000000000001</v>
      </c>
      <c r="O18" s="13">
        <f>_xll.BDH("SRPT US Equity","ARD_TOTAL_INTANGIBLE_ASSET_NET","FQ4 2021","FQ4 2021","Currency=USD","Period=FQ","BEST_FPERIOD_OVERRIDE=FQ","FILING_STATUS=MR","SCALING_FORMAT=MLN","Sort=A","Dates=H","DateFormat=P","Fill=—","Direction=H","UseDPDF=Y")</f>
        <v>14.239000000000001</v>
      </c>
      <c r="P18" s="13">
        <f>_xll.BDH("SRPT US Equity","ARD_TOTAL_INTANGIBLE_ASSET_NET","FQ1 2022","FQ1 2022","Currency=USD","Period=FQ","BEST_FPERIOD_OVERRIDE=FQ","FILING_STATUS=MR","SCALING_FORMAT=MLN","Sort=A","Dates=H","DateFormat=P","Fill=—","Direction=H","UseDPDF=Y")</f>
        <v>13.327999999999999</v>
      </c>
      <c r="Q18" s="13">
        <f>_xll.BDH("SRPT US Equity","ARD_TOTAL_INTANGIBLE_ASSET_NET","FQ2 2022","FQ2 2022","Currency=USD","Period=FQ","BEST_FPERIOD_OVERRIDE=FQ","FILING_STATUS=MR","SCALING_FORMAT=MLN","Sort=A","Dates=H","DateFormat=P","Fill=—","Direction=H","UseDPDF=Y")</f>
        <v>13.061999999999999</v>
      </c>
      <c r="R18" s="13">
        <f>_xll.BDH("SRPT US Equity","ARD_TOTAL_INTANGIBLE_ASSET_NET","FQ3 2022","FQ3 2022","Currency=USD","Period=FQ","BEST_FPERIOD_OVERRIDE=FQ","FILING_STATUS=MR","SCALING_FORMAT=MLN","Sort=A","Dates=H","DateFormat=P","Fill=—","Direction=H","UseDPDF=Y")</f>
        <v>13.057</v>
      </c>
      <c r="S18" s="13">
        <f>_xll.BDH("SRPT US Equity","ARD_TOTAL_INTANGIBLE_ASSET_NET","FQ4 2022","FQ4 2022","Currency=USD","Period=FQ","BEST_FPERIOD_OVERRIDE=FQ","FILING_STATUS=MR","SCALING_FORMAT=MLN","Sort=A","Dates=H","DateFormat=P","Fill=—","Direction=H","UseDPDF=Y")</f>
        <v>7.5780000000000003</v>
      </c>
      <c r="T18" s="13">
        <f>_xll.BDH("SRPT US Equity","ARD_TOTAL_INTANGIBLE_ASSET_NET","FQ1 2023","FQ1 2023","Currency=USD","Period=FQ","BEST_FPERIOD_OVERRIDE=FQ","FILING_STATUS=MR","SCALING_FORMAT=MLN","Sort=A","Dates=H","DateFormat=P","Fill=—","Direction=H","UseDPDF=Y")</f>
        <v>7.1989999999999998</v>
      </c>
      <c r="U18" s="13" t="str">
        <f>_xll.BDH("SRPT US Equity","ARD_TOTAL_INTANGIBLE_ASSET_NET","FQ2 2023","FQ2 2023","Currency=USD","Period=FQ","BEST_FPERIOD_OVERRIDE=FQ","FILING_STATUS=MR","SCALING_FORMAT=MLN","Sort=A","Dates=H","DateFormat=P","Fill=—","Direction=H","UseDPDF=Y")</f>
        <v>—</v>
      </c>
      <c r="V18" s="13" t="str">
        <f>_xll.BDH("SRPT US Equity","ARD_TOTAL_INTANGIBLE_ASSET_NET","FQ3 2023","FQ3 2023","Currency=USD","Period=FQ","BEST_FPERIOD_OVERRIDE=FQ","FILING_STATUS=MR","SCALING_FORMAT=MLN","Sort=A","Dates=H","DateFormat=P","Fill=—","Direction=H","UseDPDF=Y")</f>
        <v>—</v>
      </c>
      <c r="W18" s="13" t="str">
        <f>_xll.BDH("SRPT US Equity","ARD_TOTAL_INTANGIBLE_ASSET_NET","FQ4 2023","FQ4 2023","Currency=USD","Period=FQ","BEST_FPERIOD_OVERRIDE=FQ","FILING_STATUS=MR","SCALING_FORMAT=MLN","Sort=A","Dates=H","DateFormat=P","Fill=—","Direction=H","UseDPDF=Y")</f>
        <v>—</v>
      </c>
      <c r="X18" s="13" t="str">
        <f>_xll.BDH("SRPT US Equity","ARD_TOTAL_INTANGIBLE_ASSET_NET","FQ1 2024","FQ1 2024","Currency=USD","Period=FQ","BEST_FPERIOD_OVERRIDE=FQ","FILING_STATUS=MR","SCALING_FORMAT=MLN","Sort=A","Dates=H","DateFormat=P","Fill=—","Direction=H","UseDPDF=Y")</f>
        <v>—</v>
      </c>
      <c r="Y18" s="13" t="str">
        <f>_xll.BDH("SRPT US Equity","ARD_TOTAL_INTANGIBLE_ASSET_NET","FQ2 2024","FQ2 2024","Currency=USD","Period=FQ","BEST_FPERIOD_OVERRIDE=FQ","FILING_STATUS=MR","SCALING_FORMAT=MLN","Sort=A","Dates=H","DateFormat=P","Fill=—","Direction=H","UseDPDF=Y")</f>
        <v>—</v>
      </c>
      <c r="Z18" s="13" t="str">
        <f>_xll.BDH("SRPT US Equity","ARD_TOTAL_INTANGIBLE_ASSET_NET","FQ3 2024","FQ3 2024","Currency=USD","Period=FQ","BEST_FPERIOD_OVERRIDE=FQ","FILING_STATUS=MR","SCALING_FORMAT=MLN","Sort=A","Dates=H","DateFormat=P","Fill=—","Direction=H","UseDPDF=Y")</f>
        <v>—</v>
      </c>
      <c r="AA18" s="13" t="str">
        <f>_xll.BDH("SRPT US Equity","ARD_TOTAL_INTANGIBLE_ASSET_NET","FQ4 2024","FQ4 2024","Currency=USD","Period=FQ","BEST_FPERIOD_OVERRIDE=FQ","FILING_STATUS=MR","SCALING_FORMAT=MLN","Sort=A","Dates=H","DateFormat=P","Fill=—","Direction=H","UseDPDF=Y")</f>
        <v>—</v>
      </c>
    </row>
    <row r="19" spans="1:27" x14ac:dyDescent="0.25">
      <c r="A19" s="10" t="s">
        <v>867</v>
      </c>
      <c r="B19" s="10" t="s">
        <v>868</v>
      </c>
      <c r="C19" s="13">
        <f>_xll.BDH("SRPT US Equity","ARD_PATENTS_TRADEMRK_COPYRIGHT","FQ4 2018","FQ4 2018","Currency=USD","Period=FQ","BEST_FPERIOD_OVERRIDE=FQ","FILING_STATUS=MR","SCALING_FORMAT=MLN","Sort=A","Dates=H","DateFormat=P","Fill=—","Direction=H","UseDPDF=Y")</f>
        <v>11.574</v>
      </c>
      <c r="D19" s="13" t="str">
        <f>_xll.BDH("SRPT US Equity","ARD_PATENTS_TRADEMRK_COPYRIGHT","FQ1 2019","FQ1 2019","Currency=USD","Period=FQ","BEST_FPERIOD_OVERRIDE=FQ","FILING_STATUS=MR","SCALING_FORMAT=MLN","Sort=A","Dates=H","DateFormat=P","Fill=—","Direction=H","UseDPDF=Y")</f>
        <v>—</v>
      </c>
      <c r="E19" s="13" t="str">
        <f>_xll.BDH("SRPT US Equity","ARD_PATENTS_TRADEMRK_COPYRIGHT","FQ2 2019","FQ2 2019","Currency=USD","Period=FQ","BEST_FPERIOD_OVERRIDE=FQ","FILING_STATUS=MR","SCALING_FORMAT=MLN","Sort=A","Dates=H","DateFormat=P","Fill=—","Direction=H","UseDPDF=Y")</f>
        <v>—</v>
      </c>
      <c r="F19" s="13" t="str">
        <f>_xll.BDH("SRPT US Equity","ARD_PATENTS_TRADEMRK_COPYRIGHT","FQ3 2019","FQ3 2019","Currency=USD","Period=FQ","BEST_FPERIOD_OVERRIDE=FQ","FILING_STATUS=MR","SCALING_FORMAT=MLN","Sort=A","Dates=H","DateFormat=P","Fill=—","Direction=H","UseDPDF=Y")</f>
        <v>—</v>
      </c>
      <c r="G19" s="13" t="str">
        <f>_xll.BDH("SRPT US Equity","ARD_PATENTS_TRADEMRK_COPYRIGHT","FQ4 2019","FQ4 2019","Currency=USD","Period=FQ","BEST_FPERIOD_OVERRIDE=FQ","FILING_STATUS=MR","SCALING_FORMAT=MLN","Sort=A","Dates=H","DateFormat=P","Fill=—","Direction=H","UseDPDF=Y")</f>
        <v>—</v>
      </c>
      <c r="H19" s="13" t="str">
        <f>_xll.BDH("SRPT US Equity","ARD_PATENTS_TRADEMRK_COPYRIGHT","FQ1 2020","FQ1 2020","Currency=USD","Period=FQ","BEST_FPERIOD_OVERRIDE=FQ","FILING_STATUS=MR","SCALING_FORMAT=MLN","Sort=A","Dates=H","DateFormat=P","Fill=—","Direction=H","UseDPDF=Y")</f>
        <v>—</v>
      </c>
      <c r="I19" s="13" t="str">
        <f>_xll.BDH("SRPT US Equity","ARD_PATENTS_TRADEMRK_COPYRIGHT","FQ2 2020","FQ2 2020","Currency=USD","Period=FQ","BEST_FPERIOD_OVERRIDE=FQ","FILING_STATUS=MR","SCALING_FORMAT=MLN","Sort=A","Dates=H","DateFormat=P","Fill=—","Direction=H","UseDPDF=Y")</f>
        <v>—</v>
      </c>
      <c r="J19" s="13" t="str">
        <f>_xll.BDH("SRPT US Equity","ARD_PATENTS_TRADEMRK_COPYRIGHT","FQ3 2020","FQ3 2020","Currency=USD","Period=FQ","BEST_FPERIOD_OVERRIDE=FQ","FILING_STATUS=MR","SCALING_FORMAT=MLN","Sort=A","Dates=H","DateFormat=P","Fill=—","Direction=H","UseDPDF=Y")</f>
        <v>—</v>
      </c>
      <c r="K19" s="13" t="str">
        <f>_xll.BDH("SRPT US Equity","ARD_PATENTS_TRADEMRK_COPYRIGHT","FQ4 2020","FQ4 2020","Currency=USD","Period=FQ","BEST_FPERIOD_OVERRIDE=FQ","FILING_STATUS=MR","SCALING_FORMAT=MLN","Sort=A","Dates=H","DateFormat=P","Fill=—","Direction=H","UseDPDF=Y")</f>
        <v>—</v>
      </c>
      <c r="L19" s="13" t="str">
        <f>_xll.BDH("SRPT US Equity","ARD_PATENTS_TRADEMRK_COPYRIGHT","FQ1 2021","FQ1 2021","Currency=USD","Period=FQ","BEST_FPERIOD_OVERRIDE=FQ","FILING_STATUS=MR","SCALING_FORMAT=MLN","Sort=A","Dates=H","DateFormat=P","Fill=—","Direction=H","UseDPDF=Y")</f>
        <v>—</v>
      </c>
      <c r="M19" s="13" t="str">
        <f>_xll.BDH("SRPT US Equity","ARD_PATENTS_TRADEMRK_COPYRIGHT","FQ2 2021","FQ2 2021","Currency=USD","Period=FQ","BEST_FPERIOD_OVERRIDE=FQ","FILING_STATUS=MR","SCALING_FORMAT=MLN","Sort=A","Dates=H","DateFormat=P","Fill=—","Direction=H","UseDPDF=Y")</f>
        <v>—</v>
      </c>
      <c r="N19" s="13" t="str">
        <f>_xll.BDH("SRPT US Equity","ARD_PATENTS_TRADEMRK_COPYRIGHT","FQ3 2021","FQ3 2021","Currency=USD","Period=FQ","BEST_FPERIOD_OVERRIDE=FQ","FILING_STATUS=MR","SCALING_FORMAT=MLN","Sort=A","Dates=H","DateFormat=P","Fill=—","Direction=H","UseDPDF=Y")</f>
        <v>—</v>
      </c>
      <c r="O19" s="13" t="str">
        <f>_xll.BDH("SRPT US Equity","ARD_PATENTS_TRADEMRK_COPYRIGHT","FQ4 2021","FQ4 2021","Currency=USD","Period=FQ","BEST_FPERIOD_OVERRIDE=FQ","FILING_STATUS=MR","SCALING_FORMAT=MLN","Sort=A","Dates=H","DateFormat=P","Fill=—","Direction=H","UseDPDF=Y")</f>
        <v>—</v>
      </c>
      <c r="P19" s="13" t="str">
        <f>_xll.BDH("SRPT US Equity","ARD_PATENTS_TRADEMRK_COPYRIGHT","FQ1 2022","FQ1 2022","Currency=USD","Period=FQ","BEST_FPERIOD_OVERRIDE=FQ","FILING_STATUS=MR","SCALING_FORMAT=MLN","Sort=A","Dates=H","DateFormat=P","Fill=—","Direction=H","UseDPDF=Y")</f>
        <v>—</v>
      </c>
      <c r="Q19" s="13" t="str">
        <f>_xll.BDH("SRPT US Equity","ARD_PATENTS_TRADEMRK_COPYRIGHT","FQ2 2022","FQ2 2022","Currency=USD","Period=FQ","BEST_FPERIOD_OVERRIDE=FQ","FILING_STATUS=MR","SCALING_FORMAT=MLN","Sort=A","Dates=H","DateFormat=P","Fill=—","Direction=H","UseDPDF=Y")</f>
        <v>—</v>
      </c>
      <c r="R19" s="13" t="str">
        <f>_xll.BDH("SRPT US Equity","ARD_PATENTS_TRADEMRK_COPYRIGHT","FQ3 2022","FQ3 2022","Currency=USD","Period=FQ","BEST_FPERIOD_OVERRIDE=FQ","FILING_STATUS=MR","SCALING_FORMAT=MLN","Sort=A","Dates=H","DateFormat=P","Fill=—","Direction=H","UseDPDF=Y")</f>
        <v>—</v>
      </c>
      <c r="S19" s="13" t="str">
        <f>_xll.BDH("SRPT US Equity","ARD_PATENTS_TRADEMRK_COPYRIGHT","FQ4 2022","FQ4 2022","Currency=USD","Period=FQ","BEST_FPERIOD_OVERRIDE=FQ","FILING_STATUS=MR","SCALING_FORMAT=MLN","Sort=A","Dates=H","DateFormat=P","Fill=—","Direction=H","UseDPDF=Y")</f>
        <v>—</v>
      </c>
      <c r="T19" s="13" t="str">
        <f>_xll.BDH("SRPT US Equity","ARD_PATENTS_TRADEMRK_COPYRIGHT","FQ1 2023","FQ1 2023","Currency=USD","Period=FQ","BEST_FPERIOD_OVERRIDE=FQ","FILING_STATUS=MR","SCALING_FORMAT=MLN","Sort=A","Dates=H","DateFormat=P","Fill=—","Direction=H","UseDPDF=Y")</f>
        <v>—</v>
      </c>
      <c r="U19" s="13" t="str">
        <f>_xll.BDH("SRPT US Equity","ARD_PATENTS_TRADEMRK_COPYRIGHT","FQ2 2023","FQ2 2023","Currency=USD","Period=FQ","BEST_FPERIOD_OVERRIDE=FQ","FILING_STATUS=MR","SCALING_FORMAT=MLN","Sort=A","Dates=H","DateFormat=P","Fill=—","Direction=H","UseDPDF=Y")</f>
        <v>—</v>
      </c>
      <c r="V19" s="13" t="str">
        <f>_xll.BDH("SRPT US Equity","ARD_PATENTS_TRADEMRK_COPYRIGHT","FQ3 2023","FQ3 2023","Currency=USD","Period=FQ","BEST_FPERIOD_OVERRIDE=FQ","FILING_STATUS=MR","SCALING_FORMAT=MLN","Sort=A","Dates=H","DateFormat=P","Fill=—","Direction=H","UseDPDF=Y")</f>
        <v>—</v>
      </c>
      <c r="W19" s="13" t="str">
        <f>_xll.BDH("SRPT US Equity","ARD_PATENTS_TRADEMRK_COPYRIGHT","FQ4 2023","FQ4 2023","Currency=USD","Period=FQ","BEST_FPERIOD_OVERRIDE=FQ","FILING_STATUS=MR","SCALING_FORMAT=MLN","Sort=A","Dates=H","DateFormat=P","Fill=—","Direction=H","UseDPDF=Y")</f>
        <v>—</v>
      </c>
      <c r="X19" s="13" t="str">
        <f>_xll.BDH("SRPT US Equity","ARD_PATENTS_TRADEMRK_COPYRIGHT","FQ1 2024","FQ1 2024","Currency=USD","Period=FQ","BEST_FPERIOD_OVERRIDE=FQ","FILING_STATUS=MR","SCALING_FORMAT=MLN","Sort=A","Dates=H","DateFormat=P","Fill=—","Direction=H","UseDPDF=Y")</f>
        <v>—</v>
      </c>
      <c r="Y19" s="13" t="str">
        <f>_xll.BDH("SRPT US Equity","ARD_PATENTS_TRADEMRK_COPYRIGHT","FQ2 2024","FQ2 2024","Currency=USD","Period=FQ","BEST_FPERIOD_OVERRIDE=FQ","FILING_STATUS=MR","SCALING_FORMAT=MLN","Sort=A","Dates=H","DateFormat=P","Fill=—","Direction=H","UseDPDF=Y")</f>
        <v>—</v>
      </c>
      <c r="Z19" s="13" t="str">
        <f>_xll.BDH("SRPT US Equity","ARD_PATENTS_TRADEMRK_COPYRIGHT","FQ3 2024","FQ3 2024","Currency=USD","Period=FQ","BEST_FPERIOD_OVERRIDE=FQ","FILING_STATUS=MR","SCALING_FORMAT=MLN","Sort=A","Dates=H","DateFormat=P","Fill=—","Direction=H","UseDPDF=Y")</f>
        <v>—</v>
      </c>
      <c r="AA19" s="13" t="str">
        <f>_xll.BDH("SRPT US Equity","ARD_PATENTS_TRADEMRK_COPYRIGHT","FQ4 2024","FQ4 2024","Currency=USD","Period=FQ","BEST_FPERIOD_OVERRIDE=FQ","FILING_STATUS=MR","SCALING_FORMAT=MLN","Sort=A","Dates=H","DateFormat=P","Fill=—","Direction=H","UseDPDF=Y")</f>
        <v>—</v>
      </c>
    </row>
    <row r="20" spans="1:27" x14ac:dyDescent="0.25">
      <c r="A20" s="10" t="s">
        <v>869</v>
      </c>
      <c r="B20" s="10" t="s">
        <v>870</v>
      </c>
      <c r="C20" s="13">
        <f>_xll.BDH("SRPT US Equity","ARD_OTHER_NONCURRENT_ASSET","FQ4 2018","FQ4 2018","Currency=USD","Period=FQ","BEST_FPERIOD_OVERRIDE=FQ","FILING_STATUS=MR","SCALING_FORMAT=MLN","Sort=A","Dates=H","DateFormat=P","Fill=—","Direction=H","UseDPDF=Y")</f>
        <v>107.294</v>
      </c>
      <c r="D20" s="13">
        <f>_xll.BDH("SRPT US Equity","ARD_OTHER_NONCURRENT_ASSET","FQ1 2019","FQ1 2019","Currency=USD","Period=FQ","BEST_FPERIOD_OVERRIDE=FQ","FILING_STATUS=MR","SCALING_FORMAT=MLN","Sort=A","Dates=H","DateFormat=P","Fill=—","Direction=H","UseDPDF=Y")</f>
        <v>133.31299999999999</v>
      </c>
      <c r="E20" s="13">
        <f>_xll.BDH("SRPT US Equity","ARD_OTHER_NONCURRENT_ASSET","FQ2 2019","FQ2 2019","Currency=USD","Period=FQ","BEST_FPERIOD_OVERRIDE=FQ","FILING_STATUS=MR","SCALING_FORMAT=MLN","Sort=A","Dates=H","DateFormat=P","Fill=—","Direction=H","UseDPDF=Y")</f>
        <v>151.86000000000001</v>
      </c>
      <c r="F20" s="13">
        <f>_xll.BDH("SRPT US Equity","ARD_OTHER_NONCURRENT_ASSET","FQ3 2019","FQ3 2019","Currency=USD","Period=FQ","BEST_FPERIOD_OVERRIDE=FQ","FILING_STATUS=MR","SCALING_FORMAT=MLN","Sort=A","Dates=H","DateFormat=P","Fill=—","Direction=H","UseDPDF=Y")</f>
        <v>169.17099999999999</v>
      </c>
      <c r="G20" s="13">
        <f>_xll.BDH("SRPT US Equity","ARD_OTHER_NONCURRENT_ASSET","FQ4 2019","FQ4 2019","Currency=USD","Period=FQ","BEST_FPERIOD_OVERRIDE=FQ","FILING_STATUS=MR","SCALING_FORMAT=MLN","Sort=A","Dates=H","DateFormat=P","Fill=—","Direction=H","UseDPDF=Y")</f>
        <v>173.85900000000001</v>
      </c>
      <c r="H20" s="13">
        <f>_xll.BDH("SRPT US Equity","ARD_OTHER_NONCURRENT_ASSET","FQ1 2020","FQ1 2020","Currency=USD","Period=FQ","BEST_FPERIOD_OVERRIDE=FQ","FILING_STATUS=MR","SCALING_FORMAT=MLN","Sort=A","Dates=H","DateFormat=P","Fill=—","Direction=H","UseDPDF=Y")</f>
        <v>186.80500000000001</v>
      </c>
      <c r="I20" s="13">
        <f>_xll.BDH("SRPT US Equity","ARD_OTHER_NONCURRENT_ASSET","FQ2 2020","FQ2 2020","Currency=USD","Period=FQ","BEST_FPERIOD_OVERRIDE=FQ","FILING_STATUS=MR","SCALING_FORMAT=MLN","Sort=A","Dates=H","DateFormat=P","Fill=—","Direction=H","UseDPDF=Y")</f>
        <v>182.98</v>
      </c>
      <c r="J20" s="13">
        <f>_xll.BDH("SRPT US Equity","ARD_OTHER_NONCURRENT_ASSET","FQ3 2020","FQ3 2020","Currency=USD","Period=FQ","BEST_FPERIOD_OVERRIDE=FQ","FILING_STATUS=MR","SCALING_FORMAT=MLN","Sort=A","Dates=H","DateFormat=P","Fill=—","Direction=H","UseDPDF=Y")</f>
        <v>201.84700000000001</v>
      </c>
      <c r="K20" s="13">
        <f>_xll.BDH("SRPT US Equity","ARD_OTHER_NONCURRENT_ASSET","FQ4 2020","FQ4 2020","Currency=USD","Period=FQ","BEST_FPERIOD_OVERRIDE=FQ","FILING_STATUS=MR","SCALING_FORMAT=MLN","Sort=A","Dates=H","DateFormat=P","Fill=—","Direction=H","UseDPDF=Y")</f>
        <v>203.703</v>
      </c>
      <c r="L20" s="13">
        <f>_xll.BDH("SRPT US Equity","ARD_OTHER_NONCURRENT_ASSET","FQ1 2021","FQ1 2021","Currency=USD","Period=FQ","BEST_FPERIOD_OVERRIDE=FQ","FILING_STATUS=MR","SCALING_FORMAT=MLN","Sort=A","Dates=H","DateFormat=P","Fill=—","Direction=H","UseDPDF=Y")</f>
        <v>211.584</v>
      </c>
      <c r="M20" s="13">
        <f>_xll.BDH("SRPT US Equity","ARD_OTHER_NONCURRENT_ASSET","FQ2 2021","FQ2 2021","Currency=USD","Period=FQ","BEST_FPERIOD_OVERRIDE=FQ","FILING_STATUS=MR","SCALING_FORMAT=MLN","Sort=A","Dates=H","DateFormat=P","Fill=—","Direction=H","UseDPDF=Y")</f>
        <v>203.553</v>
      </c>
      <c r="N20" s="13">
        <f>_xll.BDH("SRPT US Equity","ARD_OTHER_NONCURRENT_ASSET","FQ3 2021","FQ3 2021","Currency=USD","Period=FQ","BEST_FPERIOD_OVERRIDE=FQ","FILING_STATUS=MR","SCALING_FORMAT=MLN","Sort=A","Dates=H","DateFormat=P","Fill=—","Direction=H","UseDPDF=Y")</f>
        <v>190.792</v>
      </c>
      <c r="O20" s="13">
        <f>_xll.BDH("SRPT US Equity","ARD_OTHER_NONCURRENT_ASSET","FQ4 2021","FQ4 2021","Currency=USD","Period=FQ","BEST_FPERIOD_OVERRIDE=FQ","FILING_STATUS=MR","SCALING_FORMAT=MLN","Sort=A","Dates=H","DateFormat=P","Fill=—","Direction=H","UseDPDF=Y")</f>
        <v>163.428</v>
      </c>
      <c r="P20" s="13">
        <f>_xll.BDH("SRPT US Equity","ARD_OTHER_NONCURRENT_ASSET","FQ1 2022","FQ1 2022","Currency=USD","Period=FQ","BEST_FPERIOD_OVERRIDE=FQ","FILING_STATUS=MR","SCALING_FORMAT=MLN","Sort=A","Dates=H","DateFormat=P","Fill=—","Direction=H","UseDPDF=Y")</f>
        <v>278.649</v>
      </c>
      <c r="Q20" s="13">
        <f>_xll.BDH("SRPT US Equity","ARD_OTHER_NONCURRENT_ASSET","FQ2 2022","FQ2 2022","Currency=USD","Period=FQ","BEST_FPERIOD_OVERRIDE=FQ","FILING_STATUS=MR","SCALING_FORMAT=MLN","Sort=A","Dates=H","DateFormat=P","Fill=—","Direction=H","UseDPDF=Y")</f>
        <v>284.2</v>
      </c>
      <c r="R20" s="13">
        <f>_xll.BDH("SRPT US Equity","ARD_OTHER_NONCURRENT_ASSET","FQ3 2022","FQ3 2022","Currency=USD","Period=FQ","BEST_FPERIOD_OVERRIDE=FQ","FILING_STATUS=MR","SCALING_FORMAT=MLN","Sort=A","Dates=H","DateFormat=P","Fill=—","Direction=H","UseDPDF=Y")</f>
        <v>293.12400000000002</v>
      </c>
      <c r="S20" s="13">
        <f>_xll.BDH("SRPT US Equity","ARD_OTHER_NONCURRENT_ASSET","FQ4 2022","FQ4 2022","Currency=USD","Period=FQ","BEST_FPERIOD_OVERRIDE=FQ","FILING_STATUS=MR","SCALING_FORMAT=MLN","Sort=A","Dates=H","DateFormat=P","Fill=—","Direction=H","UseDPDF=Y")</f>
        <v>155.39099999999999</v>
      </c>
      <c r="T20" s="13">
        <f>_xll.BDH("SRPT US Equity","ARD_OTHER_NONCURRENT_ASSET","FQ1 2023","FQ1 2023","Currency=USD","Period=FQ","BEST_FPERIOD_OVERRIDE=FQ","FILING_STATUS=MR","SCALING_FORMAT=MLN","Sort=A","Dates=H","DateFormat=P","Fill=—","Direction=H","UseDPDF=Y")</f>
        <v>155.18799999999999</v>
      </c>
      <c r="U20" s="13">
        <f>_xll.BDH("SRPT US Equity","ARD_OTHER_NONCURRENT_ASSET","FQ2 2023","FQ2 2023","Currency=USD","Period=FQ","BEST_FPERIOD_OVERRIDE=FQ","FILING_STATUS=MR","SCALING_FORMAT=MLN","Sort=A","Dates=H","DateFormat=P","Fill=—","Direction=H","UseDPDF=Y")</f>
        <v>163.03899999999999</v>
      </c>
      <c r="V20" s="13">
        <f>_xll.BDH("SRPT US Equity","ARD_OTHER_NONCURRENT_ASSET","FQ3 2023","FQ3 2023","Currency=USD","Period=FQ","BEST_FPERIOD_OVERRIDE=FQ","FILING_STATUS=MR","SCALING_FORMAT=MLN","Sort=A","Dates=H","DateFormat=P","Fill=—","Direction=H","UseDPDF=Y")</f>
        <v>136.92500000000001</v>
      </c>
      <c r="W20" s="13">
        <f>_xll.BDH("SRPT US Equity","ARD_OTHER_NONCURRENT_ASSET","FQ4 2023","FQ4 2023","Currency=USD","Period=FQ","BEST_FPERIOD_OVERRIDE=FQ","FILING_STATUS=MR","SCALING_FORMAT=MLN","Sort=A","Dates=H","DateFormat=P","Fill=—","Direction=H","UseDPDF=Y")</f>
        <v>136.77099999999999</v>
      </c>
      <c r="X20" s="13">
        <f>_xll.BDH("SRPT US Equity","ARD_OTHER_NONCURRENT_ASSET","FQ1 2024","FQ1 2024","Currency=USD","Period=FQ","BEST_FPERIOD_OVERRIDE=FQ","FILING_STATUS=MR","SCALING_FORMAT=MLN","Sort=A","Dates=H","DateFormat=P","Fill=—","Direction=H","UseDPDF=Y")</f>
        <v>176.40700000000001</v>
      </c>
      <c r="Y20" s="13">
        <f>_xll.BDH("SRPT US Equity","ARD_OTHER_NONCURRENT_ASSET","FQ2 2024","FQ2 2024","Currency=USD","Period=FQ","BEST_FPERIOD_OVERRIDE=FQ","FILING_STATUS=MR","SCALING_FORMAT=MLN","Sort=A","Dates=H","DateFormat=P","Fill=—","Direction=H","UseDPDF=Y")</f>
        <v>135.72900000000001</v>
      </c>
      <c r="Z20" s="13">
        <f>_xll.BDH("SRPT US Equity","ARD_OTHER_NONCURRENT_ASSET","FQ3 2024","FQ3 2024","Currency=USD","Period=FQ","BEST_FPERIOD_OVERRIDE=FQ","FILING_STATUS=MR","SCALING_FORMAT=MLN","Sort=A","Dates=H","DateFormat=P","Fill=—","Direction=H","UseDPDF=Y")</f>
        <v>83.558999999999997</v>
      </c>
      <c r="AA20" s="13">
        <f>_xll.BDH("SRPT US Equity","ARD_OTHER_NONCURRENT_ASSET","FQ4 2024","FQ4 2024","Currency=USD","Period=FQ","BEST_FPERIOD_OVERRIDE=FQ","FILING_STATUS=MR","SCALING_FORMAT=MLN","Sort=A","Dates=H","DateFormat=P","Fill=—","Direction=H","UseDPDF=Y")</f>
        <v>79.915000000000006</v>
      </c>
    </row>
    <row r="21" spans="1:27" x14ac:dyDescent="0.25">
      <c r="A21" s="10" t="s">
        <v>871</v>
      </c>
      <c r="B21" s="10" t="s">
        <v>872</v>
      </c>
      <c r="C21" s="13" t="str">
        <f>_xll.BDH("SRPT US Equity","ARD_TOTAL_NONCURRENT_ASSETS","FQ4 2018","FQ4 2018","Currency=USD","Period=FQ","BEST_FPERIOD_OVERRIDE=FQ","FILING_STATUS=MR","SCALING_FORMAT=MLN","Sort=A","Dates=H","DateFormat=P","Fill=—","Direction=H","UseDPDF=Y")</f>
        <v>—</v>
      </c>
      <c r="D21" s="13" t="str">
        <f>_xll.BDH("SRPT US Equity","ARD_TOTAL_NONCURRENT_ASSETS","FQ1 2019","FQ1 2019","Currency=USD","Period=FQ","BEST_FPERIOD_OVERRIDE=FQ","FILING_STATUS=MR","SCALING_FORMAT=MLN","Sort=A","Dates=H","DateFormat=P","Fill=—","Direction=H","UseDPDF=Y")</f>
        <v>—</v>
      </c>
      <c r="E21" s="13" t="str">
        <f>_xll.BDH("SRPT US Equity","ARD_TOTAL_NONCURRENT_ASSETS","FQ2 2019","FQ2 2019","Currency=USD","Period=FQ","BEST_FPERIOD_OVERRIDE=FQ","FILING_STATUS=MR","SCALING_FORMAT=MLN","Sort=A","Dates=H","DateFormat=P","Fill=—","Direction=H","UseDPDF=Y")</f>
        <v>—</v>
      </c>
      <c r="F21" s="13" t="str">
        <f>_xll.BDH("SRPT US Equity","ARD_TOTAL_NONCURRENT_ASSETS","FQ3 2019","FQ3 2019","Currency=USD","Period=FQ","BEST_FPERIOD_OVERRIDE=FQ","FILING_STATUS=MR","SCALING_FORMAT=MLN","Sort=A","Dates=H","DateFormat=P","Fill=—","Direction=H","UseDPDF=Y")</f>
        <v>—</v>
      </c>
      <c r="G21" s="13" t="str">
        <f>_xll.BDH("SRPT US Equity","ARD_TOTAL_NONCURRENT_ASSETS","FQ4 2019","FQ4 2019","Currency=USD","Period=FQ","BEST_FPERIOD_OVERRIDE=FQ","FILING_STATUS=MR","SCALING_FORMAT=MLN","Sort=A","Dates=H","DateFormat=P","Fill=—","Direction=H","UseDPDF=Y")</f>
        <v>—</v>
      </c>
      <c r="H21" s="13" t="str">
        <f>_xll.BDH("SRPT US Equity","ARD_TOTAL_NONCURRENT_ASSETS","FQ1 2020","FQ1 2020","Currency=USD","Period=FQ","BEST_FPERIOD_OVERRIDE=FQ","FILING_STATUS=MR","SCALING_FORMAT=MLN","Sort=A","Dates=H","DateFormat=P","Fill=—","Direction=H","UseDPDF=Y")</f>
        <v>—</v>
      </c>
      <c r="I21" s="13" t="str">
        <f>_xll.BDH("SRPT US Equity","ARD_TOTAL_NONCURRENT_ASSETS","FQ2 2020","FQ2 2020","Currency=USD","Period=FQ","BEST_FPERIOD_OVERRIDE=FQ","FILING_STATUS=MR","SCALING_FORMAT=MLN","Sort=A","Dates=H","DateFormat=P","Fill=—","Direction=H","UseDPDF=Y")</f>
        <v>—</v>
      </c>
      <c r="J21" s="13" t="str">
        <f>_xll.BDH("SRPT US Equity","ARD_TOTAL_NONCURRENT_ASSETS","FQ3 2020","FQ3 2020","Currency=USD","Period=FQ","BEST_FPERIOD_OVERRIDE=FQ","FILING_STATUS=MR","SCALING_FORMAT=MLN","Sort=A","Dates=H","DateFormat=P","Fill=—","Direction=H","UseDPDF=Y")</f>
        <v>—</v>
      </c>
      <c r="K21" s="13" t="str">
        <f>_xll.BDH("SRPT US Equity","ARD_TOTAL_NONCURRENT_ASSETS","FQ4 2020","FQ4 2020","Currency=USD","Period=FQ","BEST_FPERIOD_OVERRIDE=FQ","FILING_STATUS=MR","SCALING_FORMAT=MLN","Sort=A","Dates=H","DateFormat=P","Fill=—","Direction=H","UseDPDF=Y")</f>
        <v>—</v>
      </c>
      <c r="L21" s="13" t="str">
        <f>_xll.BDH("SRPT US Equity","ARD_TOTAL_NONCURRENT_ASSETS","FQ1 2021","FQ1 2021","Currency=USD","Period=FQ","BEST_FPERIOD_OVERRIDE=FQ","FILING_STATUS=MR","SCALING_FORMAT=MLN","Sort=A","Dates=H","DateFormat=P","Fill=—","Direction=H","UseDPDF=Y")</f>
        <v>—</v>
      </c>
      <c r="M21" s="13" t="str">
        <f>_xll.BDH("SRPT US Equity","ARD_TOTAL_NONCURRENT_ASSETS","FQ2 2021","FQ2 2021","Currency=USD","Period=FQ","BEST_FPERIOD_OVERRIDE=FQ","FILING_STATUS=MR","SCALING_FORMAT=MLN","Sort=A","Dates=H","DateFormat=P","Fill=—","Direction=H","UseDPDF=Y")</f>
        <v>—</v>
      </c>
      <c r="N21" s="13" t="str">
        <f>_xll.BDH("SRPT US Equity","ARD_TOTAL_NONCURRENT_ASSETS","FQ3 2021","FQ3 2021","Currency=USD","Period=FQ","BEST_FPERIOD_OVERRIDE=FQ","FILING_STATUS=MR","SCALING_FORMAT=MLN","Sort=A","Dates=H","DateFormat=P","Fill=—","Direction=H","UseDPDF=Y")</f>
        <v>—</v>
      </c>
      <c r="O21" s="13" t="str">
        <f>_xll.BDH("SRPT US Equity","ARD_TOTAL_NONCURRENT_ASSETS","FQ4 2021","FQ4 2021","Currency=USD","Period=FQ","BEST_FPERIOD_OVERRIDE=FQ","FILING_STATUS=MR","SCALING_FORMAT=MLN","Sort=A","Dates=H","DateFormat=P","Fill=—","Direction=H","UseDPDF=Y")</f>
        <v>—</v>
      </c>
      <c r="P21" s="13">
        <f>_xll.BDH("SRPT US Equity","ARD_TOTAL_NONCURRENT_ASSETS","FQ1 2022","FQ1 2022","Currency=USD","Period=FQ","BEST_FPERIOD_OVERRIDE=FQ","FILING_STATUS=MR","SCALING_FORMAT=MLN","Sort=A","Dates=H","DateFormat=P","Fill=—","Direction=H","UseDPDF=Y")</f>
        <v>525.20699999999999</v>
      </c>
      <c r="Q21" s="13">
        <f>_xll.BDH("SRPT US Equity","ARD_TOTAL_NONCURRENT_ASSETS","FQ2 2022","FQ2 2022","Currency=USD","Period=FQ","BEST_FPERIOD_OVERRIDE=FQ","FILING_STATUS=MR","SCALING_FORMAT=MLN","Sort=A","Dates=H","DateFormat=P","Fill=—","Direction=H","UseDPDF=Y")</f>
        <v>527.553</v>
      </c>
      <c r="R21" s="13">
        <f>_xll.BDH("SRPT US Equity","ARD_TOTAL_NONCURRENT_ASSETS","FQ3 2022","FQ3 2022","Currency=USD","Period=FQ","BEST_FPERIOD_OVERRIDE=FQ","FILING_STATUS=MR","SCALING_FORMAT=MLN","Sort=A","Dates=H","DateFormat=P","Fill=—","Direction=H","UseDPDF=Y")</f>
        <v>530.22</v>
      </c>
      <c r="S21" s="13">
        <f>_xll.BDH("SRPT US Equity","ARD_TOTAL_NONCURRENT_ASSETS","FQ4 2022","FQ4 2022","Currency=USD","Period=FQ","BEST_FPERIOD_OVERRIDE=FQ","FILING_STATUS=MR","SCALING_FORMAT=MLN","Sort=A","Dates=H","DateFormat=P","Fill=—","Direction=H","UseDPDF=Y")</f>
        <v>570.505</v>
      </c>
      <c r="T21" s="13">
        <f>_xll.BDH("SRPT US Equity","ARD_TOTAL_NONCURRENT_ASSETS","FQ1 2023","FQ1 2023","Currency=USD","Period=FQ","BEST_FPERIOD_OVERRIDE=FQ","FILING_STATUS=MR","SCALING_FORMAT=MLN","Sort=A","Dates=H","DateFormat=P","Fill=—","Direction=H","UseDPDF=Y")</f>
        <v>571.40899999999999</v>
      </c>
      <c r="U21" s="13">
        <f>_xll.BDH("SRPT US Equity","ARD_TOTAL_NONCURRENT_ASSETS","FQ2 2023","FQ2 2023","Currency=USD","Period=FQ","BEST_FPERIOD_OVERRIDE=FQ","FILING_STATUS=MR","SCALING_FORMAT=MLN","Sort=A","Dates=H","DateFormat=P","Fill=—","Direction=H","UseDPDF=Y")</f>
        <v>653.27599999999995</v>
      </c>
      <c r="V21" s="13">
        <f>_xll.BDH("SRPT US Equity","ARD_TOTAL_NONCURRENT_ASSETS","FQ3 2023","FQ3 2023","Currency=USD","Period=FQ","BEST_FPERIOD_OVERRIDE=FQ","FILING_STATUS=MR","SCALING_FORMAT=MLN","Sort=A","Dates=H","DateFormat=P","Fill=—","Direction=H","UseDPDF=Y")</f>
        <v>658.85799999999995</v>
      </c>
      <c r="W21" s="13">
        <f>_xll.BDH("SRPT US Equity","ARD_TOTAL_NONCURRENT_ASSETS","FQ4 2023","FQ4 2023","Currency=USD","Period=FQ","BEST_FPERIOD_OVERRIDE=FQ","FILING_STATUS=MR","SCALING_FORMAT=MLN","Sort=A","Dates=H","DateFormat=P","Fill=—","Direction=H","UseDPDF=Y")</f>
        <v>685.245</v>
      </c>
      <c r="X21" s="13">
        <f>_xll.BDH("SRPT US Equity","ARD_TOTAL_NONCURRENT_ASSETS","FQ1 2024","FQ1 2024","Currency=USD","Period=FQ","BEST_FPERIOD_OVERRIDE=FQ","FILING_STATUS=MR","SCALING_FORMAT=MLN","Sort=A","Dates=H","DateFormat=P","Fill=—","Direction=H","UseDPDF=Y")</f>
        <v>759.52</v>
      </c>
      <c r="Y21" s="13">
        <f>_xll.BDH("SRPT US Equity","ARD_TOTAL_NONCURRENT_ASSETS","FQ2 2024","FQ2 2024","Currency=USD","Period=FQ","BEST_FPERIOD_OVERRIDE=FQ","FILING_STATUS=MR","SCALING_FORMAT=MLN","Sort=A","Dates=H","DateFormat=P","Fill=—","Direction=H","UseDPDF=Y")</f>
        <v>740.62099999999998</v>
      </c>
      <c r="Z21" s="13" t="str">
        <f>_xll.BDH("SRPT US Equity","ARD_TOTAL_NONCURRENT_ASSETS","FQ3 2024","FQ3 2024","Currency=USD","Period=FQ","BEST_FPERIOD_OVERRIDE=FQ","FILING_STATUS=MR","SCALING_FORMAT=MLN","Sort=A","Dates=H","DateFormat=P","Fill=—","Direction=H","UseDPDF=Y")</f>
        <v>—</v>
      </c>
      <c r="AA21" s="13" t="str">
        <f>_xll.BDH("SRPT US Equity","ARD_TOTAL_NONCURRENT_ASSETS","FQ4 2024","FQ4 2024","Currency=USD","Period=FQ","BEST_FPERIOD_OVERRIDE=FQ","FILING_STATUS=MR","SCALING_FORMAT=MLN","Sort=A","Dates=H","DateFormat=P","Fill=—","Direction=H","UseDPDF=Y")</f>
        <v>—</v>
      </c>
    </row>
    <row r="22" spans="1:27" x14ac:dyDescent="0.25">
      <c r="A22" s="10" t="s">
        <v>873</v>
      </c>
      <c r="B22" s="10" t="s">
        <v>874</v>
      </c>
      <c r="C22" s="13" t="str">
        <f>_xll.BDH("SRPT US Equity","ARD_INVENTORIES_NONCURRENT","FQ4 2018","FQ4 2018","Currency=USD","Period=FQ","BEST_FPERIOD_OVERRIDE=FQ","FILING_STATUS=MR","SCALING_FORMAT=MLN","Sort=A","Dates=H","DateFormat=P","Fill=—","Direction=H","UseDPDF=Y")</f>
        <v>—</v>
      </c>
      <c r="D22" s="13" t="str">
        <f>_xll.BDH("SRPT US Equity","ARD_INVENTORIES_NONCURRENT","FQ1 2019","FQ1 2019","Currency=USD","Period=FQ","BEST_FPERIOD_OVERRIDE=FQ","FILING_STATUS=MR","SCALING_FORMAT=MLN","Sort=A","Dates=H","DateFormat=P","Fill=—","Direction=H","UseDPDF=Y")</f>
        <v>—</v>
      </c>
      <c r="E22" s="13" t="str">
        <f>_xll.BDH("SRPT US Equity","ARD_INVENTORIES_NONCURRENT","FQ2 2019","FQ2 2019","Currency=USD","Period=FQ","BEST_FPERIOD_OVERRIDE=FQ","FILING_STATUS=MR","SCALING_FORMAT=MLN","Sort=A","Dates=H","DateFormat=P","Fill=—","Direction=H","UseDPDF=Y")</f>
        <v>—</v>
      </c>
      <c r="F22" s="13" t="str">
        <f>_xll.BDH("SRPT US Equity","ARD_INVENTORIES_NONCURRENT","FQ3 2019","FQ3 2019","Currency=USD","Period=FQ","BEST_FPERIOD_OVERRIDE=FQ","FILING_STATUS=MR","SCALING_FORMAT=MLN","Sort=A","Dates=H","DateFormat=P","Fill=—","Direction=H","UseDPDF=Y")</f>
        <v>—</v>
      </c>
      <c r="G22" s="13" t="str">
        <f>_xll.BDH("SRPT US Equity","ARD_INVENTORIES_NONCURRENT","FQ4 2019","FQ4 2019","Currency=USD","Period=FQ","BEST_FPERIOD_OVERRIDE=FQ","FILING_STATUS=MR","SCALING_FORMAT=MLN","Sort=A","Dates=H","DateFormat=P","Fill=—","Direction=H","UseDPDF=Y")</f>
        <v>—</v>
      </c>
      <c r="H22" s="13" t="str">
        <f>_xll.BDH("SRPT US Equity","ARD_INVENTORIES_NONCURRENT","FQ1 2020","FQ1 2020","Currency=USD","Period=FQ","BEST_FPERIOD_OVERRIDE=FQ","FILING_STATUS=MR","SCALING_FORMAT=MLN","Sort=A","Dates=H","DateFormat=P","Fill=—","Direction=H","UseDPDF=Y")</f>
        <v>—</v>
      </c>
      <c r="I22" s="13" t="str">
        <f>_xll.BDH("SRPT US Equity","ARD_INVENTORIES_NONCURRENT","FQ2 2020","FQ2 2020","Currency=USD","Period=FQ","BEST_FPERIOD_OVERRIDE=FQ","FILING_STATUS=MR","SCALING_FORMAT=MLN","Sort=A","Dates=H","DateFormat=P","Fill=—","Direction=H","UseDPDF=Y")</f>
        <v>—</v>
      </c>
      <c r="J22" s="13" t="str">
        <f>_xll.BDH("SRPT US Equity","ARD_INVENTORIES_NONCURRENT","FQ3 2020","FQ3 2020","Currency=USD","Period=FQ","BEST_FPERIOD_OVERRIDE=FQ","FILING_STATUS=MR","SCALING_FORMAT=MLN","Sort=A","Dates=H","DateFormat=P","Fill=—","Direction=H","UseDPDF=Y")</f>
        <v>—</v>
      </c>
      <c r="K22" s="13" t="str">
        <f>_xll.BDH("SRPT US Equity","ARD_INVENTORIES_NONCURRENT","FQ4 2020","FQ4 2020","Currency=USD","Period=FQ","BEST_FPERIOD_OVERRIDE=FQ","FILING_STATUS=MR","SCALING_FORMAT=MLN","Sort=A","Dates=H","DateFormat=P","Fill=—","Direction=H","UseDPDF=Y")</f>
        <v>—</v>
      </c>
      <c r="L22" s="13" t="str">
        <f>_xll.BDH("SRPT US Equity","ARD_INVENTORIES_NONCURRENT","FQ1 2021","FQ1 2021","Currency=USD","Period=FQ","BEST_FPERIOD_OVERRIDE=FQ","FILING_STATUS=MR","SCALING_FORMAT=MLN","Sort=A","Dates=H","DateFormat=P","Fill=—","Direction=H","UseDPDF=Y")</f>
        <v>—</v>
      </c>
      <c r="M22" s="13" t="str">
        <f>_xll.BDH("SRPT US Equity","ARD_INVENTORIES_NONCURRENT","FQ2 2021","FQ2 2021","Currency=USD","Period=FQ","BEST_FPERIOD_OVERRIDE=FQ","FILING_STATUS=MR","SCALING_FORMAT=MLN","Sort=A","Dates=H","DateFormat=P","Fill=—","Direction=H","UseDPDF=Y")</f>
        <v>—</v>
      </c>
      <c r="N22" s="13" t="str">
        <f>_xll.BDH("SRPT US Equity","ARD_INVENTORIES_NONCURRENT","FQ3 2021","FQ3 2021","Currency=USD","Period=FQ","BEST_FPERIOD_OVERRIDE=FQ","FILING_STATUS=MR","SCALING_FORMAT=MLN","Sort=A","Dates=H","DateFormat=P","Fill=—","Direction=H","UseDPDF=Y")</f>
        <v>—</v>
      </c>
      <c r="O22" s="13">
        <f>_xll.BDH("SRPT US Equity","ARD_INVENTORIES_NONCURRENT","FQ4 2021","FQ4 2021","Currency=USD","Period=FQ","BEST_FPERIOD_OVERRIDE=FQ","FILING_STATUS=MR","SCALING_FORMAT=MLN","Sort=A","Dates=H","DateFormat=P","Fill=—","Direction=H","UseDPDF=Y")</f>
        <v>129.52099999999999</v>
      </c>
      <c r="P22" s="13" t="str">
        <f>_xll.BDH("SRPT US Equity","ARD_INVENTORIES_NONCURRENT","FQ1 2022","FQ1 2022","Currency=USD","Period=FQ","BEST_FPERIOD_OVERRIDE=FQ","FILING_STATUS=MR","SCALING_FORMAT=MLN","Sort=A","Dates=H","DateFormat=P","Fill=—","Direction=H","UseDPDF=Y")</f>
        <v>—</v>
      </c>
      <c r="Q22" s="13" t="str">
        <f>_xll.BDH("SRPT US Equity","ARD_INVENTORIES_NONCURRENT","FQ2 2022","FQ2 2022","Currency=USD","Period=FQ","BEST_FPERIOD_OVERRIDE=FQ","FILING_STATUS=MR","SCALING_FORMAT=MLN","Sort=A","Dates=H","DateFormat=P","Fill=—","Direction=H","UseDPDF=Y")</f>
        <v>—</v>
      </c>
      <c r="R22" s="13" t="str">
        <f>_xll.BDH("SRPT US Equity","ARD_INVENTORIES_NONCURRENT","FQ3 2022","FQ3 2022","Currency=USD","Period=FQ","BEST_FPERIOD_OVERRIDE=FQ","FILING_STATUS=MR","SCALING_FORMAT=MLN","Sort=A","Dates=H","DateFormat=P","Fill=—","Direction=H","UseDPDF=Y")</f>
        <v>—</v>
      </c>
      <c r="S22" s="13">
        <f>_xll.BDH("SRPT US Equity","ARD_INVENTORIES_NONCURRENT","FQ4 2022","FQ4 2022","Currency=USD","Period=FQ","BEST_FPERIOD_OVERRIDE=FQ","FILING_STATUS=MR","SCALING_FORMAT=MLN","Sort=A","Dates=H","DateFormat=P","Fill=—","Direction=H","UseDPDF=Y")</f>
        <v>132.55500000000001</v>
      </c>
      <c r="T22" s="13">
        <f>_xll.BDH("SRPT US Equity","ARD_INVENTORIES_NONCURRENT","FQ1 2023","FQ1 2023","Currency=USD","Period=FQ","BEST_FPERIOD_OVERRIDE=FQ","FILING_STATUS=MR","SCALING_FORMAT=MLN","Sort=A","Dates=H","DateFormat=P","Fill=—","Direction=H","UseDPDF=Y")</f>
        <v>164.14400000000001</v>
      </c>
      <c r="U22" s="13">
        <f>_xll.BDH("SRPT US Equity","ARD_INVENTORIES_NONCURRENT","FQ2 2023","FQ2 2023","Currency=USD","Period=FQ","BEST_FPERIOD_OVERRIDE=FQ","FILING_STATUS=MR","SCALING_FORMAT=MLN","Sort=A","Dates=H","DateFormat=P","Fill=—","Direction=H","UseDPDF=Y")</f>
        <v>166.63499999999999</v>
      </c>
      <c r="V22" s="13">
        <f>_xll.BDH("SRPT US Equity","ARD_INVENTORIES_NONCURRENT","FQ3 2023","FQ3 2023","Currency=USD","Period=FQ","BEST_FPERIOD_OVERRIDE=FQ","FILING_STATUS=MR","SCALING_FORMAT=MLN","Sort=A","Dates=H","DateFormat=P","Fill=—","Direction=H","UseDPDF=Y")</f>
        <v>176.11199999999999</v>
      </c>
      <c r="W22" s="13">
        <f>_xll.BDH("SRPT US Equity","ARD_INVENTORIES_NONCURRENT","FQ4 2023","FQ4 2023","Currency=USD","Period=FQ","BEST_FPERIOD_OVERRIDE=FQ","FILING_STATUS=MR","SCALING_FORMAT=MLN","Sort=A","Dates=H","DateFormat=P","Fill=—","Direction=H","UseDPDF=Y")</f>
        <v>191.36799999999999</v>
      </c>
      <c r="X22" s="13">
        <f>_xll.BDH("SRPT US Equity","ARD_INVENTORIES_NONCURRENT","FQ1 2024","FQ1 2024","Currency=USD","Period=FQ","BEST_FPERIOD_OVERRIDE=FQ","FILING_STATUS=MR","SCALING_FORMAT=MLN","Sort=A","Dates=H","DateFormat=P","Fill=—","Direction=H","UseDPDF=Y")</f>
        <v>207.542</v>
      </c>
      <c r="Y22" s="13">
        <f>_xll.BDH("SRPT US Equity","ARD_INVENTORIES_NONCURRENT","FQ2 2024","FQ2 2024","Currency=USD","Period=FQ","BEST_FPERIOD_OVERRIDE=FQ","FILING_STATUS=MR","SCALING_FORMAT=MLN","Sort=A","Dates=H","DateFormat=P","Fill=—","Direction=H","UseDPDF=Y")</f>
        <v>204.691</v>
      </c>
      <c r="Z22" s="13">
        <f>_xll.BDH("SRPT US Equity","ARD_INVENTORIES_NONCURRENT","FQ3 2024","FQ3 2024","Currency=USD","Period=FQ","BEST_FPERIOD_OVERRIDE=FQ","FILING_STATUS=MR","SCALING_FORMAT=MLN","Sort=A","Dates=H","DateFormat=P","Fill=—","Direction=H","UseDPDF=Y")</f>
        <v>202.55</v>
      </c>
      <c r="AA22" s="13">
        <f>_xll.BDH("SRPT US Equity","ARD_INVENTORIES_NONCURRENT","FQ4 2024","FQ4 2024","Currency=USD","Period=FQ","BEST_FPERIOD_OVERRIDE=FQ","FILING_STATUS=MR","SCALING_FORMAT=MLN","Sort=A","Dates=H","DateFormat=P","Fill=—","Direction=H","UseDPDF=Y")</f>
        <v>187.98599999999999</v>
      </c>
    </row>
    <row r="23" spans="1:27" x14ac:dyDescent="0.25">
      <c r="A23" s="6" t="s">
        <v>112</v>
      </c>
      <c r="B23" s="6" t="s">
        <v>875</v>
      </c>
      <c r="C23" s="19">
        <f>_xll.BDH("SRPT US Equity","ARD_TOT_ASSETS","FQ4 2018","FQ4 2018","Currency=USD","Period=FQ","BEST_FPERIOD_OVERRIDE=FQ","FILING_STATUS=MR","SCALING_FORMAT=MLN","Sort=A","Dates=H","DateFormat=P","Fill=—","Direction=H","UseDPDF=Y")</f>
        <v>1642.075</v>
      </c>
      <c r="D23" s="19">
        <f>_xll.BDH("SRPT US Equity","ARD_TOT_ASSETS","FQ1 2019","FQ1 2019","Currency=USD","Period=FQ","BEST_FPERIOD_OVERRIDE=FQ","FILING_STATUS=MR","SCALING_FORMAT=MLN","Sort=A","Dates=H","DateFormat=P","Fill=—","Direction=H","UseDPDF=Y")</f>
        <v>1963.895</v>
      </c>
      <c r="E23" s="19">
        <f>_xll.BDH("SRPT US Equity","ARD_TOT_ASSETS","FQ2 2019","FQ2 2019","Currency=USD","Period=FQ","BEST_FPERIOD_OVERRIDE=FQ","FILING_STATUS=MR","SCALING_FORMAT=MLN","Sort=A","Dates=H","DateFormat=P","Fill=—","Direction=H","UseDPDF=Y")</f>
        <v>1747.7529999999999</v>
      </c>
      <c r="F23" s="19">
        <f>_xll.BDH("SRPT US Equity","ARD_TOT_ASSETS","FQ3 2019","FQ3 2019","Currency=USD","Period=FQ","BEST_FPERIOD_OVERRIDE=FQ","FILING_STATUS=MR","SCALING_FORMAT=MLN","Sort=A","Dates=H","DateFormat=P","Fill=—","Direction=H","UseDPDF=Y")</f>
        <v>1702.47</v>
      </c>
      <c r="G23" s="19">
        <f>_xll.BDH("SRPT US Equity","ARD_TOT_ASSETS","FQ4 2019","FQ4 2019","Currency=USD","Period=FQ","BEST_FPERIOD_OVERRIDE=FQ","FILING_STATUS=MR","SCALING_FORMAT=MLN","Sort=A","Dates=H","DateFormat=P","Fill=—","Direction=H","UseDPDF=Y")</f>
        <v>1822.8219999999999</v>
      </c>
      <c r="H23" s="19">
        <f>_xll.BDH("SRPT US Equity","ARD_TOT_ASSETS","FQ1 2020","FQ1 2020","Currency=USD","Period=FQ","BEST_FPERIOD_OVERRIDE=FQ","FILING_STATUS=MR","SCALING_FORMAT=MLN","Sort=A","Dates=H","DateFormat=P","Fill=—","Direction=H","UseDPDF=Y")</f>
        <v>2947.3879999999999</v>
      </c>
      <c r="I23" s="19">
        <f>_xll.BDH("SRPT US Equity","ARD_TOT_ASSETS","FQ2 2020","FQ2 2020","Currency=USD","Period=FQ","BEST_FPERIOD_OVERRIDE=FQ","FILING_STATUS=MR","SCALING_FORMAT=MLN","Sort=A","Dates=H","DateFormat=P","Fill=—","Direction=H","UseDPDF=Y")</f>
        <v>2883.0430000000001</v>
      </c>
      <c r="J23" s="19">
        <f>_xll.BDH("SRPT US Equity","ARD_TOT_ASSETS","FQ3 2020","FQ3 2020","Currency=USD","Period=FQ","BEST_FPERIOD_OVERRIDE=FQ","FILING_STATUS=MR","SCALING_FORMAT=MLN","Sort=A","Dates=H","DateFormat=P","Fill=—","Direction=H","UseDPDF=Y")</f>
        <v>2780.6640000000002</v>
      </c>
      <c r="K23" s="19">
        <f>_xll.BDH("SRPT US Equity","ARD_TOT_ASSETS","FQ4 2020","FQ4 2020","Currency=USD","Period=FQ","BEST_FPERIOD_OVERRIDE=FQ","FILING_STATUS=MR","SCALING_FORMAT=MLN","Sort=A","Dates=H","DateFormat=P","Fill=—","Direction=H","UseDPDF=Y")</f>
        <v>2984.7179999999998</v>
      </c>
      <c r="L23" s="19">
        <f>_xll.BDH("SRPT US Equity","ARD_TOT_ASSETS","FQ1 2021","FQ1 2021","Currency=USD","Period=FQ","BEST_FPERIOD_OVERRIDE=FQ","FILING_STATUS=MR","SCALING_FORMAT=MLN","Sort=A","Dates=H","DateFormat=P","Fill=—","Direction=H","UseDPDF=Y")</f>
        <v>2765.2330000000002</v>
      </c>
      <c r="M23" s="19">
        <f>_xll.BDH("SRPT US Equity","ARD_TOT_ASSETS","FQ2 2021","FQ2 2021","Currency=USD","Period=FQ","BEST_FPERIOD_OVERRIDE=FQ","FILING_STATUS=MR","SCALING_FORMAT=MLN","Sort=A","Dates=H","DateFormat=P","Fill=—","Direction=H","UseDPDF=Y")</f>
        <v>2759.0729999999999</v>
      </c>
      <c r="N23" s="19">
        <f>_xll.BDH("SRPT US Equity","ARD_TOT_ASSETS","FQ3 2021","FQ3 2021","Currency=USD","Period=FQ","BEST_FPERIOD_OVERRIDE=FQ","FILING_STATUS=MR","SCALING_FORMAT=MLN","Sort=A","Dates=H","DateFormat=P","Fill=—","Direction=H","UseDPDF=Y")</f>
        <v>2662.2179999999998</v>
      </c>
      <c r="O23" s="19">
        <f>_xll.BDH("SRPT US Equity","ARD_TOT_ASSETS","FQ4 2021","FQ4 2021","Currency=USD","Period=FQ","BEST_FPERIOD_OVERRIDE=FQ","FILING_STATUS=MR","SCALING_FORMAT=MLN","Sort=A","Dates=H","DateFormat=P","Fill=—","Direction=H","UseDPDF=Y")</f>
        <v>3147.9740000000002</v>
      </c>
      <c r="P23" s="19">
        <f>_xll.BDH("SRPT US Equity","ARD_TOT_ASSETS","FQ1 2022","FQ1 2022","Currency=USD","Period=FQ","BEST_FPERIOD_OVERRIDE=FQ","FILING_STATUS=MR","SCALING_FORMAT=MLN","Sort=A","Dates=H","DateFormat=P","Fill=—","Direction=H","UseDPDF=Y")</f>
        <v>3056.154</v>
      </c>
      <c r="Q23" s="19">
        <f>_xll.BDH("SRPT US Equity","ARD_TOT_ASSETS","FQ2 2022","FQ2 2022","Currency=USD","Period=FQ","BEST_FPERIOD_OVERRIDE=FQ","FILING_STATUS=MR","SCALING_FORMAT=MLN","Sort=A","Dates=H","DateFormat=P","Fill=—","Direction=H","UseDPDF=Y")</f>
        <v>2996.8530000000001</v>
      </c>
      <c r="R23" s="19">
        <f>_xll.BDH("SRPT US Equity","ARD_TOT_ASSETS","FQ3 2022","FQ3 2022","Currency=USD","Period=FQ","BEST_FPERIOD_OVERRIDE=FQ","FILING_STATUS=MR","SCALING_FORMAT=MLN","Sort=A","Dates=H","DateFormat=P","Fill=—","Direction=H","UseDPDF=Y")</f>
        <v>3156.1489999999999</v>
      </c>
      <c r="S23" s="19">
        <f>_xll.BDH("SRPT US Equity","ARD_TOT_ASSETS","FQ4 2022","FQ4 2022","Currency=USD","Period=FQ","BEST_FPERIOD_OVERRIDE=FQ","FILING_STATUS=MR","SCALING_FORMAT=MLN","Sort=A","Dates=H","DateFormat=P","Fill=—","Direction=H","UseDPDF=Y")</f>
        <v>3128.366</v>
      </c>
      <c r="T23" s="19">
        <f>_xll.BDH("SRPT US Equity","ARD_TOT_ASSETS","FQ1 2023","FQ1 2023","Currency=USD","Period=FQ","BEST_FPERIOD_OVERRIDE=FQ","FILING_STATUS=MR","SCALING_FORMAT=MLN","Sort=A","Dates=H","DateFormat=P","Fill=—","Direction=H","UseDPDF=Y")</f>
        <v>3059.7860000000001</v>
      </c>
      <c r="U23" s="19">
        <f>_xll.BDH("SRPT US Equity","ARD_TOT_ASSETS","FQ2 2023","FQ2 2023","Currency=USD","Period=FQ","BEST_FPERIOD_OVERRIDE=FQ","FILING_STATUS=MR","SCALING_FORMAT=MLN","Sort=A","Dates=H","DateFormat=P","Fill=—","Direction=H","UseDPDF=Y")</f>
        <v>3125.89</v>
      </c>
      <c r="V23" s="19">
        <f>_xll.BDH("SRPT US Equity","ARD_TOT_ASSETS","FQ3 2023","FQ3 2023","Currency=USD","Period=FQ","BEST_FPERIOD_OVERRIDE=FQ","FILING_STATUS=MR","SCALING_FORMAT=MLN","Sort=A","Dates=H","DateFormat=P","Fill=—","Direction=H","UseDPDF=Y")</f>
        <v>3109.7069999999999</v>
      </c>
      <c r="W23" s="19">
        <f>_xll.BDH("SRPT US Equity","ARD_TOT_ASSETS","FQ4 2023","FQ4 2023","Currency=USD","Period=FQ","BEST_FPERIOD_OVERRIDE=FQ","FILING_STATUS=MR","SCALING_FORMAT=MLN","Sort=A","Dates=H","DateFormat=P","Fill=—","Direction=H","UseDPDF=Y")</f>
        <v>3264.576</v>
      </c>
      <c r="X23" s="19">
        <f>_xll.BDH("SRPT US Equity","ARD_TOT_ASSETS","FQ1 2024","FQ1 2024","Currency=USD","Period=FQ","BEST_FPERIOD_OVERRIDE=FQ","FILING_STATUS=MR","SCALING_FORMAT=MLN","Sort=A","Dates=H","DateFormat=P","Fill=—","Direction=H","UseDPDF=Y")</f>
        <v>3224.3850000000002</v>
      </c>
      <c r="Y23" s="19">
        <f>_xll.BDH("SRPT US Equity","ARD_TOT_ASSETS","FQ2 2024","FQ2 2024","Currency=USD","Period=FQ","BEST_FPERIOD_OVERRIDE=FQ","FILING_STATUS=MR","SCALING_FORMAT=MLN","Sort=A","Dates=H","DateFormat=P","Fill=—","Direction=H","UseDPDF=Y")</f>
        <v>3424.2570000000001</v>
      </c>
      <c r="Z23" s="19">
        <f>_xll.BDH("SRPT US Equity","ARD_TOT_ASSETS","FQ3 2024","FQ3 2024","Currency=USD","Period=FQ","BEST_FPERIOD_OVERRIDE=FQ","FILING_STATUS=MR","SCALING_FORMAT=MLN","Sort=A","Dates=H","DateFormat=P","Fill=—","Direction=H","UseDPDF=Y")</f>
        <v>3599.9340000000002</v>
      </c>
      <c r="AA23" s="19">
        <f>_xll.BDH("SRPT US Equity","ARD_TOT_ASSETS","FQ4 2024","FQ4 2024","Currency=USD","Period=FQ","BEST_FPERIOD_OVERRIDE=FQ","FILING_STATUS=MR","SCALING_FORMAT=MLN","Sort=A","Dates=H","DateFormat=P","Fill=—","Direction=H","UseDPDF=Y")</f>
        <v>3963.1729999999998</v>
      </c>
    </row>
    <row r="24" spans="1:27" x14ac:dyDescent="0.25">
      <c r="A24" s="10" t="s">
        <v>876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5">
      <c r="A25" s="10" t="s">
        <v>877</v>
      </c>
      <c r="B25" s="10" t="s">
        <v>878</v>
      </c>
      <c r="C25" s="13">
        <f>_xll.BDH("SRPT US Equity","ARD_ACCOUNTS_PAYABLE_TRADE","FQ4 2018","FQ4 2018","Currency=USD","Period=FQ","BEST_FPERIOD_OVERRIDE=FQ","FILING_STATUS=MR","SCALING_FORMAT=MLN","Sort=A","Dates=H","DateFormat=P","Fill=—","Direction=H","UseDPDF=Y")</f>
        <v>33.829000000000001</v>
      </c>
      <c r="D25" s="13">
        <f>_xll.BDH("SRPT US Equity","ARD_ACCOUNTS_PAYABLE_TRADE","FQ1 2019","FQ1 2019","Currency=USD","Period=FQ","BEST_FPERIOD_OVERRIDE=FQ","FILING_STATUS=MR","SCALING_FORMAT=MLN","Sort=A","Dates=H","DateFormat=P","Fill=—","Direction=H","UseDPDF=Y")</f>
        <v>26.498999999999999</v>
      </c>
      <c r="E25" s="13">
        <f>_xll.BDH("SRPT US Equity","ARD_ACCOUNTS_PAYABLE_TRADE","FQ2 2019","FQ2 2019","Currency=USD","Period=FQ","BEST_FPERIOD_OVERRIDE=FQ","FILING_STATUS=MR","SCALING_FORMAT=MLN","Sort=A","Dates=H","DateFormat=P","Fill=—","Direction=H","UseDPDF=Y")</f>
        <v>44.045000000000002</v>
      </c>
      <c r="F25" s="13">
        <f>_xll.BDH("SRPT US Equity","ARD_ACCOUNTS_PAYABLE_TRADE","FQ3 2019","FQ3 2019","Currency=USD","Period=FQ","BEST_FPERIOD_OVERRIDE=FQ","FILING_STATUS=MR","SCALING_FORMAT=MLN","Sort=A","Dates=H","DateFormat=P","Fill=—","Direction=H","UseDPDF=Y")</f>
        <v>81.945999999999998</v>
      </c>
      <c r="G25" s="13">
        <f>_xll.BDH("SRPT US Equity","ARD_ACCOUNTS_PAYABLE_TRADE","FQ4 2019","FQ4 2019","Currency=USD","Period=FQ","BEST_FPERIOD_OVERRIDE=FQ","FILING_STATUS=MR","SCALING_FORMAT=MLN","Sort=A","Dates=H","DateFormat=P","Fill=—","Direction=H","UseDPDF=Y")</f>
        <v>68.093999999999994</v>
      </c>
      <c r="H25" s="13">
        <f>_xll.BDH("SRPT US Equity","ARD_ACCOUNTS_PAYABLE_TRADE","FQ1 2020","FQ1 2020","Currency=USD","Period=FQ","BEST_FPERIOD_OVERRIDE=FQ","FILING_STATUS=MR","SCALING_FORMAT=MLN","Sort=A","Dates=H","DateFormat=P","Fill=—","Direction=H","UseDPDF=Y")</f>
        <v>26.594999999999999</v>
      </c>
      <c r="I25" s="13">
        <f>_xll.BDH("SRPT US Equity","ARD_ACCOUNTS_PAYABLE_TRADE","FQ2 2020","FQ2 2020","Currency=USD","Period=FQ","BEST_FPERIOD_OVERRIDE=FQ","FILING_STATUS=MR","SCALING_FORMAT=MLN","Sort=A","Dates=H","DateFormat=P","Fill=—","Direction=H","UseDPDF=Y")</f>
        <v>91.66</v>
      </c>
      <c r="J25" s="13">
        <f>_xll.BDH("SRPT US Equity","ARD_ACCOUNTS_PAYABLE_TRADE","FQ3 2020","FQ3 2020","Currency=USD","Period=FQ","BEST_FPERIOD_OVERRIDE=FQ","FILING_STATUS=MR","SCALING_FORMAT=MLN","Sort=A","Dates=H","DateFormat=P","Fill=—","Direction=H","UseDPDF=Y")</f>
        <v>74.528000000000006</v>
      </c>
      <c r="K25" s="13">
        <f>_xll.BDH("SRPT US Equity","ARD_ACCOUNTS_PAYABLE_TRADE","FQ4 2020","FQ4 2020","Currency=USD","Period=FQ","BEST_FPERIOD_OVERRIDE=FQ","FILING_STATUS=MR","SCALING_FORMAT=MLN","Sort=A","Dates=H","DateFormat=P","Fill=—","Direction=H","UseDPDF=Y")</f>
        <v>111.09</v>
      </c>
      <c r="L25" s="13">
        <f>_xll.BDH("SRPT US Equity","ARD_ACCOUNTS_PAYABLE_TRADE","FQ1 2021","FQ1 2021","Currency=USD","Period=FQ","BEST_FPERIOD_OVERRIDE=FQ","FILING_STATUS=MR","SCALING_FORMAT=MLN","Sort=A","Dates=H","DateFormat=P","Fill=—","Direction=H","UseDPDF=Y")</f>
        <v>76.650999999999996</v>
      </c>
      <c r="M25" s="13">
        <f>_xll.BDH("SRPT US Equity","ARD_ACCOUNTS_PAYABLE_TRADE","FQ2 2021","FQ2 2021","Currency=USD","Period=FQ","BEST_FPERIOD_OVERRIDE=FQ","FILING_STATUS=MR","SCALING_FORMAT=MLN","Sort=A","Dates=H","DateFormat=P","Fill=—","Direction=H","UseDPDF=Y")</f>
        <v>76.680999999999997</v>
      </c>
      <c r="N25" s="13">
        <f>_xll.BDH("SRPT US Equity","ARD_ACCOUNTS_PAYABLE_TRADE","FQ3 2021","FQ3 2021","Currency=USD","Period=FQ","BEST_FPERIOD_OVERRIDE=FQ","FILING_STATUS=MR","SCALING_FORMAT=MLN","Sort=A","Dates=H","DateFormat=P","Fill=—","Direction=H","UseDPDF=Y")</f>
        <v>44.162999999999997</v>
      </c>
      <c r="O25" s="13">
        <f>_xll.BDH("SRPT US Equity","ARD_ACCOUNTS_PAYABLE_TRADE","FQ4 2021","FQ4 2021","Currency=USD","Period=FQ","BEST_FPERIOD_OVERRIDE=FQ","FILING_STATUS=MR","SCALING_FORMAT=MLN","Sort=A","Dates=H","DateFormat=P","Fill=—","Direction=H","UseDPDF=Y")</f>
        <v>76.741</v>
      </c>
      <c r="P25" s="13">
        <f>_xll.BDH("SRPT US Equity","ARD_ACCOUNTS_PAYABLE_TRADE","FQ1 2022","FQ1 2022","Currency=USD","Period=FQ","BEST_FPERIOD_OVERRIDE=FQ","FILING_STATUS=MR","SCALING_FORMAT=MLN","Sort=A","Dates=H","DateFormat=P","Fill=—","Direction=H","UseDPDF=Y")</f>
        <v>54.006999999999998</v>
      </c>
      <c r="Q25" s="13">
        <f>_xll.BDH("SRPT US Equity","ARD_ACCOUNTS_PAYABLE_TRADE","FQ2 2022","FQ2 2022","Currency=USD","Period=FQ","BEST_FPERIOD_OVERRIDE=FQ","FILING_STATUS=MR","SCALING_FORMAT=MLN","Sort=A","Dates=H","DateFormat=P","Fill=—","Direction=H","UseDPDF=Y")</f>
        <v>56.207000000000001</v>
      </c>
      <c r="R25" s="13">
        <f>_xll.BDH("SRPT US Equity","ARD_ACCOUNTS_PAYABLE_TRADE","FQ3 2022","FQ3 2022","Currency=USD","Period=FQ","BEST_FPERIOD_OVERRIDE=FQ","FILING_STATUS=MR","SCALING_FORMAT=MLN","Sort=A","Dates=H","DateFormat=P","Fill=—","Direction=H","UseDPDF=Y")</f>
        <v>118.461</v>
      </c>
      <c r="S25" s="13">
        <f>_xll.BDH("SRPT US Equity","ARD_ACCOUNTS_PAYABLE_TRADE","FQ4 2022","FQ4 2022","Currency=USD","Period=FQ","BEST_FPERIOD_OVERRIDE=FQ","FILING_STATUS=MR","SCALING_FORMAT=MLN","Sort=A","Dates=H","DateFormat=P","Fill=—","Direction=H","UseDPDF=Y")</f>
        <v>95.875</v>
      </c>
      <c r="T25" s="13">
        <f>_xll.BDH("SRPT US Equity","ARD_ACCOUNTS_PAYABLE_TRADE","FQ1 2023","FQ1 2023","Currency=USD","Period=FQ","BEST_FPERIOD_OVERRIDE=FQ","FILING_STATUS=MR","SCALING_FORMAT=MLN","Sort=A","Dates=H","DateFormat=P","Fill=—","Direction=H","UseDPDF=Y")</f>
        <v>106.71</v>
      </c>
      <c r="U25" s="13">
        <f>_xll.BDH("SRPT US Equity","ARD_ACCOUNTS_PAYABLE_TRADE","FQ2 2023","FQ2 2023","Currency=USD","Period=FQ","BEST_FPERIOD_OVERRIDE=FQ","FILING_STATUS=MR","SCALING_FORMAT=MLN","Sort=A","Dates=H","DateFormat=P","Fill=—","Direction=H","UseDPDF=Y")</f>
        <v>109.79600000000001</v>
      </c>
      <c r="V25" s="13">
        <f>_xll.BDH("SRPT US Equity","ARD_ACCOUNTS_PAYABLE_TRADE","FQ3 2023","FQ3 2023","Currency=USD","Period=FQ","BEST_FPERIOD_OVERRIDE=FQ","FILING_STATUS=MR","SCALING_FORMAT=MLN","Sort=A","Dates=H","DateFormat=P","Fill=—","Direction=H","UseDPDF=Y")</f>
        <v>87.947999999999993</v>
      </c>
      <c r="W25" s="13">
        <f>_xll.BDH("SRPT US Equity","ARD_ACCOUNTS_PAYABLE_TRADE","FQ4 2023","FQ4 2023","Currency=USD","Period=FQ","BEST_FPERIOD_OVERRIDE=FQ","FILING_STATUS=MR","SCALING_FORMAT=MLN","Sort=A","Dates=H","DateFormat=P","Fill=—","Direction=H","UseDPDF=Y")</f>
        <v>164.91800000000001</v>
      </c>
      <c r="X25" s="13">
        <f>_xll.BDH("SRPT US Equity","ARD_ACCOUNTS_PAYABLE_TRADE","FQ1 2024","FQ1 2024","Currency=USD","Period=FQ","BEST_FPERIOD_OVERRIDE=FQ","FILING_STATUS=MR","SCALING_FORMAT=MLN","Sort=A","Dates=H","DateFormat=P","Fill=—","Direction=H","UseDPDF=Y")</f>
        <v>91.536000000000001</v>
      </c>
      <c r="Y25" s="13">
        <f>_xll.BDH("SRPT US Equity","ARD_ACCOUNTS_PAYABLE_TRADE","FQ2 2024","FQ2 2024","Currency=USD","Period=FQ","BEST_FPERIOD_OVERRIDE=FQ","FILING_STATUS=MR","SCALING_FORMAT=MLN","Sort=A","Dates=H","DateFormat=P","Fill=—","Direction=H","UseDPDF=Y")</f>
        <v>107.417</v>
      </c>
      <c r="Z25" s="13">
        <f>_xll.BDH("SRPT US Equity","ARD_ACCOUNTS_PAYABLE_TRADE","FQ3 2024","FQ3 2024","Currency=USD","Period=FQ","BEST_FPERIOD_OVERRIDE=FQ","FILING_STATUS=MR","SCALING_FORMAT=MLN","Sort=A","Dates=H","DateFormat=P","Fill=—","Direction=H","UseDPDF=Y")</f>
        <v>118.774</v>
      </c>
      <c r="AA25" s="13">
        <f>_xll.BDH("SRPT US Equity","ARD_ACCOUNTS_PAYABLE_TRADE","FQ4 2024","FQ4 2024","Currency=USD","Period=FQ","BEST_FPERIOD_OVERRIDE=FQ","FILING_STATUS=MR","SCALING_FORMAT=MLN","Sort=A","Dates=H","DateFormat=P","Fill=—","Direction=H","UseDPDF=Y")</f>
        <v>214.44200000000001</v>
      </c>
    </row>
    <row r="26" spans="1:27" x14ac:dyDescent="0.25">
      <c r="A26" s="10" t="s">
        <v>879</v>
      </c>
      <c r="B26" s="10" t="s">
        <v>880</v>
      </c>
      <c r="C26" s="13">
        <f>_xll.BDH("SRPT US Equity","ARD_CURRENT_PORTION_OF_LT_DEBT","FQ4 2018","FQ4 2018","Currency=USD","Period=FQ","BEST_FPERIOD_OVERRIDE=FQ","FILING_STATUS=MR","SCALING_FORMAT=MLN","Sort=A","Dates=H","DateFormat=P","Fill=—","Direction=H","UseDPDF=Y")</f>
        <v>0</v>
      </c>
      <c r="D26" s="13" t="str">
        <f>_xll.BDH("SRPT US Equity","ARD_CURRENT_PORTION_OF_LT_DEBT","FQ1 2019","FQ1 2019","Currency=USD","Period=FQ","BEST_FPERIOD_OVERRIDE=FQ","FILING_STATUS=MR","SCALING_FORMAT=MLN","Sort=A","Dates=H","DateFormat=P","Fill=—","Direction=H","UseDPDF=Y")</f>
        <v>—</v>
      </c>
      <c r="E26" s="13" t="str">
        <f>_xll.BDH("SRPT US Equity","ARD_CURRENT_PORTION_OF_LT_DEBT","FQ2 2019","FQ2 2019","Currency=USD","Period=FQ","BEST_FPERIOD_OVERRIDE=FQ","FILING_STATUS=MR","SCALING_FORMAT=MLN","Sort=A","Dates=H","DateFormat=P","Fill=—","Direction=H","UseDPDF=Y")</f>
        <v>—</v>
      </c>
      <c r="F26" s="13" t="str">
        <f>_xll.BDH("SRPT US Equity","ARD_CURRENT_PORTION_OF_LT_DEBT","FQ3 2019","FQ3 2019","Currency=USD","Period=FQ","BEST_FPERIOD_OVERRIDE=FQ","FILING_STATUS=MR","SCALING_FORMAT=MLN","Sort=A","Dates=H","DateFormat=P","Fill=—","Direction=H","UseDPDF=Y")</f>
        <v>—</v>
      </c>
      <c r="G26" s="13" t="str">
        <f>_xll.BDH("SRPT US Equity","ARD_CURRENT_PORTION_OF_LT_DEBT","FQ4 2019","FQ4 2019","Currency=USD","Period=FQ","BEST_FPERIOD_OVERRIDE=FQ","FILING_STATUS=MR","SCALING_FORMAT=MLN","Sort=A","Dates=H","DateFormat=P","Fill=—","Direction=H","UseDPDF=Y")</f>
        <v>—</v>
      </c>
      <c r="H26" s="13" t="str">
        <f>_xll.BDH("SRPT US Equity","ARD_CURRENT_PORTION_OF_LT_DEBT","FQ1 2020","FQ1 2020","Currency=USD","Period=FQ","BEST_FPERIOD_OVERRIDE=FQ","FILING_STATUS=MR","SCALING_FORMAT=MLN","Sort=A","Dates=H","DateFormat=P","Fill=—","Direction=H","UseDPDF=Y")</f>
        <v>—</v>
      </c>
      <c r="I26" s="13" t="str">
        <f>_xll.BDH("SRPT US Equity","ARD_CURRENT_PORTION_OF_LT_DEBT","FQ2 2020","FQ2 2020","Currency=USD","Period=FQ","BEST_FPERIOD_OVERRIDE=FQ","FILING_STATUS=MR","SCALING_FORMAT=MLN","Sort=A","Dates=H","DateFormat=P","Fill=—","Direction=H","UseDPDF=Y")</f>
        <v>—</v>
      </c>
      <c r="J26" s="13" t="str">
        <f>_xll.BDH("SRPT US Equity","ARD_CURRENT_PORTION_OF_LT_DEBT","FQ3 2020","FQ3 2020","Currency=USD","Period=FQ","BEST_FPERIOD_OVERRIDE=FQ","FILING_STATUS=MR","SCALING_FORMAT=MLN","Sort=A","Dates=H","DateFormat=P","Fill=—","Direction=H","UseDPDF=Y")</f>
        <v>—</v>
      </c>
      <c r="K26" s="13" t="str">
        <f>_xll.BDH("SRPT US Equity","ARD_CURRENT_PORTION_OF_LT_DEBT","FQ4 2020","FQ4 2020","Currency=USD","Period=FQ","BEST_FPERIOD_OVERRIDE=FQ","FILING_STATUS=MR","SCALING_FORMAT=MLN","Sort=A","Dates=H","DateFormat=P","Fill=—","Direction=H","UseDPDF=Y")</f>
        <v>—</v>
      </c>
      <c r="L26" s="13" t="str">
        <f>_xll.BDH("SRPT US Equity","ARD_CURRENT_PORTION_OF_LT_DEBT","FQ1 2021","FQ1 2021","Currency=USD","Period=FQ","BEST_FPERIOD_OVERRIDE=FQ","FILING_STATUS=MR","SCALING_FORMAT=MLN","Sort=A","Dates=H","DateFormat=P","Fill=—","Direction=H","UseDPDF=Y")</f>
        <v>—</v>
      </c>
      <c r="M26" s="13" t="str">
        <f>_xll.BDH("SRPT US Equity","ARD_CURRENT_PORTION_OF_LT_DEBT","FQ2 2021","FQ2 2021","Currency=USD","Period=FQ","BEST_FPERIOD_OVERRIDE=FQ","FILING_STATUS=MR","SCALING_FORMAT=MLN","Sort=A","Dates=H","DateFormat=P","Fill=—","Direction=H","UseDPDF=Y")</f>
        <v>—</v>
      </c>
      <c r="N26" s="13" t="str">
        <f>_xll.BDH("SRPT US Equity","ARD_CURRENT_PORTION_OF_LT_DEBT","FQ3 2021","FQ3 2021","Currency=USD","Period=FQ","BEST_FPERIOD_OVERRIDE=FQ","FILING_STATUS=MR","SCALING_FORMAT=MLN","Sort=A","Dates=H","DateFormat=P","Fill=—","Direction=H","UseDPDF=Y")</f>
        <v>—</v>
      </c>
      <c r="O26" s="13" t="str">
        <f>_xll.BDH("SRPT US Equity","ARD_CURRENT_PORTION_OF_LT_DEBT","FQ4 2021","FQ4 2021","Currency=USD","Period=FQ","BEST_FPERIOD_OVERRIDE=FQ","FILING_STATUS=MR","SCALING_FORMAT=MLN","Sort=A","Dates=H","DateFormat=P","Fill=—","Direction=H","UseDPDF=Y")</f>
        <v>—</v>
      </c>
      <c r="P26" s="13" t="str">
        <f>_xll.BDH("SRPT US Equity","ARD_CURRENT_PORTION_OF_LT_DEBT","FQ1 2022","FQ1 2022","Currency=USD","Period=FQ","BEST_FPERIOD_OVERRIDE=FQ","FILING_STATUS=MR","SCALING_FORMAT=MLN","Sort=A","Dates=H","DateFormat=P","Fill=—","Direction=H","UseDPDF=Y")</f>
        <v>—</v>
      </c>
      <c r="Q26" s="13" t="str">
        <f>_xll.BDH("SRPT US Equity","ARD_CURRENT_PORTION_OF_LT_DEBT","FQ2 2022","FQ2 2022","Currency=USD","Period=FQ","BEST_FPERIOD_OVERRIDE=FQ","FILING_STATUS=MR","SCALING_FORMAT=MLN","Sort=A","Dates=H","DateFormat=P","Fill=—","Direction=H","UseDPDF=Y")</f>
        <v>—</v>
      </c>
      <c r="R26" s="13" t="str">
        <f>_xll.BDH("SRPT US Equity","ARD_CURRENT_PORTION_OF_LT_DEBT","FQ3 2022","FQ3 2022","Currency=USD","Period=FQ","BEST_FPERIOD_OVERRIDE=FQ","FILING_STATUS=MR","SCALING_FORMAT=MLN","Sort=A","Dates=H","DateFormat=P","Fill=—","Direction=H","UseDPDF=Y")</f>
        <v>—</v>
      </c>
      <c r="S26" s="13" t="str">
        <f>_xll.BDH("SRPT US Equity","ARD_CURRENT_PORTION_OF_LT_DEBT","FQ4 2022","FQ4 2022","Currency=USD","Period=FQ","BEST_FPERIOD_OVERRIDE=FQ","FILING_STATUS=MR","SCALING_FORMAT=MLN","Sort=A","Dates=H","DateFormat=P","Fill=—","Direction=H","UseDPDF=Y")</f>
        <v>—</v>
      </c>
      <c r="T26" s="13" t="str">
        <f>_xll.BDH("SRPT US Equity","ARD_CURRENT_PORTION_OF_LT_DEBT","FQ1 2023","FQ1 2023","Currency=USD","Period=FQ","BEST_FPERIOD_OVERRIDE=FQ","FILING_STATUS=MR","SCALING_FORMAT=MLN","Sort=A","Dates=H","DateFormat=P","Fill=—","Direction=H","UseDPDF=Y")</f>
        <v>—</v>
      </c>
      <c r="U26" s="13" t="str">
        <f>_xll.BDH("SRPT US Equity","ARD_CURRENT_PORTION_OF_LT_DEBT","FQ2 2023","FQ2 2023","Currency=USD","Period=FQ","BEST_FPERIOD_OVERRIDE=FQ","FILING_STATUS=MR","SCALING_FORMAT=MLN","Sort=A","Dates=H","DateFormat=P","Fill=—","Direction=H","UseDPDF=Y")</f>
        <v>—</v>
      </c>
      <c r="V26" s="13" t="str">
        <f>_xll.BDH("SRPT US Equity","ARD_CURRENT_PORTION_OF_LT_DEBT","FQ3 2023","FQ3 2023","Currency=USD","Period=FQ","BEST_FPERIOD_OVERRIDE=FQ","FILING_STATUS=MR","SCALING_FORMAT=MLN","Sort=A","Dates=H","DateFormat=P","Fill=—","Direction=H","UseDPDF=Y")</f>
        <v>—</v>
      </c>
      <c r="W26" s="13">
        <f>_xll.BDH("SRPT US Equity","ARD_CURRENT_PORTION_OF_LT_DEBT","FQ4 2023","FQ4 2023","Currency=USD","Period=FQ","BEST_FPERIOD_OVERRIDE=FQ","FILING_STATUS=MR","SCALING_FORMAT=MLN","Sort=A","Dates=H","DateFormat=P","Fill=—","Direction=H","UseDPDF=Y")</f>
        <v>105.483</v>
      </c>
      <c r="X26" s="13">
        <f>_xll.BDH("SRPT US Equity","ARD_CURRENT_PORTION_OF_LT_DEBT","FQ1 2024","FQ1 2024","Currency=USD","Period=FQ","BEST_FPERIOD_OVERRIDE=FQ","FILING_STATUS=MR","SCALING_FORMAT=MLN","Sort=A","Dates=H","DateFormat=P","Fill=—","Direction=H","UseDPDF=Y")</f>
        <v>105.586</v>
      </c>
      <c r="Y26" s="13">
        <f>_xll.BDH("SRPT US Equity","ARD_CURRENT_PORTION_OF_LT_DEBT","FQ2 2024","FQ2 2024","Currency=USD","Period=FQ","BEST_FPERIOD_OVERRIDE=FQ","FILING_STATUS=MR","SCALING_FORMAT=MLN","Sort=A","Dates=H","DateFormat=P","Fill=—","Direction=H","UseDPDF=Y")</f>
        <v>91.504999999999995</v>
      </c>
      <c r="Z26" s="13">
        <f>_xll.BDH("SRPT US Equity","ARD_CURRENT_PORTION_OF_LT_DEBT","FQ3 2024","FQ3 2024","Currency=USD","Period=FQ","BEST_FPERIOD_OVERRIDE=FQ","FILING_STATUS=MR","SCALING_FORMAT=MLN","Sort=A","Dates=H","DateFormat=P","Fill=—","Direction=H","UseDPDF=Y")</f>
        <v>91.594999999999999</v>
      </c>
      <c r="AA26" s="13" t="str">
        <f>_xll.BDH("SRPT US Equity","ARD_CURRENT_PORTION_OF_LT_DEBT","FQ4 2024","FQ4 2024","Currency=USD","Period=FQ","BEST_FPERIOD_OVERRIDE=FQ","FILING_STATUS=MR","SCALING_FORMAT=MLN","Sort=A","Dates=H","DateFormat=P","Fill=—","Direction=H","UseDPDF=Y")</f>
        <v>—</v>
      </c>
    </row>
    <row r="27" spans="1:27" x14ac:dyDescent="0.25">
      <c r="A27" s="10" t="s">
        <v>881</v>
      </c>
      <c r="B27" s="10" t="s">
        <v>882</v>
      </c>
      <c r="C27" s="13">
        <f>_xll.BDH("SRPT US Equity","ARD_ACCRUED_EXPENSES","FQ4 2018","FQ4 2018","Currency=USD","Period=FQ","BEST_FPERIOD_OVERRIDE=FQ","FILING_STATUS=MR","SCALING_FORMAT=MLN","Sort=A","Dates=H","DateFormat=P","Fill=—","Direction=H","UseDPDF=Y")</f>
        <v>134.095</v>
      </c>
      <c r="D27" s="13">
        <f>_xll.BDH("SRPT US Equity","ARD_ACCRUED_EXPENSES","FQ1 2019","FQ1 2019","Currency=USD","Period=FQ","BEST_FPERIOD_OVERRIDE=FQ","FILING_STATUS=MR","SCALING_FORMAT=MLN","Sort=A","Dates=H","DateFormat=P","Fill=—","Direction=H","UseDPDF=Y")</f>
        <v>100.12</v>
      </c>
      <c r="E27" s="13">
        <f>_xll.BDH("SRPT US Equity","ARD_ACCRUED_EXPENSES","FQ2 2019","FQ2 2019","Currency=USD","Period=FQ","BEST_FPERIOD_OVERRIDE=FQ","FILING_STATUS=MR","SCALING_FORMAT=MLN","Sort=A","Dates=H","DateFormat=P","Fill=—","Direction=H","UseDPDF=Y")</f>
        <v>107.328</v>
      </c>
      <c r="F27" s="13">
        <f>_xll.BDH("SRPT US Equity","ARD_ACCRUED_EXPENSES","FQ3 2019","FQ3 2019","Currency=USD","Period=FQ","BEST_FPERIOD_OVERRIDE=FQ","FILING_STATUS=MR","SCALING_FORMAT=MLN","Sort=A","Dates=H","DateFormat=P","Fill=—","Direction=H","UseDPDF=Y")</f>
        <v>121.663</v>
      </c>
      <c r="G27" s="13">
        <f>_xll.BDH("SRPT US Equity","ARD_ACCRUED_EXPENSES","FQ4 2019","FQ4 2019","Currency=USD","Period=FQ","BEST_FPERIOD_OVERRIDE=FQ","FILING_STATUS=MR","SCALING_FORMAT=MLN","Sort=A","Dates=H","DateFormat=P","Fill=—","Direction=H","UseDPDF=Y")</f>
        <v>185.52699999999999</v>
      </c>
      <c r="H27" s="13">
        <f>_xll.BDH("SRPT US Equity","ARD_ACCRUED_EXPENSES","FQ1 2020","FQ1 2020","Currency=USD","Period=FQ","BEST_FPERIOD_OVERRIDE=FQ","FILING_STATUS=MR","SCALING_FORMAT=MLN","Sort=A","Dates=H","DateFormat=P","Fill=—","Direction=H","UseDPDF=Y")</f>
        <v>176.298</v>
      </c>
      <c r="I27" s="13">
        <f>_xll.BDH("SRPT US Equity","ARD_ACCRUED_EXPENSES","FQ2 2020","FQ2 2020","Currency=USD","Period=FQ","BEST_FPERIOD_OVERRIDE=FQ","FILING_STATUS=MR","SCALING_FORMAT=MLN","Sort=A","Dates=H","DateFormat=P","Fill=—","Direction=H","UseDPDF=Y")</f>
        <v>159.08799999999999</v>
      </c>
      <c r="J27" s="13">
        <f>_xll.BDH("SRPT US Equity","ARD_ACCRUED_EXPENSES","FQ3 2020","FQ3 2020","Currency=USD","Period=FQ","BEST_FPERIOD_OVERRIDE=FQ","FILING_STATUS=MR","SCALING_FORMAT=MLN","Sort=A","Dates=H","DateFormat=P","Fill=—","Direction=H","UseDPDF=Y")</f>
        <v>199.06299999999999</v>
      </c>
      <c r="K27" s="13">
        <f>_xll.BDH("SRPT US Equity","ARD_ACCRUED_EXPENSES","FQ4 2020","FQ4 2020","Currency=USD","Period=FQ","BEST_FPERIOD_OVERRIDE=FQ","FILING_STATUS=MR","SCALING_FORMAT=MLN","Sort=A","Dates=H","DateFormat=P","Fill=—","Direction=H","UseDPDF=Y")</f>
        <v>193.553</v>
      </c>
      <c r="L27" s="13">
        <f>_xll.BDH("SRPT US Equity","ARD_ACCRUED_EXPENSES","FQ1 2021","FQ1 2021","Currency=USD","Period=FQ","BEST_FPERIOD_OVERRIDE=FQ","FILING_STATUS=MR","SCALING_FORMAT=MLN","Sort=A","Dates=H","DateFormat=P","Fill=—","Direction=H","UseDPDF=Y")</f>
        <v>180.636</v>
      </c>
      <c r="M27" s="13">
        <f>_xll.BDH("SRPT US Equity","ARD_ACCRUED_EXPENSES","FQ2 2021","FQ2 2021","Currency=USD","Period=FQ","BEST_FPERIOD_OVERRIDE=FQ","FILING_STATUS=MR","SCALING_FORMAT=MLN","Sort=A","Dates=H","DateFormat=P","Fill=—","Direction=H","UseDPDF=Y")</f>
        <v>240.14099999999999</v>
      </c>
      <c r="N27" s="13">
        <f>_xll.BDH("SRPT US Equity","ARD_ACCRUED_EXPENSES","FQ3 2021","FQ3 2021","Currency=USD","Period=FQ","BEST_FPERIOD_OVERRIDE=FQ","FILING_STATUS=MR","SCALING_FORMAT=MLN","Sort=A","Dates=H","DateFormat=P","Fill=—","Direction=H","UseDPDF=Y")</f>
        <v>221.00899999999999</v>
      </c>
      <c r="O27" s="13">
        <f>_xll.BDH("SRPT US Equity","ARD_ACCRUED_EXPENSES","FQ4 2021","FQ4 2021","Currency=USD","Period=FQ","BEST_FPERIOD_OVERRIDE=FQ","FILING_STATUS=MR","SCALING_FORMAT=MLN","Sort=A","Dates=H","DateFormat=P","Fill=—","Direction=H","UseDPDF=Y")</f>
        <v>271.697</v>
      </c>
      <c r="P27" s="13">
        <f>_xll.BDH("SRPT US Equity","ARD_ACCRUED_EXPENSES","FQ1 2022","FQ1 2022","Currency=USD","Period=FQ","BEST_FPERIOD_OVERRIDE=FQ","FILING_STATUS=MR","SCALING_FORMAT=MLN","Sort=A","Dates=H","DateFormat=P","Fill=—","Direction=H","UseDPDF=Y")</f>
        <v>293.90800000000002</v>
      </c>
      <c r="Q27" s="13">
        <f>_xll.BDH("SRPT US Equity","ARD_ACCRUED_EXPENSES","FQ2 2022","FQ2 2022","Currency=USD","Period=FQ","BEST_FPERIOD_OVERRIDE=FQ","FILING_STATUS=MR","SCALING_FORMAT=MLN","Sort=A","Dates=H","DateFormat=P","Fill=—","Direction=H","UseDPDF=Y")</f>
        <v>383.69900000000001</v>
      </c>
      <c r="R27" s="13">
        <f>_xll.BDH("SRPT US Equity","ARD_ACCRUED_EXPENSES","FQ3 2022","FQ3 2022","Currency=USD","Period=FQ","BEST_FPERIOD_OVERRIDE=FQ","FILING_STATUS=MR","SCALING_FORMAT=MLN","Sort=A","Dates=H","DateFormat=P","Fill=—","Direction=H","UseDPDF=Y")</f>
        <v>368.99799999999999</v>
      </c>
      <c r="S27" s="13">
        <f>_xll.BDH("SRPT US Equity","ARD_ACCRUED_EXPENSES","FQ4 2022","FQ4 2022","Currency=USD","Period=FQ","BEST_FPERIOD_OVERRIDE=FQ","FILING_STATUS=MR","SCALING_FORMAT=MLN","Sort=A","Dates=H","DateFormat=P","Fill=—","Direction=H","UseDPDF=Y")</f>
        <v>418.99599999999998</v>
      </c>
      <c r="T27" s="13">
        <f>_xll.BDH("SRPT US Equity","ARD_ACCRUED_EXPENSES","FQ1 2023","FQ1 2023","Currency=USD","Period=FQ","BEST_FPERIOD_OVERRIDE=FQ","FILING_STATUS=MR","SCALING_FORMAT=MLN","Sort=A","Dates=H","DateFormat=P","Fill=—","Direction=H","UseDPDF=Y")</f>
        <v>345.55399999999997</v>
      </c>
      <c r="U27" s="13">
        <f>_xll.BDH("SRPT US Equity","ARD_ACCRUED_EXPENSES","FQ2 2023","FQ2 2023","Currency=USD","Period=FQ","BEST_FPERIOD_OVERRIDE=FQ","FILING_STATUS=MR","SCALING_FORMAT=MLN","Sort=A","Dates=H","DateFormat=P","Fill=—","Direction=H","UseDPDF=Y")</f>
        <v>326.87700000000001</v>
      </c>
      <c r="V27" s="13">
        <f>_xll.BDH("SRPT US Equity","ARD_ACCRUED_EXPENSES","FQ3 2023","FQ3 2023","Currency=USD","Period=FQ","BEST_FPERIOD_OVERRIDE=FQ","FILING_STATUS=MR","SCALING_FORMAT=MLN","Sort=A","Dates=H","DateFormat=P","Fill=—","Direction=H","UseDPDF=Y")</f>
        <v>322.35000000000002</v>
      </c>
      <c r="W27" s="13">
        <f>_xll.BDH("SRPT US Equity","ARD_ACCRUED_EXPENSES","FQ4 2023","FQ4 2023","Currency=USD","Period=FQ","BEST_FPERIOD_OVERRIDE=FQ","FILING_STATUS=MR","SCALING_FORMAT=MLN","Sort=A","Dates=H","DateFormat=P","Fill=—","Direction=H","UseDPDF=Y")</f>
        <v>314.99700000000001</v>
      </c>
      <c r="X27" s="13">
        <f>_xll.BDH("SRPT US Equity","ARD_ACCRUED_EXPENSES","FQ1 2024","FQ1 2024","Currency=USD","Period=FQ","BEST_FPERIOD_OVERRIDE=FQ","FILING_STATUS=MR","SCALING_FORMAT=MLN","Sort=A","Dates=H","DateFormat=P","Fill=—","Direction=H","UseDPDF=Y")</f>
        <v>283.31700000000001</v>
      </c>
      <c r="Y27" s="13">
        <f>_xll.BDH("SRPT US Equity","ARD_ACCRUED_EXPENSES","FQ2 2024","FQ2 2024","Currency=USD","Period=FQ","BEST_FPERIOD_OVERRIDE=FQ","FILING_STATUS=MR","SCALING_FORMAT=MLN","Sort=A","Dates=H","DateFormat=P","Fill=—","Direction=H","UseDPDF=Y")</f>
        <v>350.404</v>
      </c>
      <c r="Z27" s="13">
        <f>_xll.BDH("SRPT US Equity","ARD_ACCRUED_EXPENSES","FQ3 2024","FQ3 2024","Currency=USD","Period=FQ","BEST_FPERIOD_OVERRIDE=FQ","FILING_STATUS=MR","SCALING_FORMAT=MLN","Sort=A","Dates=H","DateFormat=P","Fill=—","Direction=H","UseDPDF=Y")</f>
        <v>344.83</v>
      </c>
      <c r="AA27" s="13">
        <f>_xll.BDH("SRPT US Equity","ARD_ACCRUED_EXPENSES","FQ4 2024","FQ4 2024","Currency=USD","Period=FQ","BEST_FPERIOD_OVERRIDE=FQ","FILING_STATUS=MR","SCALING_FORMAT=MLN","Sort=A","Dates=H","DateFormat=P","Fill=—","Direction=H","UseDPDF=Y")</f>
        <v>373.51299999999998</v>
      </c>
    </row>
    <row r="28" spans="1:27" x14ac:dyDescent="0.25">
      <c r="A28" s="10" t="s">
        <v>883</v>
      </c>
      <c r="B28" s="10" t="s">
        <v>884</v>
      </c>
      <c r="C28" s="13">
        <f>_xll.BDH("SRPT US Equity","ARD_DEFERRED_UNEARNED_REV_ST","FQ4 2018","FQ4 2018","Currency=USD","Period=FQ","BEST_FPERIOD_OVERRIDE=FQ","FILING_STATUS=MR","SCALING_FORMAT=MLN","Sort=A","Dates=H","DateFormat=P","Fill=—","Direction=H","UseDPDF=Y")</f>
        <v>3.3029999999999999</v>
      </c>
      <c r="D28" s="13">
        <f>_xll.BDH("SRPT US Equity","ARD_DEFERRED_UNEARNED_REV_ST","FQ1 2019","FQ1 2019","Currency=USD","Period=FQ","BEST_FPERIOD_OVERRIDE=FQ","FILING_STATUS=MR","SCALING_FORMAT=MLN","Sort=A","Dates=H","DateFormat=P","Fill=—","Direction=H","UseDPDF=Y")</f>
        <v>3.9849999999999999</v>
      </c>
      <c r="E28" s="13">
        <f>_xll.BDH("SRPT US Equity","ARD_DEFERRED_UNEARNED_REV_ST","FQ2 2019","FQ2 2019","Currency=USD","Period=FQ","BEST_FPERIOD_OVERRIDE=FQ","FILING_STATUS=MR","SCALING_FORMAT=MLN","Sort=A","Dates=H","DateFormat=P","Fill=—","Direction=H","UseDPDF=Y")</f>
        <v>3.3029999999999999</v>
      </c>
      <c r="F28" s="13">
        <f>_xll.BDH("SRPT US Equity","ARD_DEFERRED_UNEARNED_REV_ST","FQ3 2019","FQ3 2019","Currency=USD","Period=FQ","BEST_FPERIOD_OVERRIDE=FQ","FILING_STATUS=MR","SCALING_FORMAT=MLN","Sort=A","Dates=H","DateFormat=P","Fill=—","Direction=H","UseDPDF=Y")</f>
        <v>3.3029999999999999</v>
      </c>
      <c r="G28" s="13" t="str">
        <f>_xll.BDH("SRPT US Equity","ARD_DEFERRED_UNEARNED_REV_ST","FQ4 2019","FQ4 2019","Currency=USD","Period=FQ","BEST_FPERIOD_OVERRIDE=FQ","FILING_STATUS=MR","SCALING_FORMAT=MLN","Sort=A","Dates=H","DateFormat=P","Fill=—","Direction=H","UseDPDF=Y")</f>
        <v>—</v>
      </c>
      <c r="H28" s="13">
        <f>_xll.BDH("SRPT US Equity","ARD_DEFERRED_UNEARNED_REV_ST","FQ1 2020","FQ1 2020","Currency=USD","Period=FQ","BEST_FPERIOD_OVERRIDE=FQ","FILING_STATUS=MR","SCALING_FORMAT=MLN","Sort=A","Dates=H","DateFormat=P","Fill=—","Direction=H","UseDPDF=Y")</f>
        <v>91.072999999999993</v>
      </c>
      <c r="I28" s="13">
        <f>_xll.BDH("SRPT US Equity","ARD_DEFERRED_UNEARNED_REV_ST","FQ2 2020","FQ2 2020","Currency=USD","Period=FQ","BEST_FPERIOD_OVERRIDE=FQ","FILING_STATUS=MR","SCALING_FORMAT=MLN","Sort=A","Dates=H","DateFormat=P","Fill=—","Direction=H","UseDPDF=Y")</f>
        <v>89.311000000000007</v>
      </c>
      <c r="J28" s="13">
        <f>_xll.BDH("SRPT US Equity","ARD_DEFERRED_UNEARNED_REV_ST","FQ3 2020","FQ3 2020","Currency=USD","Period=FQ","BEST_FPERIOD_OVERRIDE=FQ","FILING_STATUS=MR","SCALING_FORMAT=MLN","Sort=A","Dates=H","DateFormat=P","Fill=—","Direction=H","UseDPDF=Y")</f>
        <v>89.244</v>
      </c>
      <c r="K28" s="13">
        <f>_xll.BDH("SRPT US Equity","ARD_DEFERRED_UNEARNED_REV_ST","FQ4 2020","FQ4 2020","Currency=USD","Period=FQ","BEST_FPERIOD_OVERRIDE=FQ","FILING_STATUS=MR","SCALING_FORMAT=MLN","Sort=A","Dates=H","DateFormat=P","Fill=—","Direction=H","UseDPDF=Y")</f>
        <v>89.244</v>
      </c>
      <c r="L28" s="13">
        <f>_xll.BDH("SRPT US Equity","ARD_DEFERRED_UNEARNED_REV_ST","FQ1 2021","FQ1 2021","Currency=USD","Period=FQ","BEST_FPERIOD_OVERRIDE=FQ","FILING_STATUS=MR","SCALING_FORMAT=MLN","Sort=A","Dates=H","DateFormat=P","Fill=—","Direction=H","UseDPDF=Y")</f>
        <v>89.244</v>
      </c>
      <c r="M28" s="13">
        <f>_xll.BDH("SRPT US Equity","ARD_DEFERRED_UNEARNED_REV_ST","FQ2 2021","FQ2 2021","Currency=USD","Period=FQ","BEST_FPERIOD_OVERRIDE=FQ","FILING_STATUS=MR","SCALING_FORMAT=MLN","Sort=A","Dates=H","DateFormat=P","Fill=—","Direction=H","UseDPDF=Y")</f>
        <v>89.244</v>
      </c>
      <c r="N28" s="13">
        <f>_xll.BDH("SRPT US Equity","ARD_DEFERRED_UNEARNED_REV_ST","FQ3 2021","FQ3 2021","Currency=USD","Period=FQ","BEST_FPERIOD_OVERRIDE=FQ","FILING_STATUS=MR","SCALING_FORMAT=MLN","Sort=A","Dates=H","DateFormat=P","Fill=—","Direction=H","UseDPDF=Y")</f>
        <v>89.244</v>
      </c>
      <c r="O28" s="13">
        <f>_xll.BDH("SRPT US Equity","ARD_DEFERRED_UNEARNED_REV_ST","FQ4 2021","FQ4 2021","Currency=USD","Period=FQ","BEST_FPERIOD_OVERRIDE=FQ","FILING_STATUS=MR","SCALING_FORMAT=MLN","Sort=A","Dates=H","DateFormat=P","Fill=—","Direction=H","UseDPDF=Y")</f>
        <v>89.244</v>
      </c>
      <c r="P28" s="13">
        <f>_xll.BDH("SRPT US Equity","ARD_DEFERRED_UNEARNED_REV_ST","FQ1 2022","FQ1 2022","Currency=USD","Period=FQ","BEST_FPERIOD_OVERRIDE=FQ","FILING_STATUS=MR","SCALING_FORMAT=MLN","Sort=A","Dates=H","DateFormat=P","Fill=—","Direction=H","UseDPDF=Y")</f>
        <v>89.244</v>
      </c>
      <c r="Q28" s="13">
        <f>_xll.BDH("SRPT US Equity","ARD_DEFERRED_UNEARNED_REV_ST","FQ2 2022","FQ2 2022","Currency=USD","Period=FQ","BEST_FPERIOD_OVERRIDE=FQ","FILING_STATUS=MR","SCALING_FORMAT=MLN","Sort=A","Dates=H","DateFormat=P","Fill=—","Direction=H","UseDPDF=Y")</f>
        <v>89.244</v>
      </c>
      <c r="R28" s="13">
        <f>_xll.BDH("SRPT US Equity","ARD_DEFERRED_UNEARNED_REV_ST","FQ3 2022","FQ3 2022","Currency=USD","Period=FQ","BEST_FPERIOD_OVERRIDE=FQ","FILING_STATUS=MR","SCALING_FORMAT=MLN","Sort=A","Dates=H","DateFormat=P","Fill=—","Direction=H","UseDPDF=Y")</f>
        <v>89.244</v>
      </c>
      <c r="S28" s="13">
        <f>_xll.BDH("SRPT US Equity","ARD_DEFERRED_UNEARNED_REV_ST","FQ4 2022","FQ4 2022","Currency=USD","Period=FQ","BEST_FPERIOD_OVERRIDE=FQ","FILING_STATUS=MR","SCALING_FORMAT=MLN","Sort=A","Dates=H","DateFormat=P","Fill=—","Direction=H","UseDPDF=Y")</f>
        <v>89.244</v>
      </c>
      <c r="T28" s="13">
        <f>_xll.BDH("SRPT US Equity","ARD_DEFERRED_UNEARNED_REV_ST","FQ1 2023","FQ1 2023","Currency=USD","Period=FQ","BEST_FPERIOD_OVERRIDE=FQ","FILING_STATUS=MR","SCALING_FORMAT=MLN","Sort=A","Dates=H","DateFormat=P","Fill=—","Direction=H","UseDPDF=Y")</f>
        <v>67.239000000000004</v>
      </c>
      <c r="U28" s="13">
        <f>_xll.BDH("SRPT US Equity","ARD_DEFERRED_UNEARNED_REV_ST","FQ2 2023","FQ2 2023","Currency=USD","Period=FQ","BEST_FPERIOD_OVERRIDE=FQ","FILING_STATUS=MR","SCALING_FORMAT=MLN","Sort=A","Dates=H","DateFormat=P","Fill=—","Direction=H","UseDPDF=Y")</f>
        <v>44.988999999999997</v>
      </c>
      <c r="V28" s="13">
        <f>_xll.BDH("SRPT US Equity","ARD_DEFERRED_UNEARNED_REV_ST","FQ3 2023","FQ3 2023","Currency=USD","Period=FQ","BEST_FPERIOD_OVERRIDE=FQ","FILING_STATUS=MR","SCALING_FORMAT=MLN","Sort=A","Dates=H","DateFormat=P","Fill=—","Direction=H","UseDPDF=Y")</f>
        <v>22.494</v>
      </c>
      <c r="W28" s="13">
        <f>_xll.BDH("SRPT US Equity","ARD_DEFERRED_UNEARNED_REV_ST","FQ4 2023","FQ4 2023","Currency=USD","Period=FQ","BEST_FPERIOD_OVERRIDE=FQ","FILING_STATUS=MR","SCALING_FORMAT=MLN","Sort=A","Dates=H","DateFormat=P","Fill=—","Direction=H","UseDPDF=Y")</f>
        <v>50.415999999999997</v>
      </c>
      <c r="X28" s="13">
        <f>_xll.BDH("SRPT US Equity","ARD_DEFERRED_UNEARNED_REV_ST","FQ1 2024","FQ1 2024","Currency=USD","Period=FQ","BEST_FPERIOD_OVERRIDE=FQ","FILING_STATUS=MR","SCALING_FORMAT=MLN","Sort=A","Dates=H","DateFormat=P","Fill=—","Direction=H","UseDPDF=Y")</f>
        <v>112</v>
      </c>
      <c r="Y28" s="13">
        <f>_xll.BDH("SRPT US Equity","ARD_DEFERRED_UNEARNED_REV_ST","FQ2 2024","FQ2 2024","Currency=USD","Period=FQ","BEST_FPERIOD_OVERRIDE=FQ","FILING_STATUS=MR","SCALING_FORMAT=MLN","Sort=A","Dates=H","DateFormat=P","Fill=—","Direction=H","UseDPDF=Y")</f>
        <v>122.036</v>
      </c>
      <c r="Z28" s="13">
        <f>_xll.BDH("SRPT US Equity","ARD_DEFERRED_UNEARNED_REV_ST","FQ3 2024","FQ3 2024","Currency=USD","Period=FQ","BEST_FPERIOD_OVERRIDE=FQ","FILING_STATUS=MR","SCALING_FORMAT=MLN","Sort=A","Dates=H","DateFormat=P","Fill=—","Direction=H","UseDPDF=Y")</f>
        <v>127.001</v>
      </c>
      <c r="AA28" s="13">
        <f>_xll.BDH("SRPT US Equity","ARD_DEFERRED_UNEARNED_REV_ST","FQ4 2024","FQ4 2024","Currency=USD","Period=FQ","BEST_FPERIOD_OVERRIDE=FQ","FILING_STATUS=MR","SCALING_FORMAT=MLN","Sort=A","Dates=H","DateFormat=P","Fill=—","Direction=H","UseDPDF=Y")</f>
        <v>130.256</v>
      </c>
    </row>
    <row r="29" spans="1:27" x14ac:dyDescent="0.25">
      <c r="A29" s="10" t="s">
        <v>885</v>
      </c>
      <c r="B29" s="10" t="s">
        <v>886</v>
      </c>
      <c r="C29" s="13">
        <f>_xll.BDH("SRPT US Equity","ARD_OTHER_CURRENT_LIABILITIES","FQ4 2018","FQ4 2018","Currency=USD","Period=FQ","BEST_FPERIOD_OVERRIDE=FQ","FILING_STATUS=MR","SCALING_FORMAT=MLN","Sort=A","Dates=H","DateFormat=P","Fill=—","Direction=H","UseDPDF=Y")</f>
        <v>2.4630000000000001</v>
      </c>
      <c r="D29" s="13">
        <f>_xll.BDH("SRPT US Equity","ARD_OTHER_CURRENT_LIABILITIES","FQ1 2019","FQ1 2019","Currency=USD","Period=FQ","BEST_FPERIOD_OVERRIDE=FQ","FILING_STATUS=MR","SCALING_FORMAT=MLN","Sort=A","Dates=H","DateFormat=P","Fill=—","Direction=H","UseDPDF=Y")</f>
        <v>6.7619999999999996</v>
      </c>
      <c r="E29" s="13">
        <f>_xll.BDH("SRPT US Equity","ARD_OTHER_CURRENT_LIABILITIES","FQ2 2019","FQ2 2019","Currency=USD","Period=FQ","BEST_FPERIOD_OVERRIDE=FQ","FILING_STATUS=MR","SCALING_FORMAT=MLN","Sort=A","Dates=H","DateFormat=P","Fill=—","Direction=H","UseDPDF=Y")</f>
        <v>7.4130000000000003</v>
      </c>
      <c r="F29" s="13">
        <f>_xll.BDH("SRPT US Equity","ARD_OTHER_CURRENT_LIABILITIES","FQ3 2019","FQ3 2019","Currency=USD","Period=FQ","BEST_FPERIOD_OVERRIDE=FQ","FILING_STATUS=MR","SCALING_FORMAT=MLN","Sort=A","Dates=H","DateFormat=P","Fill=—","Direction=H","UseDPDF=Y")</f>
        <v>8.9440000000000008</v>
      </c>
      <c r="G29" s="13">
        <f>_xll.BDH("SRPT US Equity","ARD_OTHER_CURRENT_LIABILITIES","FQ4 2019","FQ4 2019","Currency=USD","Period=FQ","BEST_FPERIOD_OVERRIDE=FQ","FILING_STATUS=MR","SCALING_FORMAT=MLN","Sort=A","Dates=H","DateFormat=P","Fill=—","Direction=H","UseDPDF=Y")</f>
        <v>11.146000000000001</v>
      </c>
      <c r="H29" s="13">
        <f>_xll.BDH("SRPT US Equity","ARD_OTHER_CURRENT_LIABILITIES","FQ1 2020","FQ1 2020","Currency=USD","Period=FQ","BEST_FPERIOD_OVERRIDE=FQ","FILING_STATUS=MR","SCALING_FORMAT=MLN","Sort=A","Dates=H","DateFormat=P","Fill=—","Direction=H","UseDPDF=Y")</f>
        <v>12.462999999999999</v>
      </c>
      <c r="I29" s="13">
        <f>_xll.BDH("SRPT US Equity","ARD_OTHER_CURRENT_LIABILITIES","FQ2 2020","FQ2 2020","Currency=USD","Period=FQ","BEST_FPERIOD_OVERRIDE=FQ","FILING_STATUS=MR","SCALING_FORMAT=MLN","Sort=A","Dates=H","DateFormat=P","Fill=—","Direction=H","UseDPDF=Y")</f>
        <v>14.837</v>
      </c>
      <c r="J29" s="13">
        <f>_xll.BDH("SRPT US Equity","ARD_OTHER_CURRENT_LIABILITIES","FQ3 2020","FQ3 2020","Currency=USD","Period=FQ","BEST_FPERIOD_OVERRIDE=FQ","FILING_STATUS=MR","SCALING_FORMAT=MLN","Sort=A","Dates=H","DateFormat=P","Fill=—","Direction=H","UseDPDF=Y")</f>
        <v>15.553000000000001</v>
      </c>
      <c r="K29" s="13">
        <f>_xll.BDH("SRPT US Equity","ARD_OTHER_CURRENT_LIABILITIES","FQ4 2020","FQ4 2020","Currency=USD","Period=FQ","BEST_FPERIOD_OVERRIDE=FQ","FILING_STATUS=MR","SCALING_FORMAT=MLN","Sort=A","Dates=H","DateFormat=P","Fill=—","Direction=H","UseDPDF=Y")</f>
        <v>22.138999999999999</v>
      </c>
      <c r="L29" s="13">
        <f>_xll.BDH("SRPT US Equity","ARD_OTHER_CURRENT_LIABILITIES","FQ1 2021","FQ1 2021","Currency=USD","Period=FQ","BEST_FPERIOD_OVERRIDE=FQ","FILING_STATUS=MR","SCALING_FORMAT=MLN","Sort=A","Dates=H","DateFormat=P","Fill=—","Direction=H","UseDPDF=Y")</f>
        <v>18.204999999999998</v>
      </c>
      <c r="M29" s="13">
        <f>_xll.BDH("SRPT US Equity","ARD_OTHER_CURRENT_LIABILITIES","FQ2 2021","FQ2 2021","Currency=USD","Period=FQ","BEST_FPERIOD_OVERRIDE=FQ","FILING_STATUS=MR","SCALING_FORMAT=MLN","Sort=A","Dates=H","DateFormat=P","Fill=—","Direction=H","UseDPDF=Y")</f>
        <v>18.956</v>
      </c>
      <c r="N29" s="13">
        <f>_xll.BDH("SRPT US Equity","ARD_OTHER_CURRENT_LIABILITIES","FQ3 2021","FQ3 2021","Currency=USD","Period=FQ","BEST_FPERIOD_OVERRIDE=FQ","FILING_STATUS=MR","SCALING_FORMAT=MLN","Sort=A","Dates=H","DateFormat=P","Fill=—","Direction=H","UseDPDF=Y")</f>
        <v>19.027000000000001</v>
      </c>
      <c r="O29" s="13">
        <f>_xll.BDH("SRPT US Equity","ARD_OTHER_CURRENT_LIABILITIES","FQ4 2021","FQ4 2021","Currency=USD","Period=FQ","BEST_FPERIOD_OVERRIDE=FQ","FILING_STATUS=MR","SCALING_FORMAT=MLN","Sort=A","Dates=H","DateFormat=P","Fill=—","Direction=H","UseDPDF=Y")</f>
        <v>15.051</v>
      </c>
      <c r="P29" s="13">
        <f>_xll.BDH("SRPT US Equity","ARD_OTHER_CURRENT_LIABILITIES","FQ1 2022","FQ1 2022","Currency=USD","Period=FQ","BEST_FPERIOD_OVERRIDE=FQ","FILING_STATUS=MR","SCALING_FORMAT=MLN","Sort=A","Dates=H","DateFormat=P","Fill=—","Direction=H","UseDPDF=Y")</f>
        <v>17.803000000000001</v>
      </c>
      <c r="Q29" s="13">
        <f>_xll.BDH("SRPT US Equity","ARD_OTHER_CURRENT_LIABILITIES","FQ2 2022","FQ2 2022","Currency=USD","Period=FQ","BEST_FPERIOD_OVERRIDE=FQ","FILING_STATUS=MR","SCALING_FORMAT=MLN","Sort=A","Dates=H","DateFormat=P","Fill=—","Direction=H","UseDPDF=Y")</f>
        <v>16.416</v>
      </c>
      <c r="R29" s="13">
        <f>_xll.BDH("SRPT US Equity","ARD_OTHER_CURRENT_LIABILITIES","FQ3 2022","FQ3 2022","Currency=USD","Period=FQ","BEST_FPERIOD_OVERRIDE=FQ","FILING_STATUS=MR","SCALING_FORMAT=MLN","Sort=A","Dates=H","DateFormat=P","Fill=—","Direction=H","UseDPDF=Y")</f>
        <v>26.213000000000001</v>
      </c>
      <c r="S29" s="13">
        <f>_xll.BDH("SRPT US Equity","ARD_OTHER_CURRENT_LIABILITIES","FQ4 2022","FQ4 2022","Currency=USD","Period=FQ","BEST_FPERIOD_OVERRIDE=FQ","FILING_STATUS=MR","SCALING_FORMAT=MLN","Sort=A","Dates=H","DateFormat=P","Fill=—","Direction=H","UseDPDF=Y")</f>
        <v>15.489000000000001</v>
      </c>
      <c r="T29" s="13">
        <f>_xll.BDH("SRPT US Equity","ARD_OTHER_CURRENT_LIABILITIES","FQ1 2023","FQ1 2023","Currency=USD","Period=FQ","BEST_FPERIOD_OVERRIDE=FQ","FILING_STATUS=MR","SCALING_FORMAT=MLN","Sort=A","Dates=H","DateFormat=P","Fill=—","Direction=H","UseDPDF=Y")</f>
        <v>17.381</v>
      </c>
      <c r="U29" s="13">
        <f>_xll.BDH("SRPT US Equity","ARD_OTHER_CURRENT_LIABILITIES","FQ2 2023","FQ2 2023","Currency=USD","Period=FQ","BEST_FPERIOD_OVERRIDE=FQ","FILING_STATUS=MR","SCALING_FORMAT=MLN","Sort=A","Dates=H","DateFormat=P","Fill=—","Direction=H","UseDPDF=Y")</f>
        <v>16.992000000000001</v>
      </c>
      <c r="V29" s="13">
        <f>_xll.BDH("SRPT US Equity","ARD_OTHER_CURRENT_LIABILITIES","FQ3 2023","FQ3 2023","Currency=USD","Period=FQ","BEST_FPERIOD_OVERRIDE=FQ","FILING_STATUS=MR","SCALING_FORMAT=MLN","Sort=A","Dates=H","DateFormat=P","Fill=—","Direction=H","UseDPDF=Y")</f>
        <v>17.951000000000001</v>
      </c>
      <c r="W29" s="13">
        <f>_xll.BDH("SRPT US Equity","ARD_OTHER_CURRENT_LIABILITIES","FQ4 2023","FQ4 2023","Currency=USD","Period=FQ","BEST_FPERIOD_OVERRIDE=FQ","FILING_STATUS=MR","SCALING_FORMAT=MLN","Sort=A","Dates=H","DateFormat=P","Fill=—","Direction=H","UseDPDF=Y")</f>
        <v>17.844999999999999</v>
      </c>
      <c r="X29" s="13">
        <f>_xll.BDH("SRPT US Equity","ARD_OTHER_CURRENT_LIABILITIES","FQ1 2024","FQ1 2024","Currency=USD","Period=FQ","BEST_FPERIOD_OVERRIDE=FQ","FILING_STATUS=MR","SCALING_FORMAT=MLN","Sort=A","Dates=H","DateFormat=P","Fill=—","Direction=H","UseDPDF=Y")</f>
        <v>16.27</v>
      </c>
      <c r="Y29" s="13">
        <f>_xll.BDH("SRPT US Equity","ARD_OTHER_CURRENT_LIABILITIES","FQ2 2024","FQ2 2024","Currency=USD","Period=FQ","BEST_FPERIOD_OVERRIDE=FQ","FILING_STATUS=MR","SCALING_FORMAT=MLN","Sort=A","Dates=H","DateFormat=P","Fill=—","Direction=H","UseDPDF=Y")</f>
        <v>17.128</v>
      </c>
      <c r="Z29" s="13">
        <f>_xll.BDH("SRPT US Equity","ARD_OTHER_CURRENT_LIABILITIES","FQ3 2024","FQ3 2024","Currency=USD","Period=FQ","BEST_FPERIOD_OVERRIDE=FQ","FILING_STATUS=MR","SCALING_FORMAT=MLN","Sort=A","Dates=H","DateFormat=P","Fill=—","Direction=H","UseDPDF=Y")</f>
        <v>17.289000000000001</v>
      </c>
      <c r="AA29" s="13">
        <f>_xll.BDH("SRPT US Equity","ARD_OTHER_CURRENT_LIABILITIES","FQ4 2024","FQ4 2024","Currency=USD","Period=FQ","BEST_FPERIOD_OVERRIDE=FQ","FILING_STATUS=MR","SCALING_FORMAT=MLN","Sort=A","Dates=H","DateFormat=P","Fill=—","Direction=H","UseDPDF=Y")</f>
        <v>13.473000000000001</v>
      </c>
    </row>
    <row r="30" spans="1:27" x14ac:dyDescent="0.25">
      <c r="A30" s="6" t="s">
        <v>114</v>
      </c>
      <c r="B30" s="6" t="s">
        <v>887</v>
      </c>
      <c r="C30" s="19">
        <f>_xll.BDH("SRPT US Equity","ARD_TOTAL_CURRENT_LIABILITIES","FQ4 2018","FQ4 2018","Currency=USD","Period=FQ","BEST_FPERIOD_OVERRIDE=FQ","FILING_STATUS=MR","SCALING_FORMAT=MLN","Sort=A","Dates=H","DateFormat=P","Fill=—","Direction=H","UseDPDF=Y")</f>
        <v>173.69</v>
      </c>
      <c r="D30" s="19">
        <f>_xll.BDH("SRPT US Equity","ARD_TOTAL_CURRENT_LIABILITIES","FQ1 2019","FQ1 2019","Currency=USD","Period=FQ","BEST_FPERIOD_OVERRIDE=FQ","FILING_STATUS=MR","SCALING_FORMAT=MLN","Sort=A","Dates=H","DateFormat=P","Fill=—","Direction=H","UseDPDF=Y")</f>
        <v>137.36600000000001</v>
      </c>
      <c r="E30" s="19">
        <f>_xll.BDH("SRPT US Equity","ARD_TOTAL_CURRENT_LIABILITIES","FQ2 2019","FQ2 2019","Currency=USD","Period=FQ","BEST_FPERIOD_OVERRIDE=FQ","FILING_STATUS=MR","SCALING_FORMAT=MLN","Sort=A","Dates=H","DateFormat=P","Fill=—","Direction=H","UseDPDF=Y")</f>
        <v>162.089</v>
      </c>
      <c r="F30" s="19">
        <f>_xll.BDH("SRPT US Equity","ARD_TOTAL_CURRENT_LIABILITIES","FQ3 2019","FQ3 2019","Currency=USD","Period=FQ","BEST_FPERIOD_OVERRIDE=FQ","FILING_STATUS=MR","SCALING_FORMAT=MLN","Sort=A","Dates=H","DateFormat=P","Fill=—","Direction=H","UseDPDF=Y")</f>
        <v>215.85599999999999</v>
      </c>
      <c r="G30" s="19">
        <f>_xll.BDH("SRPT US Equity","ARD_TOTAL_CURRENT_LIABILITIES","FQ4 2019","FQ4 2019","Currency=USD","Period=FQ","BEST_FPERIOD_OVERRIDE=FQ","FILING_STATUS=MR","SCALING_FORMAT=MLN","Sort=A","Dates=H","DateFormat=P","Fill=—","Direction=H","UseDPDF=Y")</f>
        <v>264.767</v>
      </c>
      <c r="H30" s="19">
        <f>_xll.BDH("SRPT US Equity","ARD_TOTAL_CURRENT_LIABILITIES","FQ1 2020","FQ1 2020","Currency=USD","Period=FQ","BEST_FPERIOD_OVERRIDE=FQ","FILING_STATUS=MR","SCALING_FORMAT=MLN","Sort=A","Dates=H","DateFormat=P","Fill=—","Direction=H","UseDPDF=Y")</f>
        <v>306.42899999999997</v>
      </c>
      <c r="I30" s="19">
        <f>_xll.BDH("SRPT US Equity","ARD_TOTAL_CURRENT_LIABILITIES","FQ2 2020","FQ2 2020","Currency=USD","Period=FQ","BEST_FPERIOD_OVERRIDE=FQ","FILING_STATUS=MR","SCALING_FORMAT=MLN","Sort=A","Dates=H","DateFormat=P","Fill=—","Direction=H","UseDPDF=Y")</f>
        <v>354.89600000000002</v>
      </c>
      <c r="J30" s="19">
        <f>_xll.BDH("SRPT US Equity","ARD_TOTAL_CURRENT_LIABILITIES","FQ3 2020","FQ3 2020","Currency=USD","Period=FQ","BEST_FPERIOD_OVERRIDE=FQ","FILING_STATUS=MR","SCALING_FORMAT=MLN","Sort=A","Dates=H","DateFormat=P","Fill=—","Direction=H","UseDPDF=Y")</f>
        <v>378.38799999999998</v>
      </c>
      <c r="K30" s="19">
        <f>_xll.BDH("SRPT US Equity","ARD_TOTAL_CURRENT_LIABILITIES","FQ4 2020","FQ4 2020","Currency=USD","Period=FQ","BEST_FPERIOD_OVERRIDE=FQ","FILING_STATUS=MR","SCALING_FORMAT=MLN","Sort=A","Dates=H","DateFormat=P","Fill=—","Direction=H","UseDPDF=Y")</f>
        <v>416.02600000000001</v>
      </c>
      <c r="L30" s="19">
        <f>_xll.BDH("SRPT US Equity","ARD_TOTAL_CURRENT_LIABILITIES","FQ1 2021","FQ1 2021","Currency=USD","Period=FQ","BEST_FPERIOD_OVERRIDE=FQ","FILING_STATUS=MR","SCALING_FORMAT=MLN","Sort=A","Dates=H","DateFormat=P","Fill=—","Direction=H","UseDPDF=Y")</f>
        <v>364.73599999999999</v>
      </c>
      <c r="M30" s="19">
        <f>_xll.BDH("SRPT US Equity","ARD_TOTAL_CURRENT_LIABILITIES","FQ2 2021","FQ2 2021","Currency=USD","Period=FQ","BEST_FPERIOD_OVERRIDE=FQ","FILING_STATUS=MR","SCALING_FORMAT=MLN","Sort=A","Dates=H","DateFormat=P","Fill=—","Direction=H","UseDPDF=Y")</f>
        <v>425.02199999999999</v>
      </c>
      <c r="N30" s="19">
        <f>_xll.BDH("SRPT US Equity","ARD_TOTAL_CURRENT_LIABILITIES","FQ3 2021","FQ3 2021","Currency=USD","Period=FQ","BEST_FPERIOD_OVERRIDE=FQ","FILING_STATUS=MR","SCALING_FORMAT=MLN","Sort=A","Dates=H","DateFormat=P","Fill=—","Direction=H","UseDPDF=Y")</f>
        <v>373.44299999999998</v>
      </c>
      <c r="O30" s="19">
        <f>_xll.BDH("SRPT US Equity","ARD_TOTAL_CURRENT_LIABILITIES","FQ4 2021","FQ4 2021","Currency=USD","Period=FQ","BEST_FPERIOD_OVERRIDE=FQ","FILING_STATUS=MR","SCALING_FORMAT=MLN","Sort=A","Dates=H","DateFormat=P","Fill=—","Direction=H","UseDPDF=Y")</f>
        <v>452.733</v>
      </c>
      <c r="P30" s="19">
        <f>_xll.BDH("SRPT US Equity","ARD_TOTAL_CURRENT_LIABILITIES","FQ1 2022","FQ1 2022","Currency=USD","Period=FQ","BEST_FPERIOD_OVERRIDE=FQ","FILING_STATUS=MR","SCALING_FORMAT=MLN","Sort=A","Dates=H","DateFormat=P","Fill=—","Direction=H","UseDPDF=Y")</f>
        <v>454.96199999999999</v>
      </c>
      <c r="Q30" s="19">
        <f>_xll.BDH("SRPT US Equity","ARD_TOTAL_CURRENT_LIABILITIES","FQ2 2022","FQ2 2022","Currency=USD","Period=FQ","BEST_FPERIOD_OVERRIDE=FQ","FILING_STATUS=MR","SCALING_FORMAT=MLN","Sort=A","Dates=H","DateFormat=P","Fill=—","Direction=H","UseDPDF=Y")</f>
        <v>545.56600000000003</v>
      </c>
      <c r="R30" s="19">
        <f>_xll.BDH("SRPT US Equity","ARD_TOTAL_CURRENT_LIABILITIES","FQ3 2022","FQ3 2022","Currency=USD","Period=FQ","BEST_FPERIOD_OVERRIDE=FQ","FILING_STATUS=MR","SCALING_FORMAT=MLN","Sort=A","Dates=H","DateFormat=P","Fill=—","Direction=H","UseDPDF=Y")</f>
        <v>602.91600000000005</v>
      </c>
      <c r="S30" s="19">
        <f>_xll.BDH("SRPT US Equity","ARD_TOTAL_CURRENT_LIABILITIES","FQ4 2022","FQ4 2022","Currency=USD","Period=FQ","BEST_FPERIOD_OVERRIDE=FQ","FILING_STATUS=MR","SCALING_FORMAT=MLN","Sort=A","Dates=H","DateFormat=P","Fill=—","Direction=H","UseDPDF=Y")</f>
        <v>619.60400000000004</v>
      </c>
      <c r="T30" s="19">
        <f>_xll.BDH("SRPT US Equity","ARD_TOTAL_CURRENT_LIABILITIES","FQ1 2023","FQ1 2023","Currency=USD","Period=FQ","BEST_FPERIOD_OVERRIDE=FQ","FILING_STATUS=MR","SCALING_FORMAT=MLN","Sort=A","Dates=H","DateFormat=P","Fill=—","Direction=H","UseDPDF=Y")</f>
        <v>536.88400000000001</v>
      </c>
      <c r="U30" s="19">
        <f>_xll.BDH("SRPT US Equity","ARD_TOTAL_CURRENT_LIABILITIES","FQ2 2023","FQ2 2023","Currency=USD","Period=FQ","BEST_FPERIOD_OVERRIDE=FQ","FILING_STATUS=MR","SCALING_FORMAT=MLN","Sort=A","Dates=H","DateFormat=P","Fill=—","Direction=H","UseDPDF=Y")</f>
        <v>498.654</v>
      </c>
      <c r="V30" s="19">
        <f>_xll.BDH("SRPT US Equity","ARD_TOTAL_CURRENT_LIABILITIES","FQ3 2023","FQ3 2023","Currency=USD","Period=FQ","BEST_FPERIOD_OVERRIDE=FQ","FILING_STATUS=MR","SCALING_FORMAT=MLN","Sort=A","Dates=H","DateFormat=P","Fill=—","Direction=H","UseDPDF=Y")</f>
        <v>450.74299999999999</v>
      </c>
      <c r="W30" s="19">
        <f>_xll.BDH("SRPT US Equity","ARD_TOTAL_CURRENT_LIABILITIES","FQ4 2023","FQ4 2023","Currency=USD","Period=FQ","BEST_FPERIOD_OVERRIDE=FQ","FILING_STATUS=MR","SCALING_FORMAT=MLN","Sort=A","Dates=H","DateFormat=P","Fill=—","Direction=H","UseDPDF=Y")</f>
        <v>653.65899999999999</v>
      </c>
      <c r="X30" s="19">
        <f>_xll.BDH("SRPT US Equity","ARD_TOTAL_CURRENT_LIABILITIES","FQ1 2024","FQ1 2024","Currency=USD","Period=FQ","BEST_FPERIOD_OVERRIDE=FQ","FILING_STATUS=MR","SCALING_FORMAT=MLN","Sort=A","Dates=H","DateFormat=P","Fill=—","Direction=H","UseDPDF=Y")</f>
        <v>608.70899999999995</v>
      </c>
      <c r="Y30" s="19">
        <f>_xll.BDH("SRPT US Equity","ARD_TOTAL_CURRENT_LIABILITIES","FQ2 2024","FQ2 2024","Currency=USD","Period=FQ","BEST_FPERIOD_OVERRIDE=FQ","FILING_STATUS=MR","SCALING_FORMAT=MLN","Sort=A","Dates=H","DateFormat=P","Fill=—","Direction=H","UseDPDF=Y")</f>
        <v>688.49</v>
      </c>
      <c r="Z30" s="19">
        <f>_xll.BDH("SRPT US Equity","ARD_TOTAL_CURRENT_LIABILITIES","FQ3 2024","FQ3 2024","Currency=USD","Period=FQ","BEST_FPERIOD_OVERRIDE=FQ","FILING_STATUS=MR","SCALING_FORMAT=MLN","Sort=A","Dates=H","DateFormat=P","Fill=—","Direction=H","UseDPDF=Y")</f>
        <v>699.48900000000003</v>
      </c>
      <c r="AA30" s="19">
        <f>_xll.BDH("SRPT US Equity","ARD_TOTAL_CURRENT_LIABILITIES","FQ4 2024","FQ4 2024","Currency=USD","Period=FQ","BEST_FPERIOD_OVERRIDE=FQ","FILING_STATUS=MR","SCALING_FORMAT=MLN","Sort=A","Dates=H","DateFormat=P","Fill=—","Direction=H","UseDPDF=Y")</f>
        <v>731.68399999999997</v>
      </c>
    </row>
    <row r="31" spans="1:27" x14ac:dyDescent="0.25">
      <c r="A31" s="10" t="s">
        <v>888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25">
      <c r="A32" s="10" t="s">
        <v>801</v>
      </c>
      <c r="B32" s="10" t="s">
        <v>889</v>
      </c>
      <c r="C32" s="13" t="str">
        <f>_xll.BDH("SRPT US Equity","ARD_TOT_NONCURRENT_LIABILITIES","FQ4 2018","FQ4 2018","Currency=USD","Period=FQ","BEST_FPERIOD_OVERRIDE=FQ","FILING_STATUS=MR","SCALING_FORMAT=MLN","Sort=A","Dates=H","DateFormat=P","Fill=—","Direction=H","UseDPDF=Y")</f>
        <v>—</v>
      </c>
      <c r="D32" s="13" t="str">
        <f>_xll.BDH("SRPT US Equity","ARD_TOT_NONCURRENT_LIABILITIES","FQ1 2019","FQ1 2019","Currency=USD","Period=FQ","BEST_FPERIOD_OVERRIDE=FQ","FILING_STATUS=MR","SCALING_FORMAT=MLN","Sort=A","Dates=H","DateFormat=P","Fill=—","Direction=H","UseDPDF=Y")</f>
        <v>—</v>
      </c>
      <c r="E32" s="13" t="str">
        <f>_xll.BDH("SRPT US Equity","ARD_TOT_NONCURRENT_LIABILITIES","FQ2 2019","FQ2 2019","Currency=USD","Period=FQ","BEST_FPERIOD_OVERRIDE=FQ","FILING_STATUS=MR","SCALING_FORMAT=MLN","Sort=A","Dates=H","DateFormat=P","Fill=—","Direction=H","UseDPDF=Y")</f>
        <v>—</v>
      </c>
      <c r="F32" s="13" t="str">
        <f>_xll.BDH("SRPT US Equity","ARD_TOT_NONCURRENT_LIABILITIES","FQ3 2019","FQ3 2019","Currency=USD","Period=FQ","BEST_FPERIOD_OVERRIDE=FQ","FILING_STATUS=MR","SCALING_FORMAT=MLN","Sort=A","Dates=H","DateFormat=P","Fill=—","Direction=H","UseDPDF=Y")</f>
        <v>—</v>
      </c>
      <c r="G32" s="13" t="str">
        <f>_xll.BDH("SRPT US Equity","ARD_TOT_NONCURRENT_LIABILITIES","FQ4 2019","FQ4 2019","Currency=USD","Period=FQ","BEST_FPERIOD_OVERRIDE=FQ","FILING_STATUS=MR","SCALING_FORMAT=MLN","Sort=A","Dates=H","DateFormat=P","Fill=—","Direction=H","UseDPDF=Y")</f>
        <v>—</v>
      </c>
      <c r="H32" s="13" t="str">
        <f>_xll.BDH("SRPT US Equity","ARD_TOT_NONCURRENT_LIABILITIES","FQ1 2020","FQ1 2020","Currency=USD","Period=FQ","BEST_FPERIOD_OVERRIDE=FQ","FILING_STATUS=MR","SCALING_FORMAT=MLN","Sort=A","Dates=H","DateFormat=P","Fill=—","Direction=H","UseDPDF=Y")</f>
        <v>—</v>
      </c>
      <c r="I32" s="13" t="str">
        <f>_xll.BDH("SRPT US Equity","ARD_TOT_NONCURRENT_LIABILITIES","FQ2 2020","FQ2 2020","Currency=USD","Period=FQ","BEST_FPERIOD_OVERRIDE=FQ","FILING_STATUS=MR","SCALING_FORMAT=MLN","Sort=A","Dates=H","DateFormat=P","Fill=—","Direction=H","UseDPDF=Y")</f>
        <v>—</v>
      </c>
      <c r="J32" s="13" t="str">
        <f>_xll.BDH("SRPT US Equity","ARD_TOT_NONCURRENT_LIABILITIES","FQ3 2020","FQ3 2020","Currency=USD","Period=FQ","BEST_FPERIOD_OVERRIDE=FQ","FILING_STATUS=MR","SCALING_FORMAT=MLN","Sort=A","Dates=H","DateFormat=P","Fill=—","Direction=H","UseDPDF=Y")</f>
        <v>—</v>
      </c>
      <c r="K32" s="13" t="str">
        <f>_xll.BDH("SRPT US Equity","ARD_TOT_NONCURRENT_LIABILITIES","FQ4 2020","FQ4 2020","Currency=USD","Period=FQ","BEST_FPERIOD_OVERRIDE=FQ","FILING_STATUS=MR","SCALING_FORMAT=MLN","Sort=A","Dates=H","DateFormat=P","Fill=—","Direction=H","UseDPDF=Y")</f>
        <v>—</v>
      </c>
      <c r="L32" s="13" t="str">
        <f>_xll.BDH("SRPT US Equity","ARD_TOT_NONCURRENT_LIABILITIES","FQ1 2021","FQ1 2021","Currency=USD","Period=FQ","BEST_FPERIOD_OVERRIDE=FQ","FILING_STATUS=MR","SCALING_FORMAT=MLN","Sort=A","Dates=H","DateFormat=P","Fill=—","Direction=H","UseDPDF=Y")</f>
        <v>—</v>
      </c>
      <c r="M32" s="13" t="str">
        <f>_xll.BDH("SRPT US Equity","ARD_TOT_NONCURRENT_LIABILITIES","FQ2 2021","FQ2 2021","Currency=USD","Period=FQ","BEST_FPERIOD_OVERRIDE=FQ","FILING_STATUS=MR","SCALING_FORMAT=MLN","Sort=A","Dates=H","DateFormat=P","Fill=—","Direction=H","UseDPDF=Y")</f>
        <v>—</v>
      </c>
      <c r="N32" s="13" t="str">
        <f>_xll.BDH("SRPT US Equity","ARD_TOT_NONCURRENT_LIABILITIES","FQ3 2021","FQ3 2021","Currency=USD","Period=FQ","BEST_FPERIOD_OVERRIDE=FQ","FILING_STATUS=MR","SCALING_FORMAT=MLN","Sort=A","Dates=H","DateFormat=P","Fill=—","Direction=H","UseDPDF=Y")</f>
        <v>—</v>
      </c>
      <c r="O32" s="13" t="str">
        <f>_xll.BDH("SRPT US Equity","ARD_TOT_NONCURRENT_LIABILITIES","FQ4 2021","FQ4 2021","Currency=USD","Period=FQ","BEST_FPERIOD_OVERRIDE=FQ","FILING_STATUS=MR","SCALING_FORMAT=MLN","Sort=A","Dates=H","DateFormat=P","Fill=—","Direction=H","UseDPDF=Y")</f>
        <v>—</v>
      </c>
      <c r="P32" s="13">
        <f>_xll.BDH("SRPT US Equity","ARD_TOT_NONCURRENT_LIABILITIES","FQ1 2022","FQ1 2022","Currency=USD","Period=FQ","BEST_FPERIOD_OVERRIDE=FQ","FILING_STATUS=MR","SCALING_FORMAT=MLN","Sort=A","Dates=H","DateFormat=P","Fill=—","Direction=H","UseDPDF=Y")</f>
        <v>1744.306</v>
      </c>
      <c r="Q32" s="13">
        <f>_xll.BDH("SRPT US Equity","ARD_TOT_NONCURRENT_LIABILITIES","FQ2 2022","FQ2 2022","Currency=USD","Period=FQ","BEST_FPERIOD_OVERRIDE=FQ","FILING_STATUS=MR","SCALING_FORMAT=MLN","Sort=A","Dates=H","DateFormat=P","Fill=—","Direction=H","UseDPDF=Y")</f>
        <v>1724.83</v>
      </c>
      <c r="R32" s="13">
        <f>_xll.BDH("SRPT US Equity","ARD_TOT_NONCURRENT_LIABILITIES","FQ3 2022","FQ3 2022","Currency=USD","Period=FQ","BEST_FPERIOD_OVERRIDE=FQ","FILING_STATUS=MR","SCALING_FORMAT=MLN","Sort=A","Dates=H","DateFormat=P","Fill=—","Direction=H","UseDPDF=Y")</f>
        <v>2122.393</v>
      </c>
      <c r="S32" s="13" t="str">
        <f>_xll.BDH("SRPT US Equity","ARD_TOT_NONCURRENT_LIABILITIES","FQ4 2022","FQ4 2022","Currency=USD","Period=FQ","BEST_FPERIOD_OVERRIDE=FQ","FILING_STATUS=MR","SCALING_FORMAT=MLN","Sort=A","Dates=H","DateFormat=P","Fill=—","Direction=H","UseDPDF=Y")</f>
        <v>—</v>
      </c>
      <c r="T32" s="13">
        <f>_xll.BDH("SRPT US Equity","ARD_TOT_NONCURRENT_LIABILITIES","FQ1 2023","FQ1 2023","Currency=USD","Period=FQ","BEST_FPERIOD_OVERRIDE=FQ","FILING_STATUS=MR","SCALING_FORMAT=MLN","Sort=A","Dates=H","DateFormat=P","Fill=—","Direction=H","UseDPDF=Y")</f>
        <v>1810.153</v>
      </c>
      <c r="U32" s="13">
        <f>_xll.BDH("SRPT US Equity","ARD_TOT_NONCURRENT_LIABILITIES","FQ2 2023","FQ2 2023","Currency=USD","Period=FQ","BEST_FPERIOD_OVERRIDE=FQ","FILING_STATUS=MR","SCALING_FORMAT=MLN","Sort=A","Dates=H","DateFormat=P","Fill=—","Direction=H","UseDPDF=Y")</f>
        <v>1885.825</v>
      </c>
      <c r="V32" s="13">
        <f>_xll.BDH("SRPT US Equity","ARD_TOT_NONCURRENT_LIABILITIES","FQ3 2023","FQ3 2023","Currency=USD","Period=FQ","BEST_FPERIOD_OVERRIDE=FQ","FILING_STATUS=MR","SCALING_FORMAT=MLN","Sort=A","Dates=H","DateFormat=P","Fill=—","Direction=H","UseDPDF=Y")</f>
        <v>1894.607</v>
      </c>
      <c r="W32" s="13">
        <f>_xll.BDH("SRPT US Equity","ARD_TOT_NONCURRENT_LIABILITIES","FQ4 2023","FQ4 2023","Currency=USD","Period=FQ","BEST_FPERIOD_OVERRIDE=FQ","FILING_STATUS=MR","SCALING_FORMAT=MLN","Sort=A","Dates=H","DateFormat=P","Fill=—","Direction=H","UseDPDF=Y")</f>
        <v>1751.58</v>
      </c>
      <c r="X32" s="13">
        <f>_xll.BDH("SRPT US Equity","ARD_TOT_NONCURRENT_LIABILITIES","FQ1 2024","FQ1 2024","Currency=USD","Period=FQ","BEST_FPERIOD_OVERRIDE=FQ","FILING_STATUS=MR","SCALING_FORMAT=MLN","Sort=A","Dates=H","DateFormat=P","Fill=—","Direction=H","UseDPDF=Y")</f>
        <v>1654.4839999999999</v>
      </c>
      <c r="Y32" s="13">
        <f>_xll.BDH("SRPT US Equity","ARD_TOT_NONCURRENT_LIABILITIES","FQ2 2024","FQ2 2024","Currency=USD","Period=FQ","BEST_FPERIOD_OVERRIDE=FQ","FILING_STATUS=MR","SCALING_FORMAT=MLN","Sort=A","Dates=H","DateFormat=P","Fill=—","Direction=H","UseDPDF=Y")</f>
        <v>1658.6980000000001</v>
      </c>
      <c r="Z32" s="13" t="str">
        <f>_xll.BDH("SRPT US Equity","ARD_TOT_NONCURRENT_LIABILITIES","FQ3 2024","FQ3 2024","Currency=USD","Period=FQ","BEST_FPERIOD_OVERRIDE=FQ","FILING_STATUS=MR","SCALING_FORMAT=MLN","Sort=A","Dates=H","DateFormat=P","Fill=—","Direction=H","UseDPDF=Y")</f>
        <v>—</v>
      </c>
      <c r="AA32" s="13" t="str">
        <f>_xll.BDH("SRPT US Equity","ARD_TOT_NONCURRENT_LIABILITIES","FQ4 2024","FQ4 2024","Currency=USD","Period=FQ","BEST_FPERIOD_OVERRIDE=FQ","FILING_STATUS=MR","SCALING_FORMAT=MLN","Sort=A","Dates=H","DateFormat=P","Fill=—","Direction=H","UseDPDF=Y")</f>
        <v>—</v>
      </c>
    </row>
    <row r="33" spans="1:27" x14ac:dyDescent="0.25">
      <c r="A33" s="10" t="s">
        <v>890</v>
      </c>
      <c r="B33" s="10" t="s">
        <v>891</v>
      </c>
      <c r="C33" s="13">
        <f>_xll.BDH("SRPT US Equity","ARD_LT_DEBT","FQ4 2018","FQ4 2018","Currency=USD","Period=FQ","BEST_FPERIOD_OVERRIDE=FQ","FILING_STATUS=MR","SCALING_FORMAT=MLN","Sort=A","Dates=H","DateFormat=P","Fill=—","Direction=H","UseDPDF=Y")</f>
        <v>420.55399999999997</v>
      </c>
      <c r="D33" s="13">
        <f>_xll.BDH("SRPT US Equity","ARD_LT_DEBT","FQ1 2019","FQ1 2019","Currency=USD","Period=FQ","BEST_FPERIOD_OVERRIDE=FQ","FILING_STATUS=MR","SCALING_FORMAT=MLN","Sort=A","Dates=H","DateFormat=P","Fill=—","Direction=H","UseDPDF=Y")</f>
        <v>425.75200000000001</v>
      </c>
      <c r="E33" s="13">
        <f>_xll.BDH("SRPT US Equity","ARD_LT_DEBT","FQ2 2019","FQ2 2019","Currency=USD","Period=FQ","BEST_FPERIOD_OVERRIDE=FQ","FILING_STATUS=MR","SCALING_FORMAT=MLN","Sort=A","Dates=H","DateFormat=P","Fill=—","Direction=H","UseDPDF=Y")</f>
        <v>431.04</v>
      </c>
      <c r="F33" s="13">
        <f>_xll.BDH("SRPT US Equity","ARD_LT_DEBT","FQ3 2019","FQ3 2019","Currency=USD","Period=FQ","BEST_FPERIOD_OVERRIDE=FQ","FILING_STATUS=MR","SCALING_FORMAT=MLN","Sort=A","Dates=H","DateFormat=P","Fill=—","Direction=H","UseDPDF=Y")</f>
        <v>436.42099999999999</v>
      </c>
      <c r="G33" s="13">
        <f>_xll.BDH("SRPT US Equity","ARD_LT_DEBT","FQ4 2019","FQ4 2019","Currency=USD","Period=FQ","BEST_FPERIOD_OVERRIDE=FQ","FILING_STATUS=MR","SCALING_FORMAT=MLN","Sort=A","Dates=H","DateFormat=P","Fill=—","Direction=H","UseDPDF=Y")</f>
        <v>681.9</v>
      </c>
      <c r="H33" s="13">
        <f>_xll.BDH("SRPT US Equity","ARD_LT_DEBT","FQ1 2020","FQ1 2020","Currency=USD","Period=FQ","BEST_FPERIOD_OVERRIDE=FQ","FILING_STATUS=MR","SCALING_FORMAT=MLN","Sort=A","Dates=H","DateFormat=P","Fill=—","Direction=H","UseDPDF=Y")</f>
        <v>687.95299999999997</v>
      </c>
      <c r="I33" s="13">
        <f>_xll.BDH("SRPT US Equity","ARD_LT_DEBT","FQ2 2020","FQ2 2020","Currency=USD","Period=FQ","BEST_FPERIOD_OVERRIDE=FQ","FILING_STATUS=MR","SCALING_FORMAT=MLN","Sort=A","Dates=H","DateFormat=P","Fill=—","Direction=H","UseDPDF=Y")</f>
        <v>694.15599999999995</v>
      </c>
      <c r="J33" s="13">
        <f>_xll.BDH("SRPT US Equity","ARD_LT_DEBT","FQ3 2020","FQ3 2020","Currency=USD","Period=FQ","BEST_FPERIOD_OVERRIDE=FQ","FILING_STATUS=MR","SCALING_FORMAT=MLN","Sort=A","Dates=H","DateFormat=P","Fill=—","Direction=H","UseDPDF=Y")</f>
        <v>700.47</v>
      </c>
      <c r="K33" s="13">
        <f>_xll.BDH("SRPT US Equity","ARD_LT_DEBT","FQ4 2020","FQ4 2020","Currency=USD","Period=FQ","BEST_FPERIOD_OVERRIDE=FQ","FILING_STATUS=MR","SCALING_FORMAT=MLN","Sort=A","Dates=H","DateFormat=P","Fill=—","Direction=H","UseDPDF=Y")</f>
        <v>992.49300000000005</v>
      </c>
      <c r="L33" s="13">
        <f>_xll.BDH("SRPT US Equity","ARD_LT_DEBT","FQ1 2021","FQ1 2021","Currency=USD","Period=FQ","BEST_FPERIOD_OVERRIDE=FQ","FILING_STATUS=MR","SCALING_FORMAT=MLN","Sort=A","Dates=H","DateFormat=P","Fill=—","Direction=H","UseDPDF=Y")</f>
        <v>1091.1099999999999</v>
      </c>
      <c r="M33" s="13">
        <f>_xll.BDH("SRPT US Equity","ARD_LT_DEBT","FQ2 2021","FQ2 2021","Currency=USD","Period=FQ","BEST_FPERIOD_OVERRIDE=FQ","FILING_STATUS=MR","SCALING_FORMAT=MLN","Sort=A","Dates=H","DateFormat=P","Fill=—","Direction=H","UseDPDF=Y")</f>
        <v>1092.9849999999999</v>
      </c>
      <c r="N33" s="13">
        <f>_xll.BDH("SRPT US Equity","ARD_LT_DEBT","FQ3 2021","FQ3 2021","Currency=USD","Period=FQ","BEST_FPERIOD_OVERRIDE=FQ","FILING_STATUS=MR","SCALING_FORMAT=MLN","Sort=A","Dates=H","DateFormat=P","Fill=—","Direction=H","UseDPDF=Y")</f>
        <v>1094.912</v>
      </c>
      <c r="O33" s="13">
        <f>_xll.BDH("SRPT US Equity","ARD_LT_DEBT","FQ4 2021","FQ4 2021","Currency=USD","Period=FQ","BEST_FPERIOD_OVERRIDE=FQ","FILING_STATUS=MR","SCALING_FORMAT=MLN","Sort=A","Dates=H","DateFormat=P","Fill=—","Direction=H","UseDPDF=Y")</f>
        <v>1096.876</v>
      </c>
      <c r="P33" s="13">
        <f>_xll.BDH("SRPT US Equity","ARD_LT_DEBT","FQ1 2022","FQ1 2022","Currency=USD","Period=FQ","BEST_FPERIOD_OVERRIDE=FQ","FILING_STATUS=MR","SCALING_FORMAT=MLN","Sort=A","Dates=H","DateFormat=P","Fill=—","Direction=H","UseDPDF=Y")</f>
        <v>1098.847</v>
      </c>
      <c r="Q33" s="13">
        <f>_xll.BDH("SRPT US Equity","ARD_LT_DEBT","FQ2 2022","FQ2 2022","Currency=USD","Period=FQ","BEST_FPERIOD_OVERRIDE=FQ","FILING_STATUS=MR","SCALING_FORMAT=MLN","Sort=A","Dates=H","DateFormat=P","Fill=—","Direction=H","UseDPDF=Y")</f>
        <v>1100.873</v>
      </c>
      <c r="R33" s="13">
        <f>_xll.BDH("SRPT US Equity","ARD_LT_DEBT","FQ3 2022","FQ3 2022","Currency=USD","Period=FQ","BEST_FPERIOD_OVERRIDE=FQ","FILING_STATUS=MR","SCALING_FORMAT=MLN","Sort=A","Dates=H","DateFormat=P","Fill=—","Direction=H","UseDPDF=Y")</f>
        <v>1542.77</v>
      </c>
      <c r="S33" s="13">
        <f>_xll.BDH("SRPT US Equity","ARD_LT_DEBT","FQ4 2022","FQ4 2022","Currency=USD","Period=FQ","BEST_FPERIOD_OVERRIDE=FQ","FILING_STATUS=MR","SCALING_FORMAT=MLN","Sort=A","Dates=H","DateFormat=P","Fill=—","Direction=H","UseDPDF=Y")</f>
        <v>1544.2919999999999</v>
      </c>
      <c r="T33" s="13">
        <f>_xll.BDH("SRPT US Equity","ARD_LT_DEBT","FQ1 2023","FQ1 2023","Currency=USD","Period=FQ","BEST_FPERIOD_OVERRIDE=FQ","FILING_STATUS=MR","SCALING_FORMAT=MLN","Sort=A","Dates=H","DateFormat=P","Fill=—","Direction=H","UseDPDF=Y")</f>
        <v>1234.2840000000001</v>
      </c>
      <c r="U33" s="13">
        <f>_xll.BDH("SRPT US Equity","ARD_LT_DEBT","FQ2 2023","FQ2 2023","Currency=USD","Period=FQ","BEST_FPERIOD_OVERRIDE=FQ","FILING_STATUS=MR","SCALING_FORMAT=MLN","Sort=A","Dates=H","DateFormat=P","Fill=—","Direction=H","UseDPDF=Y")</f>
        <v>1235.5170000000001</v>
      </c>
      <c r="V33" s="13">
        <f>_xll.BDH("SRPT US Equity","ARD_LT_DEBT","FQ3 2023","FQ3 2023","Currency=USD","Period=FQ","BEST_FPERIOD_OVERRIDE=FQ","FILING_STATUS=MR","SCALING_FORMAT=MLN","Sort=A","Dates=H","DateFormat=P","Fill=—","Direction=H","UseDPDF=Y")</f>
        <v>1236.7550000000001</v>
      </c>
      <c r="W33" s="13">
        <f>_xll.BDH("SRPT US Equity","ARD_LT_DEBT","FQ4 2023","FQ4 2023","Currency=USD","Period=FQ","BEST_FPERIOD_OVERRIDE=FQ","FILING_STATUS=MR","SCALING_FORMAT=MLN","Sort=A","Dates=H","DateFormat=P","Fill=—","Direction=H","UseDPDF=Y")</f>
        <v>1132.5150000000001</v>
      </c>
      <c r="X33" s="13">
        <f>_xll.BDH("SRPT US Equity","ARD_LT_DEBT","FQ1 2024","FQ1 2024","Currency=USD","Period=FQ","BEST_FPERIOD_OVERRIDE=FQ","FILING_STATUS=MR","SCALING_FORMAT=MLN","Sort=A","Dates=H","DateFormat=P","Fill=—","Direction=H","UseDPDF=Y")</f>
        <v>1133.6600000000001</v>
      </c>
      <c r="Y33" s="13">
        <f>_xll.BDH("SRPT US Equity","ARD_LT_DEBT","FQ2 2024","FQ2 2024","Currency=USD","Period=FQ","BEST_FPERIOD_OVERRIDE=FQ","FILING_STATUS=MR","SCALING_FORMAT=MLN","Sort=A","Dates=H","DateFormat=P","Fill=—","Direction=H","UseDPDF=Y")</f>
        <v>1134.81</v>
      </c>
      <c r="Z33" s="13">
        <f>_xll.BDH("SRPT US Equity","ARD_LT_DEBT","FQ3 2024","FQ3 2024","Currency=USD","Period=FQ","BEST_FPERIOD_OVERRIDE=FQ","FILING_STATUS=MR","SCALING_FORMAT=MLN","Sort=A","Dates=H","DateFormat=P","Fill=—","Direction=H","UseDPDF=Y")</f>
        <v>1135.9649999999999</v>
      </c>
      <c r="AA33" s="13">
        <f>_xll.BDH("SRPT US Equity","ARD_LT_DEBT","FQ4 2024","FQ4 2024","Currency=USD","Period=FQ","BEST_FPERIOD_OVERRIDE=FQ","FILING_STATUS=MR","SCALING_FORMAT=MLN","Sort=A","Dates=H","DateFormat=P","Fill=—","Direction=H","UseDPDF=Y")</f>
        <v>1137.124</v>
      </c>
    </row>
    <row r="34" spans="1:27" x14ac:dyDescent="0.25">
      <c r="A34" s="10" t="s">
        <v>892</v>
      </c>
      <c r="B34" s="10" t="s">
        <v>893</v>
      </c>
      <c r="C34" s="13" t="str">
        <f>_xll.BDH("SRPT US Equity","ARD_DEFERRED_UNEARNED_REV_LT","FQ4 2018","FQ4 2018","Currency=USD","Period=FQ","BEST_FPERIOD_OVERRIDE=FQ","FILING_STATUS=MR","SCALING_FORMAT=MLN","Sort=A","Dates=H","DateFormat=P","Fill=—","Direction=H","UseDPDF=Y")</f>
        <v>—</v>
      </c>
      <c r="D34" s="13" t="str">
        <f>_xll.BDH("SRPT US Equity","ARD_DEFERRED_UNEARNED_REV_LT","FQ1 2019","FQ1 2019","Currency=USD","Period=FQ","BEST_FPERIOD_OVERRIDE=FQ","FILING_STATUS=MR","SCALING_FORMAT=MLN","Sort=A","Dates=H","DateFormat=P","Fill=—","Direction=H","UseDPDF=Y")</f>
        <v>—</v>
      </c>
      <c r="E34" s="13" t="str">
        <f>_xll.BDH("SRPT US Equity","ARD_DEFERRED_UNEARNED_REV_LT","FQ2 2019","FQ2 2019","Currency=USD","Period=FQ","BEST_FPERIOD_OVERRIDE=FQ","FILING_STATUS=MR","SCALING_FORMAT=MLN","Sort=A","Dates=H","DateFormat=P","Fill=—","Direction=H","UseDPDF=Y")</f>
        <v>—</v>
      </c>
      <c r="F34" s="13" t="str">
        <f>_xll.BDH("SRPT US Equity","ARD_DEFERRED_UNEARNED_REV_LT","FQ3 2019","FQ3 2019","Currency=USD","Period=FQ","BEST_FPERIOD_OVERRIDE=FQ","FILING_STATUS=MR","SCALING_FORMAT=MLN","Sort=A","Dates=H","DateFormat=P","Fill=—","Direction=H","UseDPDF=Y")</f>
        <v>—</v>
      </c>
      <c r="G34" s="13" t="str">
        <f>_xll.BDH("SRPT US Equity","ARD_DEFERRED_UNEARNED_REV_LT","FQ4 2019","FQ4 2019","Currency=USD","Period=FQ","BEST_FPERIOD_OVERRIDE=FQ","FILING_STATUS=MR","SCALING_FORMAT=MLN","Sort=A","Dates=H","DateFormat=P","Fill=—","Direction=H","UseDPDF=Y")</f>
        <v>—</v>
      </c>
      <c r="H34" s="13">
        <f>_xll.BDH("SRPT US Equity","ARD_DEFERRED_UNEARNED_REV_LT","FQ1 2020","FQ1 2020","Currency=USD","Period=FQ","BEST_FPERIOD_OVERRIDE=FQ","FILING_STATUS=MR","SCALING_FORMAT=MLN","Sort=A","Dates=H","DateFormat=P","Fill=—","Direction=H","UseDPDF=Y")</f>
        <v>732.66700000000003</v>
      </c>
      <c r="I34" s="13">
        <f>_xll.BDH("SRPT US Equity","ARD_DEFERRED_UNEARNED_REV_LT","FQ2 2020","FQ2 2020","Currency=USD","Period=FQ","BEST_FPERIOD_OVERRIDE=FQ","FILING_STATUS=MR","SCALING_FORMAT=MLN","Sort=A","Dates=H","DateFormat=P","Fill=—","Direction=H","UseDPDF=Y")</f>
        <v>708.476</v>
      </c>
      <c r="J34" s="13">
        <f>_xll.BDH("SRPT US Equity","ARD_DEFERRED_UNEARNED_REV_LT","FQ3 2020","FQ3 2020","Currency=USD","Period=FQ","BEST_FPERIOD_OVERRIDE=FQ","FILING_STATUS=MR","SCALING_FORMAT=MLN","Sort=A","Dates=H","DateFormat=P","Fill=—","Direction=H","UseDPDF=Y")</f>
        <v>685.98199999999997</v>
      </c>
      <c r="K34" s="13">
        <f>_xll.BDH("SRPT US Equity","ARD_DEFERRED_UNEARNED_REV_LT","FQ4 2020","FQ4 2020","Currency=USD","Period=FQ","BEST_FPERIOD_OVERRIDE=FQ","FILING_STATUS=MR","SCALING_FORMAT=MLN","Sort=A","Dates=H","DateFormat=P","Fill=—","Direction=H","UseDPDF=Y")</f>
        <v>663.48800000000006</v>
      </c>
      <c r="L34" s="13">
        <f>_xll.BDH("SRPT US Equity","ARD_DEFERRED_UNEARNED_REV_LT","FQ1 2021","FQ1 2021","Currency=USD","Period=FQ","BEST_FPERIOD_OVERRIDE=FQ","FILING_STATUS=MR","SCALING_FORMAT=MLN","Sort=A","Dates=H","DateFormat=P","Fill=—","Direction=H","UseDPDF=Y")</f>
        <v>641.48299999999995</v>
      </c>
      <c r="M34" s="13">
        <f>_xll.BDH("SRPT US Equity","ARD_DEFERRED_UNEARNED_REV_LT","FQ2 2021","FQ2 2021","Currency=USD","Period=FQ","BEST_FPERIOD_OVERRIDE=FQ","FILING_STATUS=MR","SCALING_FORMAT=MLN","Sort=A","Dates=H","DateFormat=P","Fill=—","Direction=H","UseDPDF=Y")</f>
        <v>619.23299999999995</v>
      </c>
      <c r="N34" s="13">
        <f>_xll.BDH("SRPT US Equity","ARD_DEFERRED_UNEARNED_REV_LT","FQ3 2021","FQ3 2021","Currency=USD","Period=FQ","BEST_FPERIOD_OVERRIDE=FQ","FILING_STATUS=MR","SCALING_FORMAT=MLN","Sort=A","Dates=H","DateFormat=P","Fill=—","Direction=H","UseDPDF=Y")</f>
        <v>596.73800000000006</v>
      </c>
      <c r="O34" s="13">
        <f>_xll.BDH("SRPT US Equity","ARD_DEFERRED_UNEARNED_REV_LT","FQ4 2021","FQ4 2021","Currency=USD","Period=FQ","BEST_FPERIOD_OVERRIDE=FQ","FILING_STATUS=MR","SCALING_FORMAT=MLN","Sort=A","Dates=H","DateFormat=P","Fill=—","Direction=H","UseDPDF=Y")</f>
        <v>574.24400000000003</v>
      </c>
      <c r="P34" s="13">
        <f>_xll.BDH("SRPT US Equity","ARD_DEFERRED_UNEARNED_REV_LT","FQ1 2022","FQ1 2022","Currency=USD","Period=FQ","BEST_FPERIOD_OVERRIDE=FQ","FILING_STATUS=MR","SCALING_FORMAT=MLN","Sort=A","Dates=H","DateFormat=P","Fill=—","Direction=H","UseDPDF=Y")</f>
        <v>552.23900000000003</v>
      </c>
      <c r="Q34" s="13">
        <f>_xll.BDH("SRPT US Equity","ARD_DEFERRED_UNEARNED_REV_LT","FQ2 2022","FQ2 2022","Currency=USD","Period=FQ","BEST_FPERIOD_OVERRIDE=FQ","FILING_STATUS=MR","SCALING_FORMAT=MLN","Sort=A","Dates=H","DateFormat=P","Fill=—","Direction=H","UseDPDF=Y")</f>
        <v>529.98900000000003</v>
      </c>
      <c r="R34" s="13">
        <f>_xll.BDH("SRPT US Equity","ARD_DEFERRED_UNEARNED_REV_LT","FQ3 2022","FQ3 2022","Currency=USD","Period=FQ","BEST_FPERIOD_OVERRIDE=FQ","FILING_STATUS=MR","SCALING_FORMAT=MLN","Sort=A","Dates=H","DateFormat=P","Fill=—","Direction=H","UseDPDF=Y")</f>
        <v>507.49400000000003</v>
      </c>
      <c r="S34" s="13">
        <f>_xll.BDH("SRPT US Equity","ARD_DEFERRED_UNEARNED_REV_LT","FQ4 2022","FQ4 2022","Currency=USD","Period=FQ","BEST_FPERIOD_OVERRIDE=FQ","FILING_STATUS=MR","SCALING_FORMAT=MLN","Sort=A","Dates=H","DateFormat=P","Fill=—","Direction=H","UseDPDF=Y")</f>
        <v>485</v>
      </c>
      <c r="T34" s="13">
        <f>_xll.BDH("SRPT US Equity","ARD_DEFERRED_UNEARNED_REV_LT","FQ1 2023","FQ1 2023","Currency=USD","Period=FQ","BEST_FPERIOD_OVERRIDE=FQ","FILING_STATUS=MR","SCALING_FORMAT=MLN","Sort=A","Dates=H","DateFormat=P","Fill=—","Direction=H","UseDPDF=Y")</f>
        <v>485</v>
      </c>
      <c r="U34" s="13">
        <f>_xll.BDH("SRPT US Equity","ARD_DEFERRED_UNEARNED_REV_LT","FQ2 2023","FQ2 2023","Currency=USD","Period=FQ","BEST_FPERIOD_OVERRIDE=FQ","FILING_STATUS=MR","SCALING_FORMAT=MLN","Sort=A","Dates=H","DateFormat=P","Fill=—","Direction=H","UseDPDF=Y")</f>
        <v>485</v>
      </c>
      <c r="V34" s="13">
        <f>_xll.BDH("SRPT US Equity","ARD_DEFERRED_UNEARNED_REV_LT","FQ3 2023","FQ3 2023","Currency=USD","Period=FQ","BEST_FPERIOD_OVERRIDE=FQ","FILING_STATUS=MR","SCALING_FORMAT=MLN","Sort=A","Dates=H","DateFormat=P","Fill=—","Direction=H","UseDPDF=Y")</f>
        <v>485</v>
      </c>
      <c r="W34" s="13">
        <f>_xll.BDH("SRPT US Equity","ARD_DEFERRED_UNEARNED_REV_LT","FQ4 2023","FQ4 2023","Currency=USD","Period=FQ","BEST_FPERIOD_OVERRIDE=FQ","FILING_STATUS=MR","SCALING_FORMAT=MLN","Sort=A","Dates=H","DateFormat=P","Fill=—","Direction=H","UseDPDF=Y")</f>
        <v>437</v>
      </c>
      <c r="X34" s="13">
        <f>_xll.BDH("SRPT US Equity","ARD_DEFERRED_UNEARNED_REV_LT","FQ1 2024","FQ1 2024","Currency=USD","Period=FQ","BEST_FPERIOD_OVERRIDE=FQ","FILING_STATUS=MR","SCALING_FORMAT=MLN","Sort=A","Dates=H","DateFormat=P","Fill=—","Direction=H","UseDPDF=Y")</f>
        <v>325</v>
      </c>
      <c r="Y34" s="13">
        <f>_xll.BDH("SRPT US Equity","ARD_DEFERRED_UNEARNED_REV_LT","FQ2 2024","FQ2 2024","Currency=USD","Period=FQ","BEST_FPERIOD_OVERRIDE=FQ","FILING_STATUS=MR","SCALING_FORMAT=MLN","Sort=A","Dates=H","DateFormat=P","Fill=—","Direction=H","UseDPDF=Y")</f>
        <v>325</v>
      </c>
      <c r="Z34" s="13">
        <f>_xll.BDH("SRPT US Equity","ARD_DEFERRED_UNEARNED_REV_LT","FQ3 2024","FQ3 2024","Currency=USD","Period=FQ","BEST_FPERIOD_OVERRIDE=FQ","FILING_STATUS=MR","SCALING_FORMAT=MLN","Sort=A","Dates=H","DateFormat=P","Fill=—","Direction=H","UseDPDF=Y")</f>
        <v>325</v>
      </c>
      <c r="AA34" s="13">
        <f>_xll.BDH("SRPT US Equity","ARD_DEFERRED_UNEARNED_REV_LT","FQ4 2024","FQ4 2024","Currency=USD","Period=FQ","BEST_FPERIOD_OVERRIDE=FQ","FILING_STATUS=MR","SCALING_FORMAT=MLN","Sort=A","Dates=H","DateFormat=P","Fill=—","Direction=H","UseDPDF=Y")</f>
        <v>325</v>
      </c>
    </row>
    <row r="35" spans="1:27" x14ac:dyDescent="0.25">
      <c r="A35" s="10" t="s">
        <v>894</v>
      </c>
      <c r="B35" s="10" t="s">
        <v>895</v>
      </c>
      <c r="C35" s="13">
        <f>_xll.BDH("SRPT US Equity","ARD_OTH_NONCURRENT_LIABILITIES","FQ4 2018","FQ4 2018","Currency=USD","Period=FQ","BEST_FPERIOD_OVERRIDE=FQ","FILING_STATUS=MR","SCALING_FORMAT=MLN","Sort=A","Dates=H","DateFormat=P","Fill=—","Direction=H","UseDPDF=Y")</f>
        <v>15.555</v>
      </c>
      <c r="D35" s="13">
        <f>_xll.BDH("SRPT US Equity","ARD_OTH_NONCURRENT_LIABILITIES","FQ1 2019","FQ1 2019","Currency=USD","Period=FQ","BEST_FPERIOD_OVERRIDE=FQ","FILING_STATUS=MR","SCALING_FORMAT=MLN","Sort=A","Dates=H","DateFormat=P","Fill=—","Direction=H","UseDPDF=Y")</f>
        <v>4.8000000000000001E-2</v>
      </c>
      <c r="E35" s="13">
        <f>_xll.BDH("SRPT US Equity","ARD_OTH_NONCURRENT_LIABILITIES","FQ2 2019","FQ2 2019","Currency=USD","Period=FQ","BEST_FPERIOD_OVERRIDE=FQ","FILING_STATUS=MR","SCALING_FORMAT=MLN","Sort=A","Dates=H","DateFormat=P","Fill=—","Direction=H","UseDPDF=Y")</f>
        <v>5.2480000000000002</v>
      </c>
      <c r="F35" s="13">
        <f>_xll.BDH("SRPT US Equity","ARD_OTH_NONCURRENT_LIABILITIES","FQ3 2019","FQ3 2019","Currency=USD","Period=FQ","BEST_FPERIOD_OVERRIDE=FQ","FILING_STATUS=MR","SCALING_FORMAT=MLN","Sort=A","Dates=H","DateFormat=P","Fill=—","Direction=H","UseDPDF=Y")</f>
        <v>5.2480000000000002</v>
      </c>
      <c r="G35" s="13">
        <f>_xll.BDH("SRPT US Equity","ARD_OTH_NONCURRENT_LIABILITIES","FQ4 2019","FQ4 2019","Currency=USD","Period=FQ","BEST_FPERIOD_OVERRIDE=FQ","FILING_STATUS=MR","SCALING_FORMAT=MLN","Sort=A","Dates=H","DateFormat=P","Fill=—","Direction=H","UseDPDF=Y")</f>
        <v>10.247999999999999</v>
      </c>
      <c r="H35" s="13">
        <f>_xll.BDH("SRPT US Equity","ARD_OTH_NONCURRENT_LIABILITIES","FQ1 2020","FQ1 2020","Currency=USD","Period=FQ","BEST_FPERIOD_OVERRIDE=FQ","FILING_STATUS=MR","SCALING_FORMAT=MLN","Sort=A","Dates=H","DateFormat=P","Fill=—","Direction=H","UseDPDF=Y")</f>
        <v>10.247999999999999</v>
      </c>
      <c r="I35" s="13">
        <f>_xll.BDH("SRPT US Equity","ARD_OTH_NONCURRENT_LIABILITIES","FQ2 2020","FQ2 2020","Currency=USD","Period=FQ","BEST_FPERIOD_OVERRIDE=FQ","FILING_STATUS=MR","SCALING_FORMAT=MLN","Sort=A","Dates=H","DateFormat=P","Fill=—","Direction=H","UseDPDF=Y")</f>
        <v>10.247999999999999</v>
      </c>
      <c r="J35" s="13">
        <f>_xll.BDH("SRPT US Equity","ARD_OTH_NONCURRENT_LIABILITIES","FQ3 2020","FQ3 2020","Currency=USD","Period=FQ","BEST_FPERIOD_OVERRIDE=FQ","FILING_STATUS=MR","SCALING_FORMAT=MLN","Sort=A","Dates=H","DateFormat=P","Fill=—","Direction=H","UseDPDF=Y")</f>
        <v>55.548000000000002</v>
      </c>
      <c r="K35" s="13">
        <f>_xll.BDH("SRPT US Equity","ARD_OTH_NONCURRENT_LIABILITIES","FQ4 2020","FQ4 2020","Currency=USD","Period=FQ","BEST_FPERIOD_OVERRIDE=FQ","FILING_STATUS=MR","SCALING_FORMAT=MLN","Sort=A","Dates=H","DateFormat=P","Fill=—","Direction=H","UseDPDF=Y")</f>
        <v>70.584999999999994</v>
      </c>
      <c r="L35" s="13">
        <f>_xll.BDH("SRPT US Equity","ARD_OTH_NONCURRENT_LIABILITIES","FQ1 2021","FQ1 2021","Currency=USD","Period=FQ","BEST_FPERIOD_OVERRIDE=FQ","FILING_STATUS=MR","SCALING_FORMAT=MLN","Sort=A","Dates=H","DateFormat=P","Fill=—","Direction=H","UseDPDF=Y")</f>
        <v>71.784000000000006</v>
      </c>
      <c r="M35" s="13">
        <f>_xll.BDH("SRPT US Equity","ARD_OTH_NONCURRENT_LIABILITIES","FQ2 2021","FQ2 2021","Currency=USD","Period=FQ","BEST_FPERIOD_OVERRIDE=FQ","FILING_STATUS=MR","SCALING_FORMAT=MLN","Sort=A","Dates=H","DateFormat=P","Fill=—","Direction=H","UseDPDF=Y")</f>
        <v>71.44</v>
      </c>
      <c r="N35" s="13">
        <f>_xll.BDH("SRPT US Equity","ARD_OTH_NONCURRENT_LIABILITIES","FQ3 2021","FQ3 2021","Currency=USD","Period=FQ","BEST_FPERIOD_OVERRIDE=FQ","FILING_STATUS=MR","SCALING_FORMAT=MLN","Sort=A","Dates=H","DateFormat=P","Fill=—","Direction=H","UseDPDF=Y")</f>
        <v>64.168999999999997</v>
      </c>
      <c r="O35" s="13">
        <f>_xll.BDH("SRPT US Equity","ARD_OTH_NONCURRENT_LIABILITIES","FQ4 2021","FQ4 2021","Currency=USD","Period=FQ","BEST_FPERIOD_OVERRIDE=FQ","FILING_STATUS=MR","SCALING_FORMAT=MLN","Sort=A","Dates=H","DateFormat=P","Fill=—","Direction=H","UseDPDF=Y")</f>
        <v>54.6</v>
      </c>
      <c r="P35" s="13">
        <f>_xll.BDH("SRPT US Equity","ARD_OTH_NONCURRENT_LIABILITIES","FQ1 2022","FQ1 2022","Currency=USD","Period=FQ","BEST_FPERIOD_OVERRIDE=FQ","FILING_STATUS=MR","SCALING_FORMAT=MLN","Sort=A","Dates=H","DateFormat=P","Fill=—","Direction=H","UseDPDF=Y")</f>
        <v>54.6</v>
      </c>
      <c r="Q35" s="13">
        <f>_xll.BDH("SRPT US Equity","ARD_OTH_NONCURRENT_LIABILITIES","FQ2 2022","FQ2 2022","Currency=USD","Period=FQ","BEST_FPERIOD_OVERRIDE=FQ","FILING_STATUS=MR","SCALING_FORMAT=MLN","Sort=A","Dates=H","DateFormat=P","Fill=—","Direction=H","UseDPDF=Y")</f>
        <v>54.6</v>
      </c>
      <c r="R35" s="13">
        <f>_xll.BDH("SRPT US Equity","ARD_OTH_NONCURRENT_LIABILITIES","FQ3 2022","FQ3 2022","Currency=USD","Period=FQ","BEST_FPERIOD_OVERRIDE=FQ","FILING_STATUS=MR","SCALING_FORMAT=MLN","Sort=A","Dates=H","DateFormat=P","Fill=—","Direction=H","UseDPDF=Y")</f>
        <v>36.9</v>
      </c>
      <c r="S35" s="13">
        <f>_xll.BDH("SRPT US Equity","ARD_OTH_NONCURRENT_LIABILITIES","FQ4 2022","FQ4 2022","Currency=USD","Period=FQ","BEST_FPERIOD_OVERRIDE=FQ","FILING_STATUS=MR","SCALING_FORMAT=MLN","Sort=A","Dates=H","DateFormat=P","Fill=—","Direction=H","UseDPDF=Y")</f>
        <v>36.942</v>
      </c>
      <c r="T35" s="13">
        <f>_xll.BDH("SRPT US Equity","ARD_OTH_NONCURRENT_LIABILITIES","FQ1 2023","FQ1 2023","Currency=USD","Period=FQ","BEST_FPERIOD_OVERRIDE=FQ","FILING_STATUS=MR","SCALING_FORMAT=MLN","Sort=A","Dates=H","DateFormat=P","Fill=—","Direction=H","UseDPDF=Y")</f>
        <v>3.7999999999999999E-2</v>
      </c>
      <c r="U35" s="13">
        <f>_xll.BDH("SRPT US Equity","ARD_OTH_NONCURRENT_LIABILITIES","FQ2 2023","FQ2 2023","Currency=USD","Period=FQ","BEST_FPERIOD_OVERRIDE=FQ","FILING_STATUS=MR","SCALING_FORMAT=MLN","Sort=A","Dates=H","DateFormat=P","Fill=—","Direction=H","UseDPDF=Y")</f>
        <v>3.7999999999999999E-2</v>
      </c>
      <c r="V35" s="13">
        <f>_xll.BDH("SRPT US Equity","ARD_OTH_NONCURRENT_LIABILITIES","FQ3 2023","FQ3 2023","Currency=USD","Period=FQ","BEST_FPERIOD_OVERRIDE=FQ","FILING_STATUS=MR","SCALING_FORMAT=MLN","Sort=A","Dates=H","DateFormat=P","Fill=—","Direction=H","UseDPDF=Y")</f>
        <v>0</v>
      </c>
      <c r="W35" s="13">
        <f>_xll.BDH("SRPT US Equity","ARD_OTH_NONCURRENT_LIABILITIES","FQ4 2023","FQ4 2023","Currency=USD","Period=FQ","BEST_FPERIOD_OVERRIDE=FQ","FILING_STATUS=MR","SCALING_FORMAT=MLN","Sort=A","Dates=H","DateFormat=P","Fill=—","Direction=H","UseDPDF=Y")</f>
        <v>3</v>
      </c>
      <c r="X35" s="13">
        <f>_xll.BDH("SRPT US Equity","ARD_OTH_NONCURRENT_LIABILITIES","FQ1 2024","FQ1 2024","Currency=USD","Period=FQ","BEST_FPERIOD_OVERRIDE=FQ","FILING_STATUS=MR","SCALING_FORMAT=MLN","Sort=A","Dates=H","DateFormat=P","Fill=—","Direction=H","UseDPDF=Y")</f>
        <v>7.5220000000000002</v>
      </c>
      <c r="Y35" s="13">
        <f>_xll.BDH("SRPT US Equity","ARD_OTH_NONCURRENT_LIABILITIES","FQ2 2024","FQ2 2024","Currency=USD","Period=FQ","BEST_FPERIOD_OVERRIDE=FQ","FILING_STATUS=MR","SCALING_FORMAT=MLN","Sort=A","Dates=H","DateFormat=P","Fill=—","Direction=H","UseDPDF=Y")</f>
        <v>7.0869999999999997</v>
      </c>
      <c r="Z35" s="13">
        <f>_xll.BDH("SRPT US Equity","ARD_OTH_NONCURRENT_LIABILITIES","FQ3 2024","FQ3 2024","Currency=USD","Period=FQ","BEST_FPERIOD_OVERRIDE=FQ","FILING_STATUS=MR","SCALING_FORMAT=MLN","Sort=A","Dates=H","DateFormat=P","Fill=—","Direction=H","UseDPDF=Y")</f>
        <v>1</v>
      </c>
      <c r="AA35" s="13">
        <f>_xll.BDH("SRPT US Equity","ARD_OTH_NONCURRENT_LIABILITIES","FQ4 2024","FQ4 2024","Currency=USD","Period=FQ","BEST_FPERIOD_OVERRIDE=FQ","FILING_STATUS=MR","SCALING_FORMAT=MLN","Sort=A","Dates=H","DateFormat=P","Fill=—","Direction=H","UseDPDF=Y")</f>
        <v>1.75</v>
      </c>
    </row>
    <row r="36" spans="1:27" x14ac:dyDescent="0.25">
      <c r="A36" s="10" t="s">
        <v>896</v>
      </c>
      <c r="B36" s="10" t="s">
        <v>897</v>
      </c>
      <c r="C36" s="13" t="str">
        <f>_xll.BDH("SRPT US Equity","ARD_LT_OPERATING_LEASE_LIABS","FQ4 2018","FQ4 2018","Currency=USD","Period=FQ","BEST_FPERIOD_OVERRIDE=FQ","FILING_STATUS=MR","Sort=A","Dates=H","DateFormat=P","Fill=—","Direction=H","UseDPDF=Y")</f>
        <v>—</v>
      </c>
      <c r="D36" s="13">
        <f>_xll.BDH("SRPT US Equity","ARD_LT_OPERATING_LEASE_LIABS","FQ1 2019","FQ1 2019","Currency=USD","Period=FQ","BEST_FPERIOD_OVERRIDE=FQ","FILING_STATUS=MR","Sort=A","Dates=H","DateFormat=P","Fill=—","Direction=H","UseDPDF=Y")</f>
        <v>52.164999999999999</v>
      </c>
      <c r="E36" s="13">
        <f>_xll.BDH("SRPT US Equity","ARD_LT_OPERATING_LEASE_LIABS","FQ2 2019","FQ2 2019","Currency=USD","Period=FQ","BEST_FPERIOD_OVERRIDE=FQ","FILING_STATUS=MR","Sort=A","Dates=H","DateFormat=P","Fill=—","Direction=H","UseDPDF=Y")</f>
        <v>50.209000000000003</v>
      </c>
      <c r="F36" s="13">
        <f>_xll.BDH("SRPT US Equity","ARD_LT_OPERATING_LEASE_LIABS","FQ3 2019","FQ3 2019","Currency=USD","Period=FQ","BEST_FPERIOD_OVERRIDE=FQ","FILING_STATUS=MR","Sort=A","Dates=H","DateFormat=P","Fill=—","Direction=H","UseDPDF=Y")</f>
        <v>49.741</v>
      </c>
      <c r="G36" s="13">
        <f>_xll.BDH("SRPT US Equity","ARD_LT_OPERATING_LEASE_LIABS","FQ4 2019","FQ4 2019","Currency=USD","Period=FQ","BEST_FPERIOD_OVERRIDE=FQ","FILING_STATUS=MR","Sort=A","Dates=H","DateFormat=P","Fill=—","Direction=H","UseDPDF=Y")</f>
        <v>47.72</v>
      </c>
      <c r="H36" s="13">
        <f>_xll.BDH("SRPT US Equity","ARD_LT_OPERATING_LEASE_LIABS","FQ1 2020","FQ1 2020","Currency=USD","Period=FQ","BEST_FPERIOD_OVERRIDE=FQ","FILING_STATUS=MR","Sort=A","Dates=H","DateFormat=P","Fill=—","Direction=H","UseDPDF=Y")</f>
        <v>65.263000000000005</v>
      </c>
      <c r="I36" s="13">
        <f>_xll.BDH("SRPT US Equity","ARD_LT_OPERATING_LEASE_LIABS","FQ2 2020","FQ2 2020","Currency=USD","Period=FQ","BEST_FPERIOD_OVERRIDE=FQ","FILING_STATUS=MR","Sort=A","Dates=H","DateFormat=P","Fill=—","Direction=H","UseDPDF=Y")</f>
        <v>72.400999999999996</v>
      </c>
      <c r="J36" s="13">
        <f>_xll.BDH("SRPT US Equity","ARD_LT_OPERATING_LEASE_LIABS","FQ3 2020","FQ3 2020","Currency=USD","Period=FQ","BEST_FPERIOD_OVERRIDE=FQ","FILING_STATUS=MR","Sort=A","Dates=H","DateFormat=P","Fill=—","Direction=H","UseDPDF=Y")</f>
        <v>68.228999999999999</v>
      </c>
      <c r="K36" s="13">
        <f>_xll.BDH("SRPT US Equity","ARD_LT_OPERATING_LEASE_LIABS","FQ4 2020","FQ4 2020","Currency=USD","Period=FQ","BEST_FPERIOD_OVERRIDE=FQ","FILING_STATUS=MR","Sort=A","Dates=H","DateFormat=P","Fill=—","Direction=H","UseDPDF=Y")</f>
        <v>80.367000000000004</v>
      </c>
      <c r="L36" s="13">
        <f>_xll.BDH("SRPT US Equity","ARD_LT_OPERATING_LEASE_LIABS","FQ1 2021","FQ1 2021","Currency=USD","Period=FQ","BEST_FPERIOD_OVERRIDE=FQ","FILING_STATUS=MR","Sort=A","Dates=H","DateFormat=P","Fill=—","Direction=H","UseDPDF=Y")</f>
        <v>60.674999999999997</v>
      </c>
      <c r="M36" s="13">
        <f>_xll.BDH("SRPT US Equity","ARD_LT_OPERATING_LEASE_LIABS","FQ2 2021","FQ2 2021","Currency=USD","Period=FQ","BEST_FPERIOD_OVERRIDE=FQ","FILING_STATUS=MR","Sort=A","Dates=H","DateFormat=P","Fill=—","Direction=H","UseDPDF=Y")</f>
        <v>65.284999999999997</v>
      </c>
      <c r="N36" s="13">
        <f>_xll.BDH("SRPT US Equity","ARD_LT_OPERATING_LEASE_LIABS","FQ3 2021","FQ3 2021","Currency=USD","Period=FQ","BEST_FPERIOD_OVERRIDE=FQ","FILING_STATUS=MR","Sort=A","Dates=H","DateFormat=P","Fill=—","Direction=H","UseDPDF=Y")</f>
        <v>63.427999999999997</v>
      </c>
      <c r="O36" s="13">
        <f>_xll.BDH("SRPT US Equity","ARD_LT_OPERATING_LEASE_LIABS","FQ4 2021","FQ4 2021","Currency=USD","Period=FQ","BEST_FPERIOD_OVERRIDE=FQ","FILING_STATUS=MR","Sort=A","Dates=H","DateFormat=P","Fill=—","Direction=H","UseDPDF=Y")</f>
        <v>41.512</v>
      </c>
      <c r="P36" s="13">
        <f>_xll.BDH("SRPT US Equity","ARD_LT_OPERATING_LEASE_LIABS","FQ1 2022","FQ1 2022","Currency=USD","Period=FQ","BEST_FPERIOD_OVERRIDE=FQ","FILING_STATUS=MR","Sort=A","Dates=H","DateFormat=P","Fill=—","Direction=H","UseDPDF=Y")</f>
        <v>38.619999999999997</v>
      </c>
      <c r="Q36" s="13">
        <f>_xll.BDH("SRPT US Equity","ARD_LT_OPERATING_LEASE_LIABS","FQ2 2022","FQ2 2022","Currency=USD","Period=FQ","BEST_FPERIOD_OVERRIDE=FQ","FILING_STATUS=MR","Sort=A","Dates=H","DateFormat=P","Fill=—","Direction=H","UseDPDF=Y")</f>
        <v>39.368000000000002</v>
      </c>
      <c r="R36" s="13">
        <f>_xll.BDH("SRPT US Equity","ARD_LT_OPERATING_LEASE_LIABS","FQ3 2022","FQ3 2022","Currency=USD","Period=FQ","BEST_FPERIOD_OVERRIDE=FQ","FILING_STATUS=MR","Sort=A","Dates=H","DateFormat=P","Fill=—","Direction=H","UseDPDF=Y")</f>
        <v>35.228999999999999</v>
      </c>
      <c r="S36" s="13" t="str">
        <f>_xll.BDH("SRPT US Equity","ARD_LT_OPERATING_LEASE_LIABS","FQ4 2022","FQ4 2022","Currency=USD","Period=FQ","BEST_FPERIOD_OVERRIDE=FQ","FILING_STATUS=MR","Sort=A","Dates=H","DateFormat=P","Fill=—","Direction=H","UseDPDF=Y")</f>
        <v>—</v>
      </c>
      <c r="T36" s="13">
        <f>_xll.BDH("SRPT US Equity","ARD_LT_OPERATING_LEASE_LIABS","FQ1 2023","FQ1 2023","Currency=USD","Period=FQ","BEST_FPERIOD_OVERRIDE=FQ","FILING_STATUS=MR","Sort=A","Dates=H","DateFormat=P","Fill=—","Direction=H","UseDPDF=Y")</f>
        <v>53.930999999999997</v>
      </c>
      <c r="U36" s="13">
        <f>_xll.BDH("SRPT US Equity","ARD_LT_OPERATING_LEASE_LIABS","FQ2 2023","FQ2 2023","Currency=USD","Period=FQ","BEST_FPERIOD_OVERRIDE=FQ","FILING_STATUS=MR","Sort=A","Dates=H","DateFormat=P","Fill=—","Direction=H","UseDPDF=Y")</f>
        <v>129.16999999999999</v>
      </c>
      <c r="V36" s="13">
        <f>_xll.BDH("SRPT US Equity","ARD_LT_OPERATING_LEASE_LIABS","FQ3 2023","FQ3 2023","Currency=USD","Period=FQ","BEST_FPERIOD_OVERRIDE=FQ","FILING_STATUS=MR","Sort=A","Dates=H","DateFormat=P","Fill=—","Direction=H","UseDPDF=Y")</f>
        <v>134.75200000000001</v>
      </c>
      <c r="W36" s="13">
        <f>_xll.BDH("SRPT US Equity","ARD_LT_OPERATING_LEASE_LIABS","FQ4 2023","FQ4 2023","Currency=USD","Period=FQ","BEST_FPERIOD_OVERRIDE=FQ","FILING_STATUS=MR","Sort=A","Dates=H","DateFormat=P","Fill=—","Direction=H","UseDPDF=Y")</f>
        <v>140.965</v>
      </c>
      <c r="X36" s="13">
        <f>_xll.BDH("SRPT US Equity","ARD_LT_OPERATING_LEASE_LIABS","FQ1 2024","FQ1 2024","Currency=USD","Period=FQ","BEST_FPERIOD_OVERRIDE=FQ","FILING_STATUS=MR","Sort=A","Dates=H","DateFormat=P","Fill=—","Direction=H","UseDPDF=Y")</f>
        <v>140.102</v>
      </c>
      <c r="Y36" s="13">
        <f>_xll.BDH("SRPT US Equity","ARD_LT_OPERATING_LEASE_LIABS","FQ2 2024","FQ2 2024","Currency=USD","Period=FQ","BEST_FPERIOD_OVERRIDE=FQ","FILING_STATUS=MR","Sort=A","Dates=H","DateFormat=P","Fill=—","Direction=H","UseDPDF=Y")</f>
        <v>143.601</v>
      </c>
      <c r="Z36" s="13">
        <f>_xll.BDH("SRPT US Equity","ARD_LT_OPERATING_LEASE_LIABS","FQ3 2024","FQ3 2024","Currency=USD","Period=FQ","BEST_FPERIOD_OVERRIDE=FQ","FILING_STATUS=MR","Sort=A","Dates=H","DateFormat=P","Fill=—","Direction=H","UseDPDF=Y")</f>
        <v>170.00899999999999</v>
      </c>
      <c r="AA36" s="13">
        <f>_xll.BDH("SRPT US Equity","ARD_LT_OPERATING_LEASE_LIABS","FQ4 2024","FQ4 2024","Currency=USD","Period=FQ","BEST_FPERIOD_OVERRIDE=FQ","FILING_STATUS=MR","Sort=A","Dates=H","DateFormat=P","Fill=—","Direction=H","UseDPDF=Y")</f>
        <v>192.47300000000001</v>
      </c>
    </row>
    <row r="37" spans="1:27" x14ac:dyDescent="0.25">
      <c r="A37" s="6" t="s">
        <v>116</v>
      </c>
      <c r="B37" s="6" t="s">
        <v>898</v>
      </c>
      <c r="C37" s="19">
        <f>_xll.BDH("SRPT US Equity","ARD_TOT_LIABILITIES","FQ4 2018","FQ4 2018","Currency=USD","Period=FQ","BEST_FPERIOD_OVERRIDE=FQ","FILING_STATUS=MR","SCALING_FORMAT=MLN","Sort=A","Dates=H","DateFormat=P","Fill=—","Direction=H","UseDPDF=Y")</f>
        <v>609.79899999999998</v>
      </c>
      <c r="D37" s="19">
        <f>_xll.BDH("SRPT US Equity","ARD_TOT_LIABILITIES","FQ1 2019","FQ1 2019","Currency=USD","Period=FQ","BEST_FPERIOD_OVERRIDE=FQ","FILING_STATUS=MR","SCALING_FORMAT=MLN","Sort=A","Dates=H","DateFormat=P","Fill=—","Direction=H","UseDPDF=Y")</f>
        <v>615.33100000000002</v>
      </c>
      <c r="E37" s="19">
        <f>_xll.BDH("SRPT US Equity","ARD_TOT_LIABILITIES","FQ2 2019","FQ2 2019","Currency=USD","Period=FQ","BEST_FPERIOD_OVERRIDE=FQ","FILING_STATUS=MR","SCALING_FORMAT=MLN","Sort=A","Dates=H","DateFormat=P","Fill=—","Direction=H","UseDPDF=Y")</f>
        <v>648.58600000000001</v>
      </c>
      <c r="F37" s="19">
        <f>_xll.BDH("SRPT US Equity","ARD_TOT_LIABILITIES","FQ3 2019","FQ3 2019","Currency=USD","Period=FQ","BEST_FPERIOD_OVERRIDE=FQ","FILING_STATUS=MR","SCALING_FORMAT=MLN","Sort=A","Dates=H","DateFormat=P","Fill=—","Direction=H","UseDPDF=Y")</f>
        <v>707.26599999999996</v>
      </c>
      <c r="G37" s="19">
        <f>_xll.BDH("SRPT US Equity","ARD_TOT_LIABILITIES","FQ4 2019","FQ4 2019","Currency=USD","Period=FQ","BEST_FPERIOD_OVERRIDE=FQ","FILING_STATUS=MR","SCALING_FORMAT=MLN","Sort=A","Dates=H","DateFormat=P","Fill=—","Direction=H","UseDPDF=Y")</f>
        <v>1004.635</v>
      </c>
      <c r="H37" s="19">
        <f>_xll.BDH("SRPT US Equity","ARD_TOT_LIABILITIES","FQ1 2020","FQ1 2020","Currency=USD","Period=FQ","BEST_FPERIOD_OVERRIDE=FQ","FILING_STATUS=MR","SCALING_FORMAT=MLN","Sort=A","Dates=H","DateFormat=P","Fill=—","Direction=H","UseDPDF=Y")</f>
        <v>1802.56</v>
      </c>
      <c r="I37" s="19">
        <f>_xll.BDH("SRPT US Equity","ARD_TOT_LIABILITIES","FQ2 2020","FQ2 2020","Currency=USD","Period=FQ","BEST_FPERIOD_OVERRIDE=FQ","FILING_STATUS=MR","SCALING_FORMAT=MLN","Sort=A","Dates=H","DateFormat=P","Fill=—","Direction=H","UseDPDF=Y")</f>
        <v>1840.1769999999999</v>
      </c>
      <c r="J37" s="19">
        <f>_xll.BDH("SRPT US Equity","ARD_TOT_LIABILITIES","FQ3 2020","FQ3 2020","Currency=USD","Period=FQ","BEST_FPERIOD_OVERRIDE=FQ","FILING_STATUS=MR","SCALING_FORMAT=MLN","Sort=A","Dates=H","DateFormat=P","Fill=—","Direction=H","UseDPDF=Y")</f>
        <v>1888.617</v>
      </c>
      <c r="K37" s="19">
        <f>_xll.BDH("SRPT US Equity","ARD_TOT_LIABILITIES","FQ4 2020","FQ4 2020","Currency=USD","Period=FQ","BEST_FPERIOD_OVERRIDE=FQ","FILING_STATUS=MR","SCALING_FORMAT=MLN","Sort=A","Dates=H","DateFormat=P","Fill=—","Direction=H","UseDPDF=Y")</f>
        <v>2222.9589999999998</v>
      </c>
      <c r="L37" s="19">
        <f>_xll.BDH("SRPT US Equity","ARD_TOT_LIABILITIES","FQ1 2021","FQ1 2021","Currency=USD","Period=FQ","BEST_FPERIOD_OVERRIDE=FQ","FILING_STATUS=MR","SCALING_FORMAT=MLN","Sort=A","Dates=H","DateFormat=P","Fill=—","Direction=H","UseDPDF=Y")</f>
        <v>2229.788</v>
      </c>
      <c r="M37" s="19">
        <f>_xll.BDH("SRPT US Equity","ARD_TOT_LIABILITIES","FQ2 2021","FQ2 2021","Currency=USD","Period=FQ","BEST_FPERIOD_OVERRIDE=FQ","FILING_STATUS=MR","SCALING_FORMAT=MLN","Sort=A","Dates=H","DateFormat=P","Fill=—","Direction=H","UseDPDF=Y")</f>
        <v>2273.9650000000001</v>
      </c>
      <c r="N37" s="19">
        <f>_xll.BDH("SRPT US Equity","ARD_TOT_LIABILITIES","FQ3 2021","FQ3 2021","Currency=USD","Period=FQ","BEST_FPERIOD_OVERRIDE=FQ","FILING_STATUS=MR","SCALING_FORMAT=MLN","Sort=A","Dates=H","DateFormat=P","Fill=—","Direction=H","UseDPDF=Y")</f>
        <v>2192.69</v>
      </c>
      <c r="O37" s="19">
        <f>_xll.BDH("SRPT US Equity","ARD_TOT_LIABILITIES","FQ4 2021","FQ4 2021","Currency=USD","Period=FQ","BEST_FPERIOD_OVERRIDE=FQ","FILING_STATUS=MR","SCALING_FORMAT=MLN","Sort=A","Dates=H","DateFormat=P","Fill=—","Direction=H","UseDPDF=Y")</f>
        <v>2219.9650000000001</v>
      </c>
      <c r="P37" s="19">
        <f>_xll.BDH("SRPT US Equity","ARD_TOT_LIABILITIES","FQ1 2022","FQ1 2022","Currency=USD","Period=FQ","BEST_FPERIOD_OVERRIDE=FQ","FILING_STATUS=MR","SCALING_FORMAT=MLN","Sort=A","Dates=H","DateFormat=P","Fill=—","Direction=H","UseDPDF=Y")</f>
        <v>2199.268</v>
      </c>
      <c r="Q37" s="19">
        <f>_xll.BDH("SRPT US Equity","ARD_TOT_LIABILITIES","FQ2 2022","FQ2 2022","Currency=USD","Period=FQ","BEST_FPERIOD_OVERRIDE=FQ","FILING_STATUS=MR","SCALING_FORMAT=MLN","Sort=A","Dates=H","DateFormat=P","Fill=—","Direction=H","UseDPDF=Y")</f>
        <v>2270.3960000000002</v>
      </c>
      <c r="R37" s="19">
        <f>_xll.BDH("SRPT US Equity","ARD_TOT_LIABILITIES","FQ3 2022","FQ3 2022","Currency=USD","Period=FQ","BEST_FPERIOD_OVERRIDE=FQ","FILING_STATUS=MR","SCALING_FORMAT=MLN","Sort=A","Dates=H","DateFormat=P","Fill=—","Direction=H","UseDPDF=Y")</f>
        <v>2725.3090000000002</v>
      </c>
      <c r="S37" s="19">
        <f>_xll.BDH("SRPT US Equity","ARD_TOT_LIABILITIES","FQ4 2022","FQ4 2022","Currency=USD","Period=FQ","BEST_FPERIOD_OVERRIDE=FQ","FILING_STATUS=MR","SCALING_FORMAT=MLN","Sort=A","Dates=H","DateFormat=P","Fill=—","Direction=H","UseDPDF=Y")</f>
        <v>2743.4160000000002</v>
      </c>
      <c r="T37" s="19">
        <f>_xll.BDH("SRPT US Equity","ARD_TOT_LIABILITIES","FQ1 2023","FQ1 2023","Currency=USD","Period=FQ","BEST_FPERIOD_OVERRIDE=FQ","FILING_STATUS=MR","SCALING_FORMAT=MLN","Sort=A","Dates=H","DateFormat=P","Fill=—","Direction=H","UseDPDF=Y")</f>
        <v>2347.0369999999998</v>
      </c>
      <c r="U37" s="19">
        <f>_xll.BDH("SRPT US Equity","ARD_TOT_LIABILITIES","FQ2 2023","FQ2 2023","Currency=USD","Period=FQ","BEST_FPERIOD_OVERRIDE=FQ","FILING_STATUS=MR","SCALING_FORMAT=MLN","Sort=A","Dates=H","DateFormat=P","Fill=—","Direction=H","UseDPDF=Y")</f>
        <v>2384.4789999999998</v>
      </c>
      <c r="V37" s="19">
        <f>_xll.BDH("SRPT US Equity","ARD_TOT_LIABILITIES","FQ3 2023","FQ3 2023","Currency=USD","Period=FQ","BEST_FPERIOD_OVERRIDE=FQ","FILING_STATUS=MR","SCALING_FORMAT=MLN","Sort=A","Dates=H","DateFormat=P","Fill=—","Direction=H","UseDPDF=Y")</f>
        <v>2345.35</v>
      </c>
      <c r="W37" s="19">
        <f>_xll.BDH("SRPT US Equity","ARD_TOT_LIABILITIES","FQ4 2023","FQ4 2023","Currency=USD","Period=FQ","BEST_FPERIOD_OVERRIDE=FQ","FILING_STATUS=MR","SCALING_FORMAT=MLN","Sort=A","Dates=H","DateFormat=P","Fill=—","Direction=H","UseDPDF=Y")</f>
        <v>2405.239</v>
      </c>
      <c r="X37" s="19">
        <f>_xll.BDH("SRPT US Equity","ARD_TOT_LIABILITIES","FQ1 2024","FQ1 2024","Currency=USD","Period=FQ","BEST_FPERIOD_OVERRIDE=FQ","FILING_STATUS=MR","SCALING_FORMAT=MLN","Sort=A","Dates=H","DateFormat=P","Fill=—","Direction=H","UseDPDF=Y")</f>
        <v>2263.1930000000002</v>
      </c>
      <c r="Y37" s="19">
        <f>_xll.BDH("SRPT US Equity","ARD_TOT_LIABILITIES","FQ2 2024","FQ2 2024","Currency=USD","Period=FQ","BEST_FPERIOD_OVERRIDE=FQ","FILING_STATUS=MR","SCALING_FORMAT=MLN","Sort=A","Dates=H","DateFormat=P","Fill=—","Direction=H","UseDPDF=Y")</f>
        <v>2347.1880000000001</v>
      </c>
      <c r="Z37" s="19">
        <f>_xll.BDH("SRPT US Equity","ARD_TOT_LIABILITIES","FQ3 2024","FQ3 2024","Currency=USD","Period=FQ","BEST_FPERIOD_OVERRIDE=FQ","FILING_STATUS=MR","SCALING_FORMAT=MLN","Sort=A","Dates=H","DateFormat=P","Fill=—","Direction=H","UseDPDF=Y")</f>
        <v>2378.8629999999998</v>
      </c>
      <c r="AA37" s="19">
        <f>_xll.BDH("SRPT US Equity","ARD_TOT_LIABILITIES","FQ4 2024","FQ4 2024","Currency=USD","Period=FQ","BEST_FPERIOD_OVERRIDE=FQ","FILING_STATUS=MR","SCALING_FORMAT=MLN","Sort=A","Dates=H","DateFormat=P","Fill=—","Direction=H","UseDPDF=Y")</f>
        <v>2435.431</v>
      </c>
    </row>
    <row r="38" spans="1:27" x14ac:dyDescent="0.25">
      <c r="A38" s="10" t="s">
        <v>899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x14ac:dyDescent="0.25">
      <c r="A39" s="10" t="s">
        <v>900</v>
      </c>
      <c r="B39" s="10" t="s">
        <v>901</v>
      </c>
      <c r="C39" s="13">
        <f>_xll.BDH("SRPT US Equity","ARD_PREFERRED_STOCK","FQ4 2018","FQ4 2018","Currency=USD","Period=FQ","BEST_FPERIOD_OVERRIDE=FQ","FILING_STATUS=MR","SCALING_FORMAT=MLN","Sort=A","Dates=H","DateFormat=P","Fill=—","Direction=H","UseDPDF=Y")</f>
        <v>0</v>
      </c>
      <c r="D39" s="13">
        <f>_xll.BDH("SRPT US Equity","ARD_PREFERRED_STOCK","FQ1 2019","FQ1 2019","Currency=USD","Period=FQ","BEST_FPERIOD_OVERRIDE=FQ","FILING_STATUS=MR","SCALING_FORMAT=MLN","Sort=A","Dates=H","DateFormat=P","Fill=—","Direction=H","UseDPDF=Y")</f>
        <v>0</v>
      </c>
      <c r="E39" s="13">
        <f>_xll.BDH("SRPT US Equity","ARD_PREFERRED_STOCK","FQ2 2019","FQ2 2019","Currency=USD","Period=FQ","BEST_FPERIOD_OVERRIDE=FQ","FILING_STATUS=MR","SCALING_FORMAT=MLN","Sort=A","Dates=H","DateFormat=P","Fill=—","Direction=H","UseDPDF=Y")</f>
        <v>0</v>
      </c>
      <c r="F39" s="13">
        <f>_xll.BDH("SRPT US Equity","ARD_PREFERRED_STOCK","FQ3 2019","FQ3 2019","Currency=USD","Period=FQ","BEST_FPERIOD_OVERRIDE=FQ","FILING_STATUS=MR","SCALING_FORMAT=MLN","Sort=A","Dates=H","DateFormat=P","Fill=—","Direction=H","UseDPDF=Y")</f>
        <v>0</v>
      </c>
      <c r="G39" s="13">
        <f>_xll.BDH("SRPT US Equity","ARD_PREFERRED_STOCK","FQ4 2019","FQ4 2019","Currency=USD","Period=FQ","BEST_FPERIOD_OVERRIDE=FQ","FILING_STATUS=MR","SCALING_FORMAT=MLN","Sort=A","Dates=H","DateFormat=P","Fill=—","Direction=H","UseDPDF=Y")</f>
        <v>0</v>
      </c>
      <c r="H39" s="13">
        <f>_xll.BDH("SRPT US Equity","ARD_PREFERRED_STOCK","FQ1 2020","FQ1 2020","Currency=USD","Period=FQ","BEST_FPERIOD_OVERRIDE=FQ","FILING_STATUS=MR","SCALING_FORMAT=MLN","Sort=A","Dates=H","DateFormat=P","Fill=—","Direction=H","UseDPDF=Y")</f>
        <v>0</v>
      </c>
      <c r="I39" s="13">
        <f>_xll.BDH("SRPT US Equity","ARD_PREFERRED_STOCK","FQ2 2020","FQ2 2020","Currency=USD","Period=FQ","BEST_FPERIOD_OVERRIDE=FQ","FILING_STATUS=MR","SCALING_FORMAT=MLN","Sort=A","Dates=H","DateFormat=P","Fill=—","Direction=H","UseDPDF=Y")</f>
        <v>0</v>
      </c>
      <c r="J39" s="13">
        <f>_xll.BDH("SRPT US Equity","ARD_PREFERRED_STOCK","FQ3 2020","FQ3 2020","Currency=USD","Period=FQ","BEST_FPERIOD_OVERRIDE=FQ","FILING_STATUS=MR","SCALING_FORMAT=MLN","Sort=A","Dates=H","DateFormat=P","Fill=—","Direction=H","UseDPDF=Y")</f>
        <v>0</v>
      </c>
      <c r="K39" s="13">
        <f>_xll.BDH("SRPT US Equity","ARD_PREFERRED_STOCK","FQ4 2020","FQ4 2020","Currency=USD","Period=FQ","BEST_FPERIOD_OVERRIDE=FQ","FILING_STATUS=MR","SCALING_FORMAT=MLN","Sort=A","Dates=H","DateFormat=P","Fill=—","Direction=H","UseDPDF=Y")</f>
        <v>0</v>
      </c>
      <c r="L39" s="13">
        <f>_xll.BDH("SRPT US Equity","ARD_PREFERRED_STOCK","FQ1 2021","FQ1 2021","Currency=USD","Period=FQ","BEST_FPERIOD_OVERRIDE=FQ","FILING_STATUS=MR","SCALING_FORMAT=MLN","Sort=A","Dates=H","DateFormat=P","Fill=—","Direction=H","UseDPDF=Y")</f>
        <v>0</v>
      </c>
      <c r="M39" s="13">
        <f>_xll.BDH("SRPT US Equity","ARD_PREFERRED_STOCK","FQ2 2021","FQ2 2021","Currency=USD","Period=FQ","BEST_FPERIOD_OVERRIDE=FQ","FILING_STATUS=MR","SCALING_FORMAT=MLN","Sort=A","Dates=H","DateFormat=P","Fill=—","Direction=H","UseDPDF=Y")</f>
        <v>0</v>
      </c>
      <c r="N39" s="13">
        <f>_xll.BDH("SRPT US Equity","ARD_PREFERRED_STOCK","FQ3 2021","FQ3 2021","Currency=USD","Period=FQ","BEST_FPERIOD_OVERRIDE=FQ","FILING_STATUS=MR","SCALING_FORMAT=MLN","Sort=A","Dates=H","DateFormat=P","Fill=—","Direction=H","UseDPDF=Y")</f>
        <v>0</v>
      </c>
      <c r="O39" s="13">
        <f>_xll.BDH("SRPT US Equity","ARD_PREFERRED_STOCK","FQ4 2021","FQ4 2021","Currency=USD","Period=FQ","BEST_FPERIOD_OVERRIDE=FQ","FILING_STATUS=MR","SCALING_FORMAT=MLN","Sort=A","Dates=H","DateFormat=P","Fill=—","Direction=H","UseDPDF=Y")</f>
        <v>0</v>
      </c>
      <c r="P39" s="13">
        <f>_xll.BDH("SRPT US Equity","ARD_PREFERRED_STOCK","FQ1 2022","FQ1 2022","Currency=USD","Period=FQ","BEST_FPERIOD_OVERRIDE=FQ","FILING_STATUS=MR","SCALING_FORMAT=MLN","Sort=A","Dates=H","DateFormat=P","Fill=—","Direction=H","UseDPDF=Y")</f>
        <v>0</v>
      </c>
      <c r="Q39" s="13">
        <f>_xll.BDH("SRPT US Equity","ARD_PREFERRED_STOCK","FQ2 2022","FQ2 2022","Currency=USD","Period=FQ","BEST_FPERIOD_OVERRIDE=FQ","FILING_STATUS=MR","SCALING_FORMAT=MLN","Sort=A","Dates=H","DateFormat=P","Fill=—","Direction=H","UseDPDF=Y")</f>
        <v>0</v>
      </c>
      <c r="R39" s="13">
        <f>_xll.BDH("SRPT US Equity","ARD_PREFERRED_STOCK","FQ3 2022","FQ3 2022","Currency=USD","Period=FQ","BEST_FPERIOD_OVERRIDE=FQ","FILING_STATUS=MR","SCALING_FORMAT=MLN","Sort=A","Dates=H","DateFormat=P","Fill=—","Direction=H","UseDPDF=Y")</f>
        <v>0</v>
      </c>
      <c r="S39" s="13">
        <f>_xll.BDH("SRPT US Equity","ARD_PREFERRED_STOCK","FQ4 2022","FQ4 2022","Currency=USD","Period=FQ","BEST_FPERIOD_OVERRIDE=FQ","FILING_STATUS=MR","SCALING_FORMAT=MLN","Sort=A","Dates=H","DateFormat=P","Fill=—","Direction=H","UseDPDF=Y")</f>
        <v>0</v>
      </c>
      <c r="T39" s="13">
        <f>_xll.BDH("SRPT US Equity","ARD_PREFERRED_STOCK","FQ1 2023","FQ1 2023","Currency=USD","Period=FQ","BEST_FPERIOD_OVERRIDE=FQ","FILING_STATUS=MR","SCALING_FORMAT=MLN","Sort=A","Dates=H","DateFormat=P","Fill=—","Direction=H","UseDPDF=Y")</f>
        <v>0</v>
      </c>
      <c r="U39" s="13">
        <f>_xll.BDH("SRPT US Equity","ARD_PREFERRED_STOCK","FQ2 2023","FQ2 2023","Currency=USD","Period=FQ","BEST_FPERIOD_OVERRIDE=FQ","FILING_STATUS=MR","SCALING_FORMAT=MLN","Sort=A","Dates=H","DateFormat=P","Fill=—","Direction=H","UseDPDF=Y")</f>
        <v>0</v>
      </c>
      <c r="V39" s="13">
        <f>_xll.BDH("SRPT US Equity","ARD_PREFERRED_STOCK","FQ3 2023","FQ3 2023","Currency=USD","Period=FQ","BEST_FPERIOD_OVERRIDE=FQ","FILING_STATUS=MR","SCALING_FORMAT=MLN","Sort=A","Dates=H","DateFormat=P","Fill=—","Direction=H","UseDPDF=Y")</f>
        <v>0</v>
      </c>
      <c r="W39" s="13">
        <f>_xll.BDH("SRPT US Equity","ARD_PREFERRED_STOCK","FQ4 2023","FQ4 2023","Currency=USD","Period=FQ","BEST_FPERIOD_OVERRIDE=FQ","FILING_STATUS=MR","SCALING_FORMAT=MLN","Sort=A","Dates=H","DateFormat=P","Fill=—","Direction=H","UseDPDF=Y")</f>
        <v>0</v>
      </c>
      <c r="X39" s="13">
        <f>_xll.BDH("SRPT US Equity","ARD_PREFERRED_STOCK","FQ1 2024","FQ1 2024","Currency=USD","Period=FQ","BEST_FPERIOD_OVERRIDE=FQ","FILING_STATUS=MR","SCALING_FORMAT=MLN","Sort=A","Dates=H","DateFormat=P","Fill=—","Direction=H","UseDPDF=Y")</f>
        <v>0</v>
      </c>
      <c r="Y39" s="13">
        <f>_xll.BDH("SRPT US Equity","ARD_PREFERRED_STOCK","FQ2 2024","FQ2 2024","Currency=USD","Period=FQ","BEST_FPERIOD_OVERRIDE=FQ","FILING_STATUS=MR","SCALING_FORMAT=MLN","Sort=A","Dates=H","DateFormat=P","Fill=—","Direction=H","UseDPDF=Y")</f>
        <v>0</v>
      </c>
      <c r="Z39" s="13">
        <f>_xll.BDH("SRPT US Equity","ARD_PREFERRED_STOCK","FQ3 2024","FQ3 2024","Currency=USD","Period=FQ","BEST_FPERIOD_OVERRIDE=FQ","FILING_STATUS=MR","SCALING_FORMAT=MLN","Sort=A","Dates=H","DateFormat=P","Fill=—","Direction=H","UseDPDF=Y")</f>
        <v>0</v>
      </c>
      <c r="AA39" s="13">
        <f>_xll.BDH("SRPT US Equity","ARD_PREFERRED_STOCK","FQ4 2024","FQ4 2024","Currency=USD","Period=FQ","BEST_FPERIOD_OVERRIDE=FQ","FILING_STATUS=MR","SCALING_FORMAT=MLN","Sort=A","Dates=H","DateFormat=P","Fill=—","Direction=H","UseDPDF=Y")</f>
        <v>0</v>
      </c>
    </row>
    <row r="40" spans="1:27" x14ac:dyDescent="0.25">
      <c r="A40" s="10" t="s">
        <v>902</v>
      </c>
      <c r="B40" s="10" t="s">
        <v>903</v>
      </c>
      <c r="C40" s="13">
        <f>_xll.BDH("SRPT US Equity","ARD_COMMON_STOCK","FQ4 2018","FQ4 2018","Currency=USD","Period=FQ","BEST_FPERIOD_OVERRIDE=FQ","FILING_STATUS=MR","SCALING_FORMAT=MLN","Sort=A","Dates=H","DateFormat=P","Fill=—","Direction=H","UseDPDF=Y")</f>
        <v>7.0000000000000001E-3</v>
      </c>
      <c r="D40" s="13">
        <f>_xll.BDH("SRPT US Equity","ARD_COMMON_STOCK","FQ1 2019","FQ1 2019","Currency=USD","Period=FQ","BEST_FPERIOD_OVERRIDE=FQ","FILING_STATUS=MR","SCALING_FORMAT=MLN","Sort=A","Dates=H","DateFormat=P","Fill=—","Direction=H","UseDPDF=Y")</f>
        <v>7.0000000000000001E-3</v>
      </c>
      <c r="E40" s="13">
        <f>_xll.BDH("SRPT US Equity","ARD_COMMON_STOCK","FQ2 2019","FQ2 2019","Currency=USD","Period=FQ","BEST_FPERIOD_OVERRIDE=FQ","FILING_STATUS=MR","SCALING_FORMAT=MLN","Sort=A","Dates=H","DateFormat=P","Fill=—","Direction=H","UseDPDF=Y")</f>
        <v>7.0000000000000001E-3</v>
      </c>
      <c r="F40" s="13">
        <f>_xll.BDH("SRPT US Equity","ARD_COMMON_STOCK","FQ3 2019","FQ3 2019","Currency=USD","Period=FQ","BEST_FPERIOD_OVERRIDE=FQ","FILING_STATUS=MR","SCALING_FORMAT=MLN","Sort=A","Dates=H","DateFormat=P","Fill=—","Direction=H","UseDPDF=Y")</f>
        <v>7.0000000000000001E-3</v>
      </c>
      <c r="G40" s="13">
        <f>_xll.BDH("SRPT US Equity","ARD_COMMON_STOCK","FQ4 2019","FQ4 2019","Currency=USD","Period=FQ","BEST_FPERIOD_OVERRIDE=FQ","FILING_STATUS=MR","SCALING_FORMAT=MLN","Sort=A","Dates=H","DateFormat=P","Fill=—","Direction=H","UseDPDF=Y")</f>
        <v>8.0000000000000002E-3</v>
      </c>
      <c r="H40" s="13">
        <f>_xll.BDH("SRPT US Equity","ARD_COMMON_STOCK","FQ1 2020","FQ1 2020","Currency=USD","Period=FQ","BEST_FPERIOD_OVERRIDE=FQ","FILING_STATUS=MR","SCALING_FORMAT=MLN","Sort=A","Dates=H","DateFormat=P","Fill=—","Direction=H","UseDPDF=Y")</f>
        <v>8.0000000000000002E-3</v>
      </c>
      <c r="I40" s="13">
        <f>_xll.BDH("SRPT US Equity","ARD_COMMON_STOCK","FQ2 2020","FQ2 2020","Currency=USD","Period=FQ","BEST_FPERIOD_OVERRIDE=FQ","FILING_STATUS=MR","SCALING_FORMAT=MLN","Sort=A","Dates=H","DateFormat=P","Fill=—","Direction=H","UseDPDF=Y")</f>
        <v>8.0000000000000002E-3</v>
      </c>
      <c r="J40" s="13">
        <f>_xll.BDH("SRPT US Equity","ARD_COMMON_STOCK","FQ3 2020","FQ3 2020","Currency=USD","Period=FQ","BEST_FPERIOD_OVERRIDE=FQ","FILING_STATUS=MR","SCALING_FORMAT=MLN","Sort=A","Dates=H","DateFormat=P","Fill=—","Direction=H","UseDPDF=Y")</f>
        <v>8.0000000000000002E-3</v>
      </c>
      <c r="K40" s="13">
        <f>_xll.BDH("SRPT US Equity","ARD_COMMON_STOCK","FQ4 2020","FQ4 2020","Currency=USD","Period=FQ","BEST_FPERIOD_OVERRIDE=FQ","FILING_STATUS=MR","SCALING_FORMAT=MLN","Sort=A","Dates=H","DateFormat=P","Fill=—","Direction=H","UseDPDF=Y")</f>
        <v>8.0000000000000002E-3</v>
      </c>
      <c r="L40" s="13">
        <f>_xll.BDH("SRPT US Equity","ARD_COMMON_STOCK","FQ1 2021","FQ1 2021","Currency=USD","Period=FQ","BEST_FPERIOD_OVERRIDE=FQ","FILING_STATUS=MR","SCALING_FORMAT=MLN","Sort=A","Dates=H","DateFormat=P","Fill=—","Direction=H","UseDPDF=Y")</f>
        <v>8.0000000000000002E-3</v>
      </c>
      <c r="M40" s="13">
        <f>_xll.BDH("SRPT US Equity","ARD_COMMON_STOCK","FQ2 2021","FQ2 2021","Currency=USD","Period=FQ","BEST_FPERIOD_OVERRIDE=FQ","FILING_STATUS=MR","SCALING_FORMAT=MLN","Sort=A","Dates=H","DateFormat=P","Fill=—","Direction=H","UseDPDF=Y")</f>
        <v>8.0000000000000002E-3</v>
      </c>
      <c r="N40" s="13">
        <f>_xll.BDH("SRPT US Equity","ARD_COMMON_STOCK","FQ3 2021","FQ3 2021","Currency=USD","Period=FQ","BEST_FPERIOD_OVERRIDE=FQ","FILING_STATUS=MR","SCALING_FORMAT=MLN","Sort=A","Dates=H","DateFormat=P","Fill=—","Direction=H","UseDPDF=Y")</f>
        <v>8.0000000000000002E-3</v>
      </c>
      <c r="O40" s="13">
        <f>_xll.BDH("SRPT US Equity","ARD_COMMON_STOCK","FQ4 2021","FQ4 2021","Currency=USD","Period=FQ","BEST_FPERIOD_OVERRIDE=FQ","FILING_STATUS=MR","SCALING_FORMAT=MLN","Sort=A","Dates=H","DateFormat=P","Fill=—","Direction=H","UseDPDF=Y")</f>
        <v>8.9999999999999993E-3</v>
      </c>
      <c r="P40" s="13">
        <f>_xll.BDH("SRPT US Equity","ARD_COMMON_STOCK","FQ1 2022","FQ1 2022","Currency=USD","Period=FQ","BEST_FPERIOD_OVERRIDE=FQ","FILING_STATUS=MR","SCALING_FORMAT=MLN","Sort=A","Dates=H","DateFormat=P","Fill=—","Direction=H","UseDPDF=Y")</f>
        <v>8.9999999999999993E-3</v>
      </c>
      <c r="Q40" s="13">
        <f>_xll.BDH("SRPT US Equity","ARD_COMMON_STOCK","FQ2 2022","FQ2 2022","Currency=USD","Period=FQ","BEST_FPERIOD_OVERRIDE=FQ","FILING_STATUS=MR","SCALING_FORMAT=MLN","Sort=A","Dates=H","DateFormat=P","Fill=—","Direction=H","UseDPDF=Y")</f>
        <v>8.9999999999999993E-3</v>
      </c>
      <c r="R40" s="13">
        <f>_xll.BDH("SRPT US Equity","ARD_COMMON_STOCK","FQ3 2022","FQ3 2022","Currency=USD","Period=FQ","BEST_FPERIOD_OVERRIDE=FQ","FILING_STATUS=MR","SCALING_FORMAT=MLN","Sort=A","Dates=H","DateFormat=P","Fill=—","Direction=H","UseDPDF=Y")</f>
        <v>8.9999999999999993E-3</v>
      </c>
      <c r="S40" s="13">
        <f>_xll.BDH("SRPT US Equity","ARD_COMMON_STOCK","FQ4 2022","FQ4 2022","Currency=USD","Period=FQ","BEST_FPERIOD_OVERRIDE=FQ","FILING_STATUS=MR","SCALING_FORMAT=MLN","Sort=A","Dates=H","DateFormat=P","Fill=—","Direction=H","UseDPDF=Y")</f>
        <v>8.9999999999999993E-3</v>
      </c>
      <c r="T40" s="13">
        <f>_xll.BDH("SRPT US Equity","ARD_COMMON_STOCK","FQ1 2023","FQ1 2023","Currency=USD","Period=FQ","BEST_FPERIOD_OVERRIDE=FQ","FILING_STATUS=MR","SCALING_FORMAT=MLN","Sort=A","Dates=H","DateFormat=P","Fill=—","Direction=H","UseDPDF=Y")</f>
        <v>8.9999999999999993E-3</v>
      </c>
      <c r="U40" s="13">
        <f>_xll.BDH("SRPT US Equity","ARD_COMMON_STOCK","FQ2 2023","FQ2 2023","Currency=USD","Period=FQ","BEST_FPERIOD_OVERRIDE=FQ","FILING_STATUS=MR","SCALING_FORMAT=MLN","Sort=A","Dates=H","DateFormat=P","Fill=—","Direction=H","UseDPDF=Y")</f>
        <v>8.9999999999999993E-3</v>
      </c>
      <c r="V40" s="13">
        <f>_xll.BDH("SRPT US Equity","ARD_COMMON_STOCK","FQ3 2023","FQ3 2023","Currency=USD","Period=FQ","BEST_FPERIOD_OVERRIDE=FQ","FILING_STATUS=MR","SCALING_FORMAT=MLN","Sort=A","Dates=H","DateFormat=P","Fill=—","Direction=H","UseDPDF=Y")</f>
        <v>8.9999999999999993E-3</v>
      </c>
      <c r="W40" s="13">
        <f>_xll.BDH("SRPT US Equity","ARD_COMMON_STOCK","FQ4 2023","FQ4 2023","Currency=USD","Period=FQ","BEST_FPERIOD_OVERRIDE=FQ","FILING_STATUS=MR","SCALING_FORMAT=MLN","Sort=A","Dates=H","DateFormat=P","Fill=—","Direction=H","UseDPDF=Y")</f>
        <v>8.9999999999999993E-3</v>
      </c>
      <c r="X40" s="13">
        <f>_xll.BDH("SRPT US Equity","ARD_COMMON_STOCK","FQ1 2024","FQ1 2024","Currency=USD","Period=FQ","BEST_FPERIOD_OVERRIDE=FQ","FILING_STATUS=MR","SCALING_FORMAT=MLN","Sort=A","Dates=H","DateFormat=P","Fill=—","Direction=H","UseDPDF=Y")</f>
        <v>8.9999999999999993E-3</v>
      </c>
      <c r="Y40" s="13">
        <f>_xll.BDH("SRPT US Equity","ARD_COMMON_STOCK","FQ2 2024","FQ2 2024","Currency=USD","Period=FQ","BEST_FPERIOD_OVERRIDE=FQ","FILING_STATUS=MR","SCALING_FORMAT=MLN","Sort=A","Dates=H","DateFormat=P","Fill=—","Direction=H","UseDPDF=Y")</f>
        <v>0.01</v>
      </c>
      <c r="Z40" s="13">
        <f>_xll.BDH("SRPT US Equity","ARD_COMMON_STOCK","FQ3 2024","FQ3 2024","Currency=USD","Period=FQ","BEST_FPERIOD_OVERRIDE=FQ","FILING_STATUS=MR","SCALING_FORMAT=MLN","Sort=A","Dates=H","DateFormat=P","Fill=—","Direction=H","UseDPDF=Y")</f>
        <v>0.01</v>
      </c>
      <c r="AA40" s="13">
        <f>_xll.BDH("SRPT US Equity","ARD_COMMON_STOCK","FQ4 2024","FQ4 2024","Currency=USD","Period=FQ","BEST_FPERIOD_OVERRIDE=FQ","FILING_STATUS=MR","SCALING_FORMAT=MLN","Sort=A","Dates=H","DateFormat=P","Fill=—","Direction=H","UseDPDF=Y")</f>
        <v>0.01</v>
      </c>
    </row>
    <row r="41" spans="1:27" x14ac:dyDescent="0.25">
      <c r="A41" s="10" t="s">
        <v>904</v>
      </c>
      <c r="B41" s="10" t="s">
        <v>905</v>
      </c>
      <c r="C41" s="13">
        <f>_xll.BDH("SRPT US Equity","ARD_ADDITIONAL_PAID_IN_CAPITAL","FQ4 2018","FQ4 2018","Currency=USD","Period=FQ","BEST_FPERIOD_OVERRIDE=FQ","FILING_STATUS=MR","SCALING_FORMAT=MLN","Sort=A","Dates=H","DateFormat=P","Fill=—","Direction=H","UseDPDF=Y")</f>
        <v>2611.2939999999999</v>
      </c>
      <c r="D41" s="13">
        <f>_xll.BDH("SRPT US Equity","ARD_ADDITIONAL_PAID_IN_CAPITAL","FQ1 2019","FQ1 2019","Currency=USD","Period=FQ","BEST_FPERIOD_OVERRIDE=FQ","FILING_STATUS=MR","SCALING_FORMAT=MLN","Sort=A","Dates=H","DateFormat=P","Fill=—","Direction=H","UseDPDF=Y")</f>
        <v>3004.107</v>
      </c>
      <c r="E41" s="13">
        <f>_xll.BDH("SRPT US Equity","ARD_ADDITIONAL_PAID_IN_CAPITAL","FQ2 2019","FQ2 2019","Currency=USD","Period=FQ","BEST_FPERIOD_OVERRIDE=FQ","FILING_STATUS=MR","SCALING_FORMAT=MLN","Sort=A","Dates=H","DateFormat=P","Fill=—","Direction=H","UseDPDF=Y")</f>
        <v>3031.05</v>
      </c>
      <c r="F41" s="13">
        <f>_xll.BDH("SRPT US Equity","ARD_ADDITIONAL_PAID_IN_CAPITAL","FQ3 2019","FQ3 2019","Currency=USD","Period=FQ","BEST_FPERIOD_OVERRIDE=FQ","FILING_STATUS=MR","SCALING_FORMAT=MLN","Sort=A","Dates=H","DateFormat=P","Fill=—","Direction=H","UseDPDF=Y")</f>
        <v>3053.42</v>
      </c>
      <c r="G41" s="13">
        <f>_xll.BDH("SRPT US Equity","ARD_ADDITIONAL_PAID_IN_CAPITAL","FQ4 2019","FQ4 2019","Currency=USD","Period=FQ","BEST_FPERIOD_OVERRIDE=FQ","FILING_STATUS=MR","SCALING_FORMAT=MLN","Sort=A","Dates=H","DateFormat=P","Fill=—","Direction=H","UseDPDF=Y")</f>
        <v>3112.13</v>
      </c>
      <c r="H41" s="13">
        <f>_xll.BDH("SRPT US Equity","ARD_ADDITIONAL_PAID_IN_CAPITAL","FQ1 2020","FQ1 2020","Currency=USD","Period=FQ","BEST_FPERIOD_OVERRIDE=FQ","FILING_STATUS=MR","SCALING_FORMAT=MLN","Sort=A","Dates=H","DateFormat=P","Fill=—","Direction=H","UseDPDF=Y")</f>
        <v>3455.6889999999999</v>
      </c>
      <c r="I41" s="13">
        <f>_xll.BDH("SRPT US Equity","ARD_ADDITIONAL_PAID_IN_CAPITAL","FQ2 2020","FQ2 2020","Currency=USD","Period=FQ","BEST_FPERIOD_OVERRIDE=FQ","FILING_STATUS=MR","SCALING_FORMAT=MLN","Sort=A","Dates=H","DateFormat=P","Fill=—","Direction=H","UseDPDF=Y")</f>
        <v>3505.165</v>
      </c>
      <c r="J41" s="13">
        <f>_xll.BDH("SRPT US Equity","ARD_ADDITIONAL_PAID_IN_CAPITAL","FQ3 2020","FQ3 2020","Currency=USD","Period=FQ","BEST_FPERIOD_OVERRIDE=FQ","FILING_STATUS=MR","SCALING_FORMAT=MLN","Sort=A","Dates=H","DateFormat=P","Fill=—","Direction=H","UseDPDF=Y")</f>
        <v>3550.857</v>
      </c>
      <c r="K41" s="13">
        <f>_xll.BDH("SRPT US Equity","ARD_ADDITIONAL_PAID_IN_CAPITAL","FQ4 2020","FQ4 2020","Currency=USD","Period=FQ","BEST_FPERIOD_OVERRIDE=FQ","FILING_STATUS=MR","SCALING_FORMAT=MLN","Sort=A","Dates=H","DateFormat=P","Fill=—","Direction=H","UseDPDF=Y")</f>
        <v>3609.877</v>
      </c>
      <c r="L41" s="13">
        <f>_xll.BDH("SRPT US Equity","ARD_ADDITIONAL_PAID_IN_CAPITAL","FQ1 2021","FQ1 2021","Currency=USD","Period=FQ","BEST_FPERIOD_OVERRIDE=FQ","FILING_STATUS=MR","SCALING_FORMAT=MLN","Sort=A","Dates=H","DateFormat=P","Fill=—","Direction=H","UseDPDF=Y")</f>
        <v>3490.6579999999999</v>
      </c>
      <c r="M41" s="13">
        <f>_xll.BDH("SRPT US Equity","ARD_ADDITIONAL_PAID_IN_CAPITAL","FQ2 2021","FQ2 2021","Currency=USD","Period=FQ","BEST_FPERIOD_OVERRIDE=FQ","FILING_STATUS=MR","SCALING_FORMAT=MLN","Sort=A","Dates=H","DateFormat=P","Fill=—","Direction=H","UseDPDF=Y")</f>
        <v>3521.721</v>
      </c>
      <c r="N41" s="13">
        <f>_xll.BDH("SRPT US Equity","ARD_ADDITIONAL_PAID_IN_CAPITAL","FQ3 2021","FQ3 2021","Currency=USD","Period=FQ","BEST_FPERIOD_OVERRIDE=FQ","FILING_STATUS=MR","SCALING_FORMAT=MLN","Sort=A","Dates=H","DateFormat=P","Fill=—","Direction=H","UseDPDF=Y")</f>
        <v>3554.3069999999998</v>
      </c>
      <c r="O41" s="13">
        <f>_xll.BDH("SRPT US Equity","ARD_ADDITIONAL_PAID_IN_CAPITAL","FQ4 2021","FQ4 2021","Currency=USD","Period=FQ","BEST_FPERIOD_OVERRIDE=FQ","FILING_STATUS=MR","SCALING_FORMAT=MLN","Sort=A","Dates=H","DateFormat=P","Fill=—","Direction=H","UseDPDF=Y")</f>
        <v>4134.768</v>
      </c>
      <c r="P41" s="13">
        <f>_xll.BDH("SRPT US Equity","ARD_ADDITIONAL_PAID_IN_CAPITAL","FQ1 2022","FQ1 2022","Currency=USD","Period=FQ","BEST_FPERIOD_OVERRIDE=FQ","FILING_STATUS=MR","SCALING_FORMAT=MLN","Sort=A","Dates=H","DateFormat=P","Fill=—","Direction=H","UseDPDF=Y")</f>
        <v>4168.9560000000001</v>
      </c>
      <c r="Q41" s="13">
        <f>_xll.BDH("SRPT US Equity","ARD_ADDITIONAL_PAID_IN_CAPITAL","FQ2 2022","FQ2 2022","Currency=USD","Period=FQ","BEST_FPERIOD_OVERRIDE=FQ","FILING_STATUS=MR","SCALING_FORMAT=MLN","Sort=A","Dates=H","DateFormat=P","Fill=—","Direction=H","UseDPDF=Y")</f>
        <v>4272.1869999999999</v>
      </c>
      <c r="R41" s="13">
        <f>_xll.BDH("SRPT US Equity","ARD_ADDITIONAL_PAID_IN_CAPITAL","FQ3 2022","FQ3 2022","Currency=USD","Period=FQ","BEST_FPERIOD_OVERRIDE=FQ","FILING_STATUS=MR","SCALING_FORMAT=MLN","Sort=A","Dates=H","DateFormat=P","Fill=—","Direction=H","UseDPDF=Y")</f>
        <v>4235.0280000000002</v>
      </c>
      <c r="S41" s="13">
        <f>_xll.BDH("SRPT US Equity","ARD_ADDITIONAL_PAID_IN_CAPITAL","FQ4 2022","FQ4 2022","Currency=USD","Period=FQ","BEST_FPERIOD_OVERRIDE=FQ","FILING_STATUS=MR","SCALING_FORMAT=MLN","Sort=A","Dates=H","DateFormat=P","Fill=—","Direction=H","UseDPDF=Y")</f>
        <v>4296.8410000000003</v>
      </c>
      <c r="T41" s="13">
        <f>_xll.BDH("SRPT US Equity","ARD_ADDITIONAL_PAID_IN_CAPITAL","FQ1 2023","FQ1 2023","Currency=USD","Period=FQ","BEST_FPERIOD_OVERRIDE=FQ","FILING_STATUS=MR","SCALING_FORMAT=MLN","Sort=A","Dates=H","DateFormat=P","Fill=—","Direction=H","UseDPDF=Y")</f>
        <v>5140.1499999999996</v>
      </c>
      <c r="U41" s="13">
        <f>_xll.BDH("SRPT US Equity","ARD_ADDITIONAL_PAID_IN_CAPITAL","FQ2 2023","FQ2 2023","Currency=USD","Period=FQ","BEST_FPERIOD_OVERRIDE=FQ","FILING_STATUS=MR","SCALING_FORMAT=MLN","Sort=A","Dates=H","DateFormat=P","Fill=—","Direction=H","UseDPDF=Y")</f>
        <v>5193.3879999999999</v>
      </c>
      <c r="V41" s="13">
        <f>_xll.BDH("SRPT US Equity","ARD_ADDITIONAL_PAID_IN_CAPITAL","FQ3 2023","FQ3 2023","Currency=USD","Period=FQ","BEST_FPERIOD_OVERRIDE=FQ","FILING_STATUS=MR","SCALING_FORMAT=MLN","Sort=A","Dates=H","DateFormat=P","Fill=—","Direction=H","UseDPDF=Y")</f>
        <v>5256.8540000000003</v>
      </c>
      <c r="W41" s="13">
        <f>_xll.BDH("SRPT US Equity","ARD_ADDITIONAL_PAID_IN_CAPITAL","FQ4 2023","FQ4 2023","Currency=USD","Period=FQ","BEST_FPERIOD_OVERRIDE=FQ","FILING_STATUS=MR","SCALING_FORMAT=MLN","Sort=A","Dates=H","DateFormat=P","Fill=—","Direction=H","UseDPDF=Y")</f>
        <v>5304.6229999999996</v>
      </c>
      <c r="X41" s="13">
        <f>_xll.BDH("SRPT US Equity","ARD_ADDITIONAL_PAID_IN_CAPITAL","FQ1 2024","FQ1 2024","Currency=USD","Period=FQ","BEST_FPERIOD_OVERRIDE=FQ","FILING_STATUS=MR","SCALING_FORMAT=MLN","Sort=A","Dates=H","DateFormat=P","Fill=—","Direction=H","UseDPDF=Y")</f>
        <v>5371.9679999999998</v>
      </c>
      <c r="Y41" s="13">
        <f>_xll.BDH("SRPT US Equity","ARD_ADDITIONAL_PAID_IN_CAPITAL","FQ2 2024","FQ2 2024","Currency=USD","Period=FQ","BEST_FPERIOD_OVERRIDE=FQ","FILING_STATUS=MR","SCALING_FORMAT=MLN","Sort=A","Dates=H","DateFormat=P","Fill=—","Direction=H","UseDPDF=Y")</f>
        <v>5481.723</v>
      </c>
      <c r="Z41" s="13">
        <f>_xll.BDH("SRPT US Equity","ARD_ADDITIONAL_PAID_IN_CAPITAL","FQ3 2024","FQ3 2024","Currency=USD","Period=FQ","BEST_FPERIOD_OVERRIDE=FQ","FILING_STATUS=MR","SCALING_FORMAT=MLN","Sort=A","Dates=H","DateFormat=P","Fill=—","Direction=H","UseDPDF=Y")</f>
        <v>5588.8389999999999</v>
      </c>
      <c r="AA41" s="13">
        <f>_xll.BDH("SRPT US Equity","ARD_ADDITIONAL_PAID_IN_CAPITAL","FQ4 2024","FQ4 2024","Currency=USD","Period=FQ","BEST_FPERIOD_OVERRIDE=FQ","FILING_STATUS=MR","SCALING_FORMAT=MLN","Sort=A","Dates=H","DateFormat=P","Fill=—","Direction=H","UseDPDF=Y")</f>
        <v>5738.924</v>
      </c>
    </row>
    <row r="42" spans="1:27" x14ac:dyDescent="0.25">
      <c r="A42" s="10" t="s">
        <v>906</v>
      </c>
      <c r="B42" s="10" t="s">
        <v>907</v>
      </c>
      <c r="C42" s="13">
        <f>_xll.BDH("SRPT US Equity","ARD_ACC_OTH_COMPREHENSIVE_INC","FQ4 2018","FQ4 2018","Currency=USD","Period=FQ","BEST_FPERIOD_OVERRIDE=FQ","FILING_STATUS=MR","SCALING_FORMAT=MLN","Sort=A","Dates=H","DateFormat=P","Fill=—","Direction=H","UseDPDF=Y")</f>
        <v>-9.9000000000000005E-2</v>
      </c>
      <c r="D42" s="13">
        <f>_xll.BDH("SRPT US Equity","ARD_ACC_OTH_COMPREHENSIVE_INC","FQ1 2019","FQ1 2019","Currency=USD","Period=FQ","BEST_FPERIOD_OVERRIDE=FQ","FILING_STATUS=MR","SCALING_FORMAT=MLN","Sort=A","Dates=H","DateFormat=P","Fill=—","Direction=H","UseDPDF=Y")</f>
        <v>1.9E-2</v>
      </c>
      <c r="E42" s="13">
        <f>_xll.BDH("SRPT US Equity","ARD_ACC_OTH_COMPREHENSIVE_INC","FQ2 2019","FQ2 2019","Currency=USD","Period=FQ","BEST_FPERIOD_OVERRIDE=FQ","FILING_STATUS=MR","SCALING_FORMAT=MLN","Sort=A","Dates=H","DateFormat=P","Fill=—","Direction=H","UseDPDF=Y")</f>
        <v>8.2000000000000003E-2</v>
      </c>
      <c r="F42" s="13">
        <f>_xll.BDH("SRPT US Equity","ARD_ACC_OTH_COMPREHENSIVE_INC","FQ3 2019","FQ3 2019","Currency=USD","Period=FQ","BEST_FPERIOD_OVERRIDE=FQ","FILING_STATUS=MR","SCALING_FORMAT=MLN","Sort=A","Dates=H","DateFormat=P","Fill=—","Direction=H","UseDPDF=Y")</f>
        <v>7.4999999999999997E-2</v>
      </c>
      <c r="G42" s="13">
        <f>_xll.BDH("SRPT US Equity","ARD_ACC_OTH_COMPREHENSIVE_INC","FQ4 2019","FQ4 2019","Currency=USD","Period=FQ","BEST_FPERIOD_OVERRIDE=FQ","FILING_STATUS=MR","SCALING_FORMAT=MLN","Sort=A","Dates=H","DateFormat=P","Fill=—","Direction=H","UseDPDF=Y")</f>
        <v>0.05</v>
      </c>
      <c r="H42" s="13">
        <f>_xll.BDH("SRPT US Equity","ARD_ACC_OTH_COMPREHENSIVE_INC","FQ1 2020","FQ1 2020","Currency=USD","Period=FQ","BEST_FPERIOD_OVERRIDE=FQ","FILING_STATUS=MR","SCALING_FORMAT=MLN","Sort=A","Dates=H","DateFormat=P","Fill=—","Direction=H","UseDPDF=Y")</f>
        <v>0.624</v>
      </c>
      <c r="I42" s="13">
        <f>_xll.BDH("SRPT US Equity","ARD_ACC_OTH_COMPREHENSIVE_INC","FQ2 2020","FQ2 2020","Currency=USD","Period=FQ","BEST_FPERIOD_OVERRIDE=FQ","FILING_STATUS=MR","SCALING_FORMAT=MLN","Sort=A","Dates=H","DateFormat=P","Fill=—","Direction=H","UseDPDF=Y")</f>
        <v>6.0000000000000001E-3</v>
      </c>
      <c r="J42" s="13">
        <f>_xll.BDH("SRPT US Equity","ARD_ACC_OTH_COMPREHENSIVE_INC","FQ3 2020","FQ3 2020","Currency=USD","Period=FQ","BEST_FPERIOD_OVERRIDE=FQ","FILING_STATUS=MR","SCALING_FORMAT=MLN","Sort=A","Dates=H","DateFormat=P","Fill=—","Direction=H","UseDPDF=Y")</f>
        <v>-6.0000000000000001E-3</v>
      </c>
      <c r="K42" s="13">
        <f>_xll.BDH("SRPT US Equity","ARD_ACC_OTH_COMPREHENSIVE_INC","FQ4 2020","FQ4 2020","Currency=USD","Period=FQ","BEST_FPERIOD_OVERRIDE=FQ","FILING_STATUS=MR","SCALING_FORMAT=MLN","Sort=A","Dates=H","DateFormat=P","Fill=—","Direction=H","UseDPDF=Y")</f>
        <v>3.0000000000000001E-3</v>
      </c>
      <c r="L42" s="13">
        <f>_xll.BDH("SRPT US Equity","ARD_ACC_OTH_COMPREHENSIVE_INC","FQ1 2021","FQ1 2021","Currency=USD","Period=FQ","BEST_FPERIOD_OVERRIDE=FQ","FILING_STATUS=MR","SCALING_FORMAT=MLN","Sort=A","Dates=H","DateFormat=P","Fill=—","Direction=H","UseDPDF=Y")</f>
        <v>-3.0000000000000001E-3</v>
      </c>
      <c r="M42" s="13">
        <f>_xll.BDH("SRPT US Equity","ARD_ACC_OTH_COMPREHENSIVE_INC","FQ2 2021","FQ2 2021","Currency=USD","Period=FQ","BEST_FPERIOD_OVERRIDE=FQ","FILING_STATUS=MR","SCALING_FORMAT=MLN","Sort=A","Dates=H","DateFormat=P","Fill=—","Direction=H","UseDPDF=Y")</f>
        <v>2E-3</v>
      </c>
      <c r="N42" s="13">
        <f>_xll.BDH("SRPT US Equity","ARD_ACC_OTH_COMPREHENSIVE_INC","FQ3 2021","FQ3 2021","Currency=USD","Period=FQ","BEST_FPERIOD_OVERRIDE=FQ","FILING_STATUS=MR","SCALING_FORMAT=MLN","Sort=A","Dates=H","DateFormat=P","Fill=—","Direction=H","UseDPDF=Y")</f>
        <v>-0.02</v>
      </c>
      <c r="O42" s="13">
        <f>_xll.BDH("SRPT US Equity","ARD_ACC_OTH_COMPREHENSIVE_INC","FQ4 2021","FQ4 2021","Currency=USD","Period=FQ","BEST_FPERIOD_OVERRIDE=FQ","FILING_STATUS=MR","SCALING_FORMAT=MLN","Sort=A","Dates=H","DateFormat=P","Fill=—","Direction=H","UseDPDF=Y")</f>
        <v>-0.02</v>
      </c>
      <c r="P42" s="13">
        <f>_xll.BDH("SRPT US Equity","ARD_ACC_OTH_COMPREHENSIVE_INC","FQ1 2022","FQ1 2022","Currency=USD","Period=FQ","BEST_FPERIOD_OVERRIDE=FQ","FILING_STATUS=MR","SCALING_FORMAT=MLN","Sort=A","Dates=H","DateFormat=P","Fill=—","Direction=H","UseDPDF=Y")</f>
        <v>-0.30599999999999999</v>
      </c>
      <c r="Q42" s="13">
        <f>_xll.BDH("SRPT US Equity","ARD_ACC_OTH_COMPREHENSIVE_INC","FQ2 2022","FQ2 2022","Currency=USD","Period=FQ","BEST_FPERIOD_OVERRIDE=FQ","FILING_STATUS=MR","SCALING_FORMAT=MLN","Sort=A","Dates=H","DateFormat=P","Fill=—","Direction=H","UseDPDF=Y")</f>
        <v>-2.4849999999999999</v>
      </c>
      <c r="R42" s="13">
        <f>_xll.BDH("SRPT US Equity","ARD_ACC_OTH_COMPREHENSIVE_INC","FQ3 2022","FQ3 2022","Currency=USD","Period=FQ","BEST_FPERIOD_OVERRIDE=FQ","FILING_STATUS=MR","SCALING_FORMAT=MLN","Sort=A","Dates=H","DateFormat=P","Fill=—","Direction=H","UseDPDF=Y")</f>
        <v>-3.2050000000000001</v>
      </c>
      <c r="S42" s="13">
        <f>_xll.BDH("SRPT US Equity","ARD_ACC_OTH_COMPREHENSIVE_INC","FQ4 2022","FQ4 2022","Currency=USD","Period=FQ","BEST_FPERIOD_OVERRIDE=FQ","FILING_STATUS=MR","SCALING_FORMAT=MLN","Sort=A","Dates=H","DateFormat=P","Fill=—","Direction=H","UseDPDF=Y")</f>
        <v>-1.6639999999999999</v>
      </c>
      <c r="T42" s="13">
        <f>_xll.BDH("SRPT US Equity","ARD_ACC_OTH_COMPREHENSIVE_INC","FQ1 2023","FQ1 2023","Currency=USD","Period=FQ","BEST_FPERIOD_OVERRIDE=FQ","FILING_STATUS=MR","SCALING_FORMAT=MLN","Sort=A","Dates=H","DateFormat=P","Fill=—","Direction=H","UseDPDF=Y")</f>
        <v>-0.41899999999999998</v>
      </c>
      <c r="U42" s="13">
        <f>_xll.BDH("SRPT US Equity","ARD_ACC_OTH_COMPREHENSIVE_INC","FQ2 2023","FQ2 2023","Currency=USD","Period=FQ","BEST_FPERIOD_OVERRIDE=FQ","FILING_STATUS=MR","SCALING_FORMAT=MLN","Sort=A","Dates=H","DateFormat=P","Fill=—","Direction=H","UseDPDF=Y")</f>
        <v>-1.0549999999999999</v>
      </c>
      <c r="V42" s="13">
        <f>_xll.BDH("SRPT US Equity","ARD_ACC_OTH_COMPREHENSIVE_INC","FQ3 2023","FQ3 2023","Currency=USD","Period=FQ","BEST_FPERIOD_OVERRIDE=FQ","FILING_STATUS=MR","SCALING_FORMAT=MLN","Sort=A","Dates=H","DateFormat=P","Fill=—","Direction=H","UseDPDF=Y")</f>
        <v>-0.63800000000000001</v>
      </c>
      <c r="W42" s="13">
        <f>_xll.BDH("SRPT US Equity","ARD_ACC_OTH_COMPREHENSIVE_INC","FQ4 2023","FQ4 2023","Currency=USD","Period=FQ","BEST_FPERIOD_OVERRIDE=FQ","FILING_STATUS=MR","SCALING_FORMAT=MLN","Sort=A","Dates=H","DateFormat=P","Fill=—","Direction=H","UseDPDF=Y")</f>
        <v>0.91800000000000004</v>
      </c>
      <c r="X42" s="13">
        <f>_xll.BDH("SRPT US Equity","ARD_ACC_OTH_COMPREHENSIVE_INC","FQ1 2024","FQ1 2024","Currency=USD","Period=FQ","BEST_FPERIOD_OVERRIDE=FQ","FILING_STATUS=MR","SCALING_FORMAT=MLN","Sort=A","Dates=H","DateFormat=P","Fill=—","Direction=H","UseDPDF=Y")</f>
        <v>-0.69099999999999995</v>
      </c>
      <c r="Y42" s="13">
        <f>_xll.BDH("SRPT US Equity","ARD_ACC_OTH_COMPREHENSIVE_INC","FQ2 2024","FQ2 2024","Currency=USD","Period=FQ","BEST_FPERIOD_OVERRIDE=FQ","FILING_STATUS=MR","SCALING_FORMAT=MLN","Sort=A","Dates=H","DateFormat=P","Fill=—","Direction=H","UseDPDF=Y")</f>
        <v>-1.03</v>
      </c>
      <c r="Z42" s="13">
        <f>_xll.BDH("SRPT US Equity","ARD_ACC_OTH_COMPREHENSIVE_INC","FQ3 2024","FQ3 2024","Currency=USD","Period=FQ","BEST_FPERIOD_OVERRIDE=FQ","FILING_STATUS=MR","SCALING_FORMAT=MLN","Sort=A","Dates=H","DateFormat=P","Fill=—","Direction=H","UseDPDF=Y")</f>
        <v>2.2450000000000001</v>
      </c>
      <c r="AA42" s="13">
        <f>_xll.BDH("SRPT US Equity","ARD_ACC_OTH_COMPREHENSIVE_INC","FQ4 2024","FQ4 2024","Currency=USD","Period=FQ","BEST_FPERIOD_OVERRIDE=FQ","FILING_STATUS=MR","SCALING_FORMAT=MLN","Sort=A","Dates=H","DateFormat=P","Fill=—","Direction=H","UseDPDF=Y")</f>
        <v>-0.218</v>
      </c>
    </row>
    <row r="43" spans="1:27" x14ac:dyDescent="0.25">
      <c r="A43" s="10" t="s">
        <v>908</v>
      </c>
      <c r="B43" s="10" t="s">
        <v>909</v>
      </c>
      <c r="C43" s="13">
        <f>_xll.BDH("SRPT US Equity","ARD_RETAINED_EARN_ACC_DEFICIT","FQ4 2018","FQ4 2018","Currency=USD","Period=FQ","BEST_FPERIOD_OVERRIDE=FQ","FILING_STATUS=MR","SCALING_FORMAT=MLN","Sort=A","Dates=H","DateFormat=P","Fill=—","Direction=H","UseDPDF=Y")</f>
        <v>-1578.9259999999999</v>
      </c>
      <c r="D43" s="13">
        <f>_xll.BDH("SRPT US Equity","ARD_RETAINED_EARN_ACC_DEFICIT","FQ1 2019","FQ1 2019","Currency=USD","Period=FQ","BEST_FPERIOD_OVERRIDE=FQ","FILING_STATUS=MR","SCALING_FORMAT=MLN","Sort=A","Dates=H","DateFormat=P","Fill=—","Direction=H","UseDPDF=Y")</f>
        <v>-1655.569</v>
      </c>
      <c r="E43" s="13">
        <f>_xll.BDH("SRPT US Equity","ARD_RETAINED_EARN_ACC_DEFICIT","FQ2 2019","FQ2 2019","Currency=USD","Period=FQ","BEST_FPERIOD_OVERRIDE=FQ","FILING_STATUS=MR","SCALING_FORMAT=MLN","Sort=A","Dates=H","DateFormat=P","Fill=—","Direction=H","UseDPDF=Y")</f>
        <v>-1931.972</v>
      </c>
      <c r="F43" s="13">
        <f>_xll.BDH("SRPT US Equity","ARD_RETAINED_EARN_ACC_DEFICIT","FQ3 2019","FQ3 2019","Currency=USD","Period=FQ","BEST_FPERIOD_OVERRIDE=FQ","FILING_STATUS=MR","SCALING_FORMAT=MLN","Sort=A","Dates=H","DateFormat=P","Fill=—","Direction=H","UseDPDF=Y")</f>
        <v>-2058.2979999999998</v>
      </c>
      <c r="G43" s="13">
        <f>_xll.BDH("SRPT US Equity","ARD_RETAINED_EARN_ACC_DEFICIT","FQ4 2019","FQ4 2019","Currency=USD","Period=FQ","BEST_FPERIOD_OVERRIDE=FQ","FILING_STATUS=MR","SCALING_FORMAT=MLN","Sort=A","Dates=H","DateFormat=P","Fill=—","Direction=H","UseDPDF=Y")</f>
        <v>-2294.0010000000002</v>
      </c>
      <c r="H43" s="13">
        <f>_xll.BDH("SRPT US Equity","ARD_RETAINED_EARN_ACC_DEFICIT","FQ1 2020","FQ1 2020","Currency=USD","Period=FQ","BEST_FPERIOD_OVERRIDE=FQ","FILING_STATUS=MR","SCALING_FORMAT=MLN","Sort=A","Dates=H","DateFormat=P","Fill=—","Direction=H","UseDPDF=Y")</f>
        <v>-2311.4929999999999</v>
      </c>
      <c r="I43" s="13">
        <f>_xll.BDH("SRPT US Equity","ARD_RETAINED_EARN_ACC_DEFICIT","FQ2 2020","FQ2 2020","Currency=USD","Period=FQ","BEST_FPERIOD_OVERRIDE=FQ","FILING_STATUS=MR","SCALING_FORMAT=MLN","Sort=A","Dates=H","DateFormat=P","Fill=—","Direction=H","UseDPDF=Y")</f>
        <v>-2462.3130000000001</v>
      </c>
      <c r="J43" s="13">
        <f>_xll.BDH("SRPT US Equity","ARD_RETAINED_EARN_ACC_DEFICIT","FQ3 2020","FQ3 2020","Currency=USD","Period=FQ","BEST_FPERIOD_OVERRIDE=FQ","FILING_STATUS=MR","SCALING_FORMAT=MLN","Sort=A","Dates=H","DateFormat=P","Fill=—","Direction=H","UseDPDF=Y")</f>
        <v>-2658.8119999999999</v>
      </c>
      <c r="K43" s="13">
        <f>_xll.BDH("SRPT US Equity","ARD_RETAINED_EARN_ACC_DEFICIT","FQ4 2020","FQ4 2020","Currency=USD","Period=FQ","BEST_FPERIOD_OVERRIDE=FQ","FILING_STATUS=MR","SCALING_FORMAT=MLN","Sort=A","Dates=H","DateFormat=P","Fill=—","Direction=H","UseDPDF=Y")</f>
        <v>-2848.1289999999999</v>
      </c>
      <c r="L43" s="13">
        <f>_xll.BDH("SRPT US Equity","ARD_RETAINED_EARN_ACC_DEFICIT","FQ1 2021","FQ1 2021","Currency=USD","Period=FQ","BEST_FPERIOD_OVERRIDE=FQ","FILING_STATUS=MR","SCALING_FORMAT=MLN","Sort=A","Dates=H","DateFormat=P","Fill=—","Direction=H","UseDPDF=Y")</f>
        <v>-2955.2179999999998</v>
      </c>
      <c r="M43" s="13">
        <f>_xll.BDH("SRPT US Equity","ARD_RETAINED_EARN_ACC_DEFICIT","FQ2 2021","FQ2 2021","Currency=USD","Period=FQ","BEST_FPERIOD_OVERRIDE=FQ","FILING_STATUS=MR","SCALING_FORMAT=MLN","Sort=A","Dates=H","DateFormat=P","Fill=—","Direction=H","UseDPDF=Y")</f>
        <v>-3036.623</v>
      </c>
      <c r="N43" s="13">
        <f>_xll.BDH("SRPT US Equity","ARD_RETAINED_EARN_ACC_DEFICIT","FQ3 2021","FQ3 2021","Currency=USD","Period=FQ","BEST_FPERIOD_OVERRIDE=FQ","FILING_STATUS=MR","SCALING_FORMAT=MLN","Sort=A","Dates=H","DateFormat=P","Fill=—","Direction=H","UseDPDF=Y")</f>
        <v>-3084.7669999999998</v>
      </c>
      <c r="O43" s="13">
        <f>_xll.BDH("SRPT US Equity","ARD_RETAINED_EARN_ACC_DEFICIT","FQ4 2021","FQ4 2021","Currency=USD","Period=FQ","BEST_FPERIOD_OVERRIDE=FQ","FILING_STATUS=MR","SCALING_FORMAT=MLN","Sort=A","Dates=H","DateFormat=P","Fill=—","Direction=H","UseDPDF=Y")</f>
        <v>-3206.748</v>
      </c>
      <c r="P43" s="13">
        <f>_xll.BDH("SRPT US Equity","ARD_RETAINED_EARN_ACC_DEFICIT","FQ1 2022","FQ1 2022","Currency=USD","Period=FQ","BEST_FPERIOD_OVERRIDE=FQ","FILING_STATUS=MR","SCALING_FORMAT=MLN","Sort=A","Dates=H","DateFormat=P","Fill=—","Direction=H","UseDPDF=Y")</f>
        <v>-3311.7730000000001</v>
      </c>
      <c r="Q43" s="13">
        <f>_xll.BDH("SRPT US Equity","ARD_RETAINED_EARN_ACC_DEFICIT","FQ2 2022","FQ2 2022","Currency=USD","Period=FQ","BEST_FPERIOD_OVERRIDE=FQ","FILING_STATUS=MR","SCALING_FORMAT=MLN","Sort=A","Dates=H","DateFormat=P","Fill=—","Direction=H","UseDPDF=Y")</f>
        <v>-3543.2539999999999</v>
      </c>
      <c r="R43" s="13">
        <f>_xll.BDH("SRPT US Equity","ARD_RETAINED_EARN_ACC_DEFICIT","FQ3 2022","FQ3 2022","Currency=USD","Period=FQ","BEST_FPERIOD_OVERRIDE=FQ","FILING_STATUS=MR","SCALING_FORMAT=MLN","Sort=A","Dates=H","DateFormat=P","Fill=—","Direction=H","UseDPDF=Y")</f>
        <v>-3800.9920000000002</v>
      </c>
      <c r="S43" s="13">
        <f>_xll.BDH("SRPT US Equity","ARD_RETAINED_EARN_ACC_DEFICIT","FQ4 2022","FQ4 2022","Currency=USD","Period=FQ","BEST_FPERIOD_OVERRIDE=FQ","FILING_STATUS=MR","SCALING_FORMAT=MLN","Sort=A","Dates=H","DateFormat=P","Fill=—","Direction=H","UseDPDF=Y")</f>
        <v>-3910.2359999999999</v>
      </c>
      <c r="T43" s="13">
        <f>_xll.BDH("SRPT US Equity","ARD_RETAINED_EARN_ACC_DEFICIT","FQ1 2023","FQ1 2023","Currency=USD","Period=FQ","BEST_FPERIOD_OVERRIDE=FQ","FILING_STATUS=MR","SCALING_FORMAT=MLN","Sort=A","Dates=H","DateFormat=P","Fill=—","Direction=H","UseDPDF=Y")</f>
        <v>-4426.991</v>
      </c>
      <c r="U43" s="13">
        <f>_xll.BDH("SRPT US Equity","ARD_RETAINED_EARN_ACC_DEFICIT","FQ2 2023","FQ2 2023","Currency=USD","Period=FQ","BEST_FPERIOD_OVERRIDE=FQ","FILING_STATUS=MR","SCALING_FORMAT=MLN","Sort=A","Dates=H","DateFormat=P","Fill=—","Direction=H","UseDPDF=Y")</f>
        <v>-4450.9309999999996</v>
      </c>
      <c r="V43" s="13">
        <f>_xll.BDH("SRPT US Equity","ARD_RETAINED_EARN_ACC_DEFICIT","FQ3 2023","FQ3 2023","Currency=USD","Period=FQ","BEST_FPERIOD_OVERRIDE=FQ","FILING_STATUS=MR","SCALING_FORMAT=MLN","Sort=A","Dates=H","DateFormat=P","Fill=—","Direction=H","UseDPDF=Y")</f>
        <v>-4491.8680000000004</v>
      </c>
      <c r="W43" s="13">
        <f>_xll.BDH("SRPT US Equity","ARD_RETAINED_EARN_ACC_DEFICIT","FQ4 2023","FQ4 2023","Currency=USD","Period=FQ","BEST_FPERIOD_OVERRIDE=FQ","FILING_STATUS=MR","SCALING_FORMAT=MLN","Sort=A","Dates=H","DateFormat=P","Fill=—","Direction=H","UseDPDF=Y")</f>
        <v>-4446.2129999999997</v>
      </c>
      <c r="X43" s="13">
        <f>_xll.BDH("SRPT US Equity","ARD_RETAINED_EARN_ACC_DEFICIT","FQ1 2024","FQ1 2024","Currency=USD","Period=FQ","BEST_FPERIOD_OVERRIDE=FQ","FILING_STATUS=MR","SCALING_FORMAT=MLN","Sort=A","Dates=H","DateFormat=P","Fill=—","Direction=H","UseDPDF=Y")</f>
        <v>-4410.0940000000001</v>
      </c>
      <c r="Y43" s="13">
        <f>_xll.BDH("SRPT US Equity","ARD_RETAINED_EARN_ACC_DEFICIT","FQ2 2024","FQ2 2024","Currency=USD","Period=FQ","BEST_FPERIOD_OVERRIDE=FQ","FILING_STATUS=MR","SCALING_FORMAT=MLN","Sort=A","Dates=H","DateFormat=P","Fill=—","Direction=H","UseDPDF=Y")</f>
        <v>-4403.634</v>
      </c>
      <c r="Z43" s="13">
        <f>_xll.BDH("SRPT US Equity","ARD_RETAINED_EARN_ACC_DEFICIT","FQ3 2024","FQ3 2024","Currency=USD","Period=FQ","BEST_FPERIOD_OVERRIDE=FQ","FILING_STATUS=MR","SCALING_FORMAT=MLN","Sort=A","Dates=H","DateFormat=P","Fill=—","Direction=H","UseDPDF=Y")</f>
        <v>-4370.0230000000001</v>
      </c>
      <c r="AA43" s="13">
        <f>_xll.BDH("SRPT US Equity","ARD_RETAINED_EARN_ACC_DEFICIT","FQ4 2024","FQ4 2024","Currency=USD","Period=FQ","BEST_FPERIOD_OVERRIDE=FQ","FILING_STATUS=MR","SCALING_FORMAT=MLN","Sort=A","Dates=H","DateFormat=P","Fill=—","Direction=H","UseDPDF=Y")</f>
        <v>-4210.9740000000002</v>
      </c>
    </row>
    <row r="44" spans="1:27" x14ac:dyDescent="0.25">
      <c r="A44" s="10" t="s">
        <v>821</v>
      </c>
      <c r="B44" s="10" t="s">
        <v>910</v>
      </c>
      <c r="C44" s="13">
        <f>_xll.BDH("SRPT US Equity","ARD_SHARES_OUTSTANDING","FQ4 2018","FQ4 2018","Currency=USD","Period=FQ","BEST_FPERIOD_OVERRIDE=FQ","FILING_STATUS=MR","Sort=A","Dates=H","DateFormat=P","Fill=—","Direction=H","UseDPDF=Y")</f>
        <v>71.071899999999999</v>
      </c>
      <c r="D44" s="13">
        <f>_xll.BDH("SRPT US Equity","ARD_SHARES_OUTSTANDING","FQ1 2019","FQ1 2019","Currency=USD","Period=FQ","BEST_FPERIOD_OVERRIDE=FQ","FILING_STATUS=MR","Sort=A","Dates=H","DateFormat=P","Fill=—","Direction=H","UseDPDF=Y")</f>
        <v>74.133499999999998</v>
      </c>
      <c r="E44" s="13">
        <f>_xll.BDH("SRPT US Equity","ARD_SHARES_OUTSTANDING","FQ2 2019","FQ2 2019","Currency=USD","Period=FQ","BEST_FPERIOD_OVERRIDE=FQ","FILING_STATUS=MR","Sort=A","Dates=H","DateFormat=P","Fill=—","Direction=H","UseDPDF=Y")</f>
        <v>74.327799999999996</v>
      </c>
      <c r="F44" s="13">
        <f>_xll.BDH("SRPT US Equity","ARD_SHARES_OUTSTANDING","FQ3 2019","FQ3 2019","Currency=USD","Period=FQ","BEST_FPERIOD_OVERRIDE=FQ","FILING_STATUS=MR","Sort=A","Dates=H","DateFormat=P","Fill=—","Direction=H","UseDPDF=Y")</f>
        <v>74.504800000000003</v>
      </c>
      <c r="G44" s="13">
        <f>_xll.BDH("SRPT US Equity","ARD_SHARES_OUTSTANDING","FQ4 2019","FQ4 2019","Currency=USD","Period=FQ","BEST_FPERIOD_OVERRIDE=FQ","FILING_STATUS=MR","Sort=A","Dates=H","DateFormat=P","Fill=—","Direction=H","UseDPDF=Y")</f>
        <v>75.184899999999999</v>
      </c>
      <c r="H44" s="13">
        <f>_xll.BDH("SRPT US Equity","ARD_SHARES_OUTSTANDING","FQ1 2020","FQ1 2020","Currency=USD","Period=FQ","BEST_FPERIOD_OVERRIDE=FQ","FILING_STATUS=MR","Sort=A","Dates=H","DateFormat=P","Fill=—","Direction=H","UseDPDF=Y")</f>
        <v>77.957800000000006</v>
      </c>
      <c r="I44" s="13">
        <f>_xll.BDH("SRPT US Equity","ARD_SHARES_OUTSTANDING","FQ2 2020","FQ2 2020","Currency=USD","Period=FQ","BEST_FPERIOD_OVERRIDE=FQ","FILING_STATUS=MR","Sort=A","Dates=H","DateFormat=P","Fill=—","Direction=H","UseDPDF=Y")</f>
        <v>78.432199999999995</v>
      </c>
      <c r="J44" s="13">
        <f>_xll.BDH("SRPT US Equity","ARD_SHARES_OUTSTANDING","FQ3 2020","FQ3 2020","Currency=USD","Period=FQ","BEST_FPERIOD_OVERRIDE=FQ","FILING_STATUS=MR","Sort=A","Dates=H","DateFormat=P","Fill=—","Direction=H","UseDPDF=Y")</f>
        <v>78.7898</v>
      </c>
      <c r="K44" s="13">
        <f>_xll.BDH("SRPT US Equity","ARD_SHARES_OUTSTANDING","FQ4 2020","FQ4 2020","Currency=USD","Period=FQ","BEST_FPERIOD_OVERRIDE=FQ","FILING_STATUS=MR","Sort=A","Dates=H","DateFormat=P","Fill=—","Direction=H","UseDPDF=Y")</f>
        <v>79.374200000000002</v>
      </c>
      <c r="L44" s="13">
        <f>_xll.BDH("SRPT US Equity","ARD_SHARES_OUTSTANDING","FQ1 2021","FQ1 2021","Currency=USD","Period=FQ","BEST_FPERIOD_OVERRIDE=FQ","FILING_STATUS=MR","Sort=A","Dates=H","DateFormat=P","Fill=—","Direction=H","UseDPDF=Y")</f>
        <v>79.748099999999994</v>
      </c>
      <c r="M44" s="13">
        <f>_xll.BDH("SRPT US Equity","ARD_SHARES_OUTSTANDING","FQ2 2021","FQ2 2021","Currency=USD","Period=FQ","BEST_FPERIOD_OVERRIDE=FQ","FILING_STATUS=MR","Sort=A","Dates=H","DateFormat=P","Fill=—","Direction=H","UseDPDF=Y")</f>
        <v>79.830399999999997</v>
      </c>
      <c r="N44" s="13">
        <f>_xll.BDH("SRPT US Equity","ARD_SHARES_OUTSTANDING","FQ3 2021","FQ3 2021","Currency=USD","Period=FQ","BEST_FPERIOD_OVERRIDE=FQ","FILING_STATUS=MR","Sort=A","Dates=H","DateFormat=P","Fill=—","Direction=H","UseDPDF=Y")</f>
        <v>79.958500000000001</v>
      </c>
      <c r="O44" s="13">
        <f>_xll.BDH("SRPT US Equity","ARD_SHARES_OUTSTANDING","FQ4 2021","FQ4 2021","Currency=USD","Period=FQ","BEST_FPERIOD_OVERRIDE=FQ","FILING_STATUS=MR","Sort=A","Dates=H","DateFormat=P","Fill=—","Direction=H","UseDPDF=Y")</f>
        <v>87.126999999999995</v>
      </c>
      <c r="P44" s="13">
        <f>_xll.BDH("SRPT US Equity","ARD_SHARES_OUTSTANDING","FQ1 2022","FQ1 2022","Currency=USD","Period=FQ","BEST_FPERIOD_OVERRIDE=FQ","FILING_STATUS=MR","Sort=A","Dates=H","DateFormat=P","Fill=—","Direction=H","UseDPDF=Y")</f>
        <v>87.495599999999996</v>
      </c>
      <c r="Q44" s="13">
        <f>_xll.BDH("SRPT US Equity","ARD_SHARES_OUTSTANDING","FQ2 2022","FQ2 2022","Currency=USD","Period=FQ","BEST_FPERIOD_OVERRIDE=FQ","FILING_STATUS=MR","Sort=A","Dates=H","DateFormat=P","Fill=—","Direction=H","UseDPDF=Y")</f>
        <v>87.535300000000007</v>
      </c>
      <c r="R44" s="13">
        <f>_xll.BDH("SRPT US Equity","ARD_SHARES_OUTSTANDING","FQ3 2022","FQ3 2022","Currency=USD","Period=FQ","BEST_FPERIOD_OVERRIDE=FQ","FILING_STATUS=MR","Sort=A","Dates=H","DateFormat=P","Fill=—","Direction=H","UseDPDF=Y")</f>
        <v>87.766199999999998</v>
      </c>
      <c r="S44" s="13">
        <f>_xll.BDH("SRPT US Equity","ARD_SHARES_OUTSTANDING","FQ4 2022","FQ4 2022","Currency=USD","Period=FQ","BEST_FPERIOD_OVERRIDE=FQ","FILING_STATUS=MR","Sort=A","Dates=H","DateFormat=P","Fill=—","Direction=H","UseDPDF=Y")</f>
        <v>87.950100000000006</v>
      </c>
      <c r="T44" s="13">
        <f>_xll.BDH("SRPT US Equity","ARD_SHARES_OUTSTANDING","FQ1 2023","FQ1 2023","Currency=USD","Period=FQ","BEST_FPERIOD_OVERRIDE=FQ","FILING_STATUS=MR","Sort=A","Dates=H","DateFormat=P","Fill=—","Direction=H","UseDPDF=Y")</f>
        <v>93.140100000000004</v>
      </c>
      <c r="U44" s="13">
        <f>_xll.BDH("SRPT US Equity","ARD_SHARES_OUTSTANDING","FQ2 2023","FQ2 2023","Currency=USD","Period=FQ","BEST_FPERIOD_OVERRIDE=FQ","FILING_STATUS=MR","Sort=A","Dates=H","DateFormat=P","Fill=—","Direction=H","UseDPDF=Y")</f>
        <v>93.273499999999999</v>
      </c>
      <c r="V44" s="13">
        <f>_xll.BDH("SRPT US Equity","ARD_SHARES_OUTSTANDING","FQ3 2023","FQ3 2023","Currency=USD","Period=FQ","BEST_FPERIOD_OVERRIDE=FQ","FILING_STATUS=MR","Sort=A","Dates=H","DateFormat=P","Fill=—","Direction=H","UseDPDF=Y")</f>
        <v>93.537400000000005</v>
      </c>
      <c r="W44" s="13">
        <f>_xll.BDH("SRPT US Equity","ARD_SHARES_OUTSTANDING","FQ4 2023","FQ4 2023","Currency=USD","Period=FQ","BEST_FPERIOD_OVERRIDE=FQ","FILING_STATUS=MR","Sort=A","Dates=H","DateFormat=P","Fill=—","Direction=H","UseDPDF=Y")</f>
        <v>93.731800000000007</v>
      </c>
      <c r="X44" s="13">
        <f>_xll.BDH("SRPT US Equity","ARD_SHARES_OUTSTANDING","FQ1 2024","FQ1 2024","Currency=USD","Period=FQ","BEST_FPERIOD_OVERRIDE=FQ","FILING_STATUS=MR","Sort=A","Dates=H","DateFormat=P","Fill=—","Direction=H","UseDPDF=Y")</f>
        <v>94.490200000000002</v>
      </c>
      <c r="Y44" s="13">
        <f>_xll.BDH("SRPT US Equity","ARD_SHARES_OUTSTANDING","FQ2 2024","FQ2 2024","Currency=USD","Period=FQ","BEST_FPERIOD_OVERRIDE=FQ","FILING_STATUS=MR","Sort=A","Dates=H","DateFormat=P","Fill=—","Direction=H","UseDPDF=Y")</f>
        <v>95.282600000000002</v>
      </c>
      <c r="Z44" s="13">
        <f>_xll.BDH("SRPT US Equity","ARD_SHARES_OUTSTANDING","FQ3 2024","FQ3 2024","Currency=USD","Period=FQ","BEST_FPERIOD_OVERRIDE=FQ","FILING_STATUS=MR","Sort=A","Dates=H","DateFormat=P","Fill=—","Direction=H","UseDPDF=Y")</f>
        <v>95.492999999999995</v>
      </c>
      <c r="AA44" s="13">
        <f>_xll.BDH("SRPT US Equity","ARD_SHARES_OUTSTANDING","FQ4 2024","FQ4 2024","Currency=USD","Period=FQ","BEST_FPERIOD_OVERRIDE=FQ","FILING_STATUS=MR","Sort=A","Dates=H","DateFormat=P","Fill=—","Direction=H","UseDPDF=Y")</f>
        <v>96.900499999999994</v>
      </c>
    </row>
    <row r="45" spans="1:27" x14ac:dyDescent="0.25">
      <c r="A45" s="10" t="s">
        <v>911</v>
      </c>
      <c r="B45" s="10" t="s">
        <v>912</v>
      </c>
      <c r="C45" s="14">
        <f>_xll.BDH("SRPT US Equity","ARD_PAR_VALUE","FQ4 2018","FQ4 2018","Currency=USD","Period=FQ","BEST_FPERIOD_OVERRIDE=FQ","FILING_STATUS=MR","Sort=A","Dates=H","DateFormat=P","Fill=—","Direction=H","UseDPDF=Y")</f>
        <v>1E-4</v>
      </c>
      <c r="D45" s="14">
        <f>_xll.BDH("SRPT US Equity","ARD_PAR_VALUE","FQ1 2019","FQ1 2019","Currency=USD","Period=FQ","BEST_FPERIOD_OVERRIDE=FQ","FILING_STATUS=MR","Sort=A","Dates=H","DateFormat=P","Fill=—","Direction=H","UseDPDF=Y")</f>
        <v>1E-4</v>
      </c>
      <c r="E45" s="14">
        <f>_xll.BDH("SRPT US Equity","ARD_PAR_VALUE","FQ2 2019","FQ2 2019","Currency=USD","Period=FQ","BEST_FPERIOD_OVERRIDE=FQ","FILING_STATUS=MR","Sort=A","Dates=H","DateFormat=P","Fill=—","Direction=H","UseDPDF=Y")</f>
        <v>1E-4</v>
      </c>
      <c r="F45" s="14">
        <f>_xll.BDH("SRPT US Equity","ARD_PAR_VALUE","FQ3 2019","FQ3 2019","Currency=USD","Period=FQ","BEST_FPERIOD_OVERRIDE=FQ","FILING_STATUS=MR","Sort=A","Dates=H","DateFormat=P","Fill=—","Direction=H","UseDPDF=Y")</f>
        <v>1E-4</v>
      </c>
      <c r="G45" s="14">
        <f>_xll.BDH("SRPT US Equity","ARD_PAR_VALUE","FQ4 2019","FQ4 2019","Currency=USD","Period=FQ","BEST_FPERIOD_OVERRIDE=FQ","FILING_STATUS=MR","Sort=A","Dates=H","DateFormat=P","Fill=—","Direction=H","UseDPDF=Y")</f>
        <v>1E-4</v>
      </c>
      <c r="H45" s="14">
        <f>_xll.BDH("SRPT US Equity","ARD_PAR_VALUE","FQ1 2020","FQ1 2020","Currency=USD","Period=FQ","BEST_FPERIOD_OVERRIDE=FQ","FILING_STATUS=MR","Sort=A","Dates=H","DateFormat=P","Fill=—","Direction=H","UseDPDF=Y")</f>
        <v>1E-4</v>
      </c>
      <c r="I45" s="14">
        <f>_xll.BDH("SRPT US Equity","ARD_PAR_VALUE","FQ2 2020","FQ2 2020","Currency=USD","Period=FQ","BEST_FPERIOD_OVERRIDE=FQ","FILING_STATUS=MR","Sort=A","Dates=H","DateFormat=P","Fill=—","Direction=H","UseDPDF=Y")</f>
        <v>1E-4</v>
      </c>
      <c r="J45" s="14">
        <f>_xll.BDH("SRPT US Equity","ARD_PAR_VALUE","FQ3 2020","FQ3 2020","Currency=USD","Period=FQ","BEST_FPERIOD_OVERRIDE=FQ","FILING_STATUS=MR","Sort=A","Dates=H","DateFormat=P","Fill=—","Direction=H","UseDPDF=Y")</f>
        <v>1E-4</v>
      </c>
      <c r="K45" s="14">
        <f>_xll.BDH("SRPT US Equity","ARD_PAR_VALUE","FQ4 2020","FQ4 2020","Currency=USD","Period=FQ","BEST_FPERIOD_OVERRIDE=FQ","FILING_STATUS=MR","Sort=A","Dates=H","DateFormat=P","Fill=—","Direction=H","UseDPDF=Y")</f>
        <v>1E-4</v>
      </c>
      <c r="L45" s="14">
        <f>_xll.BDH("SRPT US Equity","ARD_PAR_VALUE","FQ1 2021","FQ1 2021","Currency=USD","Period=FQ","BEST_FPERIOD_OVERRIDE=FQ","FILING_STATUS=MR","Sort=A","Dates=H","DateFormat=P","Fill=—","Direction=H","UseDPDF=Y")</f>
        <v>1E-4</v>
      </c>
      <c r="M45" s="14">
        <f>_xll.BDH("SRPT US Equity","ARD_PAR_VALUE","FQ2 2021","FQ2 2021","Currency=USD","Period=FQ","BEST_FPERIOD_OVERRIDE=FQ","FILING_STATUS=MR","Sort=A","Dates=H","DateFormat=P","Fill=—","Direction=H","UseDPDF=Y")</f>
        <v>1E-4</v>
      </c>
      <c r="N45" s="14">
        <f>_xll.BDH("SRPT US Equity","ARD_PAR_VALUE","FQ3 2021","FQ3 2021","Currency=USD","Period=FQ","BEST_FPERIOD_OVERRIDE=FQ","FILING_STATUS=MR","Sort=A","Dates=H","DateFormat=P","Fill=—","Direction=H","UseDPDF=Y")</f>
        <v>1E-4</v>
      </c>
      <c r="O45" s="14">
        <f>_xll.BDH("SRPT US Equity","ARD_PAR_VALUE","FQ4 2021","FQ4 2021","Currency=USD","Period=FQ","BEST_FPERIOD_OVERRIDE=FQ","FILING_STATUS=MR","Sort=A","Dates=H","DateFormat=P","Fill=—","Direction=H","UseDPDF=Y")</f>
        <v>1E-4</v>
      </c>
      <c r="P45" s="14">
        <f>_xll.BDH("SRPT US Equity","ARD_PAR_VALUE","FQ1 2022","FQ1 2022","Currency=USD","Period=FQ","BEST_FPERIOD_OVERRIDE=FQ","FILING_STATUS=MR","Sort=A","Dates=H","DateFormat=P","Fill=—","Direction=H","UseDPDF=Y")</f>
        <v>1E-4</v>
      </c>
      <c r="Q45" s="14">
        <f>_xll.BDH("SRPT US Equity","ARD_PAR_VALUE","FQ2 2022","FQ2 2022","Currency=USD","Period=FQ","BEST_FPERIOD_OVERRIDE=FQ","FILING_STATUS=MR","Sort=A","Dates=H","DateFormat=P","Fill=—","Direction=H","UseDPDF=Y")</f>
        <v>1E-4</v>
      </c>
      <c r="R45" s="14">
        <f>_xll.BDH("SRPT US Equity","ARD_PAR_VALUE","FQ3 2022","FQ3 2022","Currency=USD","Period=FQ","BEST_FPERIOD_OVERRIDE=FQ","FILING_STATUS=MR","Sort=A","Dates=H","DateFormat=P","Fill=—","Direction=H","UseDPDF=Y")</f>
        <v>1E-4</v>
      </c>
      <c r="S45" s="14">
        <f>_xll.BDH("SRPT US Equity","ARD_PAR_VALUE","FQ4 2022","FQ4 2022","Currency=USD","Period=FQ","BEST_FPERIOD_OVERRIDE=FQ","FILING_STATUS=MR","Sort=A","Dates=H","DateFormat=P","Fill=—","Direction=H","UseDPDF=Y")</f>
        <v>1E-4</v>
      </c>
      <c r="T45" s="14">
        <f>_xll.BDH("SRPT US Equity","ARD_PAR_VALUE","FQ1 2023","FQ1 2023","Currency=USD","Period=FQ","BEST_FPERIOD_OVERRIDE=FQ","FILING_STATUS=MR","Sort=A","Dates=H","DateFormat=P","Fill=—","Direction=H","UseDPDF=Y")</f>
        <v>1E-4</v>
      </c>
      <c r="U45" s="14">
        <f>_xll.BDH("SRPT US Equity","ARD_PAR_VALUE","FQ2 2023","FQ2 2023","Currency=USD","Period=FQ","BEST_FPERIOD_OVERRIDE=FQ","FILING_STATUS=MR","Sort=A","Dates=H","DateFormat=P","Fill=—","Direction=H","UseDPDF=Y")</f>
        <v>1E-4</v>
      </c>
      <c r="V45" s="14">
        <f>_xll.BDH("SRPT US Equity","ARD_PAR_VALUE","FQ3 2023","FQ3 2023","Currency=USD","Period=FQ","BEST_FPERIOD_OVERRIDE=FQ","FILING_STATUS=MR","Sort=A","Dates=H","DateFormat=P","Fill=—","Direction=H","UseDPDF=Y")</f>
        <v>1E-4</v>
      </c>
      <c r="W45" s="14">
        <f>_xll.BDH("SRPT US Equity","ARD_PAR_VALUE","FQ4 2023","FQ4 2023","Currency=USD","Period=FQ","BEST_FPERIOD_OVERRIDE=FQ","FILING_STATUS=MR","Sort=A","Dates=H","DateFormat=P","Fill=—","Direction=H","UseDPDF=Y")</f>
        <v>1E-4</v>
      </c>
      <c r="X45" s="14">
        <f>_xll.BDH("SRPT US Equity","ARD_PAR_VALUE","FQ1 2024","FQ1 2024","Currency=USD","Period=FQ","BEST_FPERIOD_OVERRIDE=FQ","FILING_STATUS=MR","Sort=A","Dates=H","DateFormat=P","Fill=—","Direction=H","UseDPDF=Y")</f>
        <v>1E-4</v>
      </c>
      <c r="Y45" s="14">
        <f>_xll.BDH("SRPT US Equity","ARD_PAR_VALUE","FQ2 2024","FQ2 2024","Currency=USD","Period=FQ","BEST_FPERIOD_OVERRIDE=FQ","FILING_STATUS=MR","Sort=A","Dates=H","DateFormat=P","Fill=—","Direction=H","UseDPDF=Y")</f>
        <v>1E-4</v>
      </c>
      <c r="Z45" s="14">
        <f>_xll.BDH("SRPT US Equity","ARD_PAR_VALUE","FQ3 2024","FQ3 2024","Currency=USD","Period=FQ","BEST_FPERIOD_OVERRIDE=FQ","FILING_STATUS=MR","Sort=A","Dates=H","DateFormat=P","Fill=—","Direction=H","UseDPDF=Y")</f>
        <v>1E-4</v>
      </c>
      <c r="AA45" s="14">
        <f>_xll.BDH("SRPT US Equity","ARD_PAR_VALUE","FQ4 2024","FQ4 2024","Currency=USD","Period=FQ","BEST_FPERIOD_OVERRIDE=FQ","FILING_STATUS=MR","Sort=A","Dates=H","DateFormat=P","Fill=—","Direction=H","UseDPDF=Y")</f>
        <v>1E-4</v>
      </c>
    </row>
    <row r="46" spans="1:27" x14ac:dyDescent="0.25">
      <c r="A46" s="10" t="s">
        <v>913</v>
      </c>
      <c r="B46" s="10" t="s">
        <v>914</v>
      </c>
      <c r="C46" s="13" t="str">
        <f>_xll.BDH("SRPT US Equity","ARD_SHARES_ISSUED","FQ4 2018","FQ4 2018","Currency=USD","Period=FQ","BEST_FPERIOD_OVERRIDE=FQ","FILING_STATUS=MR","Sort=A","Dates=H","DateFormat=P","Fill=—","Direction=H","UseDPDF=Y")</f>
        <v>—</v>
      </c>
      <c r="D46" s="13" t="str">
        <f>_xll.BDH("SRPT US Equity","ARD_SHARES_ISSUED","FQ1 2019","FQ1 2019","Currency=USD","Period=FQ","BEST_FPERIOD_OVERRIDE=FQ","FILING_STATUS=MR","Sort=A","Dates=H","DateFormat=P","Fill=—","Direction=H","UseDPDF=Y")</f>
        <v>—</v>
      </c>
      <c r="E46" s="13" t="str">
        <f>_xll.BDH("SRPT US Equity","ARD_SHARES_ISSUED","FQ2 2019","FQ2 2019","Currency=USD","Period=FQ","BEST_FPERIOD_OVERRIDE=FQ","FILING_STATUS=MR","Sort=A","Dates=H","DateFormat=P","Fill=—","Direction=H","UseDPDF=Y")</f>
        <v>—</v>
      </c>
      <c r="F46" s="13" t="str">
        <f>_xll.BDH("SRPT US Equity","ARD_SHARES_ISSUED","FQ3 2019","FQ3 2019","Currency=USD","Period=FQ","BEST_FPERIOD_OVERRIDE=FQ","FILING_STATUS=MR","Sort=A","Dates=H","DateFormat=P","Fill=—","Direction=H","UseDPDF=Y")</f>
        <v>—</v>
      </c>
      <c r="G46" s="13">
        <f>_xll.BDH("SRPT US Equity","ARD_SHARES_ISSUED","FQ4 2019","FQ4 2019","Currency=USD","Period=FQ","BEST_FPERIOD_OVERRIDE=FQ","FILING_STATUS=MR","Sort=A","Dates=H","DateFormat=P","Fill=—","Direction=H","UseDPDF=Y")</f>
        <v>75.184899999999999</v>
      </c>
      <c r="H46" s="13">
        <f>_xll.BDH("SRPT US Equity","ARD_SHARES_ISSUED","FQ1 2020","FQ1 2020","Currency=USD","Period=FQ","BEST_FPERIOD_OVERRIDE=FQ","FILING_STATUS=MR","Sort=A","Dates=H","DateFormat=P","Fill=—","Direction=H","UseDPDF=Y")</f>
        <v>77.957800000000006</v>
      </c>
      <c r="I46" s="13">
        <f>_xll.BDH("SRPT US Equity","ARD_SHARES_ISSUED","FQ2 2020","FQ2 2020","Currency=USD","Period=FQ","BEST_FPERIOD_OVERRIDE=FQ","FILING_STATUS=MR","Sort=A","Dates=H","DateFormat=P","Fill=—","Direction=H","UseDPDF=Y")</f>
        <v>78.432199999999995</v>
      </c>
      <c r="J46" s="13">
        <f>_xll.BDH("SRPT US Equity","ARD_SHARES_ISSUED","FQ3 2020","FQ3 2020","Currency=USD","Period=FQ","BEST_FPERIOD_OVERRIDE=FQ","FILING_STATUS=MR","Sort=A","Dates=H","DateFormat=P","Fill=—","Direction=H","UseDPDF=Y")</f>
        <v>78.7898</v>
      </c>
      <c r="K46" s="13">
        <f>_xll.BDH("SRPT US Equity","ARD_SHARES_ISSUED","FQ4 2020","FQ4 2020","Currency=USD","Period=FQ","BEST_FPERIOD_OVERRIDE=FQ","FILING_STATUS=MR","Sort=A","Dates=H","DateFormat=P","Fill=—","Direction=H","UseDPDF=Y")</f>
        <v>79.374200000000002</v>
      </c>
      <c r="L46" s="13">
        <f>_xll.BDH("SRPT US Equity","ARD_SHARES_ISSUED","FQ1 2021","FQ1 2021","Currency=USD","Period=FQ","BEST_FPERIOD_OVERRIDE=FQ","FILING_STATUS=MR","Sort=A","Dates=H","DateFormat=P","Fill=—","Direction=H","UseDPDF=Y")</f>
        <v>79.748099999999994</v>
      </c>
      <c r="M46" s="13">
        <f>_xll.BDH("SRPT US Equity","ARD_SHARES_ISSUED","FQ2 2021","FQ2 2021","Currency=USD","Period=FQ","BEST_FPERIOD_OVERRIDE=FQ","FILING_STATUS=MR","Sort=A","Dates=H","DateFormat=P","Fill=—","Direction=H","UseDPDF=Y")</f>
        <v>79.830399999999997</v>
      </c>
      <c r="N46" s="13">
        <f>_xll.BDH("SRPT US Equity","ARD_SHARES_ISSUED","FQ3 2021","FQ3 2021","Currency=USD","Period=FQ","BEST_FPERIOD_OVERRIDE=FQ","FILING_STATUS=MR","Sort=A","Dates=H","DateFormat=P","Fill=—","Direction=H","UseDPDF=Y")</f>
        <v>79.958500000000001</v>
      </c>
      <c r="O46" s="13">
        <f>_xll.BDH("SRPT US Equity","ARD_SHARES_ISSUED","FQ4 2021","FQ4 2021","Currency=USD","Period=FQ","BEST_FPERIOD_OVERRIDE=FQ","FILING_STATUS=MR","Sort=A","Dates=H","DateFormat=P","Fill=—","Direction=H","UseDPDF=Y")</f>
        <v>87.126999999999995</v>
      </c>
      <c r="P46" s="13">
        <f>_xll.BDH("SRPT US Equity","ARD_SHARES_ISSUED","FQ1 2022","FQ1 2022","Currency=USD","Period=FQ","BEST_FPERIOD_OVERRIDE=FQ","FILING_STATUS=MR","Sort=A","Dates=H","DateFormat=P","Fill=—","Direction=H","UseDPDF=Y")</f>
        <v>87.495599999999996</v>
      </c>
      <c r="Q46" s="13">
        <f>_xll.BDH("SRPT US Equity","ARD_SHARES_ISSUED","FQ2 2022","FQ2 2022","Currency=USD","Period=FQ","BEST_FPERIOD_OVERRIDE=FQ","FILING_STATUS=MR","Sort=A","Dates=H","DateFormat=P","Fill=—","Direction=H","UseDPDF=Y")</f>
        <v>87.535300000000007</v>
      </c>
      <c r="R46" s="13">
        <f>_xll.BDH("SRPT US Equity","ARD_SHARES_ISSUED","FQ3 2022","FQ3 2022","Currency=USD","Period=FQ","BEST_FPERIOD_OVERRIDE=FQ","FILING_STATUS=MR","Sort=A","Dates=H","DateFormat=P","Fill=—","Direction=H","UseDPDF=Y")</f>
        <v>87.766199999999998</v>
      </c>
      <c r="S46" s="13">
        <f>_xll.BDH("SRPT US Equity","ARD_SHARES_ISSUED","FQ4 2022","FQ4 2022","Currency=USD","Period=FQ","BEST_FPERIOD_OVERRIDE=FQ","FILING_STATUS=MR","Sort=A","Dates=H","DateFormat=P","Fill=—","Direction=H","UseDPDF=Y")</f>
        <v>87.950100000000006</v>
      </c>
      <c r="T46" s="13">
        <f>_xll.BDH("SRPT US Equity","ARD_SHARES_ISSUED","FQ1 2023","FQ1 2023","Currency=USD","Period=FQ","BEST_FPERIOD_OVERRIDE=FQ","FILING_STATUS=MR","Sort=A","Dates=H","DateFormat=P","Fill=—","Direction=H","UseDPDF=Y")</f>
        <v>93.140100000000004</v>
      </c>
      <c r="U46" s="13">
        <f>_xll.BDH("SRPT US Equity","ARD_SHARES_ISSUED","FQ2 2023","FQ2 2023","Currency=USD","Period=FQ","BEST_FPERIOD_OVERRIDE=FQ","FILING_STATUS=MR","Sort=A","Dates=H","DateFormat=P","Fill=—","Direction=H","UseDPDF=Y")</f>
        <v>93.273499999999999</v>
      </c>
      <c r="V46" s="13">
        <f>_xll.BDH("SRPT US Equity","ARD_SHARES_ISSUED","FQ3 2023","FQ3 2023","Currency=USD","Period=FQ","BEST_FPERIOD_OVERRIDE=FQ","FILING_STATUS=MR","Sort=A","Dates=H","DateFormat=P","Fill=—","Direction=H","UseDPDF=Y")</f>
        <v>93.537400000000005</v>
      </c>
      <c r="W46" s="13">
        <f>_xll.BDH("SRPT US Equity","ARD_SHARES_ISSUED","FQ4 2023","FQ4 2023","Currency=USD","Period=FQ","BEST_FPERIOD_OVERRIDE=FQ","FILING_STATUS=MR","Sort=A","Dates=H","DateFormat=P","Fill=—","Direction=H","UseDPDF=Y")</f>
        <v>93.731800000000007</v>
      </c>
      <c r="X46" s="13">
        <f>_xll.BDH("SRPT US Equity","ARD_SHARES_ISSUED","FQ1 2024","FQ1 2024","Currency=USD","Period=FQ","BEST_FPERIOD_OVERRIDE=FQ","FILING_STATUS=MR","Sort=A","Dates=H","DateFormat=P","Fill=—","Direction=H","UseDPDF=Y")</f>
        <v>94.490200000000002</v>
      </c>
      <c r="Y46" s="13">
        <f>_xll.BDH("SRPT US Equity","ARD_SHARES_ISSUED","FQ2 2024","FQ2 2024","Currency=USD","Period=FQ","BEST_FPERIOD_OVERRIDE=FQ","FILING_STATUS=MR","Sort=A","Dates=H","DateFormat=P","Fill=—","Direction=H","UseDPDF=Y")</f>
        <v>95.282600000000002</v>
      </c>
      <c r="Z46" s="13">
        <f>_xll.BDH("SRPT US Equity","ARD_SHARES_ISSUED","FQ3 2024","FQ3 2024","Currency=USD","Period=FQ","BEST_FPERIOD_OVERRIDE=FQ","FILING_STATUS=MR","Sort=A","Dates=H","DateFormat=P","Fill=—","Direction=H","UseDPDF=Y")</f>
        <v>95.492999999999995</v>
      </c>
      <c r="AA46" s="13">
        <f>_xll.BDH("SRPT US Equity","ARD_SHARES_ISSUED","FQ4 2024","FQ4 2024","Currency=USD","Period=FQ","BEST_FPERIOD_OVERRIDE=FQ","FILING_STATUS=MR","Sort=A","Dates=H","DateFormat=P","Fill=—","Direction=H","UseDPDF=Y")</f>
        <v>96.900499999999994</v>
      </c>
    </row>
    <row r="47" spans="1:27" x14ac:dyDescent="0.25">
      <c r="A47" s="10" t="s">
        <v>915</v>
      </c>
      <c r="B47" s="10" t="s">
        <v>916</v>
      </c>
      <c r="C47" s="13">
        <f>_xll.BDH("SRPT US Equity","ARD_TOTAL_SHAREHOLDERS_EQUITY","FQ4 2018","FQ4 2018","Currency=USD","Period=FQ","BEST_FPERIOD_OVERRIDE=FQ","FILING_STATUS=MR","SCALING_FORMAT=MLN","Sort=A","Dates=H","DateFormat=P","Fill=—","Direction=H","UseDPDF=Y")</f>
        <v>1032.2760000000001</v>
      </c>
      <c r="D47" s="13">
        <f>_xll.BDH("SRPT US Equity","ARD_TOTAL_SHAREHOLDERS_EQUITY","FQ1 2019","FQ1 2019","Currency=USD","Period=FQ","BEST_FPERIOD_OVERRIDE=FQ","FILING_STATUS=MR","SCALING_FORMAT=MLN","Sort=A","Dates=H","DateFormat=P","Fill=—","Direction=H","UseDPDF=Y")</f>
        <v>1348.5640000000001</v>
      </c>
      <c r="E47" s="13">
        <f>_xll.BDH("SRPT US Equity","ARD_TOTAL_SHAREHOLDERS_EQUITY","FQ2 2019","FQ2 2019","Currency=USD","Period=FQ","BEST_FPERIOD_OVERRIDE=FQ","FILING_STATUS=MR","SCALING_FORMAT=MLN","Sort=A","Dates=H","DateFormat=P","Fill=—","Direction=H","UseDPDF=Y")</f>
        <v>1099.1669999999999</v>
      </c>
      <c r="F47" s="13">
        <f>_xll.BDH("SRPT US Equity","ARD_TOTAL_SHAREHOLDERS_EQUITY","FQ3 2019","FQ3 2019","Currency=USD","Period=FQ","BEST_FPERIOD_OVERRIDE=FQ","FILING_STATUS=MR","SCALING_FORMAT=MLN","Sort=A","Dates=H","DateFormat=P","Fill=—","Direction=H","UseDPDF=Y")</f>
        <v>995.20399999999995</v>
      </c>
      <c r="G47" s="13">
        <f>_xll.BDH("SRPT US Equity","ARD_TOTAL_SHAREHOLDERS_EQUITY","FQ4 2019","FQ4 2019","Currency=USD","Period=FQ","BEST_FPERIOD_OVERRIDE=FQ","FILING_STATUS=MR","SCALING_FORMAT=MLN","Sort=A","Dates=H","DateFormat=P","Fill=—","Direction=H","UseDPDF=Y")</f>
        <v>818.18700000000001</v>
      </c>
      <c r="H47" s="13">
        <f>_xll.BDH("SRPT US Equity","ARD_TOTAL_SHAREHOLDERS_EQUITY","FQ1 2020","FQ1 2020","Currency=USD","Period=FQ","BEST_FPERIOD_OVERRIDE=FQ","FILING_STATUS=MR","SCALING_FORMAT=MLN","Sort=A","Dates=H","DateFormat=P","Fill=—","Direction=H","UseDPDF=Y")</f>
        <v>1144.828</v>
      </c>
      <c r="I47" s="13">
        <f>_xll.BDH("SRPT US Equity","ARD_TOTAL_SHAREHOLDERS_EQUITY","FQ2 2020","FQ2 2020","Currency=USD","Period=FQ","BEST_FPERIOD_OVERRIDE=FQ","FILING_STATUS=MR","SCALING_FORMAT=MLN","Sort=A","Dates=H","DateFormat=P","Fill=—","Direction=H","UseDPDF=Y")</f>
        <v>1042.866</v>
      </c>
      <c r="J47" s="13">
        <f>_xll.BDH("SRPT US Equity","ARD_TOTAL_SHAREHOLDERS_EQUITY","FQ3 2020","FQ3 2020","Currency=USD","Period=FQ","BEST_FPERIOD_OVERRIDE=FQ","FILING_STATUS=MR","SCALING_FORMAT=MLN","Sort=A","Dates=H","DateFormat=P","Fill=—","Direction=H","UseDPDF=Y")</f>
        <v>892.04700000000003</v>
      </c>
      <c r="K47" s="13">
        <f>_xll.BDH("SRPT US Equity","ARD_TOTAL_SHAREHOLDERS_EQUITY","FQ4 2020","FQ4 2020","Currency=USD","Period=FQ","BEST_FPERIOD_OVERRIDE=FQ","FILING_STATUS=MR","SCALING_FORMAT=MLN","Sort=A","Dates=H","DateFormat=P","Fill=—","Direction=H","UseDPDF=Y")</f>
        <v>761.75900000000001</v>
      </c>
      <c r="L47" s="13">
        <f>_xll.BDH("SRPT US Equity","ARD_TOTAL_SHAREHOLDERS_EQUITY","FQ1 2021","FQ1 2021","Currency=USD","Period=FQ","BEST_FPERIOD_OVERRIDE=FQ","FILING_STATUS=MR","SCALING_FORMAT=MLN","Sort=A","Dates=H","DateFormat=P","Fill=—","Direction=H","UseDPDF=Y")</f>
        <v>535.44500000000005</v>
      </c>
      <c r="M47" s="13">
        <f>_xll.BDH("SRPT US Equity","ARD_TOTAL_SHAREHOLDERS_EQUITY","FQ2 2021","FQ2 2021","Currency=USD","Period=FQ","BEST_FPERIOD_OVERRIDE=FQ","FILING_STATUS=MR","SCALING_FORMAT=MLN","Sort=A","Dates=H","DateFormat=P","Fill=—","Direction=H","UseDPDF=Y")</f>
        <v>485.108</v>
      </c>
      <c r="N47" s="13">
        <f>_xll.BDH("SRPT US Equity","ARD_TOTAL_SHAREHOLDERS_EQUITY","FQ3 2021","FQ3 2021","Currency=USD","Period=FQ","BEST_FPERIOD_OVERRIDE=FQ","FILING_STATUS=MR","SCALING_FORMAT=MLN","Sort=A","Dates=H","DateFormat=P","Fill=—","Direction=H","UseDPDF=Y")</f>
        <v>469.52800000000002</v>
      </c>
      <c r="O47" s="13">
        <f>_xll.BDH("SRPT US Equity","ARD_TOTAL_SHAREHOLDERS_EQUITY","FQ4 2021","FQ4 2021","Currency=USD","Period=FQ","BEST_FPERIOD_OVERRIDE=FQ","FILING_STATUS=MR","SCALING_FORMAT=MLN","Sort=A","Dates=H","DateFormat=P","Fill=—","Direction=H","UseDPDF=Y")</f>
        <v>928.00900000000001</v>
      </c>
      <c r="P47" s="13">
        <f>_xll.BDH("SRPT US Equity","ARD_TOTAL_SHAREHOLDERS_EQUITY","FQ1 2022","FQ1 2022","Currency=USD","Period=FQ","BEST_FPERIOD_OVERRIDE=FQ","FILING_STATUS=MR","SCALING_FORMAT=MLN","Sort=A","Dates=H","DateFormat=P","Fill=—","Direction=H","UseDPDF=Y")</f>
        <v>856.88599999999997</v>
      </c>
      <c r="Q47" s="13">
        <f>_xll.BDH("SRPT US Equity","ARD_TOTAL_SHAREHOLDERS_EQUITY","FQ2 2022","FQ2 2022","Currency=USD","Period=FQ","BEST_FPERIOD_OVERRIDE=FQ","FILING_STATUS=MR","SCALING_FORMAT=MLN","Sort=A","Dates=H","DateFormat=P","Fill=—","Direction=H","UseDPDF=Y")</f>
        <v>726.45699999999999</v>
      </c>
      <c r="R47" s="13">
        <f>_xll.BDH("SRPT US Equity","ARD_TOTAL_SHAREHOLDERS_EQUITY","FQ3 2022","FQ3 2022","Currency=USD","Period=FQ","BEST_FPERIOD_OVERRIDE=FQ","FILING_STATUS=MR","SCALING_FORMAT=MLN","Sort=A","Dates=H","DateFormat=P","Fill=—","Direction=H","UseDPDF=Y")</f>
        <v>430.84</v>
      </c>
      <c r="S47" s="13">
        <f>_xll.BDH("SRPT US Equity","ARD_TOTAL_SHAREHOLDERS_EQUITY","FQ4 2022","FQ4 2022","Currency=USD","Period=FQ","BEST_FPERIOD_OVERRIDE=FQ","FILING_STATUS=MR","SCALING_FORMAT=MLN","Sort=A","Dates=H","DateFormat=P","Fill=—","Direction=H","UseDPDF=Y")</f>
        <v>384.95</v>
      </c>
      <c r="T47" s="13">
        <f>_xll.BDH("SRPT US Equity","ARD_TOTAL_SHAREHOLDERS_EQUITY","FQ1 2023","FQ1 2023","Currency=USD","Period=FQ","BEST_FPERIOD_OVERRIDE=FQ","FILING_STATUS=MR","SCALING_FORMAT=MLN","Sort=A","Dates=H","DateFormat=P","Fill=—","Direction=H","UseDPDF=Y")</f>
        <v>712.74900000000002</v>
      </c>
      <c r="U47" s="13">
        <f>_xll.BDH("SRPT US Equity","ARD_TOTAL_SHAREHOLDERS_EQUITY","FQ2 2023","FQ2 2023","Currency=USD","Period=FQ","BEST_FPERIOD_OVERRIDE=FQ","FILING_STATUS=MR","SCALING_FORMAT=MLN","Sort=A","Dates=H","DateFormat=P","Fill=—","Direction=H","UseDPDF=Y")</f>
        <v>741.41099999999994</v>
      </c>
      <c r="V47" s="13">
        <f>_xll.BDH("SRPT US Equity","ARD_TOTAL_SHAREHOLDERS_EQUITY","FQ3 2023","FQ3 2023","Currency=USD","Period=FQ","BEST_FPERIOD_OVERRIDE=FQ","FILING_STATUS=MR","SCALING_FORMAT=MLN","Sort=A","Dates=H","DateFormat=P","Fill=—","Direction=H","UseDPDF=Y")</f>
        <v>764.35699999999997</v>
      </c>
      <c r="W47" s="13">
        <f>_xll.BDH("SRPT US Equity","ARD_TOTAL_SHAREHOLDERS_EQUITY","FQ4 2023","FQ4 2023","Currency=USD","Period=FQ","BEST_FPERIOD_OVERRIDE=FQ","FILING_STATUS=MR","SCALING_FORMAT=MLN","Sort=A","Dates=H","DateFormat=P","Fill=—","Direction=H","UseDPDF=Y")</f>
        <v>859.33699999999999</v>
      </c>
      <c r="X47" s="13">
        <f>_xll.BDH("SRPT US Equity","ARD_TOTAL_SHAREHOLDERS_EQUITY","FQ1 2024","FQ1 2024","Currency=USD","Period=FQ","BEST_FPERIOD_OVERRIDE=FQ","FILING_STATUS=MR","SCALING_FORMAT=MLN","Sort=A","Dates=H","DateFormat=P","Fill=—","Direction=H","UseDPDF=Y")</f>
        <v>961.19200000000001</v>
      </c>
      <c r="Y47" s="13">
        <f>_xll.BDH("SRPT US Equity","ARD_TOTAL_SHAREHOLDERS_EQUITY","FQ2 2024","FQ2 2024","Currency=USD","Period=FQ","BEST_FPERIOD_OVERRIDE=FQ","FILING_STATUS=MR","SCALING_FORMAT=MLN","Sort=A","Dates=H","DateFormat=P","Fill=—","Direction=H","UseDPDF=Y")</f>
        <v>1077.069</v>
      </c>
      <c r="Z47" s="13">
        <f>_xll.BDH("SRPT US Equity","ARD_TOTAL_SHAREHOLDERS_EQUITY","FQ3 2024","FQ3 2024","Currency=USD","Period=FQ","BEST_FPERIOD_OVERRIDE=FQ","FILING_STATUS=MR","SCALING_FORMAT=MLN","Sort=A","Dates=H","DateFormat=P","Fill=—","Direction=H","UseDPDF=Y")</f>
        <v>1221.0709999999999</v>
      </c>
      <c r="AA47" s="13">
        <f>_xll.BDH("SRPT US Equity","ARD_TOTAL_SHAREHOLDERS_EQUITY","FQ4 2024","FQ4 2024","Currency=USD","Period=FQ","BEST_FPERIOD_OVERRIDE=FQ","FILING_STATUS=MR","SCALING_FORMAT=MLN","Sort=A","Dates=H","DateFormat=P","Fill=—","Direction=H","UseDPDF=Y")</f>
        <v>1527.742</v>
      </c>
    </row>
    <row r="48" spans="1:27" x14ac:dyDescent="0.25">
      <c r="A48" s="10" t="s">
        <v>917</v>
      </c>
      <c r="B48" s="10" t="s">
        <v>918</v>
      </c>
      <c r="C48" s="13">
        <f>_xll.BDH("SRPT US Equity","ARD_SHARES_AUTHORIZED","FQ4 2018","FQ4 2018","Currency=USD","Period=FQ","BEST_FPERIOD_OVERRIDE=FQ","FILING_STATUS=MR","SCALING_FORMAT=MLN","Sort=A","Dates=H","DateFormat=P","Fill=—","Direction=H","UseDPDF=Y")</f>
        <v>99</v>
      </c>
      <c r="D48" s="13">
        <f>_xll.BDH("SRPT US Equity","ARD_SHARES_AUTHORIZED","FQ1 2019","FQ1 2019","Currency=USD","Period=FQ","BEST_FPERIOD_OVERRIDE=FQ","FILING_STATUS=MR","SCALING_FORMAT=MLN","Sort=A","Dates=H","DateFormat=P","Fill=—","Direction=H","UseDPDF=Y")</f>
        <v>99</v>
      </c>
      <c r="E48" s="13">
        <f>_xll.BDH("SRPT US Equity","ARD_SHARES_AUTHORIZED","FQ2 2019","FQ2 2019","Currency=USD","Period=FQ","BEST_FPERIOD_OVERRIDE=FQ","FILING_STATUS=MR","SCALING_FORMAT=MLN","Sort=A","Dates=H","DateFormat=P","Fill=—","Direction=H","UseDPDF=Y")</f>
        <v>99</v>
      </c>
      <c r="F48" s="13">
        <f>_xll.BDH("SRPT US Equity","ARD_SHARES_AUTHORIZED","FQ3 2019","FQ3 2019","Currency=USD","Period=FQ","BEST_FPERIOD_OVERRIDE=FQ","FILING_STATUS=MR","SCALING_FORMAT=MLN","Sort=A","Dates=H","DateFormat=P","Fill=—","Direction=H","UseDPDF=Y")</f>
        <v>99</v>
      </c>
      <c r="G48" s="13">
        <f>_xll.BDH("SRPT US Equity","ARD_SHARES_AUTHORIZED","FQ4 2019","FQ4 2019","Currency=USD","Period=FQ","BEST_FPERIOD_OVERRIDE=FQ","FILING_STATUS=MR","SCALING_FORMAT=MLN","Sort=A","Dates=H","DateFormat=P","Fill=—","Direction=H","UseDPDF=Y")</f>
        <v>99</v>
      </c>
      <c r="H48" s="13">
        <f>_xll.BDH("SRPT US Equity","ARD_SHARES_AUTHORIZED","FQ1 2020","FQ1 2020","Currency=USD","Period=FQ","BEST_FPERIOD_OVERRIDE=FQ","FILING_STATUS=MR","SCALING_FORMAT=MLN","Sort=A","Dates=H","DateFormat=P","Fill=—","Direction=H","UseDPDF=Y")</f>
        <v>99</v>
      </c>
      <c r="I48" s="13">
        <f>_xll.BDH("SRPT US Equity","ARD_SHARES_AUTHORIZED","FQ2 2020","FQ2 2020","Currency=USD","Period=FQ","BEST_FPERIOD_OVERRIDE=FQ","FILING_STATUS=MR","SCALING_FORMAT=MLN","Sort=A","Dates=H","DateFormat=P","Fill=—","Direction=H","UseDPDF=Y")</f>
        <v>198</v>
      </c>
      <c r="J48" s="13">
        <f>_xll.BDH("SRPT US Equity","ARD_SHARES_AUTHORIZED","FQ3 2020","FQ3 2020","Currency=USD","Period=FQ","BEST_FPERIOD_OVERRIDE=FQ","FILING_STATUS=MR","SCALING_FORMAT=MLN","Sort=A","Dates=H","DateFormat=P","Fill=—","Direction=H","UseDPDF=Y")</f>
        <v>198</v>
      </c>
      <c r="K48" s="13">
        <f>_xll.BDH("SRPT US Equity","ARD_SHARES_AUTHORIZED","FQ4 2020","FQ4 2020","Currency=USD","Period=FQ","BEST_FPERIOD_OVERRIDE=FQ","FILING_STATUS=MR","SCALING_FORMAT=MLN","Sort=A","Dates=H","DateFormat=P","Fill=—","Direction=H","UseDPDF=Y")</f>
        <v>198</v>
      </c>
      <c r="L48" s="13">
        <f>_xll.BDH("SRPT US Equity","ARD_SHARES_AUTHORIZED","FQ1 2021","FQ1 2021","Currency=USD","Period=FQ","BEST_FPERIOD_OVERRIDE=FQ","FILING_STATUS=MR","SCALING_FORMAT=MLN","Sort=A","Dates=H","DateFormat=P","Fill=—","Direction=H","UseDPDF=Y")</f>
        <v>198</v>
      </c>
      <c r="M48" s="13">
        <f>_xll.BDH("SRPT US Equity","ARD_SHARES_AUTHORIZED","FQ2 2021","FQ2 2021","Currency=USD","Period=FQ","BEST_FPERIOD_OVERRIDE=FQ","FILING_STATUS=MR","SCALING_FORMAT=MLN","Sort=A","Dates=H","DateFormat=P","Fill=—","Direction=H","UseDPDF=Y")</f>
        <v>198</v>
      </c>
      <c r="N48" s="13">
        <f>_xll.BDH("SRPT US Equity","ARD_SHARES_AUTHORIZED","FQ3 2021","FQ3 2021","Currency=USD","Period=FQ","BEST_FPERIOD_OVERRIDE=FQ","FILING_STATUS=MR","SCALING_FORMAT=MLN","Sort=A","Dates=H","DateFormat=P","Fill=—","Direction=H","UseDPDF=Y")</f>
        <v>198</v>
      </c>
      <c r="O48" s="13">
        <f>_xll.BDH("SRPT US Equity","ARD_SHARES_AUTHORIZED","FQ4 2021","FQ4 2021","Currency=USD","Period=FQ","BEST_FPERIOD_OVERRIDE=FQ","FILING_STATUS=MR","SCALING_FORMAT=MLN","Sort=A","Dates=H","DateFormat=P","Fill=—","Direction=H","UseDPDF=Y")</f>
        <v>198</v>
      </c>
      <c r="P48" s="13">
        <f>_xll.BDH("SRPT US Equity","ARD_SHARES_AUTHORIZED","FQ1 2022","FQ1 2022","Currency=USD","Period=FQ","BEST_FPERIOD_OVERRIDE=FQ","FILING_STATUS=MR","SCALING_FORMAT=MLN","Sort=A","Dates=H","DateFormat=P","Fill=—","Direction=H","UseDPDF=Y")</f>
        <v>198</v>
      </c>
      <c r="Q48" s="13">
        <f>_xll.BDH("SRPT US Equity","ARD_SHARES_AUTHORIZED","FQ2 2022","FQ2 2022","Currency=USD","Period=FQ","BEST_FPERIOD_OVERRIDE=FQ","FILING_STATUS=MR","SCALING_FORMAT=MLN","Sort=A","Dates=H","DateFormat=P","Fill=—","Direction=H","UseDPDF=Y")</f>
        <v>198</v>
      </c>
      <c r="R48" s="13">
        <f>_xll.BDH("SRPT US Equity","ARD_SHARES_AUTHORIZED","FQ3 2022","FQ3 2022","Currency=USD","Period=FQ","BEST_FPERIOD_OVERRIDE=FQ","FILING_STATUS=MR","SCALING_FORMAT=MLN","Sort=A","Dates=H","DateFormat=P","Fill=—","Direction=H","UseDPDF=Y")</f>
        <v>198</v>
      </c>
      <c r="S48" s="13">
        <f>_xll.BDH("SRPT US Equity","ARD_SHARES_AUTHORIZED","FQ4 2022","FQ4 2022","Currency=USD","Period=FQ","BEST_FPERIOD_OVERRIDE=FQ","FILING_STATUS=MR","SCALING_FORMAT=MLN","Sort=A","Dates=H","DateFormat=P","Fill=—","Direction=H","UseDPDF=Y")</f>
        <v>198</v>
      </c>
      <c r="T48" s="13">
        <f>_xll.BDH("SRPT US Equity","ARD_SHARES_AUTHORIZED","FQ1 2023","FQ1 2023","Currency=USD","Period=FQ","BEST_FPERIOD_OVERRIDE=FQ","FILING_STATUS=MR","SCALING_FORMAT=MLN","Sort=A","Dates=H","DateFormat=P","Fill=—","Direction=H","UseDPDF=Y")</f>
        <v>198</v>
      </c>
      <c r="U48" s="13">
        <f>_xll.BDH("SRPT US Equity","ARD_SHARES_AUTHORIZED","FQ2 2023","FQ2 2023","Currency=USD","Period=FQ","BEST_FPERIOD_OVERRIDE=FQ","FILING_STATUS=MR","SCALING_FORMAT=MLN","Sort=A","Dates=H","DateFormat=P","Fill=—","Direction=H","UseDPDF=Y")</f>
        <v>198</v>
      </c>
      <c r="V48" s="13">
        <f>_xll.BDH("SRPT US Equity","ARD_SHARES_AUTHORIZED","FQ3 2023","FQ3 2023","Currency=USD","Period=FQ","BEST_FPERIOD_OVERRIDE=FQ","FILING_STATUS=MR","SCALING_FORMAT=MLN","Sort=A","Dates=H","DateFormat=P","Fill=—","Direction=H","UseDPDF=Y")</f>
        <v>198</v>
      </c>
      <c r="W48" s="13">
        <f>_xll.BDH("SRPT US Equity","ARD_SHARES_AUTHORIZED","FQ4 2023","FQ4 2023","Currency=USD","Period=FQ","BEST_FPERIOD_OVERRIDE=FQ","FILING_STATUS=MR","SCALING_FORMAT=MLN","Sort=A","Dates=H","DateFormat=P","Fill=—","Direction=H","UseDPDF=Y")</f>
        <v>198</v>
      </c>
      <c r="X48" s="13">
        <f>_xll.BDH("SRPT US Equity","ARD_SHARES_AUTHORIZED","FQ1 2024","FQ1 2024","Currency=USD","Period=FQ","BEST_FPERIOD_OVERRIDE=FQ","FILING_STATUS=MR","SCALING_FORMAT=MLN","Sort=A","Dates=H","DateFormat=P","Fill=—","Direction=H","UseDPDF=Y")</f>
        <v>198</v>
      </c>
      <c r="Y48" s="13">
        <f>_xll.BDH("SRPT US Equity","ARD_SHARES_AUTHORIZED","FQ2 2024","FQ2 2024","Currency=USD","Period=FQ","BEST_FPERIOD_OVERRIDE=FQ","FILING_STATUS=MR","SCALING_FORMAT=MLN","Sort=A","Dates=H","DateFormat=P","Fill=—","Direction=H","UseDPDF=Y")</f>
        <v>198</v>
      </c>
      <c r="Z48" s="13">
        <f>_xll.BDH("SRPT US Equity","ARD_SHARES_AUTHORIZED","FQ3 2024","FQ3 2024","Currency=USD","Period=FQ","BEST_FPERIOD_OVERRIDE=FQ","FILING_STATUS=MR","SCALING_FORMAT=MLN","Sort=A","Dates=H","DateFormat=P","Fill=—","Direction=H","UseDPDF=Y")</f>
        <v>198</v>
      </c>
      <c r="AA48" s="13">
        <f>_xll.BDH("SRPT US Equity","ARD_SHARES_AUTHORIZED","FQ4 2024","FQ4 2024","Currency=USD","Period=FQ","BEST_FPERIOD_OVERRIDE=FQ","FILING_STATUS=MR","SCALING_FORMAT=MLN","Sort=A","Dates=H","DateFormat=P","Fill=—","Direction=H","UseDPDF=Y")</f>
        <v>198</v>
      </c>
    </row>
    <row r="49" spans="1:27" x14ac:dyDescent="0.25">
      <c r="A49" s="10" t="s">
        <v>919</v>
      </c>
      <c r="B49" s="10" t="s">
        <v>920</v>
      </c>
      <c r="C49" s="13" t="str">
        <f>_xll.BDH("SRPT US Equity","ARD_PREFERRED_STOCK_SHARES_OUT","FQ4 2018","FQ4 2018","Currency=USD","Period=FQ","BEST_FPERIOD_OVERRIDE=FQ","FILING_STATUS=MR","Sort=A","Dates=H","DateFormat=P","Fill=—","Direction=H","UseDPDF=Y")</f>
        <v>—</v>
      </c>
      <c r="D49" s="13" t="str">
        <f>_xll.BDH("SRPT US Equity","ARD_PREFERRED_STOCK_SHARES_OUT","FQ1 2019","FQ1 2019","Currency=USD","Period=FQ","BEST_FPERIOD_OVERRIDE=FQ","FILING_STATUS=MR","Sort=A","Dates=H","DateFormat=P","Fill=—","Direction=H","UseDPDF=Y")</f>
        <v>—</v>
      </c>
      <c r="E49" s="13" t="str">
        <f>_xll.BDH("SRPT US Equity","ARD_PREFERRED_STOCK_SHARES_OUT","FQ2 2019","FQ2 2019","Currency=USD","Period=FQ","BEST_FPERIOD_OVERRIDE=FQ","FILING_STATUS=MR","Sort=A","Dates=H","DateFormat=P","Fill=—","Direction=H","UseDPDF=Y")</f>
        <v>—</v>
      </c>
      <c r="F49" s="13" t="str">
        <f>_xll.BDH("SRPT US Equity","ARD_PREFERRED_STOCK_SHARES_OUT","FQ3 2019","FQ3 2019","Currency=USD","Period=FQ","BEST_FPERIOD_OVERRIDE=FQ","FILING_STATUS=MR","Sort=A","Dates=H","DateFormat=P","Fill=—","Direction=H","UseDPDF=Y")</f>
        <v>—</v>
      </c>
      <c r="G49" s="13" t="str">
        <f>_xll.BDH("SRPT US Equity","ARD_PREFERRED_STOCK_SHARES_OUT","FQ4 2019","FQ4 2019","Currency=USD","Period=FQ","BEST_FPERIOD_OVERRIDE=FQ","FILING_STATUS=MR","Sort=A","Dates=H","DateFormat=P","Fill=—","Direction=H","UseDPDF=Y")</f>
        <v>—</v>
      </c>
      <c r="H49" s="13" t="str">
        <f>_xll.BDH("SRPT US Equity","ARD_PREFERRED_STOCK_SHARES_OUT","FQ1 2020","FQ1 2020","Currency=USD","Period=FQ","BEST_FPERIOD_OVERRIDE=FQ","FILING_STATUS=MR","Sort=A","Dates=H","DateFormat=P","Fill=—","Direction=H","UseDPDF=Y")</f>
        <v>—</v>
      </c>
      <c r="I49" s="13">
        <f>_xll.BDH("SRPT US Equity","ARD_PREFERRED_STOCK_SHARES_OUT","FQ2 2020","FQ2 2020","Currency=USD","Period=FQ","BEST_FPERIOD_OVERRIDE=FQ","FILING_STATUS=MR","Sort=A","Dates=H","DateFormat=P","Fill=—","Direction=H","UseDPDF=Y")</f>
        <v>0</v>
      </c>
      <c r="J49" s="13">
        <f>_xll.BDH("SRPT US Equity","ARD_PREFERRED_STOCK_SHARES_OUT","FQ3 2020","FQ3 2020","Currency=USD","Period=FQ","BEST_FPERIOD_OVERRIDE=FQ","FILING_STATUS=MR","Sort=A","Dates=H","DateFormat=P","Fill=—","Direction=H","UseDPDF=Y")</f>
        <v>0</v>
      </c>
      <c r="K49" s="13">
        <f>_xll.BDH("SRPT US Equity","ARD_PREFERRED_STOCK_SHARES_OUT","FQ4 2020","FQ4 2020","Currency=USD","Period=FQ","BEST_FPERIOD_OVERRIDE=FQ","FILING_STATUS=MR","Sort=A","Dates=H","DateFormat=P","Fill=—","Direction=H","UseDPDF=Y")</f>
        <v>0</v>
      </c>
      <c r="L49" s="13" t="str">
        <f>_xll.BDH("SRPT US Equity","ARD_PREFERRED_STOCK_SHARES_OUT","FQ1 2021","FQ1 2021","Currency=USD","Period=FQ","BEST_FPERIOD_OVERRIDE=FQ","FILING_STATUS=MR","Sort=A","Dates=H","DateFormat=P","Fill=—","Direction=H","UseDPDF=Y")</f>
        <v>—</v>
      </c>
      <c r="M49" s="13">
        <f>_xll.BDH("SRPT US Equity","ARD_PREFERRED_STOCK_SHARES_OUT","FQ2 2021","FQ2 2021","Currency=USD","Period=FQ","BEST_FPERIOD_OVERRIDE=FQ","FILING_STATUS=MR","Sort=A","Dates=H","DateFormat=P","Fill=—","Direction=H","UseDPDF=Y")</f>
        <v>0</v>
      </c>
      <c r="N49" s="13">
        <f>_xll.BDH("SRPT US Equity","ARD_PREFERRED_STOCK_SHARES_OUT","FQ3 2021","FQ3 2021","Currency=USD","Period=FQ","BEST_FPERIOD_OVERRIDE=FQ","FILING_STATUS=MR","Sort=A","Dates=H","DateFormat=P","Fill=—","Direction=H","UseDPDF=Y")</f>
        <v>0</v>
      </c>
      <c r="O49" s="13">
        <f>_xll.BDH("SRPT US Equity","ARD_PREFERRED_STOCK_SHARES_OUT","FQ4 2021","FQ4 2021","Currency=USD","Period=FQ","BEST_FPERIOD_OVERRIDE=FQ","FILING_STATUS=MR","Sort=A","Dates=H","DateFormat=P","Fill=—","Direction=H","UseDPDF=Y")</f>
        <v>0</v>
      </c>
      <c r="P49" s="13" t="str">
        <f>_xll.BDH("SRPT US Equity","ARD_PREFERRED_STOCK_SHARES_OUT","FQ1 2022","FQ1 2022","Currency=USD","Period=FQ","BEST_FPERIOD_OVERRIDE=FQ","FILING_STATUS=MR","Sort=A","Dates=H","DateFormat=P","Fill=—","Direction=H","UseDPDF=Y")</f>
        <v>—</v>
      </c>
      <c r="Q49" s="13">
        <f>_xll.BDH("SRPT US Equity","ARD_PREFERRED_STOCK_SHARES_OUT","FQ2 2022","FQ2 2022","Currency=USD","Period=FQ","BEST_FPERIOD_OVERRIDE=FQ","FILING_STATUS=MR","Sort=A","Dates=H","DateFormat=P","Fill=—","Direction=H","UseDPDF=Y")</f>
        <v>0</v>
      </c>
      <c r="R49" s="13">
        <f>_xll.BDH("SRPT US Equity","ARD_PREFERRED_STOCK_SHARES_OUT","FQ3 2022","FQ3 2022","Currency=USD","Period=FQ","BEST_FPERIOD_OVERRIDE=FQ","FILING_STATUS=MR","Sort=A","Dates=H","DateFormat=P","Fill=—","Direction=H","UseDPDF=Y")</f>
        <v>0</v>
      </c>
      <c r="S49" s="13">
        <f>_xll.BDH("SRPT US Equity","ARD_PREFERRED_STOCK_SHARES_OUT","FQ4 2022","FQ4 2022","Currency=USD","Period=FQ","BEST_FPERIOD_OVERRIDE=FQ","FILING_STATUS=MR","Sort=A","Dates=H","DateFormat=P","Fill=—","Direction=H","UseDPDF=Y")</f>
        <v>0</v>
      </c>
      <c r="T49" s="13">
        <f>_xll.BDH("SRPT US Equity","ARD_PREFERRED_STOCK_SHARES_OUT","FQ1 2023","FQ1 2023","Currency=USD","Period=FQ","BEST_FPERIOD_OVERRIDE=FQ","FILING_STATUS=MR","Sort=A","Dates=H","DateFormat=P","Fill=—","Direction=H","UseDPDF=Y")</f>
        <v>0</v>
      </c>
      <c r="U49" s="13" t="str">
        <f>_xll.BDH("SRPT US Equity","ARD_PREFERRED_STOCK_SHARES_OUT","FQ2 2023","FQ2 2023","Currency=USD","Period=FQ","BEST_FPERIOD_OVERRIDE=FQ","FILING_STATUS=MR","Sort=A","Dates=H","DateFormat=P","Fill=—","Direction=H","UseDPDF=Y")</f>
        <v>—</v>
      </c>
      <c r="V49" s="13">
        <f>_xll.BDH("SRPT US Equity","ARD_PREFERRED_STOCK_SHARES_OUT","FQ3 2023","FQ3 2023","Currency=USD","Period=FQ","BEST_FPERIOD_OVERRIDE=FQ","FILING_STATUS=MR","Sort=A","Dates=H","DateFormat=P","Fill=—","Direction=H","UseDPDF=Y")</f>
        <v>0</v>
      </c>
      <c r="W49" s="13">
        <f>_xll.BDH("SRPT US Equity","ARD_PREFERRED_STOCK_SHARES_OUT","FQ4 2023","FQ4 2023","Currency=USD","Period=FQ","BEST_FPERIOD_OVERRIDE=FQ","FILING_STATUS=MR","Sort=A","Dates=H","DateFormat=P","Fill=—","Direction=H","UseDPDF=Y")</f>
        <v>0</v>
      </c>
      <c r="X49" s="13">
        <f>_xll.BDH("SRPT US Equity","ARD_PREFERRED_STOCK_SHARES_OUT","FQ1 2024","FQ1 2024","Currency=USD","Period=FQ","BEST_FPERIOD_OVERRIDE=FQ","FILING_STATUS=MR","Sort=A","Dates=H","DateFormat=P","Fill=—","Direction=H","UseDPDF=Y")</f>
        <v>0</v>
      </c>
      <c r="Y49" s="13" t="str">
        <f>_xll.BDH("SRPT US Equity","ARD_PREFERRED_STOCK_SHARES_OUT","FQ2 2024","FQ2 2024","Currency=USD","Period=FQ","BEST_FPERIOD_OVERRIDE=FQ","FILING_STATUS=MR","Sort=A","Dates=H","DateFormat=P","Fill=—","Direction=H","UseDPDF=Y")</f>
        <v>—</v>
      </c>
      <c r="Z49" s="13" t="str">
        <f>_xll.BDH("SRPT US Equity","ARD_PREFERRED_STOCK_SHARES_OUT","FQ3 2024","FQ3 2024","Currency=USD","Period=FQ","BEST_FPERIOD_OVERRIDE=FQ","FILING_STATUS=MR","Sort=A","Dates=H","DateFormat=P","Fill=—","Direction=H","UseDPDF=Y")</f>
        <v>—</v>
      </c>
      <c r="AA49" s="13" t="str">
        <f>_xll.BDH("SRPT US Equity","ARD_PREFERRED_STOCK_SHARES_OUT","FQ4 2024","FQ4 2024","Currency=USD","Period=FQ","BEST_FPERIOD_OVERRIDE=FQ","FILING_STATUS=MR","Sort=A","Dates=H","DateFormat=P","Fill=—","Direction=H","UseDPDF=Y")</f>
        <v>—</v>
      </c>
    </row>
    <row r="50" spans="1:27" x14ac:dyDescent="0.25">
      <c r="A50" s="6" t="s">
        <v>921</v>
      </c>
      <c r="B50" s="6" t="s">
        <v>922</v>
      </c>
      <c r="C50" s="19">
        <f>_xll.BDH("SRPT US Equity","ARD_TOT_LIAB_AND_SHAREHOLDER_EQY","FQ4 2018","FQ4 2018","Currency=USD","Period=FQ","BEST_FPERIOD_OVERRIDE=FQ","FILING_STATUS=MR","SCALING_FORMAT=MLN","Sort=A","Dates=H","DateFormat=P","Fill=—","Direction=H","UseDPDF=Y")</f>
        <v>1642.075</v>
      </c>
      <c r="D50" s="19">
        <f>_xll.BDH("SRPT US Equity","ARD_TOT_LIAB_AND_SHAREHOLDER_EQY","FQ1 2019","FQ1 2019","Currency=USD","Period=FQ","BEST_FPERIOD_OVERRIDE=FQ","FILING_STATUS=MR","SCALING_FORMAT=MLN","Sort=A","Dates=H","DateFormat=P","Fill=—","Direction=H","UseDPDF=Y")</f>
        <v>1963.895</v>
      </c>
      <c r="E50" s="19">
        <f>_xll.BDH("SRPT US Equity","ARD_TOT_LIAB_AND_SHAREHOLDER_EQY","FQ2 2019","FQ2 2019","Currency=USD","Period=FQ","BEST_FPERIOD_OVERRIDE=FQ","FILING_STATUS=MR","SCALING_FORMAT=MLN","Sort=A","Dates=H","DateFormat=P","Fill=—","Direction=H","UseDPDF=Y")</f>
        <v>1747.7529999999999</v>
      </c>
      <c r="F50" s="19">
        <f>_xll.BDH("SRPT US Equity","ARD_TOT_LIAB_AND_SHAREHOLDER_EQY","FQ3 2019","FQ3 2019","Currency=USD","Period=FQ","BEST_FPERIOD_OVERRIDE=FQ","FILING_STATUS=MR","SCALING_FORMAT=MLN","Sort=A","Dates=H","DateFormat=P","Fill=—","Direction=H","UseDPDF=Y")</f>
        <v>1702.47</v>
      </c>
      <c r="G50" s="19">
        <f>_xll.BDH("SRPT US Equity","ARD_TOT_LIAB_AND_SHAREHOLDER_EQY","FQ4 2019","FQ4 2019","Currency=USD","Period=FQ","BEST_FPERIOD_OVERRIDE=FQ","FILING_STATUS=MR","SCALING_FORMAT=MLN","Sort=A","Dates=H","DateFormat=P","Fill=—","Direction=H","UseDPDF=Y")</f>
        <v>1822.8219999999999</v>
      </c>
      <c r="H50" s="19">
        <f>_xll.BDH("SRPT US Equity","ARD_TOT_LIAB_AND_SHAREHOLDER_EQY","FQ1 2020","FQ1 2020","Currency=USD","Period=FQ","BEST_FPERIOD_OVERRIDE=FQ","FILING_STATUS=MR","SCALING_FORMAT=MLN","Sort=A","Dates=H","DateFormat=P","Fill=—","Direction=H","UseDPDF=Y")</f>
        <v>2947.3879999999999</v>
      </c>
      <c r="I50" s="19">
        <f>_xll.BDH("SRPT US Equity","ARD_TOT_LIAB_AND_SHAREHOLDER_EQY","FQ2 2020","FQ2 2020","Currency=USD","Period=FQ","BEST_FPERIOD_OVERRIDE=FQ","FILING_STATUS=MR","SCALING_FORMAT=MLN","Sort=A","Dates=H","DateFormat=P","Fill=—","Direction=H","UseDPDF=Y")</f>
        <v>2883.0430000000001</v>
      </c>
      <c r="J50" s="19">
        <f>_xll.BDH("SRPT US Equity","ARD_TOT_LIAB_AND_SHAREHOLDER_EQY","FQ3 2020","FQ3 2020","Currency=USD","Period=FQ","BEST_FPERIOD_OVERRIDE=FQ","FILING_STATUS=MR","SCALING_FORMAT=MLN","Sort=A","Dates=H","DateFormat=P","Fill=—","Direction=H","UseDPDF=Y")</f>
        <v>2780.6640000000002</v>
      </c>
      <c r="K50" s="19">
        <f>_xll.BDH("SRPT US Equity","ARD_TOT_LIAB_AND_SHAREHOLDER_EQY","FQ4 2020","FQ4 2020","Currency=USD","Period=FQ","BEST_FPERIOD_OVERRIDE=FQ","FILING_STATUS=MR","SCALING_FORMAT=MLN","Sort=A","Dates=H","DateFormat=P","Fill=—","Direction=H","UseDPDF=Y")</f>
        <v>2984.7179999999998</v>
      </c>
      <c r="L50" s="19">
        <f>_xll.BDH("SRPT US Equity","ARD_TOT_LIAB_AND_SHAREHOLDER_EQY","FQ1 2021","FQ1 2021","Currency=USD","Period=FQ","BEST_FPERIOD_OVERRIDE=FQ","FILING_STATUS=MR","SCALING_FORMAT=MLN","Sort=A","Dates=H","DateFormat=P","Fill=—","Direction=H","UseDPDF=Y")</f>
        <v>2765.2330000000002</v>
      </c>
      <c r="M50" s="19">
        <f>_xll.BDH("SRPT US Equity","ARD_TOT_LIAB_AND_SHAREHOLDER_EQY","FQ2 2021","FQ2 2021","Currency=USD","Period=FQ","BEST_FPERIOD_OVERRIDE=FQ","FILING_STATUS=MR","SCALING_FORMAT=MLN","Sort=A","Dates=H","DateFormat=P","Fill=—","Direction=H","UseDPDF=Y")</f>
        <v>2759.0729999999999</v>
      </c>
      <c r="N50" s="19">
        <f>_xll.BDH("SRPT US Equity","ARD_TOT_LIAB_AND_SHAREHOLDER_EQY","FQ3 2021","FQ3 2021","Currency=USD","Period=FQ","BEST_FPERIOD_OVERRIDE=FQ","FILING_STATUS=MR","SCALING_FORMAT=MLN","Sort=A","Dates=H","DateFormat=P","Fill=—","Direction=H","UseDPDF=Y")</f>
        <v>2662.2179999999998</v>
      </c>
      <c r="O50" s="19">
        <f>_xll.BDH("SRPT US Equity","ARD_TOT_LIAB_AND_SHAREHOLDER_EQY","FQ4 2021","FQ4 2021","Currency=USD","Period=FQ","BEST_FPERIOD_OVERRIDE=FQ","FILING_STATUS=MR","SCALING_FORMAT=MLN","Sort=A","Dates=H","DateFormat=P","Fill=—","Direction=H","UseDPDF=Y")</f>
        <v>3147.9740000000002</v>
      </c>
      <c r="P50" s="19">
        <f>_xll.BDH("SRPT US Equity","ARD_TOT_LIAB_AND_SHAREHOLDER_EQY","FQ1 2022","FQ1 2022","Currency=USD","Period=FQ","BEST_FPERIOD_OVERRIDE=FQ","FILING_STATUS=MR","SCALING_FORMAT=MLN","Sort=A","Dates=H","DateFormat=P","Fill=—","Direction=H","UseDPDF=Y")</f>
        <v>3056.154</v>
      </c>
      <c r="Q50" s="19">
        <f>_xll.BDH("SRPT US Equity","ARD_TOT_LIAB_AND_SHAREHOLDER_EQY","FQ2 2022","FQ2 2022","Currency=USD","Period=FQ","BEST_FPERIOD_OVERRIDE=FQ","FILING_STATUS=MR","SCALING_FORMAT=MLN","Sort=A","Dates=H","DateFormat=P","Fill=—","Direction=H","UseDPDF=Y")</f>
        <v>2996.8530000000001</v>
      </c>
      <c r="R50" s="19">
        <f>_xll.BDH("SRPT US Equity","ARD_TOT_LIAB_AND_SHAREHOLDER_EQY","FQ3 2022","FQ3 2022","Currency=USD","Period=FQ","BEST_FPERIOD_OVERRIDE=FQ","FILING_STATUS=MR","SCALING_FORMAT=MLN","Sort=A","Dates=H","DateFormat=P","Fill=—","Direction=H","UseDPDF=Y")</f>
        <v>3156.1489999999999</v>
      </c>
      <c r="S50" s="19">
        <f>_xll.BDH("SRPT US Equity","ARD_TOT_LIAB_AND_SHAREHOLDER_EQY","FQ4 2022","FQ4 2022","Currency=USD","Period=FQ","BEST_FPERIOD_OVERRIDE=FQ","FILING_STATUS=MR","SCALING_FORMAT=MLN","Sort=A","Dates=H","DateFormat=P","Fill=—","Direction=H","UseDPDF=Y")</f>
        <v>3128.366</v>
      </c>
      <c r="T50" s="19">
        <f>_xll.BDH("SRPT US Equity","ARD_TOT_LIAB_AND_SHAREHOLDER_EQY","FQ1 2023","FQ1 2023","Currency=USD","Period=FQ","BEST_FPERIOD_OVERRIDE=FQ","FILING_STATUS=MR","SCALING_FORMAT=MLN","Sort=A","Dates=H","DateFormat=P","Fill=—","Direction=H","UseDPDF=Y")</f>
        <v>3059.7860000000001</v>
      </c>
      <c r="U50" s="19">
        <f>_xll.BDH("SRPT US Equity","ARD_TOT_LIAB_AND_SHAREHOLDER_EQY","FQ2 2023","FQ2 2023","Currency=USD","Period=FQ","BEST_FPERIOD_OVERRIDE=FQ","FILING_STATUS=MR","SCALING_FORMAT=MLN","Sort=A","Dates=H","DateFormat=P","Fill=—","Direction=H","UseDPDF=Y")</f>
        <v>3125.89</v>
      </c>
      <c r="V50" s="19">
        <f>_xll.BDH("SRPT US Equity","ARD_TOT_LIAB_AND_SHAREHOLDER_EQY","FQ3 2023","FQ3 2023","Currency=USD","Period=FQ","BEST_FPERIOD_OVERRIDE=FQ","FILING_STATUS=MR","SCALING_FORMAT=MLN","Sort=A","Dates=H","DateFormat=P","Fill=—","Direction=H","UseDPDF=Y")</f>
        <v>3109.7069999999999</v>
      </c>
      <c r="W50" s="19">
        <f>_xll.BDH("SRPT US Equity","ARD_TOT_LIAB_AND_SHAREHOLDER_EQY","FQ4 2023","FQ4 2023","Currency=USD","Period=FQ","BEST_FPERIOD_OVERRIDE=FQ","FILING_STATUS=MR","SCALING_FORMAT=MLN","Sort=A","Dates=H","DateFormat=P","Fill=—","Direction=H","UseDPDF=Y")</f>
        <v>3264.576</v>
      </c>
      <c r="X50" s="19">
        <f>_xll.BDH("SRPT US Equity","ARD_TOT_LIAB_AND_SHAREHOLDER_EQY","FQ1 2024","FQ1 2024","Currency=USD","Period=FQ","BEST_FPERIOD_OVERRIDE=FQ","FILING_STATUS=MR","SCALING_FORMAT=MLN","Sort=A","Dates=H","DateFormat=P","Fill=—","Direction=H","UseDPDF=Y")</f>
        <v>3224.3850000000002</v>
      </c>
      <c r="Y50" s="19">
        <f>_xll.BDH("SRPT US Equity","ARD_TOT_LIAB_AND_SHAREHOLDER_EQY","FQ2 2024","FQ2 2024","Currency=USD","Period=FQ","BEST_FPERIOD_OVERRIDE=FQ","FILING_STATUS=MR","SCALING_FORMAT=MLN","Sort=A","Dates=H","DateFormat=P","Fill=—","Direction=H","UseDPDF=Y")</f>
        <v>3424.2570000000001</v>
      </c>
      <c r="Z50" s="19">
        <f>_xll.BDH("SRPT US Equity","ARD_TOT_LIAB_AND_SHAREHOLDER_EQY","FQ3 2024","FQ3 2024","Currency=USD","Period=FQ","BEST_FPERIOD_OVERRIDE=FQ","FILING_STATUS=MR","SCALING_FORMAT=MLN","Sort=A","Dates=H","DateFormat=P","Fill=—","Direction=H","UseDPDF=Y")</f>
        <v>3599.9340000000002</v>
      </c>
      <c r="AA50" s="19">
        <f>_xll.BDH("SRPT US Equity","ARD_TOT_LIAB_AND_SHAREHOLDER_EQY","FQ4 2024","FQ4 2024","Currency=USD","Period=FQ","BEST_FPERIOD_OVERRIDE=FQ","FILING_STATUS=MR","SCALING_FORMAT=MLN","Sort=A","Dates=H","DateFormat=P","Fill=—","Direction=H","UseDPDF=Y")</f>
        <v>3963.1729999999998</v>
      </c>
    </row>
    <row r="51" spans="1:27" x14ac:dyDescent="0.25">
      <c r="A51" s="10" t="s">
        <v>494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25">
      <c r="A52" s="10" t="s">
        <v>849</v>
      </c>
      <c r="B52" s="10" t="s">
        <v>923</v>
      </c>
      <c r="C52" s="13" t="str">
        <f>_xll.BDH("SRPT US Equity","ARDR_ACCTS_RECEIVABLE_TRADE","FQ4 2018","FQ4 2018","Currency=USD","Period=FQ","BEST_FPERIOD_OVERRIDE=FQ","FILING_STATUS=MR","SCALING_FORMAT=MLN","Sort=A","Dates=H","DateFormat=P","Fill=—","Direction=H","UseDPDF=Y")</f>
        <v>—</v>
      </c>
      <c r="D52" s="13">
        <f>_xll.BDH("SRPT US Equity","ARDR_ACCTS_RECEIVABLE_TRADE","FQ1 2019","FQ1 2019","Currency=USD","Period=FQ","BEST_FPERIOD_OVERRIDE=FQ","FILING_STATUS=MR","SCALING_FORMAT=MLN","Sort=A","Dates=H","DateFormat=P","Fill=—","Direction=H","UseDPDF=Y")</f>
        <v>50.51</v>
      </c>
      <c r="E52" s="13">
        <f>_xll.BDH("SRPT US Equity","ARDR_ACCTS_RECEIVABLE_TRADE","FQ2 2019","FQ2 2019","Currency=USD","Period=FQ","BEST_FPERIOD_OVERRIDE=FQ","FILING_STATUS=MR","SCALING_FORMAT=MLN","Sort=A","Dates=H","DateFormat=P","Fill=—","Direction=H","UseDPDF=Y")</f>
        <v>56.981000000000002</v>
      </c>
      <c r="F52" s="13">
        <f>_xll.BDH("SRPT US Equity","ARDR_ACCTS_RECEIVABLE_TRADE","FQ3 2019","FQ3 2019","Currency=USD","Period=FQ","BEST_FPERIOD_OVERRIDE=FQ","FILING_STATUS=MR","SCALING_FORMAT=MLN","Sort=A","Dates=H","DateFormat=P","Fill=—","Direction=H","UseDPDF=Y")</f>
        <v>68.031999999999996</v>
      </c>
      <c r="G52" s="13">
        <f>_xll.BDH("SRPT US Equity","ARDR_ACCTS_RECEIVABLE_TRADE","FQ4 2019","FQ4 2019","Currency=USD","Period=FQ","BEST_FPERIOD_OVERRIDE=FQ","FILING_STATUS=MR","SCALING_FORMAT=MLN","Sort=A","Dates=H","DateFormat=P","Fill=—","Direction=H","UseDPDF=Y")</f>
        <v>90.879000000000005</v>
      </c>
      <c r="H52" s="13">
        <f>_xll.BDH("SRPT US Equity","ARDR_ACCTS_RECEIVABLE_TRADE","FQ1 2020","FQ1 2020","Currency=USD","Period=FQ","BEST_FPERIOD_OVERRIDE=FQ","FILING_STATUS=MR","SCALING_FORMAT=MLN","Sort=A","Dates=H","DateFormat=P","Fill=—","Direction=H","UseDPDF=Y")</f>
        <v>106.875</v>
      </c>
      <c r="I52" s="13">
        <f>_xll.BDH("SRPT US Equity","ARDR_ACCTS_RECEIVABLE_TRADE","FQ2 2020","FQ2 2020","Currency=USD","Period=FQ","BEST_FPERIOD_OVERRIDE=FQ","FILING_STATUS=MR","SCALING_FORMAT=MLN","Sort=A","Dates=H","DateFormat=P","Fill=—","Direction=H","UseDPDF=Y")</f>
        <v>104.02800000000001</v>
      </c>
      <c r="J52" s="13">
        <f>_xll.BDH("SRPT US Equity","ARDR_ACCTS_RECEIVABLE_TRADE","FQ3 2020","FQ3 2020","Currency=USD","Period=FQ","BEST_FPERIOD_OVERRIDE=FQ","FILING_STATUS=MR","SCALING_FORMAT=MLN","Sort=A","Dates=H","DateFormat=P","Fill=—","Direction=H","UseDPDF=Y")</f>
        <v>121.827</v>
      </c>
      <c r="K52" s="13">
        <f>_xll.BDH("SRPT US Equity","ARDR_ACCTS_RECEIVABLE_TRADE","FQ4 2020","FQ4 2020","Currency=USD","Period=FQ","BEST_FPERIOD_OVERRIDE=FQ","FILING_STATUS=MR","SCALING_FORMAT=MLN","Sort=A","Dates=H","DateFormat=P","Fill=—","Direction=H","UseDPDF=Y")</f>
        <v>101.34</v>
      </c>
      <c r="L52" s="13">
        <f>_xll.BDH("SRPT US Equity","ARDR_ACCTS_RECEIVABLE_TRADE","FQ1 2021","FQ1 2021","Currency=USD","Period=FQ","BEST_FPERIOD_OVERRIDE=FQ","FILING_STATUS=MR","SCALING_FORMAT=MLN","Sort=A","Dates=H","DateFormat=P","Fill=—","Direction=H","UseDPDF=Y")</f>
        <v>118.203</v>
      </c>
      <c r="M52" s="13">
        <f>_xll.BDH("SRPT US Equity","ARDR_ACCTS_RECEIVABLE_TRADE","FQ2 2021","FQ2 2021","Currency=USD","Period=FQ","BEST_FPERIOD_OVERRIDE=FQ","FILING_STATUS=MR","SCALING_FORMAT=MLN","Sort=A","Dates=H","DateFormat=P","Fill=—","Direction=H","UseDPDF=Y")</f>
        <v>127.52</v>
      </c>
      <c r="N52" s="13">
        <f>_xll.BDH("SRPT US Equity","ARDR_ACCTS_RECEIVABLE_TRADE","FQ3 2021","FQ3 2021","Currency=USD","Period=FQ","BEST_FPERIOD_OVERRIDE=FQ","FILING_STATUS=MR","SCALING_FORMAT=MLN","Sort=A","Dates=H","DateFormat=P","Fill=—","Direction=H","UseDPDF=Y")</f>
        <v>149.78700000000001</v>
      </c>
      <c r="O52" s="13">
        <f>_xll.BDH("SRPT US Equity","ARDR_ACCTS_RECEIVABLE_TRADE","FQ4 2021","FQ4 2021","Currency=USD","Period=FQ","BEST_FPERIOD_OVERRIDE=FQ","FILING_STATUS=MR","SCALING_FORMAT=MLN","Sort=A","Dates=H","DateFormat=P","Fill=—","Direction=H","UseDPDF=Y")</f>
        <v>152.99</v>
      </c>
      <c r="P52" s="13" t="str">
        <f>_xll.BDH("SRPT US Equity","ARDR_ACCTS_RECEIVABLE_TRADE","FQ1 2022","FQ1 2022","Currency=USD","Period=FQ","BEST_FPERIOD_OVERRIDE=FQ","FILING_STATUS=MR","SCALING_FORMAT=MLN","Sort=A","Dates=H","DateFormat=P","Fill=—","Direction=H","UseDPDF=Y")</f>
        <v>—</v>
      </c>
      <c r="Q52" s="13">
        <f>_xll.BDH("SRPT US Equity","ARDR_ACCTS_RECEIVABLE_TRADE","FQ2 2022","FQ2 2022","Currency=USD","Period=FQ","BEST_FPERIOD_OVERRIDE=FQ","FILING_STATUS=MR","SCALING_FORMAT=MLN","Sort=A","Dates=H","DateFormat=P","Fill=—","Direction=H","UseDPDF=Y")</f>
        <v>203.85400000000001</v>
      </c>
      <c r="R52" s="13">
        <f>_xll.BDH("SRPT US Equity","ARDR_ACCTS_RECEIVABLE_TRADE","FQ3 2022","FQ3 2022","Currency=USD","Period=FQ","BEST_FPERIOD_OVERRIDE=FQ","FILING_STATUS=MR","SCALING_FORMAT=MLN","Sort=A","Dates=H","DateFormat=P","Fill=—","Direction=H","UseDPDF=Y")</f>
        <v>201.50899999999999</v>
      </c>
      <c r="S52" s="13">
        <f>_xll.BDH("SRPT US Equity","ARDR_ACCTS_RECEIVABLE_TRADE","FQ4 2022","FQ4 2022","Currency=USD","Period=FQ","BEST_FPERIOD_OVERRIDE=FQ","FILING_STATUS=MR","SCALING_FORMAT=MLN","Sort=A","Dates=H","DateFormat=P","Fill=—","Direction=H","UseDPDF=Y")</f>
        <v>214.62799999999999</v>
      </c>
      <c r="T52" s="13" t="str">
        <f>_xll.BDH("SRPT US Equity","ARDR_ACCTS_RECEIVABLE_TRADE","FQ1 2023","FQ1 2023","Currency=USD","Period=FQ","BEST_FPERIOD_OVERRIDE=FQ","FILING_STATUS=MR","SCALING_FORMAT=MLN","Sort=A","Dates=H","DateFormat=P","Fill=—","Direction=H","UseDPDF=Y")</f>
        <v>—</v>
      </c>
      <c r="U52" s="13">
        <f>_xll.BDH("SRPT US Equity","ARDR_ACCTS_RECEIVABLE_TRADE","FQ2 2023","FQ2 2023","Currency=USD","Period=FQ","BEST_FPERIOD_OVERRIDE=FQ","FILING_STATUS=MR","SCALING_FORMAT=MLN","Sort=A","Dates=H","DateFormat=P","Fill=—","Direction=H","UseDPDF=Y")</f>
        <v>236.80799999999999</v>
      </c>
      <c r="V52" s="13">
        <f>_xll.BDH("SRPT US Equity","ARDR_ACCTS_RECEIVABLE_TRADE","FQ3 2023","FQ3 2023","Currency=USD","Period=FQ","BEST_FPERIOD_OVERRIDE=FQ","FILING_STATUS=MR","SCALING_FORMAT=MLN","Sort=A","Dates=H","DateFormat=P","Fill=—","Direction=H","UseDPDF=Y")</f>
        <v>318.85500000000002</v>
      </c>
      <c r="W52" s="13">
        <f>_xll.BDH("SRPT US Equity","ARDR_ACCTS_RECEIVABLE_TRADE","FQ4 2023","FQ4 2023","Currency=USD","Period=FQ","BEST_FPERIOD_OVERRIDE=FQ","FILING_STATUS=MR","SCALING_FORMAT=MLN","Sort=A","Dates=H","DateFormat=P","Fill=—","Direction=H","UseDPDF=Y")</f>
        <v>400.327</v>
      </c>
      <c r="X52" s="13" t="str">
        <f>_xll.BDH("SRPT US Equity","ARDR_ACCTS_RECEIVABLE_TRADE","FQ1 2024","FQ1 2024","Currency=USD","Period=FQ","BEST_FPERIOD_OVERRIDE=FQ","FILING_STATUS=MR","SCALING_FORMAT=MLN","Sort=A","Dates=H","DateFormat=P","Fill=—","Direction=H","UseDPDF=Y")</f>
        <v>—</v>
      </c>
      <c r="Y52" s="13">
        <f>_xll.BDH("SRPT US Equity","ARDR_ACCTS_RECEIVABLE_TRADE","FQ2 2024","FQ2 2024","Currency=USD","Period=FQ","BEST_FPERIOD_OVERRIDE=FQ","FILING_STATUS=MR","SCALING_FORMAT=MLN","Sort=A","Dates=H","DateFormat=P","Fill=—","Direction=H","UseDPDF=Y")</f>
        <v>359.99700000000001</v>
      </c>
      <c r="Z52" s="13">
        <f>_xll.BDH("SRPT US Equity","ARDR_ACCTS_RECEIVABLE_TRADE","FQ3 2024","FQ3 2024","Currency=USD","Period=FQ","BEST_FPERIOD_OVERRIDE=FQ","FILING_STATUS=MR","SCALING_FORMAT=MLN","Sort=A","Dates=H","DateFormat=P","Fill=—","Direction=H","UseDPDF=Y")</f>
        <v>434.524</v>
      </c>
      <c r="AA52" s="13">
        <f>_xll.BDH("SRPT US Equity","ARDR_ACCTS_RECEIVABLE_TRADE","FQ4 2024","FQ4 2024","Currency=USD","Period=FQ","BEST_FPERIOD_OVERRIDE=FQ","FILING_STATUS=MR","SCALING_FORMAT=MLN","Sort=A","Dates=H","DateFormat=P","Fill=—","Direction=H","UseDPDF=Y")</f>
        <v>601.98800000000006</v>
      </c>
    </row>
    <row r="53" spans="1:27" x14ac:dyDescent="0.25">
      <c r="A53" s="10" t="s">
        <v>851</v>
      </c>
      <c r="B53" s="10" t="s">
        <v>924</v>
      </c>
      <c r="C53" s="13">
        <f>_xll.BDH("SRPT US Equity","ARDR_INVENTORY","FQ4 2018","FQ4 2018","Currency=USD","Period=FQ","BEST_FPERIOD_OVERRIDE=FQ","FILING_STATUS=MR","SCALING_FORMAT=MLN","Sort=A","Dates=H","DateFormat=P","Fill=—","Direction=H","UseDPDF=Y")</f>
        <v>125.44499999999999</v>
      </c>
      <c r="D53" s="13">
        <f>_xll.BDH("SRPT US Equity","ARDR_INVENTORY","FQ1 2019","FQ1 2019","Currency=USD","Period=FQ","BEST_FPERIOD_OVERRIDE=FQ","FILING_STATUS=MR","SCALING_FORMAT=MLN","Sort=A","Dates=H","DateFormat=P","Fill=—","Direction=H","UseDPDF=Y")</f>
        <v>140.46700000000001</v>
      </c>
      <c r="E53" s="13">
        <f>_xll.BDH("SRPT US Equity","ARDR_INVENTORY","FQ2 2019","FQ2 2019","Currency=USD","Period=FQ","BEST_FPERIOD_OVERRIDE=FQ","FILING_STATUS=MR","SCALING_FORMAT=MLN","Sort=A","Dates=H","DateFormat=P","Fill=—","Direction=H","UseDPDF=Y")</f>
        <v>156.56899999999999</v>
      </c>
      <c r="F53" s="13">
        <f>_xll.BDH("SRPT US Equity","ARDR_INVENTORY","FQ3 2019","FQ3 2019","Currency=USD","Period=FQ","BEST_FPERIOD_OVERRIDE=FQ","FILING_STATUS=MR","SCALING_FORMAT=MLN","Sort=A","Dates=H","DateFormat=P","Fill=—","Direction=H","UseDPDF=Y")</f>
        <v>166.36</v>
      </c>
      <c r="G53" s="13">
        <f>_xll.BDH("SRPT US Equity","ARDR_INVENTORY","FQ4 2019","FQ4 2019","Currency=USD","Period=FQ","BEST_FPERIOD_OVERRIDE=FQ","FILING_STATUS=MR","SCALING_FORMAT=MLN","Sort=A","Dates=H","DateFormat=P","Fill=—","Direction=H","UseDPDF=Y")</f>
        <v>171.37899999999999</v>
      </c>
      <c r="H53" s="13">
        <f>_xll.BDH("SRPT US Equity","ARDR_INVENTORY","FQ1 2020","FQ1 2020","Currency=USD","Period=FQ","BEST_FPERIOD_OVERRIDE=FQ","FILING_STATUS=MR","SCALING_FORMAT=MLN","Sort=A","Dates=H","DateFormat=P","Fill=—","Direction=H","UseDPDF=Y")</f>
        <v>173.16800000000001</v>
      </c>
      <c r="I53" s="13">
        <f>_xll.BDH("SRPT US Equity","ARDR_INVENTORY","FQ2 2020","FQ2 2020","Currency=USD","Period=FQ","BEST_FPERIOD_OVERRIDE=FQ","FILING_STATUS=MR","SCALING_FORMAT=MLN","Sort=A","Dates=H","DateFormat=P","Fill=—","Direction=H","UseDPDF=Y")</f>
        <v>179.65</v>
      </c>
      <c r="J53" s="13">
        <f>_xll.BDH("SRPT US Equity","ARDR_INVENTORY","FQ3 2020","FQ3 2020","Currency=USD","Period=FQ","BEST_FPERIOD_OVERRIDE=FQ","FILING_STATUS=MR","SCALING_FORMAT=MLN","Sort=A","Dates=H","DateFormat=P","Fill=—","Direction=H","UseDPDF=Y")</f>
        <v>220.11799999999999</v>
      </c>
      <c r="K53" s="13">
        <f>_xll.BDH("SRPT US Equity","ARDR_INVENTORY","FQ4 2020","FQ4 2020","Currency=USD","Period=FQ","BEST_FPERIOD_OVERRIDE=FQ","FILING_STATUS=MR","SCALING_FORMAT=MLN","Sort=A","Dates=H","DateFormat=P","Fill=—","Direction=H","UseDPDF=Y")</f>
        <v>231.96100000000001</v>
      </c>
      <c r="L53" s="13">
        <f>_xll.BDH("SRPT US Equity","ARDR_INVENTORY","FQ1 2021","FQ1 2021","Currency=USD","Period=FQ","BEST_FPERIOD_OVERRIDE=FQ","FILING_STATUS=MR","SCALING_FORMAT=MLN","Sort=A","Dates=H","DateFormat=P","Fill=—","Direction=H","UseDPDF=Y")</f>
        <v>240.333</v>
      </c>
      <c r="M53" s="13">
        <f>_xll.BDH("SRPT US Equity","ARDR_INVENTORY","FQ2 2021","FQ2 2021","Currency=USD","Period=FQ","BEST_FPERIOD_OVERRIDE=FQ","FILING_STATUS=MR","SCALING_FORMAT=MLN","Sort=A","Dates=H","DateFormat=P","Fill=—","Direction=H","UseDPDF=Y")</f>
        <v>268.75599999999997</v>
      </c>
      <c r="N53" s="13">
        <f>_xll.BDH("SRPT US Equity","ARDR_INVENTORY","FQ3 2021","FQ3 2021","Currency=USD","Period=FQ","BEST_FPERIOD_OVERRIDE=FQ","FILING_STATUS=MR","SCALING_FORMAT=MLN","Sort=A","Dates=H","DateFormat=P","Fill=—","Direction=H","UseDPDF=Y")</f>
        <v>288.46899999999999</v>
      </c>
      <c r="O53" s="13">
        <f>_xll.BDH("SRPT US Equity","ARDR_INVENTORY","FQ4 2021","FQ4 2021","Currency=USD","Period=FQ","BEST_FPERIOD_OVERRIDE=FQ","FILING_STATUS=MR","SCALING_FORMAT=MLN","Sort=A","Dates=H","DateFormat=P","Fill=—","Direction=H","UseDPDF=Y")</f>
        <v>186.21199999999999</v>
      </c>
      <c r="P53" s="13">
        <f>_xll.BDH("SRPT US Equity","ARDR_INVENTORY","FQ1 2022","FQ1 2022","Currency=USD","Period=FQ","BEST_FPERIOD_OVERRIDE=FQ","FILING_STATUS=MR","SCALING_FORMAT=MLN","Sort=A","Dates=H","DateFormat=P","Fill=—","Direction=H","UseDPDF=Y")</f>
        <v>198.99700000000001</v>
      </c>
      <c r="Q53" s="13">
        <f>_xll.BDH("SRPT US Equity","ARDR_INVENTORY","FQ2 2022","FQ2 2022","Currency=USD","Period=FQ","BEST_FPERIOD_OVERRIDE=FQ","FILING_STATUS=MR","SCALING_FORMAT=MLN","Sort=A","Dates=H","DateFormat=P","Fill=—","Direction=H","UseDPDF=Y")</f>
        <v>331.09699999999998</v>
      </c>
      <c r="R53" s="13">
        <f>_xll.BDH("SRPT US Equity","ARDR_INVENTORY","FQ3 2022","FQ3 2022","Currency=USD","Period=FQ","BEST_FPERIOD_OVERRIDE=FQ","FILING_STATUS=MR","SCALING_FORMAT=MLN","Sort=A","Dates=H","DateFormat=P","Fill=—","Direction=H","UseDPDF=Y")</f>
        <v>221.19200000000001</v>
      </c>
      <c r="S53" s="13">
        <f>_xll.BDH("SRPT US Equity","ARDR_INVENTORY","FQ4 2022","FQ4 2022","Currency=USD","Period=FQ","BEST_FPERIOD_OVERRIDE=FQ","FILING_STATUS=MR","SCALING_FORMAT=MLN","Sort=A","Dates=H","DateFormat=P","Fill=—","Direction=H","UseDPDF=Y")</f>
        <v>203.96799999999999</v>
      </c>
      <c r="T53" s="13">
        <f>_xll.BDH("SRPT US Equity","ARDR_INVENTORY","FQ1 2023","FQ1 2023","Currency=USD","Period=FQ","BEST_FPERIOD_OVERRIDE=FQ","FILING_STATUS=MR","SCALING_FORMAT=MLN","Sort=A","Dates=H","DateFormat=P","Fill=—","Direction=H","UseDPDF=Y")</f>
        <v>202.67500000000001</v>
      </c>
      <c r="U53" s="13">
        <f>_xll.BDH("SRPT US Equity","ARDR_INVENTORY","FQ2 2023","FQ2 2023","Currency=USD","Period=FQ","BEST_FPERIOD_OVERRIDE=FQ","FILING_STATUS=MR","SCALING_FORMAT=MLN","Sort=A","Dates=H","DateFormat=P","Fill=—","Direction=H","UseDPDF=Y")</f>
        <v>226.876</v>
      </c>
      <c r="V53" s="13">
        <f>_xll.BDH("SRPT US Equity","ARDR_INVENTORY","FQ3 2023","FQ3 2023","Currency=USD","Period=FQ","BEST_FPERIOD_OVERRIDE=FQ","FILING_STATUS=MR","SCALING_FORMAT=MLN","Sort=A","Dates=H","DateFormat=P","Fill=—","Direction=H","UseDPDF=Y")</f>
        <v>244.011</v>
      </c>
      <c r="W53" s="13">
        <f>_xll.BDH("SRPT US Equity","ARDR_INVENTORY","FQ4 2023","FQ4 2023","Currency=USD","Period=FQ","BEST_FPERIOD_OVERRIDE=FQ","FILING_STATUS=MR","SCALING_FORMAT=MLN","Sort=A","Dates=H","DateFormat=P","Fill=—","Direction=H","UseDPDF=Y")</f>
        <v>322.85899999999998</v>
      </c>
      <c r="X53" s="13">
        <f>_xll.BDH("SRPT US Equity","ARDR_INVENTORY","FQ1 2024","FQ1 2024","Currency=USD","Period=FQ","BEST_FPERIOD_OVERRIDE=FQ","FILING_STATUS=MR","SCALING_FORMAT=MLN","Sort=A","Dates=H","DateFormat=P","Fill=—","Direction=H","UseDPDF=Y")</f>
        <v>373.53</v>
      </c>
      <c r="Y53" s="13">
        <f>_xll.BDH("SRPT US Equity","ARDR_INVENTORY","FQ2 2024","FQ2 2024","Currency=USD","Period=FQ","BEST_FPERIOD_OVERRIDE=FQ","FILING_STATUS=MR","SCALING_FORMAT=MLN","Sort=A","Dates=H","DateFormat=P","Fill=—","Direction=H","UseDPDF=Y")</f>
        <v>485.79500000000002</v>
      </c>
      <c r="Z53" s="13">
        <f>_xll.BDH("SRPT US Equity","ARDR_INVENTORY","FQ3 2024","FQ3 2024","Currency=USD","Period=FQ","BEST_FPERIOD_OVERRIDE=FQ","FILING_STATUS=MR","SCALING_FORMAT=MLN","Sort=A","Dates=H","DateFormat=P","Fill=—","Direction=H","UseDPDF=Y")</f>
        <v>565.92399999999998</v>
      </c>
      <c r="AA53" s="13">
        <f>_xll.BDH("SRPT US Equity","ARDR_INVENTORY","FQ4 2024","FQ4 2024","Currency=USD","Period=FQ","BEST_FPERIOD_OVERRIDE=FQ","FILING_STATUS=MR","SCALING_FORMAT=MLN","Sort=A","Dates=H","DateFormat=P","Fill=—","Direction=H","UseDPDF=Y")</f>
        <v>561.97400000000005</v>
      </c>
    </row>
    <row r="54" spans="1:27" x14ac:dyDescent="0.25">
      <c r="A54" s="10" t="s">
        <v>925</v>
      </c>
      <c r="B54" s="10" t="s">
        <v>926</v>
      </c>
      <c r="C54" s="13">
        <f>_xll.BDH("SRPT US Equity","ARDR_PREPAID_EXPENSES_ST","FQ4 2018","FQ4 2018","Currency=USD","Period=FQ","BEST_FPERIOD_OVERRIDE=FQ","FILING_STATUS=MR","SCALING_FORMAT=MLN","Sort=A","Dates=H","DateFormat=P","Fill=—","Direction=H","UseDPDF=Y")</f>
        <v>3.6709999999999998</v>
      </c>
      <c r="D54" s="13">
        <f>_xll.BDH("SRPT US Equity","ARDR_PREPAID_EXPENSES_ST","FQ1 2019","FQ1 2019","Currency=USD","Period=FQ","BEST_FPERIOD_OVERRIDE=FQ","FILING_STATUS=MR","SCALING_FORMAT=MLN","Sort=A","Dates=H","DateFormat=P","Fill=—","Direction=H","UseDPDF=Y")</f>
        <v>18.908000000000001</v>
      </c>
      <c r="E54" s="13">
        <f>_xll.BDH("SRPT US Equity","ARDR_PREPAID_EXPENSES_ST","FQ2 2019","FQ2 2019","Currency=USD","Period=FQ","BEST_FPERIOD_OVERRIDE=FQ","FILING_STATUS=MR","SCALING_FORMAT=MLN","Sort=A","Dates=H","DateFormat=P","Fill=—","Direction=H","UseDPDF=Y")</f>
        <v>17.491</v>
      </c>
      <c r="F54" s="13">
        <f>_xll.BDH("SRPT US Equity","ARDR_PREPAID_EXPENSES_ST","FQ3 2019","FQ3 2019","Currency=USD","Period=FQ","BEST_FPERIOD_OVERRIDE=FQ","FILING_STATUS=MR","SCALING_FORMAT=MLN","Sort=A","Dates=H","DateFormat=P","Fill=—","Direction=H","UseDPDF=Y")</f>
        <v>17.945</v>
      </c>
      <c r="G54" s="13">
        <f>_xll.BDH("SRPT US Equity","ARDR_PREPAID_EXPENSES_ST","FQ4 2019","FQ4 2019","Currency=USD","Period=FQ","BEST_FPERIOD_OVERRIDE=FQ","FILING_STATUS=MR","SCALING_FORMAT=MLN","Sort=A","Dates=H","DateFormat=P","Fill=—","Direction=H","UseDPDF=Y")</f>
        <v>16.75</v>
      </c>
      <c r="H54" s="13">
        <f>_xll.BDH("SRPT US Equity","ARDR_PREPAID_EXPENSES_ST","FQ1 2020","FQ1 2020","Currency=USD","Period=FQ","BEST_FPERIOD_OVERRIDE=FQ","FILING_STATUS=MR","SCALING_FORMAT=MLN","Sort=A","Dates=H","DateFormat=P","Fill=—","Direction=H","UseDPDF=Y")</f>
        <v>23.917000000000002</v>
      </c>
      <c r="I54" s="13">
        <f>_xll.BDH("SRPT US Equity","ARDR_PREPAID_EXPENSES_ST","FQ2 2020","FQ2 2020","Currency=USD","Period=FQ","BEST_FPERIOD_OVERRIDE=FQ","FILING_STATUS=MR","SCALING_FORMAT=MLN","Sort=A","Dates=H","DateFormat=P","Fill=—","Direction=H","UseDPDF=Y")</f>
        <v>23.727</v>
      </c>
      <c r="J54" s="13">
        <f>_xll.BDH("SRPT US Equity","ARDR_PREPAID_EXPENSES_ST","FQ3 2020","FQ3 2020","Currency=USD","Period=FQ","BEST_FPERIOD_OVERRIDE=FQ","FILING_STATUS=MR","SCALING_FORMAT=MLN","Sort=A","Dates=H","DateFormat=P","Fill=—","Direction=H","UseDPDF=Y")</f>
        <v>28.907</v>
      </c>
      <c r="K54" s="13">
        <f>_xll.BDH("SRPT US Equity","ARDR_PREPAID_EXPENSES_ST","FQ4 2020","FQ4 2020","Currency=USD","Period=FQ","BEST_FPERIOD_OVERRIDE=FQ","FILING_STATUS=MR","SCALING_FORMAT=MLN","Sort=A","Dates=H","DateFormat=P","Fill=—","Direction=H","UseDPDF=Y")</f>
        <v>33.427999999999997</v>
      </c>
      <c r="L54" s="13">
        <f>_xll.BDH("SRPT US Equity","ARDR_PREPAID_EXPENSES_ST","FQ1 2021","FQ1 2021","Currency=USD","Period=FQ","BEST_FPERIOD_OVERRIDE=FQ","FILING_STATUS=MR","SCALING_FORMAT=MLN","Sort=A","Dates=H","DateFormat=P","Fill=—","Direction=H","UseDPDF=Y")</f>
        <v>34.152000000000001</v>
      </c>
      <c r="M54" s="13">
        <f>_xll.BDH("SRPT US Equity","ARDR_PREPAID_EXPENSES_ST","FQ2 2021","FQ2 2021","Currency=USD","Period=FQ","BEST_FPERIOD_OVERRIDE=FQ","FILING_STATUS=MR","SCALING_FORMAT=MLN","Sort=A","Dates=H","DateFormat=P","Fill=—","Direction=H","UseDPDF=Y")</f>
        <v>25.555</v>
      </c>
      <c r="N54" s="13">
        <f>_xll.BDH("SRPT US Equity","ARDR_PREPAID_EXPENSES_ST","FQ3 2021","FQ3 2021","Currency=USD","Period=FQ","BEST_FPERIOD_OVERRIDE=FQ","FILING_STATUS=MR","SCALING_FORMAT=MLN","Sort=A","Dates=H","DateFormat=P","Fill=—","Direction=H","UseDPDF=Y")</f>
        <v>25.187999999999999</v>
      </c>
      <c r="O54" s="13">
        <f>_xll.BDH("SRPT US Equity","ARDR_PREPAID_EXPENSES_ST","FQ4 2021","FQ4 2021","Currency=USD","Period=FQ","BEST_FPERIOD_OVERRIDE=FQ","FILING_STATUS=MR","SCALING_FORMAT=MLN","Sort=A","Dates=H","DateFormat=P","Fill=—","Direction=H","UseDPDF=Y")</f>
        <v>25.300999999999998</v>
      </c>
      <c r="P54" s="13">
        <f>_xll.BDH("SRPT US Equity","ARDR_PREPAID_EXPENSES_ST","FQ1 2022","FQ1 2022","Currency=USD","Period=FQ","BEST_FPERIOD_OVERRIDE=FQ","FILING_STATUS=MR","SCALING_FORMAT=MLN","Sort=A","Dates=H","DateFormat=P","Fill=—","Direction=H","UseDPDF=Y")</f>
        <v>27.885000000000002</v>
      </c>
      <c r="Q54" s="13">
        <f>_xll.BDH("SRPT US Equity","ARDR_PREPAID_EXPENSES_ST","FQ2 2022","FQ2 2022","Currency=USD","Period=FQ","BEST_FPERIOD_OVERRIDE=FQ","FILING_STATUS=MR","SCALING_FORMAT=MLN","Sort=A","Dates=H","DateFormat=P","Fill=—","Direction=H","UseDPDF=Y")</f>
        <v>34.311</v>
      </c>
      <c r="R54" s="13">
        <f>_xll.BDH("SRPT US Equity","ARDR_PREPAID_EXPENSES_ST","FQ3 2022","FQ3 2022","Currency=USD","Period=FQ","BEST_FPERIOD_OVERRIDE=FQ","FILING_STATUS=MR","SCALING_FORMAT=MLN","Sort=A","Dates=H","DateFormat=P","Fill=—","Direction=H","UseDPDF=Y")</f>
        <v>25.391999999999999</v>
      </c>
      <c r="S54" s="13">
        <f>_xll.BDH("SRPT US Equity","ARDR_PREPAID_EXPENSES_ST","FQ4 2022","FQ4 2022","Currency=USD","Period=FQ","BEST_FPERIOD_OVERRIDE=FQ","FILING_STATUS=MR","SCALING_FORMAT=MLN","Sort=A","Dates=H","DateFormat=P","Fill=—","Direction=H","UseDPDF=Y")</f>
        <v>23.981000000000002</v>
      </c>
      <c r="T54" s="13">
        <f>_xll.BDH("SRPT US Equity","ARDR_PREPAID_EXPENSES_ST","FQ1 2023","FQ1 2023","Currency=USD","Period=FQ","BEST_FPERIOD_OVERRIDE=FQ","FILING_STATUS=MR","SCALING_FORMAT=MLN","Sort=A","Dates=H","DateFormat=P","Fill=—","Direction=H","UseDPDF=Y")</f>
        <v>105.651</v>
      </c>
      <c r="U54" s="13">
        <f>_xll.BDH("SRPT US Equity","ARDR_PREPAID_EXPENSES_ST","FQ2 2023","FQ2 2023","Currency=USD","Period=FQ","BEST_FPERIOD_OVERRIDE=FQ","FILING_STATUS=MR","SCALING_FORMAT=MLN","Sort=A","Dates=H","DateFormat=P","Fill=—","Direction=H","UseDPDF=Y")</f>
        <v>106.40600000000001</v>
      </c>
      <c r="V54" s="13">
        <f>_xll.BDH("SRPT US Equity","ARDR_PREPAID_EXPENSES_ST","FQ3 2023","FQ3 2023","Currency=USD","Period=FQ","BEST_FPERIOD_OVERRIDE=FQ","FILING_STATUS=MR","SCALING_FORMAT=MLN","Sort=A","Dates=H","DateFormat=P","Fill=—","Direction=H","UseDPDF=Y")</f>
        <v>27.818000000000001</v>
      </c>
      <c r="W54" s="13">
        <f>_xll.BDH("SRPT US Equity","ARDR_PREPAID_EXPENSES_ST","FQ4 2023","FQ4 2023","Currency=USD","Period=FQ","BEST_FPERIOD_OVERRIDE=FQ","FILING_STATUS=MR","SCALING_FORMAT=MLN","Sort=A","Dates=H","DateFormat=P","Fill=—","Direction=H","UseDPDF=Y")</f>
        <v>29.937000000000001</v>
      </c>
      <c r="X54" s="13">
        <f>_xll.BDH("SRPT US Equity","ARDR_PREPAID_EXPENSES_ST","FQ1 2024","FQ1 2024","Currency=USD","Period=FQ","BEST_FPERIOD_OVERRIDE=FQ","FILING_STATUS=MR","SCALING_FORMAT=MLN","Sort=A","Dates=H","DateFormat=P","Fill=—","Direction=H","UseDPDF=Y")</f>
        <v>41.588000000000001</v>
      </c>
      <c r="Y54" s="13">
        <f>_xll.BDH("SRPT US Equity","ARDR_PREPAID_EXPENSES_ST","FQ2 2024","FQ2 2024","Currency=USD","Period=FQ","BEST_FPERIOD_OVERRIDE=FQ","FILING_STATUS=MR","SCALING_FORMAT=MLN","Sort=A","Dates=H","DateFormat=P","Fill=—","Direction=H","UseDPDF=Y")</f>
        <v>42.652999999999999</v>
      </c>
      <c r="Z54" s="13">
        <f>_xll.BDH("SRPT US Equity","ARDR_PREPAID_EXPENSES_ST","FQ3 2024","FQ3 2024","Currency=USD","Period=FQ","BEST_FPERIOD_OVERRIDE=FQ","FILING_STATUS=MR","SCALING_FORMAT=MLN","Sort=A","Dates=H","DateFormat=P","Fill=—","Direction=H","UseDPDF=Y")</f>
        <v>42.962000000000003</v>
      </c>
      <c r="AA54" s="13">
        <f>_xll.BDH("SRPT US Equity","ARDR_PREPAID_EXPENSES_ST","FQ4 2024","FQ4 2024","Currency=USD","Period=FQ","BEST_FPERIOD_OVERRIDE=FQ","FILING_STATUS=MR","SCALING_FORMAT=MLN","Sort=A","Dates=H","DateFormat=P","Fill=—","Direction=H","UseDPDF=Y")</f>
        <v>33.506999999999998</v>
      </c>
    </row>
    <row r="55" spans="1:27" x14ac:dyDescent="0.25">
      <c r="A55" s="10" t="s">
        <v>927</v>
      </c>
      <c r="B55" s="10" t="s">
        <v>928</v>
      </c>
      <c r="C55" s="13" t="str">
        <f>_xll.BDH("SRPT US Equity","ARDR_NON_CUR_MKT_SEC","FQ4 2018","FQ4 2018","Currency=USD","Period=FQ","BEST_FPERIOD_OVERRIDE=FQ","FILING_STATUS=MR","SCALING_FORMAT=MLN","Sort=A","Dates=H","DateFormat=P","Fill=—","Direction=H","UseDPDF=Y")</f>
        <v>—</v>
      </c>
      <c r="D55" s="13" t="str">
        <f>_xll.BDH("SRPT US Equity","ARDR_NON_CUR_MKT_SEC","FQ1 2019","FQ1 2019","Currency=USD","Period=FQ","BEST_FPERIOD_OVERRIDE=FQ","FILING_STATUS=MR","SCALING_FORMAT=MLN","Sort=A","Dates=H","DateFormat=P","Fill=—","Direction=H","UseDPDF=Y")</f>
        <v>—</v>
      </c>
      <c r="E55" s="13" t="str">
        <f>_xll.BDH("SRPT US Equity","ARDR_NON_CUR_MKT_SEC","FQ2 2019","FQ2 2019","Currency=USD","Period=FQ","BEST_FPERIOD_OVERRIDE=FQ","FILING_STATUS=MR","SCALING_FORMAT=MLN","Sort=A","Dates=H","DateFormat=P","Fill=—","Direction=H","UseDPDF=Y")</f>
        <v>—</v>
      </c>
      <c r="F55" s="13" t="str">
        <f>_xll.BDH("SRPT US Equity","ARDR_NON_CUR_MKT_SEC","FQ3 2019","FQ3 2019","Currency=USD","Period=FQ","BEST_FPERIOD_OVERRIDE=FQ","FILING_STATUS=MR","SCALING_FORMAT=MLN","Sort=A","Dates=H","DateFormat=P","Fill=—","Direction=H","UseDPDF=Y")</f>
        <v>—</v>
      </c>
      <c r="G55" s="13" t="str">
        <f>_xll.BDH("SRPT US Equity","ARDR_NON_CUR_MKT_SEC","FQ4 2019","FQ4 2019","Currency=USD","Period=FQ","BEST_FPERIOD_OVERRIDE=FQ","FILING_STATUS=MR","SCALING_FORMAT=MLN","Sort=A","Dates=H","DateFormat=P","Fill=—","Direction=H","UseDPDF=Y")</f>
        <v>—</v>
      </c>
      <c r="H55" s="13">
        <f>_xll.BDH("SRPT US Equity","ARDR_NON_CUR_MKT_SEC","FQ1 2020","FQ1 2020","Currency=USD","Period=FQ","BEST_FPERIOD_OVERRIDE=FQ","FILING_STATUS=MR","SCALING_FORMAT=MLN","Sort=A","Dates=H","DateFormat=P","Fill=—","Direction=H","UseDPDF=Y")</f>
        <v>9.5660000000000007</v>
      </c>
      <c r="I55" s="13">
        <f>_xll.BDH("SRPT US Equity","ARDR_NON_CUR_MKT_SEC","FQ2 2020","FQ2 2020","Currency=USD","Period=FQ","BEST_FPERIOD_OVERRIDE=FQ","FILING_STATUS=MR","SCALING_FORMAT=MLN","Sort=A","Dates=H","DateFormat=P","Fill=—","Direction=H","UseDPDF=Y")</f>
        <v>9.5660000000000007</v>
      </c>
      <c r="J55" s="13">
        <f>_xll.BDH("SRPT US Equity","ARDR_NON_CUR_MKT_SEC","FQ3 2020","FQ3 2020","Currency=USD","Period=FQ","BEST_FPERIOD_OVERRIDE=FQ","FILING_STATUS=MR","SCALING_FORMAT=MLN","Sort=A","Dates=H","DateFormat=P","Fill=—","Direction=H","UseDPDF=Y")</f>
        <v>9.5660000000000007</v>
      </c>
      <c r="K55" s="13">
        <f>_xll.BDH("SRPT US Equity","ARDR_NON_CUR_MKT_SEC","FQ4 2020","FQ4 2020","Currency=USD","Period=FQ","BEST_FPERIOD_OVERRIDE=FQ","FILING_STATUS=MR","SCALING_FORMAT=MLN","Sort=A","Dates=H","DateFormat=P","Fill=—","Direction=H","UseDPDF=Y")</f>
        <v>9.3149999999999995</v>
      </c>
      <c r="L55" s="13">
        <f>_xll.BDH("SRPT US Equity","ARDR_NON_CUR_MKT_SEC","FQ1 2021","FQ1 2021","Currency=USD","Period=FQ","BEST_FPERIOD_OVERRIDE=FQ","FILING_STATUS=MR","SCALING_FORMAT=MLN","Sort=A","Dates=H","DateFormat=P","Fill=—","Direction=H","UseDPDF=Y")</f>
        <v>9.3149999999999995</v>
      </c>
      <c r="M55" s="13">
        <f>_xll.BDH("SRPT US Equity","ARDR_NON_CUR_MKT_SEC","FQ2 2021","FQ2 2021","Currency=USD","Period=FQ","BEST_FPERIOD_OVERRIDE=FQ","FILING_STATUS=MR","SCALING_FORMAT=MLN","Sort=A","Dates=H","DateFormat=P","Fill=—","Direction=H","UseDPDF=Y")</f>
        <v>9.3149999999999995</v>
      </c>
      <c r="N55" s="13">
        <f>_xll.BDH("SRPT US Equity","ARDR_NON_CUR_MKT_SEC","FQ3 2021","FQ3 2021","Currency=USD","Period=FQ","BEST_FPERIOD_OVERRIDE=FQ","FILING_STATUS=MR","SCALING_FORMAT=MLN","Sort=A","Dates=H","DateFormat=P","Fill=—","Direction=H","UseDPDF=Y")</f>
        <v>9.3149999999999995</v>
      </c>
      <c r="O55" s="13">
        <f>_xll.BDH("SRPT US Equity","ARDR_NON_CUR_MKT_SEC","FQ4 2021","FQ4 2021","Currency=USD","Period=FQ","BEST_FPERIOD_OVERRIDE=FQ","FILING_STATUS=MR","SCALING_FORMAT=MLN","Sort=A","Dates=H","DateFormat=P","Fill=—","Direction=H","UseDPDF=Y")</f>
        <v>9.9039999999999999</v>
      </c>
      <c r="P55" s="13">
        <f>_xll.BDH("SRPT US Equity","ARDR_NON_CUR_MKT_SEC","FQ1 2022","FQ1 2022","Currency=USD","Period=FQ","BEST_FPERIOD_OVERRIDE=FQ","FILING_STATUS=MR","SCALING_FORMAT=MLN","Sort=A","Dates=H","DateFormat=P","Fill=—","Direction=H","UseDPDF=Y")</f>
        <v>9.6539999999999999</v>
      </c>
      <c r="Q55" s="13">
        <f>_xll.BDH("SRPT US Equity","ARDR_NON_CUR_MKT_SEC","FQ2 2022","FQ2 2022","Currency=USD","Period=FQ","BEST_FPERIOD_OVERRIDE=FQ","FILING_STATUS=MR","SCALING_FORMAT=MLN","Sort=A","Dates=H","DateFormat=P","Fill=—","Direction=H","UseDPDF=Y")</f>
        <v>18.498999999999999</v>
      </c>
      <c r="R55" s="13">
        <f>_xll.BDH("SRPT US Equity","ARDR_NON_CUR_MKT_SEC","FQ3 2022","FQ3 2022","Currency=USD","Period=FQ","BEST_FPERIOD_OVERRIDE=FQ","FILING_STATUS=MR","SCALING_FORMAT=MLN","Sort=A","Dates=H","DateFormat=P","Fill=—","Direction=H","UseDPDF=Y")</f>
        <v>19.024000000000001</v>
      </c>
      <c r="S55" s="13">
        <f>_xll.BDH("SRPT US Equity","ARDR_NON_CUR_MKT_SEC","FQ4 2022","FQ4 2022","Currency=USD","Period=FQ","BEST_FPERIOD_OVERRIDE=FQ","FILING_STATUS=MR","SCALING_FORMAT=MLN","Sort=A","Dates=H","DateFormat=P","Fill=—","Direction=H","UseDPDF=Y")</f>
        <v>19.024000000000001</v>
      </c>
      <c r="T55" s="13">
        <f>_xll.BDH("SRPT US Equity","ARDR_NON_CUR_MKT_SEC","FQ1 2023","FQ1 2023","Currency=USD","Period=FQ","BEST_FPERIOD_OVERRIDE=FQ","FILING_STATUS=MR","SCALING_FORMAT=MLN","Sort=A","Dates=H","DateFormat=P","Fill=—","Direction=H","UseDPDF=Y")</f>
        <v>19.024000000000001</v>
      </c>
      <c r="U55" s="13">
        <f>_xll.BDH("SRPT US Equity","ARDR_NON_CUR_MKT_SEC","FQ2 2023","FQ2 2023","Currency=USD","Period=FQ","BEST_FPERIOD_OVERRIDE=FQ","FILING_STATUS=MR","SCALING_FORMAT=MLN","Sort=A","Dates=H","DateFormat=P","Fill=—","Direction=H","UseDPDF=Y")</f>
        <v>19.024000000000001</v>
      </c>
      <c r="V55" s="13">
        <f>_xll.BDH("SRPT US Equity","ARDR_NON_CUR_MKT_SEC","FQ3 2023","FQ3 2023","Currency=USD","Period=FQ","BEST_FPERIOD_OVERRIDE=FQ","FILING_STATUS=MR","SCALING_FORMAT=MLN","Sort=A","Dates=H","DateFormat=P","Fill=—","Direction=H","UseDPDF=Y")</f>
        <v>7.5</v>
      </c>
      <c r="W55" s="13">
        <f>_xll.BDH("SRPT US Equity","ARDR_NON_CUR_MKT_SEC","FQ4 2023","FQ4 2023","Currency=USD","Period=FQ","BEST_FPERIOD_OVERRIDE=FQ","FILING_STATUS=MR","SCALING_FORMAT=MLN","Sort=A","Dates=H","DateFormat=P","Fill=—","Direction=H","UseDPDF=Y")</f>
        <v>6.5270000000000001</v>
      </c>
      <c r="X55" s="13">
        <f>_xll.BDH("SRPT US Equity","ARDR_NON_CUR_MKT_SEC","FQ1 2024","FQ1 2024","Currency=USD","Period=FQ","BEST_FPERIOD_OVERRIDE=FQ","FILING_STATUS=MR","SCALING_FORMAT=MLN","Sort=A","Dates=H","DateFormat=P","Fill=—","Direction=H","UseDPDF=Y")</f>
        <v>15.579000000000001</v>
      </c>
      <c r="Y55" s="13">
        <f>_xll.BDH("SRPT US Equity","ARDR_NON_CUR_MKT_SEC","FQ2 2024","FQ2 2024","Currency=USD","Period=FQ","BEST_FPERIOD_OVERRIDE=FQ","FILING_STATUS=MR","SCALING_FORMAT=MLN","Sort=A","Dates=H","DateFormat=P","Fill=—","Direction=H","UseDPDF=Y")</f>
        <v>15.579000000000001</v>
      </c>
      <c r="Z55" s="13">
        <f>_xll.BDH("SRPT US Equity","ARDR_NON_CUR_MKT_SEC","FQ3 2024","FQ3 2024","Currency=USD","Period=FQ","BEST_FPERIOD_OVERRIDE=FQ","FILING_STATUS=MR","SCALING_FORMAT=MLN","Sort=A","Dates=H","DateFormat=P","Fill=—","Direction=H","UseDPDF=Y")</f>
        <v>4.7229999999999999</v>
      </c>
      <c r="AA55" s="13">
        <f>_xll.BDH("SRPT US Equity","ARDR_NON_CUR_MKT_SEC","FQ4 2024","FQ4 2024","Currency=USD","Period=FQ","BEST_FPERIOD_OVERRIDE=FQ","FILING_STATUS=MR","SCALING_FORMAT=MLN","Sort=A","Dates=H","DateFormat=P","Fill=—","Direction=H","UseDPDF=Y")</f>
        <v>3.71</v>
      </c>
    </row>
    <row r="56" spans="1:27" x14ac:dyDescent="0.25">
      <c r="A56" s="10" t="s">
        <v>859</v>
      </c>
      <c r="B56" s="10" t="s">
        <v>929</v>
      </c>
      <c r="C56" s="13" t="str">
        <f>_xll.BDH("SRPT US Equity","ARDR_LT_INVEST","FQ4 2018","FQ4 2018","Currency=USD","Period=FQ","BEST_FPERIOD_OVERRIDE=FQ","FILING_STATUS=MR","SCALING_FORMAT=MLN","Sort=A","Dates=H","DateFormat=P","Fill=—","Direction=H","UseDPDF=Y")</f>
        <v>—</v>
      </c>
      <c r="D56" s="13" t="str">
        <f>_xll.BDH("SRPT US Equity","ARDR_LT_INVEST","FQ1 2019","FQ1 2019","Currency=USD","Period=FQ","BEST_FPERIOD_OVERRIDE=FQ","FILING_STATUS=MR","SCALING_FORMAT=MLN","Sort=A","Dates=H","DateFormat=P","Fill=—","Direction=H","UseDPDF=Y")</f>
        <v>—</v>
      </c>
      <c r="E56" s="13" t="str">
        <f>_xll.BDH("SRPT US Equity","ARDR_LT_INVEST","FQ2 2019","FQ2 2019","Currency=USD","Period=FQ","BEST_FPERIOD_OVERRIDE=FQ","FILING_STATUS=MR","SCALING_FORMAT=MLN","Sort=A","Dates=H","DateFormat=P","Fill=—","Direction=H","UseDPDF=Y")</f>
        <v>—</v>
      </c>
      <c r="F56" s="13">
        <f>_xll.BDH("SRPT US Equity","ARDR_LT_INVEST","FQ3 2019","FQ3 2019","Currency=USD","Period=FQ","BEST_FPERIOD_OVERRIDE=FQ","FILING_STATUS=MR","SCALING_FORMAT=MLN","Sort=A","Dates=H","DateFormat=P","Fill=—","Direction=H","UseDPDF=Y")</f>
        <v>31.834</v>
      </c>
      <c r="G56" s="13">
        <f>_xll.BDH("SRPT US Equity","ARDR_LT_INVEST","FQ4 2019","FQ4 2019","Currency=USD","Period=FQ","BEST_FPERIOD_OVERRIDE=FQ","FILING_STATUS=MR","SCALING_FORMAT=MLN","Sort=A","Dates=H","DateFormat=P","Fill=—","Direction=H","UseDPDF=Y")</f>
        <v>31.937000000000001</v>
      </c>
      <c r="H56" s="13">
        <f>_xll.BDH("SRPT US Equity","ARDR_LT_INVEST","FQ1 2020","FQ1 2020","Currency=USD","Period=FQ","BEST_FPERIOD_OVERRIDE=FQ","FILING_STATUS=MR","SCALING_FORMAT=MLN","Sort=A","Dates=H","DateFormat=P","Fill=—","Direction=H","UseDPDF=Y")</f>
        <v>33.697000000000003</v>
      </c>
      <c r="I56" s="13">
        <f>_xll.BDH("SRPT US Equity","ARDR_LT_INVEST","FQ2 2020","FQ2 2020","Currency=USD","Period=FQ","BEST_FPERIOD_OVERRIDE=FQ","FILING_STATUS=MR","SCALING_FORMAT=MLN","Sort=A","Dates=H","DateFormat=P","Fill=—","Direction=H","UseDPDF=Y")</f>
        <v>33.344000000000001</v>
      </c>
      <c r="J56" s="13">
        <f>_xll.BDH("SRPT US Equity","ARDR_LT_INVEST","FQ3 2020","FQ3 2020","Currency=USD","Period=FQ","BEST_FPERIOD_OVERRIDE=FQ","FILING_STATUS=MR","SCALING_FORMAT=MLN","Sort=A","Dates=H","DateFormat=P","Fill=—","Direction=H","UseDPDF=Y")</f>
        <v>32.768999999999998</v>
      </c>
      <c r="K56" s="13">
        <f>_xll.BDH("SRPT US Equity","ARDR_LT_INVEST","FQ4 2020","FQ4 2020","Currency=USD","Period=FQ","BEST_FPERIOD_OVERRIDE=FQ","FILING_STATUS=MR","SCALING_FORMAT=MLN","Sort=A","Dates=H","DateFormat=P","Fill=—","Direction=H","UseDPDF=Y")</f>
        <v>38.798999999999999</v>
      </c>
      <c r="L56" s="13">
        <f>_xll.BDH("SRPT US Equity","ARDR_LT_INVEST","FQ1 2021","FQ1 2021","Currency=USD","Period=FQ","BEST_FPERIOD_OVERRIDE=FQ","FILING_STATUS=MR","SCALING_FORMAT=MLN","Sort=A","Dates=H","DateFormat=P","Fill=—","Direction=H","UseDPDF=Y")</f>
        <v>40.64</v>
      </c>
      <c r="M56" s="13">
        <f>_xll.BDH("SRPT US Equity","ARDR_LT_INVEST","FQ2 2021","FQ2 2021","Currency=USD","Period=FQ","BEST_FPERIOD_OVERRIDE=FQ","FILING_STATUS=MR","SCALING_FORMAT=MLN","Sort=A","Dates=H","DateFormat=P","Fill=—","Direction=H","UseDPDF=Y")</f>
        <v>39.970999999999997</v>
      </c>
      <c r="N56" s="13">
        <f>_xll.BDH("SRPT US Equity","ARDR_LT_INVEST","FQ3 2021","FQ3 2021","Currency=USD","Period=FQ","BEST_FPERIOD_OVERRIDE=FQ","FILING_STATUS=MR","SCALING_FORMAT=MLN","Sort=A","Dates=H","DateFormat=P","Fill=—","Direction=H","UseDPDF=Y")</f>
        <v>35.287999999999997</v>
      </c>
      <c r="O56" s="13">
        <f>_xll.BDH("SRPT US Equity","ARDR_LT_INVEST","FQ4 2021","FQ4 2021","Currency=USD","Period=FQ","BEST_FPERIOD_OVERRIDE=FQ","FILING_STATUS=MR","SCALING_FORMAT=MLN","Sort=A","Dates=H","DateFormat=P","Fill=—","Direction=H","UseDPDF=Y")</f>
        <v>34.892000000000003</v>
      </c>
      <c r="P56" s="13">
        <f>_xll.BDH("SRPT US Equity","ARDR_LT_INVEST","FQ1 2022","FQ1 2022","Currency=USD","Period=FQ","BEST_FPERIOD_OVERRIDE=FQ","FILING_STATUS=MR","SCALING_FORMAT=MLN","Sort=A","Dates=H","DateFormat=P","Fill=—","Direction=H","UseDPDF=Y")</f>
        <v>33.393999999999998</v>
      </c>
      <c r="Q56" s="13">
        <f>_xll.BDH("SRPT US Equity","ARDR_LT_INVEST","FQ2 2022","FQ2 2022","Currency=USD","Period=FQ","BEST_FPERIOD_OVERRIDE=FQ","FILING_STATUS=MR","SCALING_FORMAT=MLN","Sort=A","Dates=H","DateFormat=P","Fill=—","Direction=H","UseDPDF=Y")</f>
        <v>33.234000000000002</v>
      </c>
      <c r="R56" s="13">
        <f>_xll.BDH("SRPT US Equity","ARDR_LT_INVEST","FQ3 2022","FQ3 2022","Currency=USD","Period=FQ","BEST_FPERIOD_OVERRIDE=FQ","FILING_STATUS=MR","SCALING_FORMAT=MLN","Sort=A","Dates=H","DateFormat=P","Fill=—","Direction=H","UseDPDF=Y")</f>
        <v>33.244</v>
      </c>
      <c r="S56" s="13">
        <f>_xll.BDH("SRPT US Equity","ARDR_LT_INVEST","FQ4 2022","FQ4 2022","Currency=USD","Period=FQ","BEST_FPERIOD_OVERRIDE=FQ","FILING_STATUS=MR","SCALING_FORMAT=MLN","Sort=A","Dates=H","DateFormat=P","Fill=—","Direction=H","UseDPDF=Y")</f>
        <v>31.321000000000002</v>
      </c>
      <c r="T56" s="13">
        <f>_xll.BDH("SRPT US Equity","ARDR_LT_INVEST","FQ1 2023","FQ1 2023","Currency=USD","Period=FQ","BEST_FPERIOD_OVERRIDE=FQ","FILING_STATUS=MR","SCALING_FORMAT=MLN","Sort=A","Dates=H","DateFormat=P","Fill=—","Direction=H","UseDPDF=Y")</f>
        <v>31</v>
      </c>
      <c r="U56" s="13">
        <f>_xll.BDH("SRPT US Equity","ARDR_LT_INVEST","FQ2 2023","FQ2 2023","Currency=USD","Period=FQ","BEST_FPERIOD_OVERRIDE=FQ","FILING_STATUS=MR","SCALING_FORMAT=MLN","Sort=A","Dates=H","DateFormat=P","Fill=—","Direction=H","UseDPDF=Y")</f>
        <v>31</v>
      </c>
      <c r="V56" s="13">
        <f>_xll.BDH("SRPT US Equity","ARDR_LT_INVEST","FQ3 2023","FQ3 2023","Currency=USD","Period=FQ","BEST_FPERIOD_OVERRIDE=FQ","FILING_STATUS=MR","SCALING_FORMAT=MLN","Sort=A","Dates=H","DateFormat=P","Fill=—","Direction=H","UseDPDF=Y")</f>
        <v>19.149000000000001</v>
      </c>
      <c r="W56" s="13">
        <f>_xll.BDH("SRPT US Equity","ARDR_LT_INVEST","FQ4 2023","FQ4 2023","Currency=USD","Period=FQ","BEST_FPERIOD_OVERRIDE=FQ","FILING_STATUS=MR","SCALING_FORMAT=MLN","Sort=A","Dates=H","DateFormat=P","Fill=—","Direction=H","UseDPDF=Y")</f>
        <v>15.579000000000001</v>
      </c>
      <c r="X56" s="13">
        <f>_xll.BDH("SRPT US Equity","ARDR_LT_INVEST","FQ1 2024","FQ1 2024","Currency=USD","Period=FQ","BEST_FPERIOD_OVERRIDE=FQ","FILING_STATUS=MR","SCALING_FORMAT=MLN","Sort=A","Dates=H","DateFormat=P","Fill=—","Direction=H","UseDPDF=Y")</f>
        <v>41.375999999999998</v>
      </c>
      <c r="Y56" s="13">
        <f>_xll.BDH("SRPT US Equity","ARDR_LT_INVEST","FQ2 2024","FQ2 2024","Currency=USD","Period=FQ","BEST_FPERIOD_OVERRIDE=FQ","FILING_STATUS=MR","SCALING_FORMAT=MLN","Sort=A","Dates=H","DateFormat=P","Fill=—","Direction=H","UseDPDF=Y")</f>
        <v>7.6059999999999999</v>
      </c>
      <c r="Z56" s="13">
        <f>_xll.BDH("SRPT US Equity","ARDR_LT_INVEST","FQ3 2024","FQ3 2024","Currency=USD","Period=FQ","BEST_FPERIOD_OVERRIDE=FQ","FILING_STATUS=MR","SCALING_FORMAT=MLN","Sort=A","Dates=H","DateFormat=P","Fill=—","Direction=H","UseDPDF=Y")</f>
        <v>4.7229999999999999</v>
      </c>
      <c r="AA56" s="13">
        <f>_xll.BDH("SRPT US Equity","ARDR_LT_INVEST","FQ4 2024","FQ4 2024","Currency=USD","Period=FQ","BEST_FPERIOD_OVERRIDE=FQ","FILING_STATUS=MR","SCALING_FORMAT=MLN","Sort=A","Dates=H","DateFormat=P","Fill=—","Direction=H","UseDPDF=Y")</f>
        <v>3.71</v>
      </c>
    </row>
    <row r="57" spans="1:27" x14ac:dyDescent="0.25">
      <c r="A57" s="10" t="s">
        <v>930</v>
      </c>
      <c r="B57" s="10" t="s">
        <v>931</v>
      </c>
      <c r="C57" s="13">
        <f>_xll.BDH("SRPT US Equity","ARDR_LAND","FQ4 2018","FQ4 2018","Currency=USD","Period=FQ","BEST_FPERIOD_OVERRIDE=FQ","FILING_STATUS=MR","SCALING_FORMAT=MLN","Sort=A","Dates=H","DateFormat=P","Fill=—","Direction=H","UseDPDF=Y")</f>
        <v>4.1580000000000004</v>
      </c>
      <c r="D57" s="13" t="str">
        <f>_xll.BDH("SRPT US Equity","ARDR_LAND","FQ1 2019","FQ1 2019","Currency=USD","Period=FQ","BEST_FPERIOD_OVERRIDE=FQ","FILING_STATUS=MR","SCALING_FORMAT=MLN","Sort=A","Dates=H","DateFormat=P","Fill=—","Direction=H","UseDPDF=Y")</f>
        <v>—</v>
      </c>
      <c r="E57" s="13" t="str">
        <f>_xll.BDH("SRPT US Equity","ARDR_LAND","FQ2 2019","FQ2 2019","Currency=USD","Period=FQ","BEST_FPERIOD_OVERRIDE=FQ","FILING_STATUS=MR","SCALING_FORMAT=MLN","Sort=A","Dates=H","DateFormat=P","Fill=—","Direction=H","UseDPDF=Y")</f>
        <v>—</v>
      </c>
      <c r="F57" s="13" t="str">
        <f>_xll.BDH("SRPT US Equity","ARDR_LAND","FQ3 2019","FQ3 2019","Currency=USD","Period=FQ","BEST_FPERIOD_OVERRIDE=FQ","FILING_STATUS=MR","SCALING_FORMAT=MLN","Sort=A","Dates=H","DateFormat=P","Fill=—","Direction=H","UseDPDF=Y")</f>
        <v>—</v>
      </c>
      <c r="G57" s="13">
        <f>_xll.BDH("SRPT US Equity","ARDR_LAND","FQ4 2019","FQ4 2019","Currency=USD","Period=FQ","BEST_FPERIOD_OVERRIDE=FQ","FILING_STATUS=MR","SCALING_FORMAT=MLN","Sort=A","Dates=H","DateFormat=P","Fill=—","Direction=H","UseDPDF=Y")</f>
        <v>8.5860000000000003</v>
      </c>
      <c r="H57" s="13" t="str">
        <f>_xll.BDH("SRPT US Equity","ARDR_LAND","FQ1 2020","FQ1 2020","Currency=USD","Period=FQ","BEST_FPERIOD_OVERRIDE=FQ","FILING_STATUS=MR","SCALING_FORMAT=MLN","Sort=A","Dates=H","DateFormat=P","Fill=—","Direction=H","UseDPDF=Y")</f>
        <v>—</v>
      </c>
      <c r="I57" s="13" t="str">
        <f>_xll.BDH("SRPT US Equity","ARDR_LAND","FQ2 2020","FQ2 2020","Currency=USD","Period=FQ","BEST_FPERIOD_OVERRIDE=FQ","FILING_STATUS=MR","SCALING_FORMAT=MLN","Sort=A","Dates=H","DateFormat=P","Fill=—","Direction=H","UseDPDF=Y")</f>
        <v>—</v>
      </c>
      <c r="J57" s="13" t="str">
        <f>_xll.BDH("SRPT US Equity","ARDR_LAND","FQ3 2020","FQ3 2020","Currency=USD","Period=FQ","BEST_FPERIOD_OVERRIDE=FQ","FILING_STATUS=MR","SCALING_FORMAT=MLN","Sort=A","Dates=H","DateFormat=P","Fill=—","Direction=H","UseDPDF=Y")</f>
        <v>—</v>
      </c>
      <c r="K57" s="13">
        <f>_xll.BDH("SRPT US Equity","ARDR_LAND","FQ4 2020","FQ4 2020","Currency=USD","Period=FQ","BEST_FPERIOD_OVERRIDE=FQ","FILING_STATUS=MR","SCALING_FORMAT=MLN","Sort=A","Dates=H","DateFormat=P","Fill=—","Direction=H","UseDPDF=Y")</f>
        <v>8.7929999999999993</v>
      </c>
      <c r="L57" s="13" t="str">
        <f>_xll.BDH("SRPT US Equity","ARDR_LAND","FQ1 2021","FQ1 2021","Currency=USD","Period=FQ","BEST_FPERIOD_OVERRIDE=FQ","FILING_STATUS=MR","SCALING_FORMAT=MLN","Sort=A","Dates=H","DateFormat=P","Fill=—","Direction=H","UseDPDF=Y")</f>
        <v>—</v>
      </c>
      <c r="M57" s="13" t="str">
        <f>_xll.BDH("SRPT US Equity","ARDR_LAND","FQ2 2021","FQ2 2021","Currency=USD","Period=FQ","BEST_FPERIOD_OVERRIDE=FQ","FILING_STATUS=MR","SCALING_FORMAT=MLN","Sort=A","Dates=H","DateFormat=P","Fill=—","Direction=H","UseDPDF=Y")</f>
        <v>—</v>
      </c>
      <c r="N57" s="13" t="str">
        <f>_xll.BDH("SRPT US Equity","ARDR_LAND","FQ3 2021","FQ3 2021","Currency=USD","Period=FQ","BEST_FPERIOD_OVERRIDE=FQ","FILING_STATUS=MR","SCALING_FORMAT=MLN","Sort=A","Dates=H","DateFormat=P","Fill=—","Direction=H","UseDPDF=Y")</f>
        <v>—</v>
      </c>
      <c r="O57" s="13">
        <f>_xll.BDH("SRPT US Equity","ARDR_LAND","FQ4 2021","FQ4 2021","Currency=USD","Period=FQ","BEST_FPERIOD_OVERRIDE=FQ","FILING_STATUS=MR","SCALING_FORMAT=MLN","Sort=A","Dates=H","DateFormat=P","Fill=—","Direction=H","UseDPDF=Y")</f>
        <v>10.103999999999999</v>
      </c>
      <c r="P57" s="13" t="str">
        <f>_xll.BDH("SRPT US Equity","ARDR_LAND","FQ1 2022","FQ1 2022","Currency=USD","Period=FQ","BEST_FPERIOD_OVERRIDE=FQ","FILING_STATUS=MR","SCALING_FORMAT=MLN","Sort=A","Dates=H","DateFormat=P","Fill=—","Direction=H","UseDPDF=Y")</f>
        <v>—</v>
      </c>
      <c r="Q57" s="13" t="str">
        <f>_xll.BDH("SRPT US Equity","ARDR_LAND","FQ2 2022","FQ2 2022","Currency=USD","Period=FQ","BEST_FPERIOD_OVERRIDE=FQ","FILING_STATUS=MR","SCALING_FORMAT=MLN","Sort=A","Dates=H","DateFormat=P","Fill=—","Direction=H","UseDPDF=Y")</f>
        <v>—</v>
      </c>
      <c r="R57" s="13" t="str">
        <f>_xll.BDH("SRPT US Equity","ARDR_LAND","FQ3 2022","FQ3 2022","Currency=USD","Period=FQ","BEST_FPERIOD_OVERRIDE=FQ","FILING_STATUS=MR","SCALING_FORMAT=MLN","Sort=A","Dates=H","DateFormat=P","Fill=—","Direction=H","UseDPDF=Y")</f>
        <v>—</v>
      </c>
      <c r="S57" s="13">
        <f>_xll.BDH("SRPT US Equity","ARDR_LAND","FQ4 2022","FQ4 2022","Currency=USD","Period=FQ","BEST_FPERIOD_OVERRIDE=FQ","FILING_STATUS=MR","SCALING_FORMAT=MLN","Sort=A","Dates=H","DateFormat=P","Fill=—","Direction=H","UseDPDF=Y")</f>
        <v>10.170999999999999</v>
      </c>
      <c r="T57" s="13" t="str">
        <f>_xll.BDH("SRPT US Equity","ARDR_LAND","FQ1 2023","FQ1 2023","Currency=USD","Period=FQ","BEST_FPERIOD_OVERRIDE=FQ","FILING_STATUS=MR","SCALING_FORMAT=MLN","Sort=A","Dates=H","DateFormat=P","Fill=—","Direction=H","UseDPDF=Y")</f>
        <v>—</v>
      </c>
      <c r="U57" s="13" t="str">
        <f>_xll.BDH("SRPT US Equity","ARDR_LAND","FQ2 2023","FQ2 2023","Currency=USD","Period=FQ","BEST_FPERIOD_OVERRIDE=FQ","FILING_STATUS=MR","SCALING_FORMAT=MLN","Sort=A","Dates=H","DateFormat=P","Fill=—","Direction=H","UseDPDF=Y")</f>
        <v>—</v>
      </c>
      <c r="V57" s="13" t="str">
        <f>_xll.BDH("SRPT US Equity","ARDR_LAND","FQ3 2023","FQ3 2023","Currency=USD","Period=FQ","BEST_FPERIOD_OVERRIDE=FQ","FILING_STATUS=MR","SCALING_FORMAT=MLN","Sort=A","Dates=H","DateFormat=P","Fill=—","Direction=H","UseDPDF=Y")</f>
        <v>—</v>
      </c>
      <c r="W57" s="13">
        <f>_xll.BDH("SRPT US Equity","ARDR_LAND","FQ4 2023","FQ4 2023","Currency=USD","Period=FQ","BEST_FPERIOD_OVERRIDE=FQ","FILING_STATUS=MR","SCALING_FORMAT=MLN","Sort=A","Dates=H","DateFormat=P","Fill=—","Direction=H","UseDPDF=Y")</f>
        <v>10.170999999999999</v>
      </c>
      <c r="X57" s="13" t="str">
        <f>_xll.BDH("SRPT US Equity","ARDR_LAND","FQ1 2024","FQ1 2024","Currency=USD","Period=FQ","BEST_FPERIOD_OVERRIDE=FQ","FILING_STATUS=MR","SCALING_FORMAT=MLN","Sort=A","Dates=H","DateFormat=P","Fill=—","Direction=H","UseDPDF=Y")</f>
        <v>—</v>
      </c>
      <c r="Y57" s="13" t="str">
        <f>_xll.BDH("SRPT US Equity","ARDR_LAND","FQ2 2024","FQ2 2024","Currency=USD","Period=FQ","BEST_FPERIOD_OVERRIDE=FQ","FILING_STATUS=MR","SCALING_FORMAT=MLN","Sort=A","Dates=H","DateFormat=P","Fill=—","Direction=H","UseDPDF=Y")</f>
        <v>—</v>
      </c>
      <c r="Z57" s="13" t="str">
        <f>_xll.BDH("SRPT US Equity","ARDR_LAND","FQ3 2024","FQ3 2024","Currency=USD","Period=FQ","BEST_FPERIOD_OVERRIDE=FQ","FILING_STATUS=MR","SCALING_FORMAT=MLN","Sort=A","Dates=H","DateFormat=P","Fill=—","Direction=H","UseDPDF=Y")</f>
        <v>—</v>
      </c>
      <c r="AA57" s="13">
        <f>_xll.BDH("SRPT US Equity","ARDR_LAND","FQ4 2024","FQ4 2024","Currency=USD","Period=FQ","BEST_FPERIOD_OVERRIDE=FQ","FILING_STATUS=MR","SCALING_FORMAT=MLN","Sort=A","Dates=H","DateFormat=P","Fill=—","Direction=H","UseDPDF=Y")</f>
        <v>10.170999999999999</v>
      </c>
    </row>
    <row r="58" spans="1:27" x14ac:dyDescent="0.25">
      <c r="A58" s="10" t="s">
        <v>932</v>
      </c>
      <c r="B58" s="10" t="s">
        <v>933</v>
      </c>
      <c r="C58" s="13">
        <f>_xll.BDH("SRPT US Equity","ARDR_BUILDING","FQ4 2018","FQ4 2018","Currency=USD","Period=FQ","BEST_FPERIOD_OVERRIDE=FQ","FILING_STATUS=MR","SCALING_FORMAT=MLN","Sort=A","Dates=H","DateFormat=P","Fill=—","Direction=H","UseDPDF=Y")</f>
        <v>22.972000000000001</v>
      </c>
      <c r="D58" s="13" t="str">
        <f>_xll.BDH("SRPT US Equity","ARDR_BUILDING","FQ1 2019","FQ1 2019","Currency=USD","Period=FQ","BEST_FPERIOD_OVERRIDE=FQ","FILING_STATUS=MR","SCALING_FORMAT=MLN","Sort=A","Dates=H","DateFormat=P","Fill=—","Direction=H","UseDPDF=Y")</f>
        <v>—</v>
      </c>
      <c r="E58" s="13" t="str">
        <f>_xll.BDH("SRPT US Equity","ARDR_BUILDING","FQ2 2019","FQ2 2019","Currency=USD","Period=FQ","BEST_FPERIOD_OVERRIDE=FQ","FILING_STATUS=MR","SCALING_FORMAT=MLN","Sort=A","Dates=H","DateFormat=P","Fill=—","Direction=H","UseDPDF=Y")</f>
        <v>—</v>
      </c>
      <c r="F58" s="13" t="str">
        <f>_xll.BDH("SRPT US Equity","ARDR_BUILDING","FQ3 2019","FQ3 2019","Currency=USD","Period=FQ","BEST_FPERIOD_OVERRIDE=FQ","FILING_STATUS=MR","SCALING_FORMAT=MLN","Sort=A","Dates=H","DateFormat=P","Fill=—","Direction=H","UseDPDF=Y")</f>
        <v>—</v>
      </c>
      <c r="G58" s="13">
        <f>_xll.BDH("SRPT US Equity","ARDR_BUILDING","FQ4 2019","FQ4 2019","Currency=USD","Period=FQ","BEST_FPERIOD_OVERRIDE=FQ","FILING_STATUS=MR","SCALING_FORMAT=MLN","Sort=A","Dates=H","DateFormat=P","Fill=—","Direction=H","UseDPDF=Y")</f>
        <v>23.108000000000001</v>
      </c>
      <c r="H58" s="13" t="str">
        <f>_xll.BDH("SRPT US Equity","ARDR_BUILDING","FQ1 2020","FQ1 2020","Currency=USD","Period=FQ","BEST_FPERIOD_OVERRIDE=FQ","FILING_STATUS=MR","SCALING_FORMAT=MLN","Sort=A","Dates=H","DateFormat=P","Fill=—","Direction=H","UseDPDF=Y")</f>
        <v>—</v>
      </c>
      <c r="I58" s="13" t="str">
        <f>_xll.BDH("SRPT US Equity","ARDR_BUILDING","FQ2 2020","FQ2 2020","Currency=USD","Period=FQ","BEST_FPERIOD_OVERRIDE=FQ","FILING_STATUS=MR","SCALING_FORMAT=MLN","Sort=A","Dates=H","DateFormat=P","Fill=—","Direction=H","UseDPDF=Y")</f>
        <v>—</v>
      </c>
      <c r="J58" s="13" t="str">
        <f>_xll.BDH("SRPT US Equity","ARDR_BUILDING","FQ3 2020","FQ3 2020","Currency=USD","Period=FQ","BEST_FPERIOD_OVERRIDE=FQ","FILING_STATUS=MR","SCALING_FORMAT=MLN","Sort=A","Dates=H","DateFormat=P","Fill=—","Direction=H","UseDPDF=Y")</f>
        <v>—</v>
      </c>
      <c r="K58" s="13">
        <f>_xll.BDH("SRPT US Equity","ARDR_BUILDING","FQ4 2020","FQ4 2020","Currency=USD","Period=FQ","BEST_FPERIOD_OVERRIDE=FQ","FILING_STATUS=MR","SCALING_FORMAT=MLN","Sort=A","Dates=H","DateFormat=P","Fill=—","Direction=H","UseDPDF=Y")</f>
        <v>39.396999999999998</v>
      </c>
      <c r="L58" s="13" t="str">
        <f>_xll.BDH("SRPT US Equity","ARDR_BUILDING","FQ1 2021","FQ1 2021","Currency=USD","Period=FQ","BEST_FPERIOD_OVERRIDE=FQ","FILING_STATUS=MR","SCALING_FORMAT=MLN","Sort=A","Dates=H","DateFormat=P","Fill=—","Direction=H","UseDPDF=Y")</f>
        <v>—</v>
      </c>
      <c r="M58" s="13" t="str">
        <f>_xll.BDH("SRPT US Equity","ARDR_BUILDING","FQ2 2021","FQ2 2021","Currency=USD","Period=FQ","BEST_FPERIOD_OVERRIDE=FQ","FILING_STATUS=MR","SCALING_FORMAT=MLN","Sort=A","Dates=H","DateFormat=P","Fill=—","Direction=H","UseDPDF=Y")</f>
        <v>—</v>
      </c>
      <c r="N58" s="13" t="str">
        <f>_xll.BDH("SRPT US Equity","ARDR_BUILDING","FQ3 2021","FQ3 2021","Currency=USD","Period=FQ","BEST_FPERIOD_OVERRIDE=FQ","FILING_STATUS=MR","SCALING_FORMAT=MLN","Sort=A","Dates=H","DateFormat=P","Fill=—","Direction=H","UseDPDF=Y")</f>
        <v>—</v>
      </c>
      <c r="O58" s="13">
        <f>_xll.BDH("SRPT US Equity","ARDR_BUILDING","FQ4 2021","FQ4 2021","Currency=USD","Period=FQ","BEST_FPERIOD_OVERRIDE=FQ","FILING_STATUS=MR","SCALING_FORMAT=MLN","Sort=A","Dates=H","DateFormat=P","Fill=—","Direction=H","UseDPDF=Y")</f>
        <v>47.604999999999997</v>
      </c>
      <c r="P58" s="13" t="str">
        <f>_xll.BDH("SRPT US Equity","ARDR_BUILDING","FQ1 2022","FQ1 2022","Currency=USD","Period=FQ","BEST_FPERIOD_OVERRIDE=FQ","FILING_STATUS=MR","SCALING_FORMAT=MLN","Sort=A","Dates=H","DateFormat=P","Fill=—","Direction=H","UseDPDF=Y")</f>
        <v>—</v>
      </c>
      <c r="Q58" s="13" t="str">
        <f>_xll.BDH("SRPT US Equity","ARDR_BUILDING","FQ2 2022","FQ2 2022","Currency=USD","Period=FQ","BEST_FPERIOD_OVERRIDE=FQ","FILING_STATUS=MR","SCALING_FORMAT=MLN","Sort=A","Dates=H","DateFormat=P","Fill=—","Direction=H","UseDPDF=Y")</f>
        <v>—</v>
      </c>
      <c r="R58" s="13" t="str">
        <f>_xll.BDH("SRPT US Equity","ARDR_BUILDING","FQ3 2022","FQ3 2022","Currency=USD","Period=FQ","BEST_FPERIOD_OVERRIDE=FQ","FILING_STATUS=MR","SCALING_FORMAT=MLN","Sort=A","Dates=H","DateFormat=P","Fill=—","Direction=H","UseDPDF=Y")</f>
        <v>—</v>
      </c>
      <c r="S58" s="13">
        <f>_xll.BDH("SRPT US Equity","ARDR_BUILDING","FQ4 2022","FQ4 2022","Currency=USD","Period=FQ","BEST_FPERIOD_OVERRIDE=FQ","FILING_STATUS=MR","SCALING_FORMAT=MLN","Sort=A","Dates=H","DateFormat=P","Fill=—","Direction=H","UseDPDF=Y")</f>
        <v>47.942</v>
      </c>
      <c r="T58" s="13" t="str">
        <f>_xll.BDH("SRPT US Equity","ARDR_BUILDING","FQ1 2023","FQ1 2023","Currency=USD","Period=FQ","BEST_FPERIOD_OVERRIDE=FQ","FILING_STATUS=MR","SCALING_FORMAT=MLN","Sort=A","Dates=H","DateFormat=P","Fill=—","Direction=H","UseDPDF=Y")</f>
        <v>—</v>
      </c>
      <c r="U58" s="13" t="str">
        <f>_xll.BDH("SRPT US Equity","ARDR_BUILDING","FQ2 2023","FQ2 2023","Currency=USD","Period=FQ","BEST_FPERIOD_OVERRIDE=FQ","FILING_STATUS=MR","SCALING_FORMAT=MLN","Sort=A","Dates=H","DateFormat=P","Fill=—","Direction=H","UseDPDF=Y")</f>
        <v>—</v>
      </c>
      <c r="V58" s="13" t="str">
        <f>_xll.BDH("SRPT US Equity","ARDR_BUILDING","FQ3 2023","FQ3 2023","Currency=USD","Period=FQ","BEST_FPERIOD_OVERRIDE=FQ","FILING_STATUS=MR","SCALING_FORMAT=MLN","Sort=A","Dates=H","DateFormat=P","Fill=—","Direction=H","UseDPDF=Y")</f>
        <v>—</v>
      </c>
      <c r="W58" s="13">
        <f>_xll.BDH("SRPT US Equity","ARDR_BUILDING","FQ4 2023","FQ4 2023","Currency=USD","Period=FQ","BEST_FPERIOD_OVERRIDE=FQ","FILING_STATUS=MR","SCALING_FORMAT=MLN","Sort=A","Dates=H","DateFormat=P","Fill=—","Direction=H","UseDPDF=Y")</f>
        <v>48.063000000000002</v>
      </c>
      <c r="X58" s="13" t="str">
        <f>_xll.BDH("SRPT US Equity","ARDR_BUILDING","FQ1 2024","FQ1 2024","Currency=USD","Period=FQ","BEST_FPERIOD_OVERRIDE=FQ","FILING_STATUS=MR","SCALING_FORMAT=MLN","Sort=A","Dates=H","DateFormat=P","Fill=—","Direction=H","UseDPDF=Y")</f>
        <v>—</v>
      </c>
      <c r="Y58" s="13" t="str">
        <f>_xll.BDH("SRPT US Equity","ARDR_BUILDING","FQ2 2024","FQ2 2024","Currency=USD","Period=FQ","BEST_FPERIOD_OVERRIDE=FQ","FILING_STATUS=MR","SCALING_FORMAT=MLN","Sort=A","Dates=H","DateFormat=P","Fill=—","Direction=H","UseDPDF=Y")</f>
        <v>—</v>
      </c>
      <c r="Z58" s="13" t="str">
        <f>_xll.BDH("SRPT US Equity","ARDR_BUILDING","FQ3 2024","FQ3 2024","Currency=USD","Period=FQ","BEST_FPERIOD_OVERRIDE=FQ","FILING_STATUS=MR","SCALING_FORMAT=MLN","Sort=A","Dates=H","DateFormat=P","Fill=—","Direction=H","UseDPDF=Y")</f>
        <v>—</v>
      </c>
      <c r="AA58" s="13">
        <f>_xll.BDH("SRPT US Equity","ARDR_BUILDING","FQ4 2024","FQ4 2024","Currency=USD","Period=FQ","BEST_FPERIOD_OVERRIDE=FQ","FILING_STATUS=MR","SCALING_FORMAT=MLN","Sort=A","Dates=H","DateFormat=P","Fill=—","Direction=H","UseDPDF=Y")</f>
        <v>51.177999999999997</v>
      </c>
    </row>
    <row r="59" spans="1:27" x14ac:dyDescent="0.25">
      <c r="A59" s="10" t="s">
        <v>934</v>
      </c>
      <c r="B59" s="10" t="s">
        <v>935</v>
      </c>
      <c r="C59" s="13">
        <f>_xll.BDH("SRPT US Equity","ARDR_LEASEHOLD_IMPROVEMENTS","FQ4 2018","FQ4 2018","Currency=USD","Period=FQ","BEST_FPERIOD_OVERRIDE=FQ","FILING_STATUS=MR","SCALING_FORMAT=MLN","Sort=A","Dates=H","DateFormat=P","Fill=—","Direction=H","UseDPDF=Y")</f>
        <v>20.937000000000001</v>
      </c>
      <c r="D59" s="13" t="str">
        <f>_xll.BDH("SRPT US Equity","ARDR_LEASEHOLD_IMPROVEMENTS","FQ1 2019","FQ1 2019","Currency=USD","Period=FQ","BEST_FPERIOD_OVERRIDE=FQ","FILING_STATUS=MR","SCALING_FORMAT=MLN","Sort=A","Dates=H","DateFormat=P","Fill=—","Direction=H","UseDPDF=Y")</f>
        <v>—</v>
      </c>
      <c r="E59" s="13" t="str">
        <f>_xll.BDH("SRPT US Equity","ARDR_LEASEHOLD_IMPROVEMENTS","FQ2 2019","FQ2 2019","Currency=USD","Period=FQ","BEST_FPERIOD_OVERRIDE=FQ","FILING_STATUS=MR","SCALING_FORMAT=MLN","Sort=A","Dates=H","DateFormat=P","Fill=—","Direction=H","UseDPDF=Y")</f>
        <v>—</v>
      </c>
      <c r="F59" s="13" t="str">
        <f>_xll.BDH("SRPT US Equity","ARDR_LEASEHOLD_IMPROVEMENTS","FQ3 2019","FQ3 2019","Currency=USD","Period=FQ","BEST_FPERIOD_OVERRIDE=FQ","FILING_STATUS=MR","SCALING_FORMAT=MLN","Sort=A","Dates=H","DateFormat=P","Fill=—","Direction=H","UseDPDF=Y")</f>
        <v>—</v>
      </c>
      <c r="G59" s="13">
        <f>_xll.BDH("SRPT US Equity","ARDR_LEASEHOLD_IMPROVEMENTS","FQ4 2019","FQ4 2019","Currency=USD","Period=FQ","BEST_FPERIOD_OVERRIDE=FQ","FILING_STATUS=MR","SCALING_FORMAT=MLN","Sort=A","Dates=H","DateFormat=P","Fill=—","Direction=H","UseDPDF=Y")</f>
        <v>53.95</v>
      </c>
      <c r="H59" s="13" t="str">
        <f>_xll.BDH("SRPT US Equity","ARDR_LEASEHOLD_IMPROVEMENTS","FQ1 2020","FQ1 2020","Currency=USD","Period=FQ","BEST_FPERIOD_OVERRIDE=FQ","FILING_STATUS=MR","SCALING_FORMAT=MLN","Sort=A","Dates=H","DateFormat=P","Fill=—","Direction=H","UseDPDF=Y")</f>
        <v>—</v>
      </c>
      <c r="I59" s="13" t="str">
        <f>_xll.BDH("SRPT US Equity","ARDR_LEASEHOLD_IMPROVEMENTS","FQ2 2020","FQ2 2020","Currency=USD","Period=FQ","BEST_FPERIOD_OVERRIDE=FQ","FILING_STATUS=MR","SCALING_FORMAT=MLN","Sort=A","Dates=H","DateFormat=P","Fill=—","Direction=H","UseDPDF=Y")</f>
        <v>—</v>
      </c>
      <c r="J59" s="13" t="str">
        <f>_xll.BDH("SRPT US Equity","ARDR_LEASEHOLD_IMPROVEMENTS","FQ3 2020","FQ3 2020","Currency=USD","Period=FQ","BEST_FPERIOD_OVERRIDE=FQ","FILING_STATUS=MR","SCALING_FORMAT=MLN","Sort=A","Dates=H","DateFormat=P","Fill=—","Direction=H","UseDPDF=Y")</f>
        <v>—</v>
      </c>
      <c r="K59" s="13">
        <f>_xll.BDH("SRPT US Equity","ARDR_LEASEHOLD_IMPROVEMENTS","FQ4 2020","FQ4 2020","Currency=USD","Period=FQ","BEST_FPERIOD_OVERRIDE=FQ","FILING_STATUS=MR","SCALING_FORMAT=MLN","Sort=A","Dates=H","DateFormat=P","Fill=—","Direction=H","UseDPDF=Y")</f>
        <v>55.018999999999998</v>
      </c>
      <c r="L59" s="13" t="str">
        <f>_xll.BDH("SRPT US Equity","ARDR_LEASEHOLD_IMPROVEMENTS","FQ1 2021","FQ1 2021","Currency=USD","Period=FQ","BEST_FPERIOD_OVERRIDE=FQ","FILING_STATUS=MR","SCALING_FORMAT=MLN","Sort=A","Dates=H","DateFormat=P","Fill=—","Direction=H","UseDPDF=Y")</f>
        <v>—</v>
      </c>
      <c r="M59" s="13" t="str">
        <f>_xll.BDH("SRPT US Equity","ARDR_LEASEHOLD_IMPROVEMENTS","FQ2 2021","FQ2 2021","Currency=USD","Period=FQ","BEST_FPERIOD_OVERRIDE=FQ","FILING_STATUS=MR","SCALING_FORMAT=MLN","Sort=A","Dates=H","DateFormat=P","Fill=—","Direction=H","UseDPDF=Y")</f>
        <v>—</v>
      </c>
      <c r="N59" s="13" t="str">
        <f>_xll.BDH("SRPT US Equity","ARDR_LEASEHOLD_IMPROVEMENTS","FQ3 2021","FQ3 2021","Currency=USD","Period=FQ","BEST_FPERIOD_OVERRIDE=FQ","FILING_STATUS=MR","SCALING_FORMAT=MLN","Sort=A","Dates=H","DateFormat=P","Fill=—","Direction=H","UseDPDF=Y")</f>
        <v>—</v>
      </c>
      <c r="O59" s="13">
        <f>_xll.BDH("SRPT US Equity","ARDR_LEASEHOLD_IMPROVEMENTS","FQ4 2021","FQ4 2021","Currency=USD","Period=FQ","BEST_FPERIOD_OVERRIDE=FQ","FILING_STATUS=MR","SCALING_FORMAT=MLN","Sort=A","Dates=H","DateFormat=P","Fill=—","Direction=H","UseDPDF=Y")</f>
        <v>103.37</v>
      </c>
      <c r="P59" s="13" t="str">
        <f>_xll.BDH("SRPT US Equity","ARDR_LEASEHOLD_IMPROVEMENTS","FQ1 2022","FQ1 2022","Currency=USD","Period=FQ","BEST_FPERIOD_OVERRIDE=FQ","FILING_STATUS=MR","SCALING_FORMAT=MLN","Sort=A","Dates=H","DateFormat=P","Fill=—","Direction=H","UseDPDF=Y")</f>
        <v>—</v>
      </c>
      <c r="Q59" s="13" t="str">
        <f>_xll.BDH("SRPT US Equity","ARDR_LEASEHOLD_IMPROVEMENTS","FQ2 2022","FQ2 2022","Currency=USD","Period=FQ","BEST_FPERIOD_OVERRIDE=FQ","FILING_STATUS=MR","SCALING_FORMAT=MLN","Sort=A","Dates=H","DateFormat=P","Fill=—","Direction=H","UseDPDF=Y")</f>
        <v>—</v>
      </c>
      <c r="R59" s="13" t="str">
        <f>_xll.BDH("SRPT US Equity","ARDR_LEASEHOLD_IMPROVEMENTS","FQ3 2022","FQ3 2022","Currency=USD","Period=FQ","BEST_FPERIOD_OVERRIDE=FQ","FILING_STATUS=MR","SCALING_FORMAT=MLN","Sort=A","Dates=H","DateFormat=P","Fill=—","Direction=H","UseDPDF=Y")</f>
        <v>—</v>
      </c>
      <c r="S59" s="13">
        <f>_xll.BDH("SRPT US Equity","ARDR_LEASEHOLD_IMPROVEMENTS","FQ4 2022","FQ4 2022","Currency=USD","Period=FQ","BEST_FPERIOD_OVERRIDE=FQ","FILING_STATUS=MR","SCALING_FORMAT=MLN","Sort=A","Dates=H","DateFormat=P","Fill=—","Direction=H","UseDPDF=Y")</f>
        <v>97.328000000000003</v>
      </c>
      <c r="T59" s="13" t="str">
        <f>_xll.BDH("SRPT US Equity","ARDR_LEASEHOLD_IMPROVEMENTS","FQ1 2023","FQ1 2023","Currency=USD","Period=FQ","BEST_FPERIOD_OVERRIDE=FQ","FILING_STATUS=MR","SCALING_FORMAT=MLN","Sort=A","Dates=H","DateFormat=P","Fill=—","Direction=H","UseDPDF=Y")</f>
        <v>—</v>
      </c>
      <c r="U59" s="13" t="str">
        <f>_xll.BDH("SRPT US Equity","ARDR_LEASEHOLD_IMPROVEMENTS","FQ2 2023","FQ2 2023","Currency=USD","Period=FQ","BEST_FPERIOD_OVERRIDE=FQ","FILING_STATUS=MR","SCALING_FORMAT=MLN","Sort=A","Dates=H","DateFormat=P","Fill=—","Direction=H","UseDPDF=Y")</f>
        <v>—</v>
      </c>
      <c r="V59" s="13" t="str">
        <f>_xll.BDH("SRPT US Equity","ARDR_LEASEHOLD_IMPROVEMENTS","FQ3 2023","FQ3 2023","Currency=USD","Period=FQ","BEST_FPERIOD_OVERRIDE=FQ","FILING_STATUS=MR","SCALING_FORMAT=MLN","Sort=A","Dates=H","DateFormat=P","Fill=—","Direction=H","UseDPDF=Y")</f>
        <v>—</v>
      </c>
      <c r="W59" s="13">
        <f>_xll.BDH("SRPT US Equity","ARDR_LEASEHOLD_IMPROVEMENTS","FQ4 2023","FQ4 2023","Currency=USD","Period=FQ","BEST_FPERIOD_OVERRIDE=FQ","FILING_STATUS=MR","SCALING_FORMAT=MLN","Sort=A","Dates=H","DateFormat=P","Fill=—","Direction=H","UseDPDF=Y")</f>
        <v>99.989000000000004</v>
      </c>
      <c r="X59" s="13" t="str">
        <f>_xll.BDH("SRPT US Equity","ARDR_LEASEHOLD_IMPROVEMENTS","FQ1 2024","FQ1 2024","Currency=USD","Period=FQ","BEST_FPERIOD_OVERRIDE=FQ","FILING_STATUS=MR","SCALING_FORMAT=MLN","Sort=A","Dates=H","DateFormat=P","Fill=—","Direction=H","UseDPDF=Y")</f>
        <v>—</v>
      </c>
      <c r="Y59" s="13" t="str">
        <f>_xll.BDH("SRPT US Equity","ARDR_LEASEHOLD_IMPROVEMENTS","FQ2 2024","FQ2 2024","Currency=USD","Period=FQ","BEST_FPERIOD_OVERRIDE=FQ","FILING_STATUS=MR","SCALING_FORMAT=MLN","Sort=A","Dates=H","DateFormat=P","Fill=—","Direction=H","UseDPDF=Y")</f>
        <v>—</v>
      </c>
      <c r="Z59" s="13" t="str">
        <f>_xll.BDH("SRPT US Equity","ARDR_LEASEHOLD_IMPROVEMENTS","FQ3 2024","FQ3 2024","Currency=USD","Period=FQ","BEST_FPERIOD_OVERRIDE=FQ","FILING_STATUS=MR","SCALING_FORMAT=MLN","Sort=A","Dates=H","DateFormat=P","Fill=—","Direction=H","UseDPDF=Y")</f>
        <v>—</v>
      </c>
      <c r="AA59" s="13">
        <f>_xll.BDH("SRPT US Equity","ARDR_LEASEHOLD_IMPROVEMENTS","FQ4 2024","FQ4 2024","Currency=USD","Period=FQ","BEST_FPERIOD_OVERRIDE=FQ","FILING_STATUS=MR","SCALING_FORMAT=MLN","Sort=A","Dates=H","DateFormat=P","Fill=—","Direction=H","UseDPDF=Y")</f>
        <v>155.07300000000001</v>
      </c>
    </row>
    <row r="60" spans="1:27" x14ac:dyDescent="0.25">
      <c r="A60" s="10" t="s">
        <v>936</v>
      </c>
      <c r="B60" s="10" t="s">
        <v>937</v>
      </c>
      <c r="C60" s="13">
        <f>_xll.BDH("SRPT US Equity","ARDR_CONSTRUCTION_IN_PROGRESS","FQ4 2018","FQ4 2018","Currency=USD","Period=FQ","BEST_FPERIOD_OVERRIDE=FQ","FILING_STATUS=MR","SCALING_FORMAT=MLN","Sort=A","Dates=H","DateFormat=P","Fill=—","Direction=H","UseDPDF=Y")</f>
        <v>40.01</v>
      </c>
      <c r="D60" s="13" t="str">
        <f>_xll.BDH("SRPT US Equity","ARDR_CONSTRUCTION_IN_PROGRESS","FQ1 2019","FQ1 2019","Currency=USD","Period=FQ","BEST_FPERIOD_OVERRIDE=FQ","FILING_STATUS=MR","SCALING_FORMAT=MLN","Sort=A","Dates=H","DateFormat=P","Fill=—","Direction=H","UseDPDF=Y")</f>
        <v>—</v>
      </c>
      <c r="E60" s="13" t="str">
        <f>_xll.BDH("SRPT US Equity","ARDR_CONSTRUCTION_IN_PROGRESS","FQ2 2019","FQ2 2019","Currency=USD","Period=FQ","BEST_FPERIOD_OVERRIDE=FQ","FILING_STATUS=MR","SCALING_FORMAT=MLN","Sort=A","Dates=H","DateFormat=P","Fill=—","Direction=H","UseDPDF=Y")</f>
        <v>—</v>
      </c>
      <c r="F60" s="13" t="str">
        <f>_xll.BDH("SRPT US Equity","ARDR_CONSTRUCTION_IN_PROGRESS","FQ3 2019","FQ3 2019","Currency=USD","Period=FQ","BEST_FPERIOD_OVERRIDE=FQ","FILING_STATUS=MR","SCALING_FORMAT=MLN","Sort=A","Dates=H","DateFormat=P","Fill=—","Direction=H","UseDPDF=Y")</f>
        <v>—</v>
      </c>
      <c r="G60" s="13">
        <f>_xll.BDH("SRPT US Equity","ARDR_CONSTRUCTION_IN_PROGRESS","FQ4 2019","FQ4 2019","Currency=USD","Period=FQ","BEST_FPERIOD_OVERRIDE=FQ","FILING_STATUS=MR","SCALING_FORMAT=MLN","Sort=A","Dates=H","DateFormat=P","Fill=—","Direction=H","UseDPDF=Y")</f>
        <v>25.988</v>
      </c>
      <c r="H60" s="13" t="str">
        <f>_xll.BDH("SRPT US Equity","ARDR_CONSTRUCTION_IN_PROGRESS","FQ1 2020","FQ1 2020","Currency=USD","Period=FQ","BEST_FPERIOD_OVERRIDE=FQ","FILING_STATUS=MR","SCALING_FORMAT=MLN","Sort=A","Dates=H","DateFormat=P","Fill=—","Direction=H","UseDPDF=Y")</f>
        <v>—</v>
      </c>
      <c r="I60" s="13" t="str">
        <f>_xll.BDH("SRPT US Equity","ARDR_CONSTRUCTION_IN_PROGRESS","FQ2 2020","FQ2 2020","Currency=USD","Period=FQ","BEST_FPERIOD_OVERRIDE=FQ","FILING_STATUS=MR","SCALING_FORMAT=MLN","Sort=A","Dates=H","DateFormat=P","Fill=—","Direction=H","UseDPDF=Y")</f>
        <v>—</v>
      </c>
      <c r="J60" s="13" t="str">
        <f>_xll.BDH("SRPT US Equity","ARDR_CONSTRUCTION_IN_PROGRESS","FQ3 2020","FQ3 2020","Currency=USD","Period=FQ","BEST_FPERIOD_OVERRIDE=FQ","FILING_STATUS=MR","SCALING_FORMAT=MLN","Sort=A","Dates=H","DateFormat=P","Fill=—","Direction=H","UseDPDF=Y")</f>
        <v>—</v>
      </c>
      <c r="K60" s="13">
        <f>_xll.BDH("SRPT US Equity","ARDR_CONSTRUCTION_IN_PROGRESS","FQ4 2020","FQ4 2020","Currency=USD","Period=FQ","BEST_FPERIOD_OVERRIDE=FQ","FILING_STATUS=MR","SCALING_FORMAT=MLN","Sort=A","Dates=H","DateFormat=P","Fill=—","Direction=H","UseDPDF=Y")</f>
        <v>71.540999999999997</v>
      </c>
      <c r="L60" s="13" t="str">
        <f>_xll.BDH("SRPT US Equity","ARDR_CONSTRUCTION_IN_PROGRESS","FQ1 2021","FQ1 2021","Currency=USD","Period=FQ","BEST_FPERIOD_OVERRIDE=FQ","FILING_STATUS=MR","SCALING_FORMAT=MLN","Sort=A","Dates=H","DateFormat=P","Fill=—","Direction=H","UseDPDF=Y")</f>
        <v>—</v>
      </c>
      <c r="M60" s="13" t="str">
        <f>_xll.BDH("SRPT US Equity","ARDR_CONSTRUCTION_IN_PROGRESS","FQ2 2021","FQ2 2021","Currency=USD","Period=FQ","BEST_FPERIOD_OVERRIDE=FQ","FILING_STATUS=MR","SCALING_FORMAT=MLN","Sort=A","Dates=H","DateFormat=P","Fill=—","Direction=H","UseDPDF=Y")</f>
        <v>—</v>
      </c>
      <c r="N60" s="13" t="str">
        <f>_xll.BDH("SRPT US Equity","ARDR_CONSTRUCTION_IN_PROGRESS","FQ3 2021","FQ3 2021","Currency=USD","Period=FQ","BEST_FPERIOD_OVERRIDE=FQ","FILING_STATUS=MR","SCALING_FORMAT=MLN","Sort=A","Dates=H","DateFormat=P","Fill=—","Direction=H","UseDPDF=Y")</f>
        <v>—</v>
      </c>
      <c r="O60" s="13">
        <f>_xll.BDH("SRPT US Equity","ARDR_CONSTRUCTION_IN_PROGRESS","FQ4 2021","FQ4 2021","Currency=USD","Period=FQ","BEST_FPERIOD_OVERRIDE=FQ","FILING_STATUS=MR","SCALING_FORMAT=MLN","Sort=A","Dates=H","DateFormat=P","Fill=—","Direction=H","UseDPDF=Y")</f>
        <v>25.158999999999999</v>
      </c>
      <c r="P60" s="13" t="str">
        <f>_xll.BDH("SRPT US Equity","ARDR_CONSTRUCTION_IN_PROGRESS","FQ1 2022","FQ1 2022","Currency=USD","Period=FQ","BEST_FPERIOD_OVERRIDE=FQ","FILING_STATUS=MR","SCALING_FORMAT=MLN","Sort=A","Dates=H","DateFormat=P","Fill=—","Direction=H","UseDPDF=Y")</f>
        <v>—</v>
      </c>
      <c r="Q60" s="13" t="str">
        <f>_xll.BDH("SRPT US Equity","ARDR_CONSTRUCTION_IN_PROGRESS","FQ2 2022","FQ2 2022","Currency=USD","Period=FQ","BEST_FPERIOD_OVERRIDE=FQ","FILING_STATUS=MR","SCALING_FORMAT=MLN","Sort=A","Dates=H","DateFormat=P","Fill=—","Direction=H","UseDPDF=Y")</f>
        <v>—</v>
      </c>
      <c r="R60" s="13" t="str">
        <f>_xll.BDH("SRPT US Equity","ARDR_CONSTRUCTION_IN_PROGRESS","FQ3 2022","FQ3 2022","Currency=USD","Period=FQ","BEST_FPERIOD_OVERRIDE=FQ","FILING_STATUS=MR","SCALING_FORMAT=MLN","Sort=A","Dates=H","DateFormat=P","Fill=—","Direction=H","UseDPDF=Y")</f>
        <v>—</v>
      </c>
      <c r="S60" s="13">
        <f>_xll.BDH("SRPT US Equity","ARDR_CONSTRUCTION_IN_PROGRESS","FQ4 2022","FQ4 2022","Currency=USD","Period=FQ","BEST_FPERIOD_OVERRIDE=FQ","FILING_STATUS=MR","SCALING_FORMAT=MLN","Sort=A","Dates=H","DateFormat=P","Fill=—","Direction=H","UseDPDF=Y")</f>
        <v>47.173999999999999</v>
      </c>
      <c r="T60" s="13" t="str">
        <f>_xll.BDH("SRPT US Equity","ARDR_CONSTRUCTION_IN_PROGRESS","FQ1 2023","FQ1 2023","Currency=USD","Period=FQ","BEST_FPERIOD_OVERRIDE=FQ","FILING_STATUS=MR","SCALING_FORMAT=MLN","Sort=A","Dates=H","DateFormat=P","Fill=—","Direction=H","UseDPDF=Y")</f>
        <v>—</v>
      </c>
      <c r="U60" s="13" t="str">
        <f>_xll.BDH("SRPT US Equity","ARDR_CONSTRUCTION_IN_PROGRESS","FQ2 2023","FQ2 2023","Currency=USD","Period=FQ","BEST_FPERIOD_OVERRIDE=FQ","FILING_STATUS=MR","SCALING_FORMAT=MLN","Sort=A","Dates=H","DateFormat=P","Fill=—","Direction=H","UseDPDF=Y")</f>
        <v>—</v>
      </c>
      <c r="V60" s="13" t="str">
        <f>_xll.BDH("SRPT US Equity","ARDR_CONSTRUCTION_IN_PROGRESS","FQ3 2023","FQ3 2023","Currency=USD","Period=FQ","BEST_FPERIOD_OVERRIDE=FQ","FILING_STATUS=MR","SCALING_FORMAT=MLN","Sort=A","Dates=H","DateFormat=P","Fill=—","Direction=H","UseDPDF=Y")</f>
        <v>—</v>
      </c>
      <c r="W60" s="13">
        <f>_xll.BDH("SRPT US Equity","ARDR_CONSTRUCTION_IN_PROGRESS","FQ4 2023","FQ4 2023","Currency=USD","Period=FQ","BEST_FPERIOD_OVERRIDE=FQ","FILING_STATUS=MR","SCALING_FORMAT=MLN","Sort=A","Dates=H","DateFormat=P","Fill=—","Direction=H","UseDPDF=Y")</f>
        <v>91.088999999999999</v>
      </c>
      <c r="X60" s="13" t="str">
        <f>_xll.BDH("SRPT US Equity","ARDR_CONSTRUCTION_IN_PROGRESS","FQ1 2024","FQ1 2024","Currency=USD","Period=FQ","BEST_FPERIOD_OVERRIDE=FQ","FILING_STATUS=MR","SCALING_FORMAT=MLN","Sort=A","Dates=H","DateFormat=P","Fill=—","Direction=H","UseDPDF=Y")</f>
        <v>—</v>
      </c>
      <c r="Y60" s="13" t="str">
        <f>_xll.BDH("SRPT US Equity","ARDR_CONSTRUCTION_IN_PROGRESS","FQ2 2024","FQ2 2024","Currency=USD","Period=FQ","BEST_FPERIOD_OVERRIDE=FQ","FILING_STATUS=MR","SCALING_FORMAT=MLN","Sort=A","Dates=H","DateFormat=P","Fill=—","Direction=H","UseDPDF=Y")</f>
        <v>—</v>
      </c>
      <c r="Z60" s="13" t="str">
        <f>_xll.BDH("SRPT US Equity","ARDR_CONSTRUCTION_IN_PROGRESS","FQ3 2024","FQ3 2024","Currency=USD","Period=FQ","BEST_FPERIOD_OVERRIDE=FQ","FILING_STATUS=MR","SCALING_FORMAT=MLN","Sort=A","Dates=H","DateFormat=P","Fill=—","Direction=H","UseDPDF=Y")</f>
        <v>—</v>
      </c>
      <c r="AA60" s="13">
        <f>_xll.BDH("SRPT US Equity","ARDR_CONSTRUCTION_IN_PROGRESS","FQ4 2024","FQ4 2024","Currency=USD","Period=FQ","BEST_FPERIOD_OVERRIDE=FQ","FILING_STATUS=MR","SCALING_FORMAT=MLN","Sort=A","Dates=H","DateFormat=P","Fill=—","Direction=H","UseDPDF=Y")</f>
        <v>165.90100000000001</v>
      </c>
    </row>
    <row r="61" spans="1:27" x14ac:dyDescent="0.25">
      <c r="A61" s="10" t="s">
        <v>938</v>
      </c>
      <c r="B61" s="10" t="s">
        <v>939</v>
      </c>
      <c r="C61" s="13">
        <f>_xll.BDH("SRPT US Equity","ARDR_FURNITURE_MACHINERY_EQUIP","FQ4 2018","FQ4 2018","Currency=USD","Period=FQ","BEST_FPERIOD_OVERRIDE=FQ","FILING_STATUS=MR","SCALING_FORMAT=MLN","Sort=A","Dates=H","DateFormat=P","Fill=—","Direction=H","UseDPDF=Y")</f>
        <v>37.095999999999997</v>
      </c>
      <c r="D61" s="13" t="str">
        <f>_xll.BDH("SRPT US Equity","ARDR_FURNITURE_MACHINERY_EQUIP","FQ1 2019","FQ1 2019","Currency=USD","Period=FQ","BEST_FPERIOD_OVERRIDE=FQ","FILING_STATUS=MR","SCALING_FORMAT=MLN","Sort=A","Dates=H","DateFormat=P","Fill=—","Direction=H","UseDPDF=Y")</f>
        <v>—</v>
      </c>
      <c r="E61" s="13" t="str">
        <f>_xll.BDH("SRPT US Equity","ARDR_FURNITURE_MACHINERY_EQUIP","FQ2 2019","FQ2 2019","Currency=USD","Period=FQ","BEST_FPERIOD_OVERRIDE=FQ","FILING_STATUS=MR","SCALING_FORMAT=MLN","Sort=A","Dates=H","DateFormat=P","Fill=—","Direction=H","UseDPDF=Y")</f>
        <v>—</v>
      </c>
      <c r="F61" s="13" t="str">
        <f>_xll.BDH("SRPT US Equity","ARDR_FURNITURE_MACHINERY_EQUIP","FQ3 2019","FQ3 2019","Currency=USD","Period=FQ","BEST_FPERIOD_OVERRIDE=FQ","FILING_STATUS=MR","SCALING_FORMAT=MLN","Sort=A","Dates=H","DateFormat=P","Fill=—","Direction=H","UseDPDF=Y")</f>
        <v>—</v>
      </c>
      <c r="G61" s="13">
        <f>_xll.BDH("SRPT US Equity","ARDR_FURNITURE_MACHINERY_EQUIP","FQ4 2019","FQ4 2019","Currency=USD","Period=FQ","BEST_FPERIOD_OVERRIDE=FQ","FILING_STATUS=MR","SCALING_FORMAT=MLN","Sort=A","Dates=H","DateFormat=P","Fill=—","Direction=H","UseDPDF=Y")</f>
        <v>68.983000000000004</v>
      </c>
      <c r="H61" s="13" t="str">
        <f>_xll.BDH("SRPT US Equity","ARDR_FURNITURE_MACHINERY_EQUIP","FQ1 2020","FQ1 2020","Currency=USD","Period=FQ","BEST_FPERIOD_OVERRIDE=FQ","FILING_STATUS=MR","SCALING_FORMAT=MLN","Sort=A","Dates=H","DateFormat=P","Fill=—","Direction=H","UseDPDF=Y")</f>
        <v>—</v>
      </c>
      <c r="I61" s="13" t="str">
        <f>_xll.BDH("SRPT US Equity","ARDR_FURNITURE_MACHINERY_EQUIP","FQ2 2020","FQ2 2020","Currency=USD","Period=FQ","BEST_FPERIOD_OVERRIDE=FQ","FILING_STATUS=MR","SCALING_FORMAT=MLN","Sort=A","Dates=H","DateFormat=P","Fill=—","Direction=H","UseDPDF=Y")</f>
        <v>—</v>
      </c>
      <c r="J61" s="13" t="str">
        <f>_xll.BDH("SRPT US Equity","ARDR_FURNITURE_MACHINERY_EQUIP","FQ3 2020","FQ3 2020","Currency=USD","Period=FQ","BEST_FPERIOD_OVERRIDE=FQ","FILING_STATUS=MR","SCALING_FORMAT=MLN","Sort=A","Dates=H","DateFormat=P","Fill=—","Direction=H","UseDPDF=Y")</f>
        <v>—</v>
      </c>
      <c r="K61" s="13">
        <f>_xll.BDH("SRPT US Equity","ARDR_FURNITURE_MACHINERY_EQUIP","FQ4 2020","FQ4 2020","Currency=USD","Period=FQ","BEST_FPERIOD_OVERRIDE=FQ","FILING_STATUS=MR","SCALING_FORMAT=MLN","Sort=A","Dates=H","DateFormat=P","Fill=—","Direction=H","UseDPDF=Y")</f>
        <v>91.706999999999994</v>
      </c>
      <c r="L61" s="13" t="str">
        <f>_xll.BDH("SRPT US Equity","ARDR_FURNITURE_MACHINERY_EQUIP","FQ1 2021","FQ1 2021","Currency=USD","Period=FQ","BEST_FPERIOD_OVERRIDE=FQ","FILING_STATUS=MR","SCALING_FORMAT=MLN","Sort=A","Dates=H","DateFormat=P","Fill=—","Direction=H","UseDPDF=Y")</f>
        <v>—</v>
      </c>
      <c r="M61" s="13" t="str">
        <f>_xll.BDH("SRPT US Equity","ARDR_FURNITURE_MACHINERY_EQUIP","FQ2 2021","FQ2 2021","Currency=USD","Period=FQ","BEST_FPERIOD_OVERRIDE=FQ","FILING_STATUS=MR","SCALING_FORMAT=MLN","Sort=A","Dates=H","DateFormat=P","Fill=—","Direction=H","UseDPDF=Y")</f>
        <v>—</v>
      </c>
      <c r="N61" s="13" t="str">
        <f>_xll.BDH("SRPT US Equity","ARDR_FURNITURE_MACHINERY_EQUIP","FQ3 2021","FQ3 2021","Currency=USD","Period=FQ","BEST_FPERIOD_OVERRIDE=FQ","FILING_STATUS=MR","SCALING_FORMAT=MLN","Sort=A","Dates=H","DateFormat=P","Fill=—","Direction=H","UseDPDF=Y")</f>
        <v>—</v>
      </c>
      <c r="O61" s="13">
        <f>_xll.BDH("SRPT US Equity","ARDR_FURNITURE_MACHINERY_EQUIP","FQ4 2021","FQ4 2021","Currency=USD","Period=FQ","BEST_FPERIOD_OVERRIDE=FQ","FILING_STATUS=MR","SCALING_FORMAT=MLN","Sort=A","Dates=H","DateFormat=P","Fill=—","Direction=H","UseDPDF=Y")</f>
        <v>117.55</v>
      </c>
      <c r="P61" s="13" t="str">
        <f>_xll.BDH("SRPT US Equity","ARDR_FURNITURE_MACHINERY_EQUIP","FQ1 2022","FQ1 2022","Currency=USD","Period=FQ","BEST_FPERIOD_OVERRIDE=FQ","FILING_STATUS=MR","SCALING_FORMAT=MLN","Sort=A","Dates=H","DateFormat=P","Fill=—","Direction=H","UseDPDF=Y")</f>
        <v>—</v>
      </c>
      <c r="Q61" s="13" t="str">
        <f>_xll.BDH("SRPT US Equity","ARDR_FURNITURE_MACHINERY_EQUIP","FQ2 2022","FQ2 2022","Currency=USD","Period=FQ","BEST_FPERIOD_OVERRIDE=FQ","FILING_STATUS=MR","SCALING_FORMAT=MLN","Sort=A","Dates=H","DateFormat=P","Fill=—","Direction=H","UseDPDF=Y")</f>
        <v>—</v>
      </c>
      <c r="R61" s="13" t="str">
        <f>_xll.BDH("SRPT US Equity","ARDR_FURNITURE_MACHINERY_EQUIP","FQ3 2022","FQ3 2022","Currency=USD","Period=FQ","BEST_FPERIOD_OVERRIDE=FQ","FILING_STATUS=MR","SCALING_FORMAT=MLN","Sort=A","Dates=H","DateFormat=P","Fill=—","Direction=H","UseDPDF=Y")</f>
        <v>—</v>
      </c>
      <c r="S61" s="13">
        <f>_xll.BDH("SRPT US Equity","ARDR_FURNITURE_MACHINERY_EQUIP","FQ4 2022","FQ4 2022","Currency=USD","Period=FQ","BEST_FPERIOD_OVERRIDE=FQ","FILING_STATUS=MR","SCALING_FORMAT=MLN","Sort=A","Dates=H","DateFormat=P","Fill=—","Direction=H","UseDPDF=Y")</f>
        <v>149.88499999999999</v>
      </c>
      <c r="T61" s="13" t="str">
        <f>_xll.BDH("SRPT US Equity","ARDR_FURNITURE_MACHINERY_EQUIP","FQ1 2023","FQ1 2023","Currency=USD","Period=FQ","BEST_FPERIOD_OVERRIDE=FQ","FILING_STATUS=MR","SCALING_FORMAT=MLN","Sort=A","Dates=H","DateFormat=P","Fill=—","Direction=H","UseDPDF=Y")</f>
        <v>—</v>
      </c>
      <c r="U61" s="13" t="str">
        <f>_xll.BDH("SRPT US Equity","ARDR_FURNITURE_MACHINERY_EQUIP","FQ2 2023","FQ2 2023","Currency=USD","Period=FQ","BEST_FPERIOD_OVERRIDE=FQ","FILING_STATUS=MR","SCALING_FORMAT=MLN","Sort=A","Dates=H","DateFormat=P","Fill=—","Direction=H","UseDPDF=Y")</f>
        <v>—</v>
      </c>
      <c r="V61" s="13" t="str">
        <f>_xll.BDH("SRPT US Equity","ARDR_FURNITURE_MACHINERY_EQUIP","FQ3 2023","FQ3 2023","Currency=USD","Period=FQ","BEST_FPERIOD_OVERRIDE=FQ","FILING_STATUS=MR","SCALING_FORMAT=MLN","Sort=A","Dates=H","DateFormat=P","Fill=—","Direction=H","UseDPDF=Y")</f>
        <v>—</v>
      </c>
      <c r="W61" s="13">
        <f>_xll.BDH("SRPT US Equity","ARDR_FURNITURE_MACHINERY_EQUIP","FQ4 2023","FQ4 2023","Currency=USD","Period=FQ","BEST_FPERIOD_OVERRIDE=FQ","FILING_STATUS=MR","SCALING_FORMAT=MLN","Sort=A","Dates=H","DateFormat=P","Fill=—","Direction=H","UseDPDF=Y")</f>
        <v>168.81200000000001</v>
      </c>
      <c r="X61" s="13" t="str">
        <f>_xll.BDH("SRPT US Equity","ARDR_FURNITURE_MACHINERY_EQUIP","FQ1 2024","FQ1 2024","Currency=USD","Period=FQ","BEST_FPERIOD_OVERRIDE=FQ","FILING_STATUS=MR","SCALING_FORMAT=MLN","Sort=A","Dates=H","DateFormat=P","Fill=—","Direction=H","UseDPDF=Y")</f>
        <v>—</v>
      </c>
      <c r="Y61" s="13" t="str">
        <f>_xll.BDH("SRPT US Equity","ARDR_FURNITURE_MACHINERY_EQUIP","FQ2 2024","FQ2 2024","Currency=USD","Period=FQ","BEST_FPERIOD_OVERRIDE=FQ","FILING_STATUS=MR","SCALING_FORMAT=MLN","Sort=A","Dates=H","DateFormat=P","Fill=—","Direction=H","UseDPDF=Y")</f>
        <v>—</v>
      </c>
      <c r="Z61" s="13" t="str">
        <f>_xll.BDH("SRPT US Equity","ARDR_FURNITURE_MACHINERY_EQUIP","FQ3 2024","FQ3 2024","Currency=USD","Period=FQ","BEST_FPERIOD_OVERRIDE=FQ","FILING_STATUS=MR","SCALING_FORMAT=MLN","Sort=A","Dates=H","DateFormat=P","Fill=—","Direction=H","UseDPDF=Y")</f>
        <v>—</v>
      </c>
      <c r="AA61" s="13">
        <f>_xll.BDH("SRPT US Equity","ARDR_FURNITURE_MACHINERY_EQUIP","FQ4 2024","FQ4 2024","Currency=USD","Period=FQ","BEST_FPERIOD_OVERRIDE=FQ","FILING_STATUS=MR","SCALING_FORMAT=MLN","Sort=A","Dates=H","DateFormat=P","Fill=—","Direction=H","UseDPDF=Y")</f>
        <v>192.15799999999999</v>
      </c>
    </row>
    <row r="62" spans="1:27" x14ac:dyDescent="0.25">
      <c r="A62" s="10" t="s">
        <v>940</v>
      </c>
      <c r="B62" s="10" t="s">
        <v>941</v>
      </c>
      <c r="C62" s="13">
        <f>_xll.BDH("SRPT US Equity","ARDR_PROPERTY_PLANT_EQUIP_GROSS","FQ4 2018","FQ4 2018","Currency=USD","Period=FQ","BEST_FPERIOD_OVERRIDE=FQ","FILING_STATUS=MR","SCALING_FORMAT=MLN","Sort=A","Dates=H","DateFormat=P","Fill=—","Direction=H","UseDPDF=Y")</f>
        <v>125.173</v>
      </c>
      <c r="D62" s="13" t="str">
        <f>_xll.BDH("SRPT US Equity","ARDR_PROPERTY_PLANT_EQUIP_GROSS","FQ1 2019","FQ1 2019","Currency=USD","Period=FQ","BEST_FPERIOD_OVERRIDE=FQ","FILING_STATUS=MR","SCALING_FORMAT=MLN","Sort=A","Dates=H","DateFormat=P","Fill=—","Direction=H","UseDPDF=Y")</f>
        <v>—</v>
      </c>
      <c r="E62" s="13" t="str">
        <f>_xll.BDH("SRPT US Equity","ARDR_PROPERTY_PLANT_EQUIP_GROSS","FQ2 2019","FQ2 2019","Currency=USD","Period=FQ","BEST_FPERIOD_OVERRIDE=FQ","FILING_STATUS=MR","SCALING_FORMAT=MLN","Sort=A","Dates=H","DateFormat=P","Fill=—","Direction=H","UseDPDF=Y")</f>
        <v>—</v>
      </c>
      <c r="F62" s="13" t="str">
        <f>_xll.BDH("SRPT US Equity","ARDR_PROPERTY_PLANT_EQUIP_GROSS","FQ3 2019","FQ3 2019","Currency=USD","Period=FQ","BEST_FPERIOD_OVERRIDE=FQ","FILING_STATUS=MR","SCALING_FORMAT=MLN","Sort=A","Dates=H","DateFormat=P","Fill=—","Direction=H","UseDPDF=Y")</f>
        <v>—</v>
      </c>
      <c r="G62" s="13">
        <f>_xll.BDH("SRPT US Equity","ARDR_PROPERTY_PLANT_EQUIP_GROSS","FQ4 2019","FQ4 2019","Currency=USD","Period=FQ","BEST_FPERIOD_OVERRIDE=FQ","FILING_STATUS=MR","SCALING_FORMAT=MLN","Sort=A","Dates=H","DateFormat=P","Fill=—","Direction=H","UseDPDF=Y")</f>
        <v>180.61500000000001</v>
      </c>
      <c r="H62" s="13" t="str">
        <f>_xll.BDH("SRPT US Equity","ARDR_PROPERTY_PLANT_EQUIP_GROSS","FQ1 2020","FQ1 2020","Currency=USD","Period=FQ","BEST_FPERIOD_OVERRIDE=FQ","FILING_STATUS=MR","SCALING_FORMAT=MLN","Sort=A","Dates=H","DateFormat=P","Fill=—","Direction=H","UseDPDF=Y")</f>
        <v>—</v>
      </c>
      <c r="I62" s="13" t="str">
        <f>_xll.BDH("SRPT US Equity","ARDR_PROPERTY_PLANT_EQUIP_GROSS","FQ2 2020","FQ2 2020","Currency=USD","Period=FQ","BEST_FPERIOD_OVERRIDE=FQ","FILING_STATUS=MR","SCALING_FORMAT=MLN","Sort=A","Dates=H","DateFormat=P","Fill=—","Direction=H","UseDPDF=Y")</f>
        <v>—</v>
      </c>
      <c r="J62" s="13" t="str">
        <f>_xll.BDH("SRPT US Equity","ARDR_PROPERTY_PLANT_EQUIP_GROSS","FQ3 2020","FQ3 2020","Currency=USD","Period=FQ","BEST_FPERIOD_OVERRIDE=FQ","FILING_STATUS=MR","SCALING_FORMAT=MLN","Sort=A","Dates=H","DateFormat=P","Fill=—","Direction=H","UseDPDF=Y")</f>
        <v>—</v>
      </c>
      <c r="K62" s="13">
        <f>_xll.BDH("SRPT US Equity","ARDR_PROPERTY_PLANT_EQUIP_GROSS","FQ4 2020","FQ4 2020","Currency=USD","Period=FQ","BEST_FPERIOD_OVERRIDE=FQ","FILING_STATUS=MR","SCALING_FORMAT=MLN","Sort=A","Dates=H","DateFormat=P","Fill=—","Direction=H","UseDPDF=Y")</f>
        <v>266.45699999999999</v>
      </c>
      <c r="L62" s="13" t="str">
        <f>_xll.BDH("SRPT US Equity","ARDR_PROPERTY_PLANT_EQUIP_GROSS","FQ1 2021","FQ1 2021","Currency=USD","Period=FQ","BEST_FPERIOD_OVERRIDE=FQ","FILING_STATUS=MR","SCALING_FORMAT=MLN","Sort=A","Dates=H","DateFormat=P","Fill=—","Direction=H","UseDPDF=Y")</f>
        <v>—</v>
      </c>
      <c r="M62" s="13" t="str">
        <f>_xll.BDH("SRPT US Equity","ARDR_PROPERTY_PLANT_EQUIP_GROSS","FQ2 2021","FQ2 2021","Currency=USD","Period=FQ","BEST_FPERIOD_OVERRIDE=FQ","FILING_STATUS=MR","SCALING_FORMAT=MLN","Sort=A","Dates=H","DateFormat=P","Fill=—","Direction=H","UseDPDF=Y")</f>
        <v>—</v>
      </c>
      <c r="N62" s="13" t="str">
        <f>_xll.BDH("SRPT US Equity","ARDR_PROPERTY_PLANT_EQUIP_GROSS","FQ3 2021","FQ3 2021","Currency=USD","Period=FQ","BEST_FPERIOD_OVERRIDE=FQ","FILING_STATUS=MR","SCALING_FORMAT=MLN","Sort=A","Dates=H","DateFormat=P","Fill=—","Direction=H","UseDPDF=Y")</f>
        <v>—</v>
      </c>
      <c r="O62" s="13">
        <f>_xll.BDH("SRPT US Equity","ARDR_PROPERTY_PLANT_EQUIP_GROSS","FQ4 2021","FQ4 2021","Currency=USD","Period=FQ","BEST_FPERIOD_OVERRIDE=FQ","FILING_STATUS=MR","SCALING_FORMAT=MLN","Sort=A","Dates=H","DateFormat=P","Fill=—","Direction=H","UseDPDF=Y")</f>
        <v>303.78800000000001</v>
      </c>
      <c r="P62" s="13" t="str">
        <f>_xll.BDH("SRPT US Equity","ARDR_PROPERTY_PLANT_EQUIP_GROSS","FQ1 2022","FQ1 2022","Currency=USD","Period=FQ","BEST_FPERIOD_OVERRIDE=FQ","FILING_STATUS=MR","SCALING_FORMAT=MLN","Sort=A","Dates=H","DateFormat=P","Fill=—","Direction=H","UseDPDF=Y")</f>
        <v>—</v>
      </c>
      <c r="Q62" s="13" t="str">
        <f>_xll.BDH("SRPT US Equity","ARDR_PROPERTY_PLANT_EQUIP_GROSS","FQ2 2022","FQ2 2022","Currency=USD","Period=FQ","BEST_FPERIOD_OVERRIDE=FQ","FILING_STATUS=MR","SCALING_FORMAT=MLN","Sort=A","Dates=H","DateFormat=P","Fill=—","Direction=H","UseDPDF=Y")</f>
        <v>—</v>
      </c>
      <c r="R62" s="13" t="str">
        <f>_xll.BDH("SRPT US Equity","ARDR_PROPERTY_PLANT_EQUIP_GROSS","FQ3 2022","FQ3 2022","Currency=USD","Period=FQ","BEST_FPERIOD_OVERRIDE=FQ","FILING_STATUS=MR","SCALING_FORMAT=MLN","Sort=A","Dates=H","DateFormat=P","Fill=—","Direction=H","UseDPDF=Y")</f>
        <v>—</v>
      </c>
      <c r="S62" s="13">
        <f>_xll.BDH("SRPT US Equity","ARDR_PROPERTY_PLANT_EQUIP_GROSS","FQ4 2022","FQ4 2022","Currency=USD","Period=FQ","BEST_FPERIOD_OVERRIDE=FQ","FILING_STATUS=MR","SCALING_FORMAT=MLN","Sort=A","Dates=H","DateFormat=P","Fill=—","Direction=H","UseDPDF=Y")</f>
        <v>328.91300000000001</v>
      </c>
      <c r="T62" s="13" t="str">
        <f>_xll.BDH("SRPT US Equity","ARDR_PROPERTY_PLANT_EQUIP_GROSS","FQ1 2023","FQ1 2023","Currency=USD","Period=FQ","BEST_FPERIOD_OVERRIDE=FQ","FILING_STATUS=MR","SCALING_FORMAT=MLN","Sort=A","Dates=H","DateFormat=P","Fill=—","Direction=H","UseDPDF=Y")</f>
        <v>—</v>
      </c>
      <c r="U62" s="13" t="str">
        <f>_xll.BDH("SRPT US Equity","ARDR_PROPERTY_PLANT_EQUIP_GROSS","FQ2 2023","FQ2 2023","Currency=USD","Period=FQ","BEST_FPERIOD_OVERRIDE=FQ","FILING_STATUS=MR","SCALING_FORMAT=MLN","Sort=A","Dates=H","DateFormat=P","Fill=—","Direction=H","UseDPDF=Y")</f>
        <v>—</v>
      </c>
      <c r="V62" s="13" t="str">
        <f>_xll.BDH("SRPT US Equity","ARDR_PROPERTY_PLANT_EQUIP_GROSS","FQ3 2023","FQ3 2023","Currency=USD","Period=FQ","BEST_FPERIOD_OVERRIDE=FQ","FILING_STATUS=MR","SCALING_FORMAT=MLN","Sort=A","Dates=H","DateFormat=P","Fill=—","Direction=H","UseDPDF=Y")</f>
        <v>—</v>
      </c>
      <c r="W62" s="13">
        <f>_xll.BDH("SRPT US Equity","ARDR_PROPERTY_PLANT_EQUIP_GROSS","FQ4 2023","FQ4 2023","Currency=USD","Period=FQ","BEST_FPERIOD_OVERRIDE=FQ","FILING_STATUS=MR","SCALING_FORMAT=MLN","Sort=A","Dates=H","DateFormat=P","Fill=—","Direction=H","UseDPDF=Y")</f>
        <v>418.12400000000002</v>
      </c>
      <c r="X62" s="13" t="str">
        <f>_xll.BDH("SRPT US Equity","ARDR_PROPERTY_PLANT_EQUIP_GROSS","FQ1 2024","FQ1 2024","Currency=USD","Period=FQ","BEST_FPERIOD_OVERRIDE=FQ","FILING_STATUS=MR","SCALING_FORMAT=MLN","Sort=A","Dates=H","DateFormat=P","Fill=—","Direction=H","UseDPDF=Y")</f>
        <v>—</v>
      </c>
      <c r="Y62" s="13" t="str">
        <f>_xll.BDH("SRPT US Equity","ARDR_PROPERTY_PLANT_EQUIP_GROSS","FQ2 2024","FQ2 2024","Currency=USD","Period=FQ","BEST_FPERIOD_OVERRIDE=FQ","FILING_STATUS=MR","SCALING_FORMAT=MLN","Sort=A","Dates=H","DateFormat=P","Fill=—","Direction=H","UseDPDF=Y")</f>
        <v>—</v>
      </c>
      <c r="Z62" s="13" t="str">
        <f>_xll.BDH("SRPT US Equity","ARDR_PROPERTY_PLANT_EQUIP_GROSS","FQ3 2024","FQ3 2024","Currency=USD","Period=FQ","BEST_FPERIOD_OVERRIDE=FQ","FILING_STATUS=MR","SCALING_FORMAT=MLN","Sort=A","Dates=H","DateFormat=P","Fill=—","Direction=H","UseDPDF=Y")</f>
        <v>—</v>
      </c>
      <c r="AA62" s="13">
        <f>_xll.BDH("SRPT US Equity","ARDR_PROPERTY_PLANT_EQUIP_GROSS","FQ4 2024","FQ4 2024","Currency=USD","Period=FQ","BEST_FPERIOD_OVERRIDE=FQ","FILING_STATUS=MR","SCALING_FORMAT=MLN","Sort=A","Dates=H","DateFormat=P","Fill=—","Direction=H","UseDPDF=Y")</f>
        <v>574.48099999999999</v>
      </c>
    </row>
    <row r="63" spans="1:27" x14ac:dyDescent="0.25">
      <c r="A63" s="10" t="s">
        <v>861</v>
      </c>
      <c r="B63" s="10" t="s">
        <v>942</v>
      </c>
      <c r="C63" s="13">
        <f>_xll.BDH("SRPT US Equity","ARDR_ACCUMULATED_DEPREC","FQ4 2018","FQ4 2018","Currency=USD","Period=FQ","BEST_FPERIOD_OVERRIDE=FQ","FILING_STATUS=MR","SCALING_FORMAT=MLN","Sort=A","Dates=H","DateFormat=P","Fill=—","Direction=H","UseDPDF=Y")</f>
        <v>28.149000000000001</v>
      </c>
      <c r="D63" s="13" t="str">
        <f>_xll.BDH("SRPT US Equity","ARDR_ACCUMULATED_DEPREC","FQ1 2019","FQ1 2019","Currency=USD","Period=FQ","BEST_FPERIOD_OVERRIDE=FQ","FILING_STATUS=MR","SCALING_FORMAT=MLN","Sort=A","Dates=H","DateFormat=P","Fill=—","Direction=H","UseDPDF=Y")</f>
        <v>—</v>
      </c>
      <c r="E63" s="13" t="str">
        <f>_xll.BDH("SRPT US Equity","ARDR_ACCUMULATED_DEPREC","FQ2 2019","FQ2 2019","Currency=USD","Period=FQ","BEST_FPERIOD_OVERRIDE=FQ","FILING_STATUS=MR","SCALING_FORMAT=MLN","Sort=A","Dates=H","DateFormat=P","Fill=—","Direction=H","UseDPDF=Y")</f>
        <v>—</v>
      </c>
      <c r="F63" s="13" t="str">
        <f>_xll.BDH("SRPT US Equity","ARDR_ACCUMULATED_DEPREC","FQ3 2019","FQ3 2019","Currency=USD","Period=FQ","BEST_FPERIOD_OVERRIDE=FQ","FILING_STATUS=MR","SCALING_FORMAT=MLN","Sort=A","Dates=H","DateFormat=P","Fill=—","Direction=H","UseDPDF=Y")</f>
        <v>—</v>
      </c>
      <c r="G63" s="13">
        <f>_xll.BDH("SRPT US Equity","ARDR_ACCUMULATED_DEPREC","FQ4 2019","FQ4 2019","Currency=USD","Period=FQ","BEST_FPERIOD_OVERRIDE=FQ","FILING_STATUS=MR","SCALING_FORMAT=MLN","Sort=A","Dates=H","DateFormat=P","Fill=—","Direction=H","UseDPDF=Y")</f>
        <v>50.994999999999997</v>
      </c>
      <c r="H63" s="13" t="str">
        <f>_xll.BDH("SRPT US Equity","ARDR_ACCUMULATED_DEPREC","FQ1 2020","FQ1 2020","Currency=USD","Period=FQ","BEST_FPERIOD_OVERRIDE=FQ","FILING_STATUS=MR","SCALING_FORMAT=MLN","Sort=A","Dates=H","DateFormat=P","Fill=—","Direction=H","UseDPDF=Y")</f>
        <v>—</v>
      </c>
      <c r="I63" s="13" t="str">
        <f>_xll.BDH("SRPT US Equity","ARDR_ACCUMULATED_DEPREC","FQ2 2020","FQ2 2020","Currency=USD","Period=FQ","BEST_FPERIOD_OVERRIDE=FQ","FILING_STATUS=MR","SCALING_FORMAT=MLN","Sort=A","Dates=H","DateFormat=P","Fill=—","Direction=H","UseDPDF=Y")</f>
        <v>—</v>
      </c>
      <c r="J63" s="13" t="str">
        <f>_xll.BDH("SRPT US Equity","ARDR_ACCUMULATED_DEPREC","FQ3 2020","FQ3 2020","Currency=USD","Period=FQ","BEST_FPERIOD_OVERRIDE=FQ","FILING_STATUS=MR","SCALING_FORMAT=MLN","Sort=A","Dates=H","DateFormat=P","Fill=—","Direction=H","UseDPDF=Y")</f>
        <v>—</v>
      </c>
      <c r="K63" s="13">
        <f>_xll.BDH("SRPT US Equity","ARDR_ACCUMULATED_DEPREC","FQ4 2020","FQ4 2020","Currency=USD","Period=FQ","BEST_FPERIOD_OVERRIDE=FQ","FILING_STATUS=MR","SCALING_FORMAT=MLN","Sort=A","Dates=H","DateFormat=P","Fill=—","Direction=H","UseDPDF=Y")</f>
        <v>76.027000000000001</v>
      </c>
      <c r="L63" s="13" t="str">
        <f>_xll.BDH("SRPT US Equity","ARDR_ACCUMULATED_DEPREC","FQ1 2021","FQ1 2021","Currency=USD","Period=FQ","BEST_FPERIOD_OVERRIDE=FQ","FILING_STATUS=MR","SCALING_FORMAT=MLN","Sort=A","Dates=H","DateFormat=P","Fill=—","Direction=H","UseDPDF=Y")</f>
        <v>—</v>
      </c>
      <c r="M63" s="13" t="str">
        <f>_xll.BDH("SRPT US Equity","ARDR_ACCUMULATED_DEPREC","FQ2 2021","FQ2 2021","Currency=USD","Period=FQ","BEST_FPERIOD_OVERRIDE=FQ","FILING_STATUS=MR","SCALING_FORMAT=MLN","Sort=A","Dates=H","DateFormat=P","Fill=—","Direction=H","UseDPDF=Y")</f>
        <v>—</v>
      </c>
      <c r="N63" s="13" t="str">
        <f>_xll.BDH("SRPT US Equity","ARDR_ACCUMULATED_DEPREC","FQ3 2021","FQ3 2021","Currency=USD","Period=FQ","BEST_FPERIOD_OVERRIDE=FQ","FILING_STATUS=MR","SCALING_FORMAT=MLN","Sort=A","Dates=H","DateFormat=P","Fill=—","Direction=H","UseDPDF=Y")</f>
        <v>—</v>
      </c>
      <c r="O63" s="13">
        <f>_xll.BDH("SRPT US Equity","ARDR_ACCUMULATED_DEPREC","FQ4 2021","FQ4 2021","Currency=USD","Period=FQ","BEST_FPERIOD_OVERRIDE=FQ","FILING_STATUS=MR","SCALING_FORMAT=MLN","Sort=A","Dates=H","DateFormat=P","Fill=—","Direction=H","UseDPDF=Y")</f>
        <v>112.63200000000001</v>
      </c>
      <c r="P63" s="13" t="str">
        <f>_xll.BDH("SRPT US Equity","ARDR_ACCUMULATED_DEPREC","FQ1 2022","FQ1 2022","Currency=USD","Period=FQ","BEST_FPERIOD_OVERRIDE=FQ","FILING_STATUS=MR","SCALING_FORMAT=MLN","Sort=A","Dates=H","DateFormat=P","Fill=—","Direction=H","UseDPDF=Y")</f>
        <v>—</v>
      </c>
      <c r="Q63" s="13" t="str">
        <f>_xll.BDH("SRPT US Equity","ARDR_ACCUMULATED_DEPREC","FQ2 2022","FQ2 2022","Currency=USD","Period=FQ","BEST_FPERIOD_OVERRIDE=FQ","FILING_STATUS=MR","SCALING_FORMAT=MLN","Sort=A","Dates=H","DateFormat=P","Fill=—","Direction=H","UseDPDF=Y")</f>
        <v>—</v>
      </c>
      <c r="R63" s="13" t="str">
        <f>_xll.BDH("SRPT US Equity","ARDR_ACCUMULATED_DEPREC","FQ3 2022","FQ3 2022","Currency=USD","Period=FQ","BEST_FPERIOD_OVERRIDE=FQ","FILING_STATUS=MR","SCALING_FORMAT=MLN","Sort=A","Dates=H","DateFormat=P","Fill=—","Direction=H","UseDPDF=Y")</f>
        <v>—</v>
      </c>
      <c r="S63" s="13">
        <f>_xll.BDH("SRPT US Equity","ARDR_ACCUMULATED_DEPREC","FQ4 2022","FQ4 2022","Currency=USD","Period=FQ","BEST_FPERIOD_OVERRIDE=FQ","FILING_STATUS=MR","SCALING_FORMAT=MLN","Sort=A","Dates=H","DateFormat=P","Fill=—","Direction=H","UseDPDF=Y")</f>
        <v>148.876</v>
      </c>
      <c r="T63" s="13" t="str">
        <f>_xll.BDH("SRPT US Equity","ARDR_ACCUMULATED_DEPREC","FQ1 2023","FQ1 2023","Currency=USD","Period=FQ","BEST_FPERIOD_OVERRIDE=FQ","FILING_STATUS=MR","SCALING_FORMAT=MLN","Sort=A","Dates=H","DateFormat=P","Fill=—","Direction=H","UseDPDF=Y")</f>
        <v>—</v>
      </c>
      <c r="U63" s="13" t="str">
        <f>_xll.BDH("SRPT US Equity","ARDR_ACCUMULATED_DEPREC","FQ2 2023","FQ2 2023","Currency=USD","Period=FQ","BEST_FPERIOD_OVERRIDE=FQ","FILING_STATUS=MR","SCALING_FORMAT=MLN","Sort=A","Dates=H","DateFormat=P","Fill=—","Direction=H","UseDPDF=Y")</f>
        <v>—</v>
      </c>
      <c r="V63" s="13" t="str">
        <f>_xll.BDH("SRPT US Equity","ARDR_ACCUMULATED_DEPREC","FQ3 2023","FQ3 2023","Currency=USD","Period=FQ","BEST_FPERIOD_OVERRIDE=FQ","FILING_STATUS=MR","SCALING_FORMAT=MLN","Sort=A","Dates=H","DateFormat=P","Fill=—","Direction=H","UseDPDF=Y")</f>
        <v>—</v>
      </c>
      <c r="W63" s="13">
        <f>_xll.BDH("SRPT US Equity","ARDR_ACCUMULATED_DEPREC","FQ4 2023","FQ4 2023","Currency=USD","Period=FQ","BEST_FPERIOD_OVERRIDE=FQ","FILING_STATUS=MR","SCALING_FORMAT=MLN","Sort=A","Dates=H","DateFormat=P","Fill=—","Direction=H","UseDPDF=Y")</f>
        <v>190.97</v>
      </c>
      <c r="X63" s="13" t="str">
        <f>_xll.BDH("SRPT US Equity","ARDR_ACCUMULATED_DEPREC","FQ1 2024","FQ1 2024","Currency=USD","Period=FQ","BEST_FPERIOD_OVERRIDE=FQ","FILING_STATUS=MR","SCALING_FORMAT=MLN","Sort=A","Dates=H","DateFormat=P","Fill=—","Direction=H","UseDPDF=Y")</f>
        <v>—</v>
      </c>
      <c r="Y63" s="13" t="str">
        <f>_xll.BDH("SRPT US Equity","ARDR_ACCUMULATED_DEPREC","FQ2 2024","FQ2 2024","Currency=USD","Period=FQ","BEST_FPERIOD_OVERRIDE=FQ","FILING_STATUS=MR","SCALING_FORMAT=MLN","Sort=A","Dates=H","DateFormat=P","Fill=—","Direction=H","UseDPDF=Y")</f>
        <v>—</v>
      </c>
      <c r="Z63" s="13" t="str">
        <f>_xll.BDH("SRPT US Equity","ARDR_ACCUMULATED_DEPREC","FQ3 2024","FQ3 2024","Currency=USD","Period=FQ","BEST_FPERIOD_OVERRIDE=FQ","FILING_STATUS=MR","SCALING_FORMAT=MLN","Sort=A","Dates=H","DateFormat=P","Fill=—","Direction=H","UseDPDF=Y")</f>
        <v>—</v>
      </c>
      <c r="AA63" s="13">
        <f>_xll.BDH("SRPT US Equity","ARDR_ACCUMULATED_DEPREC","FQ4 2024","FQ4 2024","Currency=USD","Period=FQ","BEST_FPERIOD_OVERRIDE=FQ","FILING_STATUS=MR","SCALING_FORMAT=MLN","Sort=A","Dates=H","DateFormat=P","Fill=—","Direction=H","UseDPDF=Y")</f>
        <v>234.14500000000001</v>
      </c>
    </row>
    <row r="64" spans="1:27" x14ac:dyDescent="0.25">
      <c r="A64" s="10" t="s">
        <v>863</v>
      </c>
      <c r="B64" s="10" t="s">
        <v>943</v>
      </c>
      <c r="C64" s="13">
        <f>_xll.BDH("SRPT US Equity","ARDR_PROPERTY_PLANT_EQUIP_NET","FQ4 2018","FQ4 2018","Currency=USD","Period=FQ","BEST_FPERIOD_OVERRIDE=FQ","FILING_STATUS=MR","SCALING_FORMAT=MLN","Sort=A","Dates=H","DateFormat=P","Fill=—","Direction=H","UseDPDF=Y")</f>
        <v>97.024000000000001</v>
      </c>
      <c r="D64" s="13" t="str">
        <f>_xll.BDH("SRPT US Equity","ARDR_PROPERTY_PLANT_EQUIP_NET","FQ1 2019","FQ1 2019","Currency=USD","Period=FQ","BEST_FPERIOD_OVERRIDE=FQ","FILING_STATUS=MR","SCALING_FORMAT=MLN","Sort=A","Dates=H","DateFormat=P","Fill=—","Direction=H","UseDPDF=Y")</f>
        <v>—</v>
      </c>
      <c r="E64" s="13" t="str">
        <f>_xll.BDH("SRPT US Equity","ARDR_PROPERTY_PLANT_EQUIP_NET","FQ2 2019","FQ2 2019","Currency=USD","Period=FQ","BEST_FPERIOD_OVERRIDE=FQ","FILING_STATUS=MR","SCALING_FORMAT=MLN","Sort=A","Dates=H","DateFormat=P","Fill=—","Direction=H","UseDPDF=Y")</f>
        <v>—</v>
      </c>
      <c r="F64" s="13" t="str">
        <f>_xll.BDH("SRPT US Equity","ARDR_PROPERTY_PLANT_EQUIP_NET","FQ3 2019","FQ3 2019","Currency=USD","Period=FQ","BEST_FPERIOD_OVERRIDE=FQ","FILING_STATUS=MR","SCALING_FORMAT=MLN","Sort=A","Dates=H","DateFormat=P","Fill=—","Direction=H","UseDPDF=Y")</f>
        <v>—</v>
      </c>
      <c r="G64" s="13">
        <f>_xll.BDH("SRPT US Equity","ARDR_PROPERTY_PLANT_EQUIP_NET","FQ4 2019","FQ4 2019","Currency=USD","Period=FQ","BEST_FPERIOD_OVERRIDE=FQ","FILING_STATUS=MR","SCALING_FORMAT=MLN","Sort=A","Dates=H","DateFormat=P","Fill=—","Direction=H","UseDPDF=Y")</f>
        <v>129.62</v>
      </c>
      <c r="H64" s="13" t="str">
        <f>_xll.BDH("SRPT US Equity","ARDR_PROPERTY_PLANT_EQUIP_NET","FQ1 2020","FQ1 2020","Currency=USD","Period=FQ","BEST_FPERIOD_OVERRIDE=FQ","FILING_STATUS=MR","SCALING_FORMAT=MLN","Sort=A","Dates=H","DateFormat=P","Fill=—","Direction=H","UseDPDF=Y")</f>
        <v>—</v>
      </c>
      <c r="I64" s="13" t="str">
        <f>_xll.BDH("SRPT US Equity","ARDR_PROPERTY_PLANT_EQUIP_NET","FQ2 2020","FQ2 2020","Currency=USD","Period=FQ","BEST_FPERIOD_OVERRIDE=FQ","FILING_STATUS=MR","SCALING_FORMAT=MLN","Sort=A","Dates=H","DateFormat=P","Fill=—","Direction=H","UseDPDF=Y")</f>
        <v>—</v>
      </c>
      <c r="J64" s="13" t="str">
        <f>_xll.BDH("SRPT US Equity","ARDR_PROPERTY_PLANT_EQUIP_NET","FQ3 2020","FQ3 2020","Currency=USD","Period=FQ","BEST_FPERIOD_OVERRIDE=FQ","FILING_STATUS=MR","SCALING_FORMAT=MLN","Sort=A","Dates=H","DateFormat=P","Fill=—","Direction=H","UseDPDF=Y")</f>
        <v>—</v>
      </c>
      <c r="K64" s="13">
        <f>_xll.BDH("SRPT US Equity","ARDR_PROPERTY_PLANT_EQUIP_NET","FQ4 2020","FQ4 2020","Currency=USD","Period=FQ","BEST_FPERIOD_OVERRIDE=FQ","FILING_STATUS=MR","SCALING_FORMAT=MLN","Sort=A","Dates=H","DateFormat=P","Fill=—","Direction=H","UseDPDF=Y")</f>
        <v>190.43</v>
      </c>
      <c r="L64" s="13" t="str">
        <f>_xll.BDH("SRPT US Equity","ARDR_PROPERTY_PLANT_EQUIP_NET","FQ1 2021","FQ1 2021","Currency=USD","Period=FQ","BEST_FPERIOD_OVERRIDE=FQ","FILING_STATUS=MR","SCALING_FORMAT=MLN","Sort=A","Dates=H","DateFormat=P","Fill=—","Direction=H","UseDPDF=Y")</f>
        <v>—</v>
      </c>
      <c r="M64" s="13" t="str">
        <f>_xll.BDH("SRPT US Equity","ARDR_PROPERTY_PLANT_EQUIP_NET","FQ2 2021","FQ2 2021","Currency=USD","Period=FQ","BEST_FPERIOD_OVERRIDE=FQ","FILING_STATUS=MR","SCALING_FORMAT=MLN","Sort=A","Dates=H","DateFormat=P","Fill=—","Direction=H","UseDPDF=Y")</f>
        <v>—</v>
      </c>
      <c r="N64" s="13" t="str">
        <f>_xll.BDH("SRPT US Equity","ARDR_PROPERTY_PLANT_EQUIP_NET","FQ3 2021","FQ3 2021","Currency=USD","Period=FQ","BEST_FPERIOD_OVERRIDE=FQ","FILING_STATUS=MR","SCALING_FORMAT=MLN","Sort=A","Dates=H","DateFormat=P","Fill=—","Direction=H","UseDPDF=Y")</f>
        <v>—</v>
      </c>
      <c r="O64" s="13">
        <f>_xll.BDH("SRPT US Equity","ARDR_PROPERTY_PLANT_EQUIP_NET","FQ4 2021","FQ4 2021","Currency=USD","Period=FQ","BEST_FPERIOD_OVERRIDE=FQ","FILING_STATUS=MR","SCALING_FORMAT=MLN","Sort=A","Dates=H","DateFormat=P","Fill=—","Direction=H","UseDPDF=Y")</f>
        <v>191.15600000000001</v>
      </c>
      <c r="P64" s="13" t="str">
        <f>_xll.BDH("SRPT US Equity","ARDR_PROPERTY_PLANT_EQUIP_NET","FQ1 2022","FQ1 2022","Currency=USD","Period=FQ","BEST_FPERIOD_OVERRIDE=FQ","FILING_STATUS=MR","SCALING_FORMAT=MLN","Sort=A","Dates=H","DateFormat=P","Fill=—","Direction=H","UseDPDF=Y")</f>
        <v>—</v>
      </c>
      <c r="Q64" s="13" t="str">
        <f>_xll.BDH("SRPT US Equity","ARDR_PROPERTY_PLANT_EQUIP_NET","FQ2 2022","FQ2 2022","Currency=USD","Period=FQ","BEST_FPERIOD_OVERRIDE=FQ","FILING_STATUS=MR","SCALING_FORMAT=MLN","Sort=A","Dates=H","DateFormat=P","Fill=—","Direction=H","UseDPDF=Y")</f>
        <v>—</v>
      </c>
      <c r="R64" s="13" t="str">
        <f>_xll.BDH("SRPT US Equity","ARDR_PROPERTY_PLANT_EQUIP_NET","FQ3 2022","FQ3 2022","Currency=USD","Period=FQ","BEST_FPERIOD_OVERRIDE=FQ","FILING_STATUS=MR","SCALING_FORMAT=MLN","Sort=A","Dates=H","DateFormat=P","Fill=—","Direction=H","UseDPDF=Y")</f>
        <v>—</v>
      </c>
      <c r="S64" s="13">
        <f>_xll.BDH("SRPT US Equity","ARDR_PROPERTY_PLANT_EQUIP_NET","FQ4 2022","FQ4 2022","Currency=USD","Period=FQ","BEST_FPERIOD_OVERRIDE=FQ","FILING_STATUS=MR","SCALING_FORMAT=MLN","Sort=A","Dates=H","DateFormat=P","Fill=—","Direction=H","UseDPDF=Y")</f>
        <v>180.03700000000001</v>
      </c>
      <c r="T64" s="13" t="str">
        <f>_xll.BDH("SRPT US Equity","ARDR_PROPERTY_PLANT_EQUIP_NET","FQ1 2023","FQ1 2023","Currency=USD","Period=FQ","BEST_FPERIOD_OVERRIDE=FQ","FILING_STATUS=MR","SCALING_FORMAT=MLN","Sort=A","Dates=H","DateFormat=P","Fill=—","Direction=H","UseDPDF=Y")</f>
        <v>—</v>
      </c>
      <c r="U64" s="13" t="str">
        <f>_xll.BDH("SRPT US Equity","ARDR_PROPERTY_PLANT_EQUIP_NET","FQ2 2023","FQ2 2023","Currency=USD","Period=FQ","BEST_FPERIOD_OVERRIDE=FQ","FILING_STATUS=MR","SCALING_FORMAT=MLN","Sort=A","Dates=H","DateFormat=P","Fill=—","Direction=H","UseDPDF=Y")</f>
        <v>—</v>
      </c>
      <c r="V64" s="13" t="str">
        <f>_xll.BDH("SRPT US Equity","ARDR_PROPERTY_PLANT_EQUIP_NET","FQ3 2023","FQ3 2023","Currency=USD","Period=FQ","BEST_FPERIOD_OVERRIDE=FQ","FILING_STATUS=MR","SCALING_FORMAT=MLN","Sort=A","Dates=H","DateFormat=P","Fill=—","Direction=H","UseDPDF=Y")</f>
        <v>—</v>
      </c>
      <c r="W64" s="13">
        <f>_xll.BDH("SRPT US Equity","ARDR_PROPERTY_PLANT_EQUIP_NET","FQ4 2023","FQ4 2023","Currency=USD","Period=FQ","BEST_FPERIOD_OVERRIDE=FQ","FILING_STATUS=MR","SCALING_FORMAT=MLN","Sort=A","Dates=H","DateFormat=P","Fill=—","Direction=H","UseDPDF=Y")</f>
        <v>227.154</v>
      </c>
      <c r="X64" s="13" t="str">
        <f>_xll.BDH("SRPT US Equity","ARDR_PROPERTY_PLANT_EQUIP_NET","FQ1 2024","FQ1 2024","Currency=USD","Period=FQ","BEST_FPERIOD_OVERRIDE=FQ","FILING_STATUS=MR","SCALING_FORMAT=MLN","Sort=A","Dates=H","DateFormat=P","Fill=—","Direction=H","UseDPDF=Y")</f>
        <v>—</v>
      </c>
      <c r="Y64" s="13" t="str">
        <f>_xll.BDH("SRPT US Equity","ARDR_PROPERTY_PLANT_EQUIP_NET","FQ2 2024","FQ2 2024","Currency=USD","Period=FQ","BEST_FPERIOD_OVERRIDE=FQ","FILING_STATUS=MR","SCALING_FORMAT=MLN","Sort=A","Dates=H","DateFormat=P","Fill=—","Direction=H","UseDPDF=Y")</f>
        <v>—</v>
      </c>
      <c r="Z64" s="13" t="str">
        <f>_xll.BDH("SRPT US Equity","ARDR_PROPERTY_PLANT_EQUIP_NET","FQ3 2024","FQ3 2024","Currency=USD","Period=FQ","BEST_FPERIOD_OVERRIDE=FQ","FILING_STATUS=MR","SCALING_FORMAT=MLN","Sort=A","Dates=H","DateFormat=P","Fill=—","Direction=H","UseDPDF=Y")</f>
        <v>—</v>
      </c>
      <c r="AA64" s="13">
        <f>_xll.BDH("SRPT US Equity","ARDR_PROPERTY_PLANT_EQUIP_NET","FQ4 2024","FQ4 2024","Currency=USD","Period=FQ","BEST_FPERIOD_OVERRIDE=FQ","FILING_STATUS=MR","SCALING_FORMAT=MLN","Sort=A","Dates=H","DateFormat=P","Fill=—","Direction=H","UseDPDF=Y")</f>
        <v>340.33600000000001</v>
      </c>
    </row>
    <row r="65" spans="1:27" x14ac:dyDescent="0.25">
      <c r="A65" s="10" t="s">
        <v>944</v>
      </c>
      <c r="B65" s="10" t="s">
        <v>945</v>
      </c>
      <c r="C65" s="13">
        <f>_xll.BDH("SRPT US Equity","ARDR_DEFERRED_INC_TAX_ASSET_LT","FQ4 2018","FQ4 2018","Currency=USD","Period=FQ","BEST_FPERIOD_OVERRIDE=FQ","FILING_STATUS=MR","SCALING_FORMAT=MLN","Sort=A","Dates=H","DateFormat=P","Fill=—","Direction=H","UseDPDF=Y")</f>
        <v>0.23300000000000001</v>
      </c>
      <c r="D65" s="13" t="str">
        <f>_xll.BDH("SRPT US Equity","ARDR_DEFERRED_INC_TAX_ASSET_LT","FQ1 2019","FQ1 2019","Currency=USD","Period=FQ","BEST_FPERIOD_OVERRIDE=FQ","FILING_STATUS=MR","SCALING_FORMAT=MLN","Sort=A","Dates=H","DateFormat=P","Fill=—","Direction=H","UseDPDF=Y")</f>
        <v>—</v>
      </c>
      <c r="E65" s="13" t="str">
        <f>_xll.BDH("SRPT US Equity","ARDR_DEFERRED_INC_TAX_ASSET_LT","FQ2 2019","FQ2 2019","Currency=USD","Period=FQ","BEST_FPERIOD_OVERRIDE=FQ","FILING_STATUS=MR","SCALING_FORMAT=MLN","Sort=A","Dates=H","DateFormat=P","Fill=—","Direction=H","UseDPDF=Y")</f>
        <v>—</v>
      </c>
      <c r="F65" s="13" t="str">
        <f>_xll.BDH("SRPT US Equity","ARDR_DEFERRED_INC_TAX_ASSET_LT","FQ3 2019","FQ3 2019","Currency=USD","Period=FQ","BEST_FPERIOD_OVERRIDE=FQ","FILING_STATUS=MR","SCALING_FORMAT=MLN","Sort=A","Dates=H","DateFormat=P","Fill=—","Direction=H","UseDPDF=Y")</f>
        <v>—</v>
      </c>
      <c r="G65" s="13">
        <f>_xll.BDH("SRPT US Equity","ARDR_DEFERRED_INC_TAX_ASSET_LT","FQ4 2019","FQ4 2019","Currency=USD","Period=FQ","BEST_FPERIOD_OVERRIDE=FQ","FILING_STATUS=MR","SCALING_FORMAT=MLN","Sort=A","Dates=H","DateFormat=P","Fill=—","Direction=H","UseDPDF=Y")</f>
        <v>0.59799999999999998</v>
      </c>
      <c r="H65" s="13" t="str">
        <f>_xll.BDH("SRPT US Equity","ARDR_DEFERRED_INC_TAX_ASSET_LT","FQ1 2020","FQ1 2020","Currency=USD","Period=FQ","BEST_FPERIOD_OVERRIDE=FQ","FILING_STATUS=MR","SCALING_FORMAT=MLN","Sort=A","Dates=H","DateFormat=P","Fill=—","Direction=H","UseDPDF=Y")</f>
        <v>—</v>
      </c>
      <c r="I65" s="13" t="str">
        <f>_xll.BDH("SRPT US Equity","ARDR_DEFERRED_INC_TAX_ASSET_LT","FQ2 2020","FQ2 2020","Currency=USD","Period=FQ","BEST_FPERIOD_OVERRIDE=FQ","FILING_STATUS=MR","SCALING_FORMAT=MLN","Sort=A","Dates=H","DateFormat=P","Fill=—","Direction=H","UseDPDF=Y")</f>
        <v>—</v>
      </c>
      <c r="J65" s="13" t="str">
        <f>_xll.BDH("SRPT US Equity","ARDR_DEFERRED_INC_TAX_ASSET_LT","FQ3 2020","FQ3 2020","Currency=USD","Period=FQ","BEST_FPERIOD_OVERRIDE=FQ","FILING_STATUS=MR","SCALING_FORMAT=MLN","Sort=A","Dates=H","DateFormat=P","Fill=—","Direction=H","UseDPDF=Y")</f>
        <v>—</v>
      </c>
      <c r="K65" s="13">
        <f>_xll.BDH("SRPT US Equity","ARDR_DEFERRED_INC_TAX_ASSET_LT","FQ4 2020","FQ4 2020","Currency=USD","Period=FQ","BEST_FPERIOD_OVERRIDE=FQ","FILING_STATUS=MR","SCALING_FORMAT=MLN","Sort=A","Dates=H","DateFormat=P","Fill=—","Direction=H","UseDPDF=Y")</f>
        <v>0.88700000000000001</v>
      </c>
      <c r="L65" s="13" t="str">
        <f>_xll.BDH("SRPT US Equity","ARDR_DEFERRED_INC_TAX_ASSET_LT","FQ1 2021","FQ1 2021","Currency=USD","Period=FQ","BEST_FPERIOD_OVERRIDE=FQ","FILING_STATUS=MR","SCALING_FORMAT=MLN","Sort=A","Dates=H","DateFormat=P","Fill=—","Direction=H","UseDPDF=Y")</f>
        <v>—</v>
      </c>
      <c r="M65" s="13" t="str">
        <f>_xll.BDH("SRPT US Equity","ARDR_DEFERRED_INC_TAX_ASSET_LT","FQ2 2021","FQ2 2021","Currency=USD","Period=FQ","BEST_FPERIOD_OVERRIDE=FQ","FILING_STATUS=MR","SCALING_FORMAT=MLN","Sort=A","Dates=H","DateFormat=P","Fill=—","Direction=H","UseDPDF=Y")</f>
        <v>—</v>
      </c>
      <c r="N65" s="13" t="str">
        <f>_xll.BDH("SRPT US Equity","ARDR_DEFERRED_INC_TAX_ASSET_LT","FQ3 2021","FQ3 2021","Currency=USD","Period=FQ","BEST_FPERIOD_OVERRIDE=FQ","FILING_STATUS=MR","SCALING_FORMAT=MLN","Sort=A","Dates=H","DateFormat=P","Fill=—","Direction=H","UseDPDF=Y")</f>
        <v>—</v>
      </c>
      <c r="O65" s="13">
        <f>_xll.BDH("SRPT US Equity","ARDR_DEFERRED_INC_TAX_ASSET_LT","FQ4 2021","FQ4 2021","Currency=USD","Period=FQ","BEST_FPERIOD_OVERRIDE=FQ","FILING_STATUS=MR","SCALING_FORMAT=MLN","Sort=A","Dates=H","DateFormat=P","Fill=—","Direction=H","UseDPDF=Y")</f>
        <v>1.127</v>
      </c>
      <c r="P65" s="13" t="str">
        <f>_xll.BDH("SRPT US Equity","ARDR_DEFERRED_INC_TAX_ASSET_LT","FQ1 2022","FQ1 2022","Currency=USD","Period=FQ","BEST_FPERIOD_OVERRIDE=FQ","FILING_STATUS=MR","SCALING_FORMAT=MLN","Sort=A","Dates=H","DateFormat=P","Fill=—","Direction=H","UseDPDF=Y")</f>
        <v>—</v>
      </c>
      <c r="Q65" s="13" t="str">
        <f>_xll.BDH("SRPT US Equity","ARDR_DEFERRED_INC_TAX_ASSET_LT","FQ2 2022","FQ2 2022","Currency=USD","Period=FQ","BEST_FPERIOD_OVERRIDE=FQ","FILING_STATUS=MR","SCALING_FORMAT=MLN","Sort=A","Dates=H","DateFormat=P","Fill=—","Direction=H","UseDPDF=Y")</f>
        <v>—</v>
      </c>
      <c r="R65" s="13" t="str">
        <f>_xll.BDH("SRPT US Equity","ARDR_DEFERRED_INC_TAX_ASSET_LT","FQ3 2022","FQ3 2022","Currency=USD","Period=FQ","BEST_FPERIOD_OVERRIDE=FQ","FILING_STATUS=MR","SCALING_FORMAT=MLN","Sort=A","Dates=H","DateFormat=P","Fill=—","Direction=H","UseDPDF=Y")</f>
        <v>—</v>
      </c>
      <c r="S65" s="13">
        <f>_xll.BDH("SRPT US Equity","ARDR_DEFERRED_INC_TAX_ASSET_LT","FQ4 2022","FQ4 2022","Currency=USD","Period=FQ","BEST_FPERIOD_OVERRIDE=FQ","FILING_STATUS=MR","SCALING_FORMAT=MLN","Sort=A","Dates=H","DateFormat=P","Fill=—","Direction=H","UseDPDF=Y")</f>
        <v>1.76</v>
      </c>
      <c r="T65" s="13" t="str">
        <f>_xll.BDH("SRPT US Equity","ARDR_DEFERRED_INC_TAX_ASSET_LT","FQ1 2023","FQ1 2023","Currency=USD","Period=FQ","BEST_FPERIOD_OVERRIDE=FQ","FILING_STATUS=MR","SCALING_FORMAT=MLN","Sort=A","Dates=H","DateFormat=P","Fill=—","Direction=H","UseDPDF=Y")</f>
        <v>—</v>
      </c>
      <c r="U65" s="13" t="str">
        <f>_xll.BDH("SRPT US Equity","ARDR_DEFERRED_INC_TAX_ASSET_LT","FQ2 2023","FQ2 2023","Currency=USD","Period=FQ","BEST_FPERIOD_OVERRIDE=FQ","FILING_STATUS=MR","SCALING_FORMAT=MLN","Sort=A","Dates=H","DateFormat=P","Fill=—","Direction=H","UseDPDF=Y")</f>
        <v>—</v>
      </c>
      <c r="V65" s="13" t="str">
        <f>_xll.BDH("SRPT US Equity","ARDR_DEFERRED_INC_TAX_ASSET_LT","FQ3 2023","FQ3 2023","Currency=USD","Period=FQ","BEST_FPERIOD_OVERRIDE=FQ","FILING_STATUS=MR","SCALING_FORMAT=MLN","Sort=A","Dates=H","DateFormat=P","Fill=—","Direction=H","UseDPDF=Y")</f>
        <v>—</v>
      </c>
      <c r="W65" s="13">
        <f>_xll.BDH("SRPT US Equity","ARDR_DEFERRED_INC_TAX_ASSET_LT","FQ4 2023","FQ4 2023","Currency=USD","Period=FQ","BEST_FPERIOD_OVERRIDE=FQ","FILING_STATUS=MR","SCALING_FORMAT=MLN","Sort=A","Dates=H","DateFormat=P","Fill=—","Direction=H","UseDPDF=Y")</f>
        <v>2.0630000000000002</v>
      </c>
      <c r="X65" s="13" t="str">
        <f>_xll.BDH("SRPT US Equity","ARDR_DEFERRED_INC_TAX_ASSET_LT","FQ1 2024","FQ1 2024","Currency=USD","Period=FQ","BEST_FPERIOD_OVERRIDE=FQ","FILING_STATUS=MR","SCALING_FORMAT=MLN","Sort=A","Dates=H","DateFormat=P","Fill=—","Direction=H","UseDPDF=Y")</f>
        <v>—</v>
      </c>
      <c r="Y65" s="13" t="str">
        <f>_xll.BDH("SRPT US Equity","ARDR_DEFERRED_INC_TAX_ASSET_LT","FQ2 2024","FQ2 2024","Currency=USD","Period=FQ","BEST_FPERIOD_OVERRIDE=FQ","FILING_STATUS=MR","SCALING_FORMAT=MLN","Sort=A","Dates=H","DateFormat=P","Fill=—","Direction=H","UseDPDF=Y")</f>
        <v>—</v>
      </c>
      <c r="Z65" s="13" t="str">
        <f>_xll.BDH("SRPT US Equity","ARDR_DEFERRED_INC_TAX_ASSET_LT","FQ3 2024","FQ3 2024","Currency=USD","Period=FQ","BEST_FPERIOD_OVERRIDE=FQ","FILING_STATUS=MR","SCALING_FORMAT=MLN","Sort=A","Dates=H","DateFormat=P","Fill=—","Direction=H","UseDPDF=Y")</f>
        <v>—</v>
      </c>
      <c r="AA65" s="13">
        <f>_xll.BDH("SRPT US Equity","ARDR_DEFERRED_INC_TAX_ASSET_LT","FQ4 2024","FQ4 2024","Currency=USD","Period=FQ","BEST_FPERIOD_OVERRIDE=FQ","FILING_STATUS=MR","SCALING_FORMAT=MLN","Sort=A","Dates=H","DateFormat=P","Fill=—","Direction=H","UseDPDF=Y")</f>
        <v>2.2519999999999998</v>
      </c>
    </row>
    <row r="66" spans="1:27" x14ac:dyDescent="0.25">
      <c r="A66" s="10" t="s">
        <v>865</v>
      </c>
      <c r="B66" s="10" t="s">
        <v>946</v>
      </c>
      <c r="C66" s="13" t="str">
        <f>_xll.BDH("SRPT US Equity","ARDR_TOTAL_INTANGIBLE_ASSET_NET","FQ4 2018","FQ4 2018","Currency=USD","Period=FQ","BEST_FPERIOD_OVERRIDE=FQ","FILING_STATUS=MR","SCALING_FORMAT=MLN","Sort=A","Dates=H","DateFormat=P","Fill=—","Direction=H","UseDPDF=Y")</f>
        <v>—</v>
      </c>
      <c r="D66" s="13" t="str">
        <f>_xll.BDH("SRPT US Equity","ARDR_TOTAL_INTANGIBLE_ASSET_NET","FQ1 2019","FQ1 2019","Currency=USD","Period=FQ","BEST_FPERIOD_OVERRIDE=FQ","FILING_STATUS=MR","SCALING_FORMAT=MLN","Sort=A","Dates=H","DateFormat=P","Fill=—","Direction=H","UseDPDF=Y")</f>
        <v>—</v>
      </c>
      <c r="E66" s="13" t="str">
        <f>_xll.BDH("SRPT US Equity","ARDR_TOTAL_INTANGIBLE_ASSET_NET","FQ2 2019","FQ2 2019","Currency=USD","Period=FQ","BEST_FPERIOD_OVERRIDE=FQ","FILING_STATUS=MR","SCALING_FORMAT=MLN","Sort=A","Dates=H","DateFormat=P","Fill=—","Direction=H","UseDPDF=Y")</f>
        <v>—</v>
      </c>
      <c r="F66" s="13" t="str">
        <f>_xll.BDH("SRPT US Equity","ARDR_TOTAL_INTANGIBLE_ASSET_NET","FQ3 2019","FQ3 2019","Currency=USD","Period=FQ","BEST_FPERIOD_OVERRIDE=FQ","FILING_STATUS=MR","SCALING_FORMAT=MLN","Sort=A","Dates=H","DateFormat=P","Fill=—","Direction=H","UseDPDF=Y")</f>
        <v>—</v>
      </c>
      <c r="G66" s="13" t="str">
        <f>_xll.BDH("SRPT US Equity","ARDR_TOTAL_INTANGIBLE_ASSET_NET","FQ4 2019","FQ4 2019","Currency=USD","Period=FQ","BEST_FPERIOD_OVERRIDE=FQ","FILING_STATUS=MR","SCALING_FORMAT=MLN","Sort=A","Dates=H","DateFormat=P","Fill=—","Direction=H","UseDPDF=Y")</f>
        <v>—</v>
      </c>
      <c r="H66" s="13" t="str">
        <f>_xll.BDH("SRPT US Equity","ARDR_TOTAL_INTANGIBLE_ASSET_NET","FQ1 2020","FQ1 2020","Currency=USD","Period=FQ","BEST_FPERIOD_OVERRIDE=FQ","FILING_STATUS=MR","SCALING_FORMAT=MLN","Sort=A","Dates=H","DateFormat=P","Fill=—","Direction=H","UseDPDF=Y")</f>
        <v>—</v>
      </c>
      <c r="I66" s="13" t="str">
        <f>_xll.BDH("SRPT US Equity","ARDR_TOTAL_INTANGIBLE_ASSET_NET","FQ2 2020","FQ2 2020","Currency=USD","Period=FQ","BEST_FPERIOD_OVERRIDE=FQ","FILING_STATUS=MR","SCALING_FORMAT=MLN","Sort=A","Dates=H","DateFormat=P","Fill=—","Direction=H","UseDPDF=Y")</f>
        <v>—</v>
      </c>
      <c r="J66" s="13" t="str">
        <f>_xll.BDH("SRPT US Equity","ARDR_TOTAL_INTANGIBLE_ASSET_NET","FQ3 2020","FQ3 2020","Currency=USD","Period=FQ","BEST_FPERIOD_OVERRIDE=FQ","FILING_STATUS=MR","SCALING_FORMAT=MLN","Sort=A","Dates=H","DateFormat=P","Fill=—","Direction=H","UseDPDF=Y")</f>
        <v>—</v>
      </c>
      <c r="K66" s="13" t="str">
        <f>_xll.BDH("SRPT US Equity","ARDR_TOTAL_INTANGIBLE_ASSET_NET","FQ4 2020","FQ4 2020","Currency=USD","Period=FQ","BEST_FPERIOD_OVERRIDE=FQ","FILING_STATUS=MR","SCALING_FORMAT=MLN","Sort=A","Dates=H","DateFormat=P","Fill=—","Direction=H","UseDPDF=Y")</f>
        <v>—</v>
      </c>
      <c r="L66" s="13" t="str">
        <f>_xll.BDH("SRPT US Equity","ARDR_TOTAL_INTANGIBLE_ASSET_NET","FQ1 2021","FQ1 2021","Currency=USD","Period=FQ","BEST_FPERIOD_OVERRIDE=FQ","FILING_STATUS=MR","SCALING_FORMAT=MLN","Sort=A","Dates=H","DateFormat=P","Fill=—","Direction=H","UseDPDF=Y")</f>
        <v>—</v>
      </c>
      <c r="M66" s="13" t="str">
        <f>_xll.BDH("SRPT US Equity","ARDR_TOTAL_INTANGIBLE_ASSET_NET","FQ2 2021","FQ2 2021","Currency=USD","Period=FQ","BEST_FPERIOD_OVERRIDE=FQ","FILING_STATUS=MR","SCALING_FORMAT=MLN","Sort=A","Dates=H","DateFormat=P","Fill=—","Direction=H","UseDPDF=Y")</f>
        <v>—</v>
      </c>
      <c r="N66" s="13" t="str">
        <f>_xll.BDH("SRPT US Equity","ARDR_TOTAL_INTANGIBLE_ASSET_NET","FQ3 2021","FQ3 2021","Currency=USD","Period=FQ","BEST_FPERIOD_OVERRIDE=FQ","FILING_STATUS=MR","SCALING_FORMAT=MLN","Sort=A","Dates=H","DateFormat=P","Fill=—","Direction=H","UseDPDF=Y")</f>
        <v>—</v>
      </c>
      <c r="O66" s="13">
        <f>_xll.BDH("SRPT US Equity","ARDR_TOTAL_INTANGIBLE_ASSET_NET","FQ4 2021","FQ4 2021","Currency=USD","Period=FQ","BEST_FPERIOD_OVERRIDE=FQ","FILING_STATUS=MR","SCALING_FORMAT=MLN","Sort=A","Dates=H","DateFormat=P","Fill=—","Direction=H","UseDPDF=Y")</f>
        <v>14.239000000000001</v>
      </c>
      <c r="P66" s="13" t="str">
        <f>_xll.BDH("SRPT US Equity","ARDR_TOTAL_INTANGIBLE_ASSET_NET","FQ1 2022","FQ1 2022","Currency=USD","Period=FQ","BEST_FPERIOD_OVERRIDE=FQ","FILING_STATUS=MR","SCALING_FORMAT=MLN","Sort=A","Dates=H","DateFormat=P","Fill=—","Direction=H","UseDPDF=Y")</f>
        <v>—</v>
      </c>
      <c r="Q66" s="13" t="str">
        <f>_xll.BDH("SRPT US Equity","ARDR_TOTAL_INTANGIBLE_ASSET_NET","FQ2 2022","FQ2 2022","Currency=USD","Period=FQ","BEST_FPERIOD_OVERRIDE=FQ","FILING_STATUS=MR","SCALING_FORMAT=MLN","Sort=A","Dates=H","DateFormat=P","Fill=—","Direction=H","UseDPDF=Y")</f>
        <v>—</v>
      </c>
      <c r="R66" s="13" t="str">
        <f>_xll.BDH("SRPT US Equity","ARDR_TOTAL_INTANGIBLE_ASSET_NET","FQ3 2022","FQ3 2022","Currency=USD","Period=FQ","BEST_FPERIOD_OVERRIDE=FQ","FILING_STATUS=MR","SCALING_FORMAT=MLN","Sort=A","Dates=H","DateFormat=P","Fill=—","Direction=H","UseDPDF=Y")</f>
        <v>—</v>
      </c>
      <c r="S66" s="13">
        <f>_xll.BDH("SRPT US Equity","ARDR_TOTAL_INTANGIBLE_ASSET_NET","FQ4 2022","FQ4 2022","Currency=USD","Period=FQ","BEST_FPERIOD_OVERRIDE=FQ","FILING_STATUS=MR","SCALING_FORMAT=MLN","Sort=A","Dates=H","DateFormat=P","Fill=—","Direction=H","UseDPDF=Y")</f>
        <v>7.5780000000000003</v>
      </c>
      <c r="T66" s="13">
        <f>_xll.BDH("SRPT US Equity","ARDR_TOTAL_INTANGIBLE_ASSET_NET","FQ1 2023","FQ1 2023","Currency=USD","Period=FQ","BEST_FPERIOD_OVERRIDE=FQ","FILING_STATUS=MR","SCALING_FORMAT=MLN","Sort=A","Dates=H","DateFormat=P","Fill=—","Direction=H","UseDPDF=Y")</f>
        <v>7.1989999999999998</v>
      </c>
      <c r="U66" s="13">
        <f>_xll.BDH("SRPT US Equity","ARDR_TOTAL_INTANGIBLE_ASSET_NET","FQ2 2023","FQ2 2023","Currency=USD","Period=FQ","BEST_FPERIOD_OVERRIDE=FQ","FILING_STATUS=MR","SCALING_FORMAT=MLN","Sort=A","Dates=H","DateFormat=P","Fill=—","Direction=H","UseDPDF=Y")</f>
        <v>18.018000000000001</v>
      </c>
      <c r="V66" s="13">
        <f>_xll.BDH("SRPT US Equity","ARDR_TOTAL_INTANGIBLE_ASSET_NET","FQ3 2023","FQ3 2023","Currency=USD","Period=FQ","BEST_FPERIOD_OVERRIDE=FQ","FILING_STATUS=MR","SCALING_FORMAT=MLN","Sort=A","Dates=H","DateFormat=P","Fill=—","Direction=H","UseDPDF=Y")</f>
        <v>19.501000000000001</v>
      </c>
      <c r="W66" s="13">
        <f>_xll.BDH("SRPT US Equity","ARDR_TOTAL_INTANGIBLE_ASSET_NET","FQ4 2023","FQ4 2023","Currency=USD","Period=FQ","BEST_FPERIOD_OVERRIDE=FQ","FILING_STATUS=MR","SCALING_FORMAT=MLN","Sort=A","Dates=H","DateFormat=P","Fill=—","Direction=H","UseDPDF=Y")</f>
        <v>29.62</v>
      </c>
      <c r="X66" s="13">
        <f>_xll.BDH("SRPT US Equity","ARDR_TOTAL_INTANGIBLE_ASSET_NET","FQ1 2024","FQ1 2024","Currency=USD","Period=FQ","BEST_FPERIOD_OVERRIDE=FQ","FILING_STATUS=MR","SCALING_FORMAT=MLN","Sort=A","Dates=H","DateFormat=P","Fill=—","Direction=H","UseDPDF=Y")</f>
        <v>28.93</v>
      </c>
      <c r="Y66" s="13">
        <f>_xll.BDH("SRPT US Equity","ARDR_TOTAL_INTANGIBLE_ASSET_NET","FQ2 2024","FQ2 2024","Currency=USD","Period=FQ","BEST_FPERIOD_OVERRIDE=FQ","FILING_STATUS=MR","SCALING_FORMAT=MLN","Sort=A","Dates=H","DateFormat=P","Fill=—","Direction=H","UseDPDF=Y")</f>
        <v>28.251999999999999</v>
      </c>
      <c r="Z66" s="13">
        <f>_xll.BDH("SRPT US Equity","ARDR_TOTAL_INTANGIBLE_ASSET_NET","FQ3 2024","FQ3 2024","Currency=USD","Period=FQ","BEST_FPERIOD_OVERRIDE=FQ","FILING_STATUS=MR","SCALING_FORMAT=MLN","Sort=A","Dates=H","DateFormat=P","Fill=—","Direction=H","UseDPDF=Y")</f>
        <v>27.57</v>
      </c>
      <c r="AA66" s="13">
        <f>_xll.BDH("SRPT US Equity","ARDR_TOTAL_INTANGIBLE_ASSET_NET","FQ4 2024","FQ4 2024","Currency=USD","Period=FQ","BEST_FPERIOD_OVERRIDE=FQ","FILING_STATUS=MR","SCALING_FORMAT=MLN","Sort=A","Dates=H","DateFormat=P","Fill=—","Direction=H","UseDPDF=Y")</f>
        <v>26.887</v>
      </c>
    </row>
    <row r="67" spans="1:27" x14ac:dyDescent="0.25">
      <c r="A67" s="10" t="s">
        <v>867</v>
      </c>
      <c r="B67" s="10" t="s">
        <v>947</v>
      </c>
      <c r="C67" s="13" t="str">
        <f>_xll.BDH("SRPT US Equity","ARDR_PATENTS_TRADEMRK_COPYRIGHT","FQ4 2018","FQ4 2018","Currency=USD","Period=FQ","BEST_FPERIOD_OVERRIDE=FQ","FILING_STATUS=MR","SCALING_FORMAT=MLN","Sort=A","Dates=H","DateFormat=P","Fill=—","Direction=H","UseDPDF=Y")</f>
        <v>—</v>
      </c>
      <c r="D67" s="13" t="str">
        <f>_xll.BDH("SRPT US Equity","ARDR_PATENTS_TRADEMRK_COPYRIGHT","FQ1 2019","FQ1 2019","Currency=USD","Period=FQ","BEST_FPERIOD_OVERRIDE=FQ","FILING_STATUS=MR","SCALING_FORMAT=MLN","Sort=A","Dates=H","DateFormat=P","Fill=—","Direction=H","UseDPDF=Y")</f>
        <v>—</v>
      </c>
      <c r="E67" s="13" t="str">
        <f>_xll.BDH("SRPT US Equity","ARDR_PATENTS_TRADEMRK_COPYRIGHT","FQ2 2019","FQ2 2019","Currency=USD","Period=FQ","BEST_FPERIOD_OVERRIDE=FQ","FILING_STATUS=MR","SCALING_FORMAT=MLN","Sort=A","Dates=H","DateFormat=P","Fill=—","Direction=H","UseDPDF=Y")</f>
        <v>—</v>
      </c>
      <c r="F67" s="13" t="str">
        <f>_xll.BDH("SRPT US Equity","ARDR_PATENTS_TRADEMRK_COPYRIGHT","FQ3 2019","FQ3 2019","Currency=USD","Period=FQ","BEST_FPERIOD_OVERRIDE=FQ","FILING_STATUS=MR","SCALING_FORMAT=MLN","Sort=A","Dates=H","DateFormat=P","Fill=—","Direction=H","UseDPDF=Y")</f>
        <v>—</v>
      </c>
      <c r="G67" s="13" t="str">
        <f>_xll.BDH("SRPT US Equity","ARDR_PATENTS_TRADEMRK_COPYRIGHT","FQ4 2019","FQ4 2019","Currency=USD","Period=FQ","BEST_FPERIOD_OVERRIDE=FQ","FILING_STATUS=MR","SCALING_FORMAT=MLN","Sort=A","Dates=H","DateFormat=P","Fill=—","Direction=H","UseDPDF=Y")</f>
        <v>—</v>
      </c>
      <c r="H67" s="13" t="str">
        <f>_xll.BDH("SRPT US Equity","ARDR_PATENTS_TRADEMRK_COPYRIGHT","FQ1 2020","FQ1 2020","Currency=USD","Period=FQ","BEST_FPERIOD_OVERRIDE=FQ","FILING_STATUS=MR","SCALING_FORMAT=MLN","Sort=A","Dates=H","DateFormat=P","Fill=—","Direction=H","UseDPDF=Y")</f>
        <v>—</v>
      </c>
      <c r="I67" s="13" t="str">
        <f>_xll.BDH("SRPT US Equity","ARDR_PATENTS_TRADEMRK_COPYRIGHT","FQ2 2020","FQ2 2020","Currency=USD","Period=FQ","BEST_FPERIOD_OVERRIDE=FQ","FILING_STATUS=MR","SCALING_FORMAT=MLN","Sort=A","Dates=H","DateFormat=P","Fill=—","Direction=H","UseDPDF=Y")</f>
        <v>—</v>
      </c>
      <c r="J67" s="13" t="str">
        <f>_xll.BDH("SRPT US Equity","ARDR_PATENTS_TRADEMRK_COPYRIGHT","FQ3 2020","FQ3 2020","Currency=USD","Period=FQ","BEST_FPERIOD_OVERRIDE=FQ","FILING_STATUS=MR","SCALING_FORMAT=MLN","Sort=A","Dates=H","DateFormat=P","Fill=—","Direction=H","UseDPDF=Y")</f>
        <v>—</v>
      </c>
      <c r="K67" s="13" t="str">
        <f>_xll.BDH("SRPT US Equity","ARDR_PATENTS_TRADEMRK_COPYRIGHT","FQ4 2020","FQ4 2020","Currency=USD","Period=FQ","BEST_FPERIOD_OVERRIDE=FQ","FILING_STATUS=MR","SCALING_FORMAT=MLN","Sort=A","Dates=H","DateFormat=P","Fill=—","Direction=H","UseDPDF=Y")</f>
        <v>—</v>
      </c>
      <c r="L67" s="13" t="str">
        <f>_xll.BDH("SRPT US Equity","ARDR_PATENTS_TRADEMRK_COPYRIGHT","FQ1 2021","FQ1 2021","Currency=USD","Period=FQ","BEST_FPERIOD_OVERRIDE=FQ","FILING_STATUS=MR","SCALING_FORMAT=MLN","Sort=A","Dates=H","DateFormat=P","Fill=—","Direction=H","UseDPDF=Y")</f>
        <v>—</v>
      </c>
      <c r="M67" s="13" t="str">
        <f>_xll.BDH("SRPT US Equity","ARDR_PATENTS_TRADEMRK_COPYRIGHT","FQ2 2021","FQ2 2021","Currency=USD","Period=FQ","BEST_FPERIOD_OVERRIDE=FQ","FILING_STATUS=MR","SCALING_FORMAT=MLN","Sort=A","Dates=H","DateFormat=P","Fill=—","Direction=H","UseDPDF=Y")</f>
        <v>—</v>
      </c>
      <c r="N67" s="13" t="str">
        <f>_xll.BDH("SRPT US Equity","ARDR_PATENTS_TRADEMRK_COPYRIGHT","FQ3 2021","FQ3 2021","Currency=USD","Period=FQ","BEST_FPERIOD_OVERRIDE=FQ","FILING_STATUS=MR","SCALING_FORMAT=MLN","Sort=A","Dates=H","DateFormat=P","Fill=—","Direction=H","UseDPDF=Y")</f>
        <v>—</v>
      </c>
      <c r="O67" s="13" t="str">
        <f>_xll.BDH("SRPT US Equity","ARDR_PATENTS_TRADEMRK_COPYRIGHT","FQ4 2021","FQ4 2021","Currency=USD","Period=FQ","BEST_FPERIOD_OVERRIDE=FQ","FILING_STATUS=MR","SCALING_FORMAT=MLN","Sort=A","Dates=H","DateFormat=P","Fill=—","Direction=H","UseDPDF=Y")</f>
        <v>—</v>
      </c>
      <c r="P67" s="13" t="str">
        <f>_xll.BDH("SRPT US Equity","ARDR_PATENTS_TRADEMRK_COPYRIGHT","FQ1 2022","FQ1 2022","Currency=USD","Period=FQ","BEST_FPERIOD_OVERRIDE=FQ","FILING_STATUS=MR","SCALING_FORMAT=MLN","Sort=A","Dates=H","DateFormat=P","Fill=—","Direction=H","UseDPDF=Y")</f>
        <v>—</v>
      </c>
      <c r="Q67" s="13" t="str">
        <f>_xll.BDH("SRPT US Equity","ARDR_PATENTS_TRADEMRK_COPYRIGHT","FQ2 2022","FQ2 2022","Currency=USD","Period=FQ","BEST_FPERIOD_OVERRIDE=FQ","FILING_STATUS=MR","SCALING_FORMAT=MLN","Sort=A","Dates=H","DateFormat=P","Fill=—","Direction=H","UseDPDF=Y")</f>
        <v>—</v>
      </c>
      <c r="R67" s="13" t="str">
        <f>_xll.BDH("SRPT US Equity","ARDR_PATENTS_TRADEMRK_COPYRIGHT","FQ3 2022","FQ3 2022","Currency=USD","Period=FQ","BEST_FPERIOD_OVERRIDE=FQ","FILING_STATUS=MR","SCALING_FORMAT=MLN","Sort=A","Dates=H","DateFormat=P","Fill=—","Direction=H","UseDPDF=Y")</f>
        <v>—</v>
      </c>
      <c r="S67" s="13">
        <f>_xll.BDH("SRPT US Equity","ARDR_PATENTS_TRADEMRK_COPYRIGHT","FQ4 2022","FQ4 2022","Currency=USD","Period=FQ","BEST_FPERIOD_OVERRIDE=FQ","FILING_STATUS=MR","SCALING_FORMAT=MLN","Sort=A","Dates=H","DateFormat=P","Fill=—","Direction=H","UseDPDF=Y")</f>
        <v>7.5780000000000003</v>
      </c>
      <c r="T67" s="13">
        <f>_xll.BDH("SRPT US Equity","ARDR_PATENTS_TRADEMRK_COPYRIGHT","FQ1 2023","FQ1 2023","Currency=USD","Period=FQ","BEST_FPERIOD_OVERRIDE=FQ","FILING_STATUS=MR","SCALING_FORMAT=MLN","Sort=A","Dates=H","DateFormat=P","Fill=—","Direction=H","UseDPDF=Y")</f>
        <v>7.1989999999999998</v>
      </c>
      <c r="U67" s="13">
        <f>_xll.BDH("SRPT US Equity","ARDR_PATENTS_TRADEMRK_COPYRIGHT","FQ2 2023","FQ2 2023","Currency=USD","Period=FQ","BEST_FPERIOD_OVERRIDE=FQ","FILING_STATUS=MR","SCALING_FORMAT=MLN","Sort=A","Dates=H","DateFormat=P","Fill=—","Direction=H","UseDPDF=Y")</f>
        <v>18.018000000000001</v>
      </c>
      <c r="V67" s="13">
        <f>_xll.BDH("SRPT US Equity","ARDR_PATENTS_TRADEMRK_COPYRIGHT","FQ3 2023","FQ3 2023","Currency=USD","Period=FQ","BEST_FPERIOD_OVERRIDE=FQ","FILING_STATUS=MR","SCALING_FORMAT=MLN","Sort=A","Dates=H","DateFormat=P","Fill=—","Direction=H","UseDPDF=Y")</f>
        <v>19.501000000000001</v>
      </c>
      <c r="W67" s="13">
        <f>_xll.BDH("SRPT US Equity","ARDR_PATENTS_TRADEMRK_COPYRIGHT","FQ4 2023","FQ4 2023","Currency=USD","Period=FQ","BEST_FPERIOD_OVERRIDE=FQ","FILING_STATUS=MR","SCALING_FORMAT=MLN","Sort=A","Dates=H","DateFormat=P","Fill=—","Direction=H","UseDPDF=Y")</f>
        <v>29.62</v>
      </c>
      <c r="X67" s="13" t="str">
        <f>_xll.BDH("SRPT US Equity","ARDR_PATENTS_TRADEMRK_COPYRIGHT","FQ1 2024","FQ1 2024","Currency=USD","Period=FQ","BEST_FPERIOD_OVERRIDE=FQ","FILING_STATUS=MR","SCALING_FORMAT=MLN","Sort=A","Dates=H","DateFormat=P","Fill=—","Direction=H","UseDPDF=Y")</f>
        <v>—</v>
      </c>
      <c r="Y67" s="13">
        <f>_xll.BDH("SRPT US Equity","ARDR_PATENTS_TRADEMRK_COPYRIGHT","FQ2 2024","FQ2 2024","Currency=USD","Period=FQ","BEST_FPERIOD_OVERRIDE=FQ","FILING_STATUS=MR","SCALING_FORMAT=MLN","Sort=A","Dates=H","DateFormat=P","Fill=—","Direction=H","UseDPDF=Y")</f>
        <v>28.251999999999999</v>
      </c>
      <c r="Z67" s="13">
        <f>_xll.BDH("SRPT US Equity","ARDR_PATENTS_TRADEMRK_COPYRIGHT","FQ3 2024","FQ3 2024","Currency=USD","Period=FQ","BEST_FPERIOD_OVERRIDE=FQ","FILING_STATUS=MR","SCALING_FORMAT=MLN","Sort=A","Dates=H","DateFormat=P","Fill=—","Direction=H","UseDPDF=Y")</f>
        <v>27.57</v>
      </c>
      <c r="AA67" s="13">
        <f>_xll.BDH("SRPT US Equity","ARDR_PATENTS_TRADEMRK_COPYRIGHT","FQ4 2024","FQ4 2024","Currency=USD","Period=FQ","BEST_FPERIOD_OVERRIDE=FQ","FILING_STATUS=MR","SCALING_FORMAT=MLN","Sort=A","Dates=H","DateFormat=P","Fill=—","Direction=H","UseDPDF=Y")</f>
        <v>26.887</v>
      </c>
    </row>
    <row r="68" spans="1:27" x14ac:dyDescent="0.25">
      <c r="A68" s="10" t="s">
        <v>902</v>
      </c>
      <c r="B68" s="10" t="s">
        <v>948</v>
      </c>
      <c r="C68" s="13">
        <f>_xll.BDH("SRPT US Equity","ARDR_COMMON_STOCK","FQ4 2018","FQ4 2018","Currency=USD","Period=FQ","BEST_FPERIOD_OVERRIDE=FQ","FILING_STATUS=MR","SCALING_FORMAT=MLN","Sort=A","Dates=H","DateFormat=P","Fill=—","Direction=H","UseDPDF=Y")</f>
        <v>7.0000000000000001E-3</v>
      </c>
      <c r="D68" s="13">
        <f>_xll.BDH("SRPT US Equity","ARDR_COMMON_STOCK","FQ1 2019","FQ1 2019","Currency=USD","Period=FQ","BEST_FPERIOD_OVERRIDE=FQ","FILING_STATUS=MR","SCALING_FORMAT=MLN","Sort=A","Dates=H","DateFormat=P","Fill=—","Direction=H","UseDPDF=Y")</f>
        <v>7.0000000000000001E-3</v>
      </c>
      <c r="E68" s="13">
        <f>_xll.BDH("SRPT US Equity","ARDR_COMMON_STOCK","FQ2 2019","FQ2 2019","Currency=USD","Period=FQ","BEST_FPERIOD_OVERRIDE=FQ","FILING_STATUS=MR","SCALING_FORMAT=MLN","Sort=A","Dates=H","DateFormat=P","Fill=—","Direction=H","UseDPDF=Y")</f>
        <v>7.0000000000000001E-3</v>
      </c>
      <c r="F68" s="13">
        <f>_xll.BDH("SRPT US Equity","ARDR_COMMON_STOCK","FQ3 2019","FQ3 2019","Currency=USD","Period=FQ","BEST_FPERIOD_OVERRIDE=FQ","FILING_STATUS=MR","SCALING_FORMAT=MLN","Sort=A","Dates=H","DateFormat=P","Fill=—","Direction=H","UseDPDF=Y")</f>
        <v>7.0000000000000001E-3</v>
      </c>
      <c r="G68" s="13">
        <f>_xll.BDH("SRPT US Equity","ARDR_COMMON_STOCK","FQ4 2019","FQ4 2019","Currency=USD","Period=FQ","BEST_FPERIOD_OVERRIDE=FQ","FILING_STATUS=MR","SCALING_FORMAT=MLN","Sort=A","Dates=H","DateFormat=P","Fill=—","Direction=H","UseDPDF=Y")</f>
        <v>8.0000000000000002E-3</v>
      </c>
      <c r="H68" s="13">
        <f>_xll.BDH("SRPT US Equity","ARDR_COMMON_STOCK","FQ1 2020","FQ1 2020","Currency=USD","Period=FQ","BEST_FPERIOD_OVERRIDE=FQ","FILING_STATUS=MR","SCALING_FORMAT=MLN","Sort=A","Dates=H","DateFormat=P","Fill=—","Direction=H","UseDPDF=Y")</f>
        <v>8.0000000000000002E-3</v>
      </c>
      <c r="I68" s="13">
        <f>_xll.BDH("SRPT US Equity","ARDR_COMMON_STOCK","FQ2 2020","FQ2 2020","Currency=USD","Period=FQ","BEST_FPERIOD_OVERRIDE=FQ","FILING_STATUS=MR","SCALING_FORMAT=MLN","Sort=A","Dates=H","DateFormat=P","Fill=—","Direction=H","UseDPDF=Y")</f>
        <v>8.0000000000000002E-3</v>
      </c>
      <c r="J68" s="13">
        <f>_xll.BDH("SRPT US Equity","ARDR_COMMON_STOCK","FQ3 2020","FQ3 2020","Currency=USD","Period=FQ","BEST_FPERIOD_OVERRIDE=FQ","FILING_STATUS=MR","SCALING_FORMAT=MLN","Sort=A","Dates=H","DateFormat=P","Fill=—","Direction=H","UseDPDF=Y")</f>
        <v>8.0000000000000002E-3</v>
      </c>
      <c r="K68" s="13">
        <f>_xll.BDH("SRPT US Equity","ARDR_COMMON_STOCK","FQ4 2020","FQ4 2020","Currency=USD","Period=FQ","BEST_FPERIOD_OVERRIDE=FQ","FILING_STATUS=MR","SCALING_FORMAT=MLN","Sort=A","Dates=H","DateFormat=P","Fill=—","Direction=H","UseDPDF=Y")</f>
        <v>8.0000000000000002E-3</v>
      </c>
      <c r="L68" s="13">
        <f>_xll.BDH("SRPT US Equity","ARDR_COMMON_STOCK","FQ1 2021","FQ1 2021","Currency=USD","Period=FQ","BEST_FPERIOD_OVERRIDE=FQ","FILING_STATUS=MR","SCALING_FORMAT=MLN","Sort=A","Dates=H","DateFormat=P","Fill=—","Direction=H","UseDPDF=Y")</f>
        <v>8.0000000000000002E-3</v>
      </c>
      <c r="M68" s="13">
        <f>_xll.BDH("SRPT US Equity","ARDR_COMMON_STOCK","FQ2 2021","FQ2 2021","Currency=USD","Period=FQ","BEST_FPERIOD_OVERRIDE=FQ","FILING_STATUS=MR","SCALING_FORMAT=MLN","Sort=A","Dates=H","DateFormat=P","Fill=—","Direction=H","UseDPDF=Y")</f>
        <v>8.0000000000000002E-3</v>
      </c>
      <c r="N68" s="13">
        <f>_xll.BDH("SRPT US Equity","ARDR_COMMON_STOCK","FQ3 2021","FQ3 2021","Currency=USD","Period=FQ","BEST_FPERIOD_OVERRIDE=FQ","FILING_STATUS=MR","SCALING_FORMAT=MLN","Sort=A","Dates=H","DateFormat=P","Fill=—","Direction=H","UseDPDF=Y")</f>
        <v>8.0000000000000002E-3</v>
      </c>
      <c r="O68" s="13">
        <f>_xll.BDH("SRPT US Equity","ARDR_COMMON_STOCK","FQ4 2021","FQ4 2021","Currency=USD","Period=FQ","BEST_FPERIOD_OVERRIDE=FQ","FILING_STATUS=MR","SCALING_FORMAT=MLN","Sort=A","Dates=H","DateFormat=P","Fill=—","Direction=H","UseDPDF=Y")</f>
        <v>8.9999999999999993E-3</v>
      </c>
      <c r="P68" s="13">
        <f>_xll.BDH("SRPT US Equity","ARDR_COMMON_STOCK","FQ1 2022","FQ1 2022","Currency=USD","Period=FQ","BEST_FPERIOD_OVERRIDE=FQ","FILING_STATUS=MR","SCALING_FORMAT=MLN","Sort=A","Dates=H","DateFormat=P","Fill=—","Direction=H","UseDPDF=Y")</f>
        <v>8.9999999999999993E-3</v>
      </c>
      <c r="Q68" s="13">
        <f>_xll.BDH("SRPT US Equity","ARDR_COMMON_STOCK","FQ2 2022","FQ2 2022","Currency=USD","Period=FQ","BEST_FPERIOD_OVERRIDE=FQ","FILING_STATUS=MR","SCALING_FORMAT=MLN","Sort=A","Dates=H","DateFormat=P","Fill=—","Direction=H","UseDPDF=Y")</f>
        <v>8.9999999999999993E-3</v>
      </c>
      <c r="R68" s="13">
        <f>_xll.BDH("SRPT US Equity","ARDR_COMMON_STOCK","FQ3 2022","FQ3 2022","Currency=USD","Period=FQ","BEST_FPERIOD_OVERRIDE=FQ","FILING_STATUS=MR","SCALING_FORMAT=MLN","Sort=A","Dates=H","DateFormat=P","Fill=—","Direction=H","UseDPDF=Y")</f>
        <v>8.9999999999999993E-3</v>
      </c>
      <c r="S68" s="13">
        <f>_xll.BDH("SRPT US Equity","ARDR_COMMON_STOCK","FQ4 2022","FQ4 2022","Currency=USD","Period=FQ","BEST_FPERIOD_OVERRIDE=FQ","FILING_STATUS=MR","SCALING_FORMAT=MLN","Sort=A","Dates=H","DateFormat=P","Fill=—","Direction=H","UseDPDF=Y")</f>
        <v>8.9999999999999993E-3</v>
      </c>
      <c r="T68" s="13">
        <f>_xll.BDH("SRPT US Equity","ARDR_COMMON_STOCK","FQ1 2023","FQ1 2023","Currency=USD","Period=FQ","BEST_FPERIOD_OVERRIDE=FQ","FILING_STATUS=MR","SCALING_FORMAT=MLN","Sort=A","Dates=H","DateFormat=P","Fill=—","Direction=H","UseDPDF=Y")</f>
        <v>8.9999999999999993E-3</v>
      </c>
      <c r="U68" s="13">
        <f>_xll.BDH("SRPT US Equity","ARDR_COMMON_STOCK","FQ2 2023","FQ2 2023","Currency=USD","Period=FQ","BEST_FPERIOD_OVERRIDE=FQ","FILING_STATUS=MR","SCALING_FORMAT=MLN","Sort=A","Dates=H","DateFormat=P","Fill=—","Direction=H","UseDPDF=Y")</f>
        <v>8.9999999999999993E-3</v>
      </c>
      <c r="V68" s="13">
        <f>_xll.BDH("SRPT US Equity","ARDR_COMMON_STOCK","FQ3 2023","FQ3 2023","Currency=USD","Period=FQ","BEST_FPERIOD_OVERRIDE=FQ","FILING_STATUS=MR","SCALING_FORMAT=MLN","Sort=A","Dates=H","DateFormat=P","Fill=—","Direction=H","UseDPDF=Y")</f>
        <v>8.9999999999999993E-3</v>
      </c>
      <c r="W68" s="13">
        <f>_xll.BDH("SRPT US Equity","ARDR_COMMON_STOCK","FQ4 2023","FQ4 2023","Currency=USD","Period=FQ","BEST_FPERIOD_OVERRIDE=FQ","FILING_STATUS=MR","SCALING_FORMAT=MLN","Sort=A","Dates=H","DateFormat=P","Fill=—","Direction=H","UseDPDF=Y")</f>
        <v>8.9999999999999993E-3</v>
      </c>
      <c r="X68" s="13">
        <f>_xll.BDH("SRPT US Equity","ARDR_COMMON_STOCK","FQ1 2024","FQ1 2024","Currency=USD","Period=FQ","BEST_FPERIOD_OVERRIDE=FQ","FILING_STATUS=MR","SCALING_FORMAT=MLN","Sort=A","Dates=H","DateFormat=P","Fill=—","Direction=H","UseDPDF=Y")</f>
        <v>8.9999999999999993E-3</v>
      </c>
      <c r="Y68" s="13">
        <f>_xll.BDH("SRPT US Equity","ARDR_COMMON_STOCK","FQ2 2024","FQ2 2024","Currency=USD","Period=FQ","BEST_FPERIOD_OVERRIDE=FQ","FILING_STATUS=MR","SCALING_FORMAT=MLN","Sort=A","Dates=H","DateFormat=P","Fill=—","Direction=H","UseDPDF=Y")</f>
        <v>0.01</v>
      </c>
      <c r="Z68" s="13">
        <f>_xll.BDH("SRPT US Equity","ARDR_COMMON_STOCK","FQ3 2024","FQ3 2024","Currency=USD","Period=FQ","BEST_FPERIOD_OVERRIDE=FQ","FILING_STATUS=MR","SCALING_FORMAT=MLN","Sort=A","Dates=H","DateFormat=P","Fill=—","Direction=H","UseDPDF=Y")</f>
        <v>0.01</v>
      </c>
      <c r="AA68" s="13">
        <f>_xll.BDH("SRPT US Equity","ARDR_COMMON_STOCK","FQ4 2024","FQ4 2024","Currency=USD","Period=FQ","BEST_FPERIOD_OVERRIDE=FQ","FILING_STATUS=MR","SCALING_FORMAT=MLN","Sort=A","Dates=H","DateFormat=P","Fill=—","Direction=H","UseDPDF=Y")</f>
        <v>0.01</v>
      </c>
    </row>
    <row r="69" spans="1:27" x14ac:dyDescent="0.25">
      <c r="A69" s="10" t="s">
        <v>904</v>
      </c>
      <c r="B69" s="10" t="s">
        <v>949</v>
      </c>
      <c r="C69" s="13">
        <f>_xll.BDH("SRPT US Equity","ARDR_ADDITIONAL_PAID_IN_CAPITAL","FQ4 2018","FQ4 2018","Currency=USD","Period=FQ","BEST_FPERIOD_OVERRIDE=FQ","FILING_STATUS=MR","SCALING_FORMAT=MLN","Sort=A","Dates=H","DateFormat=P","Fill=—","Direction=H","UseDPDF=Y")</f>
        <v>2611.2939999999999</v>
      </c>
      <c r="D69" s="13">
        <f>_xll.BDH("SRPT US Equity","ARDR_ADDITIONAL_PAID_IN_CAPITAL","FQ1 2019","FQ1 2019","Currency=USD","Period=FQ","BEST_FPERIOD_OVERRIDE=FQ","FILING_STATUS=MR","SCALING_FORMAT=MLN","Sort=A","Dates=H","DateFormat=P","Fill=—","Direction=H","UseDPDF=Y")</f>
        <v>3004.107</v>
      </c>
      <c r="E69" s="13">
        <f>_xll.BDH("SRPT US Equity","ARDR_ADDITIONAL_PAID_IN_CAPITAL","FQ2 2019","FQ2 2019","Currency=USD","Period=FQ","BEST_FPERIOD_OVERRIDE=FQ","FILING_STATUS=MR","SCALING_FORMAT=MLN","Sort=A","Dates=H","DateFormat=P","Fill=—","Direction=H","UseDPDF=Y")</f>
        <v>3031.05</v>
      </c>
      <c r="F69" s="13">
        <f>_xll.BDH("SRPT US Equity","ARDR_ADDITIONAL_PAID_IN_CAPITAL","FQ3 2019","FQ3 2019","Currency=USD","Period=FQ","BEST_FPERIOD_OVERRIDE=FQ","FILING_STATUS=MR","SCALING_FORMAT=MLN","Sort=A","Dates=H","DateFormat=P","Fill=—","Direction=H","UseDPDF=Y")</f>
        <v>3053.42</v>
      </c>
      <c r="G69" s="13">
        <f>_xll.BDH("SRPT US Equity","ARDR_ADDITIONAL_PAID_IN_CAPITAL","FQ4 2019","FQ4 2019","Currency=USD","Period=FQ","BEST_FPERIOD_OVERRIDE=FQ","FILING_STATUS=MR","SCALING_FORMAT=MLN","Sort=A","Dates=H","DateFormat=P","Fill=—","Direction=H","UseDPDF=Y")</f>
        <v>3112.13</v>
      </c>
      <c r="H69" s="13">
        <f>_xll.BDH("SRPT US Equity","ARDR_ADDITIONAL_PAID_IN_CAPITAL","FQ1 2020","FQ1 2020","Currency=USD","Period=FQ","BEST_FPERIOD_OVERRIDE=FQ","FILING_STATUS=MR","SCALING_FORMAT=MLN","Sort=A","Dates=H","DateFormat=P","Fill=—","Direction=H","UseDPDF=Y")</f>
        <v>3455.6889999999999</v>
      </c>
      <c r="I69" s="13">
        <f>_xll.BDH("SRPT US Equity","ARDR_ADDITIONAL_PAID_IN_CAPITAL","FQ2 2020","FQ2 2020","Currency=USD","Period=FQ","BEST_FPERIOD_OVERRIDE=FQ","FILING_STATUS=MR","SCALING_FORMAT=MLN","Sort=A","Dates=H","DateFormat=P","Fill=—","Direction=H","UseDPDF=Y")</f>
        <v>3505.165</v>
      </c>
      <c r="J69" s="13">
        <f>_xll.BDH("SRPT US Equity","ARDR_ADDITIONAL_PAID_IN_CAPITAL","FQ3 2020","FQ3 2020","Currency=USD","Period=FQ","BEST_FPERIOD_OVERRIDE=FQ","FILING_STATUS=MR","SCALING_FORMAT=MLN","Sort=A","Dates=H","DateFormat=P","Fill=—","Direction=H","UseDPDF=Y")</f>
        <v>3550.857</v>
      </c>
      <c r="K69" s="13">
        <f>_xll.BDH("SRPT US Equity","ARDR_ADDITIONAL_PAID_IN_CAPITAL","FQ4 2020","FQ4 2020","Currency=USD","Period=FQ","BEST_FPERIOD_OVERRIDE=FQ","FILING_STATUS=MR","SCALING_FORMAT=MLN","Sort=A","Dates=H","DateFormat=P","Fill=—","Direction=H","UseDPDF=Y")</f>
        <v>3609.877</v>
      </c>
      <c r="L69" s="13">
        <f>_xll.BDH("SRPT US Equity","ARDR_ADDITIONAL_PAID_IN_CAPITAL","FQ1 2021","FQ1 2021","Currency=USD","Period=FQ","BEST_FPERIOD_OVERRIDE=FQ","FILING_STATUS=MR","SCALING_FORMAT=MLN","Sort=A","Dates=H","DateFormat=P","Fill=—","Direction=H","UseDPDF=Y")</f>
        <v>3490.6579999999999</v>
      </c>
      <c r="M69" s="13">
        <f>_xll.BDH("SRPT US Equity","ARDR_ADDITIONAL_PAID_IN_CAPITAL","FQ2 2021","FQ2 2021","Currency=USD","Period=FQ","BEST_FPERIOD_OVERRIDE=FQ","FILING_STATUS=MR","SCALING_FORMAT=MLN","Sort=A","Dates=H","DateFormat=P","Fill=—","Direction=H","UseDPDF=Y")</f>
        <v>3521.721</v>
      </c>
      <c r="N69" s="13">
        <f>_xll.BDH("SRPT US Equity","ARDR_ADDITIONAL_PAID_IN_CAPITAL","FQ3 2021","FQ3 2021","Currency=USD","Period=FQ","BEST_FPERIOD_OVERRIDE=FQ","FILING_STATUS=MR","SCALING_FORMAT=MLN","Sort=A","Dates=H","DateFormat=P","Fill=—","Direction=H","UseDPDF=Y")</f>
        <v>3554.3069999999998</v>
      </c>
      <c r="O69" s="13">
        <f>_xll.BDH("SRPT US Equity","ARDR_ADDITIONAL_PAID_IN_CAPITAL","FQ4 2021","FQ4 2021","Currency=USD","Period=FQ","BEST_FPERIOD_OVERRIDE=FQ","FILING_STATUS=MR","SCALING_FORMAT=MLN","Sort=A","Dates=H","DateFormat=P","Fill=—","Direction=H","UseDPDF=Y")</f>
        <v>4134.768</v>
      </c>
      <c r="P69" s="13">
        <f>_xll.BDH("SRPT US Equity","ARDR_ADDITIONAL_PAID_IN_CAPITAL","FQ1 2022","FQ1 2022","Currency=USD","Period=FQ","BEST_FPERIOD_OVERRIDE=FQ","FILING_STATUS=MR","SCALING_FORMAT=MLN","Sort=A","Dates=H","DateFormat=P","Fill=—","Direction=H","UseDPDF=Y")</f>
        <v>4168.9560000000001</v>
      </c>
      <c r="Q69" s="13">
        <f>_xll.BDH("SRPT US Equity","ARDR_ADDITIONAL_PAID_IN_CAPITAL","FQ2 2022","FQ2 2022","Currency=USD","Period=FQ","BEST_FPERIOD_OVERRIDE=FQ","FILING_STATUS=MR","SCALING_FORMAT=MLN","Sort=A","Dates=H","DateFormat=P","Fill=—","Direction=H","UseDPDF=Y")</f>
        <v>4272.1869999999999</v>
      </c>
      <c r="R69" s="13">
        <f>_xll.BDH("SRPT US Equity","ARDR_ADDITIONAL_PAID_IN_CAPITAL","FQ3 2022","FQ3 2022","Currency=USD","Period=FQ","BEST_FPERIOD_OVERRIDE=FQ","FILING_STATUS=MR","SCALING_FORMAT=MLN","Sort=A","Dates=H","DateFormat=P","Fill=—","Direction=H","UseDPDF=Y")</f>
        <v>4235.0280000000002</v>
      </c>
      <c r="S69" s="13">
        <f>_xll.BDH("SRPT US Equity","ARDR_ADDITIONAL_PAID_IN_CAPITAL","FQ4 2022","FQ4 2022","Currency=USD","Period=FQ","BEST_FPERIOD_OVERRIDE=FQ","FILING_STATUS=MR","SCALING_FORMAT=MLN","Sort=A","Dates=H","DateFormat=P","Fill=—","Direction=H","UseDPDF=Y")</f>
        <v>4296.8410000000003</v>
      </c>
      <c r="T69" s="13">
        <f>_xll.BDH("SRPT US Equity","ARDR_ADDITIONAL_PAID_IN_CAPITAL","FQ1 2023","FQ1 2023","Currency=USD","Period=FQ","BEST_FPERIOD_OVERRIDE=FQ","FILING_STATUS=MR","SCALING_FORMAT=MLN","Sort=A","Dates=H","DateFormat=P","Fill=—","Direction=H","UseDPDF=Y")</f>
        <v>5140.1499999999996</v>
      </c>
      <c r="U69" s="13">
        <f>_xll.BDH("SRPT US Equity","ARDR_ADDITIONAL_PAID_IN_CAPITAL","FQ2 2023","FQ2 2023","Currency=USD","Period=FQ","BEST_FPERIOD_OVERRIDE=FQ","FILING_STATUS=MR","SCALING_FORMAT=MLN","Sort=A","Dates=H","DateFormat=P","Fill=—","Direction=H","UseDPDF=Y")</f>
        <v>5193.3879999999999</v>
      </c>
      <c r="V69" s="13">
        <f>_xll.BDH("SRPT US Equity","ARDR_ADDITIONAL_PAID_IN_CAPITAL","FQ3 2023","FQ3 2023","Currency=USD","Period=FQ","BEST_FPERIOD_OVERRIDE=FQ","FILING_STATUS=MR","SCALING_FORMAT=MLN","Sort=A","Dates=H","DateFormat=P","Fill=—","Direction=H","UseDPDF=Y")</f>
        <v>5256.8540000000003</v>
      </c>
      <c r="W69" s="13">
        <f>_xll.BDH("SRPT US Equity","ARDR_ADDITIONAL_PAID_IN_CAPITAL","FQ4 2023","FQ4 2023","Currency=USD","Period=FQ","BEST_FPERIOD_OVERRIDE=FQ","FILING_STATUS=MR","SCALING_FORMAT=MLN","Sort=A","Dates=H","DateFormat=P","Fill=—","Direction=H","UseDPDF=Y")</f>
        <v>5304.6229999999996</v>
      </c>
      <c r="X69" s="13">
        <f>_xll.BDH("SRPT US Equity","ARDR_ADDITIONAL_PAID_IN_CAPITAL","FQ1 2024","FQ1 2024","Currency=USD","Period=FQ","BEST_FPERIOD_OVERRIDE=FQ","FILING_STATUS=MR","SCALING_FORMAT=MLN","Sort=A","Dates=H","DateFormat=P","Fill=—","Direction=H","UseDPDF=Y")</f>
        <v>5371.9679999999998</v>
      </c>
      <c r="Y69" s="13">
        <f>_xll.BDH("SRPT US Equity","ARDR_ADDITIONAL_PAID_IN_CAPITAL","FQ2 2024","FQ2 2024","Currency=USD","Period=FQ","BEST_FPERIOD_OVERRIDE=FQ","FILING_STATUS=MR","SCALING_FORMAT=MLN","Sort=A","Dates=H","DateFormat=P","Fill=—","Direction=H","UseDPDF=Y")</f>
        <v>5481.723</v>
      </c>
      <c r="Z69" s="13">
        <f>_xll.BDH("SRPT US Equity","ARDR_ADDITIONAL_PAID_IN_CAPITAL","FQ3 2024","FQ3 2024","Currency=USD","Period=FQ","BEST_FPERIOD_OVERRIDE=FQ","FILING_STATUS=MR","SCALING_FORMAT=MLN","Sort=A","Dates=H","DateFormat=P","Fill=—","Direction=H","UseDPDF=Y")</f>
        <v>5588.8389999999999</v>
      </c>
      <c r="AA69" s="13">
        <f>_xll.BDH("SRPT US Equity","ARDR_ADDITIONAL_PAID_IN_CAPITAL","FQ4 2024","FQ4 2024","Currency=USD","Period=FQ","BEST_FPERIOD_OVERRIDE=FQ","FILING_STATUS=MR","SCALING_FORMAT=MLN","Sort=A","Dates=H","DateFormat=P","Fill=—","Direction=H","UseDPDF=Y")</f>
        <v>5738.924</v>
      </c>
    </row>
    <row r="70" spans="1:27" x14ac:dyDescent="0.25">
      <c r="A70" s="10" t="s">
        <v>906</v>
      </c>
      <c r="B70" s="10" t="s">
        <v>950</v>
      </c>
      <c r="C70" s="13">
        <f>_xll.BDH("SRPT US Equity","ARDR_ACC_OTH_COMPREHENSIVE_INC","FQ4 2018","FQ4 2018","Currency=USD","Period=FQ","BEST_FPERIOD_OVERRIDE=FQ","FILING_STATUS=MR","SCALING_FORMAT=MLN","Sort=A","Dates=H","DateFormat=P","Fill=—","Direction=H","UseDPDF=Y")</f>
        <v>-9.9000000000000005E-2</v>
      </c>
      <c r="D70" s="13">
        <f>_xll.BDH("SRPT US Equity","ARDR_ACC_OTH_COMPREHENSIVE_INC","FQ1 2019","FQ1 2019","Currency=USD","Period=FQ","BEST_FPERIOD_OVERRIDE=FQ","FILING_STATUS=MR","SCALING_FORMAT=MLN","Sort=A","Dates=H","DateFormat=P","Fill=—","Direction=H","UseDPDF=Y")</f>
        <v>1.9E-2</v>
      </c>
      <c r="E70" s="13">
        <f>_xll.BDH("SRPT US Equity","ARDR_ACC_OTH_COMPREHENSIVE_INC","FQ2 2019","FQ2 2019","Currency=USD","Period=FQ","BEST_FPERIOD_OVERRIDE=FQ","FILING_STATUS=MR","SCALING_FORMAT=MLN","Sort=A","Dates=H","DateFormat=P","Fill=—","Direction=H","UseDPDF=Y")</f>
        <v>8.2000000000000003E-2</v>
      </c>
      <c r="F70" s="13">
        <f>_xll.BDH("SRPT US Equity","ARDR_ACC_OTH_COMPREHENSIVE_INC","FQ3 2019","FQ3 2019","Currency=USD","Period=FQ","BEST_FPERIOD_OVERRIDE=FQ","FILING_STATUS=MR","SCALING_FORMAT=MLN","Sort=A","Dates=H","DateFormat=P","Fill=—","Direction=H","UseDPDF=Y")</f>
        <v>7.4999999999999997E-2</v>
      </c>
      <c r="G70" s="13">
        <f>_xll.BDH("SRPT US Equity","ARDR_ACC_OTH_COMPREHENSIVE_INC","FQ4 2019","FQ4 2019","Currency=USD","Period=FQ","BEST_FPERIOD_OVERRIDE=FQ","FILING_STATUS=MR","SCALING_FORMAT=MLN","Sort=A","Dates=H","DateFormat=P","Fill=—","Direction=H","UseDPDF=Y")</f>
        <v>0.05</v>
      </c>
      <c r="H70" s="13">
        <f>_xll.BDH("SRPT US Equity","ARDR_ACC_OTH_COMPREHENSIVE_INC","FQ1 2020","FQ1 2020","Currency=USD","Period=FQ","BEST_FPERIOD_OVERRIDE=FQ","FILING_STATUS=MR","SCALING_FORMAT=MLN","Sort=A","Dates=H","DateFormat=P","Fill=—","Direction=H","UseDPDF=Y")</f>
        <v>0.624</v>
      </c>
      <c r="I70" s="13">
        <f>_xll.BDH("SRPT US Equity","ARDR_ACC_OTH_COMPREHENSIVE_INC","FQ2 2020","FQ2 2020","Currency=USD","Period=FQ","BEST_FPERIOD_OVERRIDE=FQ","FILING_STATUS=MR","SCALING_FORMAT=MLN","Sort=A","Dates=H","DateFormat=P","Fill=—","Direction=H","UseDPDF=Y")</f>
        <v>6.0000000000000001E-3</v>
      </c>
      <c r="J70" s="13">
        <f>_xll.BDH("SRPT US Equity","ARDR_ACC_OTH_COMPREHENSIVE_INC","FQ3 2020","FQ3 2020","Currency=USD","Period=FQ","BEST_FPERIOD_OVERRIDE=FQ","FILING_STATUS=MR","SCALING_FORMAT=MLN","Sort=A","Dates=H","DateFormat=P","Fill=—","Direction=H","UseDPDF=Y")</f>
        <v>-6.0000000000000001E-3</v>
      </c>
      <c r="K70" s="13">
        <f>_xll.BDH("SRPT US Equity","ARDR_ACC_OTH_COMPREHENSIVE_INC","FQ4 2020","FQ4 2020","Currency=USD","Period=FQ","BEST_FPERIOD_OVERRIDE=FQ","FILING_STATUS=MR","SCALING_FORMAT=MLN","Sort=A","Dates=H","DateFormat=P","Fill=—","Direction=H","UseDPDF=Y")</f>
        <v>3.0000000000000001E-3</v>
      </c>
      <c r="L70" s="13">
        <f>_xll.BDH("SRPT US Equity","ARDR_ACC_OTH_COMPREHENSIVE_INC","FQ1 2021","FQ1 2021","Currency=USD","Period=FQ","BEST_FPERIOD_OVERRIDE=FQ","FILING_STATUS=MR","SCALING_FORMAT=MLN","Sort=A","Dates=H","DateFormat=P","Fill=—","Direction=H","UseDPDF=Y")</f>
        <v>-3.0000000000000001E-3</v>
      </c>
      <c r="M70" s="13">
        <f>_xll.BDH("SRPT US Equity","ARDR_ACC_OTH_COMPREHENSIVE_INC","FQ2 2021","FQ2 2021","Currency=USD","Period=FQ","BEST_FPERIOD_OVERRIDE=FQ","FILING_STATUS=MR","SCALING_FORMAT=MLN","Sort=A","Dates=H","DateFormat=P","Fill=—","Direction=H","UseDPDF=Y")</f>
        <v>2E-3</v>
      </c>
      <c r="N70" s="13">
        <f>_xll.BDH("SRPT US Equity","ARDR_ACC_OTH_COMPREHENSIVE_INC","FQ3 2021","FQ3 2021","Currency=USD","Period=FQ","BEST_FPERIOD_OVERRIDE=FQ","FILING_STATUS=MR","SCALING_FORMAT=MLN","Sort=A","Dates=H","DateFormat=P","Fill=—","Direction=H","UseDPDF=Y")</f>
        <v>-0.02</v>
      </c>
      <c r="O70" s="13">
        <f>_xll.BDH("SRPT US Equity","ARDR_ACC_OTH_COMPREHENSIVE_INC","FQ4 2021","FQ4 2021","Currency=USD","Period=FQ","BEST_FPERIOD_OVERRIDE=FQ","FILING_STATUS=MR","SCALING_FORMAT=MLN","Sort=A","Dates=H","DateFormat=P","Fill=—","Direction=H","UseDPDF=Y")</f>
        <v>-0.02</v>
      </c>
      <c r="P70" s="13">
        <f>_xll.BDH("SRPT US Equity","ARDR_ACC_OTH_COMPREHENSIVE_INC","FQ1 2022","FQ1 2022","Currency=USD","Period=FQ","BEST_FPERIOD_OVERRIDE=FQ","FILING_STATUS=MR","SCALING_FORMAT=MLN","Sort=A","Dates=H","DateFormat=P","Fill=—","Direction=H","UseDPDF=Y")</f>
        <v>-0.30599999999999999</v>
      </c>
      <c r="Q70" s="13">
        <f>_xll.BDH("SRPT US Equity","ARDR_ACC_OTH_COMPREHENSIVE_INC","FQ2 2022","FQ2 2022","Currency=USD","Period=FQ","BEST_FPERIOD_OVERRIDE=FQ","FILING_STATUS=MR","SCALING_FORMAT=MLN","Sort=A","Dates=H","DateFormat=P","Fill=—","Direction=H","UseDPDF=Y")</f>
        <v>-2.4849999999999999</v>
      </c>
      <c r="R70" s="13">
        <f>_xll.BDH("SRPT US Equity","ARDR_ACC_OTH_COMPREHENSIVE_INC","FQ3 2022","FQ3 2022","Currency=USD","Period=FQ","BEST_FPERIOD_OVERRIDE=FQ","FILING_STATUS=MR","SCALING_FORMAT=MLN","Sort=A","Dates=H","DateFormat=P","Fill=—","Direction=H","UseDPDF=Y")</f>
        <v>-3.2050000000000001</v>
      </c>
      <c r="S70" s="13">
        <f>_xll.BDH("SRPT US Equity","ARDR_ACC_OTH_COMPREHENSIVE_INC","FQ4 2022","FQ4 2022","Currency=USD","Period=FQ","BEST_FPERIOD_OVERRIDE=FQ","FILING_STATUS=MR","SCALING_FORMAT=MLN","Sort=A","Dates=H","DateFormat=P","Fill=—","Direction=H","UseDPDF=Y")</f>
        <v>-1.6639999999999999</v>
      </c>
      <c r="T70" s="13">
        <f>_xll.BDH("SRPT US Equity","ARDR_ACC_OTH_COMPREHENSIVE_INC","FQ1 2023","FQ1 2023","Currency=USD","Period=FQ","BEST_FPERIOD_OVERRIDE=FQ","FILING_STATUS=MR","SCALING_FORMAT=MLN","Sort=A","Dates=H","DateFormat=P","Fill=—","Direction=H","UseDPDF=Y")</f>
        <v>-0.41899999999999998</v>
      </c>
      <c r="U70" s="13">
        <f>_xll.BDH("SRPT US Equity","ARDR_ACC_OTH_COMPREHENSIVE_INC","FQ2 2023","FQ2 2023","Currency=USD","Period=FQ","BEST_FPERIOD_OVERRIDE=FQ","FILING_STATUS=MR","SCALING_FORMAT=MLN","Sort=A","Dates=H","DateFormat=P","Fill=—","Direction=H","UseDPDF=Y")</f>
        <v>-1.0549999999999999</v>
      </c>
      <c r="V70" s="13">
        <f>_xll.BDH("SRPT US Equity","ARDR_ACC_OTH_COMPREHENSIVE_INC","FQ3 2023","FQ3 2023","Currency=USD","Period=FQ","BEST_FPERIOD_OVERRIDE=FQ","FILING_STATUS=MR","SCALING_FORMAT=MLN","Sort=A","Dates=H","DateFormat=P","Fill=—","Direction=H","UseDPDF=Y")</f>
        <v>-0.63800000000000001</v>
      </c>
      <c r="W70" s="13">
        <f>_xll.BDH("SRPT US Equity","ARDR_ACC_OTH_COMPREHENSIVE_INC","FQ4 2023","FQ4 2023","Currency=USD","Period=FQ","BEST_FPERIOD_OVERRIDE=FQ","FILING_STATUS=MR","SCALING_FORMAT=MLN","Sort=A","Dates=H","DateFormat=P","Fill=—","Direction=H","UseDPDF=Y")</f>
        <v>0.91800000000000004</v>
      </c>
      <c r="X70" s="13">
        <f>_xll.BDH("SRPT US Equity","ARDR_ACC_OTH_COMPREHENSIVE_INC","FQ1 2024","FQ1 2024","Currency=USD","Period=FQ","BEST_FPERIOD_OVERRIDE=FQ","FILING_STATUS=MR","SCALING_FORMAT=MLN","Sort=A","Dates=H","DateFormat=P","Fill=—","Direction=H","UseDPDF=Y")</f>
        <v>0.69099999999999995</v>
      </c>
      <c r="Y70" s="13">
        <f>_xll.BDH("SRPT US Equity","ARDR_ACC_OTH_COMPREHENSIVE_INC","FQ2 2024","FQ2 2024","Currency=USD","Period=FQ","BEST_FPERIOD_OVERRIDE=FQ","FILING_STATUS=MR","SCALING_FORMAT=MLN","Sort=A","Dates=H","DateFormat=P","Fill=—","Direction=H","UseDPDF=Y")</f>
        <v>-1.03</v>
      </c>
      <c r="Z70" s="13">
        <f>_xll.BDH("SRPT US Equity","ARDR_ACC_OTH_COMPREHENSIVE_INC","FQ3 2024","FQ3 2024","Currency=USD","Period=FQ","BEST_FPERIOD_OVERRIDE=FQ","FILING_STATUS=MR","SCALING_FORMAT=MLN","Sort=A","Dates=H","DateFormat=P","Fill=—","Direction=H","UseDPDF=Y")</f>
        <v>2.2450000000000001</v>
      </c>
      <c r="AA70" s="13">
        <f>_xll.BDH("SRPT US Equity","ARDR_ACC_OTH_COMPREHENSIVE_INC","FQ4 2024","FQ4 2024","Currency=USD","Period=FQ","BEST_FPERIOD_OVERRIDE=FQ","FILING_STATUS=MR","SCALING_FORMAT=MLN","Sort=A","Dates=H","DateFormat=P","Fill=—","Direction=H","UseDPDF=Y")</f>
        <v>-0.218</v>
      </c>
    </row>
    <row r="71" spans="1:27" x14ac:dyDescent="0.25">
      <c r="A71" s="10" t="s">
        <v>908</v>
      </c>
      <c r="B71" s="10" t="s">
        <v>951</v>
      </c>
      <c r="C71" s="13">
        <f>_xll.BDH("SRPT US Equity","ARDR_RETAINED_EARN_ACC_DEFICIT","FQ4 2018","FQ4 2018","Currency=USD","Period=FQ","BEST_FPERIOD_OVERRIDE=FQ","FILING_STATUS=MR","SCALING_FORMAT=MLN","Sort=A","Dates=H","DateFormat=P","Fill=—","Direction=H","UseDPDF=Y")</f>
        <v>-1578.9259999999999</v>
      </c>
      <c r="D71" s="13">
        <f>_xll.BDH("SRPT US Equity","ARDR_RETAINED_EARN_ACC_DEFICIT","FQ1 2019","FQ1 2019","Currency=USD","Period=FQ","BEST_FPERIOD_OVERRIDE=FQ","FILING_STATUS=MR","SCALING_FORMAT=MLN","Sort=A","Dates=H","DateFormat=P","Fill=—","Direction=H","UseDPDF=Y")</f>
        <v>-1655.569</v>
      </c>
      <c r="E71" s="13">
        <f>_xll.BDH("SRPT US Equity","ARDR_RETAINED_EARN_ACC_DEFICIT","FQ2 2019","FQ2 2019","Currency=USD","Period=FQ","BEST_FPERIOD_OVERRIDE=FQ","FILING_STATUS=MR","SCALING_FORMAT=MLN","Sort=A","Dates=H","DateFormat=P","Fill=—","Direction=H","UseDPDF=Y")</f>
        <v>-1931.972</v>
      </c>
      <c r="F71" s="13">
        <f>_xll.BDH("SRPT US Equity","ARDR_RETAINED_EARN_ACC_DEFICIT","FQ3 2019","FQ3 2019","Currency=USD","Period=FQ","BEST_FPERIOD_OVERRIDE=FQ","FILING_STATUS=MR","SCALING_FORMAT=MLN","Sort=A","Dates=H","DateFormat=P","Fill=—","Direction=H","UseDPDF=Y")</f>
        <v>-2058.2979999999998</v>
      </c>
      <c r="G71" s="13">
        <f>_xll.BDH("SRPT US Equity","ARDR_RETAINED_EARN_ACC_DEFICIT","FQ4 2019","FQ4 2019","Currency=USD","Period=FQ","BEST_FPERIOD_OVERRIDE=FQ","FILING_STATUS=MR","SCALING_FORMAT=MLN","Sort=A","Dates=H","DateFormat=P","Fill=—","Direction=H","UseDPDF=Y")</f>
        <v>-2294.0010000000002</v>
      </c>
      <c r="H71" s="13">
        <f>_xll.BDH("SRPT US Equity","ARDR_RETAINED_EARN_ACC_DEFICIT","FQ1 2020","FQ1 2020","Currency=USD","Period=FQ","BEST_FPERIOD_OVERRIDE=FQ","FILING_STATUS=MR","SCALING_FORMAT=MLN","Sort=A","Dates=H","DateFormat=P","Fill=—","Direction=H","UseDPDF=Y")</f>
        <v>-2311.4929999999999</v>
      </c>
      <c r="I71" s="13">
        <f>_xll.BDH("SRPT US Equity","ARDR_RETAINED_EARN_ACC_DEFICIT","FQ2 2020","FQ2 2020","Currency=USD","Period=FQ","BEST_FPERIOD_OVERRIDE=FQ","FILING_STATUS=MR","SCALING_FORMAT=MLN","Sort=A","Dates=H","DateFormat=P","Fill=—","Direction=H","UseDPDF=Y")</f>
        <v>-2462.3130000000001</v>
      </c>
      <c r="J71" s="13">
        <f>_xll.BDH("SRPT US Equity","ARDR_RETAINED_EARN_ACC_DEFICIT","FQ3 2020","FQ3 2020","Currency=USD","Period=FQ","BEST_FPERIOD_OVERRIDE=FQ","FILING_STATUS=MR","SCALING_FORMAT=MLN","Sort=A","Dates=H","DateFormat=P","Fill=—","Direction=H","UseDPDF=Y")</f>
        <v>-2658.8119999999999</v>
      </c>
      <c r="K71" s="13">
        <f>_xll.BDH("SRPT US Equity","ARDR_RETAINED_EARN_ACC_DEFICIT","FQ4 2020","FQ4 2020","Currency=USD","Period=FQ","BEST_FPERIOD_OVERRIDE=FQ","FILING_STATUS=MR","SCALING_FORMAT=MLN","Sort=A","Dates=H","DateFormat=P","Fill=—","Direction=H","UseDPDF=Y")</f>
        <v>-2848.1289999999999</v>
      </c>
      <c r="L71" s="13">
        <f>_xll.BDH("SRPT US Equity","ARDR_RETAINED_EARN_ACC_DEFICIT","FQ1 2021","FQ1 2021","Currency=USD","Period=FQ","BEST_FPERIOD_OVERRIDE=FQ","FILING_STATUS=MR","SCALING_FORMAT=MLN","Sort=A","Dates=H","DateFormat=P","Fill=—","Direction=H","UseDPDF=Y")</f>
        <v>-2955.2179999999998</v>
      </c>
      <c r="M71" s="13">
        <f>_xll.BDH("SRPT US Equity","ARDR_RETAINED_EARN_ACC_DEFICIT","FQ2 2021","FQ2 2021","Currency=USD","Period=FQ","BEST_FPERIOD_OVERRIDE=FQ","FILING_STATUS=MR","SCALING_FORMAT=MLN","Sort=A","Dates=H","DateFormat=P","Fill=—","Direction=H","UseDPDF=Y")</f>
        <v>-3036.623</v>
      </c>
      <c r="N71" s="13">
        <f>_xll.BDH("SRPT US Equity","ARDR_RETAINED_EARN_ACC_DEFICIT","FQ3 2021","FQ3 2021","Currency=USD","Period=FQ","BEST_FPERIOD_OVERRIDE=FQ","FILING_STATUS=MR","SCALING_FORMAT=MLN","Sort=A","Dates=H","DateFormat=P","Fill=—","Direction=H","UseDPDF=Y")</f>
        <v>-3084.7669999999998</v>
      </c>
      <c r="O71" s="13">
        <f>_xll.BDH("SRPT US Equity","ARDR_RETAINED_EARN_ACC_DEFICIT","FQ4 2021","FQ4 2021","Currency=USD","Period=FQ","BEST_FPERIOD_OVERRIDE=FQ","FILING_STATUS=MR","SCALING_FORMAT=MLN","Sort=A","Dates=H","DateFormat=P","Fill=—","Direction=H","UseDPDF=Y")</f>
        <v>-3206.748</v>
      </c>
      <c r="P71" s="13">
        <f>_xll.BDH("SRPT US Equity","ARDR_RETAINED_EARN_ACC_DEFICIT","FQ1 2022","FQ1 2022","Currency=USD","Period=FQ","BEST_FPERIOD_OVERRIDE=FQ","FILING_STATUS=MR","SCALING_FORMAT=MLN","Sort=A","Dates=H","DateFormat=P","Fill=—","Direction=H","UseDPDF=Y")</f>
        <v>-3311.7730000000001</v>
      </c>
      <c r="Q71" s="13">
        <f>_xll.BDH("SRPT US Equity","ARDR_RETAINED_EARN_ACC_DEFICIT","FQ2 2022","FQ2 2022","Currency=USD","Period=FQ","BEST_FPERIOD_OVERRIDE=FQ","FILING_STATUS=MR","SCALING_FORMAT=MLN","Sort=A","Dates=H","DateFormat=P","Fill=—","Direction=H","UseDPDF=Y")</f>
        <v>-3543.2539999999999</v>
      </c>
      <c r="R71" s="13">
        <f>_xll.BDH("SRPT US Equity","ARDR_RETAINED_EARN_ACC_DEFICIT","FQ3 2022","FQ3 2022","Currency=USD","Period=FQ","BEST_FPERIOD_OVERRIDE=FQ","FILING_STATUS=MR","SCALING_FORMAT=MLN","Sort=A","Dates=H","DateFormat=P","Fill=—","Direction=H","UseDPDF=Y")</f>
        <v>-3800.9920000000002</v>
      </c>
      <c r="S71" s="13">
        <f>_xll.BDH("SRPT US Equity","ARDR_RETAINED_EARN_ACC_DEFICIT","FQ4 2022","FQ4 2022","Currency=USD","Period=FQ","BEST_FPERIOD_OVERRIDE=FQ","FILING_STATUS=MR","SCALING_FORMAT=MLN","Sort=A","Dates=H","DateFormat=P","Fill=—","Direction=H","UseDPDF=Y")</f>
        <v>-3910.2359999999999</v>
      </c>
      <c r="T71" s="13">
        <f>_xll.BDH("SRPT US Equity","ARDR_RETAINED_EARN_ACC_DEFICIT","FQ1 2023","FQ1 2023","Currency=USD","Period=FQ","BEST_FPERIOD_OVERRIDE=FQ","FILING_STATUS=MR","SCALING_FORMAT=MLN","Sort=A","Dates=H","DateFormat=P","Fill=—","Direction=H","UseDPDF=Y")</f>
        <v>-4426.991</v>
      </c>
      <c r="U71" s="13">
        <f>_xll.BDH("SRPT US Equity","ARDR_RETAINED_EARN_ACC_DEFICIT","FQ2 2023","FQ2 2023","Currency=USD","Period=FQ","BEST_FPERIOD_OVERRIDE=FQ","FILING_STATUS=MR","SCALING_FORMAT=MLN","Sort=A","Dates=H","DateFormat=P","Fill=—","Direction=H","UseDPDF=Y")</f>
        <v>-4450.9309999999996</v>
      </c>
      <c r="V71" s="13">
        <f>_xll.BDH("SRPT US Equity","ARDR_RETAINED_EARN_ACC_DEFICIT","FQ3 2023","FQ3 2023","Currency=USD","Period=FQ","BEST_FPERIOD_OVERRIDE=FQ","FILING_STATUS=MR","SCALING_FORMAT=MLN","Sort=A","Dates=H","DateFormat=P","Fill=—","Direction=H","UseDPDF=Y")</f>
        <v>-4491.8680000000004</v>
      </c>
      <c r="W71" s="13">
        <f>_xll.BDH("SRPT US Equity","ARDR_RETAINED_EARN_ACC_DEFICIT","FQ4 2023","FQ4 2023","Currency=USD","Period=FQ","BEST_FPERIOD_OVERRIDE=FQ","FILING_STATUS=MR","SCALING_FORMAT=MLN","Sort=A","Dates=H","DateFormat=P","Fill=—","Direction=H","UseDPDF=Y")</f>
        <v>-4446.2129999999997</v>
      </c>
      <c r="X71" s="13">
        <f>_xll.BDH("SRPT US Equity","ARDR_RETAINED_EARN_ACC_DEFICIT","FQ1 2024","FQ1 2024","Currency=USD","Period=FQ","BEST_FPERIOD_OVERRIDE=FQ","FILING_STATUS=MR","SCALING_FORMAT=MLN","Sort=A","Dates=H","DateFormat=P","Fill=—","Direction=H","UseDPDF=Y")</f>
        <v>-4410.0940000000001</v>
      </c>
      <c r="Y71" s="13">
        <f>_xll.BDH("SRPT US Equity","ARDR_RETAINED_EARN_ACC_DEFICIT","FQ2 2024","FQ2 2024","Currency=USD","Period=FQ","BEST_FPERIOD_OVERRIDE=FQ","FILING_STATUS=MR","SCALING_FORMAT=MLN","Sort=A","Dates=H","DateFormat=P","Fill=—","Direction=H","UseDPDF=Y")</f>
        <v>-4403.634</v>
      </c>
      <c r="Z71" s="13">
        <f>_xll.BDH("SRPT US Equity","ARDR_RETAINED_EARN_ACC_DEFICIT","FQ3 2024","FQ3 2024","Currency=USD","Period=FQ","BEST_FPERIOD_OVERRIDE=FQ","FILING_STATUS=MR","SCALING_FORMAT=MLN","Sort=A","Dates=H","DateFormat=P","Fill=—","Direction=H","UseDPDF=Y")</f>
        <v>-4370.0230000000001</v>
      </c>
      <c r="AA71" s="13">
        <f>_xll.BDH("SRPT US Equity","ARDR_RETAINED_EARN_ACC_DEFICIT","FQ4 2024","FQ4 2024","Currency=USD","Period=FQ","BEST_FPERIOD_OVERRIDE=FQ","FILING_STATUS=MR","SCALING_FORMAT=MLN","Sort=A","Dates=H","DateFormat=P","Fill=—","Direction=H","UseDPDF=Y")</f>
        <v>-4210.9740000000002</v>
      </c>
    </row>
    <row r="72" spans="1:27" x14ac:dyDescent="0.25">
      <c r="A72" s="10" t="s">
        <v>821</v>
      </c>
      <c r="B72" s="10" t="s">
        <v>952</v>
      </c>
      <c r="C72" s="13">
        <f>_xll.BDH("SRPT US Equity","ARDR_SHARES_OUTSTANDING","FQ4 2018","FQ4 2018","Currency=USD","Period=FQ","BEST_FPERIOD_OVERRIDE=FQ","FILING_STATUS=MR","Sort=A","Dates=H","DateFormat=P","Fill=—","Direction=H","UseDPDF=Y")</f>
        <v>71.072000000000003</v>
      </c>
      <c r="D72" s="13">
        <f>_xll.BDH("SRPT US Equity","ARDR_SHARES_OUTSTANDING","FQ1 2019","FQ1 2019","Currency=USD","Period=FQ","BEST_FPERIOD_OVERRIDE=FQ","FILING_STATUS=MR","Sort=A","Dates=H","DateFormat=P","Fill=—","Direction=H","UseDPDF=Y")</f>
        <v>74.134</v>
      </c>
      <c r="E72" s="13">
        <f>_xll.BDH("SRPT US Equity","ARDR_SHARES_OUTSTANDING","FQ2 2019","FQ2 2019","Currency=USD","Period=FQ","BEST_FPERIOD_OVERRIDE=FQ","FILING_STATUS=MR","Sort=A","Dates=H","DateFormat=P","Fill=—","Direction=H","UseDPDF=Y")</f>
        <v>74.328000000000003</v>
      </c>
      <c r="F72" s="13">
        <f>_xll.BDH("SRPT US Equity","ARDR_SHARES_OUTSTANDING","FQ3 2019","FQ3 2019","Currency=USD","Period=FQ","BEST_FPERIOD_OVERRIDE=FQ","FILING_STATUS=MR","Sort=A","Dates=H","DateFormat=P","Fill=—","Direction=H","UseDPDF=Y")</f>
        <v>74.504999999999995</v>
      </c>
      <c r="G72" s="13">
        <f>_xll.BDH("SRPT US Equity","ARDR_SHARES_OUTSTANDING","FQ4 2019","FQ4 2019","Currency=USD","Period=FQ","BEST_FPERIOD_OVERRIDE=FQ","FILING_STATUS=MR","Sort=A","Dates=H","DateFormat=P","Fill=—","Direction=H","UseDPDF=Y")</f>
        <v>75.185000000000002</v>
      </c>
      <c r="H72" s="13">
        <f>_xll.BDH("SRPT US Equity","ARDR_SHARES_OUTSTANDING","FQ1 2020","FQ1 2020","Currency=USD","Period=FQ","BEST_FPERIOD_OVERRIDE=FQ","FILING_STATUS=MR","Sort=A","Dates=H","DateFormat=P","Fill=—","Direction=H","UseDPDF=Y")</f>
        <v>77.957999999999998</v>
      </c>
      <c r="I72" s="13">
        <f>_xll.BDH("SRPT US Equity","ARDR_SHARES_OUTSTANDING","FQ2 2020","FQ2 2020","Currency=USD","Period=FQ","BEST_FPERIOD_OVERRIDE=FQ","FILING_STATUS=MR","Sort=A","Dates=H","DateFormat=P","Fill=—","Direction=H","UseDPDF=Y")</f>
        <v>78.432000000000002</v>
      </c>
      <c r="J72" s="13">
        <f>_xll.BDH("SRPT US Equity","ARDR_SHARES_OUTSTANDING","FQ3 2020","FQ3 2020","Currency=USD","Period=FQ","BEST_FPERIOD_OVERRIDE=FQ","FILING_STATUS=MR","Sort=A","Dates=H","DateFormat=P","Fill=—","Direction=H","UseDPDF=Y")</f>
        <v>78.790000000000006</v>
      </c>
      <c r="K72" s="13">
        <f>_xll.BDH("SRPT US Equity","ARDR_SHARES_OUTSTANDING","FQ4 2020","FQ4 2020","Currency=USD","Period=FQ","BEST_FPERIOD_OVERRIDE=FQ","FILING_STATUS=MR","Sort=A","Dates=H","DateFormat=P","Fill=—","Direction=H","UseDPDF=Y")</f>
        <v>79.373999999999995</v>
      </c>
      <c r="L72" s="13">
        <f>_xll.BDH("SRPT US Equity","ARDR_SHARES_OUTSTANDING","FQ1 2021","FQ1 2021","Currency=USD","Period=FQ","BEST_FPERIOD_OVERRIDE=FQ","FILING_STATUS=MR","Sort=A","Dates=H","DateFormat=P","Fill=—","Direction=H","UseDPDF=Y")</f>
        <v>79.748000000000005</v>
      </c>
      <c r="M72" s="13">
        <f>_xll.BDH("SRPT US Equity","ARDR_SHARES_OUTSTANDING","FQ2 2021","FQ2 2021","Currency=USD","Period=FQ","BEST_FPERIOD_OVERRIDE=FQ","FILING_STATUS=MR","Sort=A","Dates=H","DateFormat=P","Fill=—","Direction=H","UseDPDF=Y")</f>
        <v>79.83</v>
      </c>
      <c r="N72" s="13">
        <f>_xll.BDH("SRPT US Equity","ARDR_SHARES_OUTSTANDING","FQ3 2021","FQ3 2021","Currency=USD","Period=FQ","BEST_FPERIOD_OVERRIDE=FQ","FILING_STATUS=MR","Sort=A","Dates=H","DateFormat=P","Fill=—","Direction=H","UseDPDF=Y")</f>
        <v>79.959000000000003</v>
      </c>
      <c r="O72" s="13">
        <f>_xll.BDH("SRPT US Equity","ARDR_SHARES_OUTSTANDING","FQ4 2021","FQ4 2021","Currency=USD","Period=FQ","BEST_FPERIOD_OVERRIDE=FQ","FILING_STATUS=MR","Sort=A","Dates=H","DateFormat=P","Fill=—","Direction=H","UseDPDF=Y")</f>
        <v>87.126999999999995</v>
      </c>
      <c r="P72" s="13">
        <f>_xll.BDH("SRPT US Equity","ARDR_SHARES_OUTSTANDING","FQ1 2022","FQ1 2022","Currency=USD","Period=FQ","BEST_FPERIOD_OVERRIDE=FQ","FILING_STATUS=MR","Sort=A","Dates=H","DateFormat=P","Fill=—","Direction=H","UseDPDF=Y")</f>
        <v>87.495999999999995</v>
      </c>
      <c r="Q72" s="13">
        <f>_xll.BDH("SRPT US Equity","ARDR_SHARES_OUTSTANDING","FQ2 2022","FQ2 2022","Currency=USD","Period=FQ","BEST_FPERIOD_OVERRIDE=FQ","FILING_STATUS=MR","Sort=A","Dates=H","DateFormat=P","Fill=—","Direction=H","UseDPDF=Y")</f>
        <v>87.534999999999997</v>
      </c>
      <c r="R72" s="13">
        <f>_xll.BDH("SRPT US Equity","ARDR_SHARES_OUTSTANDING","FQ3 2022","FQ3 2022","Currency=USD","Period=FQ","BEST_FPERIOD_OVERRIDE=FQ","FILING_STATUS=MR","Sort=A","Dates=H","DateFormat=P","Fill=—","Direction=H","UseDPDF=Y")</f>
        <v>87.766199999999998</v>
      </c>
      <c r="S72" s="13">
        <f>_xll.BDH("SRPT US Equity","ARDR_SHARES_OUTSTANDING","FQ4 2022","FQ4 2022","Currency=USD","Period=FQ","BEST_FPERIOD_OVERRIDE=FQ","FILING_STATUS=MR","Sort=A","Dates=H","DateFormat=P","Fill=—","Direction=H","UseDPDF=Y")</f>
        <v>87.95</v>
      </c>
      <c r="T72" s="13">
        <f>_xll.BDH("SRPT US Equity","ARDR_SHARES_OUTSTANDING","FQ1 2023","FQ1 2023","Currency=USD","Period=FQ","BEST_FPERIOD_OVERRIDE=FQ","FILING_STATUS=MR","Sort=A","Dates=H","DateFormat=P","Fill=—","Direction=H","UseDPDF=Y")</f>
        <v>93.14</v>
      </c>
      <c r="U72" s="13">
        <f>_xll.BDH("SRPT US Equity","ARDR_SHARES_OUTSTANDING","FQ2 2023","FQ2 2023","Currency=USD","Period=FQ","BEST_FPERIOD_OVERRIDE=FQ","FILING_STATUS=MR","Sort=A","Dates=H","DateFormat=P","Fill=—","Direction=H","UseDPDF=Y")</f>
        <v>93.274000000000001</v>
      </c>
      <c r="V72" s="13">
        <f>_xll.BDH("SRPT US Equity","ARDR_SHARES_OUTSTANDING","FQ3 2023","FQ3 2023","Currency=USD","Period=FQ","BEST_FPERIOD_OVERRIDE=FQ","FILING_STATUS=MR","Sort=A","Dates=H","DateFormat=P","Fill=—","Direction=H","UseDPDF=Y")</f>
        <v>93.537000000000006</v>
      </c>
      <c r="W72" s="13">
        <f>_xll.BDH("SRPT US Equity","ARDR_SHARES_OUTSTANDING","FQ4 2023","FQ4 2023","Currency=USD","Period=FQ","BEST_FPERIOD_OVERRIDE=FQ","FILING_STATUS=MR","Sort=A","Dates=H","DateFormat=P","Fill=—","Direction=H","UseDPDF=Y")</f>
        <v>93.731999999999999</v>
      </c>
      <c r="X72" s="13">
        <f>_xll.BDH("SRPT US Equity","ARDR_SHARES_OUTSTANDING","FQ1 2024","FQ1 2024","Currency=USD","Period=FQ","BEST_FPERIOD_OVERRIDE=FQ","FILING_STATUS=MR","Sort=A","Dates=H","DateFormat=P","Fill=—","Direction=H","UseDPDF=Y")</f>
        <v>94.49</v>
      </c>
      <c r="Y72" s="13">
        <f>_xll.BDH("SRPT US Equity","ARDR_SHARES_OUTSTANDING","FQ2 2024","FQ2 2024","Currency=USD","Period=FQ","BEST_FPERIOD_OVERRIDE=FQ","FILING_STATUS=MR","Sort=A","Dates=H","DateFormat=P","Fill=—","Direction=H","UseDPDF=Y")</f>
        <v>95.283000000000001</v>
      </c>
      <c r="Z72" s="13">
        <f>_xll.BDH("SRPT US Equity","ARDR_SHARES_OUTSTANDING","FQ3 2024","FQ3 2024","Currency=USD","Period=FQ","BEST_FPERIOD_OVERRIDE=FQ","FILING_STATUS=MR","Sort=A","Dates=H","DateFormat=P","Fill=—","Direction=H","UseDPDF=Y")</f>
        <v>95.492999999999995</v>
      </c>
      <c r="AA72" s="13">
        <f>_xll.BDH("SRPT US Equity","ARDR_SHARES_OUTSTANDING","FQ4 2024","FQ4 2024","Currency=USD","Period=FQ","BEST_FPERIOD_OVERRIDE=FQ","FILING_STATUS=MR","Sort=A","Dates=H","DateFormat=P","Fill=—","Direction=H","UseDPDF=Y")</f>
        <v>96.9</v>
      </c>
    </row>
    <row r="73" spans="1:27" x14ac:dyDescent="0.25">
      <c r="A73" s="10" t="s">
        <v>911</v>
      </c>
      <c r="B73" s="10" t="s">
        <v>953</v>
      </c>
      <c r="C73" s="14">
        <f>_xll.BDH("SRPT US Equity","ARDR_PAR_VALUE","FQ4 2018","FQ4 2018","Currency=USD","Period=FQ","BEST_FPERIOD_OVERRIDE=FQ","FILING_STATUS=MR","Sort=A","Dates=H","DateFormat=P","Fill=—","Direction=H","UseDPDF=Y")</f>
        <v>1E-4</v>
      </c>
      <c r="D73" s="14">
        <f>_xll.BDH("SRPT US Equity","ARDR_PAR_VALUE","FQ1 2019","FQ1 2019","Currency=USD","Period=FQ","BEST_FPERIOD_OVERRIDE=FQ","FILING_STATUS=MR","Sort=A","Dates=H","DateFormat=P","Fill=—","Direction=H","UseDPDF=Y")</f>
        <v>1E-4</v>
      </c>
      <c r="E73" s="14">
        <f>_xll.BDH("SRPT US Equity","ARDR_PAR_VALUE","FQ2 2019","FQ2 2019","Currency=USD","Period=FQ","BEST_FPERIOD_OVERRIDE=FQ","FILING_STATUS=MR","Sort=A","Dates=H","DateFormat=P","Fill=—","Direction=H","UseDPDF=Y")</f>
        <v>1E-4</v>
      </c>
      <c r="F73" s="14">
        <f>_xll.BDH("SRPT US Equity","ARDR_PAR_VALUE","FQ3 2019","FQ3 2019","Currency=USD","Period=FQ","BEST_FPERIOD_OVERRIDE=FQ","FILING_STATUS=MR","Sort=A","Dates=H","DateFormat=P","Fill=—","Direction=H","UseDPDF=Y")</f>
        <v>1E-4</v>
      </c>
      <c r="G73" s="14">
        <f>_xll.BDH("SRPT US Equity","ARDR_PAR_VALUE","FQ4 2019","FQ4 2019","Currency=USD","Period=FQ","BEST_FPERIOD_OVERRIDE=FQ","FILING_STATUS=MR","Sort=A","Dates=H","DateFormat=P","Fill=—","Direction=H","UseDPDF=Y")</f>
        <v>1E-4</v>
      </c>
      <c r="H73" s="14">
        <f>_xll.BDH("SRPT US Equity","ARDR_PAR_VALUE","FQ1 2020","FQ1 2020","Currency=USD","Period=FQ","BEST_FPERIOD_OVERRIDE=FQ","FILING_STATUS=MR","Sort=A","Dates=H","DateFormat=P","Fill=—","Direction=H","UseDPDF=Y")</f>
        <v>1E-4</v>
      </c>
      <c r="I73" s="14">
        <f>_xll.BDH("SRPT US Equity","ARDR_PAR_VALUE","FQ2 2020","FQ2 2020","Currency=USD","Period=FQ","BEST_FPERIOD_OVERRIDE=FQ","FILING_STATUS=MR","Sort=A","Dates=H","DateFormat=P","Fill=—","Direction=H","UseDPDF=Y")</f>
        <v>1E-4</v>
      </c>
      <c r="J73" s="14">
        <f>_xll.BDH("SRPT US Equity","ARDR_PAR_VALUE","FQ3 2020","FQ3 2020","Currency=USD","Period=FQ","BEST_FPERIOD_OVERRIDE=FQ","FILING_STATUS=MR","Sort=A","Dates=H","DateFormat=P","Fill=—","Direction=H","UseDPDF=Y")</f>
        <v>1E-4</v>
      </c>
      <c r="K73" s="14">
        <f>_xll.BDH("SRPT US Equity","ARDR_PAR_VALUE","FQ4 2020","FQ4 2020","Currency=USD","Period=FQ","BEST_FPERIOD_OVERRIDE=FQ","FILING_STATUS=MR","Sort=A","Dates=H","DateFormat=P","Fill=—","Direction=H","UseDPDF=Y")</f>
        <v>1E-4</v>
      </c>
      <c r="L73" s="14">
        <f>_xll.BDH("SRPT US Equity","ARDR_PAR_VALUE","FQ1 2021","FQ1 2021","Currency=USD","Period=FQ","BEST_FPERIOD_OVERRIDE=FQ","FILING_STATUS=MR","Sort=A","Dates=H","DateFormat=P","Fill=—","Direction=H","UseDPDF=Y")</f>
        <v>1E-4</v>
      </c>
      <c r="M73" s="14">
        <f>_xll.BDH("SRPT US Equity","ARDR_PAR_VALUE","FQ2 2021","FQ2 2021","Currency=USD","Period=FQ","BEST_FPERIOD_OVERRIDE=FQ","FILING_STATUS=MR","Sort=A","Dates=H","DateFormat=P","Fill=—","Direction=H","UseDPDF=Y")</f>
        <v>1E-4</v>
      </c>
      <c r="N73" s="14">
        <f>_xll.BDH("SRPT US Equity","ARDR_PAR_VALUE","FQ3 2021","FQ3 2021","Currency=USD","Period=FQ","BEST_FPERIOD_OVERRIDE=FQ","FILING_STATUS=MR","Sort=A","Dates=H","DateFormat=P","Fill=—","Direction=H","UseDPDF=Y")</f>
        <v>1E-4</v>
      </c>
      <c r="O73" s="14">
        <f>_xll.BDH("SRPT US Equity","ARDR_PAR_VALUE","FQ4 2021","FQ4 2021","Currency=USD","Period=FQ","BEST_FPERIOD_OVERRIDE=FQ","FILING_STATUS=MR","Sort=A","Dates=H","DateFormat=P","Fill=—","Direction=H","UseDPDF=Y")</f>
        <v>1E-4</v>
      </c>
      <c r="P73" s="14">
        <f>_xll.BDH("SRPT US Equity","ARDR_PAR_VALUE","FQ1 2022","FQ1 2022","Currency=USD","Period=FQ","BEST_FPERIOD_OVERRIDE=FQ","FILING_STATUS=MR","Sort=A","Dates=H","DateFormat=P","Fill=—","Direction=H","UseDPDF=Y")</f>
        <v>1E-4</v>
      </c>
      <c r="Q73" s="14">
        <f>_xll.BDH("SRPT US Equity","ARDR_PAR_VALUE","FQ2 2022","FQ2 2022","Currency=USD","Period=FQ","BEST_FPERIOD_OVERRIDE=FQ","FILING_STATUS=MR","Sort=A","Dates=H","DateFormat=P","Fill=—","Direction=H","UseDPDF=Y")</f>
        <v>1E-4</v>
      </c>
      <c r="R73" s="14">
        <f>_xll.BDH("SRPT US Equity","ARDR_PAR_VALUE","FQ3 2022","FQ3 2022","Currency=USD","Period=FQ","BEST_FPERIOD_OVERRIDE=FQ","FILING_STATUS=MR","Sort=A","Dates=H","DateFormat=P","Fill=—","Direction=H","UseDPDF=Y")</f>
        <v>1E-4</v>
      </c>
      <c r="S73" s="14">
        <f>_xll.BDH("SRPT US Equity","ARDR_PAR_VALUE","FQ4 2022","FQ4 2022","Currency=USD","Period=FQ","BEST_FPERIOD_OVERRIDE=FQ","FILING_STATUS=MR","Sort=A","Dates=H","DateFormat=P","Fill=—","Direction=H","UseDPDF=Y")</f>
        <v>1E-4</v>
      </c>
      <c r="T73" s="14">
        <f>_xll.BDH("SRPT US Equity","ARDR_PAR_VALUE","FQ1 2023","FQ1 2023","Currency=USD","Period=FQ","BEST_FPERIOD_OVERRIDE=FQ","FILING_STATUS=MR","Sort=A","Dates=H","DateFormat=P","Fill=—","Direction=H","UseDPDF=Y")</f>
        <v>1E-4</v>
      </c>
      <c r="U73" s="14">
        <f>_xll.BDH("SRPT US Equity","ARDR_PAR_VALUE","FQ2 2023","FQ2 2023","Currency=USD","Period=FQ","BEST_FPERIOD_OVERRIDE=FQ","FILING_STATUS=MR","Sort=A","Dates=H","DateFormat=P","Fill=—","Direction=H","UseDPDF=Y")</f>
        <v>1E-4</v>
      </c>
      <c r="V73" s="14">
        <f>_xll.BDH("SRPT US Equity","ARDR_PAR_VALUE","FQ3 2023","FQ3 2023","Currency=USD","Period=FQ","BEST_FPERIOD_OVERRIDE=FQ","FILING_STATUS=MR","Sort=A","Dates=H","DateFormat=P","Fill=—","Direction=H","UseDPDF=Y")</f>
        <v>1E-4</v>
      </c>
      <c r="W73" s="14">
        <f>_xll.BDH("SRPT US Equity","ARDR_PAR_VALUE","FQ4 2023","FQ4 2023","Currency=USD","Period=FQ","BEST_FPERIOD_OVERRIDE=FQ","FILING_STATUS=MR","Sort=A","Dates=H","DateFormat=P","Fill=—","Direction=H","UseDPDF=Y")</f>
        <v>1E-4</v>
      </c>
      <c r="X73" s="14">
        <f>_xll.BDH("SRPT US Equity","ARDR_PAR_VALUE","FQ1 2024","FQ1 2024","Currency=USD","Period=FQ","BEST_FPERIOD_OVERRIDE=FQ","FILING_STATUS=MR","Sort=A","Dates=H","DateFormat=P","Fill=—","Direction=H","UseDPDF=Y")</f>
        <v>1E-4</v>
      </c>
      <c r="Y73" s="14" t="str">
        <f>_xll.BDH("SRPT US Equity","ARDR_PAR_VALUE","FQ2 2024","FQ2 2024","Currency=USD","Period=FQ","BEST_FPERIOD_OVERRIDE=FQ","FILING_STATUS=MR","Sort=A","Dates=H","DateFormat=P","Fill=—","Direction=H","UseDPDF=Y")</f>
        <v>—</v>
      </c>
      <c r="Z73" s="14" t="str">
        <f>_xll.BDH("SRPT US Equity","ARDR_PAR_VALUE","FQ3 2024","FQ3 2024","Currency=USD","Period=FQ","BEST_FPERIOD_OVERRIDE=FQ","FILING_STATUS=MR","Sort=A","Dates=H","DateFormat=P","Fill=—","Direction=H","UseDPDF=Y")</f>
        <v>—</v>
      </c>
      <c r="AA73" s="14">
        <f>_xll.BDH("SRPT US Equity","ARDR_PAR_VALUE","FQ4 2024","FQ4 2024","Currency=USD","Period=FQ","BEST_FPERIOD_OVERRIDE=FQ","FILING_STATUS=MR","Sort=A","Dates=H","DateFormat=P","Fill=—","Direction=H","UseDPDF=Y")</f>
        <v>1E-4</v>
      </c>
    </row>
    <row r="74" spans="1:27" x14ac:dyDescent="0.25">
      <c r="A74" s="10" t="s">
        <v>954</v>
      </c>
      <c r="B74" s="10" t="s">
        <v>955</v>
      </c>
      <c r="C74" s="13">
        <f>_xll.BDH("SRPT US Equity","ARDR_RAW_MATERIAL","FQ4 2018","FQ4 2018","Currency=USD","Period=FQ","BEST_FPERIOD_OVERRIDE=FQ","FILING_STATUS=MR","SCALING_FORMAT=MLN","Sort=A","Dates=H","DateFormat=P","Fill=—","Direction=H","UseDPDF=Y")</f>
        <v>71.313000000000002</v>
      </c>
      <c r="D74" s="13">
        <f>_xll.BDH("SRPT US Equity","ARDR_RAW_MATERIAL","FQ1 2019","FQ1 2019","Currency=USD","Period=FQ","BEST_FPERIOD_OVERRIDE=FQ","FILING_STATUS=MR","SCALING_FORMAT=MLN","Sort=A","Dates=H","DateFormat=P","Fill=—","Direction=H","UseDPDF=Y")</f>
        <v>70.271000000000001</v>
      </c>
      <c r="E74" s="13">
        <f>_xll.BDH("SRPT US Equity","ARDR_RAW_MATERIAL","FQ2 2019","FQ2 2019","Currency=USD","Period=FQ","BEST_FPERIOD_OVERRIDE=FQ","FILING_STATUS=MR","SCALING_FORMAT=MLN","Sort=A","Dates=H","DateFormat=P","Fill=—","Direction=H","UseDPDF=Y")</f>
        <v>72.126000000000005</v>
      </c>
      <c r="F74" s="13">
        <f>_xll.BDH("SRPT US Equity","ARDR_RAW_MATERIAL","FQ3 2019","FQ3 2019","Currency=USD","Period=FQ","BEST_FPERIOD_OVERRIDE=FQ","FILING_STATUS=MR","SCALING_FORMAT=MLN","Sort=A","Dates=H","DateFormat=P","Fill=—","Direction=H","UseDPDF=Y")</f>
        <v>74.076999999999998</v>
      </c>
      <c r="G74" s="13">
        <f>_xll.BDH("SRPT US Equity","ARDR_RAW_MATERIAL","FQ4 2019","FQ4 2019","Currency=USD","Period=FQ","BEST_FPERIOD_OVERRIDE=FQ","FILING_STATUS=MR","SCALING_FORMAT=MLN","Sort=A","Dates=H","DateFormat=P","Fill=—","Direction=H","UseDPDF=Y")</f>
        <v>82.03</v>
      </c>
      <c r="H74" s="13">
        <f>_xll.BDH("SRPT US Equity","ARDR_RAW_MATERIAL","FQ1 2020","FQ1 2020","Currency=USD","Period=FQ","BEST_FPERIOD_OVERRIDE=FQ","FILING_STATUS=MR","SCALING_FORMAT=MLN","Sort=A","Dates=H","DateFormat=P","Fill=—","Direction=H","UseDPDF=Y")</f>
        <v>81.736000000000004</v>
      </c>
      <c r="I74" s="13">
        <f>_xll.BDH("SRPT US Equity","ARDR_RAW_MATERIAL","FQ2 2020","FQ2 2020","Currency=USD","Period=FQ","BEST_FPERIOD_OVERRIDE=FQ","FILING_STATUS=MR","SCALING_FORMAT=MLN","Sort=A","Dates=H","DateFormat=P","Fill=—","Direction=H","UseDPDF=Y")</f>
        <v>75.980999999999995</v>
      </c>
      <c r="J74" s="13">
        <f>_xll.BDH("SRPT US Equity","ARDR_RAW_MATERIAL","FQ3 2020","FQ3 2020","Currency=USD","Period=FQ","BEST_FPERIOD_OVERRIDE=FQ","FILING_STATUS=MR","SCALING_FORMAT=MLN","Sort=A","Dates=H","DateFormat=P","Fill=—","Direction=H","UseDPDF=Y")</f>
        <v>80.135000000000005</v>
      </c>
      <c r="K74" s="13">
        <f>_xll.BDH("SRPT US Equity","ARDR_RAW_MATERIAL","FQ4 2020","FQ4 2020","Currency=USD","Period=FQ","BEST_FPERIOD_OVERRIDE=FQ","FILING_STATUS=MR","SCALING_FORMAT=MLN","Sort=A","Dates=H","DateFormat=P","Fill=—","Direction=H","UseDPDF=Y")</f>
        <v>71.716999999999999</v>
      </c>
      <c r="L74" s="13">
        <f>_xll.BDH("SRPT US Equity","ARDR_RAW_MATERIAL","FQ1 2021","FQ1 2021","Currency=USD","Period=FQ","BEST_FPERIOD_OVERRIDE=FQ","FILING_STATUS=MR","SCALING_FORMAT=MLN","Sort=A","Dates=H","DateFormat=P","Fill=—","Direction=H","UseDPDF=Y")</f>
        <v>62.244</v>
      </c>
      <c r="M74" s="13">
        <f>_xll.BDH("SRPT US Equity","ARDR_RAW_MATERIAL","FQ2 2021","FQ2 2021","Currency=USD","Period=FQ","BEST_FPERIOD_OVERRIDE=FQ","FILING_STATUS=MR","SCALING_FORMAT=MLN","Sort=A","Dates=H","DateFormat=P","Fill=—","Direction=H","UseDPDF=Y")</f>
        <v>47.774000000000001</v>
      </c>
      <c r="N74" s="13">
        <f>_xll.BDH("SRPT US Equity","ARDR_RAW_MATERIAL","FQ3 2021","FQ3 2021","Currency=USD","Period=FQ","BEST_FPERIOD_OVERRIDE=FQ","FILING_STATUS=MR","SCALING_FORMAT=MLN","Sort=A","Dates=H","DateFormat=P","Fill=—","Direction=H","UseDPDF=Y")</f>
        <v>40.155999999999999</v>
      </c>
      <c r="O74" s="13" t="str">
        <f>_xll.BDH("SRPT US Equity","ARDR_RAW_MATERIAL","FQ4 2021","FQ4 2021","Currency=USD","Period=FQ","BEST_FPERIOD_OVERRIDE=FQ","FILING_STATUS=MR","SCALING_FORMAT=MLN","Sort=A","Dates=H","DateFormat=P","Fill=—","Direction=H","UseDPDF=Y")</f>
        <v>—</v>
      </c>
      <c r="P74" s="13">
        <f>_xll.BDH("SRPT US Equity","ARDR_RAW_MATERIAL","FQ1 2022","FQ1 2022","Currency=USD","Period=FQ","BEST_FPERIOD_OVERRIDE=FQ","FILING_STATUS=MR","SCALING_FORMAT=MLN","Sort=A","Dates=H","DateFormat=P","Fill=—","Direction=H","UseDPDF=Y")</f>
        <v>41.271000000000001</v>
      </c>
      <c r="Q74" s="13">
        <f>_xll.BDH("SRPT US Equity","ARDR_RAW_MATERIAL","FQ2 2022","FQ2 2022","Currency=USD","Period=FQ","BEST_FPERIOD_OVERRIDE=FQ","FILING_STATUS=MR","SCALING_FORMAT=MLN","Sort=A","Dates=H","DateFormat=P","Fill=—","Direction=H","UseDPDF=Y")</f>
        <v>42.398000000000003</v>
      </c>
      <c r="R74" s="13">
        <f>_xll.BDH("SRPT US Equity","ARDR_RAW_MATERIAL","FQ3 2022","FQ3 2022","Currency=USD","Period=FQ","BEST_FPERIOD_OVERRIDE=FQ","FILING_STATUS=MR","SCALING_FORMAT=MLN","Sort=A","Dates=H","DateFormat=P","Fill=—","Direction=H","UseDPDF=Y")</f>
        <v>57.981000000000002</v>
      </c>
      <c r="S74" s="13" t="str">
        <f>_xll.BDH("SRPT US Equity","ARDR_RAW_MATERIAL","FQ4 2022","FQ4 2022","Currency=USD","Period=FQ","BEST_FPERIOD_OVERRIDE=FQ","FILING_STATUS=MR","SCALING_FORMAT=MLN","Sort=A","Dates=H","DateFormat=P","Fill=—","Direction=H","UseDPDF=Y")</f>
        <v>—</v>
      </c>
      <c r="T74" s="13">
        <f>_xll.BDH("SRPT US Equity","ARDR_RAW_MATERIAL","FQ1 2023","FQ1 2023","Currency=USD","Period=FQ","BEST_FPERIOD_OVERRIDE=FQ","FILING_STATUS=MR","SCALING_FORMAT=MLN","Sort=A","Dates=H","DateFormat=P","Fill=—","Direction=H","UseDPDF=Y")</f>
        <v>84.474999999999994</v>
      </c>
      <c r="U74" s="13">
        <f>_xll.BDH("SRPT US Equity","ARDR_RAW_MATERIAL","FQ2 2023","FQ2 2023","Currency=USD","Period=FQ","BEST_FPERIOD_OVERRIDE=FQ","FILING_STATUS=MR","SCALING_FORMAT=MLN","Sort=A","Dates=H","DateFormat=P","Fill=—","Direction=H","UseDPDF=Y")</f>
        <v>102.83799999999999</v>
      </c>
      <c r="V74" s="13">
        <f>_xll.BDH("SRPT US Equity","ARDR_RAW_MATERIAL","FQ3 2023","FQ3 2023","Currency=USD","Period=FQ","BEST_FPERIOD_OVERRIDE=FQ","FILING_STATUS=MR","SCALING_FORMAT=MLN","Sort=A","Dates=H","DateFormat=P","Fill=—","Direction=H","UseDPDF=Y")</f>
        <v>114.622</v>
      </c>
      <c r="W74" s="13" t="str">
        <f>_xll.BDH("SRPT US Equity","ARDR_RAW_MATERIAL","FQ4 2023","FQ4 2023","Currency=USD","Period=FQ","BEST_FPERIOD_OVERRIDE=FQ","FILING_STATUS=MR","SCALING_FORMAT=MLN","Sort=A","Dates=H","DateFormat=P","Fill=—","Direction=H","UseDPDF=Y")</f>
        <v>—</v>
      </c>
      <c r="X74" s="13">
        <f>_xll.BDH("SRPT US Equity","ARDR_RAW_MATERIAL","FQ1 2024","FQ1 2024","Currency=USD","Period=FQ","BEST_FPERIOD_OVERRIDE=FQ","FILING_STATUS=MR","SCALING_FORMAT=MLN","Sort=A","Dates=H","DateFormat=P","Fill=—","Direction=H","UseDPDF=Y")</f>
        <v>150.011</v>
      </c>
      <c r="Y74" s="13">
        <f>_xll.BDH("SRPT US Equity","ARDR_RAW_MATERIAL","FQ2 2024","FQ2 2024","Currency=USD","Period=FQ","BEST_FPERIOD_OVERRIDE=FQ","FILING_STATUS=MR","SCALING_FORMAT=MLN","Sort=A","Dates=H","DateFormat=P","Fill=—","Direction=H","UseDPDF=Y")</f>
        <v>167.20099999999999</v>
      </c>
      <c r="Z74" s="13">
        <f>_xll.BDH("SRPT US Equity","ARDR_RAW_MATERIAL","FQ3 2024","FQ3 2024","Currency=USD","Period=FQ","BEST_FPERIOD_OVERRIDE=FQ","FILING_STATUS=MR","SCALING_FORMAT=MLN","Sort=A","Dates=H","DateFormat=P","Fill=—","Direction=H","UseDPDF=Y")</f>
        <v>208.32</v>
      </c>
      <c r="AA74" s="13">
        <f>_xll.BDH("SRPT US Equity","ARDR_RAW_MATERIAL","FQ4 2024","FQ4 2024","Currency=USD","Period=FQ","BEST_FPERIOD_OVERRIDE=FQ","FILING_STATUS=MR","SCALING_FORMAT=MLN","Sort=A","Dates=H","DateFormat=P","Fill=—","Direction=H","UseDPDF=Y")</f>
        <v>280.04500000000002</v>
      </c>
    </row>
    <row r="75" spans="1:27" x14ac:dyDescent="0.25">
      <c r="A75" s="10" t="s">
        <v>956</v>
      </c>
      <c r="B75" s="10" t="s">
        <v>957</v>
      </c>
      <c r="C75" s="13">
        <f>_xll.BDH("SRPT US Equity","ARDR_WORK_IN_PROGRESS","FQ4 2018","FQ4 2018","Currency=USD","Period=FQ","BEST_FPERIOD_OVERRIDE=FQ","FILING_STATUS=MR","SCALING_FORMAT=MLN","Sort=A","Dates=H","DateFormat=P","Fill=—","Direction=H","UseDPDF=Y")</f>
        <v>47.279000000000003</v>
      </c>
      <c r="D75" s="13">
        <f>_xll.BDH("SRPT US Equity","ARDR_WORK_IN_PROGRESS","FQ1 2019","FQ1 2019","Currency=USD","Period=FQ","BEST_FPERIOD_OVERRIDE=FQ","FILING_STATUS=MR","SCALING_FORMAT=MLN","Sort=A","Dates=H","DateFormat=P","Fill=—","Direction=H","UseDPDF=Y")</f>
        <v>66.884</v>
      </c>
      <c r="E75" s="13">
        <f>_xll.BDH("SRPT US Equity","ARDR_WORK_IN_PROGRESS","FQ2 2019","FQ2 2019","Currency=USD","Period=FQ","BEST_FPERIOD_OVERRIDE=FQ","FILING_STATUS=MR","SCALING_FORMAT=MLN","Sort=A","Dates=H","DateFormat=P","Fill=—","Direction=H","UseDPDF=Y")</f>
        <v>78.353999999999999</v>
      </c>
      <c r="F75" s="13">
        <f>_xll.BDH("SRPT US Equity","ARDR_WORK_IN_PROGRESS","FQ3 2019","FQ3 2019","Currency=USD","Period=FQ","BEST_FPERIOD_OVERRIDE=FQ","FILING_STATUS=MR","SCALING_FORMAT=MLN","Sort=A","Dates=H","DateFormat=P","Fill=—","Direction=H","UseDPDF=Y")</f>
        <v>90.489000000000004</v>
      </c>
      <c r="G75" s="13">
        <f>_xll.BDH("SRPT US Equity","ARDR_WORK_IN_PROGRESS","FQ4 2019","FQ4 2019","Currency=USD","Period=FQ","BEST_FPERIOD_OVERRIDE=FQ","FILING_STATUS=MR","SCALING_FORMAT=MLN","Sort=A","Dates=H","DateFormat=P","Fill=—","Direction=H","UseDPDF=Y")</f>
        <v>88.031000000000006</v>
      </c>
      <c r="H75" s="13">
        <f>_xll.BDH("SRPT US Equity","ARDR_WORK_IN_PROGRESS","FQ1 2020","FQ1 2020","Currency=USD","Period=FQ","BEST_FPERIOD_OVERRIDE=FQ","FILING_STATUS=MR","SCALING_FORMAT=MLN","Sort=A","Dates=H","DateFormat=P","Fill=—","Direction=H","UseDPDF=Y")</f>
        <v>84.521000000000001</v>
      </c>
      <c r="I75" s="13">
        <f>_xll.BDH("SRPT US Equity","ARDR_WORK_IN_PROGRESS","FQ2 2020","FQ2 2020","Currency=USD","Period=FQ","BEST_FPERIOD_OVERRIDE=FQ","FILING_STATUS=MR","SCALING_FORMAT=MLN","Sort=A","Dates=H","DateFormat=P","Fill=—","Direction=H","UseDPDF=Y")</f>
        <v>100.04600000000001</v>
      </c>
      <c r="J75" s="13">
        <f>_xll.BDH("SRPT US Equity","ARDR_WORK_IN_PROGRESS","FQ3 2020","FQ3 2020","Currency=USD","Period=FQ","BEST_FPERIOD_OVERRIDE=FQ","FILING_STATUS=MR","SCALING_FORMAT=MLN","Sort=A","Dates=H","DateFormat=P","Fill=—","Direction=H","UseDPDF=Y")</f>
        <v>135.43</v>
      </c>
      <c r="K75" s="13">
        <f>_xll.BDH("SRPT US Equity","ARDR_WORK_IN_PROGRESS","FQ4 2020","FQ4 2020","Currency=USD","Period=FQ","BEST_FPERIOD_OVERRIDE=FQ","FILING_STATUS=MR","SCALING_FORMAT=MLN","Sort=A","Dates=H","DateFormat=P","Fill=—","Direction=H","UseDPDF=Y")</f>
        <v>139.70400000000001</v>
      </c>
      <c r="L75" s="13">
        <f>_xll.BDH("SRPT US Equity","ARDR_WORK_IN_PROGRESS","FQ1 2021","FQ1 2021","Currency=USD","Period=FQ","BEST_FPERIOD_OVERRIDE=FQ","FILING_STATUS=MR","SCALING_FORMAT=MLN","Sort=A","Dates=H","DateFormat=P","Fill=—","Direction=H","UseDPDF=Y")</f>
        <v>149.81100000000001</v>
      </c>
      <c r="M75" s="13">
        <f>_xll.BDH("SRPT US Equity","ARDR_WORK_IN_PROGRESS","FQ2 2021","FQ2 2021","Currency=USD","Period=FQ","BEST_FPERIOD_OVERRIDE=FQ","FILING_STATUS=MR","SCALING_FORMAT=MLN","Sort=A","Dates=H","DateFormat=P","Fill=—","Direction=H","UseDPDF=Y")</f>
        <v>191.511</v>
      </c>
      <c r="N75" s="13">
        <f>_xll.BDH("SRPT US Equity","ARDR_WORK_IN_PROGRESS","FQ3 2021","FQ3 2021","Currency=USD","Period=FQ","BEST_FPERIOD_OVERRIDE=FQ","FILING_STATUS=MR","SCALING_FORMAT=MLN","Sort=A","Dates=H","DateFormat=P","Fill=—","Direction=H","UseDPDF=Y")</f>
        <v>221.47900000000001</v>
      </c>
      <c r="O75" s="13" t="str">
        <f>_xll.BDH("SRPT US Equity","ARDR_WORK_IN_PROGRESS","FQ4 2021","FQ4 2021","Currency=USD","Period=FQ","BEST_FPERIOD_OVERRIDE=FQ","FILING_STATUS=MR","SCALING_FORMAT=MLN","Sort=A","Dates=H","DateFormat=P","Fill=—","Direction=H","UseDPDF=Y")</f>
        <v>—</v>
      </c>
      <c r="P75" s="13">
        <f>_xll.BDH("SRPT US Equity","ARDR_WORK_IN_PROGRESS","FQ1 2022","FQ1 2022","Currency=USD","Period=FQ","BEST_FPERIOD_OVERRIDE=FQ","FILING_STATUS=MR","SCALING_FORMAT=MLN","Sort=A","Dates=H","DateFormat=P","Fill=—","Direction=H","UseDPDF=Y")</f>
        <v>245.273</v>
      </c>
      <c r="Q75" s="13">
        <f>_xll.BDH("SRPT US Equity","ARDR_WORK_IN_PROGRESS","FQ2 2022","FQ2 2022","Currency=USD","Period=FQ","BEST_FPERIOD_OVERRIDE=FQ","FILING_STATUS=MR","SCALING_FORMAT=MLN","Sort=A","Dates=H","DateFormat=P","Fill=—","Direction=H","UseDPDF=Y")</f>
        <v>253.2</v>
      </c>
      <c r="R75" s="13">
        <f>_xll.BDH("SRPT US Equity","ARDR_WORK_IN_PROGRESS","FQ3 2022","FQ3 2022","Currency=USD","Period=FQ","BEST_FPERIOD_OVERRIDE=FQ","FILING_STATUS=MR","SCALING_FORMAT=MLN","Sort=A","Dates=H","DateFormat=P","Fill=—","Direction=H","UseDPDF=Y")</f>
        <v>250.39099999999999</v>
      </c>
      <c r="S75" s="13" t="str">
        <f>_xll.BDH("SRPT US Equity","ARDR_WORK_IN_PROGRESS","FQ4 2022","FQ4 2022","Currency=USD","Period=FQ","BEST_FPERIOD_OVERRIDE=FQ","FILING_STATUS=MR","SCALING_FORMAT=MLN","Sort=A","Dates=H","DateFormat=P","Fill=—","Direction=H","UseDPDF=Y")</f>
        <v>—</v>
      </c>
      <c r="T75" s="13">
        <f>_xll.BDH("SRPT US Equity","ARDR_WORK_IN_PROGRESS","FQ1 2023","FQ1 2023","Currency=USD","Period=FQ","BEST_FPERIOD_OVERRIDE=FQ","FILING_STATUS=MR","SCALING_FORMAT=MLN","Sort=A","Dates=H","DateFormat=P","Fill=—","Direction=H","UseDPDF=Y")</f>
        <v>239.65700000000001</v>
      </c>
      <c r="U75" s="13">
        <f>_xll.BDH("SRPT US Equity","ARDR_WORK_IN_PROGRESS","FQ2 2023","FQ2 2023","Currency=USD","Period=FQ","BEST_FPERIOD_OVERRIDE=FQ","FILING_STATUS=MR","SCALING_FORMAT=MLN","Sort=A","Dates=H","DateFormat=P","Fill=—","Direction=H","UseDPDF=Y")</f>
        <v>243.06100000000001</v>
      </c>
      <c r="V75" s="13">
        <f>_xll.BDH("SRPT US Equity","ARDR_WORK_IN_PROGRESS","FQ3 2023","FQ3 2023","Currency=USD","Period=FQ","BEST_FPERIOD_OVERRIDE=FQ","FILING_STATUS=MR","SCALING_FORMAT=MLN","Sort=A","Dates=H","DateFormat=P","Fill=—","Direction=H","UseDPDF=Y")</f>
        <v>258.25799999999998</v>
      </c>
      <c r="W75" s="13" t="str">
        <f>_xll.BDH("SRPT US Equity","ARDR_WORK_IN_PROGRESS","FQ4 2023","FQ4 2023","Currency=USD","Period=FQ","BEST_FPERIOD_OVERRIDE=FQ","FILING_STATUS=MR","SCALING_FORMAT=MLN","Sort=A","Dates=H","DateFormat=P","Fill=—","Direction=H","UseDPDF=Y")</f>
        <v>—</v>
      </c>
      <c r="X75" s="13">
        <f>_xll.BDH("SRPT US Equity","ARDR_WORK_IN_PROGRESS","FQ1 2024","FQ1 2024","Currency=USD","Period=FQ","BEST_FPERIOD_OVERRIDE=FQ","FILING_STATUS=MR","SCALING_FORMAT=MLN","Sort=A","Dates=H","DateFormat=P","Fill=—","Direction=H","UseDPDF=Y")</f>
        <v>391.55799999999999</v>
      </c>
      <c r="Y75" s="13">
        <f>_xll.BDH("SRPT US Equity","ARDR_WORK_IN_PROGRESS","FQ2 2024","FQ2 2024","Currency=USD","Period=FQ","BEST_FPERIOD_OVERRIDE=FQ","FILING_STATUS=MR","SCALING_FORMAT=MLN","Sort=A","Dates=H","DateFormat=P","Fill=—","Direction=H","UseDPDF=Y")</f>
        <v>470.38099999999997</v>
      </c>
      <c r="Z75" s="13">
        <f>_xll.BDH("SRPT US Equity","ARDR_WORK_IN_PROGRESS","FQ3 2024","FQ3 2024","Currency=USD","Period=FQ","BEST_FPERIOD_OVERRIDE=FQ","FILING_STATUS=MR","SCALING_FORMAT=MLN","Sort=A","Dates=H","DateFormat=P","Fill=—","Direction=H","UseDPDF=Y")</f>
        <v>482.17099999999999</v>
      </c>
      <c r="AA75" s="13">
        <f>_xll.BDH("SRPT US Equity","ARDR_WORK_IN_PROGRESS","FQ4 2024","FQ4 2024","Currency=USD","Period=FQ","BEST_FPERIOD_OVERRIDE=FQ","FILING_STATUS=MR","SCALING_FORMAT=MLN","Sort=A","Dates=H","DateFormat=P","Fill=—","Direction=H","UseDPDF=Y")</f>
        <v>610.69200000000001</v>
      </c>
    </row>
    <row r="76" spans="1:27" x14ac:dyDescent="0.25">
      <c r="A76" s="10" t="s">
        <v>958</v>
      </c>
      <c r="B76" s="10" t="s">
        <v>959</v>
      </c>
      <c r="C76" s="13">
        <f>_xll.BDH("SRPT US Equity","ARDR_FINISHED_GOOD","FQ4 2018","FQ4 2018","Currency=USD","Period=FQ","BEST_FPERIOD_OVERRIDE=FQ","FILING_STATUS=MR","SCALING_FORMAT=MLN","Sort=A","Dates=H","DateFormat=P","Fill=—","Direction=H","UseDPDF=Y")</f>
        <v>6.8529999999999998</v>
      </c>
      <c r="D76" s="13">
        <f>_xll.BDH("SRPT US Equity","ARDR_FINISHED_GOOD","FQ1 2019","FQ1 2019","Currency=USD","Period=FQ","BEST_FPERIOD_OVERRIDE=FQ","FILING_STATUS=MR","SCALING_FORMAT=MLN","Sort=A","Dates=H","DateFormat=P","Fill=—","Direction=H","UseDPDF=Y")</f>
        <v>3.3119999999999998</v>
      </c>
      <c r="E76" s="13">
        <f>_xll.BDH("SRPT US Equity","ARDR_FINISHED_GOOD","FQ2 2019","FQ2 2019","Currency=USD","Period=FQ","BEST_FPERIOD_OVERRIDE=FQ","FILING_STATUS=MR","SCALING_FORMAT=MLN","Sort=A","Dates=H","DateFormat=P","Fill=—","Direction=H","UseDPDF=Y")</f>
        <v>6.0890000000000004</v>
      </c>
      <c r="F76" s="13">
        <f>_xll.BDH("SRPT US Equity","ARDR_FINISHED_GOOD","FQ3 2019","FQ3 2019","Currency=USD","Period=FQ","BEST_FPERIOD_OVERRIDE=FQ","FILING_STATUS=MR","SCALING_FORMAT=MLN","Sort=A","Dates=H","DateFormat=P","Fill=—","Direction=H","UseDPDF=Y")</f>
        <v>1.794</v>
      </c>
      <c r="G76" s="13">
        <f>_xll.BDH("SRPT US Equity","ARDR_FINISHED_GOOD","FQ4 2019","FQ4 2019","Currency=USD","Period=FQ","BEST_FPERIOD_OVERRIDE=FQ","FILING_STATUS=MR","SCALING_FORMAT=MLN","Sort=A","Dates=H","DateFormat=P","Fill=—","Direction=H","UseDPDF=Y")</f>
        <v>1.3180000000000001</v>
      </c>
      <c r="H76" s="13">
        <f>_xll.BDH("SRPT US Equity","ARDR_FINISHED_GOOD","FQ1 2020","FQ1 2020","Currency=USD","Period=FQ","BEST_FPERIOD_OVERRIDE=FQ","FILING_STATUS=MR","SCALING_FORMAT=MLN","Sort=A","Dates=H","DateFormat=P","Fill=—","Direction=H","UseDPDF=Y")</f>
        <v>6.9109999999999996</v>
      </c>
      <c r="I76" s="13">
        <f>_xll.BDH("SRPT US Equity","ARDR_FINISHED_GOOD","FQ2 2020","FQ2 2020","Currency=USD","Period=FQ","BEST_FPERIOD_OVERRIDE=FQ","FILING_STATUS=MR","SCALING_FORMAT=MLN","Sort=A","Dates=H","DateFormat=P","Fill=—","Direction=H","UseDPDF=Y")</f>
        <v>3.6230000000000002</v>
      </c>
      <c r="J76" s="13">
        <f>_xll.BDH("SRPT US Equity","ARDR_FINISHED_GOOD","FQ3 2020","FQ3 2020","Currency=USD","Period=FQ","BEST_FPERIOD_OVERRIDE=FQ","FILING_STATUS=MR","SCALING_FORMAT=MLN","Sort=A","Dates=H","DateFormat=P","Fill=—","Direction=H","UseDPDF=Y")</f>
        <v>4.5529999999999999</v>
      </c>
      <c r="K76" s="13">
        <f>_xll.BDH("SRPT US Equity","ARDR_FINISHED_GOOD","FQ4 2020","FQ4 2020","Currency=USD","Period=FQ","BEST_FPERIOD_OVERRIDE=FQ","FILING_STATUS=MR","SCALING_FORMAT=MLN","Sort=A","Dates=H","DateFormat=P","Fill=—","Direction=H","UseDPDF=Y")</f>
        <v>20.54</v>
      </c>
      <c r="L76" s="13">
        <f>_xll.BDH("SRPT US Equity","ARDR_FINISHED_GOOD","FQ1 2021","FQ1 2021","Currency=USD","Period=FQ","BEST_FPERIOD_OVERRIDE=FQ","FILING_STATUS=MR","SCALING_FORMAT=MLN","Sort=A","Dates=H","DateFormat=P","Fill=—","Direction=H","UseDPDF=Y")</f>
        <v>28.277999999999999</v>
      </c>
      <c r="M76" s="13">
        <f>_xll.BDH("SRPT US Equity","ARDR_FINISHED_GOOD","FQ2 2021","FQ2 2021","Currency=USD","Period=FQ","BEST_FPERIOD_OVERRIDE=FQ","FILING_STATUS=MR","SCALING_FORMAT=MLN","Sort=A","Dates=H","DateFormat=P","Fill=—","Direction=H","UseDPDF=Y")</f>
        <v>29.471</v>
      </c>
      <c r="N76" s="13">
        <f>_xll.BDH("SRPT US Equity","ARDR_FINISHED_GOOD","FQ3 2021","FQ3 2021","Currency=USD","Period=FQ","BEST_FPERIOD_OVERRIDE=FQ","FILING_STATUS=MR","SCALING_FORMAT=MLN","Sort=A","Dates=H","DateFormat=P","Fill=—","Direction=H","UseDPDF=Y")</f>
        <v>26.834</v>
      </c>
      <c r="O76" s="13" t="str">
        <f>_xll.BDH("SRPT US Equity","ARDR_FINISHED_GOOD","FQ4 2021","FQ4 2021","Currency=USD","Period=FQ","BEST_FPERIOD_OVERRIDE=FQ","FILING_STATUS=MR","SCALING_FORMAT=MLN","Sort=A","Dates=H","DateFormat=P","Fill=—","Direction=H","UseDPDF=Y")</f>
        <v>—</v>
      </c>
      <c r="P76" s="13">
        <f>_xll.BDH("SRPT US Equity","ARDR_FINISHED_GOOD","FQ1 2022","FQ1 2022","Currency=USD","Period=FQ","BEST_FPERIOD_OVERRIDE=FQ","FILING_STATUS=MR","SCALING_FORMAT=MLN","Sort=A","Dates=H","DateFormat=P","Fill=—","Direction=H","UseDPDF=Y")</f>
        <v>33.875999999999998</v>
      </c>
      <c r="Q76" s="13">
        <f>_xll.BDH("SRPT US Equity","ARDR_FINISHED_GOOD","FQ2 2022","FQ2 2022","Currency=USD","Period=FQ","BEST_FPERIOD_OVERRIDE=FQ","FILING_STATUS=MR","SCALING_FORMAT=MLN","Sort=A","Dates=H","DateFormat=P","Fill=—","Direction=H","UseDPDF=Y")</f>
        <v>35.499000000000002</v>
      </c>
      <c r="R76" s="13">
        <f>_xll.BDH("SRPT US Equity","ARDR_FINISHED_GOOD","FQ3 2022","FQ3 2022","Currency=USD","Period=FQ","BEST_FPERIOD_OVERRIDE=FQ","FILING_STATUS=MR","SCALING_FORMAT=MLN","Sort=A","Dates=H","DateFormat=P","Fill=—","Direction=H","UseDPDF=Y")</f>
        <v>49.261000000000003</v>
      </c>
      <c r="S76" s="13" t="str">
        <f>_xll.BDH("SRPT US Equity","ARDR_FINISHED_GOOD","FQ4 2022","FQ4 2022","Currency=USD","Period=FQ","BEST_FPERIOD_OVERRIDE=FQ","FILING_STATUS=MR","SCALING_FORMAT=MLN","Sort=A","Dates=H","DateFormat=P","Fill=—","Direction=H","UseDPDF=Y")</f>
        <v>—</v>
      </c>
      <c r="T76" s="13">
        <f>_xll.BDH("SRPT US Equity","ARDR_FINISHED_GOOD","FQ1 2023","FQ1 2023","Currency=USD","Period=FQ","BEST_FPERIOD_OVERRIDE=FQ","FILING_STATUS=MR","SCALING_FORMAT=MLN","Sort=A","Dates=H","DateFormat=P","Fill=—","Direction=H","UseDPDF=Y")</f>
        <v>42.686999999999998</v>
      </c>
      <c r="U76" s="13">
        <f>_xll.BDH("SRPT US Equity","ARDR_FINISHED_GOOD","FQ2 2023","FQ2 2023","Currency=USD","Period=FQ","BEST_FPERIOD_OVERRIDE=FQ","FILING_STATUS=MR","SCALING_FORMAT=MLN","Sort=A","Dates=H","DateFormat=P","Fill=—","Direction=H","UseDPDF=Y")</f>
        <v>47.612000000000002</v>
      </c>
      <c r="V76" s="13">
        <f>_xll.BDH("SRPT US Equity","ARDR_FINISHED_GOOD","FQ3 2023","FQ3 2023","Currency=USD","Period=FQ","BEST_FPERIOD_OVERRIDE=FQ","FILING_STATUS=MR","SCALING_FORMAT=MLN","Sort=A","Dates=H","DateFormat=P","Fill=—","Direction=H","UseDPDF=Y")</f>
        <v>47.243000000000002</v>
      </c>
      <c r="W76" s="13" t="str">
        <f>_xll.BDH("SRPT US Equity","ARDR_FINISHED_GOOD","FQ4 2023","FQ4 2023","Currency=USD","Period=FQ","BEST_FPERIOD_OVERRIDE=FQ","FILING_STATUS=MR","SCALING_FORMAT=MLN","Sort=A","Dates=H","DateFormat=P","Fill=—","Direction=H","UseDPDF=Y")</f>
        <v>—</v>
      </c>
      <c r="X76" s="13">
        <f>_xll.BDH("SRPT US Equity","ARDR_FINISHED_GOOD","FQ1 2024","FQ1 2024","Currency=USD","Period=FQ","BEST_FPERIOD_OVERRIDE=FQ","FILING_STATUS=MR","SCALING_FORMAT=MLN","Sort=A","Dates=H","DateFormat=P","Fill=—","Direction=H","UseDPDF=Y")</f>
        <v>39.503</v>
      </c>
      <c r="Y76" s="13">
        <f>_xll.BDH("SRPT US Equity","ARDR_FINISHED_GOOD","FQ2 2024","FQ2 2024","Currency=USD","Period=FQ","BEST_FPERIOD_OVERRIDE=FQ","FILING_STATUS=MR","SCALING_FORMAT=MLN","Sort=A","Dates=H","DateFormat=P","Fill=—","Direction=H","UseDPDF=Y")</f>
        <v>52.904000000000003</v>
      </c>
      <c r="Z76" s="13">
        <f>_xll.BDH("SRPT US Equity","ARDR_FINISHED_GOOD","FQ3 2024","FQ3 2024","Currency=USD","Period=FQ","BEST_FPERIOD_OVERRIDE=FQ","FILING_STATUS=MR","SCALING_FORMAT=MLN","Sort=A","Dates=H","DateFormat=P","Fill=—","Direction=H","UseDPDF=Y")</f>
        <v>77.983000000000004</v>
      </c>
      <c r="AA76" s="13">
        <f>_xll.BDH("SRPT US Equity","ARDR_FINISHED_GOOD","FQ4 2024","FQ4 2024","Currency=USD","Period=FQ","BEST_FPERIOD_OVERRIDE=FQ","FILING_STATUS=MR","SCALING_FORMAT=MLN","Sort=A","Dates=H","DateFormat=P","Fill=—","Direction=H","UseDPDF=Y")</f>
        <v>47.209000000000003</v>
      </c>
    </row>
    <row r="77" spans="1:27" x14ac:dyDescent="0.25">
      <c r="A77" s="10" t="s">
        <v>913</v>
      </c>
      <c r="B77" s="10" t="s">
        <v>960</v>
      </c>
      <c r="C77" s="13" t="str">
        <f>_xll.BDH("SRPT US Equity","ARDR_SHARES_ISSUED","FQ4 2018","FQ4 2018","Currency=USD","Period=FQ","BEST_FPERIOD_OVERRIDE=FQ","FILING_STATUS=MR","Sort=A","Dates=H","DateFormat=P","Fill=—","Direction=H","UseDPDF=Y")</f>
        <v>—</v>
      </c>
      <c r="D77" s="13" t="str">
        <f>_xll.BDH("SRPT US Equity","ARDR_SHARES_ISSUED","FQ1 2019","FQ1 2019","Currency=USD","Period=FQ","BEST_FPERIOD_OVERRIDE=FQ","FILING_STATUS=MR","Sort=A","Dates=H","DateFormat=P","Fill=—","Direction=H","UseDPDF=Y")</f>
        <v>—</v>
      </c>
      <c r="E77" s="13" t="str">
        <f>_xll.BDH("SRPT US Equity","ARDR_SHARES_ISSUED","FQ2 2019","FQ2 2019","Currency=USD","Period=FQ","BEST_FPERIOD_OVERRIDE=FQ","FILING_STATUS=MR","Sort=A","Dates=H","DateFormat=P","Fill=—","Direction=H","UseDPDF=Y")</f>
        <v>—</v>
      </c>
      <c r="F77" s="13" t="str">
        <f>_xll.BDH("SRPT US Equity","ARDR_SHARES_ISSUED","FQ3 2019","FQ3 2019","Currency=USD","Period=FQ","BEST_FPERIOD_OVERRIDE=FQ","FILING_STATUS=MR","Sort=A","Dates=H","DateFormat=P","Fill=—","Direction=H","UseDPDF=Y")</f>
        <v>—</v>
      </c>
      <c r="G77" s="13" t="str">
        <f>_xll.BDH("SRPT US Equity","ARDR_SHARES_ISSUED","FQ4 2019","FQ4 2019","Currency=USD","Period=FQ","BEST_FPERIOD_OVERRIDE=FQ","FILING_STATUS=MR","Sort=A","Dates=H","DateFormat=P","Fill=—","Direction=H","UseDPDF=Y")</f>
        <v>—</v>
      </c>
      <c r="H77" s="13" t="str">
        <f>_xll.BDH("SRPT US Equity","ARDR_SHARES_ISSUED","FQ1 2020","FQ1 2020","Currency=USD","Period=FQ","BEST_FPERIOD_OVERRIDE=FQ","FILING_STATUS=MR","Sort=A","Dates=H","DateFormat=P","Fill=—","Direction=H","UseDPDF=Y")</f>
        <v>—</v>
      </c>
      <c r="I77" s="13" t="str">
        <f>_xll.BDH("SRPT US Equity","ARDR_SHARES_ISSUED","FQ2 2020","FQ2 2020","Currency=USD","Period=FQ","BEST_FPERIOD_OVERRIDE=FQ","FILING_STATUS=MR","Sort=A","Dates=H","DateFormat=P","Fill=—","Direction=H","UseDPDF=Y")</f>
        <v>—</v>
      </c>
      <c r="J77" s="13" t="str">
        <f>_xll.BDH("SRPT US Equity","ARDR_SHARES_ISSUED","FQ3 2020","FQ3 2020","Currency=USD","Period=FQ","BEST_FPERIOD_OVERRIDE=FQ","FILING_STATUS=MR","Sort=A","Dates=H","DateFormat=P","Fill=—","Direction=H","UseDPDF=Y")</f>
        <v>—</v>
      </c>
      <c r="K77" s="13" t="str">
        <f>_xll.BDH("SRPT US Equity","ARDR_SHARES_ISSUED","FQ4 2020","FQ4 2020","Currency=USD","Period=FQ","BEST_FPERIOD_OVERRIDE=FQ","FILING_STATUS=MR","Sort=A","Dates=H","DateFormat=P","Fill=—","Direction=H","UseDPDF=Y")</f>
        <v>—</v>
      </c>
      <c r="L77" s="13" t="str">
        <f>_xll.BDH("SRPT US Equity","ARDR_SHARES_ISSUED","FQ1 2021","FQ1 2021","Currency=USD","Period=FQ","BEST_FPERIOD_OVERRIDE=FQ","FILING_STATUS=MR","Sort=A","Dates=H","DateFormat=P","Fill=—","Direction=H","UseDPDF=Y")</f>
        <v>—</v>
      </c>
      <c r="M77" s="13" t="str">
        <f>_xll.BDH("SRPT US Equity","ARDR_SHARES_ISSUED","FQ2 2021","FQ2 2021","Currency=USD","Period=FQ","BEST_FPERIOD_OVERRIDE=FQ","FILING_STATUS=MR","Sort=A","Dates=H","DateFormat=P","Fill=—","Direction=H","UseDPDF=Y")</f>
        <v>—</v>
      </c>
      <c r="N77" s="13" t="str">
        <f>_xll.BDH("SRPT US Equity","ARDR_SHARES_ISSUED","FQ3 2021","FQ3 2021","Currency=USD","Period=FQ","BEST_FPERIOD_OVERRIDE=FQ","FILING_STATUS=MR","Sort=A","Dates=H","DateFormat=P","Fill=—","Direction=H","UseDPDF=Y")</f>
        <v>—</v>
      </c>
      <c r="O77" s="13" t="str">
        <f>_xll.BDH("SRPT US Equity","ARDR_SHARES_ISSUED","FQ4 2021","FQ4 2021","Currency=USD","Period=FQ","BEST_FPERIOD_OVERRIDE=FQ","FILING_STATUS=MR","Sort=A","Dates=H","DateFormat=P","Fill=—","Direction=H","UseDPDF=Y")</f>
        <v>—</v>
      </c>
      <c r="P77" s="13" t="str">
        <f>_xll.BDH("SRPT US Equity","ARDR_SHARES_ISSUED","FQ1 2022","FQ1 2022","Currency=USD","Period=FQ","BEST_FPERIOD_OVERRIDE=FQ","FILING_STATUS=MR","Sort=A","Dates=H","DateFormat=P","Fill=—","Direction=H","UseDPDF=Y")</f>
        <v>—</v>
      </c>
      <c r="Q77" s="13" t="str">
        <f>_xll.BDH("SRPT US Equity","ARDR_SHARES_ISSUED","FQ2 2022","FQ2 2022","Currency=USD","Period=FQ","BEST_FPERIOD_OVERRIDE=FQ","FILING_STATUS=MR","Sort=A","Dates=H","DateFormat=P","Fill=—","Direction=H","UseDPDF=Y")</f>
        <v>—</v>
      </c>
      <c r="R77" s="13">
        <f>_xll.BDH("SRPT US Equity","ARDR_SHARES_ISSUED","FQ3 2022","FQ3 2022","Currency=USD","Period=FQ","BEST_FPERIOD_OVERRIDE=FQ","FILING_STATUS=MR","Sort=A","Dates=H","DateFormat=P","Fill=—","Direction=H","UseDPDF=Y")</f>
        <v>87.766199999999998</v>
      </c>
      <c r="S77" s="13" t="str">
        <f>_xll.BDH("SRPT US Equity","ARDR_SHARES_ISSUED","FQ4 2022","FQ4 2022","Currency=USD","Period=FQ","BEST_FPERIOD_OVERRIDE=FQ","FILING_STATUS=MR","Sort=A","Dates=H","DateFormat=P","Fill=—","Direction=H","UseDPDF=Y")</f>
        <v>—</v>
      </c>
      <c r="T77" s="13" t="str">
        <f>_xll.BDH("SRPT US Equity","ARDR_SHARES_ISSUED","FQ1 2023","FQ1 2023","Currency=USD","Period=FQ","BEST_FPERIOD_OVERRIDE=FQ","FILING_STATUS=MR","Sort=A","Dates=H","DateFormat=P","Fill=—","Direction=H","UseDPDF=Y")</f>
        <v>—</v>
      </c>
      <c r="U77" s="13" t="str">
        <f>_xll.BDH("SRPT US Equity","ARDR_SHARES_ISSUED","FQ2 2023","FQ2 2023","Currency=USD","Period=FQ","BEST_FPERIOD_OVERRIDE=FQ","FILING_STATUS=MR","Sort=A","Dates=H","DateFormat=P","Fill=—","Direction=H","UseDPDF=Y")</f>
        <v>—</v>
      </c>
      <c r="V77" s="13" t="str">
        <f>_xll.BDH("SRPT US Equity","ARDR_SHARES_ISSUED","FQ3 2023","FQ3 2023","Currency=USD","Period=FQ","BEST_FPERIOD_OVERRIDE=FQ","FILING_STATUS=MR","Sort=A","Dates=H","DateFormat=P","Fill=—","Direction=H","UseDPDF=Y")</f>
        <v>—</v>
      </c>
      <c r="W77" s="13" t="str">
        <f>_xll.BDH("SRPT US Equity","ARDR_SHARES_ISSUED","FQ4 2023","FQ4 2023","Currency=USD","Period=FQ","BEST_FPERIOD_OVERRIDE=FQ","FILING_STATUS=MR","Sort=A","Dates=H","DateFormat=P","Fill=—","Direction=H","UseDPDF=Y")</f>
        <v>—</v>
      </c>
      <c r="X77" s="13" t="str">
        <f>_xll.BDH("SRPT US Equity","ARDR_SHARES_ISSUED","FQ1 2024","FQ1 2024","Currency=USD","Period=FQ","BEST_FPERIOD_OVERRIDE=FQ","FILING_STATUS=MR","Sort=A","Dates=H","DateFormat=P","Fill=—","Direction=H","UseDPDF=Y")</f>
        <v>—</v>
      </c>
      <c r="Y77" s="13" t="str">
        <f>_xll.BDH("SRPT US Equity","ARDR_SHARES_ISSUED","FQ2 2024","FQ2 2024","Currency=USD","Period=FQ","BEST_FPERIOD_OVERRIDE=FQ","FILING_STATUS=MR","Sort=A","Dates=H","DateFormat=P","Fill=—","Direction=H","UseDPDF=Y")</f>
        <v>—</v>
      </c>
      <c r="Z77" s="13" t="str">
        <f>_xll.BDH("SRPT US Equity","ARDR_SHARES_ISSUED","FQ3 2024","FQ3 2024","Currency=USD","Period=FQ","BEST_FPERIOD_OVERRIDE=FQ","FILING_STATUS=MR","Sort=A","Dates=H","DateFormat=P","Fill=—","Direction=H","UseDPDF=Y")</f>
        <v>—</v>
      </c>
      <c r="AA77" s="13" t="str">
        <f>_xll.BDH("SRPT US Equity","ARDR_SHARES_ISSUED","FQ4 2024","FQ4 2024","Currency=USD","Period=FQ","BEST_FPERIOD_OVERRIDE=FQ","FILING_STATUS=MR","Sort=A","Dates=H","DateFormat=P","Fill=—","Direction=H","UseDPDF=Y")</f>
        <v>—</v>
      </c>
    </row>
    <row r="78" spans="1:27" x14ac:dyDescent="0.25">
      <c r="A78" s="10" t="s">
        <v>961</v>
      </c>
      <c r="B78" s="10" t="s">
        <v>962</v>
      </c>
      <c r="C78" s="13" t="str">
        <f>_xll.BDH("SRPT US Equity","ARDR_OTHER_INVENTORY","FQ4 2018","FQ4 2018","Currency=USD","Period=FQ","BEST_FPERIOD_OVERRIDE=FQ","FILING_STATUS=MR","SCALING_FORMAT=MLN","Sort=A","Dates=H","DateFormat=P","Fill=—","Direction=H","UseDPDF=Y")</f>
        <v>—</v>
      </c>
      <c r="D78" s="13" t="str">
        <f>_xll.BDH("SRPT US Equity","ARDR_OTHER_INVENTORY","FQ1 2019","FQ1 2019","Currency=USD","Period=FQ","BEST_FPERIOD_OVERRIDE=FQ","FILING_STATUS=MR","SCALING_FORMAT=MLN","Sort=A","Dates=H","DateFormat=P","Fill=—","Direction=H","UseDPDF=Y")</f>
        <v>—</v>
      </c>
      <c r="E78" s="13" t="str">
        <f>_xll.BDH("SRPT US Equity","ARDR_OTHER_INVENTORY","FQ2 2019","FQ2 2019","Currency=USD","Period=FQ","BEST_FPERIOD_OVERRIDE=FQ","FILING_STATUS=MR","SCALING_FORMAT=MLN","Sort=A","Dates=H","DateFormat=P","Fill=—","Direction=H","UseDPDF=Y")</f>
        <v>—</v>
      </c>
      <c r="F78" s="13" t="str">
        <f>_xll.BDH("SRPT US Equity","ARDR_OTHER_INVENTORY","FQ3 2019","FQ3 2019","Currency=USD","Period=FQ","BEST_FPERIOD_OVERRIDE=FQ","FILING_STATUS=MR","SCALING_FORMAT=MLN","Sort=A","Dates=H","DateFormat=P","Fill=—","Direction=H","UseDPDF=Y")</f>
        <v>—</v>
      </c>
      <c r="G78" s="13" t="str">
        <f>_xll.BDH("SRPT US Equity","ARDR_OTHER_INVENTORY","FQ4 2019","FQ4 2019","Currency=USD","Period=FQ","BEST_FPERIOD_OVERRIDE=FQ","FILING_STATUS=MR","SCALING_FORMAT=MLN","Sort=A","Dates=H","DateFormat=P","Fill=—","Direction=H","UseDPDF=Y")</f>
        <v>—</v>
      </c>
      <c r="H78" s="13" t="str">
        <f>_xll.BDH("SRPT US Equity","ARDR_OTHER_INVENTORY","FQ1 2020","FQ1 2020","Currency=USD","Period=FQ","BEST_FPERIOD_OVERRIDE=FQ","FILING_STATUS=MR","SCALING_FORMAT=MLN","Sort=A","Dates=H","DateFormat=P","Fill=—","Direction=H","UseDPDF=Y")</f>
        <v>—</v>
      </c>
      <c r="I78" s="13" t="str">
        <f>_xll.BDH("SRPT US Equity","ARDR_OTHER_INVENTORY","FQ2 2020","FQ2 2020","Currency=USD","Period=FQ","BEST_FPERIOD_OVERRIDE=FQ","FILING_STATUS=MR","SCALING_FORMAT=MLN","Sort=A","Dates=H","DateFormat=P","Fill=—","Direction=H","UseDPDF=Y")</f>
        <v>—</v>
      </c>
      <c r="J78" s="13" t="str">
        <f>_xll.BDH("SRPT US Equity","ARDR_OTHER_INVENTORY","FQ3 2020","FQ3 2020","Currency=USD","Period=FQ","BEST_FPERIOD_OVERRIDE=FQ","FILING_STATUS=MR","SCALING_FORMAT=MLN","Sort=A","Dates=H","DateFormat=P","Fill=—","Direction=H","UseDPDF=Y")</f>
        <v>—</v>
      </c>
      <c r="K78" s="13" t="str">
        <f>_xll.BDH("SRPT US Equity","ARDR_OTHER_INVENTORY","FQ4 2020","FQ4 2020","Currency=USD","Period=FQ","BEST_FPERIOD_OVERRIDE=FQ","FILING_STATUS=MR","SCALING_FORMAT=MLN","Sort=A","Dates=H","DateFormat=P","Fill=—","Direction=H","UseDPDF=Y")</f>
        <v>—</v>
      </c>
      <c r="L78" s="13" t="str">
        <f>_xll.BDH("SRPT US Equity","ARDR_OTHER_INVENTORY","FQ1 2021","FQ1 2021","Currency=USD","Period=FQ","BEST_FPERIOD_OVERRIDE=FQ","FILING_STATUS=MR","SCALING_FORMAT=MLN","Sort=A","Dates=H","DateFormat=P","Fill=—","Direction=H","UseDPDF=Y")</f>
        <v>—</v>
      </c>
      <c r="M78" s="13" t="str">
        <f>_xll.BDH("SRPT US Equity","ARDR_OTHER_INVENTORY","FQ2 2021","FQ2 2021","Currency=USD","Period=FQ","BEST_FPERIOD_OVERRIDE=FQ","FILING_STATUS=MR","SCALING_FORMAT=MLN","Sort=A","Dates=H","DateFormat=P","Fill=—","Direction=H","UseDPDF=Y")</f>
        <v>—</v>
      </c>
      <c r="N78" s="13" t="str">
        <f>_xll.BDH("SRPT US Equity","ARDR_OTHER_INVENTORY","FQ3 2021","FQ3 2021","Currency=USD","Period=FQ","BEST_FPERIOD_OVERRIDE=FQ","FILING_STATUS=MR","SCALING_FORMAT=MLN","Sort=A","Dates=H","DateFormat=P","Fill=—","Direction=H","UseDPDF=Y")</f>
        <v>—</v>
      </c>
      <c r="O78" s="13" t="str">
        <f>_xll.BDH("SRPT US Equity","ARDR_OTHER_INVENTORY","FQ4 2021","FQ4 2021","Currency=USD","Period=FQ","BEST_FPERIOD_OVERRIDE=FQ","FILING_STATUS=MR","SCALING_FORMAT=MLN","Sort=A","Dates=H","DateFormat=P","Fill=—","Direction=H","UseDPDF=Y")</f>
        <v>—</v>
      </c>
      <c r="P78" s="13">
        <f>_xll.BDH("SRPT US Equity","ARDR_OTHER_INVENTORY","FQ1 2022","FQ1 2022","Currency=USD","Period=FQ","BEST_FPERIOD_OVERRIDE=FQ","FILING_STATUS=MR","SCALING_FORMAT=MLN","Sort=A","Dates=H","DateFormat=P","Fill=—","Direction=H","UseDPDF=Y")</f>
        <v>-121.423</v>
      </c>
      <c r="Q78" s="13">
        <f>_xll.BDH("SRPT US Equity","ARDR_OTHER_INVENTORY","FQ2 2022","FQ2 2022","Currency=USD","Period=FQ","BEST_FPERIOD_OVERRIDE=FQ","FILING_STATUS=MR","SCALING_FORMAT=MLN","Sort=A","Dates=H","DateFormat=P","Fill=—","Direction=H","UseDPDF=Y")</f>
        <v>-123.002</v>
      </c>
      <c r="R78" s="13">
        <f>_xll.BDH("SRPT US Equity","ARDR_OTHER_INVENTORY","FQ3 2022","FQ3 2022","Currency=USD","Period=FQ","BEST_FPERIOD_OVERRIDE=FQ","FILING_STATUS=MR","SCALING_FORMAT=MLN","Sort=A","Dates=H","DateFormat=P","Fill=—","Direction=H","UseDPDF=Y")</f>
        <v>-136.441</v>
      </c>
      <c r="S78" s="13" t="str">
        <f>_xll.BDH("SRPT US Equity","ARDR_OTHER_INVENTORY","FQ4 2022","FQ4 2022","Currency=USD","Period=FQ","BEST_FPERIOD_OVERRIDE=FQ","FILING_STATUS=MR","SCALING_FORMAT=MLN","Sort=A","Dates=H","DateFormat=P","Fill=—","Direction=H","UseDPDF=Y")</f>
        <v>—</v>
      </c>
      <c r="T78" s="13">
        <f>_xll.BDH("SRPT US Equity","ARDR_OTHER_INVENTORY","FQ1 2023","FQ1 2023","Currency=USD","Period=FQ","BEST_FPERIOD_OVERRIDE=FQ","FILING_STATUS=MR","SCALING_FORMAT=MLN","Sort=A","Dates=H","DateFormat=P","Fill=—","Direction=H","UseDPDF=Y")</f>
        <v>-164.14400000000001</v>
      </c>
      <c r="U78" s="13">
        <f>_xll.BDH("SRPT US Equity","ARDR_OTHER_INVENTORY","FQ2 2023","FQ2 2023","Currency=USD","Period=FQ","BEST_FPERIOD_OVERRIDE=FQ","FILING_STATUS=MR","SCALING_FORMAT=MLN","Sort=A","Dates=H","DateFormat=P","Fill=—","Direction=H","UseDPDF=Y")</f>
        <v>-166.63499999999999</v>
      </c>
      <c r="V78" s="13">
        <f>_xll.BDH("SRPT US Equity","ARDR_OTHER_INVENTORY","FQ3 2023","FQ3 2023","Currency=USD","Period=FQ","BEST_FPERIOD_OVERRIDE=FQ","FILING_STATUS=MR","SCALING_FORMAT=MLN","Sort=A","Dates=H","DateFormat=P","Fill=—","Direction=H","UseDPDF=Y")</f>
        <v>-176.11199999999999</v>
      </c>
      <c r="W78" s="13" t="str">
        <f>_xll.BDH("SRPT US Equity","ARDR_OTHER_INVENTORY","FQ4 2023","FQ4 2023","Currency=USD","Period=FQ","BEST_FPERIOD_OVERRIDE=FQ","FILING_STATUS=MR","SCALING_FORMAT=MLN","Sort=A","Dates=H","DateFormat=P","Fill=—","Direction=H","UseDPDF=Y")</f>
        <v>—</v>
      </c>
      <c r="X78" s="13">
        <f>_xll.BDH("SRPT US Equity","ARDR_OTHER_INVENTORY","FQ1 2024","FQ1 2024","Currency=USD","Period=FQ","BEST_FPERIOD_OVERRIDE=FQ","FILING_STATUS=MR","SCALING_FORMAT=MLN","Sort=A","Dates=H","DateFormat=P","Fill=—","Direction=H","UseDPDF=Y")</f>
        <v>-207.542</v>
      </c>
      <c r="Y78" s="13">
        <f>_xll.BDH("SRPT US Equity","ARDR_OTHER_INVENTORY","FQ2 2024","FQ2 2024","Currency=USD","Period=FQ","BEST_FPERIOD_OVERRIDE=FQ","FILING_STATUS=MR","SCALING_FORMAT=MLN","Sort=A","Dates=H","DateFormat=P","Fill=—","Direction=H","UseDPDF=Y")</f>
        <v>-204.691</v>
      </c>
      <c r="Z78" s="13">
        <f>_xll.BDH("SRPT US Equity","ARDR_OTHER_INVENTORY","FQ3 2024","FQ3 2024","Currency=USD","Period=FQ","BEST_FPERIOD_OVERRIDE=FQ","FILING_STATUS=MR","SCALING_FORMAT=MLN","Sort=A","Dates=H","DateFormat=P","Fill=—","Direction=H","UseDPDF=Y")</f>
        <v>-202.55</v>
      </c>
      <c r="AA78" s="13">
        <f>_xll.BDH("SRPT US Equity","ARDR_OTHER_INVENTORY","FQ4 2024","FQ4 2024","Currency=USD","Period=FQ","BEST_FPERIOD_OVERRIDE=FQ","FILING_STATUS=MR","SCALING_FORMAT=MLN","Sort=A","Dates=H","DateFormat=P","Fill=—","Direction=H","UseDPDF=Y")</f>
        <v>-187.98599999999999</v>
      </c>
    </row>
    <row r="79" spans="1:27" x14ac:dyDescent="0.25">
      <c r="A79" s="10" t="s">
        <v>826</v>
      </c>
      <c r="B79" s="10" t="s">
        <v>963</v>
      </c>
      <c r="C79" s="13">
        <f>_xll.BDH("SRPT US Equity","ARDR_FUT_MIN_OPER_LEASE_OBLIG","FQ4 2018","FQ4 2018","Currency=USD","Period=FQ","BEST_FPERIOD_OVERRIDE=FQ","FILING_STATUS=MR","SCALING_FORMAT=MLN","Sort=A","Dates=H","DateFormat=P","Fill=—","Direction=H","UseDPDF=Y")</f>
        <v>77.72</v>
      </c>
      <c r="D79" s="13">
        <f>_xll.BDH("SRPT US Equity","ARDR_FUT_MIN_OPER_LEASE_OBLIG","FQ1 2019","FQ1 2019","Currency=USD","Period=FQ","BEST_FPERIOD_OVERRIDE=FQ","FILING_STATUS=MR","SCALING_FORMAT=MLN","Sort=A","Dates=H","DateFormat=P","Fill=—","Direction=H","UseDPDF=Y")</f>
        <v>74.111999999999995</v>
      </c>
      <c r="E79" s="13">
        <f>_xll.BDH("SRPT US Equity","ARDR_FUT_MIN_OPER_LEASE_OBLIG","FQ2 2019","FQ2 2019","Currency=USD","Period=FQ","BEST_FPERIOD_OVERRIDE=FQ","FILING_STATUS=MR","SCALING_FORMAT=MLN","Sort=A","Dates=H","DateFormat=P","Fill=—","Direction=H","UseDPDF=Y")</f>
        <v>71.518000000000001</v>
      </c>
      <c r="F79" s="13">
        <f>_xll.BDH("SRPT US Equity","ARDR_FUT_MIN_OPER_LEASE_OBLIG","FQ3 2019","FQ3 2019","Currency=USD","Period=FQ","BEST_FPERIOD_OVERRIDE=FQ","FILING_STATUS=MR","SCALING_FORMAT=MLN","Sort=A","Dates=H","DateFormat=P","Fill=—","Direction=H","UseDPDF=Y")</f>
        <v>70.852999999999994</v>
      </c>
      <c r="G79" s="13">
        <f>_xll.BDH("SRPT US Equity","ARDR_FUT_MIN_OPER_LEASE_OBLIG","FQ4 2019","FQ4 2019","Currency=USD","Period=FQ","BEST_FPERIOD_OVERRIDE=FQ","FILING_STATUS=MR","SCALING_FORMAT=MLN","Sort=A","Dates=H","DateFormat=P","Fill=—","Direction=H","UseDPDF=Y")</f>
        <v>68.043999999999997</v>
      </c>
      <c r="H79" s="13">
        <f>_xll.BDH("SRPT US Equity","ARDR_FUT_MIN_OPER_LEASE_OBLIG","FQ1 2020","FQ1 2020","Currency=USD","Period=FQ","BEST_FPERIOD_OVERRIDE=FQ","FILING_STATUS=MR","SCALING_FORMAT=MLN","Sort=A","Dates=H","DateFormat=P","Fill=—","Direction=H","UseDPDF=Y")</f>
        <v>64.917000000000002</v>
      </c>
      <c r="I79" s="13">
        <f>_xll.BDH("SRPT US Equity","ARDR_FUT_MIN_OPER_LEASE_OBLIG","FQ2 2020","FQ2 2020","Currency=USD","Period=FQ","BEST_FPERIOD_OVERRIDE=FQ","FILING_STATUS=MR","SCALING_FORMAT=MLN","Sort=A","Dates=H","DateFormat=P","Fill=—","Direction=H","UseDPDF=Y")</f>
        <v>64.206000000000003</v>
      </c>
      <c r="J79" s="13">
        <f>_xll.BDH("SRPT US Equity","ARDR_FUT_MIN_OPER_LEASE_OBLIG","FQ3 2020","FQ3 2020","Currency=USD","Period=FQ","BEST_FPERIOD_OVERRIDE=FQ","FILING_STATUS=MR","SCALING_FORMAT=MLN","Sort=A","Dates=H","DateFormat=P","Fill=—","Direction=H","UseDPDF=Y")</f>
        <v>61.290999999999997</v>
      </c>
      <c r="K79" s="13">
        <f>_xll.BDH("SRPT US Equity","ARDR_FUT_MIN_OPER_LEASE_OBLIG","FQ4 2020","FQ4 2020","Currency=USD","Period=FQ","BEST_FPERIOD_OVERRIDE=FQ","FILING_STATUS=MR","SCALING_FORMAT=MLN","Sort=A","Dates=H","DateFormat=P","Fill=—","Direction=H","UseDPDF=Y")</f>
        <v>119.44499999999999</v>
      </c>
      <c r="L79" s="13">
        <f>_xll.BDH("SRPT US Equity","ARDR_FUT_MIN_OPER_LEASE_OBLIG","FQ1 2021","FQ1 2021","Currency=USD","Period=FQ","BEST_FPERIOD_OVERRIDE=FQ","FILING_STATUS=MR","SCALING_FORMAT=MLN","Sort=A","Dates=H","DateFormat=P","Fill=—","Direction=H","UseDPDF=Y")</f>
        <v>55.009</v>
      </c>
      <c r="M79" s="13">
        <f>_xll.BDH("SRPT US Equity","ARDR_FUT_MIN_OPER_LEASE_OBLIG","FQ2 2021","FQ2 2021","Currency=USD","Period=FQ","BEST_FPERIOD_OVERRIDE=FQ","FILING_STATUS=MR","SCALING_FORMAT=MLN","Sort=A","Dates=H","DateFormat=P","Fill=—","Direction=H","UseDPDF=Y")</f>
        <v>52.892000000000003</v>
      </c>
      <c r="N79" s="13">
        <f>_xll.BDH("SRPT US Equity","ARDR_FUT_MIN_OPER_LEASE_OBLIG","FQ3 2021","FQ3 2021","Currency=USD","Period=FQ","BEST_FPERIOD_OVERRIDE=FQ","FILING_STATUS=MR","SCALING_FORMAT=MLN","Sort=A","Dates=H","DateFormat=P","Fill=—","Direction=H","UseDPDF=Y")</f>
        <v>49.725000000000001</v>
      </c>
      <c r="O79" s="13">
        <f>_xll.BDH("SRPT US Equity","ARDR_FUT_MIN_OPER_LEASE_OBLIG","FQ4 2021","FQ4 2021","Currency=USD","Period=FQ","BEST_FPERIOD_OVERRIDE=FQ","FILING_STATUS=MR","SCALING_FORMAT=MLN","Sort=A","Dates=H","DateFormat=P","Fill=—","Direction=H","UseDPDF=Y")</f>
        <v>64.233000000000004</v>
      </c>
      <c r="P79" s="13" t="str">
        <f>_xll.BDH("SRPT US Equity","ARDR_FUT_MIN_OPER_LEASE_OBLIG","FQ1 2022","FQ1 2022","Currency=USD","Period=FQ","BEST_FPERIOD_OVERRIDE=FQ","FILING_STATUS=MR","SCALING_FORMAT=MLN","Sort=A","Dates=H","DateFormat=P","Fill=—","Direction=H","UseDPDF=Y")</f>
        <v>—</v>
      </c>
      <c r="Q79" s="13" t="str">
        <f>_xll.BDH("SRPT US Equity","ARDR_FUT_MIN_OPER_LEASE_OBLIG","FQ2 2022","FQ2 2022","Currency=USD","Period=FQ","BEST_FPERIOD_OVERRIDE=FQ","FILING_STATUS=MR","SCALING_FORMAT=MLN","Sort=A","Dates=H","DateFormat=P","Fill=—","Direction=H","UseDPDF=Y")</f>
        <v>—</v>
      </c>
      <c r="R79" s="13" t="str">
        <f>_xll.BDH("SRPT US Equity","ARDR_FUT_MIN_OPER_LEASE_OBLIG","FQ3 2022","FQ3 2022","Currency=USD","Period=FQ","BEST_FPERIOD_OVERRIDE=FQ","FILING_STATUS=MR","SCALING_FORMAT=MLN","Sort=A","Dates=H","DateFormat=P","Fill=—","Direction=H","UseDPDF=Y")</f>
        <v>—</v>
      </c>
      <c r="S79" s="13">
        <f>_xll.BDH("SRPT US Equity","ARDR_FUT_MIN_OPER_LEASE_OBLIG","FQ4 2022","FQ4 2022","Currency=USD","Period=FQ","BEST_FPERIOD_OVERRIDE=FQ","FILING_STATUS=MR","SCALING_FORMAT=MLN","Sort=A","Dates=H","DateFormat=P","Fill=—","Direction=H","UseDPDF=Y")</f>
        <v>101.69799999999999</v>
      </c>
      <c r="T79" s="13" t="str">
        <f>_xll.BDH("SRPT US Equity","ARDR_FUT_MIN_OPER_LEASE_OBLIG","FQ1 2023","FQ1 2023","Currency=USD","Period=FQ","BEST_FPERIOD_OVERRIDE=FQ","FILING_STATUS=MR","SCALING_FORMAT=MLN","Sort=A","Dates=H","DateFormat=P","Fill=—","Direction=H","UseDPDF=Y")</f>
        <v>—</v>
      </c>
      <c r="U79" s="13" t="str">
        <f>_xll.BDH("SRPT US Equity","ARDR_FUT_MIN_OPER_LEASE_OBLIG","FQ2 2023","FQ2 2023","Currency=USD","Period=FQ","BEST_FPERIOD_OVERRIDE=FQ","FILING_STATUS=MR","SCALING_FORMAT=MLN","Sort=A","Dates=H","DateFormat=P","Fill=—","Direction=H","UseDPDF=Y")</f>
        <v>—</v>
      </c>
      <c r="V79" s="13" t="str">
        <f>_xll.BDH("SRPT US Equity","ARDR_FUT_MIN_OPER_LEASE_OBLIG","FQ3 2023","FQ3 2023","Currency=USD","Period=FQ","BEST_FPERIOD_OVERRIDE=FQ","FILING_STATUS=MR","SCALING_FORMAT=MLN","Sort=A","Dates=H","DateFormat=P","Fill=—","Direction=H","UseDPDF=Y")</f>
        <v>—</v>
      </c>
      <c r="W79" s="13">
        <f>_xll.BDH("SRPT US Equity","ARDR_FUT_MIN_OPER_LEASE_OBLIG","FQ4 2023","FQ4 2023","Currency=USD","Period=FQ","BEST_FPERIOD_OVERRIDE=FQ","FILING_STATUS=MR","SCALING_FORMAT=MLN","Sort=A","Dates=H","DateFormat=P","Fill=—","Direction=H","UseDPDF=Y")</f>
        <v>398.642</v>
      </c>
      <c r="X79" s="13" t="str">
        <f>_xll.BDH("SRPT US Equity","ARDR_FUT_MIN_OPER_LEASE_OBLIG","FQ1 2024","FQ1 2024","Currency=USD","Period=FQ","BEST_FPERIOD_OVERRIDE=FQ","FILING_STATUS=MR","SCALING_FORMAT=MLN","Sort=A","Dates=H","DateFormat=P","Fill=—","Direction=H","UseDPDF=Y")</f>
        <v>—</v>
      </c>
      <c r="Y79" s="13" t="str">
        <f>_xll.BDH("SRPT US Equity","ARDR_FUT_MIN_OPER_LEASE_OBLIG","FQ2 2024","FQ2 2024","Currency=USD","Period=FQ","BEST_FPERIOD_OVERRIDE=FQ","FILING_STATUS=MR","SCALING_FORMAT=MLN","Sort=A","Dates=H","DateFormat=P","Fill=—","Direction=H","UseDPDF=Y")</f>
        <v>—</v>
      </c>
      <c r="Z79" s="13" t="str">
        <f>_xll.BDH("SRPT US Equity","ARDR_FUT_MIN_OPER_LEASE_OBLIG","FQ3 2024","FQ3 2024","Currency=USD","Period=FQ","BEST_FPERIOD_OVERRIDE=FQ","FILING_STATUS=MR","SCALING_FORMAT=MLN","Sort=A","Dates=H","DateFormat=P","Fill=—","Direction=H","UseDPDF=Y")</f>
        <v>—</v>
      </c>
      <c r="AA79" s="13">
        <f>_xll.BDH("SRPT US Equity","ARDR_FUT_MIN_OPER_LEASE_OBLIG","FQ4 2024","FQ4 2024","Currency=USD","Period=FQ","BEST_FPERIOD_OVERRIDE=FQ","FILING_STATUS=MR","SCALING_FORMAT=MLN","Sort=A","Dates=H","DateFormat=P","Fill=—","Direction=H","UseDPDF=Y")</f>
        <v>382.27199999999999</v>
      </c>
    </row>
    <row r="80" spans="1:27" x14ac:dyDescent="0.25">
      <c r="A80" s="10" t="s">
        <v>964</v>
      </c>
      <c r="B80" s="10" t="s">
        <v>965</v>
      </c>
      <c r="C80" s="13">
        <f>_xll.BDH("SRPT US Equity","ARDR_RENTAL_EXP_YR1","FQ4 2018","FQ4 2018","Currency=USD","Period=FQ","BEST_FPERIOD_OVERRIDE=FQ","FILING_STATUS=MR","SCALING_FORMAT=MLN","Sort=A","Dates=H","DateFormat=P","Fill=—","Direction=H","UseDPDF=Y")</f>
        <v>11.587999999999999</v>
      </c>
      <c r="D80" s="13">
        <f>_xll.BDH("SRPT US Equity","ARDR_RENTAL_EXP_YR1","FQ1 2019","FQ1 2019","Currency=USD","Period=FQ","BEST_FPERIOD_OVERRIDE=FQ","FILING_STATUS=MR","SCALING_FORMAT=MLN","Sort=A","Dates=H","DateFormat=P","Fill=—","Direction=H","UseDPDF=Y")</f>
        <v>8.0609999999999999</v>
      </c>
      <c r="E80" s="13">
        <f>_xll.BDH("SRPT US Equity","ARDR_RENTAL_EXP_YR1","FQ2 2019","FQ2 2019","Currency=USD","Period=FQ","BEST_FPERIOD_OVERRIDE=FQ","FILING_STATUS=MR","SCALING_FORMAT=MLN","Sort=A","Dates=H","DateFormat=P","Fill=—","Direction=H","UseDPDF=Y")</f>
        <v>5.4669999999999996</v>
      </c>
      <c r="F80" s="13">
        <f>_xll.BDH("SRPT US Equity","ARDR_RENTAL_EXP_YR1","FQ3 2019","FQ3 2019","Currency=USD","Period=FQ","BEST_FPERIOD_OVERRIDE=FQ","FILING_STATUS=MR","SCALING_FORMAT=MLN","Sort=A","Dates=H","DateFormat=P","Fill=—","Direction=H","UseDPDF=Y")</f>
        <v>2.8090000000000002</v>
      </c>
      <c r="G80" s="13">
        <f>_xll.BDH("SRPT US Equity","ARDR_RENTAL_EXP_YR1","FQ4 2019","FQ4 2019","Currency=USD","Period=FQ","BEST_FPERIOD_OVERRIDE=FQ","FILING_STATUS=MR","SCALING_FORMAT=MLN","Sort=A","Dates=H","DateFormat=P","Fill=—","Direction=H","UseDPDF=Y")</f>
        <v>11.718</v>
      </c>
      <c r="H80" s="13">
        <f>_xll.BDH("SRPT US Equity","ARDR_RENTAL_EXP_YR1","FQ1 2020","FQ1 2020","Currency=USD","Period=FQ","BEST_FPERIOD_OVERRIDE=FQ","FILING_STATUS=MR","SCALING_FORMAT=MLN","Sort=A","Dates=H","DateFormat=P","Fill=—","Direction=H","UseDPDF=Y")</f>
        <v>11.798999999999999</v>
      </c>
      <c r="I80" s="13">
        <f>_xll.BDH("SRPT US Equity","ARDR_RENTAL_EXP_YR1","FQ2 2020","FQ2 2020","Currency=USD","Period=FQ","BEST_FPERIOD_OVERRIDE=FQ","FILING_STATUS=MR","SCALING_FORMAT=MLN","Sort=A","Dates=H","DateFormat=P","Fill=—","Direction=H","UseDPDF=Y")</f>
        <v>13.054</v>
      </c>
      <c r="J80" s="13">
        <f>_xll.BDH("SRPT US Equity","ARDR_RENTAL_EXP_YR1","FQ3 2020","FQ3 2020","Currency=USD","Period=FQ","BEST_FPERIOD_OVERRIDE=FQ","FILING_STATUS=MR","SCALING_FORMAT=MLN","Sort=A","Dates=H","DateFormat=P","Fill=—","Direction=H","UseDPDF=Y")</f>
        <v>13.523999999999999</v>
      </c>
      <c r="K80" s="13">
        <f>_xll.BDH("SRPT US Equity","ARDR_RENTAL_EXP_YR1","FQ4 2020","FQ4 2020","Currency=USD","Period=FQ","BEST_FPERIOD_OVERRIDE=FQ","FILING_STATUS=MR","SCALING_FORMAT=MLN","Sort=A","Dates=H","DateFormat=P","Fill=—","Direction=H","UseDPDF=Y")</f>
        <v>27.846</v>
      </c>
      <c r="L80" s="13">
        <f>_xll.BDH("SRPT US Equity","ARDR_RENTAL_EXP_YR1","FQ1 2021","FQ1 2021","Currency=USD","Period=FQ","BEST_FPERIOD_OVERRIDE=FQ","FILING_STATUS=MR","SCALING_FORMAT=MLN","Sort=A","Dates=H","DateFormat=P","Fill=—","Direction=H","UseDPDF=Y")</f>
        <v>13.693</v>
      </c>
      <c r="M80" s="13">
        <f>_xll.BDH("SRPT US Equity","ARDR_RENTAL_EXP_YR1","FQ2 2021","FQ2 2021","Currency=USD","Period=FQ","BEST_FPERIOD_OVERRIDE=FQ","FILING_STATUS=MR","SCALING_FORMAT=MLN","Sort=A","Dates=H","DateFormat=P","Fill=—","Direction=H","UseDPDF=Y")</f>
        <v>13.445</v>
      </c>
      <c r="N80" s="13">
        <f>_xll.BDH("SRPT US Equity","ARDR_RENTAL_EXP_YR1","FQ3 2021","FQ3 2021","Currency=USD","Period=FQ","BEST_FPERIOD_OVERRIDE=FQ","FILING_STATUS=MR","SCALING_FORMAT=MLN","Sort=A","Dates=H","DateFormat=P","Fill=—","Direction=H","UseDPDF=Y")</f>
        <v>13.167999999999999</v>
      </c>
      <c r="O80" s="13">
        <f>_xll.BDH("SRPT US Equity","ARDR_RENTAL_EXP_YR1","FQ4 2021","FQ4 2021","Currency=USD","Period=FQ","BEST_FPERIOD_OVERRIDE=FQ","FILING_STATUS=MR","SCALING_FORMAT=MLN","Sort=A","Dates=H","DateFormat=P","Fill=—","Direction=H","UseDPDF=Y")</f>
        <v>18.702000000000002</v>
      </c>
      <c r="P80" s="13" t="str">
        <f>_xll.BDH("SRPT US Equity","ARDR_RENTAL_EXP_YR1","FQ1 2022","FQ1 2022","Currency=USD","Period=FQ","BEST_FPERIOD_OVERRIDE=FQ","FILING_STATUS=MR","SCALING_FORMAT=MLN","Sort=A","Dates=H","DateFormat=P","Fill=—","Direction=H","UseDPDF=Y")</f>
        <v>—</v>
      </c>
      <c r="Q80" s="13" t="str">
        <f>_xll.BDH("SRPT US Equity","ARDR_RENTAL_EXP_YR1","FQ2 2022","FQ2 2022","Currency=USD","Period=FQ","BEST_FPERIOD_OVERRIDE=FQ","FILING_STATUS=MR","SCALING_FORMAT=MLN","Sort=A","Dates=H","DateFormat=P","Fill=—","Direction=H","UseDPDF=Y")</f>
        <v>—</v>
      </c>
      <c r="R80" s="13" t="str">
        <f>_xll.BDH("SRPT US Equity","ARDR_RENTAL_EXP_YR1","FQ3 2022","FQ3 2022","Currency=USD","Period=FQ","BEST_FPERIOD_OVERRIDE=FQ","FILING_STATUS=MR","SCALING_FORMAT=MLN","Sort=A","Dates=H","DateFormat=P","Fill=—","Direction=H","UseDPDF=Y")</f>
        <v>—</v>
      </c>
      <c r="S80" s="13">
        <f>_xll.BDH("SRPT US Equity","ARDR_RENTAL_EXP_YR1","FQ4 2022","FQ4 2022","Currency=USD","Period=FQ","BEST_FPERIOD_OVERRIDE=FQ","FILING_STATUS=MR","SCALING_FORMAT=MLN","Sort=A","Dates=H","DateFormat=P","Fill=—","Direction=H","UseDPDF=Y")</f>
        <v>21.045999999999999</v>
      </c>
      <c r="T80" s="13" t="str">
        <f>_xll.BDH("SRPT US Equity","ARDR_RENTAL_EXP_YR1","FQ1 2023","FQ1 2023","Currency=USD","Period=FQ","BEST_FPERIOD_OVERRIDE=FQ","FILING_STATUS=MR","SCALING_FORMAT=MLN","Sort=A","Dates=H","DateFormat=P","Fill=—","Direction=H","UseDPDF=Y")</f>
        <v>—</v>
      </c>
      <c r="U80" s="13" t="str">
        <f>_xll.BDH("SRPT US Equity","ARDR_RENTAL_EXP_YR1","FQ2 2023","FQ2 2023","Currency=USD","Period=FQ","BEST_FPERIOD_OVERRIDE=FQ","FILING_STATUS=MR","SCALING_FORMAT=MLN","Sort=A","Dates=H","DateFormat=P","Fill=—","Direction=H","UseDPDF=Y")</f>
        <v>—</v>
      </c>
      <c r="V80" s="13" t="str">
        <f>_xll.BDH("SRPT US Equity","ARDR_RENTAL_EXP_YR1","FQ3 2023","FQ3 2023","Currency=USD","Period=FQ","BEST_FPERIOD_OVERRIDE=FQ","FILING_STATUS=MR","SCALING_FORMAT=MLN","Sort=A","Dates=H","DateFormat=P","Fill=—","Direction=H","UseDPDF=Y")</f>
        <v>—</v>
      </c>
      <c r="W80" s="13">
        <f>_xll.BDH("SRPT US Equity","ARDR_RENTAL_EXP_YR1","FQ4 2023","FQ4 2023","Currency=USD","Period=FQ","BEST_FPERIOD_OVERRIDE=FQ","FILING_STATUS=MR","SCALING_FORMAT=MLN","Sort=A","Dates=H","DateFormat=P","Fill=—","Direction=H","UseDPDF=Y")</f>
        <v>33.718000000000004</v>
      </c>
      <c r="X80" s="13" t="str">
        <f>_xll.BDH("SRPT US Equity","ARDR_RENTAL_EXP_YR1","FQ1 2024","FQ1 2024","Currency=USD","Period=FQ","BEST_FPERIOD_OVERRIDE=FQ","FILING_STATUS=MR","SCALING_FORMAT=MLN","Sort=A","Dates=H","DateFormat=P","Fill=—","Direction=H","UseDPDF=Y")</f>
        <v>—</v>
      </c>
      <c r="Y80" s="13" t="str">
        <f>_xll.BDH("SRPT US Equity","ARDR_RENTAL_EXP_YR1","FQ2 2024","FQ2 2024","Currency=USD","Period=FQ","BEST_FPERIOD_OVERRIDE=FQ","FILING_STATUS=MR","SCALING_FORMAT=MLN","Sort=A","Dates=H","DateFormat=P","Fill=—","Direction=H","UseDPDF=Y")</f>
        <v>—</v>
      </c>
      <c r="Z80" s="13" t="str">
        <f>_xll.BDH("SRPT US Equity","ARDR_RENTAL_EXP_YR1","FQ3 2024","FQ3 2024","Currency=USD","Period=FQ","BEST_FPERIOD_OVERRIDE=FQ","FILING_STATUS=MR","SCALING_FORMAT=MLN","Sort=A","Dates=H","DateFormat=P","Fill=—","Direction=H","UseDPDF=Y")</f>
        <v>—</v>
      </c>
      <c r="AA80" s="13">
        <f>_xll.BDH("SRPT US Equity","ARDR_RENTAL_EXP_YR1","FQ4 2024","FQ4 2024","Currency=USD","Period=FQ","BEST_FPERIOD_OVERRIDE=FQ","FILING_STATUS=MR","SCALING_FORMAT=MLN","Sort=A","Dates=H","DateFormat=P","Fill=—","Direction=H","UseDPDF=Y")</f>
        <v>31.757999999999999</v>
      </c>
    </row>
    <row r="81" spans="1:27" x14ac:dyDescent="0.25">
      <c r="A81" s="10" t="s">
        <v>966</v>
      </c>
      <c r="B81" s="10" t="s">
        <v>967</v>
      </c>
      <c r="C81" s="13">
        <f>_xll.BDH("SRPT US Equity","ARDR_RENTAL_EXP_YR2","FQ4 2018","FQ4 2018","Currency=USD","Period=FQ","BEST_FPERIOD_OVERRIDE=FQ","FILING_STATUS=MR","SCALING_FORMAT=MLN","Sort=A","Dates=H","DateFormat=P","Fill=—","Direction=H","UseDPDF=Y")</f>
        <v>11.395</v>
      </c>
      <c r="D81" s="13">
        <f>_xll.BDH("SRPT US Equity","ARDR_RENTAL_EXP_YR2","FQ1 2019","FQ1 2019","Currency=USD","Period=FQ","BEST_FPERIOD_OVERRIDE=FQ","FILING_STATUS=MR","SCALING_FORMAT=MLN","Sort=A","Dates=H","DateFormat=P","Fill=—","Direction=H","UseDPDF=Y")</f>
        <v>11.395</v>
      </c>
      <c r="E81" s="13">
        <f>_xll.BDH("SRPT US Equity","ARDR_RENTAL_EXP_YR2","FQ2 2019","FQ2 2019","Currency=USD","Period=FQ","BEST_FPERIOD_OVERRIDE=FQ","FILING_STATUS=MR","SCALING_FORMAT=MLN","Sort=A","Dates=H","DateFormat=P","Fill=—","Direction=H","UseDPDF=Y")</f>
        <v>11.395</v>
      </c>
      <c r="F81" s="13">
        <f>_xll.BDH("SRPT US Equity","ARDR_RENTAL_EXP_YR2","FQ3 2019","FQ3 2019","Currency=USD","Period=FQ","BEST_FPERIOD_OVERRIDE=FQ","FILING_STATUS=MR","SCALING_FORMAT=MLN","Sort=A","Dates=H","DateFormat=P","Fill=—","Direction=H","UseDPDF=Y")</f>
        <v>11.718</v>
      </c>
      <c r="G81" s="13">
        <f>_xll.BDH("SRPT US Equity","ARDR_RENTAL_EXP_YR2","FQ4 2019","FQ4 2019","Currency=USD","Period=FQ","BEST_FPERIOD_OVERRIDE=FQ","FILING_STATUS=MR","SCALING_FORMAT=MLN","Sort=A","Dates=H","DateFormat=P","Fill=—","Direction=H","UseDPDF=Y")</f>
        <v>12.891</v>
      </c>
      <c r="H81" s="13" t="str">
        <f>_xll.BDH("SRPT US Equity","ARDR_RENTAL_EXP_YR2","FQ1 2020","FQ1 2020","Currency=USD","Period=FQ","BEST_FPERIOD_OVERRIDE=FQ","FILING_STATUS=MR","SCALING_FORMAT=MLN","Sort=A","Dates=H","DateFormat=P","Fill=—","Direction=H","UseDPDF=Y")</f>
        <v>—</v>
      </c>
      <c r="I81" s="13" t="str">
        <f>_xll.BDH("SRPT US Equity","ARDR_RENTAL_EXP_YR2","FQ2 2020","FQ2 2020","Currency=USD","Period=FQ","BEST_FPERIOD_OVERRIDE=FQ","FILING_STATUS=MR","SCALING_FORMAT=MLN","Sort=A","Dates=H","DateFormat=P","Fill=—","Direction=H","UseDPDF=Y")</f>
        <v>—</v>
      </c>
      <c r="J81" s="13" t="str">
        <f>_xll.BDH("SRPT US Equity","ARDR_RENTAL_EXP_YR2","FQ3 2020","FQ3 2020","Currency=USD","Period=FQ","BEST_FPERIOD_OVERRIDE=FQ","FILING_STATUS=MR","SCALING_FORMAT=MLN","Sort=A","Dates=H","DateFormat=P","Fill=—","Direction=H","UseDPDF=Y")</f>
        <v>—</v>
      </c>
      <c r="K81" s="13">
        <f>_xll.BDH("SRPT US Equity","ARDR_RENTAL_EXP_YR2","FQ4 2020","FQ4 2020","Currency=USD","Period=FQ","BEST_FPERIOD_OVERRIDE=FQ","FILING_STATUS=MR","SCALING_FORMAT=MLN","Sort=A","Dates=H","DateFormat=P","Fill=—","Direction=H","UseDPDF=Y")</f>
        <v>25.513000000000002</v>
      </c>
      <c r="L81" s="13" t="str">
        <f>_xll.BDH("SRPT US Equity","ARDR_RENTAL_EXP_YR2","FQ1 2021","FQ1 2021","Currency=USD","Period=FQ","BEST_FPERIOD_OVERRIDE=FQ","FILING_STATUS=MR","SCALING_FORMAT=MLN","Sort=A","Dates=H","DateFormat=P","Fill=—","Direction=H","UseDPDF=Y")</f>
        <v>—</v>
      </c>
      <c r="M81" s="13" t="str">
        <f>_xll.BDH("SRPT US Equity","ARDR_RENTAL_EXP_YR2","FQ2 2021","FQ2 2021","Currency=USD","Period=FQ","BEST_FPERIOD_OVERRIDE=FQ","FILING_STATUS=MR","SCALING_FORMAT=MLN","Sort=A","Dates=H","DateFormat=P","Fill=—","Direction=H","UseDPDF=Y")</f>
        <v>—</v>
      </c>
      <c r="N81" s="13" t="str">
        <f>_xll.BDH("SRPT US Equity","ARDR_RENTAL_EXP_YR2","FQ3 2021","FQ3 2021","Currency=USD","Period=FQ","BEST_FPERIOD_OVERRIDE=FQ","FILING_STATUS=MR","SCALING_FORMAT=MLN","Sort=A","Dates=H","DateFormat=P","Fill=—","Direction=H","UseDPDF=Y")</f>
        <v>—</v>
      </c>
      <c r="O81" s="13">
        <f>_xll.BDH("SRPT US Equity","ARDR_RENTAL_EXP_YR2","FQ4 2021","FQ4 2021","Currency=USD","Period=FQ","BEST_FPERIOD_OVERRIDE=FQ","FILING_STATUS=MR","SCALING_FORMAT=MLN","Sort=A","Dates=H","DateFormat=P","Fill=—","Direction=H","UseDPDF=Y")</f>
        <v>18.326000000000001</v>
      </c>
      <c r="P81" s="13" t="str">
        <f>_xll.BDH("SRPT US Equity","ARDR_RENTAL_EXP_YR2","FQ1 2022","FQ1 2022","Currency=USD","Period=FQ","BEST_FPERIOD_OVERRIDE=FQ","FILING_STATUS=MR","SCALING_FORMAT=MLN","Sort=A","Dates=H","DateFormat=P","Fill=—","Direction=H","UseDPDF=Y")</f>
        <v>—</v>
      </c>
      <c r="Q81" s="13" t="str">
        <f>_xll.BDH("SRPT US Equity","ARDR_RENTAL_EXP_YR2","FQ2 2022","FQ2 2022","Currency=USD","Period=FQ","BEST_FPERIOD_OVERRIDE=FQ","FILING_STATUS=MR","SCALING_FORMAT=MLN","Sort=A","Dates=H","DateFormat=P","Fill=—","Direction=H","UseDPDF=Y")</f>
        <v>—</v>
      </c>
      <c r="R81" s="13" t="str">
        <f>_xll.BDH("SRPT US Equity","ARDR_RENTAL_EXP_YR2","FQ3 2022","FQ3 2022","Currency=USD","Period=FQ","BEST_FPERIOD_OVERRIDE=FQ","FILING_STATUS=MR","SCALING_FORMAT=MLN","Sort=A","Dates=H","DateFormat=P","Fill=—","Direction=H","UseDPDF=Y")</f>
        <v>—</v>
      </c>
      <c r="S81" s="13">
        <f>_xll.BDH("SRPT US Equity","ARDR_RENTAL_EXP_YR2","FQ4 2022","FQ4 2022","Currency=USD","Period=FQ","BEST_FPERIOD_OVERRIDE=FQ","FILING_STATUS=MR","SCALING_FORMAT=MLN","Sort=A","Dates=H","DateFormat=P","Fill=—","Direction=H","UseDPDF=Y")</f>
        <v>20.754000000000001</v>
      </c>
      <c r="T81" s="13" t="str">
        <f>_xll.BDH("SRPT US Equity","ARDR_RENTAL_EXP_YR2","FQ1 2023","FQ1 2023","Currency=USD","Period=FQ","BEST_FPERIOD_OVERRIDE=FQ","FILING_STATUS=MR","SCALING_FORMAT=MLN","Sort=A","Dates=H","DateFormat=P","Fill=—","Direction=H","UseDPDF=Y")</f>
        <v>—</v>
      </c>
      <c r="U81" s="13" t="str">
        <f>_xll.BDH("SRPT US Equity","ARDR_RENTAL_EXP_YR2","FQ2 2023","FQ2 2023","Currency=USD","Period=FQ","BEST_FPERIOD_OVERRIDE=FQ","FILING_STATUS=MR","SCALING_FORMAT=MLN","Sort=A","Dates=H","DateFormat=P","Fill=—","Direction=H","UseDPDF=Y")</f>
        <v>—</v>
      </c>
      <c r="V81" s="13" t="str">
        <f>_xll.BDH("SRPT US Equity","ARDR_RENTAL_EXP_YR2","FQ3 2023","FQ3 2023","Currency=USD","Period=FQ","BEST_FPERIOD_OVERRIDE=FQ","FILING_STATUS=MR","SCALING_FORMAT=MLN","Sort=A","Dates=H","DateFormat=P","Fill=—","Direction=H","UseDPDF=Y")</f>
        <v>—</v>
      </c>
      <c r="W81" s="13">
        <f>_xll.BDH("SRPT US Equity","ARDR_RENTAL_EXP_YR2","FQ4 2023","FQ4 2023","Currency=USD","Period=FQ","BEST_FPERIOD_OVERRIDE=FQ","FILING_STATUS=MR","SCALING_FORMAT=MLN","Sort=A","Dates=H","DateFormat=P","Fill=—","Direction=H","UseDPDF=Y")</f>
        <v>34.476999999999997</v>
      </c>
      <c r="X81" s="13" t="str">
        <f>_xll.BDH("SRPT US Equity","ARDR_RENTAL_EXP_YR2","FQ1 2024","FQ1 2024","Currency=USD","Period=FQ","BEST_FPERIOD_OVERRIDE=FQ","FILING_STATUS=MR","SCALING_FORMAT=MLN","Sort=A","Dates=H","DateFormat=P","Fill=—","Direction=H","UseDPDF=Y")</f>
        <v>—</v>
      </c>
      <c r="Y81" s="13" t="str">
        <f>_xll.BDH("SRPT US Equity","ARDR_RENTAL_EXP_YR2","FQ2 2024","FQ2 2024","Currency=USD","Period=FQ","BEST_FPERIOD_OVERRIDE=FQ","FILING_STATUS=MR","SCALING_FORMAT=MLN","Sort=A","Dates=H","DateFormat=P","Fill=—","Direction=H","UseDPDF=Y")</f>
        <v>—</v>
      </c>
      <c r="Z81" s="13" t="str">
        <f>_xll.BDH("SRPT US Equity","ARDR_RENTAL_EXP_YR2","FQ3 2024","FQ3 2024","Currency=USD","Period=FQ","BEST_FPERIOD_OVERRIDE=FQ","FILING_STATUS=MR","SCALING_FORMAT=MLN","Sort=A","Dates=H","DateFormat=P","Fill=—","Direction=H","UseDPDF=Y")</f>
        <v>—</v>
      </c>
      <c r="AA81" s="13">
        <f>_xll.BDH("SRPT US Equity","ARDR_RENTAL_EXP_YR2","FQ4 2024","FQ4 2024","Currency=USD","Period=FQ","BEST_FPERIOD_OVERRIDE=FQ","FILING_STATUS=MR","SCALING_FORMAT=MLN","Sort=A","Dates=H","DateFormat=P","Fill=—","Direction=H","UseDPDF=Y")</f>
        <v>31.53</v>
      </c>
    </row>
    <row r="82" spans="1:27" x14ac:dyDescent="0.25">
      <c r="A82" s="10" t="s">
        <v>968</v>
      </c>
      <c r="B82" s="10" t="s">
        <v>969</v>
      </c>
      <c r="C82" s="13">
        <f>_xll.BDH("SRPT US Equity","ARDR_RENTAL_EXP_YR3","FQ4 2018","FQ4 2018","Currency=USD","Period=FQ","BEST_FPERIOD_OVERRIDE=FQ","FILING_STATUS=MR","SCALING_FORMAT=MLN","Sort=A","Dates=H","DateFormat=P","Fill=—","Direction=H","UseDPDF=Y")</f>
        <v>12.558</v>
      </c>
      <c r="D82" s="13">
        <f>_xll.BDH("SRPT US Equity","ARDR_RENTAL_EXP_YR3","FQ1 2019","FQ1 2019","Currency=USD","Period=FQ","BEST_FPERIOD_OVERRIDE=FQ","FILING_STATUS=MR","SCALING_FORMAT=MLN","Sort=A","Dates=H","DateFormat=P","Fill=—","Direction=H","UseDPDF=Y")</f>
        <v>12.558</v>
      </c>
      <c r="E82" s="13">
        <f>_xll.BDH("SRPT US Equity","ARDR_RENTAL_EXP_YR3","FQ2 2019","FQ2 2019","Currency=USD","Period=FQ","BEST_FPERIOD_OVERRIDE=FQ","FILING_STATUS=MR","SCALING_FORMAT=MLN","Sort=A","Dates=H","DateFormat=P","Fill=—","Direction=H","UseDPDF=Y")</f>
        <v>12.558</v>
      </c>
      <c r="F82" s="13">
        <f>_xll.BDH("SRPT US Equity","ARDR_RENTAL_EXP_YR3","FQ3 2019","FQ3 2019","Currency=USD","Period=FQ","BEST_FPERIOD_OVERRIDE=FQ","FILING_STATUS=MR","SCALING_FORMAT=MLN","Sort=A","Dates=H","DateFormat=P","Fill=—","Direction=H","UseDPDF=Y")</f>
        <v>12.89</v>
      </c>
      <c r="G82" s="13">
        <f>_xll.BDH("SRPT US Equity","ARDR_RENTAL_EXP_YR3","FQ4 2019","FQ4 2019","Currency=USD","Period=FQ","BEST_FPERIOD_OVERRIDE=FQ","FILING_STATUS=MR","SCALING_FORMAT=MLN","Sort=A","Dates=H","DateFormat=P","Fill=—","Direction=H","UseDPDF=Y")</f>
        <v>11.08</v>
      </c>
      <c r="H82" s="13" t="str">
        <f>_xll.BDH("SRPT US Equity","ARDR_RENTAL_EXP_YR3","FQ1 2020","FQ1 2020","Currency=USD","Period=FQ","BEST_FPERIOD_OVERRIDE=FQ","FILING_STATUS=MR","SCALING_FORMAT=MLN","Sort=A","Dates=H","DateFormat=P","Fill=—","Direction=H","UseDPDF=Y")</f>
        <v>—</v>
      </c>
      <c r="I82" s="13" t="str">
        <f>_xll.BDH("SRPT US Equity","ARDR_RENTAL_EXP_YR3","FQ2 2020","FQ2 2020","Currency=USD","Period=FQ","BEST_FPERIOD_OVERRIDE=FQ","FILING_STATUS=MR","SCALING_FORMAT=MLN","Sort=A","Dates=H","DateFormat=P","Fill=—","Direction=H","UseDPDF=Y")</f>
        <v>—</v>
      </c>
      <c r="J82" s="13" t="str">
        <f>_xll.BDH("SRPT US Equity","ARDR_RENTAL_EXP_YR3","FQ3 2020","FQ3 2020","Currency=USD","Period=FQ","BEST_FPERIOD_OVERRIDE=FQ","FILING_STATUS=MR","SCALING_FORMAT=MLN","Sort=A","Dates=H","DateFormat=P","Fill=—","Direction=H","UseDPDF=Y")</f>
        <v>—</v>
      </c>
      <c r="K82" s="13">
        <f>_xll.BDH("SRPT US Equity","ARDR_RENTAL_EXP_YR3","FQ4 2020","FQ4 2020","Currency=USD","Period=FQ","BEST_FPERIOD_OVERRIDE=FQ","FILING_STATUS=MR","SCALING_FORMAT=MLN","Sort=A","Dates=H","DateFormat=P","Fill=—","Direction=H","UseDPDF=Y")</f>
        <v>25.614999999999998</v>
      </c>
      <c r="L82" s="13" t="str">
        <f>_xll.BDH("SRPT US Equity","ARDR_RENTAL_EXP_YR3","FQ1 2021","FQ1 2021","Currency=USD","Period=FQ","BEST_FPERIOD_OVERRIDE=FQ","FILING_STATUS=MR","SCALING_FORMAT=MLN","Sort=A","Dates=H","DateFormat=P","Fill=—","Direction=H","UseDPDF=Y")</f>
        <v>—</v>
      </c>
      <c r="M82" s="13" t="str">
        <f>_xll.BDH("SRPT US Equity","ARDR_RENTAL_EXP_YR3","FQ2 2021","FQ2 2021","Currency=USD","Period=FQ","BEST_FPERIOD_OVERRIDE=FQ","FILING_STATUS=MR","SCALING_FORMAT=MLN","Sort=A","Dates=H","DateFormat=P","Fill=—","Direction=H","UseDPDF=Y")</f>
        <v>—</v>
      </c>
      <c r="N82" s="13" t="str">
        <f>_xll.BDH("SRPT US Equity","ARDR_RENTAL_EXP_YR3","FQ3 2021","FQ3 2021","Currency=USD","Period=FQ","BEST_FPERIOD_OVERRIDE=FQ","FILING_STATUS=MR","SCALING_FORMAT=MLN","Sort=A","Dates=H","DateFormat=P","Fill=—","Direction=H","UseDPDF=Y")</f>
        <v>—</v>
      </c>
      <c r="O82" s="13">
        <f>_xll.BDH("SRPT US Equity","ARDR_RENTAL_EXP_YR3","FQ4 2021","FQ4 2021","Currency=USD","Period=FQ","BEST_FPERIOD_OVERRIDE=FQ","FILING_STATUS=MR","SCALING_FORMAT=MLN","Sort=A","Dates=H","DateFormat=P","Fill=—","Direction=H","UseDPDF=Y")</f>
        <v>17.582000000000001</v>
      </c>
      <c r="P82" s="13" t="str">
        <f>_xll.BDH("SRPT US Equity","ARDR_RENTAL_EXP_YR3","FQ1 2022","FQ1 2022","Currency=USD","Period=FQ","BEST_FPERIOD_OVERRIDE=FQ","FILING_STATUS=MR","SCALING_FORMAT=MLN","Sort=A","Dates=H","DateFormat=P","Fill=—","Direction=H","UseDPDF=Y")</f>
        <v>—</v>
      </c>
      <c r="Q82" s="13" t="str">
        <f>_xll.BDH("SRPT US Equity","ARDR_RENTAL_EXP_YR3","FQ2 2022","FQ2 2022","Currency=USD","Period=FQ","BEST_FPERIOD_OVERRIDE=FQ","FILING_STATUS=MR","SCALING_FORMAT=MLN","Sort=A","Dates=H","DateFormat=P","Fill=—","Direction=H","UseDPDF=Y")</f>
        <v>—</v>
      </c>
      <c r="R82" s="13" t="str">
        <f>_xll.BDH("SRPT US Equity","ARDR_RENTAL_EXP_YR3","FQ3 2022","FQ3 2022","Currency=USD","Period=FQ","BEST_FPERIOD_OVERRIDE=FQ","FILING_STATUS=MR","SCALING_FORMAT=MLN","Sort=A","Dates=H","DateFormat=P","Fill=—","Direction=H","UseDPDF=Y")</f>
        <v>—</v>
      </c>
      <c r="S82" s="13">
        <f>_xll.BDH("SRPT US Equity","ARDR_RENTAL_EXP_YR3","FQ4 2022","FQ4 2022","Currency=USD","Period=FQ","BEST_FPERIOD_OVERRIDE=FQ","FILING_STATUS=MR","SCALING_FORMAT=MLN","Sort=A","Dates=H","DateFormat=P","Fill=—","Direction=H","UseDPDF=Y")</f>
        <v>15.324</v>
      </c>
      <c r="T82" s="13" t="str">
        <f>_xll.BDH("SRPT US Equity","ARDR_RENTAL_EXP_YR3","FQ1 2023","FQ1 2023","Currency=USD","Period=FQ","BEST_FPERIOD_OVERRIDE=FQ","FILING_STATUS=MR","SCALING_FORMAT=MLN","Sort=A","Dates=H","DateFormat=P","Fill=—","Direction=H","UseDPDF=Y")</f>
        <v>—</v>
      </c>
      <c r="U82" s="13" t="str">
        <f>_xll.BDH("SRPT US Equity","ARDR_RENTAL_EXP_YR3","FQ2 2023","FQ2 2023","Currency=USD","Period=FQ","BEST_FPERIOD_OVERRIDE=FQ","FILING_STATUS=MR","SCALING_FORMAT=MLN","Sort=A","Dates=H","DateFormat=P","Fill=—","Direction=H","UseDPDF=Y")</f>
        <v>—</v>
      </c>
      <c r="V82" s="13" t="str">
        <f>_xll.BDH("SRPT US Equity","ARDR_RENTAL_EXP_YR3","FQ3 2023","FQ3 2023","Currency=USD","Period=FQ","BEST_FPERIOD_OVERRIDE=FQ","FILING_STATUS=MR","SCALING_FORMAT=MLN","Sort=A","Dates=H","DateFormat=P","Fill=—","Direction=H","UseDPDF=Y")</f>
        <v>—</v>
      </c>
      <c r="W82" s="13">
        <f>_xll.BDH("SRPT US Equity","ARDR_RENTAL_EXP_YR3","FQ4 2023","FQ4 2023","Currency=USD","Period=FQ","BEST_FPERIOD_OVERRIDE=FQ","FILING_STATUS=MR","SCALING_FORMAT=MLN","Sort=A","Dates=H","DateFormat=P","Fill=—","Direction=H","UseDPDF=Y")</f>
        <v>28.006</v>
      </c>
      <c r="X82" s="13" t="str">
        <f>_xll.BDH("SRPT US Equity","ARDR_RENTAL_EXP_YR3","FQ1 2024","FQ1 2024","Currency=USD","Period=FQ","BEST_FPERIOD_OVERRIDE=FQ","FILING_STATUS=MR","SCALING_FORMAT=MLN","Sort=A","Dates=H","DateFormat=P","Fill=—","Direction=H","UseDPDF=Y")</f>
        <v>—</v>
      </c>
      <c r="Y82" s="13" t="str">
        <f>_xll.BDH("SRPT US Equity","ARDR_RENTAL_EXP_YR3","FQ2 2024","FQ2 2024","Currency=USD","Period=FQ","BEST_FPERIOD_OVERRIDE=FQ","FILING_STATUS=MR","SCALING_FORMAT=MLN","Sort=A","Dates=H","DateFormat=P","Fill=—","Direction=H","UseDPDF=Y")</f>
        <v>—</v>
      </c>
      <c r="Z82" s="13" t="str">
        <f>_xll.BDH("SRPT US Equity","ARDR_RENTAL_EXP_YR3","FQ3 2024","FQ3 2024","Currency=USD","Period=FQ","BEST_FPERIOD_OVERRIDE=FQ","FILING_STATUS=MR","SCALING_FORMAT=MLN","Sort=A","Dates=H","DateFormat=P","Fill=—","Direction=H","UseDPDF=Y")</f>
        <v>—</v>
      </c>
      <c r="AA82" s="13">
        <f>_xll.BDH("SRPT US Equity","ARDR_RENTAL_EXP_YR3","FQ4 2024","FQ4 2024","Currency=USD","Period=FQ","BEST_FPERIOD_OVERRIDE=FQ","FILING_STATUS=MR","SCALING_FORMAT=MLN","Sort=A","Dates=H","DateFormat=P","Fill=—","Direction=H","UseDPDF=Y")</f>
        <v>31.556000000000001</v>
      </c>
    </row>
    <row r="83" spans="1:27" x14ac:dyDescent="0.25">
      <c r="A83" s="10" t="s">
        <v>970</v>
      </c>
      <c r="B83" s="10" t="s">
        <v>971</v>
      </c>
      <c r="C83" s="13">
        <f>_xll.BDH("SRPT US Equity","ARDR_RENTAL_EXP_YR4","FQ4 2018","FQ4 2018","Currency=USD","Period=FQ","BEST_FPERIOD_OVERRIDE=FQ","FILING_STATUS=MR","SCALING_FORMAT=MLN","Sort=A","Dates=H","DateFormat=P","Fill=—","Direction=H","UseDPDF=Y")</f>
        <v>10.757</v>
      </c>
      <c r="D83" s="13">
        <f>_xll.BDH("SRPT US Equity","ARDR_RENTAL_EXP_YR4","FQ1 2019","FQ1 2019","Currency=USD","Period=FQ","BEST_FPERIOD_OVERRIDE=FQ","FILING_STATUS=MR","SCALING_FORMAT=MLN","Sort=A","Dates=H","DateFormat=P","Fill=—","Direction=H","UseDPDF=Y")</f>
        <v>10.737</v>
      </c>
      <c r="E83" s="13">
        <f>_xll.BDH("SRPT US Equity","ARDR_RENTAL_EXP_YR4","FQ2 2019","FQ2 2019","Currency=USD","Period=FQ","BEST_FPERIOD_OVERRIDE=FQ","FILING_STATUS=MR","SCALING_FORMAT=MLN","Sort=A","Dates=H","DateFormat=P","Fill=—","Direction=H","UseDPDF=Y")</f>
        <v>10.737</v>
      </c>
      <c r="F83" s="13">
        <f>_xll.BDH("SRPT US Equity","ARDR_RENTAL_EXP_YR4","FQ3 2019","FQ3 2019","Currency=USD","Period=FQ","BEST_FPERIOD_OVERRIDE=FQ","FILING_STATUS=MR","SCALING_FORMAT=MLN","Sort=A","Dates=H","DateFormat=P","Fill=—","Direction=H","UseDPDF=Y")</f>
        <v>11.08</v>
      </c>
      <c r="G83" s="13">
        <f>_xll.BDH("SRPT US Equity","ARDR_RENTAL_EXP_YR4","FQ4 2019","FQ4 2019","Currency=USD","Period=FQ","BEST_FPERIOD_OVERRIDE=FQ","FILING_STATUS=MR","SCALING_FORMAT=MLN","Sort=A","Dates=H","DateFormat=P","Fill=—","Direction=H","UseDPDF=Y")</f>
        <v>11.23</v>
      </c>
      <c r="H83" s="13" t="str">
        <f>_xll.BDH("SRPT US Equity","ARDR_RENTAL_EXP_YR4","FQ1 2020","FQ1 2020","Currency=USD","Period=FQ","BEST_FPERIOD_OVERRIDE=FQ","FILING_STATUS=MR","SCALING_FORMAT=MLN","Sort=A","Dates=H","DateFormat=P","Fill=—","Direction=H","UseDPDF=Y")</f>
        <v>—</v>
      </c>
      <c r="I83" s="13" t="str">
        <f>_xll.BDH("SRPT US Equity","ARDR_RENTAL_EXP_YR4","FQ2 2020","FQ2 2020","Currency=USD","Period=FQ","BEST_FPERIOD_OVERRIDE=FQ","FILING_STATUS=MR","SCALING_FORMAT=MLN","Sort=A","Dates=H","DateFormat=P","Fill=—","Direction=H","UseDPDF=Y")</f>
        <v>—</v>
      </c>
      <c r="J83" s="13" t="str">
        <f>_xll.BDH("SRPT US Equity","ARDR_RENTAL_EXP_YR4","FQ3 2020","FQ3 2020","Currency=USD","Period=FQ","BEST_FPERIOD_OVERRIDE=FQ","FILING_STATUS=MR","SCALING_FORMAT=MLN","Sort=A","Dates=H","DateFormat=P","Fill=—","Direction=H","UseDPDF=Y")</f>
        <v>—</v>
      </c>
      <c r="K83" s="13">
        <f>_xll.BDH("SRPT US Equity","ARDR_RENTAL_EXP_YR4","FQ4 2020","FQ4 2020","Currency=USD","Period=FQ","BEST_FPERIOD_OVERRIDE=FQ","FILING_STATUS=MR","SCALING_FORMAT=MLN","Sort=A","Dates=H","DateFormat=P","Fill=—","Direction=H","UseDPDF=Y")</f>
        <v>25.43</v>
      </c>
      <c r="L83" s="13" t="str">
        <f>_xll.BDH("SRPT US Equity","ARDR_RENTAL_EXP_YR4","FQ1 2021","FQ1 2021","Currency=USD","Period=FQ","BEST_FPERIOD_OVERRIDE=FQ","FILING_STATUS=MR","SCALING_FORMAT=MLN","Sort=A","Dates=H","DateFormat=P","Fill=—","Direction=H","UseDPDF=Y")</f>
        <v>—</v>
      </c>
      <c r="M83" s="13" t="str">
        <f>_xll.BDH("SRPT US Equity","ARDR_RENTAL_EXP_YR4","FQ2 2021","FQ2 2021","Currency=USD","Period=FQ","BEST_FPERIOD_OVERRIDE=FQ","FILING_STATUS=MR","SCALING_FORMAT=MLN","Sort=A","Dates=H","DateFormat=P","Fill=—","Direction=H","UseDPDF=Y")</f>
        <v>—</v>
      </c>
      <c r="N83" s="13" t="str">
        <f>_xll.BDH("SRPT US Equity","ARDR_RENTAL_EXP_YR4","FQ3 2021","FQ3 2021","Currency=USD","Period=FQ","BEST_FPERIOD_OVERRIDE=FQ","FILING_STATUS=MR","SCALING_FORMAT=MLN","Sort=A","Dates=H","DateFormat=P","Fill=—","Direction=H","UseDPDF=Y")</f>
        <v>—</v>
      </c>
      <c r="O83" s="13">
        <f>_xll.BDH("SRPT US Equity","ARDR_RENTAL_EXP_YR4","FQ4 2021","FQ4 2021","Currency=USD","Period=FQ","BEST_FPERIOD_OVERRIDE=FQ","FILING_STATUS=MR","SCALING_FORMAT=MLN","Sort=A","Dates=H","DateFormat=P","Fill=—","Direction=H","UseDPDF=Y")</f>
        <v>9.0519999999999996</v>
      </c>
      <c r="P83" s="13" t="str">
        <f>_xll.BDH("SRPT US Equity","ARDR_RENTAL_EXP_YR4","FQ1 2022","FQ1 2022","Currency=USD","Period=FQ","BEST_FPERIOD_OVERRIDE=FQ","FILING_STATUS=MR","SCALING_FORMAT=MLN","Sort=A","Dates=H","DateFormat=P","Fill=—","Direction=H","UseDPDF=Y")</f>
        <v>—</v>
      </c>
      <c r="Q83" s="13" t="str">
        <f>_xll.BDH("SRPT US Equity","ARDR_RENTAL_EXP_YR4","FQ2 2022","FQ2 2022","Currency=USD","Period=FQ","BEST_FPERIOD_OVERRIDE=FQ","FILING_STATUS=MR","SCALING_FORMAT=MLN","Sort=A","Dates=H","DateFormat=P","Fill=—","Direction=H","UseDPDF=Y")</f>
        <v>—</v>
      </c>
      <c r="R83" s="13" t="str">
        <f>_xll.BDH("SRPT US Equity","ARDR_RENTAL_EXP_YR4","FQ3 2022","FQ3 2022","Currency=USD","Period=FQ","BEST_FPERIOD_OVERRIDE=FQ","FILING_STATUS=MR","SCALING_FORMAT=MLN","Sort=A","Dates=H","DateFormat=P","Fill=—","Direction=H","UseDPDF=Y")</f>
        <v>—</v>
      </c>
      <c r="S83" s="13">
        <f>_xll.BDH("SRPT US Equity","ARDR_RENTAL_EXP_YR4","FQ4 2022","FQ4 2022","Currency=USD","Period=FQ","BEST_FPERIOD_OVERRIDE=FQ","FILING_STATUS=MR","SCALING_FORMAT=MLN","Sort=A","Dates=H","DateFormat=P","Fill=—","Direction=H","UseDPDF=Y")</f>
        <v>8.423</v>
      </c>
      <c r="T83" s="13" t="str">
        <f>_xll.BDH("SRPT US Equity","ARDR_RENTAL_EXP_YR4","FQ1 2023","FQ1 2023","Currency=USD","Period=FQ","BEST_FPERIOD_OVERRIDE=FQ","FILING_STATUS=MR","SCALING_FORMAT=MLN","Sort=A","Dates=H","DateFormat=P","Fill=—","Direction=H","UseDPDF=Y")</f>
        <v>—</v>
      </c>
      <c r="U83" s="13" t="str">
        <f>_xll.BDH("SRPT US Equity","ARDR_RENTAL_EXP_YR4","FQ2 2023","FQ2 2023","Currency=USD","Period=FQ","BEST_FPERIOD_OVERRIDE=FQ","FILING_STATUS=MR","SCALING_FORMAT=MLN","Sort=A","Dates=H","DateFormat=P","Fill=—","Direction=H","UseDPDF=Y")</f>
        <v>—</v>
      </c>
      <c r="V83" s="13" t="str">
        <f>_xll.BDH("SRPT US Equity","ARDR_RENTAL_EXP_YR4","FQ3 2023","FQ3 2023","Currency=USD","Period=FQ","BEST_FPERIOD_OVERRIDE=FQ","FILING_STATUS=MR","SCALING_FORMAT=MLN","Sort=A","Dates=H","DateFormat=P","Fill=—","Direction=H","UseDPDF=Y")</f>
        <v>—</v>
      </c>
      <c r="W83" s="13">
        <f>_xll.BDH("SRPT US Equity","ARDR_RENTAL_EXP_YR4","FQ4 2023","FQ4 2023","Currency=USD","Period=FQ","BEST_FPERIOD_OVERRIDE=FQ","FILING_STATUS=MR","SCALING_FORMAT=MLN","Sort=A","Dates=H","DateFormat=P","Fill=—","Direction=H","UseDPDF=Y")</f>
        <v>27.995000000000001</v>
      </c>
      <c r="X83" s="13" t="str">
        <f>_xll.BDH("SRPT US Equity","ARDR_RENTAL_EXP_YR4","FQ1 2024","FQ1 2024","Currency=USD","Period=FQ","BEST_FPERIOD_OVERRIDE=FQ","FILING_STATUS=MR","SCALING_FORMAT=MLN","Sort=A","Dates=H","DateFormat=P","Fill=—","Direction=H","UseDPDF=Y")</f>
        <v>—</v>
      </c>
      <c r="Y83" s="13" t="str">
        <f>_xll.BDH("SRPT US Equity","ARDR_RENTAL_EXP_YR4","FQ2 2024","FQ2 2024","Currency=USD","Period=FQ","BEST_FPERIOD_OVERRIDE=FQ","FILING_STATUS=MR","SCALING_FORMAT=MLN","Sort=A","Dates=H","DateFormat=P","Fill=—","Direction=H","UseDPDF=Y")</f>
        <v>—</v>
      </c>
      <c r="Z83" s="13" t="str">
        <f>_xll.BDH("SRPT US Equity","ARDR_RENTAL_EXP_YR4","FQ3 2024","FQ3 2024","Currency=USD","Period=FQ","BEST_FPERIOD_OVERRIDE=FQ","FILING_STATUS=MR","SCALING_FORMAT=MLN","Sort=A","Dates=H","DateFormat=P","Fill=—","Direction=H","UseDPDF=Y")</f>
        <v>—</v>
      </c>
      <c r="AA83" s="13">
        <f>_xll.BDH("SRPT US Equity","ARDR_RENTAL_EXP_YR4","FQ4 2024","FQ4 2024","Currency=USD","Period=FQ","BEST_FPERIOD_OVERRIDE=FQ","FILING_STATUS=MR","SCALING_FORMAT=MLN","Sort=A","Dates=H","DateFormat=P","Fill=—","Direction=H","UseDPDF=Y")</f>
        <v>32.279000000000003</v>
      </c>
    </row>
    <row r="84" spans="1:27" x14ac:dyDescent="0.25">
      <c r="A84" s="10" t="s">
        <v>972</v>
      </c>
      <c r="B84" s="10" t="s">
        <v>973</v>
      </c>
      <c r="C84" s="13">
        <f>_xll.BDH("SRPT US Equity","ARDR_RENTAL_EXP_YR5","FQ4 2018","FQ4 2018","Currency=USD","Period=FQ","BEST_FPERIOD_OVERRIDE=FQ","FILING_STATUS=MR","SCALING_FORMAT=MLN","Sort=A","Dates=H","DateFormat=P","Fill=—","Direction=H","UseDPDF=Y")</f>
        <v>10.898</v>
      </c>
      <c r="D84" s="13">
        <f>_xll.BDH("SRPT US Equity","ARDR_RENTAL_EXP_YR5","FQ1 2019","FQ1 2019","Currency=USD","Period=FQ","BEST_FPERIOD_OVERRIDE=FQ","FILING_STATUS=MR","SCALING_FORMAT=MLN","Sort=A","Dates=H","DateFormat=P","Fill=—","Direction=H","UseDPDF=Y")</f>
        <v>10.877000000000001</v>
      </c>
      <c r="E84" s="13">
        <f>_xll.BDH("SRPT US Equity","ARDR_RENTAL_EXP_YR5","FQ2 2019","FQ2 2019","Currency=USD","Period=FQ","BEST_FPERIOD_OVERRIDE=FQ","FILING_STATUS=MR","SCALING_FORMAT=MLN","Sort=A","Dates=H","DateFormat=P","Fill=—","Direction=H","UseDPDF=Y")</f>
        <v>10.877000000000001</v>
      </c>
      <c r="F84" s="13">
        <f>_xll.BDH("SRPT US Equity","ARDR_RENTAL_EXP_YR5","FQ3 2019","FQ3 2019","Currency=USD","Period=FQ","BEST_FPERIOD_OVERRIDE=FQ","FILING_STATUS=MR","SCALING_FORMAT=MLN","Sort=A","Dates=H","DateFormat=P","Fill=—","Direction=H","UseDPDF=Y")</f>
        <v>11.23</v>
      </c>
      <c r="G84" s="13">
        <f>_xll.BDH("SRPT US Equity","ARDR_RENTAL_EXP_YR5","FQ4 2019","FQ4 2019","Currency=USD","Period=FQ","BEST_FPERIOD_OVERRIDE=FQ","FILING_STATUS=MR","SCALING_FORMAT=MLN","Sort=A","Dates=H","DateFormat=P","Fill=—","Direction=H","UseDPDF=Y")</f>
        <v>11.471</v>
      </c>
      <c r="H84" s="13" t="str">
        <f>_xll.BDH("SRPT US Equity","ARDR_RENTAL_EXP_YR5","FQ1 2020","FQ1 2020","Currency=USD","Period=FQ","BEST_FPERIOD_OVERRIDE=FQ","FILING_STATUS=MR","SCALING_FORMAT=MLN","Sort=A","Dates=H","DateFormat=P","Fill=—","Direction=H","UseDPDF=Y")</f>
        <v>—</v>
      </c>
      <c r="I84" s="13" t="str">
        <f>_xll.BDH("SRPT US Equity","ARDR_RENTAL_EXP_YR5","FQ2 2020","FQ2 2020","Currency=USD","Period=FQ","BEST_FPERIOD_OVERRIDE=FQ","FILING_STATUS=MR","SCALING_FORMAT=MLN","Sort=A","Dates=H","DateFormat=P","Fill=—","Direction=H","UseDPDF=Y")</f>
        <v>—</v>
      </c>
      <c r="J84" s="13" t="str">
        <f>_xll.BDH("SRPT US Equity","ARDR_RENTAL_EXP_YR5","FQ3 2020","FQ3 2020","Currency=USD","Period=FQ","BEST_FPERIOD_OVERRIDE=FQ","FILING_STATUS=MR","SCALING_FORMAT=MLN","Sort=A","Dates=H","DateFormat=P","Fill=—","Direction=H","UseDPDF=Y")</f>
        <v>—</v>
      </c>
      <c r="K84" s="13">
        <f>_xll.BDH("SRPT US Equity","ARDR_RENTAL_EXP_YR5","FQ4 2020","FQ4 2020","Currency=USD","Period=FQ","BEST_FPERIOD_OVERRIDE=FQ","FILING_STATUS=MR","SCALING_FORMAT=MLN","Sort=A","Dates=H","DateFormat=P","Fill=—","Direction=H","UseDPDF=Y")</f>
        <v>10.91</v>
      </c>
      <c r="L84" s="13" t="str">
        <f>_xll.BDH("SRPT US Equity","ARDR_RENTAL_EXP_YR5","FQ1 2021","FQ1 2021","Currency=USD","Period=FQ","BEST_FPERIOD_OVERRIDE=FQ","FILING_STATUS=MR","SCALING_FORMAT=MLN","Sort=A","Dates=H","DateFormat=P","Fill=—","Direction=H","UseDPDF=Y")</f>
        <v>—</v>
      </c>
      <c r="M84" s="13" t="str">
        <f>_xll.BDH("SRPT US Equity","ARDR_RENTAL_EXP_YR5","FQ2 2021","FQ2 2021","Currency=USD","Period=FQ","BEST_FPERIOD_OVERRIDE=FQ","FILING_STATUS=MR","SCALING_FORMAT=MLN","Sort=A","Dates=H","DateFormat=P","Fill=—","Direction=H","UseDPDF=Y")</f>
        <v>—</v>
      </c>
      <c r="N84" s="13" t="str">
        <f>_xll.BDH("SRPT US Equity","ARDR_RENTAL_EXP_YR5","FQ3 2021","FQ3 2021","Currency=USD","Period=FQ","BEST_FPERIOD_OVERRIDE=FQ","FILING_STATUS=MR","SCALING_FORMAT=MLN","Sort=A","Dates=H","DateFormat=P","Fill=—","Direction=H","UseDPDF=Y")</f>
        <v>—</v>
      </c>
      <c r="O84" s="13">
        <f>_xll.BDH("SRPT US Equity","ARDR_RENTAL_EXP_YR5","FQ4 2021","FQ4 2021","Currency=USD","Period=FQ","BEST_FPERIOD_OVERRIDE=FQ","FILING_STATUS=MR","SCALING_FORMAT=MLN","Sort=A","Dates=H","DateFormat=P","Fill=—","Direction=H","UseDPDF=Y")</f>
        <v>0.57099999999999995</v>
      </c>
      <c r="P84" s="13" t="str">
        <f>_xll.BDH("SRPT US Equity","ARDR_RENTAL_EXP_YR5","FQ1 2022","FQ1 2022","Currency=USD","Period=FQ","BEST_FPERIOD_OVERRIDE=FQ","FILING_STATUS=MR","SCALING_FORMAT=MLN","Sort=A","Dates=H","DateFormat=P","Fill=—","Direction=H","UseDPDF=Y")</f>
        <v>—</v>
      </c>
      <c r="Q84" s="13" t="str">
        <f>_xll.BDH("SRPT US Equity","ARDR_RENTAL_EXP_YR5","FQ2 2022","FQ2 2022","Currency=USD","Period=FQ","BEST_FPERIOD_OVERRIDE=FQ","FILING_STATUS=MR","SCALING_FORMAT=MLN","Sort=A","Dates=H","DateFormat=P","Fill=—","Direction=H","UseDPDF=Y")</f>
        <v>—</v>
      </c>
      <c r="R84" s="13" t="str">
        <f>_xll.BDH("SRPT US Equity","ARDR_RENTAL_EXP_YR5","FQ3 2022","FQ3 2022","Currency=USD","Period=FQ","BEST_FPERIOD_OVERRIDE=FQ","FILING_STATUS=MR","SCALING_FORMAT=MLN","Sort=A","Dates=H","DateFormat=P","Fill=—","Direction=H","UseDPDF=Y")</f>
        <v>—</v>
      </c>
      <c r="S84" s="13">
        <f>_xll.BDH("SRPT US Equity","ARDR_RENTAL_EXP_YR5","FQ4 2022","FQ4 2022","Currency=USD","Period=FQ","BEST_FPERIOD_OVERRIDE=FQ","FILING_STATUS=MR","SCALING_FORMAT=MLN","Sort=A","Dates=H","DateFormat=P","Fill=—","Direction=H","UseDPDF=Y")</f>
        <v>8.5180000000000007</v>
      </c>
      <c r="T84" s="13" t="str">
        <f>_xll.BDH("SRPT US Equity","ARDR_RENTAL_EXP_YR5","FQ1 2023","FQ1 2023","Currency=USD","Period=FQ","BEST_FPERIOD_OVERRIDE=FQ","FILING_STATUS=MR","SCALING_FORMAT=MLN","Sort=A","Dates=H","DateFormat=P","Fill=—","Direction=H","UseDPDF=Y")</f>
        <v>—</v>
      </c>
      <c r="U84" s="13" t="str">
        <f>_xll.BDH("SRPT US Equity","ARDR_RENTAL_EXP_YR5","FQ2 2023","FQ2 2023","Currency=USD","Period=FQ","BEST_FPERIOD_OVERRIDE=FQ","FILING_STATUS=MR","SCALING_FORMAT=MLN","Sort=A","Dates=H","DateFormat=P","Fill=—","Direction=H","UseDPDF=Y")</f>
        <v>—</v>
      </c>
      <c r="V84" s="13" t="str">
        <f>_xll.BDH("SRPT US Equity","ARDR_RENTAL_EXP_YR5","FQ3 2023","FQ3 2023","Currency=USD","Period=FQ","BEST_FPERIOD_OVERRIDE=FQ","FILING_STATUS=MR","SCALING_FORMAT=MLN","Sort=A","Dates=H","DateFormat=P","Fill=—","Direction=H","UseDPDF=Y")</f>
        <v>—</v>
      </c>
      <c r="W84" s="13">
        <f>_xll.BDH("SRPT US Equity","ARDR_RENTAL_EXP_YR5","FQ4 2023","FQ4 2023","Currency=USD","Period=FQ","BEST_FPERIOD_OVERRIDE=FQ","FILING_STATUS=MR","SCALING_FORMAT=MLN","Sort=A","Dates=H","DateFormat=P","Fill=—","Direction=H","UseDPDF=Y")</f>
        <v>28.611000000000001</v>
      </c>
      <c r="X84" s="13" t="str">
        <f>_xll.BDH("SRPT US Equity","ARDR_RENTAL_EXP_YR5","FQ1 2024","FQ1 2024","Currency=USD","Period=FQ","BEST_FPERIOD_OVERRIDE=FQ","FILING_STATUS=MR","SCALING_FORMAT=MLN","Sort=A","Dates=H","DateFormat=P","Fill=—","Direction=H","UseDPDF=Y")</f>
        <v>—</v>
      </c>
      <c r="Y84" s="13" t="str">
        <f>_xll.BDH("SRPT US Equity","ARDR_RENTAL_EXP_YR5","FQ2 2024","FQ2 2024","Currency=USD","Period=FQ","BEST_FPERIOD_OVERRIDE=FQ","FILING_STATUS=MR","SCALING_FORMAT=MLN","Sort=A","Dates=H","DateFormat=P","Fill=—","Direction=H","UseDPDF=Y")</f>
        <v>—</v>
      </c>
      <c r="Z84" s="13" t="str">
        <f>_xll.BDH("SRPT US Equity","ARDR_RENTAL_EXP_YR5","FQ3 2024","FQ3 2024","Currency=USD","Period=FQ","BEST_FPERIOD_OVERRIDE=FQ","FILING_STATUS=MR","SCALING_FORMAT=MLN","Sort=A","Dates=H","DateFormat=P","Fill=—","Direction=H","UseDPDF=Y")</f>
        <v>—</v>
      </c>
      <c r="AA84" s="13">
        <f>_xll.BDH("SRPT US Equity","ARDR_RENTAL_EXP_YR5","FQ4 2024","FQ4 2024","Currency=USD","Period=FQ","BEST_FPERIOD_OVERRIDE=FQ","FILING_STATUS=MR","SCALING_FORMAT=MLN","Sort=A","Dates=H","DateFormat=P","Fill=—","Direction=H","UseDPDF=Y")</f>
        <v>25.795999999999999</v>
      </c>
    </row>
    <row r="85" spans="1:27" x14ac:dyDescent="0.25">
      <c r="A85" s="10" t="s">
        <v>974</v>
      </c>
      <c r="B85" s="10" t="s">
        <v>975</v>
      </c>
      <c r="C85" s="13">
        <f>_xll.BDH("SRPT US Equity","ARDR_RENTAL_EXP_BEYOND_YR5","FQ4 2018","FQ4 2018","Currency=USD","Period=FQ","BEST_FPERIOD_OVERRIDE=FQ","FILING_STATUS=MR","SCALING_FORMAT=MLN","Sort=A","Dates=H","DateFormat=P","Fill=—","Direction=H","UseDPDF=Y")</f>
        <v>20.524000000000001</v>
      </c>
      <c r="D85" s="13">
        <f>_xll.BDH("SRPT US Equity","ARDR_RENTAL_EXP_BEYOND_YR5","FQ1 2019","FQ1 2019","Currency=USD","Period=FQ","BEST_FPERIOD_OVERRIDE=FQ","FILING_STATUS=MR","SCALING_FORMAT=MLN","Sort=A","Dates=H","DateFormat=P","Fill=—","Direction=H","UseDPDF=Y")</f>
        <v>20.484000000000002</v>
      </c>
      <c r="E85" s="13">
        <f>_xll.BDH("SRPT US Equity","ARDR_RENTAL_EXP_BEYOND_YR5","FQ2 2019","FQ2 2019","Currency=USD","Period=FQ","BEST_FPERIOD_OVERRIDE=FQ","FILING_STATUS=MR","SCALING_FORMAT=MLN","Sort=A","Dates=H","DateFormat=P","Fill=—","Direction=H","UseDPDF=Y")</f>
        <v>20.484000000000002</v>
      </c>
      <c r="F85" s="13">
        <f>_xll.BDH("SRPT US Equity","ARDR_RENTAL_EXP_BEYOND_YR5","FQ3 2019","FQ3 2019","Currency=USD","Period=FQ","BEST_FPERIOD_OVERRIDE=FQ","FILING_STATUS=MR","SCALING_FORMAT=MLN","Sort=A","Dates=H","DateFormat=P","Fill=—","Direction=H","UseDPDF=Y")</f>
        <v>21.126000000000001</v>
      </c>
      <c r="G85" s="13">
        <f>_xll.BDH("SRPT US Equity","ARDR_RENTAL_EXP_BEYOND_YR5","FQ4 2019","FQ4 2019","Currency=USD","Period=FQ","BEST_FPERIOD_OVERRIDE=FQ","FILING_STATUS=MR","SCALING_FORMAT=MLN","Sort=A","Dates=H","DateFormat=P","Fill=—","Direction=H","UseDPDF=Y")</f>
        <v>9.6539999999999999</v>
      </c>
      <c r="H85" s="13">
        <f>_xll.BDH("SRPT US Equity","ARDR_RENTAL_EXP_BEYOND_YR5","FQ1 2020","FQ1 2020","Currency=USD","Period=FQ","BEST_FPERIOD_OVERRIDE=FQ","FILING_STATUS=MR","SCALING_FORMAT=MLN","Sort=A","Dates=H","DateFormat=P","Fill=—","Direction=H","UseDPDF=Y")</f>
        <v>6.7160000000000002</v>
      </c>
      <c r="I85" s="13">
        <f>_xll.BDH("SRPT US Equity","ARDR_RENTAL_EXP_BEYOND_YR5","FQ2 2020","FQ2 2020","Currency=USD","Period=FQ","BEST_FPERIOD_OVERRIDE=FQ","FILING_STATUS=MR","SCALING_FORMAT=MLN","Sort=A","Dates=H","DateFormat=P","Fill=—","Direction=H","UseDPDF=Y")</f>
        <v>3.7909999999999999</v>
      </c>
      <c r="J85" s="13">
        <f>_xll.BDH("SRPT US Equity","ARDR_RENTAL_EXP_BEYOND_YR5","FQ3 2020","FQ3 2020","Currency=USD","Period=FQ","BEST_FPERIOD_OVERRIDE=FQ","FILING_STATUS=MR","SCALING_FORMAT=MLN","Sort=A","Dates=H","DateFormat=P","Fill=—","Direction=H","UseDPDF=Y")</f>
        <v>0.85699999999999998</v>
      </c>
      <c r="K85" s="13">
        <f>_xll.BDH("SRPT US Equity","ARDR_RENTAL_EXP_BEYOND_YR5","FQ4 2020","FQ4 2020","Currency=USD","Period=FQ","BEST_FPERIOD_OVERRIDE=FQ","FILING_STATUS=MR","SCALING_FORMAT=MLN","Sort=A","Dates=H","DateFormat=P","Fill=—","Direction=H","UseDPDF=Y")</f>
        <v>4.1310000000000002</v>
      </c>
      <c r="L85" s="13">
        <f>_xll.BDH("SRPT US Equity","ARDR_RENTAL_EXP_BEYOND_YR5","FQ1 2021","FQ1 2021","Currency=USD","Period=FQ","BEST_FPERIOD_OVERRIDE=FQ","FILING_STATUS=MR","SCALING_FORMAT=MLN","Sort=A","Dates=H","DateFormat=P","Fill=—","Direction=H","UseDPDF=Y")</f>
        <v>0.28599999999999998</v>
      </c>
      <c r="M85" s="13">
        <f>_xll.BDH("SRPT US Equity","ARDR_RENTAL_EXP_BEYOND_YR5","FQ2 2021","FQ2 2021","Currency=USD","Period=FQ","BEST_FPERIOD_OVERRIDE=FQ","FILING_STATUS=MR","SCALING_FORMAT=MLN","Sort=A","Dates=H","DateFormat=P","Fill=—","Direction=H","UseDPDF=Y")</f>
        <v>0</v>
      </c>
      <c r="N85" s="13">
        <f>_xll.BDH("SRPT US Equity","ARDR_RENTAL_EXP_BEYOND_YR5","FQ3 2021","FQ3 2021","Currency=USD","Period=FQ","BEST_FPERIOD_OVERRIDE=FQ","FILING_STATUS=MR","SCALING_FORMAT=MLN","Sort=A","Dates=H","DateFormat=P","Fill=—","Direction=H","UseDPDF=Y")</f>
        <v>0</v>
      </c>
      <c r="O85" s="13">
        <f>_xll.BDH("SRPT US Equity","ARDR_RENTAL_EXP_BEYOND_YR5","FQ4 2021","FQ4 2021","Currency=USD","Period=FQ","BEST_FPERIOD_OVERRIDE=FQ","FILING_STATUS=MR","SCALING_FORMAT=MLN","Sort=A","Dates=H","DateFormat=P","Fill=—","Direction=H","UseDPDF=Y")</f>
        <v>0</v>
      </c>
      <c r="P85" s="13" t="str">
        <f>_xll.BDH("SRPT US Equity","ARDR_RENTAL_EXP_BEYOND_YR5","FQ1 2022","FQ1 2022","Currency=USD","Period=FQ","BEST_FPERIOD_OVERRIDE=FQ","FILING_STATUS=MR","SCALING_FORMAT=MLN","Sort=A","Dates=H","DateFormat=P","Fill=—","Direction=H","UseDPDF=Y")</f>
        <v>—</v>
      </c>
      <c r="Q85" s="13" t="str">
        <f>_xll.BDH("SRPT US Equity","ARDR_RENTAL_EXP_BEYOND_YR5","FQ2 2022","FQ2 2022","Currency=USD","Period=FQ","BEST_FPERIOD_OVERRIDE=FQ","FILING_STATUS=MR","SCALING_FORMAT=MLN","Sort=A","Dates=H","DateFormat=P","Fill=—","Direction=H","UseDPDF=Y")</f>
        <v>—</v>
      </c>
      <c r="R85" s="13" t="str">
        <f>_xll.BDH("SRPT US Equity","ARDR_RENTAL_EXP_BEYOND_YR5","FQ3 2022","FQ3 2022","Currency=USD","Period=FQ","BEST_FPERIOD_OVERRIDE=FQ","FILING_STATUS=MR","SCALING_FORMAT=MLN","Sort=A","Dates=H","DateFormat=P","Fill=—","Direction=H","UseDPDF=Y")</f>
        <v>—</v>
      </c>
      <c r="S85" s="13">
        <f>_xll.BDH("SRPT US Equity","ARDR_RENTAL_EXP_BEYOND_YR5","FQ4 2022","FQ4 2022","Currency=USD","Period=FQ","BEST_FPERIOD_OVERRIDE=FQ","FILING_STATUS=MR","SCALING_FORMAT=MLN","Sort=A","Dates=H","DateFormat=P","Fill=—","Direction=H","UseDPDF=Y")</f>
        <v>27.632999999999999</v>
      </c>
      <c r="T85" s="13" t="str">
        <f>_xll.BDH("SRPT US Equity","ARDR_RENTAL_EXP_BEYOND_YR5","FQ1 2023","FQ1 2023","Currency=USD","Period=FQ","BEST_FPERIOD_OVERRIDE=FQ","FILING_STATUS=MR","SCALING_FORMAT=MLN","Sort=A","Dates=H","DateFormat=P","Fill=—","Direction=H","UseDPDF=Y")</f>
        <v>—</v>
      </c>
      <c r="U85" s="13" t="str">
        <f>_xll.BDH("SRPT US Equity","ARDR_RENTAL_EXP_BEYOND_YR5","FQ2 2023","FQ2 2023","Currency=USD","Period=FQ","BEST_FPERIOD_OVERRIDE=FQ","FILING_STATUS=MR","SCALING_FORMAT=MLN","Sort=A","Dates=H","DateFormat=P","Fill=—","Direction=H","UseDPDF=Y")</f>
        <v>—</v>
      </c>
      <c r="V85" s="13" t="str">
        <f>_xll.BDH("SRPT US Equity","ARDR_RENTAL_EXP_BEYOND_YR5","FQ3 2023","FQ3 2023","Currency=USD","Period=FQ","BEST_FPERIOD_OVERRIDE=FQ","FILING_STATUS=MR","SCALING_FORMAT=MLN","Sort=A","Dates=H","DateFormat=P","Fill=—","Direction=H","UseDPDF=Y")</f>
        <v>—</v>
      </c>
      <c r="W85" s="13">
        <f>_xll.BDH("SRPT US Equity","ARDR_RENTAL_EXP_BEYOND_YR5","FQ4 2023","FQ4 2023","Currency=USD","Period=FQ","BEST_FPERIOD_OVERRIDE=FQ","FILING_STATUS=MR","SCALING_FORMAT=MLN","Sort=A","Dates=H","DateFormat=P","Fill=—","Direction=H","UseDPDF=Y")</f>
        <v>245.83500000000001</v>
      </c>
      <c r="X85" s="13" t="str">
        <f>_xll.BDH("SRPT US Equity","ARDR_RENTAL_EXP_BEYOND_YR5","FQ1 2024","FQ1 2024","Currency=USD","Period=FQ","BEST_FPERIOD_OVERRIDE=FQ","FILING_STATUS=MR","SCALING_FORMAT=MLN","Sort=A","Dates=H","DateFormat=P","Fill=—","Direction=H","UseDPDF=Y")</f>
        <v>—</v>
      </c>
      <c r="Y85" s="13" t="str">
        <f>_xll.BDH("SRPT US Equity","ARDR_RENTAL_EXP_BEYOND_YR5","FQ2 2024","FQ2 2024","Currency=USD","Period=FQ","BEST_FPERIOD_OVERRIDE=FQ","FILING_STATUS=MR","SCALING_FORMAT=MLN","Sort=A","Dates=H","DateFormat=P","Fill=—","Direction=H","UseDPDF=Y")</f>
        <v>—</v>
      </c>
      <c r="Z85" s="13" t="str">
        <f>_xll.BDH("SRPT US Equity","ARDR_RENTAL_EXP_BEYOND_YR5","FQ3 2024","FQ3 2024","Currency=USD","Period=FQ","BEST_FPERIOD_OVERRIDE=FQ","FILING_STATUS=MR","SCALING_FORMAT=MLN","Sort=A","Dates=H","DateFormat=P","Fill=—","Direction=H","UseDPDF=Y")</f>
        <v>—</v>
      </c>
      <c r="AA85" s="13">
        <f>_xll.BDH("SRPT US Equity","ARDR_RENTAL_EXP_BEYOND_YR5","FQ4 2024","FQ4 2024","Currency=USD","Period=FQ","BEST_FPERIOD_OVERRIDE=FQ","FILING_STATUS=MR","SCALING_FORMAT=MLN","Sort=A","Dates=H","DateFormat=P","Fill=—","Direction=H","UseDPDF=Y")</f>
        <v>229.35300000000001</v>
      </c>
    </row>
    <row r="86" spans="1:27" x14ac:dyDescent="0.25">
      <c r="A86" s="10" t="s">
        <v>915</v>
      </c>
      <c r="B86" s="10" t="s">
        <v>976</v>
      </c>
      <c r="C86" s="13">
        <f>_xll.BDH("SRPT US Equity","ARDR_TOTAL_SHAREHOLDERS_EQUITY","FQ4 2018","FQ4 2018","Currency=USD","Period=FQ","BEST_FPERIOD_OVERRIDE=FQ","FILING_STATUS=MR","SCALING_FORMAT=MLN","Sort=A","Dates=H","DateFormat=P","Fill=—","Direction=H","UseDPDF=Y")</f>
        <v>1032.2760000000001</v>
      </c>
      <c r="D86" s="13">
        <f>_xll.BDH("SRPT US Equity","ARDR_TOTAL_SHAREHOLDERS_EQUITY","FQ1 2019","FQ1 2019","Currency=USD","Period=FQ","BEST_FPERIOD_OVERRIDE=FQ","FILING_STATUS=MR","SCALING_FORMAT=MLN","Sort=A","Dates=H","DateFormat=P","Fill=—","Direction=H","UseDPDF=Y")</f>
        <v>1348.5640000000001</v>
      </c>
      <c r="E86" s="13">
        <f>_xll.BDH("SRPT US Equity","ARDR_TOTAL_SHAREHOLDERS_EQUITY","FQ2 2019","FQ2 2019","Currency=USD","Period=FQ","BEST_FPERIOD_OVERRIDE=FQ","FILING_STATUS=MR","SCALING_FORMAT=MLN","Sort=A","Dates=H","DateFormat=P","Fill=—","Direction=H","UseDPDF=Y")</f>
        <v>1099.1669999999999</v>
      </c>
      <c r="F86" s="13">
        <f>_xll.BDH("SRPT US Equity","ARDR_TOTAL_SHAREHOLDERS_EQUITY","FQ3 2019","FQ3 2019","Currency=USD","Period=FQ","BEST_FPERIOD_OVERRIDE=FQ","FILING_STATUS=MR","SCALING_FORMAT=MLN","Sort=A","Dates=H","DateFormat=P","Fill=—","Direction=H","UseDPDF=Y")</f>
        <v>995.20399999999995</v>
      </c>
      <c r="G86" s="13">
        <f>_xll.BDH("SRPT US Equity","ARDR_TOTAL_SHAREHOLDERS_EQUITY","FQ4 2019","FQ4 2019","Currency=USD","Period=FQ","BEST_FPERIOD_OVERRIDE=FQ","FILING_STATUS=MR","SCALING_FORMAT=MLN","Sort=A","Dates=H","DateFormat=P","Fill=—","Direction=H","UseDPDF=Y")</f>
        <v>818.18700000000001</v>
      </c>
      <c r="H86" s="13">
        <f>_xll.BDH("SRPT US Equity","ARDR_TOTAL_SHAREHOLDERS_EQUITY","FQ1 2020","FQ1 2020","Currency=USD","Period=FQ","BEST_FPERIOD_OVERRIDE=FQ","FILING_STATUS=MR","SCALING_FORMAT=MLN","Sort=A","Dates=H","DateFormat=P","Fill=—","Direction=H","UseDPDF=Y")</f>
        <v>1144.828</v>
      </c>
      <c r="I86" s="13">
        <f>_xll.BDH("SRPT US Equity","ARDR_TOTAL_SHAREHOLDERS_EQUITY","FQ2 2020","FQ2 2020","Currency=USD","Period=FQ","BEST_FPERIOD_OVERRIDE=FQ","FILING_STATUS=MR","SCALING_FORMAT=MLN","Sort=A","Dates=H","DateFormat=P","Fill=—","Direction=H","UseDPDF=Y")</f>
        <v>1042.866</v>
      </c>
      <c r="J86" s="13">
        <f>_xll.BDH("SRPT US Equity","ARDR_TOTAL_SHAREHOLDERS_EQUITY","FQ3 2020","FQ3 2020","Currency=USD","Period=FQ","BEST_FPERIOD_OVERRIDE=FQ","FILING_STATUS=MR","SCALING_FORMAT=MLN","Sort=A","Dates=H","DateFormat=P","Fill=—","Direction=H","UseDPDF=Y")</f>
        <v>892.04700000000003</v>
      </c>
      <c r="K86" s="13">
        <f>_xll.BDH("SRPT US Equity","ARDR_TOTAL_SHAREHOLDERS_EQUITY","FQ4 2020","FQ4 2020","Currency=USD","Period=FQ","BEST_FPERIOD_OVERRIDE=FQ","FILING_STATUS=MR","SCALING_FORMAT=MLN","Sort=A","Dates=H","DateFormat=P","Fill=—","Direction=H","UseDPDF=Y")</f>
        <v>761.75900000000001</v>
      </c>
      <c r="L86" s="13">
        <f>_xll.BDH("SRPT US Equity","ARDR_TOTAL_SHAREHOLDERS_EQUITY","FQ1 2021","FQ1 2021","Currency=USD","Period=FQ","BEST_FPERIOD_OVERRIDE=FQ","FILING_STATUS=MR","SCALING_FORMAT=MLN","Sort=A","Dates=H","DateFormat=P","Fill=—","Direction=H","UseDPDF=Y")</f>
        <v>535.44500000000005</v>
      </c>
      <c r="M86" s="13">
        <f>_xll.BDH("SRPT US Equity","ARDR_TOTAL_SHAREHOLDERS_EQUITY","FQ2 2021","FQ2 2021","Currency=USD","Period=FQ","BEST_FPERIOD_OVERRIDE=FQ","FILING_STATUS=MR","SCALING_FORMAT=MLN","Sort=A","Dates=H","DateFormat=P","Fill=—","Direction=H","UseDPDF=Y")</f>
        <v>485.108</v>
      </c>
      <c r="N86" s="13">
        <f>_xll.BDH("SRPT US Equity","ARDR_TOTAL_SHAREHOLDERS_EQUITY","FQ3 2021","FQ3 2021","Currency=USD","Period=FQ","BEST_FPERIOD_OVERRIDE=FQ","FILING_STATUS=MR","SCALING_FORMAT=MLN","Sort=A","Dates=H","DateFormat=P","Fill=—","Direction=H","UseDPDF=Y")</f>
        <v>469.52800000000002</v>
      </c>
      <c r="O86" s="13">
        <f>_xll.BDH("SRPT US Equity","ARDR_TOTAL_SHAREHOLDERS_EQUITY","FQ4 2021","FQ4 2021","Currency=USD","Period=FQ","BEST_FPERIOD_OVERRIDE=FQ","FILING_STATUS=MR","SCALING_FORMAT=MLN","Sort=A","Dates=H","DateFormat=P","Fill=—","Direction=H","UseDPDF=Y")</f>
        <v>928.00900000000001</v>
      </c>
      <c r="P86" s="13">
        <f>_xll.BDH("SRPT US Equity","ARDR_TOTAL_SHAREHOLDERS_EQUITY","FQ1 2022","FQ1 2022","Currency=USD","Period=FQ","BEST_FPERIOD_OVERRIDE=FQ","FILING_STATUS=MR","SCALING_FORMAT=MLN","Sort=A","Dates=H","DateFormat=P","Fill=—","Direction=H","UseDPDF=Y")</f>
        <v>856.88599999999997</v>
      </c>
      <c r="Q86" s="13">
        <f>_xll.BDH("SRPT US Equity","ARDR_TOTAL_SHAREHOLDERS_EQUITY","FQ2 2022","FQ2 2022","Currency=USD","Period=FQ","BEST_FPERIOD_OVERRIDE=FQ","FILING_STATUS=MR","SCALING_FORMAT=MLN","Sort=A","Dates=H","DateFormat=P","Fill=—","Direction=H","UseDPDF=Y")</f>
        <v>726.45699999999999</v>
      </c>
      <c r="R86" s="13">
        <f>_xll.BDH("SRPT US Equity","ARDR_TOTAL_SHAREHOLDERS_EQUITY","FQ3 2022","FQ3 2022","Currency=USD","Period=FQ","BEST_FPERIOD_OVERRIDE=FQ","FILING_STATUS=MR","SCALING_FORMAT=MLN","Sort=A","Dates=H","DateFormat=P","Fill=—","Direction=H","UseDPDF=Y")</f>
        <v>430.84</v>
      </c>
      <c r="S86" s="13">
        <f>_xll.BDH("SRPT US Equity","ARDR_TOTAL_SHAREHOLDERS_EQUITY","FQ4 2022","FQ4 2022","Currency=USD","Period=FQ","BEST_FPERIOD_OVERRIDE=FQ","FILING_STATUS=MR","SCALING_FORMAT=MLN","Sort=A","Dates=H","DateFormat=P","Fill=—","Direction=H","UseDPDF=Y")</f>
        <v>384.95</v>
      </c>
      <c r="T86" s="13">
        <f>_xll.BDH("SRPT US Equity","ARDR_TOTAL_SHAREHOLDERS_EQUITY","FQ1 2023","FQ1 2023","Currency=USD","Period=FQ","BEST_FPERIOD_OVERRIDE=FQ","FILING_STATUS=MR","SCALING_FORMAT=MLN","Sort=A","Dates=H","DateFormat=P","Fill=—","Direction=H","UseDPDF=Y")</f>
        <v>712.74900000000002</v>
      </c>
      <c r="U86" s="13">
        <f>_xll.BDH("SRPT US Equity","ARDR_TOTAL_SHAREHOLDERS_EQUITY","FQ2 2023","FQ2 2023","Currency=USD","Period=FQ","BEST_FPERIOD_OVERRIDE=FQ","FILING_STATUS=MR","SCALING_FORMAT=MLN","Sort=A","Dates=H","DateFormat=P","Fill=—","Direction=H","UseDPDF=Y")</f>
        <v>741.41099999999994</v>
      </c>
      <c r="V86" s="13">
        <f>_xll.BDH("SRPT US Equity","ARDR_TOTAL_SHAREHOLDERS_EQUITY","FQ3 2023","FQ3 2023","Currency=USD","Period=FQ","BEST_FPERIOD_OVERRIDE=FQ","FILING_STATUS=MR","SCALING_FORMAT=MLN","Sort=A","Dates=H","DateFormat=P","Fill=—","Direction=H","UseDPDF=Y")</f>
        <v>764.35699999999997</v>
      </c>
      <c r="W86" s="13">
        <f>_xll.BDH("SRPT US Equity","ARDR_TOTAL_SHAREHOLDERS_EQUITY","FQ4 2023","FQ4 2023","Currency=USD","Period=FQ","BEST_FPERIOD_OVERRIDE=FQ","FILING_STATUS=MR","SCALING_FORMAT=MLN","Sort=A","Dates=H","DateFormat=P","Fill=—","Direction=H","UseDPDF=Y")</f>
        <v>859.33699999999999</v>
      </c>
      <c r="X86" s="13">
        <f>_xll.BDH("SRPT US Equity","ARDR_TOTAL_SHAREHOLDERS_EQUITY","FQ1 2024","FQ1 2024","Currency=USD","Period=FQ","BEST_FPERIOD_OVERRIDE=FQ","FILING_STATUS=MR","SCALING_FORMAT=MLN","Sort=A","Dates=H","DateFormat=P","Fill=—","Direction=H","UseDPDF=Y")</f>
        <v>961.19200000000001</v>
      </c>
      <c r="Y86" s="13">
        <f>_xll.BDH("SRPT US Equity","ARDR_TOTAL_SHAREHOLDERS_EQUITY","FQ2 2024","FQ2 2024","Currency=USD","Period=FQ","BEST_FPERIOD_OVERRIDE=FQ","FILING_STATUS=MR","SCALING_FORMAT=MLN","Sort=A","Dates=H","DateFormat=P","Fill=—","Direction=H","UseDPDF=Y")</f>
        <v>1077.069</v>
      </c>
      <c r="Z86" s="13">
        <f>_xll.BDH("SRPT US Equity","ARDR_TOTAL_SHAREHOLDERS_EQUITY","FQ3 2024","FQ3 2024","Currency=USD","Period=FQ","BEST_FPERIOD_OVERRIDE=FQ","FILING_STATUS=MR","SCALING_FORMAT=MLN","Sort=A","Dates=H","DateFormat=P","Fill=—","Direction=H","UseDPDF=Y")</f>
        <v>1221.0709999999999</v>
      </c>
      <c r="AA86" s="13">
        <f>_xll.BDH("SRPT US Equity","ARDR_TOTAL_SHAREHOLDERS_EQUITY","FQ4 2024","FQ4 2024","Currency=USD","Period=FQ","BEST_FPERIOD_OVERRIDE=FQ","FILING_STATUS=MR","SCALING_FORMAT=MLN","Sort=A","Dates=H","DateFormat=P","Fill=—","Direction=H","UseDPDF=Y")</f>
        <v>1527.742</v>
      </c>
    </row>
    <row r="87" spans="1:27" x14ac:dyDescent="0.25">
      <c r="A87" s="10" t="s">
        <v>977</v>
      </c>
      <c r="B87" s="10" t="s">
        <v>978</v>
      </c>
      <c r="C87" s="13" t="str">
        <f>_xll.BDH("SRPT US Equity","ARDR_PREPAID_EXPENSES_LT","FQ4 2018","FQ4 2018","Currency=USD","Period=FQ","BEST_FPERIOD_OVERRIDE=FQ","FILING_STATUS=MR","SCALING_FORMAT=MLN","Sort=A","Dates=H","DateFormat=P","Fill=—","Direction=H","UseDPDF=Y")</f>
        <v>—</v>
      </c>
      <c r="D87" s="13" t="str">
        <f>_xll.BDH("SRPT US Equity","ARDR_PREPAID_EXPENSES_LT","FQ1 2019","FQ1 2019","Currency=USD","Period=FQ","BEST_FPERIOD_OVERRIDE=FQ","FILING_STATUS=MR","SCALING_FORMAT=MLN","Sort=A","Dates=H","DateFormat=P","Fill=—","Direction=H","UseDPDF=Y")</f>
        <v>—</v>
      </c>
      <c r="E87" s="13" t="str">
        <f>_xll.BDH("SRPT US Equity","ARDR_PREPAID_EXPENSES_LT","FQ2 2019","FQ2 2019","Currency=USD","Period=FQ","BEST_FPERIOD_OVERRIDE=FQ","FILING_STATUS=MR","SCALING_FORMAT=MLN","Sort=A","Dates=H","DateFormat=P","Fill=—","Direction=H","UseDPDF=Y")</f>
        <v>—</v>
      </c>
      <c r="F87" s="13">
        <f>_xll.BDH("SRPT US Equity","ARDR_PREPAID_EXPENSES_LT","FQ3 2019","FQ3 2019","Currency=USD","Period=FQ","BEST_FPERIOD_OVERRIDE=FQ","FILING_STATUS=MR","SCALING_FORMAT=MLN","Sort=A","Dates=H","DateFormat=P","Fill=—","Direction=H","UseDPDF=Y")</f>
        <v>122.31</v>
      </c>
      <c r="G87" s="13">
        <f>_xll.BDH("SRPT US Equity","ARDR_PREPAID_EXPENSES_LT","FQ4 2019","FQ4 2019","Currency=USD","Period=FQ","BEST_FPERIOD_OVERRIDE=FQ","FILING_STATUS=MR","SCALING_FORMAT=MLN","Sort=A","Dates=H","DateFormat=P","Fill=—","Direction=H","UseDPDF=Y")</f>
        <v>126.756</v>
      </c>
      <c r="H87" s="13">
        <f>_xll.BDH("SRPT US Equity","ARDR_PREPAID_EXPENSES_LT","FQ1 2020","FQ1 2020","Currency=USD","Period=FQ","BEST_FPERIOD_OVERRIDE=FQ","FILING_STATUS=MR","SCALING_FORMAT=MLN","Sort=A","Dates=H","DateFormat=P","Fill=—","Direction=H","UseDPDF=Y")</f>
        <v>141.12700000000001</v>
      </c>
      <c r="I87" s="13">
        <f>_xll.BDH("SRPT US Equity","ARDR_PREPAID_EXPENSES_LT","FQ2 2020","FQ2 2020","Currency=USD","Period=FQ","BEST_FPERIOD_OVERRIDE=FQ","FILING_STATUS=MR","SCALING_FORMAT=MLN","Sort=A","Dates=H","DateFormat=P","Fill=—","Direction=H","UseDPDF=Y")</f>
        <v>138.03299999999999</v>
      </c>
      <c r="J87" s="13">
        <f>_xll.BDH("SRPT US Equity","ARDR_PREPAID_EXPENSES_LT","FQ3 2020","FQ3 2020","Currency=USD","Period=FQ","BEST_FPERIOD_OVERRIDE=FQ","FILING_STATUS=MR","SCALING_FORMAT=MLN","Sort=A","Dates=H","DateFormat=P","Fill=—","Direction=H","UseDPDF=Y")</f>
        <v>156.88</v>
      </c>
      <c r="K87" s="13">
        <f>_xll.BDH("SRPT US Equity","ARDR_PREPAID_EXPENSES_LT","FQ4 2020","FQ4 2020","Currency=USD","Period=FQ","BEST_FPERIOD_OVERRIDE=FQ","FILING_STATUS=MR","SCALING_FORMAT=MLN","Sort=A","Dates=H","DateFormat=P","Fill=—","Direction=H","UseDPDF=Y")</f>
        <v>151.91999999999999</v>
      </c>
      <c r="L87" s="13">
        <f>_xll.BDH("SRPT US Equity","ARDR_PREPAID_EXPENSES_LT","FQ1 2021","FQ1 2021","Currency=USD","Period=FQ","BEST_FPERIOD_OVERRIDE=FQ","FILING_STATUS=MR","SCALING_FORMAT=MLN","Sort=A","Dates=H","DateFormat=P","Fill=—","Direction=H","UseDPDF=Y")</f>
        <v>158.53700000000001</v>
      </c>
      <c r="M87" s="13">
        <f>_xll.BDH("SRPT US Equity","ARDR_PREPAID_EXPENSES_LT","FQ2 2021","FQ2 2021","Currency=USD","Period=FQ","BEST_FPERIOD_OVERRIDE=FQ","FILING_STATUS=MR","SCALING_FORMAT=MLN","Sort=A","Dates=H","DateFormat=P","Fill=—","Direction=H","UseDPDF=Y")</f>
        <v>150.851</v>
      </c>
      <c r="N87" s="13">
        <f>_xll.BDH("SRPT US Equity","ARDR_PREPAID_EXPENSES_LT","FQ3 2021","FQ3 2021","Currency=USD","Period=FQ","BEST_FPERIOD_OVERRIDE=FQ","FILING_STATUS=MR","SCALING_FORMAT=MLN","Sort=A","Dates=H","DateFormat=P","Fill=—","Direction=H","UseDPDF=Y")</f>
        <v>142.71799999999999</v>
      </c>
      <c r="O87" s="13">
        <f>_xll.BDH("SRPT US Equity","ARDR_PREPAID_EXPENSES_LT","FQ4 2021","FQ4 2021","Currency=USD","Period=FQ","BEST_FPERIOD_OVERRIDE=FQ","FILING_STATUS=MR","SCALING_FORMAT=MLN","Sort=A","Dates=H","DateFormat=P","Fill=—","Direction=H","UseDPDF=Y")</f>
        <v>114.77200000000001</v>
      </c>
      <c r="P87" s="13">
        <f>_xll.BDH("SRPT US Equity","ARDR_PREPAID_EXPENSES_LT","FQ1 2022","FQ1 2022","Currency=USD","Period=FQ","BEST_FPERIOD_OVERRIDE=FQ","FILING_STATUS=MR","SCALING_FORMAT=MLN","Sort=A","Dates=H","DateFormat=P","Fill=—","Direction=H","UseDPDF=Y")</f>
        <v>96.406000000000006</v>
      </c>
      <c r="Q87" s="13">
        <f>_xll.BDH("SRPT US Equity","ARDR_PREPAID_EXPENSES_LT","FQ2 2022","FQ2 2022","Currency=USD","Period=FQ","BEST_FPERIOD_OVERRIDE=FQ","FILING_STATUS=MR","SCALING_FORMAT=MLN","Sort=A","Dates=H","DateFormat=P","Fill=—","Direction=H","UseDPDF=Y")</f>
        <v>105.922</v>
      </c>
      <c r="R87" s="13">
        <f>_xll.BDH("SRPT US Equity","ARDR_PREPAID_EXPENSES_LT","FQ3 2022","FQ3 2022","Currency=USD","Period=FQ","BEST_FPERIOD_OVERRIDE=FQ","FILING_STATUS=MR","SCALING_FORMAT=MLN","Sort=A","Dates=H","DateFormat=P","Fill=—","Direction=H","UseDPDF=Y")</f>
        <v>100.19499999999999</v>
      </c>
      <c r="S87" s="13">
        <f>_xll.BDH("SRPT US Equity","ARDR_PREPAID_EXPENSES_LT","FQ4 2022","FQ4 2022","Currency=USD","Period=FQ","BEST_FPERIOD_OVERRIDE=FQ","FILING_STATUS=MR","SCALING_FORMAT=MLN","Sort=A","Dates=H","DateFormat=P","Fill=—","Direction=H","UseDPDF=Y")</f>
        <v>99.558999999999997</v>
      </c>
      <c r="T87" s="13">
        <f>_xll.BDH("SRPT US Equity","ARDR_PREPAID_EXPENSES_LT","FQ1 2023","FQ1 2023","Currency=USD","Period=FQ","BEST_FPERIOD_OVERRIDE=FQ","FILING_STATUS=MR","SCALING_FORMAT=MLN","Sort=A","Dates=H","DateFormat=P","Fill=—","Direction=H","UseDPDF=Y")</f>
        <v>96.594999999999999</v>
      </c>
      <c r="U87" s="13">
        <f>_xll.BDH("SRPT US Equity","ARDR_PREPAID_EXPENSES_LT","FQ2 2023","FQ2 2023","Currency=USD","Period=FQ","BEST_FPERIOD_OVERRIDE=FQ","FILING_STATUS=MR","SCALING_FORMAT=MLN","Sort=A","Dates=H","DateFormat=P","Fill=—","Direction=H","UseDPDF=Y")</f>
        <v>85.674999999999997</v>
      </c>
      <c r="V87" s="13">
        <f>_xll.BDH("SRPT US Equity","ARDR_PREPAID_EXPENSES_LT","FQ3 2023","FQ3 2023","Currency=USD","Period=FQ","BEST_FPERIOD_OVERRIDE=FQ","FILING_STATUS=MR","SCALING_FORMAT=MLN","Sort=A","Dates=H","DateFormat=P","Fill=—","Direction=H","UseDPDF=Y")</f>
        <v>81.061000000000007</v>
      </c>
      <c r="W87" s="13">
        <f>_xll.BDH("SRPT US Equity","ARDR_PREPAID_EXPENSES_LT","FQ4 2023","FQ4 2023","Currency=USD","Period=FQ","BEST_FPERIOD_OVERRIDE=FQ","FILING_STATUS=MR","SCALING_FORMAT=MLN","Sort=A","Dates=H","DateFormat=P","Fill=—","Direction=H","UseDPDF=Y")</f>
        <v>81.802999999999997</v>
      </c>
      <c r="X87" s="13">
        <f>_xll.BDH("SRPT US Equity","ARDR_PREPAID_EXPENSES_LT","FQ1 2024","FQ1 2024","Currency=USD","Period=FQ","BEST_FPERIOD_OVERRIDE=FQ","FILING_STATUS=MR","SCALING_FORMAT=MLN","Sort=A","Dates=H","DateFormat=P","Fill=—","Direction=H","UseDPDF=Y")</f>
        <v>85.953000000000003</v>
      </c>
      <c r="Y87" s="13">
        <f>_xll.BDH("SRPT US Equity","ARDR_PREPAID_EXPENSES_LT","FQ2 2024","FQ2 2024","Currency=USD","Period=FQ","BEST_FPERIOD_OVERRIDE=FQ","FILING_STATUS=MR","SCALING_FORMAT=MLN","Sort=A","Dates=H","DateFormat=P","Fill=—","Direction=H","UseDPDF=Y")</f>
        <v>81.147999999999996</v>
      </c>
      <c r="Z87" s="13">
        <f>_xll.BDH("SRPT US Equity","ARDR_PREPAID_EXPENSES_LT","FQ3 2024","FQ3 2024","Currency=USD","Period=FQ","BEST_FPERIOD_OVERRIDE=FQ","FILING_STATUS=MR","SCALING_FORMAT=MLN","Sort=A","Dates=H","DateFormat=P","Fill=—","Direction=H","UseDPDF=Y")</f>
        <v>47.613</v>
      </c>
      <c r="AA87" s="13">
        <f>_xll.BDH("SRPT US Equity","ARDR_PREPAID_EXPENSES_LT","FQ4 2024","FQ4 2024","Currency=USD","Period=FQ","BEST_FPERIOD_OVERRIDE=FQ","FILING_STATUS=MR","SCALING_FORMAT=MLN","Sort=A","Dates=H","DateFormat=P","Fill=—","Direction=H","UseDPDF=Y")</f>
        <v>45.923999999999999</v>
      </c>
    </row>
    <row r="88" spans="1:27" x14ac:dyDescent="0.25">
      <c r="A88" s="10" t="s">
        <v>844</v>
      </c>
      <c r="B88" s="10" t="s">
        <v>979</v>
      </c>
      <c r="C88" s="14">
        <f>_xll.BDH("SRPT US Equity","ARDR_NUMBER_EMPLOYEES","FQ4 2018","FQ4 2018","Currency=USD","Period=FQ","BEST_FPERIOD_OVERRIDE=FQ","FILING_STATUS=MR","Sort=A","Dates=H","DateFormat=P","Fill=—","Direction=H","UseDPDF=Y")</f>
        <v>499</v>
      </c>
      <c r="D88" s="14" t="str">
        <f>_xll.BDH("SRPT US Equity","ARDR_NUMBER_EMPLOYEES","FQ1 2019","FQ1 2019","Currency=USD","Period=FQ","BEST_FPERIOD_OVERRIDE=FQ","FILING_STATUS=MR","Sort=A","Dates=H","DateFormat=P","Fill=—","Direction=H","UseDPDF=Y")</f>
        <v>—</v>
      </c>
      <c r="E88" s="14" t="str">
        <f>_xll.BDH("SRPT US Equity","ARDR_NUMBER_EMPLOYEES","FQ2 2019","FQ2 2019","Currency=USD","Period=FQ","BEST_FPERIOD_OVERRIDE=FQ","FILING_STATUS=MR","Sort=A","Dates=H","DateFormat=P","Fill=—","Direction=H","UseDPDF=Y")</f>
        <v>—</v>
      </c>
      <c r="F88" s="14" t="str">
        <f>_xll.BDH("SRPT US Equity","ARDR_NUMBER_EMPLOYEES","FQ3 2019","FQ3 2019","Currency=USD","Period=FQ","BEST_FPERIOD_OVERRIDE=FQ","FILING_STATUS=MR","Sort=A","Dates=H","DateFormat=P","Fill=—","Direction=H","UseDPDF=Y")</f>
        <v>—</v>
      </c>
      <c r="G88" s="14">
        <f>_xll.BDH("SRPT US Equity","ARDR_NUMBER_EMPLOYEES","FQ4 2019","FQ4 2019","Currency=USD","Period=FQ","BEST_FPERIOD_OVERRIDE=FQ","FILING_STATUS=MR","Sort=A","Dates=H","DateFormat=P","Fill=—","Direction=H","UseDPDF=Y")</f>
        <v>743</v>
      </c>
      <c r="H88" s="14" t="str">
        <f>_xll.BDH("SRPT US Equity","ARDR_NUMBER_EMPLOYEES","FQ1 2020","FQ1 2020","Currency=USD","Period=FQ","BEST_FPERIOD_OVERRIDE=FQ","FILING_STATUS=MR","Sort=A","Dates=H","DateFormat=P","Fill=—","Direction=H","UseDPDF=Y")</f>
        <v>—</v>
      </c>
      <c r="I88" s="14" t="str">
        <f>_xll.BDH("SRPT US Equity","ARDR_NUMBER_EMPLOYEES","FQ2 2020","FQ2 2020","Currency=USD","Period=FQ","BEST_FPERIOD_OVERRIDE=FQ","FILING_STATUS=MR","Sort=A","Dates=H","DateFormat=P","Fill=—","Direction=H","UseDPDF=Y")</f>
        <v>—</v>
      </c>
      <c r="J88" s="14" t="str">
        <f>_xll.BDH("SRPT US Equity","ARDR_NUMBER_EMPLOYEES","FQ3 2020","FQ3 2020","Currency=USD","Period=FQ","BEST_FPERIOD_OVERRIDE=FQ","FILING_STATUS=MR","Sort=A","Dates=H","DateFormat=P","Fill=—","Direction=H","UseDPDF=Y")</f>
        <v>—</v>
      </c>
      <c r="K88" s="14">
        <f>_xll.BDH("SRPT US Equity","ARDR_NUMBER_EMPLOYEES","FQ4 2020","FQ4 2020","Currency=USD","Period=FQ","BEST_FPERIOD_OVERRIDE=FQ","FILING_STATUS=MR","Sort=A","Dates=H","DateFormat=P","Fill=—","Direction=H","UseDPDF=Y")</f>
        <v>866</v>
      </c>
      <c r="L88" s="14" t="str">
        <f>_xll.BDH("SRPT US Equity","ARDR_NUMBER_EMPLOYEES","FQ1 2021","FQ1 2021","Currency=USD","Period=FQ","BEST_FPERIOD_OVERRIDE=FQ","FILING_STATUS=MR","Sort=A","Dates=H","DateFormat=P","Fill=—","Direction=H","UseDPDF=Y")</f>
        <v>—</v>
      </c>
      <c r="M88" s="14" t="str">
        <f>_xll.BDH("SRPT US Equity","ARDR_NUMBER_EMPLOYEES","FQ2 2021","FQ2 2021","Currency=USD","Period=FQ","BEST_FPERIOD_OVERRIDE=FQ","FILING_STATUS=MR","Sort=A","Dates=H","DateFormat=P","Fill=—","Direction=H","UseDPDF=Y")</f>
        <v>—</v>
      </c>
      <c r="N88" s="14" t="str">
        <f>_xll.BDH("SRPT US Equity","ARDR_NUMBER_EMPLOYEES","FQ3 2021","FQ3 2021","Currency=USD","Period=FQ","BEST_FPERIOD_OVERRIDE=FQ","FILING_STATUS=MR","Sort=A","Dates=H","DateFormat=P","Fill=—","Direction=H","UseDPDF=Y")</f>
        <v>—</v>
      </c>
      <c r="O88" s="14">
        <f>_xll.BDH("SRPT US Equity","ARDR_NUMBER_EMPLOYEES","FQ4 2021","FQ4 2021","Currency=USD","Period=FQ","BEST_FPERIOD_OVERRIDE=FQ","FILING_STATUS=MR","Sort=A","Dates=H","DateFormat=P","Fill=—","Direction=H","UseDPDF=Y")</f>
        <v>840</v>
      </c>
      <c r="P88" s="14" t="str">
        <f>_xll.BDH("SRPT US Equity","ARDR_NUMBER_EMPLOYEES","FQ1 2022","FQ1 2022","Currency=USD","Period=FQ","BEST_FPERIOD_OVERRIDE=FQ","FILING_STATUS=MR","Sort=A","Dates=H","DateFormat=P","Fill=—","Direction=H","UseDPDF=Y")</f>
        <v>—</v>
      </c>
      <c r="Q88" s="14" t="str">
        <f>_xll.BDH("SRPT US Equity","ARDR_NUMBER_EMPLOYEES","FQ2 2022","FQ2 2022","Currency=USD","Period=FQ","BEST_FPERIOD_OVERRIDE=FQ","FILING_STATUS=MR","Sort=A","Dates=H","DateFormat=P","Fill=—","Direction=H","UseDPDF=Y")</f>
        <v>—</v>
      </c>
      <c r="R88" s="14" t="str">
        <f>_xll.BDH("SRPT US Equity","ARDR_NUMBER_EMPLOYEES","FQ3 2022","FQ3 2022","Currency=USD","Period=FQ","BEST_FPERIOD_OVERRIDE=FQ","FILING_STATUS=MR","Sort=A","Dates=H","DateFormat=P","Fill=—","Direction=H","UseDPDF=Y")</f>
        <v>—</v>
      </c>
      <c r="S88" s="14">
        <f>_xll.BDH("SRPT US Equity","ARDR_NUMBER_EMPLOYEES","FQ4 2022","FQ4 2022","Currency=USD","Period=FQ","BEST_FPERIOD_OVERRIDE=FQ","FILING_STATUS=MR","Sort=A","Dates=H","DateFormat=P","Fill=—","Direction=H","UseDPDF=Y")</f>
        <v>1162</v>
      </c>
      <c r="T88" s="14" t="str">
        <f>_xll.BDH("SRPT US Equity","ARDR_NUMBER_EMPLOYEES","FQ1 2023","FQ1 2023","Currency=USD","Period=FQ","BEST_FPERIOD_OVERRIDE=FQ","FILING_STATUS=MR","Sort=A","Dates=H","DateFormat=P","Fill=—","Direction=H","UseDPDF=Y")</f>
        <v>—</v>
      </c>
      <c r="U88" s="14" t="str">
        <f>_xll.BDH("SRPT US Equity","ARDR_NUMBER_EMPLOYEES","FQ2 2023","FQ2 2023","Currency=USD","Period=FQ","BEST_FPERIOD_OVERRIDE=FQ","FILING_STATUS=MR","Sort=A","Dates=H","DateFormat=P","Fill=—","Direction=H","UseDPDF=Y")</f>
        <v>—</v>
      </c>
      <c r="V88" s="14" t="str">
        <f>_xll.BDH("SRPT US Equity","ARDR_NUMBER_EMPLOYEES","FQ3 2023","FQ3 2023","Currency=USD","Period=FQ","BEST_FPERIOD_OVERRIDE=FQ","FILING_STATUS=MR","Sort=A","Dates=H","DateFormat=P","Fill=—","Direction=H","UseDPDF=Y")</f>
        <v>—</v>
      </c>
      <c r="W88" s="14">
        <f>_xll.BDH("SRPT US Equity","ARDR_NUMBER_EMPLOYEES","FQ4 2023","FQ4 2023","Currency=USD","Period=FQ","BEST_FPERIOD_OVERRIDE=FQ","FILING_STATUS=MR","Sort=A","Dates=H","DateFormat=P","Fill=—","Direction=H","UseDPDF=Y")</f>
        <v>1314</v>
      </c>
      <c r="X88" s="14" t="str">
        <f>_xll.BDH("SRPT US Equity","ARDR_NUMBER_EMPLOYEES","FQ1 2024","FQ1 2024","Currency=USD","Period=FQ","BEST_FPERIOD_OVERRIDE=FQ","FILING_STATUS=MR","Sort=A","Dates=H","DateFormat=P","Fill=—","Direction=H","UseDPDF=Y")</f>
        <v>—</v>
      </c>
      <c r="Y88" s="14" t="str">
        <f>_xll.BDH("SRPT US Equity","ARDR_NUMBER_EMPLOYEES","FQ2 2024","FQ2 2024","Currency=USD","Period=FQ","BEST_FPERIOD_OVERRIDE=FQ","FILING_STATUS=MR","Sort=A","Dates=H","DateFormat=P","Fill=—","Direction=H","UseDPDF=Y")</f>
        <v>—</v>
      </c>
      <c r="Z88" s="14" t="str">
        <f>_xll.BDH("SRPT US Equity","ARDR_NUMBER_EMPLOYEES","FQ3 2024","FQ3 2024","Currency=USD","Period=FQ","BEST_FPERIOD_OVERRIDE=FQ","FILING_STATUS=MR","Sort=A","Dates=H","DateFormat=P","Fill=—","Direction=H","UseDPDF=Y")</f>
        <v>—</v>
      </c>
      <c r="AA88" s="14">
        <f>_xll.BDH("SRPT US Equity","ARDR_NUMBER_EMPLOYEES","FQ4 2024","FQ4 2024","Currency=USD","Period=FQ","BEST_FPERIOD_OVERRIDE=FQ","FILING_STATUS=MR","Sort=A","Dates=H","DateFormat=P","Fill=—","Direction=H","UseDPDF=Y")</f>
        <v>1372</v>
      </c>
    </row>
    <row r="89" spans="1:27" x14ac:dyDescent="0.25">
      <c r="A89" s="10" t="s">
        <v>980</v>
      </c>
      <c r="B89" s="10" t="s">
        <v>981</v>
      </c>
      <c r="C89" s="13">
        <f>_xll.BDH("SRPT US Equity","ARDR_SHARE_OUT_FROM_FRONT_COVER","FQ4 2018","FQ4 2018","Currency=USD","Period=FQ","BEST_FPERIOD_OVERRIDE=FQ","FILING_STATUS=MR","Sort=A","Dates=H","DateFormat=P","Fill=—","Direction=H","UseDPDF=Y")</f>
        <v>71.292100000000005</v>
      </c>
      <c r="D89" s="13">
        <f>_xll.BDH("SRPT US Equity","ARDR_SHARE_OUT_FROM_FRONT_COVER","FQ1 2019","FQ1 2019","Currency=USD","Period=FQ","BEST_FPERIOD_OVERRIDE=FQ","FILING_STATUS=MR","Sort=A","Dates=H","DateFormat=P","Fill=—","Direction=H","UseDPDF=Y")</f>
        <v>74.153899999999993</v>
      </c>
      <c r="E89" s="13">
        <f>_xll.BDH("SRPT US Equity","ARDR_SHARE_OUT_FROM_FRONT_COVER","FQ2 2019","FQ2 2019","Currency=USD","Period=FQ","BEST_FPERIOD_OVERRIDE=FQ","FILING_STATUS=MR","Sort=A","Dates=H","DateFormat=P","Fill=—","Direction=H","UseDPDF=Y")</f>
        <v>74.340400000000002</v>
      </c>
      <c r="F89" s="13" t="str">
        <f>_xll.BDH("SRPT US Equity","ARDR_SHARE_OUT_FROM_FRONT_COVER","FQ3 2019","FQ3 2019","Currency=USD","Period=FQ","BEST_FPERIOD_OVERRIDE=FQ","FILING_STATUS=MR","Sort=A","Dates=H","DateFormat=P","Fill=—","Direction=H","UseDPDF=Y")</f>
        <v>—</v>
      </c>
      <c r="G89" s="13">
        <f>_xll.BDH("SRPT US Equity","ARDR_SHARE_OUT_FROM_FRONT_COVER","FQ4 2019","FQ4 2019","Currency=USD","Period=FQ","BEST_FPERIOD_OVERRIDE=FQ","FILING_STATUS=MR","Sort=A","Dates=H","DateFormat=P","Fill=—","Direction=H","UseDPDF=Y")</f>
        <v>77.776799999999994</v>
      </c>
      <c r="H89" s="13">
        <f>_xll.BDH("SRPT US Equity","ARDR_SHARE_OUT_FROM_FRONT_COVER","FQ1 2020","FQ1 2020","Currency=USD","Period=FQ","BEST_FPERIOD_OVERRIDE=FQ","FILING_STATUS=MR","Sort=A","Dates=H","DateFormat=P","Fill=—","Direction=H","UseDPDF=Y")</f>
        <v>77.988699999999994</v>
      </c>
      <c r="I89" s="13">
        <f>_xll.BDH("SRPT US Equity","ARDR_SHARE_OUT_FROM_FRONT_COVER","FQ2 2020","FQ2 2020","Currency=USD","Period=FQ","BEST_FPERIOD_OVERRIDE=FQ","FILING_STATUS=MR","Sort=A","Dates=H","DateFormat=P","Fill=—","Direction=H","UseDPDF=Y")</f>
        <v>78.505399999999995</v>
      </c>
      <c r="J89" s="13">
        <f>_xll.BDH("SRPT US Equity","ARDR_SHARE_OUT_FROM_FRONT_COVER","FQ3 2020","FQ3 2020","Currency=USD","Period=FQ","BEST_FPERIOD_OVERRIDE=FQ","FILING_STATUS=MR","Sort=A","Dates=H","DateFormat=P","Fill=—","Direction=H","UseDPDF=Y")</f>
        <v>78.912999999999997</v>
      </c>
      <c r="K89" s="13">
        <f>_xll.BDH("SRPT US Equity","ARDR_SHARE_OUT_FROM_FRONT_COVER","FQ4 2020","FQ4 2020","Currency=USD","Period=FQ","BEST_FPERIOD_OVERRIDE=FQ","FILING_STATUS=MR","Sort=A","Dates=H","DateFormat=P","Fill=—","Direction=H","UseDPDF=Y")</f>
        <v>79.420599999999993</v>
      </c>
      <c r="L89" s="13">
        <f>_xll.BDH("SRPT US Equity","ARDR_SHARE_OUT_FROM_FRONT_COVER","FQ1 2021","FQ1 2021","Currency=USD","Period=FQ","BEST_FPERIOD_OVERRIDE=FQ","FILING_STATUS=MR","Sort=A","Dates=H","DateFormat=P","Fill=—","Direction=H","UseDPDF=Y")</f>
        <v>79.774600000000007</v>
      </c>
      <c r="M89" s="13">
        <f>_xll.BDH("SRPT US Equity","ARDR_SHARE_OUT_FROM_FRONT_COVER","FQ2 2021","FQ2 2021","Currency=USD","Period=FQ","BEST_FPERIOD_OVERRIDE=FQ","FILING_STATUS=MR","Sort=A","Dates=H","DateFormat=P","Fill=—","Direction=H","UseDPDF=Y")</f>
        <v>79.844700000000003</v>
      </c>
      <c r="N89" s="13">
        <f>_xll.BDH("SRPT US Equity","ARDR_SHARE_OUT_FROM_FRONT_COVER","FQ3 2021","FQ3 2021","Currency=USD","Period=FQ","BEST_FPERIOD_OVERRIDE=FQ","FILING_STATUS=MR","Sort=A","Dates=H","DateFormat=P","Fill=—","Direction=H","UseDPDF=Y")</f>
        <v>87.076899999999995</v>
      </c>
      <c r="O89" s="13">
        <f>_xll.BDH("SRPT US Equity","ARDR_SHARE_OUT_FROM_FRONT_COVER","FQ4 2021","FQ4 2021","Currency=USD","Period=FQ","BEST_FPERIOD_OVERRIDE=FQ","FILING_STATUS=MR","Sort=A","Dates=H","DateFormat=P","Fill=—","Direction=H","UseDPDF=Y")</f>
        <v>87.149600000000007</v>
      </c>
      <c r="P89" s="13">
        <f>_xll.BDH("SRPT US Equity","ARDR_SHARE_OUT_FROM_FRONT_COVER","FQ1 2022","FQ1 2022","Currency=USD","Period=FQ","BEST_FPERIOD_OVERRIDE=FQ","FILING_STATUS=MR","Sort=A","Dates=H","DateFormat=P","Fill=—","Direction=H","UseDPDF=Y")</f>
        <v>87.501000000000005</v>
      </c>
      <c r="Q89" s="13">
        <f>_xll.BDH("SRPT US Equity","ARDR_SHARE_OUT_FROM_FRONT_COVER","FQ2 2022","FQ2 2022","Currency=USD","Period=FQ","BEST_FPERIOD_OVERRIDE=FQ","FILING_STATUS=MR","Sort=A","Dates=H","DateFormat=P","Fill=—","Direction=H","UseDPDF=Y")</f>
        <v>87.567899999999995</v>
      </c>
      <c r="R89" s="13">
        <f>_xll.BDH("SRPT US Equity","ARDR_SHARE_OUT_FROM_FRONT_COVER","FQ3 2022","FQ3 2022","Currency=USD","Period=FQ","BEST_FPERIOD_OVERRIDE=FQ","FILING_STATUS=MR","Sort=A","Dates=H","DateFormat=P","Fill=—","Direction=H","UseDPDF=Y")</f>
        <v>87.782600000000002</v>
      </c>
      <c r="S89" s="13">
        <f>_xll.BDH("SRPT US Equity","ARDR_SHARE_OUT_FROM_FRONT_COVER","FQ4 2022","FQ4 2022","Currency=USD","Period=FQ","BEST_FPERIOD_OVERRIDE=FQ","FILING_STATUS=MR","Sort=A","Dates=H","DateFormat=P","Fill=—","Direction=H","UseDPDF=Y")</f>
        <v>87.981899999999996</v>
      </c>
      <c r="T89" s="13">
        <f>_xll.BDH("SRPT US Equity","ARDR_SHARE_OUT_FROM_FRONT_COVER","FQ1 2023","FQ1 2023","Currency=USD","Period=FQ","BEST_FPERIOD_OVERRIDE=FQ","FILING_STATUS=MR","Sort=A","Dates=H","DateFormat=P","Fill=—","Direction=H","UseDPDF=Y")</f>
        <v>93.148700000000005</v>
      </c>
      <c r="U89" s="13">
        <f>_xll.BDH("SRPT US Equity","ARDR_SHARE_OUT_FROM_FRONT_COVER","FQ2 2023","FQ2 2023","Currency=USD","Period=FQ","BEST_FPERIOD_OVERRIDE=FQ","FILING_STATUS=MR","Sort=A","Dates=H","DateFormat=P","Fill=—","Direction=H","UseDPDF=Y")</f>
        <v>93.278899999999993</v>
      </c>
      <c r="V89" s="13">
        <f>_xll.BDH("SRPT US Equity","ARDR_SHARE_OUT_FROM_FRONT_COVER","FQ3 2023","FQ3 2023","Currency=USD","Period=FQ","BEST_FPERIOD_OVERRIDE=FQ","FILING_STATUS=MR","Sort=A","Dates=H","DateFormat=P","Fill=—","Direction=H","UseDPDF=Y")</f>
        <v>93.546700000000001</v>
      </c>
      <c r="W89" s="13">
        <f>_xll.BDH("SRPT US Equity","ARDR_SHARE_OUT_FROM_FRONT_COVER","FQ4 2023","FQ4 2023","Currency=USD","Period=FQ","BEST_FPERIOD_OVERRIDE=FQ","FILING_STATUS=MR","Sort=A","Dates=H","DateFormat=P","Fill=—","Direction=H","UseDPDF=Y")</f>
        <v>93.855400000000003</v>
      </c>
      <c r="X89" s="13">
        <f>_xll.BDH("SRPT US Equity","ARDR_SHARE_OUT_FROM_FRONT_COVER","FQ1 2024","FQ1 2024","Currency=USD","Period=FQ","BEST_FPERIOD_OVERRIDE=FQ","FILING_STATUS=MR","Sort=A","Dates=H","DateFormat=P","Fill=—","Direction=H","UseDPDF=Y")</f>
        <v>94.523799999999994</v>
      </c>
      <c r="Y89" s="13">
        <f>_xll.BDH("SRPT US Equity","ARDR_SHARE_OUT_FROM_FRONT_COVER","FQ2 2024","FQ2 2024","Currency=USD","Period=FQ","BEST_FPERIOD_OVERRIDE=FQ","FILING_STATUS=MR","Sort=A","Dates=H","DateFormat=P","Fill=—","Direction=H","UseDPDF=Y")</f>
        <v>95.366299999999995</v>
      </c>
      <c r="Z89" s="13">
        <f>_xll.BDH("SRPT US Equity","ARDR_SHARE_OUT_FROM_FRONT_COVER","FQ3 2024","FQ3 2024","Currency=USD","Period=FQ","BEST_FPERIOD_OVERRIDE=FQ","FILING_STATUS=MR","Sort=A","Dates=H","DateFormat=P","Fill=—","Direction=H","UseDPDF=Y")</f>
        <v>95.5197</v>
      </c>
      <c r="AA89" s="13">
        <f>_xll.BDH("SRPT US Equity","ARDR_SHARE_OUT_FROM_FRONT_COVER","FQ4 2024","FQ4 2024","Currency=USD","Period=FQ","BEST_FPERIOD_OVERRIDE=FQ","FILING_STATUS=MR","Sort=A","Dates=H","DateFormat=P","Fill=—","Direction=H","UseDPDF=Y")</f>
        <v>97.0321</v>
      </c>
    </row>
    <row r="90" spans="1:27" x14ac:dyDescent="0.25">
      <c r="A90" s="10" t="s">
        <v>982</v>
      </c>
      <c r="B90" s="10" t="s">
        <v>983</v>
      </c>
      <c r="C90" s="13" t="str">
        <f>_xll.BDH("SRPT US Equity","ARDR_FINANCE_RECEIVABLES_LT","FQ4 2018","FQ4 2018","Currency=USD","Period=FQ","BEST_FPERIOD_OVERRIDE=FQ","FILING_STATUS=MR","SCALING_FORMAT=MLN","Sort=A","Dates=H","DateFormat=P","Fill=—","Direction=H","UseDPDF=Y")</f>
        <v>—</v>
      </c>
      <c r="D90" s="13" t="str">
        <f>_xll.BDH("SRPT US Equity","ARDR_FINANCE_RECEIVABLES_LT","FQ1 2019","FQ1 2019","Currency=USD","Period=FQ","BEST_FPERIOD_OVERRIDE=FQ","FILING_STATUS=MR","SCALING_FORMAT=MLN","Sort=A","Dates=H","DateFormat=P","Fill=—","Direction=H","UseDPDF=Y")</f>
        <v>—</v>
      </c>
      <c r="E90" s="13" t="str">
        <f>_xll.BDH("SRPT US Equity","ARDR_FINANCE_RECEIVABLES_LT","FQ2 2019","FQ2 2019","Currency=USD","Period=FQ","BEST_FPERIOD_OVERRIDE=FQ","FILING_STATUS=MR","SCALING_FORMAT=MLN","Sort=A","Dates=H","DateFormat=P","Fill=—","Direction=H","UseDPDF=Y")</f>
        <v>—</v>
      </c>
      <c r="F90" s="13" t="str">
        <f>_xll.BDH("SRPT US Equity","ARDR_FINANCE_RECEIVABLES_LT","FQ3 2019","FQ3 2019","Currency=USD","Period=FQ","BEST_FPERIOD_OVERRIDE=FQ","FILING_STATUS=MR","SCALING_FORMAT=MLN","Sort=A","Dates=H","DateFormat=P","Fill=—","Direction=H","UseDPDF=Y")</f>
        <v>—</v>
      </c>
      <c r="G90" s="13" t="str">
        <f>_xll.BDH("SRPT US Equity","ARDR_FINANCE_RECEIVABLES_LT","FQ4 2019","FQ4 2019","Currency=USD","Period=FQ","BEST_FPERIOD_OVERRIDE=FQ","FILING_STATUS=MR","SCALING_FORMAT=MLN","Sort=A","Dates=H","DateFormat=P","Fill=—","Direction=H","UseDPDF=Y")</f>
        <v>—</v>
      </c>
      <c r="H90" s="13">
        <f>_xll.BDH("SRPT US Equity","ARDR_FINANCE_RECEIVABLES_LT","FQ1 2020","FQ1 2020","Currency=USD","Period=FQ","BEST_FPERIOD_OVERRIDE=FQ","FILING_STATUS=MR","SCALING_FORMAT=MLN","Sort=A","Dates=H","DateFormat=P","Fill=—","Direction=H","UseDPDF=Y")</f>
        <v>2.415</v>
      </c>
      <c r="I90" s="13">
        <f>_xll.BDH("SRPT US Equity","ARDR_FINANCE_RECEIVABLES_LT","FQ2 2020","FQ2 2020","Currency=USD","Period=FQ","BEST_FPERIOD_OVERRIDE=FQ","FILING_STATUS=MR","SCALING_FORMAT=MLN","Sort=A","Dates=H","DateFormat=P","Fill=—","Direction=H","UseDPDF=Y")</f>
        <v>2.0369999999999999</v>
      </c>
      <c r="J90" s="13">
        <f>_xll.BDH("SRPT US Equity","ARDR_FINANCE_RECEIVABLES_LT","FQ3 2020","FQ3 2020","Currency=USD","Period=FQ","BEST_FPERIOD_OVERRIDE=FQ","FILING_STATUS=MR","SCALING_FORMAT=MLN","Sort=A","Dates=H","DateFormat=P","Fill=—","Direction=H","UseDPDF=Y")</f>
        <v>2.6320000000000001</v>
      </c>
      <c r="K90" s="13">
        <f>_xll.BDH("SRPT US Equity","ARDR_FINANCE_RECEIVABLES_LT","FQ4 2020","FQ4 2020","Currency=USD","Period=FQ","BEST_FPERIOD_OVERRIDE=FQ","FILING_STATUS=MR","SCALING_FORMAT=MLN","Sort=A","Dates=H","DateFormat=P","Fill=—","Direction=H","UseDPDF=Y")</f>
        <v>3.669</v>
      </c>
      <c r="L90" s="13">
        <f>_xll.BDH("SRPT US Equity","ARDR_FINANCE_RECEIVABLES_LT","FQ1 2021","FQ1 2021","Currency=USD","Period=FQ","BEST_FPERIOD_OVERRIDE=FQ","FILING_STATUS=MR","SCALING_FORMAT=MLN","Sort=A","Dates=H","DateFormat=P","Fill=—","Direction=H","UseDPDF=Y")</f>
        <v>3.0920000000000001</v>
      </c>
      <c r="M90" s="13">
        <f>_xll.BDH("SRPT US Equity","ARDR_FINANCE_RECEIVABLES_LT","FQ2 2021","FQ2 2021","Currency=USD","Period=FQ","BEST_FPERIOD_OVERRIDE=FQ","FILING_STATUS=MR","SCALING_FORMAT=MLN","Sort=A","Dates=H","DateFormat=P","Fill=—","Direction=H","UseDPDF=Y")</f>
        <v>3.4159999999999999</v>
      </c>
      <c r="N90" s="13">
        <f>_xll.BDH("SRPT US Equity","ARDR_FINANCE_RECEIVABLES_LT","FQ3 2021","FQ3 2021","Currency=USD","Period=FQ","BEST_FPERIOD_OVERRIDE=FQ","FILING_STATUS=MR","SCALING_FORMAT=MLN","Sort=A","Dates=H","DateFormat=P","Fill=—","Direction=H","UseDPDF=Y")</f>
        <v>3.4710000000000001</v>
      </c>
      <c r="O90" s="13">
        <f>_xll.BDH("SRPT US Equity","ARDR_FINANCE_RECEIVABLES_LT","FQ4 2021","FQ4 2021","Currency=USD","Period=FQ","BEST_FPERIOD_OVERRIDE=FQ","FILING_STATUS=MR","SCALING_FORMAT=MLN","Sort=A","Dates=H","DateFormat=P","Fill=—","Direction=H","UseDPDF=Y")</f>
        <v>3.86</v>
      </c>
      <c r="P90" s="13">
        <f>_xll.BDH("SRPT US Equity","ARDR_FINANCE_RECEIVABLES_LT","FQ1 2022","FQ1 2022","Currency=USD","Period=FQ","BEST_FPERIOD_OVERRIDE=FQ","FILING_STATUS=MR","SCALING_FORMAT=MLN","Sort=A","Dates=H","DateFormat=P","Fill=—","Direction=H","UseDPDF=Y")</f>
        <v>3.7349999999999999</v>
      </c>
      <c r="Q90" s="13">
        <f>_xll.BDH("SRPT US Equity","ARDR_FINANCE_RECEIVABLES_LT","FQ2 2022","FQ2 2022","Currency=USD","Period=FQ","BEST_FPERIOD_OVERRIDE=FQ","FILING_STATUS=MR","SCALING_FORMAT=MLN","Sort=A","Dates=H","DateFormat=P","Fill=—","Direction=H","UseDPDF=Y")</f>
        <v>3.5430000000000001</v>
      </c>
      <c r="R90" s="13">
        <f>_xll.BDH("SRPT US Equity","ARDR_FINANCE_RECEIVABLES_LT","FQ3 2022","FQ3 2022","Currency=USD","Period=FQ","BEST_FPERIOD_OVERRIDE=FQ","FILING_STATUS=MR","SCALING_FORMAT=MLN","Sort=A","Dates=H","DateFormat=P","Fill=—","Direction=H","UseDPDF=Y")</f>
        <v>4.22</v>
      </c>
      <c r="S90" s="13">
        <f>_xll.BDH("SRPT US Equity","ARDR_FINANCE_RECEIVABLES_LT","FQ4 2022","FQ4 2022","Currency=USD","Period=FQ","BEST_FPERIOD_OVERRIDE=FQ","FILING_STATUS=MR","SCALING_FORMAT=MLN","Sort=A","Dates=H","DateFormat=P","Fill=—","Direction=H","UseDPDF=Y")</f>
        <v>5.4870000000000001</v>
      </c>
      <c r="T90" s="13">
        <f>_xll.BDH("SRPT US Equity","ARDR_FINANCE_RECEIVABLES_LT","FQ1 2023","FQ1 2023","Currency=USD","Period=FQ","BEST_FPERIOD_OVERRIDE=FQ","FILING_STATUS=MR","SCALING_FORMAT=MLN","Sort=A","Dates=H","DateFormat=P","Fill=—","Direction=H","UseDPDF=Y")</f>
        <v>8.5690000000000008</v>
      </c>
      <c r="U90" s="13">
        <f>_xll.BDH("SRPT US Equity","ARDR_FINANCE_RECEIVABLES_LT","FQ2 2023","FQ2 2023","Currency=USD","Period=FQ","BEST_FPERIOD_OVERRIDE=FQ","FILING_STATUS=MR","SCALING_FORMAT=MLN","Sort=A","Dates=H","DateFormat=P","Fill=—","Direction=H","UseDPDF=Y")</f>
        <v>9.3219999999999992</v>
      </c>
      <c r="V90" s="13">
        <f>_xll.BDH("SRPT US Equity","ARDR_FINANCE_RECEIVABLES_LT","FQ3 2023","FQ3 2023","Currency=USD","Period=FQ","BEST_FPERIOD_OVERRIDE=FQ","FILING_STATUS=MR","SCALING_FORMAT=MLN","Sort=A","Dates=H","DateFormat=P","Fill=—","Direction=H","UseDPDF=Y")</f>
        <v>13.669</v>
      </c>
      <c r="W90" s="13">
        <f>_xll.BDH("SRPT US Equity","ARDR_FINANCE_RECEIVABLES_LT","FQ4 2023","FQ4 2023","Currency=USD","Period=FQ","BEST_FPERIOD_OVERRIDE=FQ","FILING_STATUS=MR","SCALING_FORMAT=MLN","Sort=A","Dates=H","DateFormat=P","Fill=—","Direction=H","UseDPDF=Y")</f>
        <v>3.242</v>
      </c>
      <c r="X90" s="13">
        <f>_xll.BDH("SRPT US Equity","ARDR_FINANCE_RECEIVABLES_LT","FQ1 2024","FQ1 2024","Currency=USD","Period=FQ","BEST_FPERIOD_OVERRIDE=FQ","FILING_STATUS=MR","SCALING_FORMAT=MLN","Sort=A","Dates=H","DateFormat=P","Fill=—","Direction=H","UseDPDF=Y")</f>
        <v>4.569</v>
      </c>
      <c r="Y90" s="13">
        <f>_xll.BDH("SRPT US Equity","ARDR_FINANCE_RECEIVABLES_LT","FQ2 2024","FQ2 2024","Currency=USD","Period=FQ","BEST_FPERIOD_OVERRIDE=FQ","FILING_STATUS=MR","SCALING_FORMAT=MLN","Sort=A","Dates=H","DateFormat=P","Fill=—","Direction=H","UseDPDF=Y")</f>
        <v>3.1440000000000001</v>
      </c>
      <c r="Z90" s="13">
        <f>_xll.BDH("SRPT US Equity","ARDR_FINANCE_RECEIVABLES_LT","FQ3 2024","FQ3 2024","Currency=USD","Period=FQ","BEST_FPERIOD_OVERRIDE=FQ","FILING_STATUS=MR","SCALING_FORMAT=MLN","Sort=A","Dates=H","DateFormat=P","Fill=—","Direction=H","UseDPDF=Y")</f>
        <v>3.653</v>
      </c>
      <c r="AA90" s="13">
        <f>_xll.BDH("SRPT US Equity","ARDR_FINANCE_RECEIVABLES_LT","FQ4 2024","FQ4 2024","Currency=USD","Period=FQ","BEST_FPERIOD_OVERRIDE=FQ","FILING_STATUS=MR","SCALING_FORMAT=MLN","Sort=A","Dates=H","DateFormat=P","Fill=—","Direction=H","UseDPDF=Y")</f>
        <v>3.3940000000000001</v>
      </c>
    </row>
    <row r="91" spans="1:27" x14ac:dyDescent="0.25">
      <c r="A91" s="10" t="s">
        <v>984</v>
      </c>
      <c r="B91" s="10" t="s">
        <v>985</v>
      </c>
      <c r="C91" s="13" t="str">
        <f>_xll.BDH("SRPT US Equity","ARDR_LICENSES","FQ4 2018","FQ4 2018","Currency=USD","Period=FQ","BEST_FPERIOD_OVERRIDE=FQ","FILING_STATUS=MR","SCALING_FORMAT=MLN","Sort=A","Dates=H","DateFormat=P","Fill=—","Direction=H","UseDPDF=Y")</f>
        <v>—</v>
      </c>
      <c r="D91" s="13" t="str">
        <f>_xll.BDH("SRPT US Equity","ARDR_LICENSES","FQ1 2019","FQ1 2019","Currency=USD","Period=FQ","BEST_FPERIOD_OVERRIDE=FQ","FILING_STATUS=MR","SCALING_FORMAT=MLN","Sort=A","Dates=H","DateFormat=P","Fill=—","Direction=H","UseDPDF=Y")</f>
        <v>—</v>
      </c>
      <c r="E91" s="13" t="str">
        <f>_xll.BDH("SRPT US Equity","ARDR_LICENSES","FQ2 2019","FQ2 2019","Currency=USD","Period=FQ","BEST_FPERIOD_OVERRIDE=FQ","FILING_STATUS=MR","SCALING_FORMAT=MLN","Sort=A","Dates=H","DateFormat=P","Fill=—","Direction=H","UseDPDF=Y")</f>
        <v>—</v>
      </c>
      <c r="F91" s="13" t="str">
        <f>_xll.BDH("SRPT US Equity","ARDR_LICENSES","FQ3 2019","FQ3 2019","Currency=USD","Period=FQ","BEST_FPERIOD_OVERRIDE=FQ","FILING_STATUS=MR","SCALING_FORMAT=MLN","Sort=A","Dates=H","DateFormat=P","Fill=—","Direction=H","UseDPDF=Y")</f>
        <v>—</v>
      </c>
      <c r="G91" s="13" t="str">
        <f>_xll.BDH("SRPT US Equity","ARDR_LICENSES","FQ4 2019","FQ4 2019","Currency=USD","Period=FQ","BEST_FPERIOD_OVERRIDE=FQ","FILING_STATUS=MR","SCALING_FORMAT=MLN","Sort=A","Dates=H","DateFormat=P","Fill=—","Direction=H","UseDPDF=Y")</f>
        <v>—</v>
      </c>
      <c r="H91" s="13" t="str">
        <f>_xll.BDH("SRPT US Equity","ARDR_LICENSES","FQ1 2020","FQ1 2020","Currency=USD","Period=FQ","BEST_FPERIOD_OVERRIDE=FQ","FILING_STATUS=MR","SCALING_FORMAT=MLN","Sort=A","Dates=H","DateFormat=P","Fill=—","Direction=H","UseDPDF=Y")</f>
        <v>—</v>
      </c>
      <c r="I91" s="13" t="str">
        <f>_xll.BDH("SRPT US Equity","ARDR_LICENSES","FQ2 2020","FQ2 2020","Currency=USD","Period=FQ","BEST_FPERIOD_OVERRIDE=FQ","FILING_STATUS=MR","SCALING_FORMAT=MLN","Sort=A","Dates=H","DateFormat=P","Fill=—","Direction=H","UseDPDF=Y")</f>
        <v>—</v>
      </c>
      <c r="J91" s="13" t="str">
        <f>_xll.BDH("SRPT US Equity","ARDR_LICENSES","FQ3 2020","FQ3 2020","Currency=USD","Period=FQ","BEST_FPERIOD_OVERRIDE=FQ","FILING_STATUS=MR","SCALING_FORMAT=MLN","Sort=A","Dates=H","DateFormat=P","Fill=—","Direction=H","UseDPDF=Y")</f>
        <v>—</v>
      </c>
      <c r="K91" s="13" t="str">
        <f>_xll.BDH("SRPT US Equity","ARDR_LICENSES","FQ4 2020","FQ4 2020","Currency=USD","Period=FQ","BEST_FPERIOD_OVERRIDE=FQ","FILING_STATUS=MR","SCALING_FORMAT=MLN","Sort=A","Dates=H","DateFormat=P","Fill=—","Direction=H","UseDPDF=Y")</f>
        <v>—</v>
      </c>
      <c r="L91" s="13" t="str">
        <f>_xll.BDH("SRPT US Equity","ARDR_LICENSES","FQ1 2021","FQ1 2021","Currency=USD","Period=FQ","BEST_FPERIOD_OVERRIDE=FQ","FILING_STATUS=MR","SCALING_FORMAT=MLN","Sort=A","Dates=H","DateFormat=P","Fill=—","Direction=H","UseDPDF=Y")</f>
        <v>—</v>
      </c>
      <c r="M91" s="13" t="str">
        <f>_xll.BDH("SRPT US Equity","ARDR_LICENSES","FQ2 2021","FQ2 2021","Currency=USD","Period=FQ","BEST_FPERIOD_OVERRIDE=FQ","FILING_STATUS=MR","SCALING_FORMAT=MLN","Sort=A","Dates=H","DateFormat=P","Fill=—","Direction=H","UseDPDF=Y")</f>
        <v>—</v>
      </c>
      <c r="N91" s="13" t="str">
        <f>_xll.BDH("SRPT US Equity","ARDR_LICENSES","FQ3 2021","FQ3 2021","Currency=USD","Period=FQ","BEST_FPERIOD_OVERRIDE=FQ","FILING_STATUS=MR","SCALING_FORMAT=MLN","Sort=A","Dates=H","DateFormat=P","Fill=—","Direction=H","UseDPDF=Y")</f>
        <v>—</v>
      </c>
      <c r="O91" s="13" t="str">
        <f>_xll.BDH("SRPT US Equity","ARDR_LICENSES","FQ4 2021","FQ4 2021","Currency=USD","Period=FQ","BEST_FPERIOD_OVERRIDE=FQ","FILING_STATUS=MR","SCALING_FORMAT=MLN","Sort=A","Dates=H","DateFormat=P","Fill=—","Direction=H","UseDPDF=Y")</f>
        <v>—</v>
      </c>
      <c r="P91" s="13" t="str">
        <f>_xll.BDH("SRPT US Equity","ARDR_LICENSES","FQ1 2022","FQ1 2022","Currency=USD","Period=FQ","BEST_FPERIOD_OVERRIDE=FQ","FILING_STATUS=MR","SCALING_FORMAT=MLN","Sort=A","Dates=H","DateFormat=P","Fill=—","Direction=H","UseDPDF=Y")</f>
        <v>—</v>
      </c>
      <c r="Q91" s="13" t="str">
        <f>_xll.BDH("SRPT US Equity","ARDR_LICENSES","FQ2 2022","FQ2 2022","Currency=USD","Period=FQ","BEST_FPERIOD_OVERRIDE=FQ","FILING_STATUS=MR","SCALING_FORMAT=MLN","Sort=A","Dates=H","DateFormat=P","Fill=—","Direction=H","UseDPDF=Y")</f>
        <v>—</v>
      </c>
      <c r="R91" s="13" t="str">
        <f>_xll.BDH("SRPT US Equity","ARDR_LICENSES","FQ3 2022","FQ3 2022","Currency=USD","Period=FQ","BEST_FPERIOD_OVERRIDE=FQ","FILING_STATUS=MR","SCALING_FORMAT=MLN","Sort=A","Dates=H","DateFormat=P","Fill=—","Direction=H","UseDPDF=Y")</f>
        <v>—</v>
      </c>
      <c r="S91" s="13">
        <f>_xll.BDH("SRPT US Equity","ARDR_LICENSES","FQ4 2022","FQ4 2022","Currency=USD","Period=FQ","BEST_FPERIOD_OVERRIDE=FQ","FILING_STATUS=MR","SCALING_FORMAT=MLN","Sort=A","Dates=H","DateFormat=P","Fill=—","Direction=H","UseDPDF=Y")</f>
        <v>6.4029999999999996</v>
      </c>
      <c r="T91" s="13" t="str">
        <f>_xll.BDH("SRPT US Equity","ARDR_LICENSES","FQ1 2023","FQ1 2023","Currency=USD","Period=FQ","BEST_FPERIOD_OVERRIDE=FQ","FILING_STATUS=MR","SCALING_FORMAT=MLN","Sort=A","Dates=H","DateFormat=P","Fill=—","Direction=H","UseDPDF=Y")</f>
        <v>—</v>
      </c>
      <c r="U91" s="13" t="str">
        <f>_xll.BDH("SRPT US Equity","ARDR_LICENSES","FQ2 2023","FQ2 2023","Currency=USD","Period=FQ","BEST_FPERIOD_OVERRIDE=FQ","FILING_STATUS=MR","SCALING_FORMAT=MLN","Sort=A","Dates=H","DateFormat=P","Fill=—","Direction=H","UseDPDF=Y")</f>
        <v>—</v>
      </c>
      <c r="V91" s="13" t="str">
        <f>_xll.BDH("SRPT US Equity","ARDR_LICENSES","FQ3 2023","FQ3 2023","Currency=USD","Period=FQ","BEST_FPERIOD_OVERRIDE=FQ","FILING_STATUS=MR","SCALING_FORMAT=MLN","Sort=A","Dates=H","DateFormat=P","Fill=—","Direction=H","UseDPDF=Y")</f>
        <v>—</v>
      </c>
      <c r="W91" s="13">
        <f>_xll.BDH("SRPT US Equity","ARDR_LICENSES","FQ4 2023","FQ4 2023","Currency=USD","Period=FQ","BEST_FPERIOD_OVERRIDE=FQ","FILING_STATUS=MR","SCALING_FORMAT=MLN","Sort=A","Dates=H","DateFormat=P","Fill=—","Direction=H","UseDPDF=Y")</f>
        <v>8.2439999999999998</v>
      </c>
      <c r="X91" s="13" t="str">
        <f>_xll.BDH("SRPT US Equity","ARDR_LICENSES","FQ1 2024","FQ1 2024","Currency=USD","Period=FQ","BEST_FPERIOD_OVERRIDE=FQ","FILING_STATUS=MR","SCALING_FORMAT=MLN","Sort=A","Dates=H","DateFormat=P","Fill=—","Direction=H","UseDPDF=Y")</f>
        <v>—</v>
      </c>
      <c r="Y91" s="13" t="str">
        <f>_xll.BDH("SRPT US Equity","ARDR_LICENSES","FQ2 2024","FQ2 2024","Currency=USD","Period=FQ","BEST_FPERIOD_OVERRIDE=FQ","FILING_STATUS=MR","SCALING_FORMAT=MLN","Sort=A","Dates=H","DateFormat=P","Fill=—","Direction=H","UseDPDF=Y")</f>
        <v>—</v>
      </c>
      <c r="Z91" s="13" t="str">
        <f>_xll.BDH("SRPT US Equity","ARDR_LICENSES","FQ3 2024","FQ3 2024","Currency=USD","Period=FQ","BEST_FPERIOD_OVERRIDE=FQ","FILING_STATUS=MR","SCALING_FORMAT=MLN","Sort=A","Dates=H","DateFormat=P","Fill=—","Direction=H","UseDPDF=Y")</f>
        <v>—</v>
      </c>
      <c r="AA91" s="13">
        <f>_xll.BDH("SRPT US Equity","ARDR_LICENSES","FQ4 2024","FQ4 2024","Currency=USD","Period=FQ","BEST_FPERIOD_OVERRIDE=FQ","FILING_STATUS=MR","SCALING_FORMAT=MLN","Sort=A","Dates=H","DateFormat=P","Fill=—","Direction=H","UseDPDF=Y")</f>
        <v>10.946</v>
      </c>
    </row>
    <row r="92" spans="1:27" x14ac:dyDescent="0.25">
      <c r="A92" s="10" t="s">
        <v>986</v>
      </c>
      <c r="B92" s="10" t="s">
        <v>987</v>
      </c>
      <c r="C92" s="13" t="str">
        <f>_xll.BDH("SRPT US Equity","ARDR_ACCCUM_AMORT_INTANG_ASSET","FQ4 2018","FQ4 2018","Currency=USD","Period=FQ","BEST_FPERIOD_OVERRIDE=FQ","FILING_STATUS=MR","SCALING_FORMAT=MLN","Sort=A","Dates=H","DateFormat=P","Fill=—","Direction=H","UseDPDF=Y")</f>
        <v>—</v>
      </c>
      <c r="D92" s="13" t="str">
        <f>_xll.BDH("SRPT US Equity","ARDR_ACCCUM_AMORT_INTANG_ASSET","FQ1 2019","FQ1 2019","Currency=USD","Period=FQ","BEST_FPERIOD_OVERRIDE=FQ","FILING_STATUS=MR","SCALING_FORMAT=MLN","Sort=A","Dates=H","DateFormat=P","Fill=—","Direction=H","UseDPDF=Y")</f>
        <v>—</v>
      </c>
      <c r="E92" s="13" t="str">
        <f>_xll.BDH("SRPT US Equity","ARDR_ACCCUM_AMORT_INTANG_ASSET","FQ2 2019","FQ2 2019","Currency=USD","Period=FQ","BEST_FPERIOD_OVERRIDE=FQ","FILING_STATUS=MR","SCALING_FORMAT=MLN","Sort=A","Dates=H","DateFormat=P","Fill=—","Direction=H","UseDPDF=Y")</f>
        <v>—</v>
      </c>
      <c r="F92" s="13" t="str">
        <f>_xll.BDH("SRPT US Equity","ARDR_ACCCUM_AMORT_INTANG_ASSET","FQ3 2019","FQ3 2019","Currency=USD","Period=FQ","BEST_FPERIOD_OVERRIDE=FQ","FILING_STATUS=MR","SCALING_FORMAT=MLN","Sort=A","Dates=H","DateFormat=P","Fill=—","Direction=H","UseDPDF=Y")</f>
        <v>—</v>
      </c>
      <c r="G92" s="13" t="str">
        <f>_xll.BDH("SRPT US Equity","ARDR_ACCCUM_AMORT_INTANG_ASSET","FQ4 2019","FQ4 2019","Currency=USD","Period=FQ","BEST_FPERIOD_OVERRIDE=FQ","FILING_STATUS=MR","SCALING_FORMAT=MLN","Sort=A","Dates=H","DateFormat=P","Fill=—","Direction=H","UseDPDF=Y")</f>
        <v>—</v>
      </c>
      <c r="H92" s="13" t="str">
        <f>_xll.BDH("SRPT US Equity","ARDR_ACCCUM_AMORT_INTANG_ASSET","FQ1 2020","FQ1 2020","Currency=USD","Period=FQ","BEST_FPERIOD_OVERRIDE=FQ","FILING_STATUS=MR","SCALING_FORMAT=MLN","Sort=A","Dates=H","DateFormat=P","Fill=—","Direction=H","UseDPDF=Y")</f>
        <v>—</v>
      </c>
      <c r="I92" s="13" t="str">
        <f>_xll.BDH("SRPT US Equity","ARDR_ACCCUM_AMORT_INTANG_ASSET","FQ2 2020","FQ2 2020","Currency=USD","Period=FQ","BEST_FPERIOD_OVERRIDE=FQ","FILING_STATUS=MR","SCALING_FORMAT=MLN","Sort=A","Dates=H","DateFormat=P","Fill=—","Direction=H","UseDPDF=Y")</f>
        <v>—</v>
      </c>
      <c r="J92" s="13" t="str">
        <f>_xll.BDH("SRPT US Equity","ARDR_ACCCUM_AMORT_INTANG_ASSET","FQ3 2020","FQ3 2020","Currency=USD","Period=FQ","BEST_FPERIOD_OVERRIDE=FQ","FILING_STATUS=MR","SCALING_FORMAT=MLN","Sort=A","Dates=H","DateFormat=P","Fill=—","Direction=H","UseDPDF=Y")</f>
        <v>—</v>
      </c>
      <c r="K92" s="13" t="str">
        <f>_xll.BDH("SRPT US Equity","ARDR_ACCCUM_AMORT_INTANG_ASSET","FQ4 2020","FQ4 2020","Currency=USD","Period=FQ","BEST_FPERIOD_OVERRIDE=FQ","FILING_STATUS=MR","SCALING_FORMAT=MLN","Sort=A","Dates=H","DateFormat=P","Fill=—","Direction=H","UseDPDF=Y")</f>
        <v>—</v>
      </c>
      <c r="L92" s="13" t="str">
        <f>_xll.BDH("SRPT US Equity","ARDR_ACCCUM_AMORT_INTANG_ASSET","FQ1 2021","FQ1 2021","Currency=USD","Period=FQ","BEST_FPERIOD_OVERRIDE=FQ","FILING_STATUS=MR","SCALING_FORMAT=MLN","Sort=A","Dates=H","DateFormat=P","Fill=—","Direction=H","UseDPDF=Y")</f>
        <v>—</v>
      </c>
      <c r="M92" s="13" t="str">
        <f>_xll.BDH("SRPT US Equity","ARDR_ACCCUM_AMORT_INTANG_ASSET","FQ2 2021","FQ2 2021","Currency=USD","Period=FQ","BEST_FPERIOD_OVERRIDE=FQ","FILING_STATUS=MR","SCALING_FORMAT=MLN","Sort=A","Dates=H","DateFormat=P","Fill=—","Direction=H","UseDPDF=Y")</f>
        <v>—</v>
      </c>
      <c r="N92" s="13" t="str">
        <f>_xll.BDH("SRPT US Equity","ARDR_ACCCUM_AMORT_INTANG_ASSET","FQ3 2021","FQ3 2021","Currency=USD","Period=FQ","BEST_FPERIOD_OVERRIDE=FQ","FILING_STATUS=MR","SCALING_FORMAT=MLN","Sort=A","Dates=H","DateFormat=P","Fill=—","Direction=H","UseDPDF=Y")</f>
        <v>—</v>
      </c>
      <c r="O92" s="13" t="str">
        <f>_xll.BDH("SRPT US Equity","ARDR_ACCCUM_AMORT_INTANG_ASSET","FQ4 2021","FQ4 2021","Currency=USD","Period=FQ","BEST_FPERIOD_OVERRIDE=FQ","FILING_STATUS=MR","SCALING_FORMAT=MLN","Sort=A","Dates=H","DateFormat=P","Fill=—","Direction=H","UseDPDF=Y")</f>
        <v>—</v>
      </c>
      <c r="P92" s="13" t="str">
        <f>_xll.BDH("SRPT US Equity","ARDR_ACCCUM_AMORT_INTANG_ASSET","FQ1 2022","FQ1 2022","Currency=USD","Period=FQ","BEST_FPERIOD_OVERRIDE=FQ","FILING_STATUS=MR","SCALING_FORMAT=MLN","Sort=A","Dates=H","DateFormat=P","Fill=—","Direction=H","UseDPDF=Y")</f>
        <v>—</v>
      </c>
      <c r="Q92" s="13" t="str">
        <f>_xll.BDH("SRPT US Equity","ARDR_ACCCUM_AMORT_INTANG_ASSET","FQ2 2022","FQ2 2022","Currency=USD","Period=FQ","BEST_FPERIOD_OVERRIDE=FQ","FILING_STATUS=MR","SCALING_FORMAT=MLN","Sort=A","Dates=H","DateFormat=P","Fill=—","Direction=H","UseDPDF=Y")</f>
        <v>—</v>
      </c>
      <c r="R92" s="13" t="str">
        <f>_xll.BDH("SRPT US Equity","ARDR_ACCCUM_AMORT_INTANG_ASSET","FQ3 2022","FQ3 2022","Currency=USD","Period=FQ","BEST_FPERIOD_OVERRIDE=FQ","FILING_STATUS=MR","SCALING_FORMAT=MLN","Sort=A","Dates=H","DateFormat=P","Fill=—","Direction=H","UseDPDF=Y")</f>
        <v>—</v>
      </c>
      <c r="S92" s="13">
        <f>_xll.BDH("SRPT US Equity","ARDR_ACCCUM_AMORT_INTANG_ASSET","FQ4 2022","FQ4 2022","Currency=USD","Period=FQ","BEST_FPERIOD_OVERRIDE=FQ","FILING_STATUS=MR","SCALING_FORMAT=MLN","Sort=A","Dates=H","DateFormat=P","Fill=—","Direction=H","UseDPDF=Y")</f>
        <v>8.5730000000000004</v>
      </c>
      <c r="T92" s="13" t="str">
        <f>_xll.BDH("SRPT US Equity","ARDR_ACCCUM_AMORT_INTANG_ASSET","FQ1 2023","FQ1 2023","Currency=USD","Period=FQ","BEST_FPERIOD_OVERRIDE=FQ","FILING_STATUS=MR","SCALING_FORMAT=MLN","Sort=A","Dates=H","DateFormat=P","Fill=—","Direction=H","UseDPDF=Y")</f>
        <v>—</v>
      </c>
      <c r="U92" s="13" t="str">
        <f>_xll.BDH("SRPT US Equity","ARDR_ACCCUM_AMORT_INTANG_ASSET","FQ2 2023","FQ2 2023","Currency=USD","Period=FQ","BEST_FPERIOD_OVERRIDE=FQ","FILING_STATUS=MR","SCALING_FORMAT=MLN","Sort=A","Dates=H","DateFormat=P","Fill=—","Direction=H","UseDPDF=Y")</f>
        <v>—</v>
      </c>
      <c r="V92" s="13" t="str">
        <f>_xll.BDH("SRPT US Equity","ARDR_ACCCUM_AMORT_INTANG_ASSET","FQ3 2023","FQ3 2023","Currency=USD","Period=FQ","BEST_FPERIOD_OVERRIDE=FQ","FILING_STATUS=MR","SCALING_FORMAT=MLN","Sort=A","Dates=H","DateFormat=P","Fill=—","Direction=H","UseDPDF=Y")</f>
        <v>—</v>
      </c>
      <c r="W92" s="13">
        <f>_xll.BDH("SRPT US Equity","ARDR_ACCCUM_AMORT_INTANG_ASSET","FQ4 2023","FQ4 2023","Currency=USD","Period=FQ","BEST_FPERIOD_OVERRIDE=FQ","FILING_STATUS=MR","SCALING_FORMAT=MLN","Sort=A","Dates=H","DateFormat=P","Fill=—","Direction=H","UseDPDF=Y")</f>
        <v>32.673000000000002</v>
      </c>
      <c r="X92" s="13" t="str">
        <f>_xll.BDH("SRPT US Equity","ARDR_ACCCUM_AMORT_INTANG_ASSET","FQ1 2024","FQ1 2024","Currency=USD","Period=FQ","BEST_FPERIOD_OVERRIDE=FQ","FILING_STATUS=MR","SCALING_FORMAT=MLN","Sort=A","Dates=H","DateFormat=P","Fill=—","Direction=H","UseDPDF=Y")</f>
        <v>—</v>
      </c>
      <c r="Y92" s="13" t="str">
        <f>_xll.BDH("SRPT US Equity","ARDR_ACCCUM_AMORT_INTANG_ASSET","FQ2 2024","FQ2 2024","Currency=USD","Period=FQ","BEST_FPERIOD_OVERRIDE=FQ","FILING_STATUS=MR","SCALING_FORMAT=MLN","Sort=A","Dates=H","DateFormat=P","Fill=—","Direction=H","UseDPDF=Y")</f>
        <v>—</v>
      </c>
      <c r="Z92" s="13" t="str">
        <f>_xll.BDH("SRPT US Equity","ARDR_ACCCUM_AMORT_INTANG_ASSET","FQ3 2024","FQ3 2024","Currency=USD","Period=FQ","BEST_FPERIOD_OVERRIDE=FQ","FILING_STATUS=MR","SCALING_FORMAT=MLN","Sort=A","Dates=H","DateFormat=P","Fill=—","Direction=H","UseDPDF=Y")</f>
        <v>—</v>
      </c>
      <c r="AA92" s="13">
        <f>_xll.BDH("SRPT US Equity","ARDR_ACCCUM_AMORT_INTANG_ASSET","FQ4 2024","FQ4 2024","Currency=USD","Period=FQ","BEST_FPERIOD_OVERRIDE=FQ","FILING_STATUS=MR","SCALING_FORMAT=MLN","Sort=A","Dates=H","DateFormat=P","Fill=—","Direction=H","UseDPDF=Y")</f>
        <v>32.673000000000002</v>
      </c>
    </row>
    <row r="93" spans="1:27" x14ac:dyDescent="0.25">
      <c r="A93" s="10" t="s">
        <v>988</v>
      </c>
      <c r="B93" s="10" t="s">
        <v>989</v>
      </c>
      <c r="C93" s="13" t="str">
        <f>_xll.BDH("SRPT US Equity","ARDR_CASH_EQUIVALENTS_MKT_SECS","FQ4 2018","FQ4 2018","Currency=USD","Period=FQ","BEST_FPERIOD_OVERRIDE=FQ","FILING_STATUS=MR","SCALING_FORMAT=MLN","Sort=A","Dates=H","DateFormat=P","Fill=—","Direction=H","UseDPDF=Y")</f>
        <v>—</v>
      </c>
      <c r="D93" s="13" t="str">
        <f>_xll.BDH("SRPT US Equity","ARDR_CASH_EQUIVALENTS_MKT_SECS","FQ1 2019","FQ1 2019","Currency=USD","Period=FQ","BEST_FPERIOD_OVERRIDE=FQ","FILING_STATUS=MR","SCALING_FORMAT=MLN","Sort=A","Dates=H","DateFormat=P","Fill=—","Direction=H","UseDPDF=Y")</f>
        <v>—</v>
      </c>
      <c r="E93" s="13" t="str">
        <f>_xll.BDH("SRPT US Equity","ARDR_CASH_EQUIVALENTS_MKT_SECS","FQ2 2019","FQ2 2019","Currency=USD","Period=FQ","BEST_FPERIOD_OVERRIDE=FQ","FILING_STATUS=MR","SCALING_FORMAT=MLN","Sort=A","Dates=H","DateFormat=P","Fill=—","Direction=H","UseDPDF=Y")</f>
        <v>—</v>
      </c>
      <c r="F93" s="13" t="str">
        <f>_xll.BDH("SRPT US Equity","ARDR_CASH_EQUIVALENTS_MKT_SECS","FQ3 2019","FQ3 2019","Currency=USD","Period=FQ","BEST_FPERIOD_OVERRIDE=FQ","FILING_STATUS=MR","SCALING_FORMAT=MLN","Sort=A","Dates=H","DateFormat=P","Fill=—","Direction=H","UseDPDF=Y")</f>
        <v>—</v>
      </c>
      <c r="G93" s="13" t="str">
        <f>_xll.BDH("SRPT US Equity","ARDR_CASH_EQUIVALENTS_MKT_SECS","FQ4 2019","FQ4 2019","Currency=USD","Period=FQ","BEST_FPERIOD_OVERRIDE=FQ","FILING_STATUS=MR","SCALING_FORMAT=MLN","Sort=A","Dates=H","DateFormat=P","Fill=—","Direction=H","UseDPDF=Y")</f>
        <v>—</v>
      </c>
      <c r="H93" s="13" t="str">
        <f>_xll.BDH("SRPT US Equity","ARDR_CASH_EQUIVALENTS_MKT_SECS","FQ1 2020","FQ1 2020","Currency=USD","Period=FQ","BEST_FPERIOD_OVERRIDE=FQ","FILING_STATUS=MR","SCALING_FORMAT=MLN","Sort=A","Dates=H","DateFormat=P","Fill=—","Direction=H","UseDPDF=Y")</f>
        <v>—</v>
      </c>
      <c r="I93" s="13" t="str">
        <f>_xll.BDH("SRPT US Equity","ARDR_CASH_EQUIVALENTS_MKT_SECS","FQ2 2020","FQ2 2020","Currency=USD","Period=FQ","BEST_FPERIOD_OVERRIDE=FQ","FILING_STATUS=MR","SCALING_FORMAT=MLN","Sort=A","Dates=H","DateFormat=P","Fill=—","Direction=H","UseDPDF=Y")</f>
        <v>—</v>
      </c>
      <c r="J93" s="13" t="str">
        <f>_xll.BDH("SRPT US Equity","ARDR_CASH_EQUIVALENTS_MKT_SECS","FQ3 2020","FQ3 2020","Currency=USD","Period=FQ","BEST_FPERIOD_OVERRIDE=FQ","FILING_STATUS=MR","SCALING_FORMAT=MLN","Sort=A","Dates=H","DateFormat=P","Fill=—","Direction=H","UseDPDF=Y")</f>
        <v>—</v>
      </c>
      <c r="K93" s="13" t="str">
        <f>_xll.BDH("SRPT US Equity","ARDR_CASH_EQUIVALENTS_MKT_SECS","FQ4 2020","FQ4 2020","Currency=USD","Period=FQ","BEST_FPERIOD_OVERRIDE=FQ","FILING_STATUS=MR","SCALING_FORMAT=MLN","Sort=A","Dates=H","DateFormat=P","Fill=—","Direction=H","UseDPDF=Y")</f>
        <v>—</v>
      </c>
      <c r="L93" s="13" t="str">
        <f>_xll.BDH("SRPT US Equity","ARDR_CASH_EQUIVALENTS_MKT_SECS","FQ1 2021","FQ1 2021","Currency=USD","Period=FQ","BEST_FPERIOD_OVERRIDE=FQ","FILING_STATUS=MR","SCALING_FORMAT=MLN","Sort=A","Dates=H","DateFormat=P","Fill=—","Direction=H","UseDPDF=Y")</f>
        <v>—</v>
      </c>
      <c r="M93" s="13">
        <f>_xll.BDH("SRPT US Equity","ARDR_CASH_EQUIVALENTS_MKT_SECS","FQ2 2021","FQ2 2021","Currency=USD","Period=FQ","BEST_FPERIOD_OVERRIDE=FQ","FILING_STATUS=MR","SCALING_FORMAT=MLN","Sort=A","Dates=H","DateFormat=P","Fill=—","Direction=H","UseDPDF=Y")</f>
        <v>1727.2750000000001</v>
      </c>
      <c r="N93" s="13">
        <f>_xll.BDH("SRPT US Equity","ARDR_CASH_EQUIVALENTS_MKT_SECS","FQ3 2021","FQ3 2021","Currency=USD","Period=FQ","BEST_FPERIOD_OVERRIDE=FQ","FILING_STATUS=MR","SCALING_FORMAT=MLN","Sort=A","Dates=H","DateFormat=P","Fill=—","Direction=H","UseDPDF=Y")</f>
        <v>1599.1130000000001</v>
      </c>
      <c r="O93" s="13" t="str">
        <f>_xll.BDH("SRPT US Equity","ARDR_CASH_EQUIVALENTS_MKT_SECS","FQ4 2021","FQ4 2021","Currency=USD","Period=FQ","BEST_FPERIOD_OVERRIDE=FQ","FILING_STATUS=MR","SCALING_FORMAT=MLN","Sort=A","Dates=H","DateFormat=P","Fill=—","Direction=H","UseDPDF=Y")</f>
        <v>—</v>
      </c>
      <c r="P93" s="13">
        <f>_xll.BDH("SRPT US Equity","ARDR_CASH_EQUIVALENTS_MKT_SECS","FQ1 2022","FQ1 2022","Currency=USD","Period=FQ","BEST_FPERIOD_OVERRIDE=FQ","FILING_STATUS=MR","SCALING_FORMAT=MLN","Sort=A","Dates=H","DateFormat=P","Fill=—","Direction=H","UseDPDF=Y")</f>
        <v>2013.425</v>
      </c>
      <c r="Q93" s="13">
        <f>_xll.BDH("SRPT US Equity","ARDR_CASH_EQUIVALENTS_MKT_SECS","FQ2 2022","FQ2 2022","Currency=USD","Period=FQ","BEST_FPERIOD_OVERRIDE=FQ","FILING_STATUS=MR","SCALING_FORMAT=MLN","Sort=A","Dates=H","DateFormat=P","Fill=—","Direction=H","UseDPDF=Y")</f>
        <v>1928.019</v>
      </c>
      <c r="R93" s="13">
        <f>_xll.BDH("SRPT US Equity","ARDR_CASH_EQUIVALENTS_MKT_SECS","FQ3 2022","FQ3 2022","Currency=USD","Period=FQ","BEST_FPERIOD_OVERRIDE=FQ","FILING_STATUS=MR","SCALING_FORMAT=MLN","Sort=A","Dates=H","DateFormat=P","Fill=—","Direction=H","UseDPDF=Y")</f>
        <v>2072.4839999999999</v>
      </c>
      <c r="S93" s="13" t="str">
        <f>_xll.BDH("SRPT US Equity","ARDR_CASH_EQUIVALENTS_MKT_SECS","FQ4 2022","FQ4 2022","Currency=USD","Period=FQ","BEST_FPERIOD_OVERRIDE=FQ","FILING_STATUS=MR","SCALING_FORMAT=MLN","Sort=A","Dates=H","DateFormat=P","Fill=—","Direction=H","UseDPDF=Y")</f>
        <v>—</v>
      </c>
      <c r="T93" s="13">
        <f>_xll.BDH("SRPT US Equity","ARDR_CASH_EQUIVALENTS_MKT_SECS","FQ1 2023","FQ1 2023","Currency=USD","Period=FQ","BEST_FPERIOD_OVERRIDE=FQ","FILING_STATUS=MR","SCALING_FORMAT=MLN","Sort=A","Dates=H","DateFormat=P","Fill=—","Direction=H","UseDPDF=Y")</f>
        <v>1882.097</v>
      </c>
      <c r="U93" s="13">
        <f>_xll.BDH("SRPT US Equity","ARDR_CASH_EQUIVALENTS_MKT_SECS","FQ2 2023","FQ2 2023","Currency=USD","Period=FQ","BEST_FPERIOD_OVERRIDE=FQ","FILING_STATUS=MR","SCALING_FORMAT=MLN","Sort=A","Dates=H","DateFormat=P","Fill=—","Direction=H","UseDPDF=Y")</f>
        <v>851.92899999999997</v>
      </c>
      <c r="V93" s="13" t="str">
        <f>_xll.BDH("SRPT US Equity","ARDR_CASH_EQUIVALENTS_MKT_SECS","FQ3 2023","FQ3 2023","Currency=USD","Period=FQ","BEST_FPERIOD_OVERRIDE=FQ","FILING_STATUS=MR","SCALING_FORMAT=MLN","Sort=A","Dates=H","DateFormat=P","Fill=—","Direction=H","UseDPDF=Y")</f>
        <v>—</v>
      </c>
      <c r="W93" s="13" t="str">
        <f>_xll.BDH("SRPT US Equity","ARDR_CASH_EQUIVALENTS_MKT_SECS","FQ4 2023","FQ4 2023","Currency=USD","Period=FQ","BEST_FPERIOD_OVERRIDE=FQ","FILING_STATUS=MR","SCALING_FORMAT=MLN","Sort=A","Dates=H","DateFormat=P","Fill=—","Direction=H","UseDPDF=Y")</f>
        <v>—</v>
      </c>
      <c r="X93" s="13" t="str">
        <f>_xll.BDH("SRPT US Equity","ARDR_CASH_EQUIVALENTS_MKT_SECS","FQ1 2024","FQ1 2024","Currency=USD","Period=FQ","BEST_FPERIOD_OVERRIDE=FQ","FILING_STATUS=MR","SCALING_FORMAT=MLN","Sort=A","Dates=H","DateFormat=P","Fill=—","Direction=H","UseDPDF=Y")</f>
        <v>—</v>
      </c>
      <c r="Y93" s="13">
        <f>_xll.BDH("SRPT US Equity","ARDR_CASH_EQUIVALENTS_MKT_SECS","FQ2 2024","FQ2 2024","Currency=USD","Period=FQ","BEST_FPERIOD_OVERRIDE=FQ","FILING_STATUS=MR","SCALING_FORMAT=MLN","Sort=A","Dates=H","DateFormat=P","Fill=—","Direction=H","UseDPDF=Y")</f>
        <v>383.62200000000001</v>
      </c>
      <c r="Z93" s="13" t="str">
        <f>_xll.BDH("SRPT US Equity","ARDR_CASH_EQUIVALENTS_MKT_SECS","FQ3 2024","FQ3 2024","Currency=USD","Period=FQ","BEST_FPERIOD_OVERRIDE=FQ","FILING_STATUS=MR","SCALING_FORMAT=MLN","Sort=A","Dates=H","DateFormat=P","Fill=—","Direction=H","UseDPDF=Y")</f>
        <v>—</v>
      </c>
      <c r="AA93" s="13">
        <f>_xll.BDH("SRPT US Equity","ARDR_CASH_EQUIVALENTS_MKT_SECS","FQ4 2024","FQ4 2024","Currency=USD","Period=FQ","BEST_FPERIOD_OVERRIDE=FQ","FILING_STATUS=MR","SCALING_FORMAT=MLN","Sort=A","Dates=H","DateFormat=P","Fill=—","Direction=H","UseDPDF=Y")</f>
        <v>1354.7919999999999</v>
      </c>
    </row>
    <row r="94" spans="1:27" x14ac:dyDescent="0.25">
      <c r="A94" s="10" t="s">
        <v>830</v>
      </c>
      <c r="B94" s="10" t="s">
        <v>990</v>
      </c>
      <c r="C94" s="13">
        <f>_xll.BDH("SRPT US Equity","ARDR_OPTIONS_GRANTED_DURING_PER","FQ4 2018","FQ4 2018","Currency=USD","Period=FQ","BEST_FPERIOD_OVERRIDE=FQ","FILING_STATUS=MR","SCALING_FORMAT=MLN","Sort=A","Dates=H","DateFormat=P","Fill=—","Direction=H","UseDPDF=Y")</f>
        <v>0.1406</v>
      </c>
      <c r="D94" s="13">
        <f>_xll.BDH("SRPT US Equity","ARDR_OPTIONS_GRANTED_DURING_PER","FQ1 2019","FQ1 2019","Currency=USD","Period=FQ","BEST_FPERIOD_OVERRIDE=FQ","FILING_STATUS=MR","SCALING_FORMAT=MLN","Sort=A","Dates=H","DateFormat=P","Fill=—","Direction=H","UseDPDF=Y")</f>
        <v>0.99019999999999997</v>
      </c>
      <c r="E94" s="13">
        <f>_xll.BDH("SRPT US Equity","ARDR_OPTIONS_GRANTED_DURING_PER","FQ2 2019","FQ2 2019","Currency=USD","Period=FQ","BEST_FPERIOD_OVERRIDE=FQ","FILING_STATUS=MR","SCALING_FORMAT=MLN","Sort=A","Dates=H","DateFormat=P","Fill=—","Direction=H","UseDPDF=Y")</f>
        <v>0.15529999999999999</v>
      </c>
      <c r="F94" s="13">
        <f>_xll.BDH("SRPT US Equity","ARDR_OPTIONS_GRANTED_DURING_PER","FQ3 2019","FQ3 2019","Currency=USD","Period=FQ","BEST_FPERIOD_OVERRIDE=FQ","FILING_STATUS=MR","SCALING_FORMAT=MLN","Sort=A","Dates=H","DateFormat=P","Fill=—","Direction=H","UseDPDF=Y")</f>
        <v>0.1522</v>
      </c>
      <c r="G94" s="13">
        <f>_xll.BDH("SRPT US Equity","ARDR_OPTIONS_GRANTED_DURING_PER","FQ4 2019","FQ4 2019","Currency=USD","Period=FQ","BEST_FPERIOD_OVERRIDE=FQ","FILING_STATUS=MR","SCALING_FORMAT=MLN","Sort=A","Dates=H","DateFormat=P","Fill=—","Direction=H","UseDPDF=Y")</f>
        <v>1.2774000000000001</v>
      </c>
      <c r="H94" s="13">
        <f>_xll.BDH("SRPT US Equity","ARDR_OPTIONS_GRANTED_DURING_PER","FQ1 2020","FQ1 2020","Currency=USD","Period=FQ","BEST_FPERIOD_OVERRIDE=FQ","FILING_STATUS=MR","SCALING_FORMAT=MLN","Sort=A","Dates=H","DateFormat=P","Fill=—","Direction=H","UseDPDF=Y")</f>
        <v>1.0852999999999999</v>
      </c>
      <c r="I94" s="13">
        <f>_xll.BDH("SRPT US Equity","ARDR_OPTIONS_GRANTED_DURING_PER","FQ2 2020","FQ2 2020","Currency=USD","Period=FQ","BEST_FPERIOD_OVERRIDE=FQ","FILING_STATUS=MR","SCALING_FORMAT=MLN","Sort=A","Dates=H","DateFormat=P","Fill=—","Direction=H","UseDPDF=Y")</f>
        <v>7.3499999999999996E-2</v>
      </c>
      <c r="J94" s="13">
        <f>_xll.BDH("SRPT US Equity","ARDR_OPTIONS_GRANTED_DURING_PER","FQ3 2020","FQ3 2020","Currency=USD","Period=FQ","BEST_FPERIOD_OVERRIDE=FQ","FILING_STATUS=MR","SCALING_FORMAT=MLN","Sort=A","Dates=H","DateFormat=P","Fill=—","Direction=H","UseDPDF=Y")</f>
        <v>9.7199999999999995E-2</v>
      </c>
      <c r="K94" s="13">
        <f>_xll.BDH("SRPT US Equity","ARDR_OPTIONS_GRANTED_DURING_PER","FQ4 2020","FQ4 2020","Currency=USD","Period=FQ","BEST_FPERIOD_OVERRIDE=FQ","FILING_STATUS=MR","SCALING_FORMAT=MLN","Sort=A","Dates=H","DateFormat=P","Fill=—","Direction=H","UseDPDF=Y")</f>
        <v>0.14630000000000001</v>
      </c>
      <c r="L94" s="13">
        <f>_xll.BDH("SRPT US Equity","ARDR_OPTIONS_GRANTED_DURING_PER","FQ1 2021","FQ1 2021","Currency=USD","Period=FQ","BEST_FPERIOD_OVERRIDE=FQ","FILING_STATUS=MR","SCALING_FORMAT=MLN","Sort=A","Dates=H","DateFormat=P","Fill=—","Direction=H","UseDPDF=Y")</f>
        <v>1.3595999999999999</v>
      </c>
      <c r="M94" s="13">
        <f>_xll.BDH("SRPT US Equity","ARDR_OPTIONS_GRANTED_DURING_PER","FQ2 2021","FQ2 2021","Currency=USD","Period=FQ","BEST_FPERIOD_OVERRIDE=FQ","FILING_STATUS=MR","SCALING_FORMAT=MLN","Sort=A","Dates=H","DateFormat=P","Fill=—","Direction=H","UseDPDF=Y")</f>
        <v>7.2099999999999997E-2</v>
      </c>
      <c r="N94" s="13">
        <f>_xll.BDH("SRPT US Equity","ARDR_OPTIONS_GRANTED_DURING_PER","FQ3 2021","FQ3 2021","Currency=USD","Period=FQ","BEST_FPERIOD_OVERRIDE=FQ","FILING_STATUS=MR","SCALING_FORMAT=MLN","Sort=A","Dates=H","DateFormat=P","Fill=—","Direction=H","UseDPDF=Y")</f>
        <v>9.1200000000000003E-2</v>
      </c>
      <c r="O94" s="13">
        <f>_xll.BDH("SRPT US Equity","ARDR_OPTIONS_GRANTED_DURING_PER","FQ4 2021","FQ4 2021","Currency=USD","Period=FQ","BEST_FPERIOD_OVERRIDE=FQ","FILING_STATUS=MR","SCALING_FORMAT=MLN","Sort=A","Dates=H","DateFormat=P","Fill=—","Direction=H","UseDPDF=Y")</f>
        <v>0.16289999999999999</v>
      </c>
      <c r="P94" s="13">
        <f>_xll.BDH("SRPT US Equity","ARDR_OPTIONS_GRANTED_DURING_PER","FQ1 2022","FQ1 2022","Currency=USD","Period=FQ","BEST_FPERIOD_OVERRIDE=FQ","FILING_STATUS=MR","SCALING_FORMAT=MLN","Sort=A","Dates=H","DateFormat=P","Fill=—","Direction=H","UseDPDF=Y")</f>
        <v>1.2915000000000001</v>
      </c>
      <c r="Q94" s="13">
        <f>_xll.BDH("SRPT US Equity","ARDR_OPTIONS_GRANTED_DURING_PER","FQ2 2022","FQ2 2022","Currency=USD","Period=FQ","BEST_FPERIOD_OVERRIDE=FQ","FILING_STATUS=MR","SCALING_FORMAT=MLN","Sort=A","Dates=H","DateFormat=P","Fill=—","Direction=H","UseDPDF=Y")</f>
        <v>0.20760000000000001</v>
      </c>
      <c r="R94" s="13">
        <f>_xll.BDH("SRPT US Equity","ARDR_OPTIONS_GRANTED_DURING_PER","FQ3 2022","FQ3 2022","Currency=USD","Period=FQ","BEST_FPERIOD_OVERRIDE=FQ","FILING_STATUS=MR","SCALING_FORMAT=MLN","Sort=A","Dates=H","DateFormat=P","Fill=—","Direction=H","UseDPDF=Y")</f>
        <v>0.12709999999999999</v>
      </c>
      <c r="S94" s="13">
        <f>_xll.BDH("SRPT US Equity","ARDR_OPTIONS_GRANTED_DURING_PER","FQ4 2022","FQ4 2022","Currency=USD","Period=FQ","BEST_FPERIOD_OVERRIDE=FQ","FILING_STATUS=MR","SCALING_FORMAT=MLN","Sort=A","Dates=H","DateFormat=P","Fill=—","Direction=H","UseDPDF=Y")</f>
        <v>1.7773000000000001</v>
      </c>
      <c r="T94" s="13">
        <f>_xll.BDH("SRPT US Equity","ARDR_OPTIONS_GRANTED_DURING_PER","FQ1 2023","FQ1 2023","Currency=USD","Period=FQ","BEST_FPERIOD_OVERRIDE=FQ","FILING_STATUS=MR","SCALING_FORMAT=MLN","Sort=A","Dates=H","DateFormat=P","Fill=—","Direction=H","UseDPDF=Y")</f>
        <v>1.0303</v>
      </c>
      <c r="U94" s="13">
        <f>_xll.BDH("SRPT US Equity","ARDR_OPTIONS_GRANTED_DURING_PER","FQ2 2023","FQ2 2023","Currency=USD","Period=FQ","BEST_FPERIOD_OVERRIDE=FQ","FILING_STATUS=MR","SCALING_FORMAT=MLN","Sort=A","Dates=H","DateFormat=P","Fill=—","Direction=H","UseDPDF=Y")</f>
        <v>5.4600000000000003E-2</v>
      </c>
      <c r="V94" s="13">
        <f>_xll.BDH("SRPT US Equity","ARDR_OPTIONS_GRANTED_DURING_PER","FQ3 2023","FQ3 2023","Currency=USD","Period=FQ","BEST_FPERIOD_OVERRIDE=FQ","FILING_STATUS=MR","SCALING_FORMAT=MLN","Sort=A","Dates=H","DateFormat=P","Fill=—","Direction=H","UseDPDF=Y")</f>
        <v>3.7000000000000002E-3</v>
      </c>
      <c r="W94" s="13">
        <f>_xll.BDH("SRPT US Equity","ARDR_OPTIONS_GRANTED_DURING_PER","FQ4 2023","FQ4 2023","Currency=USD","Period=FQ","BEST_FPERIOD_OVERRIDE=FQ","FILING_STATUS=MR","SCALING_FORMAT=MLN","Sort=A","Dates=H","DateFormat=P","Fill=—","Direction=H","UseDPDF=Y")</f>
        <v>5.0599999999999999E-2</v>
      </c>
      <c r="X94" s="13">
        <f>_xll.BDH("SRPT US Equity","ARDR_OPTIONS_GRANTED_DURING_PER","FQ1 2024","FQ1 2024","Currency=USD","Period=FQ","BEST_FPERIOD_OVERRIDE=FQ","FILING_STATUS=MR","SCALING_FORMAT=MLN","Sort=A","Dates=H","DateFormat=P","Fill=—","Direction=H","UseDPDF=Y")</f>
        <v>0.31640000000000001</v>
      </c>
      <c r="Y94" s="13">
        <f>_xll.BDH("SRPT US Equity","ARDR_OPTIONS_GRANTED_DURING_PER","FQ2 2024","FQ2 2024","Currency=USD","Period=FQ","BEST_FPERIOD_OVERRIDE=FQ","FILING_STATUS=MR","SCALING_FORMAT=MLN","Sort=A","Dates=H","DateFormat=P","Fill=—","Direction=H","UseDPDF=Y")</f>
        <v>5.1000000000000004E-3</v>
      </c>
      <c r="Z94" s="13">
        <f>_xll.BDH("SRPT US Equity","ARDR_OPTIONS_GRANTED_DURING_PER","FQ3 2024","FQ3 2024","Currency=USD","Period=FQ","BEST_FPERIOD_OVERRIDE=FQ","FILING_STATUS=MR","SCALING_FORMAT=MLN","Sort=A","Dates=H","DateFormat=P","Fill=—","Direction=H","UseDPDF=Y")</f>
        <v>6.4000000000000003E-3</v>
      </c>
      <c r="AA94" s="13">
        <f>_xll.BDH("SRPT US Equity","ARDR_OPTIONS_GRANTED_DURING_PER","FQ4 2024","FQ4 2024","Currency=USD","Period=FQ","BEST_FPERIOD_OVERRIDE=FQ","FILING_STATUS=MR","SCALING_FORMAT=MLN","Sort=A","Dates=H","DateFormat=P","Fill=—","Direction=H","UseDPDF=Y")</f>
        <v>4.0000000000000001E-3</v>
      </c>
    </row>
    <row r="95" spans="1:27" x14ac:dyDescent="0.25">
      <c r="A95" s="10" t="s">
        <v>991</v>
      </c>
      <c r="B95" s="10" t="s">
        <v>992</v>
      </c>
      <c r="C95" s="13">
        <f>_xll.BDH("SRPT US Equity","ARDR_OPTIONS_OUTSTANDING_END_PER","FQ4 2018","FQ4 2018","Currency=USD","Period=FQ","BEST_FPERIOD_OVERRIDE=FQ","FILING_STATUS=MR","Sort=A","Dates=H","DateFormat=P","Fill=—","Direction=H","UseDPDF=Y")</f>
        <v>8.3911999999999995</v>
      </c>
      <c r="D95" s="13" t="str">
        <f>_xll.BDH("SRPT US Equity","ARDR_OPTIONS_OUTSTANDING_END_PER","FQ1 2019","FQ1 2019","Currency=USD","Period=FQ","BEST_FPERIOD_OVERRIDE=FQ","FILING_STATUS=MR","Sort=A","Dates=H","DateFormat=P","Fill=—","Direction=H","UseDPDF=Y")</f>
        <v>—</v>
      </c>
      <c r="E95" s="13" t="str">
        <f>_xll.BDH("SRPT US Equity","ARDR_OPTIONS_OUTSTANDING_END_PER","FQ2 2019","FQ2 2019","Currency=USD","Period=FQ","BEST_FPERIOD_OVERRIDE=FQ","FILING_STATUS=MR","Sort=A","Dates=H","DateFormat=P","Fill=—","Direction=H","UseDPDF=Y")</f>
        <v>—</v>
      </c>
      <c r="F95" s="13" t="str">
        <f>_xll.BDH("SRPT US Equity","ARDR_OPTIONS_OUTSTANDING_END_PER","FQ3 2019","FQ3 2019","Currency=USD","Period=FQ","BEST_FPERIOD_OVERRIDE=FQ","FILING_STATUS=MR","Sort=A","Dates=H","DateFormat=P","Fill=—","Direction=H","UseDPDF=Y")</f>
        <v>—</v>
      </c>
      <c r="G95" s="13">
        <f>_xll.BDH("SRPT US Equity","ARDR_OPTIONS_OUTSTANDING_END_PER","FQ4 2019","FQ4 2019","Currency=USD","Period=FQ","BEST_FPERIOD_OVERRIDE=FQ","FILING_STATUS=MR","Sort=A","Dates=H","DateFormat=P","Fill=—","Direction=H","UseDPDF=Y")</f>
        <v>8.3462999999999994</v>
      </c>
      <c r="H95" s="13" t="str">
        <f>_xll.BDH("SRPT US Equity","ARDR_OPTIONS_OUTSTANDING_END_PER","FQ1 2020","FQ1 2020","Currency=USD","Period=FQ","BEST_FPERIOD_OVERRIDE=FQ","FILING_STATUS=MR","Sort=A","Dates=H","DateFormat=P","Fill=—","Direction=H","UseDPDF=Y")</f>
        <v>—</v>
      </c>
      <c r="I95" s="13" t="str">
        <f>_xll.BDH("SRPT US Equity","ARDR_OPTIONS_OUTSTANDING_END_PER","FQ2 2020","FQ2 2020","Currency=USD","Period=FQ","BEST_FPERIOD_OVERRIDE=FQ","FILING_STATUS=MR","Sort=A","Dates=H","DateFormat=P","Fill=—","Direction=H","UseDPDF=Y")</f>
        <v>—</v>
      </c>
      <c r="J95" s="13" t="str">
        <f>_xll.BDH("SRPT US Equity","ARDR_OPTIONS_OUTSTANDING_END_PER","FQ3 2020","FQ3 2020","Currency=USD","Period=FQ","BEST_FPERIOD_OVERRIDE=FQ","FILING_STATUS=MR","Sort=A","Dates=H","DateFormat=P","Fill=—","Direction=H","UseDPDF=Y")</f>
        <v>—</v>
      </c>
      <c r="K95" s="13">
        <f>_xll.BDH("SRPT US Equity","ARDR_OPTIONS_OUTSTANDING_END_PER","FQ4 2020","FQ4 2020","Currency=USD","Period=FQ","BEST_FPERIOD_OVERRIDE=FQ","FILING_STATUS=MR","Sort=A","Dates=H","DateFormat=P","Fill=—","Direction=H","UseDPDF=Y")</f>
        <v>7.8449</v>
      </c>
      <c r="L95" s="13" t="str">
        <f>_xll.BDH("SRPT US Equity","ARDR_OPTIONS_OUTSTANDING_END_PER","FQ1 2021","FQ1 2021","Currency=USD","Period=FQ","BEST_FPERIOD_OVERRIDE=FQ","FILING_STATUS=MR","Sort=A","Dates=H","DateFormat=P","Fill=—","Direction=H","UseDPDF=Y")</f>
        <v>—</v>
      </c>
      <c r="M95" s="13" t="str">
        <f>_xll.BDH("SRPT US Equity","ARDR_OPTIONS_OUTSTANDING_END_PER","FQ2 2021","FQ2 2021","Currency=USD","Period=FQ","BEST_FPERIOD_OVERRIDE=FQ","FILING_STATUS=MR","Sort=A","Dates=H","DateFormat=P","Fill=—","Direction=H","UseDPDF=Y")</f>
        <v>—</v>
      </c>
      <c r="N95" s="13" t="str">
        <f>_xll.BDH("SRPT US Equity","ARDR_OPTIONS_OUTSTANDING_END_PER","FQ3 2021","FQ3 2021","Currency=USD","Period=FQ","BEST_FPERIOD_OVERRIDE=FQ","FILING_STATUS=MR","Sort=A","Dates=H","DateFormat=P","Fill=—","Direction=H","UseDPDF=Y")</f>
        <v>—</v>
      </c>
      <c r="O95" s="13">
        <f>_xll.BDH("SRPT US Equity","ARDR_OPTIONS_OUTSTANDING_END_PER","FQ4 2021","FQ4 2021","Currency=USD","Period=FQ","BEST_FPERIOD_OVERRIDE=FQ","FILING_STATUS=MR","Sort=A","Dates=H","DateFormat=P","Fill=—","Direction=H","UseDPDF=Y")</f>
        <v>8.1968999999999994</v>
      </c>
      <c r="P95" s="13" t="str">
        <f>_xll.BDH("SRPT US Equity","ARDR_OPTIONS_OUTSTANDING_END_PER","FQ1 2022","FQ1 2022","Currency=USD","Period=FQ","BEST_FPERIOD_OVERRIDE=FQ","FILING_STATUS=MR","Sort=A","Dates=H","DateFormat=P","Fill=—","Direction=H","UseDPDF=Y")</f>
        <v>—</v>
      </c>
      <c r="Q95" s="13" t="str">
        <f>_xll.BDH("SRPT US Equity","ARDR_OPTIONS_OUTSTANDING_END_PER","FQ2 2022","FQ2 2022","Currency=USD","Period=FQ","BEST_FPERIOD_OVERRIDE=FQ","FILING_STATUS=MR","Sort=A","Dates=H","DateFormat=P","Fill=—","Direction=H","UseDPDF=Y")</f>
        <v>—</v>
      </c>
      <c r="R95" s="13" t="str">
        <f>_xll.BDH("SRPT US Equity","ARDR_OPTIONS_OUTSTANDING_END_PER","FQ3 2022","FQ3 2022","Currency=USD","Period=FQ","BEST_FPERIOD_OVERRIDE=FQ","FILING_STATUS=MR","Sort=A","Dates=H","DateFormat=P","Fill=—","Direction=H","UseDPDF=Y")</f>
        <v>—</v>
      </c>
      <c r="S95" s="13">
        <f>_xll.BDH("SRPT US Equity","ARDR_OPTIONS_OUTSTANDING_END_PER","FQ4 2022","FQ4 2022","Currency=USD","Period=FQ","BEST_FPERIOD_OVERRIDE=FQ","FILING_STATUS=MR","Sort=A","Dates=H","DateFormat=P","Fill=—","Direction=H","UseDPDF=Y")</f>
        <v>9.1301000000000005</v>
      </c>
      <c r="T95" s="13">
        <f>_xll.BDH("SRPT US Equity","ARDR_OPTIONS_OUTSTANDING_END_PER","FQ1 2023","FQ1 2023","Currency=USD","Period=FQ","BEST_FPERIOD_OVERRIDE=FQ","FILING_STATUS=MR","Sort=A","Dates=H","DateFormat=P","Fill=—","Direction=H","UseDPDF=Y")</f>
        <v>10.160500000000001</v>
      </c>
      <c r="U95" s="13">
        <f>_xll.BDH("SRPT US Equity","ARDR_OPTIONS_OUTSTANDING_END_PER","FQ2 2023","FQ2 2023","Currency=USD","Period=FQ","BEST_FPERIOD_OVERRIDE=FQ","FILING_STATUS=MR","Sort=A","Dates=H","DateFormat=P","Fill=—","Direction=H","UseDPDF=Y")</f>
        <v>10.2151</v>
      </c>
      <c r="V95" s="13">
        <f>_xll.BDH("SRPT US Equity","ARDR_OPTIONS_OUTSTANDING_END_PER","FQ3 2023","FQ3 2023","Currency=USD","Period=FQ","BEST_FPERIOD_OVERRIDE=FQ","FILING_STATUS=MR","Sort=A","Dates=H","DateFormat=P","Fill=—","Direction=H","UseDPDF=Y")</f>
        <v>10.2188</v>
      </c>
      <c r="W95" s="13">
        <f>_xll.BDH("SRPT US Equity","ARDR_OPTIONS_OUTSTANDING_END_PER","FQ4 2023","FQ4 2023","Currency=USD","Period=FQ","BEST_FPERIOD_OVERRIDE=FQ","FILING_STATUS=MR","Sort=A","Dates=H","DateFormat=P","Fill=—","Direction=H","UseDPDF=Y")</f>
        <v>9.5827000000000009</v>
      </c>
      <c r="X95" s="13">
        <f>_xll.BDH("SRPT US Equity","ARDR_OPTIONS_OUTSTANDING_END_PER","FQ1 2024","FQ1 2024","Currency=USD","Period=FQ","BEST_FPERIOD_OVERRIDE=FQ","FILING_STATUS=MR","Sort=A","Dates=H","DateFormat=P","Fill=—","Direction=H","UseDPDF=Y")</f>
        <v>9.8991000000000007</v>
      </c>
      <c r="Y95" s="13">
        <f>_xll.BDH("SRPT US Equity","ARDR_OPTIONS_OUTSTANDING_END_PER","FQ2 2024","FQ2 2024","Currency=USD","Period=FQ","BEST_FPERIOD_OVERRIDE=FQ","FILING_STATUS=MR","Sort=A","Dates=H","DateFormat=P","Fill=—","Direction=H","UseDPDF=Y")</f>
        <v>9.9041999999999994</v>
      </c>
      <c r="Z95" s="13">
        <f>_xll.BDH("SRPT US Equity","ARDR_OPTIONS_OUTSTANDING_END_PER","FQ3 2024","FQ3 2024","Currency=USD","Period=FQ","BEST_FPERIOD_OVERRIDE=FQ","FILING_STATUS=MR","Sort=A","Dates=H","DateFormat=P","Fill=—","Direction=H","UseDPDF=Y")</f>
        <v>9.9106000000000005</v>
      </c>
      <c r="AA95" s="13">
        <f>_xll.BDH("SRPT US Equity","ARDR_OPTIONS_OUTSTANDING_END_PER","FQ4 2024","FQ4 2024","Currency=USD","Period=FQ","BEST_FPERIOD_OVERRIDE=FQ","FILING_STATUS=MR","Sort=A","Dates=H","DateFormat=P","Fill=—","Direction=H","UseDPDF=Y")</f>
        <v>18.788599999999999</v>
      </c>
    </row>
    <row r="96" spans="1:27" x14ac:dyDescent="0.25">
      <c r="A96" s="10" t="s">
        <v>917</v>
      </c>
      <c r="B96" s="10" t="s">
        <v>993</v>
      </c>
      <c r="C96" s="13" t="str">
        <f>_xll.BDH("SRPT US Equity","ARDR_SHARES_AUTHORIZED","FQ4 2018","FQ4 2018","Currency=USD","Period=FQ","BEST_FPERIOD_OVERRIDE=FQ","FILING_STATUS=MR","SCALING_FORMAT=MLN","Sort=A","Dates=H","DateFormat=P","Fill=—","Direction=H","UseDPDF=Y")</f>
        <v>—</v>
      </c>
      <c r="D96" s="13" t="str">
        <f>_xll.BDH("SRPT US Equity","ARDR_SHARES_AUTHORIZED","FQ1 2019","FQ1 2019","Currency=USD","Period=FQ","BEST_FPERIOD_OVERRIDE=FQ","FILING_STATUS=MR","SCALING_FORMAT=MLN","Sort=A","Dates=H","DateFormat=P","Fill=—","Direction=H","UseDPDF=Y")</f>
        <v>—</v>
      </c>
      <c r="E96" s="13" t="str">
        <f>_xll.BDH("SRPT US Equity","ARDR_SHARES_AUTHORIZED","FQ2 2019","FQ2 2019","Currency=USD","Period=FQ","BEST_FPERIOD_OVERRIDE=FQ","FILING_STATUS=MR","SCALING_FORMAT=MLN","Sort=A","Dates=H","DateFormat=P","Fill=—","Direction=H","UseDPDF=Y")</f>
        <v>—</v>
      </c>
      <c r="F96" s="13" t="str">
        <f>_xll.BDH("SRPT US Equity","ARDR_SHARES_AUTHORIZED","FQ3 2019","FQ3 2019","Currency=USD","Period=FQ","BEST_FPERIOD_OVERRIDE=FQ","FILING_STATUS=MR","SCALING_FORMAT=MLN","Sort=A","Dates=H","DateFormat=P","Fill=—","Direction=H","UseDPDF=Y")</f>
        <v>—</v>
      </c>
      <c r="G96" s="13" t="str">
        <f>_xll.BDH("SRPT US Equity","ARDR_SHARES_AUTHORIZED","FQ4 2019","FQ4 2019","Currency=USD","Period=FQ","BEST_FPERIOD_OVERRIDE=FQ","FILING_STATUS=MR","SCALING_FORMAT=MLN","Sort=A","Dates=H","DateFormat=P","Fill=—","Direction=H","UseDPDF=Y")</f>
        <v>—</v>
      </c>
      <c r="H96" s="13" t="str">
        <f>_xll.BDH("SRPT US Equity","ARDR_SHARES_AUTHORIZED","FQ1 2020","FQ1 2020","Currency=USD","Period=FQ","BEST_FPERIOD_OVERRIDE=FQ","FILING_STATUS=MR","SCALING_FORMAT=MLN","Sort=A","Dates=H","DateFormat=P","Fill=—","Direction=H","UseDPDF=Y")</f>
        <v>—</v>
      </c>
      <c r="I96" s="13" t="str">
        <f>_xll.BDH("SRPT US Equity","ARDR_SHARES_AUTHORIZED","FQ2 2020","FQ2 2020","Currency=USD","Period=FQ","BEST_FPERIOD_OVERRIDE=FQ","FILING_STATUS=MR","SCALING_FORMAT=MLN","Sort=A","Dates=H","DateFormat=P","Fill=—","Direction=H","UseDPDF=Y")</f>
        <v>—</v>
      </c>
      <c r="J96" s="13" t="str">
        <f>_xll.BDH("SRPT US Equity","ARDR_SHARES_AUTHORIZED","FQ3 2020","FQ3 2020","Currency=USD","Period=FQ","BEST_FPERIOD_OVERRIDE=FQ","FILING_STATUS=MR","SCALING_FORMAT=MLN","Sort=A","Dates=H","DateFormat=P","Fill=—","Direction=H","UseDPDF=Y")</f>
        <v>—</v>
      </c>
      <c r="K96" s="13" t="str">
        <f>_xll.BDH("SRPT US Equity","ARDR_SHARES_AUTHORIZED","FQ4 2020","FQ4 2020","Currency=USD","Period=FQ","BEST_FPERIOD_OVERRIDE=FQ","FILING_STATUS=MR","SCALING_FORMAT=MLN","Sort=A","Dates=H","DateFormat=P","Fill=—","Direction=H","UseDPDF=Y")</f>
        <v>—</v>
      </c>
      <c r="L96" s="13" t="str">
        <f>_xll.BDH("SRPT US Equity","ARDR_SHARES_AUTHORIZED","FQ1 2021","FQ1 2021","Currency=USD","Period=FQ","BEST_FPERIOD_OVERRIDE=FQ","FILING_STATUS=MR","SCALING_FORMAT=MLN","Sort=A","Dates=H","DateFormat=P","Fill=—","Direction=H","UseDPDF=Y")</f>
        <v>—</v>
      </c>
      <c r="M96" s="13" t="str">
        <f>_xll.BDH("SRPT US Equity","ARDR_SHARES_AUTHORIZED","FQ2 2021","FQ2 2021","Currency=USD","Period=FQ","BEST_FPERIOD_OVERRIDE=FQ","FILING_STATUS=MR","SCALING_FORMAT=MLN","Sort=A","Dates=H","DateFormat=P","Fill=—","Direction=H","UseDPDF=Y")</f>
        <v>—</v>
      </c>
      <c r="N96" s="13" t="str">
        <f>_xll.BDH("SRPT US Equity","ARDR_SHARES_AUTHORIZED","FQ3 2021","FQ3 2021","Currency=USD","Period=FQ","BEST_FPERIOD_OVERRIDE=FQ","FILING_STATUS=MR","SCALING_FORMAT=MLN","Sort=A","Dates=H","DateFormat=P","Fill=—","Direction=H","UseDPDF=Y")</f>
        <v>—</v>
      </c>
      <c r="O96" s="13" t="str">
        <f>_xll.BDH("SRPT US Equity","ARDR_SHARES_AUTHORIZED","FQ4 2021","FQ4 2021","Currency=USD","Period=FQ","BEST_FPERIOD_OVERRIDE=FQ","FILING_STATUS=MR","SCALING_FORMAT=MLN","Sort=A","Dates=H","DateFormat=P","Fill=—","Direction=H","UseDPDF=Y")</f>
        <v>—</v>
      </c>
      <c r="P96" s="13" t="str">
        <f>_xll.BDH("SRPT US Equity","ARDR_SHARES_AUTHORIZED","FQ1 2022","FQ1 2022","Currency=USD","Period=FQ","BEST_FPERIOD_OVERRIDE=FQ","FILING_STATUS=MR","SCALING_FORMAT=MLN","Sort=A","Dates=H","DateFormat=P","Fill=—","Direction=H","UseDPDF=Y")</f>
        <v>—</v>
      </c>
      <c r="Q96" s="13" t="str">
        <f>_xll.BDH("SRPT US Equity","ARDR_SHARES_AUTHORIZED","FQ2 2022","FQ2 2022","Currency=USD","Period=FQ","BEST_FPERIOD_OVERRIDE=FQ","FILING_STATUS=MR","SCALING_FORMAT=MLN","Sort=A","Dates=H","DateFormat=P","Fill=—","Direction=H","UseDPDF=Y")</f>
        <v>—</v>
      </c>
      <c r="R96" s="13">
        <f>_xll.BDH("SRPT US Equity","ARDR_SHARES_AUTHORIZED","FQ3 2022","FQ3 2022","Currency=USD","Period=FQ","BEST_FPERIOD_OVERRIDE=FQ","FILING_STATUS=MR","SCALING_FORMAT=MLN","Sort=A","Dates=H","DateFormat=P","Fill=—","Direction=H","UseDPDF=Y")</f>
        <v>19.8</v>
      </c>
      <c r="S96" s="13" t="str">
        <f>_xll.BDH("SRPT US Equity","ARDR_SHARES_AUTHORIZED","FQ4 2022","FQ4 2022","Currency=USD","Period=FQ","BEST_FPERIOD_OVERRIDE=FQ","FILING_STATUS=MR","SCALING_FORMAT=MLN","Sort=A","Dates=H","DateFormat=P","Fill=—","Direction=H","UseDPDF=Y")</f>
        <v>—</v>
      </c>
      <c r="T96" s="13" t="str">
        <f>_xll.BDH("SRPT US Equity","ARDR_SHARES_AUTHORIZED","FQ1 2023","FQ1 2023","Currency=USD","Period=FQ","BEST_FPERIOD_OVERRIDE=FQ","FILING_STATUS=MR","SCALING_FORMAT=MLN","Sort=A","Dates=H","DateFormat=P","Fill=—","Direction=H","UseDPDF=Y")</f>
        <v>—</v>
      </c>
      <c r="U96" s="13" t="str">
        <f>_xll.BDH("SRPT US Equity","ARDR_SHARES_AUTHORIZED","FQ2 2023","FQ2 2023","Currency=USD","Period=FQ","BEST_FPERIOD_OVERRIDE=FQ","FILING_STATUS=MR","SCALING_FORMAT=MLN","Sort=A","Dates=H","DateFormat=P","Fill=—","Direction=H","UseDPDF=Y")</f>
        <v>—</v>
      </c>
      <c r="V96" s="13" t="str">
        <f>_xll.BDH("SRPT US Equity","ARDR_SHARES_AUTHORIZED","FQ3 2023","FQ3 2023","Currency=USD","Period=FQ","BEST_FPERIOD_OVERRIDE=FQ","FILING_STATUS=MR","SCALING_FORMAT=MLN","Sort=A","Dates=H","DateFormat=P","Fill=—","Direction=H","UseDPDF=Y")</f>
        <v>—</v>
      </c>
      <c r="W96" s="13" t="str">
        <f>_xll.BDH("SRPT US Equity","ARDR_SHARES_AUTHORIZED","FQ4 2023","FQ4 2023","Currency=USD","Period=FQ","BEST_FPERIOD_OVERRIDE=FQ","FILING_STATUS=MR","SCALING_FORMAT=MLN","Sort=A","Dates=H","DateFormat=P","Fill=—","Direction=H","UseDPDF=Y")</f>
        <v>—</v>
      </c>
      <c r="X96" s="13" t="str">
        <f>_xll.BDH("SRPT US Equity","ARDR_SHARES_AUTHORIZED","FQ1 2024","FQ1 2024","Currency=USD","Period=FQ","BEST_FPERIOD_OVERRIDE=FQ","FILING_STATUS=MR","SCALING_FORMAT=MLN","Sort=A","Dates=H","DateFormat=P","Fill=—","Direction=H","UseDPDF=Y")</f>
        <v>—</v>
      </c>
      <c r="Y96" s="13" t="str">
        <f>_xll.BDH("SRPT US Equity","ARDR_SHARES_AUTHORIZED","FQ2 2024","FQ2 2024","Currency=USD","Period=FQ","BEST_FPERIOD_OVERRIDE=FQ","FILING_STATUS=MR","SCALING_FORMAT=MLN","Sort=A","Dates=H","DateFormat=P","Fill=—","Direction=H","UseDPDF=Y")</f>
        <v>—</v>
      </c>
      <c r="Z96" s="13" t="str">
        <f>_xll.BDH("SRPT US Equity","ARDR_SHARES_AUTHORIZED","FQ3 2024","FQ3 2024","Currency=USD","Period=FQ","BEST_FPERIOD_OVERRIDE=FQ","FILING_STATUS=MR","SCALING_FORMAT=MLN","Sort=A","Dates=H","DateFormat=P","Fill=—","Direction=H","UseDPDF=Y")</f>
        <v>—</v>
      </c>
      <c r="AA96" s="13" t="str">
        <f>_xll.BDH("SRPT US Equity","ARDR_SHARES_AUTHORIZED","FQ4 2024","FQ4 2024","Currency=USD","Period=FQ","BEST_FPERIOD_OVERRIDE=FQ","FILING_STATUS=MR","SCALING_FORMAT=MLN","Sort=A","Dates=H","DateFormat=P","Fill=—","Direction=H","UseDPDF=Y")</f>
        <v>—</v>
      </c>
    </row>
    <row r="97" spans="1:27" x14ac:dyDescent="0.25">
      <c r="A97" s="10" t="s">
        <v>994</v>
      </c>
      <c r="B97" s="10" t="s">
        <v>995</v>
      </c>
      <c r="C97" s="13">
        <f>_xll.BDH("SRPT US Equity","ARDR_OTHER_COMMITMENTS","FQ4 2018","FQ4 2018","Currency=USD","Period=FQ","BEST_FPERIOD_OVERRIDE=FQ","FILING_STATUS=MR","SCALING_FORMAT=MLN","Sort=A","Dates=H","DateFormat=P","Fill=—","Direction=H","UseDPDF=Y")</f>
        <v>71.599999999999994</v>
      </c>
      <c r="D97" s="13" t="str">
        <f>_xll.BDH("SRPT US Equity","ARDR_OTHER_COMMITMENTS","FQ1 2019","FQ1 2019","Currency=USD","Period=FQ","BEST_FPERIOD_OVERRIDE=FQ","FILING_STATUS=MR","SCALING_FORMAT=MLN","Sort=A","Dates=H","DateFormat=P","Fill=—","Direction=H","UseDPDF=Y")</f>
        <v>—</v>
      </c>
      <c r="E97" s="13" t="str">
        <f>_xll.BDH("SRPT US Equity","ARDR_OTHER_COMMITMENTS","FQ2 2019","FQ2 2019","Currency=USD","Period=FQ","BEST_FPERIOD_OVERRIDE=FQ","FILING_STATUS=MR","SCALING_FORMAT=MLN","Sort=A","Dates=H","DateFormat=P","Fill=—","Direction=H","UseDPDF=Y")</f>
        <v>—</v>
      </c>
      <c r="F97" s="13" t="str">
        <f>_xll.BDH("SRPT US Equity","ARDR_OTHER_COMMITMENTS","FQ3 2019","FQ3 2019","Currency=USD","Period=FQ","BEST_FPERIOD_OVERRIDE=FQ","FILING_STATUS=MR","SCALING_FORMAT=MLN","Sort=A","Dates=H","DateFormat=P","Fill=—","Direction=H","UseDPDF=Y")</f>
        <v>—</v>
      </c>
      <c r="G97" s="13" t="str">
        <f>_xll.BDH("SRPT US Equity","ARDR_OTHER_COMMITMENTS","FQ4 2019","FQ4 2019","Currency=USD","Period=FQ","BEST_FPERIOD_OVERRIDE=FQ","FILING_STATUS=MR","SCALING_FORMAT=MLN","Sort=A","Dates=H","DateFormat=P","Fill=—","Direction=H","UseDPDF=Y")</f>
        <v>—</v>
      </c>
      <c r="H97" s="13" t="str">
        <f>_xll.BDH("SRPT US Equity","ARDR_OTHER_COMMITMENTS","FQ1 2020","FQ1 2020","Currency=USD","Period=FQ","BEST_FPERIOD_OVERRIDE=FQ","FILING_STATUS=MR","SCALING_FORMAT=MLN","Sort=A","Dates=H","DateFormat=P","Fill=—","Direction=H","UseDPDF=Y")</f>
        <v>—</v>
      </c>
      <c r="I97" s="13" t="str">
        <f>_xll.BDH("SRPT US Equity","ARDR_OTHER_COMMITMENTS","FQ2 2020","FQ2 2020","Currency=USD","Period=FQ","BEST_FPERIOD_OVERRIDE=FQ","FILING_STATUS=MR","SCALING_FORMAT=MLN","Sort=A","Dates=H","DateFormat=P","Fill=—","Direction=H","UseDPDF=Y")</f>
        <v>—</v>
      </c>
      <c r="J97" s="13" t="str">
        <f>_xll.BDH("SRPT US Equity","ARDR_OTHER_COMMITMENTS","FQ3 2020","FQ3 2020","Currency=USD","Period=FQ","BEST_FPERIOD_OVERRIDE=FQ","FILING_STATUS=MR","SCALING_FORMAT=MLN","Sort=A","Dates=H","DateFormat=P","Fill=—","Direction=H","UseDPDF=Y")</f>
        <v>—</v>
      </c>
      <c r="K97" s="13" t="str">
        <f>_xll.BDH("SRPT US Equity","ARDR_OTHER_COMMITMENTS","FQ4 2020","FQ4 2020","Currency=USD","Period=FQ","BEST_FPERIOD_OVERRIDE=FQ","FILING_STATUS=MR","SCALING_FORMAT=MLN","Sort=A","Dates=H","DateFormat=P","Fill=—","Direction=H","UseDPDF=Y")</f>
        <v>—</v>
      </c>
      <c r="L97" s="13" t="str">
        <f>_xll.BDH("SRPT US Equity","ARDR_OTHER_COMMITMENTS","FQ1 2021","FQ1 2021","Currency=USD","Period=FQ","BEST_FPERIOD_OVERRIDE=FQ","FILING_STATUS=MR","SCALING_FORMAT=MLN","Sort=A","Dates=H","DateFormat=P","Fill=—","Direction=H","UseDPDF=Y")</f>
        <v>—</v>
      </c>
      <c r="M97" s="13" t="str">
        <f>_xll.BDH("SRPT US Equity","ARDR_OTHER_COMMITMENTS","FQ2 2021","FQ2 2021","Currency=USD","Period=FQ","BEST_FPERIOD_OVERRIDE=FQ","FILING_STATUS=MR","SCALING_FORMAT=MLN","Sort=A","Dates=H","DateFormat=P","Fill=—","Direction=H","UseDPDF=Y")</f>
        <v>—</v>
      </c>
      <c r="N97" s="13" t="str">
        <f>_xll.BDH("SRPT US Equity","ARDR_OTHER_COMMITMENTS","FQ3 2021","FQ3 2021","Currency=USD","Period=FQ","BEST_FPERIOD_OVERRIDE=FQ","FILING_STATUS=MR","SCALING_FORMAT=MLN","Sort=A","Dates=H","DateFormat=P","Fill=—","Direction=H","UseDPDF=Y")</f>
        <v>—</v>
      </c>
      <c r="O97" s="13" t="str">
        <f>_xll.BDH("SRPT US Equity","ARDR_OTHER_COMMITMENTS","FQ4 2021","FQ4 2021","Currency=USD","Period=FQ","BEST_FPERIOD_OVERRIDE=FQ","FILING_STATUS=MR","SCALING_FORMAT=MLN","Sort=A","Dates=H","DateFormat=P","Fill=—","Direction=H","UseDPDF=Y")</f>
        <v>—</v>
      </c>
      <c r="P97" s="13" t="str">
        <f>_xll.BDH("SRPT US Equity","ARDR_OTHER_COMMITMENTS","FQ1 2022","FQ1 2022","Currency=USD","Period=FQ","BEST_FPERIOD_OVERRIDE=FQ","FILING_STATUS=MR","SCALING_FORMAT=MLN","Sort=A","Dates=H","DateFormat=P","Fill=—","Direction=H","UseDPDF=Y")</f>
        <v>—</v>
      </c>
      <c r="Q97" s="13" t="str">
        <f>_xll.BDH("SRPT US Equity","ARDR_OTHER_COMMITMENTS","FQ2 2022","FQ2 2022","Currency=USD","Period=FQ","BEST_FPERIOD_OVERRIDE=FQ","FILING_STATUS=MR","SCALING_FORMAT=MLN","Sort=A","Dates=H","DateFormat=P","Fill=—","Direction=H","UseDPDF=Y")</f>
        <v>—</v>
      </c>
      <c r="R97" s="13" t="str">
        <f>_xll.BDH("SRPT US Equity","ARDR_OTHER_COMMITMENTS","FQ3 2022","FQ3 2022","Currency=USD","Period=FQ","BEST_FPERIOD_OVERRIDE=FQ","FILING_STATUS=MR","SCALING_FORMAT=MLN","Sort=A","Dates=H","DateFormat=P","Fill=—","Direction=H","UseDPDF=Y")</f>
        <v>—</v>
      </c>
      <c r="S97" s="13" t="str">
        <f>_xll.BDH("SRPT US Equity","ARDR_OTHER_COMMITMENTS","FQ4 2022","FQ4 2022","Currency=USD","Period=FQ","BEST_FPERIOD_OVERRIDE=FQ","FILING_STATUS=MR","SCALING_FORMAT=MLN","Sort=A","Dates=H","DateFormat=P","Fill=—","Direction=H","UseDPDF=Y")</f>
        <v>—</v>
      </c>
      <c r="T97" s="13" t="str">
        <f>_xll.BDH("SRPT US Equity","ARDR_OTHER_COMMITMENTS","FQ1 2023","FQ1 2023","Currency=USD","Period=FQ","BEST_FPERIOD_OVERRIDE=FQ","FILING_STATUS=MR","SCALING_FORMAT=MLN","Sort=A","Dates=H","DateFormat=P","Fill=—","Direction=H","UseDPDF=Y")</f>
        <v>—</v>
      </c>
      <c r="U97" s="13" t="str">
        <f>_xll.BDH("SRPT US Equity","ARDR_OTHER_COMMITMENTS","FQ2 2023","FQ2 2023","Currency=USD","Period=FQ","BEST_FPERIOD_OVERRIDE=FQ","FILING_STATUS=MR","SCALING_FORMAT=MLN","Sort=A","Dates=H","DateFormat=P","Fill=—","Direction=H","UseDPDF=Y")</f>
        <v>—</v>
      </c>
      <c r="V97" s="13" t="str">
        <f>_xll.BDH("SRPT US Equity","ARDR_OTHER_COMMITMENTS","FQ3 2023","FQ3 2023","Currency=USD","Period=FQ","BEST_FPERIOD_OVERRIDE=FQ","FILING_STATUS=MR","SCALING_FORMAT=MLN","Sort=A","Dates=H","DateFormat=P","Fill=—","Direction=H","UseDPDF=Y")</f>
        <v>—</v>
      </c>
      <c r="W97" s="13" t="str">
        <f>_xll.BDH("SRPT US Equity","ARDR_OTHER_COMMITMENTS","FQ4 2023","FQ4 2023","Currency=USD","Period=FQ","BEST_FPERIOD_OVERRIDE=FQ","FILING_STATUS=MR","SCALING_FORMAT=MLN","Sort=A","Dates=H","DateFormat=P","Fill=—","Direction=H","UseDPDF=Y")</f>
        <v>—</v>
      </c>
      <c r="X97" s="13" t="str">
        <f>_xll.BDH("SRPT US Equity","ARDR_OTHER_COMMITMENTS","FQ1 2024","FQ1 2024","Currency=USD","Period=FQ","BEST_FPERIOD_OVERRIDE=FQ","FILING_STATUS=MR","SCALING_FORMAT=MLN","Sort=A","Dates=H","DateFormat=P","Fill=—","Direction=H","UseDPDF=Y")</f>
        <v>—</v>
      </c>
      <c r="Y97" s="13" t="str">
        <f>_xll.BDH("SRPT US Equity","ARDR_OTHER_COMMITMENTS","FQ2 2024","FQ2 2024","Currency=USD","Period=FQ","BEST_FPERIOD_OVERRIDE=FQ","FILING_STATUS=MR","SCALING_FORMAT=MLN","Sort=A","Dates=H","DateFormat=P","Fill=—","Direction=H","UseDPDF=Y")</f>
        <v>—</v>
      </c>
      <c r="Z97" s="13" t="str">
        <f>_xll.BDH("SRPT US Equity","ARDR_OTHER_COMMITMENTS","FQ3 2024","FQ3 2024","Currency=USD","Period=FQ","BEST_FPERIOD_OVERRIDE=FQ","FILING_STATUS=MR","SCALING_FORMAT=MLN","Sort=A","Dates=H","DateFormat=P","Fill=—","Direction=H","UseDPDF=Y")</f>
        <v>—</v>
      </c>
      <c r="AA97" s="13" t="str">
        <f>_xll.BDH("SRPT US Equity","ARDR_OTHER_COMMITMENTS","FQ4 2024","FQ4 2024","Currency=USD","Period=FQ","BEST_FPERIOD_OVERRIDE=FQ","FILING_STATUS=MR","SCALING_FORMAT=MLN","Sort=A","Dates=H","DateFormat=P","Fill=—","Direction=H","UseDPDF=Y")</f>
        <v>—</v>
      </c>
    </row>
    <row r="98" spans="1:27" x14ac:dyDescent="0.25">
      <c r="A98" s="10" t="s">
        <v>919</v>
      </c>
      <c r="B98" s="10" t="s">
        <v>996</v>
      </c>
      <c r="C98" s="13" t="str">
        <f>_xll.BDH("SRPT US Equity","ARDR_PREFERRED_STOCK_SHARES_OUT","FQ4 2018","FQ4 2018","Currency=USD","Period=FQ","BEST_FPERIOD_OVERRIDE=FQ","FILING_STATUS=MR","Sort=A","Dates=H","DateFormat=P","Fill=—","Direction=H","UseDPDF=Y")</f>
        <v>—</v>
      </c>
      <c r="D98" s="13" t="str">
        <f>_xll.BDH("SRPT US Equity","ARDR_PREFERRED_STOCK_SHARES_OUT","FQ1 2019","FQ1 2019","Currency=USD","Period=FQ","BEST_FPERIOD_OVERRIDE=FQ","FILING_STATUS=MR","Sort=A","Dates=H","DateFormat=P","Fill=—","Direction=H","UseDPDF=Y")</f>
        <v>—</v>
      </c>
      <c r="E98" s="13" t="str">
        <f>_xll.BDH("SRPT US Equity","ARDR_PREFERRED_STOCK_SHARES_OUT","FQ2 2019","FQ2 2019","Currency=USD","Period=FQ","BEST_FPERIOD_OVERRIDE=FQ","FILING_STATUS=MR","Sort=A","Dates=H","DateFormat=P","Fill=—","Direction=H","UseDPDF=Y")</f>
        <v>—</v>
      </c>
      <c r="F98" s="13" t="str">
        <f>_xll.BDH("SRPT US Equity","ARDR_PREFERRED_STOCK_SHARES_OUT","FQ3 2019","FQ3 2019","Currency=USD","Period=FQ","BEST_FPERIOD_OVERRIDE=FQ","FILING_STATUS=MR","Sort=A","Dates=H","DateFormat=P","Fill=—","Direction=H","UseDPDF=Y")</f>
        <v>—</v>
      </c>
      <c r="G98" s="13" t="str">
        <f>_xll.BDH("SRPT US Equity","ARDR_PREFERRED_STOCK_SHARES_OUT","FQ4 2019","FQ4 2019","Currency=USD","Period=FQ","BEST_FPERIOD_OVERRIDE=FQ","FILING_STATUS=MR","Sort=A","Dates=H","DateFormat=P","Fill=—","Direction=H","UseDPDF=Y")</f>
        <v>—</v>
      </c>
      <c r="H98" s="13" t="str">
        <f>_xll.BDH("SRPT US Equity","ARDR_PREFERRED_STOCK_SHARES_OUT","FQ1 2020","FQ1 2020","Currency=USD","Period=FQ","BEST_FPERIOD_OVERRIDE=FQ","FILING_STATUS=MR","Sort=A","Dates=H","DateFormat=P","Fill=—","Direction=H","UseDPDF=Y")</f>
        <v>—</v>
      </c>
      <c r="I98" s="13" t="str">
        <f>_xll.BDH("SRPT US Equity","ARDR_PREFERRED_STOCK_SHARES_OUT","FQ2 2020","FQ2 2020","Currency=USD","Period=FQ","BEST_FPERIOD_OVERRIDE=FQ","FILING_STATUS=MR","Sort=A","Dates=H","DateFormat=P","Fill=—","Direction=H","UseDPDF=Y")</f>
        <v>—</v>
      </c>
      <c r="J98" s="13" t="str">
        <f>_xll.BDH("SRPT US Equity","ARDR_PREFERRED_STOCK_SHARES_OUT","FQ3 2020","FQ3 2020","Currency=USD","Period=FQ","BEST_FPERIOD_OVERRIDE=FQ","FILING_STATUS=MR","Sort=A","Dates=H","DateFormat=P","Fill=—","Direction=H","UseDPDF=Y")</f>
        <v>—</v>
      </c>
      <c r="K98" s="13" t="str">
        <f>_xll.BDH("SRPT US Equity","ARDR_PREFERRED_STOCK_SHARES_OUT","FQ4 2020","FQ4 2020","Currency=USD","Period=FQ","BEST_FPERIOD_OVERRIDE=FQ","FILING_STATUS=MR","Sort=A","Dates=H","DateFormat=P","Fill=—","Direction=H","UseDPDF=Y")</f>
        <v>—</v>
      </c>
      <c r="L98" s="13" t="str">
        <f>_xll.BDH("SRPT US Equity","ARDR_PREFERRED_STOCK_SHARES_OUT","FQ1 2021","FQ1 2021","Currency=USD","Period=FQ","BEST_FPERIOD_OVERRIDE=FQ","FILING_STATUS=MR","Sort=A","Dates=H","DateFormat=P","Fill=—","Direction=H","UseDPDF=Y")</f>
        <v>—</v>
      </c>
      <c r="M98" s="13" t="str">
        <f>_xll.BDH("SRPT US Equity","ARDR_PREFERRED_STOCK_SHARES_OUT","FQ2 2021","FQ2 2021","Currency=USD","Period=FQ","BEST_FPERIOD_OVERRIDE=FQ","FILING_STATUS=MR","Sort=A","Dates=H","DateFormat=P","Fill=—","Direction=H","UseDPDF=Y")</f>
        <v>—</v>
      </c>
      <c r="N98" s="13" t="str">
        <f>_xll.BDH("SRPT US Equity","ARDR_PREFERRED_STOCK_SHARES_OUT","FQ3 2021","FQ3 2021","Currency=USD","Period=FQ","BEST_FPERIOD_OVERRIDE=FQ","FILING_STATUS=MR","Sort=A","Dates=H","DateFormat=P","Fill=—","Direction=H","UseDPDF=Y")</f>
        <v>—</v>
      </c>
      <c r="O98" s="13" t="str">
        <f>_xll.BDH("SRPT US Equity","ARDR_PREFERRED_STOCK_SHARES_OUT","FQ4 2021","FQ4 2021","Currency=USD","Period=FQ","BEST_FPERIOD_OVERRIDE=FQ","FILING_STATUS=MR","Sort=A","Dates=H","DateFormat=P","Fill=—","Direction=H","UseDPDF=Y")</f>
        <v>—</v>
      </c>
      <c r="P98" s="13" t="str">
        <f>_xll.BDH("SRPT US Equity","ARDR_PREFERRED_STOCK_SHARES_OUT","FQ1 2022","FQ1 2022","Currency=USD","Period=FQ","BEST_FPERIOD_OVERRIDE=FQ","FILING_STATUS=MR","Sort=A","Dates=H","DateFormat=P","Fill=—","Direction=H","UseDPDF=Y")</f>
        <v>—</v>
      </c>
      <c r="Q98" s="13" t="str">
        <f>_xll.BDH("SRPT US Equity","ARDR_PREFERRED_STOCK_SHARES_OUT","FQ2 2022","FQ2 2022","Currency=USD","Period=FQ","BEST_FPERIOD_OVERRIDE=FQ","FILING_STATUS=MR","Sort=A","Dates=H","DateFormat=P","Fill=—","Direction=H","UseDPDF=Y")</f>
        <v>—</v>
      </c>
      <c r="R98" s="13">
        <f>_xll.BDH("SRPT US Equity","ARDR_PREFERRED_STOCK_SHARES_OUT","FQ3 2022","FQ3 2022","Currency=USD","Period=FQ","BEST_FPERIOD_OVERRIDE=FQ","FILING_STATUS=MR","Sort=A","Dates=H","DateFormat=P","Fill=—","Direction=H","UseDPDF=Y")</f>
        <v>0</v>
      </c>
      <c r="S98" s="13" t="str">
        <f>_xll.BDH("SRPT US Equity","ARDR_PREFERRED_STOCK_SHARES_OUT","FQ4 2022","FQ4 2022","Currency=USD","Period=FQ","BEST_FPERIOD_OVERRIDE=FQ","FILING_STATUS=MR","Sort=A","Dates=H","DateFormat=P","Fill=—","Direction=H","UseDPDF=Y")</f>
        <v>—</v>
      </c>
      <c r="T98" s="13" t="str">
        <f>_xll.BDH("SRPT US Equity","ARDR_PREFERRED_STOCK_SHARES_OUT","FQ1 2023","FQ1 2023","Currency=USD","Period=FQ","BEST_FPERIOD_OVERRIDE=FQ","FILING_STATUS=MR","Sort=A","Dates=H","DateFormat=P","Fill=—","Direction=H","UseDPDF=Y")</f>
        <v>—</v>
      </c>
      <c r="U98" s="13" t="str">
        <f>_xll.BDH("SRPT US Equity","ARDR_PREFERRED_STOCK_SHARES_OUT","FQ2 2023","FQ2 2023","Currency=USD","Period=FQ","BEST_FPERIOD_OVERRIDE=FQ","FILING_STATUS=MR","Sort=A","Dates=H","DateFormat=P","Fill=—","Direction=H","UseDPDF=Y")</f>
        <v>—</v>
      </c>
      <c r="V98" s="13" t="str">
        <f>_xll.BDH("SRPT US Equity","ARDR_PREFERRED_STOCK_SHARES_OUT","FQ3 2023","FQ3 2023","Currency=USD","Period=FQ","BEST_FPERIOD_OVERRIDE=FQ","FILING_STATUS=MR","Sort=A","Dates=H","DateFormat=P","Fill=—","Direction=H","UseDPDF=Y")</f>
        <v>—</v>
      </c>
      <c r="W98" s="13" t="str">
        <f>_xll.BDH("SRPT US Equity","ARDR_PREFERRED_STOCK_SHARES_OUT","FQ4 2023","FQ4 2023","Currency=USD","Period=FQ","BEST_FPERIOD_OVERRIDE=FQ","FILING_STATUS=MR","Sort=A","Dates=H","DateFormat=P","Fill=—","Direction=H","UseDPDF=Y")</f>
        <v>—</v>
      </c>
      <c r="X98" s="13" t="str">
        <f>_xll.BDH("SRPT US Equity","ARDR_PREFERRED_STOCK_SHARES_OUT","FQ1 2024","FQ1 2024","Currency=USD","Period=FQ","BEST_FPERIOD_OVERRIDE=FQ","FILING_STATUS=MR","Sort=A","Dates=H","DateFormat=P","Fill=—","Direction=H","UseDPDF=Y")</f>
        <v>—</v>
      </c>
      <c r="Y98" s="13" t="str">
        <f>_xll.BDH("SRPT US Equity","ARDR_PREFERRED_STOCK_SHARES_OUT","FQ2 2024","FQ2 2024","Currency=USD","Period=FQ","BEST_FPERIOD_OVERRIDE=FQ","FILING_STATUS=MR","Sort=A","Dates=H","DateFormat=P","Fill=—","Direction=H","UseDPDF=Y")</f>
        <v>—</v>
      </c>
      <c r="Z98" s="13" t="str">
        <f>_xll.BDH("SRPT US Equity","ARDR_PREFERRED_STOCK_SHARES_OUT","FQ3 2024","FQ3 2024","Currency=USD","Period=FQ","BEST_FPERIOD_OVERRIDE=FQ","FILING_STATUS=MR","Sort=A","Dates=H","DateFormat=P","Fill=—","Direction=H","UseDPDF=Y")</f>
        <v>—</v>
      </c>
      <c r="AA98" s="13" t="str">
        <f>_xll.BDH("SRPT US Equity","ARDR_PREFERRED_STOCK_SHARES_OUT","FQ4 2024","FQ4 2024","Currency=USD","Period=FQ","BEST_FPERIOD_OVERRIDE=FQ","FILING_STATUS=MR","Sort=A","Dates=H","DateFormat=P","Fill=—","Direction=H","UseDPDF=Y")</f>
        <v>—</v>
      </c>
    </row>
    <row r="99" spans="1:27" x14ac:dyDescent="0.25">
      <c r="A99" s="10" t="s">
        <v>997</v>
      </c>
      <c r="B99" s="10" t="s">
        <v>998</v>
      </c>
      <c r="C99" s="13" t="str">
        <f>_xll.BDH("SRPT US Equity","ARDR_OPTIONS_EXERCISED_DUR_PER","FQ4 2018","FQ4 2018","Currency=USD","Period=FQ","BEST_FPERIOD_OVERRIDE=FQ","FILING_STATUS=MR","SCALING_FORMAT=MLN","Sort=A","Dates=H","DateFormat=P","Fill=—","Direction=H","UseDPDF=Y")</f>
        <v>—</v>
      </c>
      <c r="D99" s="13" t="str">
        <f>_xll.BDH("SRPT US Equity","ARDR_OPTIONS_EXERCISED_DUR_PER","FQ1 2019","FQ1 2019","Currency=USD","Period=FQ","BEST_FPERIOD_OVERRIDE=FQ","FILING_STATUS=MR","SCALING_FORMAT=MLN","Sort=A","Dates=H","DateFormat=P","Fill=—","Direction=H","UseDPDF=Y")</f>
        <v>—</v>
      </c>
      <c r="E99" s="13" t="str">
        <f>_xll.BDH("SRPT US Equity","ARDR_OPTIONS_EXERCISED_DUR_PER","FQ2 2019","FQ2 2019","Currency=USD","Period=FQ","BEST_FPERIOD_OVERRIDE=FQ","FILING_STATUS=MR","SCALING_FORMAT=MLN","Sort=A","Dates=H","DateFormat=P","Fill=—","Direction=H","UseDPDF=Y")</f>
        <v>—</v>
      </c>
      <c r="F99" s="13" t="str">
        <f>_xll.BDH("SRPT US Equity","ARDR_OPTIONS_EXERCISED_DUR_PER","FQ3 2019","FQ3 2019","Currency=USD","Period=FQ","BEST_FPERIOD_OVERRIDE=FQ","FILING_STATUS=MR","SCALING_FORMAT=MLN","Sort=A","Dates=H","DateFormat=P","Fill=—","Direction=H","UseDPDF=Y")</f>
        <v>—</v>
      </c>
      <c r="G99" s="13" t="str">
        <f>_xll.BDH("SRPT US Equity","ARDR_OPTIONS_EXERCISED_DUR_PER","FQ4 2019","FQ4 2019","Currency=USD","Period=FQ","BEST_FPERIOD_OVERRIDE=FQ","FILING_STATUS=MR","SCALING_FORMAT=MLN","Sort=A","Dates=H","DateFormat=P","Fill=—","Direction=H","UseDPDF=Y")</f>
        <v>—</v>
      </c>
      <c r="H99" s="13" t="str">
        <f>_xll.BDH("SRPT US Equity","ARDR_OPTIONS_EXERCISED_DUR_PER","FQ1 2020","FQ1 2020","Currency=USD","Period=FQ","BEST_FPERIOD_OVERRIDE=FQ","FILING_STATUS=MR","SCALING_FORMAT=MLN","Sort=A","Dates=H","DateFormat=P","Fill=—","Direction=H","UseDPDF=Y")</f>
        <v>—</v>
      </c>
      <c r="I99" s="13" t="str">
        <f>_xll.BDH("SRPT US Equity","ARDR_OPTIONS_EXERCISED_DUR_PER","FQ2 2020","FQ2 2020","Currency=USD","Period=FQ","BEST_FPERIOD_OVERRIDE=FQ","FILING_STATUS=MR","SCALING_FORMAT=MLN","Sort=A","Dates=H","DateFormat=P","Fill=—","Direction=H","UseDPDF=Y")</f>
        <v>—</v>
      </c>
      <c r="J99" s="13" t="str">
        <f>_xll.BDH("SRPT US Equity","ARDR_OPTIONS_EXERCISED_DUR_PER","FQ3 2020","FQ3 2020","Currency=USD","Period=FQ","BEST_FPERIOD_OVERRIDE=FQ","FILING_STATUS=MR","SCALING_FORMAT=MLN","Sort=A","Dates=H","DateFormat=P","Fill=—","Direction=H","UseDPDF=Y")</f>
        <v>—</v>
      </c>
      <c r="K99" s="13" t="str">
        <f>_xll.BDH("SRPT US Equity","ARDR_OPTIONS_EXERCISED_DUR_PER","FQ4 2020","FQ4 2020","Currency=USD","Period=FQ","BEST_FPERIOD_OVERRIDE=FQ","FILING_STATUS=MR","SCALING_FORMAT=MLN","Sort=A","Dates=H","DateFormat=P","Fill=—","Direction=H","UseDPDF=Y")</f>
        <v>—</v>
      </c>
      <c r="L99" s="13" t="str">
        <f>_xll.BDH("SRPT US Equity","ARDR_OPTIONS_EXERCISED_DUR_PER","FQ1 2021","FQ1 2021","Currency=USD","Period=FQ","BEST_FPERIOD_OVERRIDE=FQ","FILING_STATUS=MR","SCALING_FORMAT=MLN","Sort=A","Dates=H","DateFormat=P","Fill=—","Direction=H","UseDPDF=Y")</f>
        <v>—</v>
      </c>
      <c r="M99" s="13" t="str">
        <f>_xll.BDH("SRPT US Equity","ARDR_OPTIONS_EXERCISED_DUR_PER","FQ2 2021","FQ2 2021","Currency=USD","Period=FQ","BEST_FPERIOD_OVERRIDE=FQ","FILING_STATUS=MR","SCALING_FORMAT=MLN","Sort=A","Dates=H","DateFormat=P","Fill=—","Direction=H","UseDPDF=Y")</f>
        <v>—</v>
      </c>
      <c r="N99" s="13" t="str">
        <f>_xll.BDH("SRPT US Equity","ARDR_OPTIONS_EXERCISED_DUR_PER","FQ3 2021","FQ3 2021","Currency=USD","Period=FQ","BEST_FPERIOD_OVERRIDE=FQ","FILING_STATUS=MR","SCALING_FORMAT=MLN","Sort=A","Dates=H","DateFormat=P","Fill=—","Direction=H","UseDPDF=Y")</f>
        <v>—</v>
      </c>
      <c r="O99" s="13" t="str">
        <f>_xll.BDH("SRPT US Equity","ARDR_OPTIONS_EXERCISED_DUR_PER","FQ4 2021","FQ4 2021","Currency=USD","Period=FQ","BEST_FPERIOD_OVERRIDE=FQ","FILING_STATUS=MR","SCALING_FORMAT=MLN","Sort=A","Dates=H","DateFormat=P","Fill=—","Direction=H","UseDPDF=Y")</f>
        <v>—</v>
      </c>
      <c r="P99" s="13" t="str">
        <f>_xll.BDH("SRPT US Equity","ARDR_OPTIONS_EXERCISED_DUR_PER","FQ1 2022","FQ1 2022","Currency=USD","Period=FQ","BEST_FPERIOD_OVERRIDE=FQ","FILING_STATUS=MR","SCALING_FORMAT=MLN","Sort=A","Dates=H","DateFormat=P","Fill=—","Direction=H","UseDPDF=Y")</f>
        <v>—</v>
      </c>
      <c r="Q99" s="13" t="str">
        <f>_xll.BDH("SRPT US Equity","ARDR_OPTIONS_EXERCISED_DUR_PER","FQ2 2022","FQ2 2022","Currency=USD","Period=FQ","BEST_FPERIOD_OVERRIDE=FQ","FILING_STATUS=MR","SCALING_FORMAT=MLN","Sort=A","Dates=H","DateFormat=P","Fill=—","Direction=H","UseDPDF=Y")</f>
        <v>—</v>
      </c>
      <c r="R99" s="13" t="str">
        <f>_xll.BDH("SRPT US Equity","ARDR_OPTIONS_EXERCISED_DUR_PER","FQ3 2022","FQ3 2022","Currency=USD","Period=FQ","BEST_FPERIOD_OVERRIDE=FQ","FILING_STATUS=MR","SCALING_FORMAT=MLN","Sort=A","Dates=H","DateFormat=P","Fill=—","Direction=H","UseDPDF=Y")</f>
        <v>—</v>
      </c>
      <c r="S99" s="13">
        <f>_xll.BDH("SRPT US Equity","ARDR_OPTIONS_EXERCISED_DUR_PER","FQ4 2022","FQ4 2022","Currency=USD","Period=FQ","BEST_FPERIOD_OVERRIDE=FQ","FILING_STATUS=MR","SCALING_FORMAT=MLN","Sort=A","Dates=H","DateFormat=P","Fill=—","Direction=H","UseDPDF=Y")</f>
        <v>0.31830000000000003</v>
      </c>
      <c r="T99" s="13" t="str">
        <f>_xll.BDH("SRPT US Equity","ARDR_OPTIONS_EXERCISED_DUR_PER","FQ1 2023","FQ1 2023","Currency=USD","Period=FQ","BEST_FPERIOD_OVERRIDE=FQ","FILING_STATUS=MR","SCALING_FORMAT=MLN","Sort=A","Dates=H","DateFormat=P","Fill=—","Direction=H","UseDPDF=Y")</f>
        <v>—</v>
      </c>
      <c r="U99" s="13" t="str">
        <f>_xll.BDH("SRPT US Equity","ARDR_OPTIONS_EXERCISED_DUR_PER","FQ2 2023","FQ2 2023","Currency=USD","Period=FQ","BEST_FPERIOD_OVERRIDE=FQ","FILING_STATUS=MR","SCALING_FORMAT=MLN","Sort=A","Dates=H","DateFormat=P","Fill=—","Direction=H","UseDPDF=Y")</f>
        <v>—</v>
      </c>
      <c r="V99" s="13" t="str">
        <f>_xll.BDH("SRPT US Equity","ARDR_OPTIONS_EXERCISED_DUR_PER","FQ3 2023","FQ3 2023","Currency=USD","Period=FQ","BEST_FPERIOD_OVERRIDE=FQ","FILING_STATUS=MR","SCALING_FORMAT=MLN","Sort=A","Dates=H","DateFormat=P","Fill=—","Direction=H","UseDPDF=Y")</f>
        <v>—</v>
      </c>
      <c r="W99" s="13">
        <f>_xll.BDH("SRPT US Equity","ARDR_OPTIONS_EXERCISED_DUR_PER","FQ4 2023","FQ4 2023","Currency=USD","Period=FQ","BEST_FPERIOD_OVERRIDE=FQ","FILING_STATUS=MR","SCALING_FORMAT=MLN","Sort=A","Dates=H","DateFormat=P","Fill=—","Direction=H","UseDPDF=Y")</f>
        <v>0.52890000000000004</v>
      </c>
      <c r="X99" s="13" t="str">
        <f>_xll.BDH("SRPT US Equity","ARDR_OPTIONS_EXERCISED_DUR_PER","FQ1 2024","FQ1 2024","Currency=USD","Period=FQ","BEST_FPERIOD_OVERRIDE=FQ","FILING_STATUS=MR","SCALING_FORMAT=MLN","Sort=A","Dates=H","DateFormat=P","Fill=—","Direction=H","UseDPDF=Y")</f>
        <v>—</v>
      </c>
      <c r="Y99" s="13" t="str">
        <f>_xll.BDH("SRPT US Equity","ARDR_OPTIONS_EXERCISED_DUR_PER","FQ2 2024","FQ2 2024","Currency=USD","Period=FQ","BEST_FPERIOD_OVERRIDE=FQ","FILING_STATUS=MR","SCALING_FORMAT=MLN","Sort=A","Dates=H","DateFormat=P","Fill=—","Direction=H","UseDPDF=Y")</f>
        <v>—</v>
      </c>
      <c r="Z99" s="13" t="str">
        <f>_xll.BDH("SRPT US Equity","ARDR_OPTIONS_EXERCISED_DUR_PER","FQ3 2024","FQ3 2024","Currency=USD","Period=FQ","BEST_FPERIOD_OVERRIDE=FQ","FILING_STATUS=MR","SCALING_FORMAT=MLN","Sort=A","Dates=H","DateFormat=P","Fill=—","Direction=H","UseDPDF=Y")</f>
        <v>—</v>
      </c>
      <c r="AA99" s="13">
        <f>_xll.BDH("SRPT US Equity","ARDR_OPTIONS_EXERCISED_DUR_PER","FQ4 2024","FQ4 2024","Currency=USD","Period=FQ","BEST_FPERIOD_OVERRIDE=FQ","FILING_STATUS=MR","SCALING_FORMAT=MLN","Sort=A","Dates=H","DateFormat=P","Fill=—","Direction=H","UseDPDF=Y")</f>
        <v>0.85009999999999997</v>
      </c>
    </row>
    <row r="100" spans="1:27" x14ac:dyDescent="0.25">
      <c r="A100" s="10" t="s">
        <v>999</v>
      </c>
      <c r="B100" s="10" t="s">
        <v>1000</v>
      </c>
      <c r="C100" s="13">
        <f>_xll.BDH("SRPT US Equity","ARDR_CASH_EQUIVS","FQ4 2018","FQ4 2018","Currency=USD","Period=FQ","BEST_FPERIOD_OVERRIDE=FQ","FILING_STATUS=MR","SCALING_FORMAT=MLN","Sort=A","Dates=H","DateFormat=P","Fill=—","Direction=H","UseDPDF=Y")</f>
        <v>370.82900000000001</v>
      </c>
      <c r="D100" s="13">
        <f>_xll.BDH("SRPT US Equity","ARDR_CASH_EQUIVS","FQ1 2019","FQ1 2019","Currency=USD","Period=FQ","BEST_FPERIOD_OVERRIDE=FQ","FILING_STATUS=MR","SCALING_FORMAT=MLN","Sort=A","Dates=H","DateFormat=P","Fill=—","Direction=H","UseDPDF=Y")</f>
        <v>732.19</v>
      </c>
      <c r="E100" s="13">
        <f>_xll.BDH("SRPT US Equity","ARDR_CASH_EQUIVS","FQ2 2019","FQ2 2019","Currency=USD","Period=FQ","BEST_FPERIOD_OVERRIDE=FQ","FILING_STATUS=MR","SCALING_FORMAT=MLN","Sort=A","Dates=H","DateFormat=P","Fill=—","Direction=H","UseDPDF=Y")</f>
        <v>808.59100000000001</v>
      </c>
      <c r="F100" s="13">
        <f>_xll.BDH("SRPT US Equity","ARDR_CASH_EQUIVS","FQ3 2019","FQ3 2019","Currency=USD","Period=FQ","BEST_FPERIOD_OVERRIDE=FQ","FILING_STATUS=MR","SCALING_FORMAT=MLN","Sort=A","Dates=H","DateFormat=P","Fill=—","Direction=H","UseDPDF=Y")</f>
        <v>724.82899999999995</v>
      </c>
      <c r="G100" s="13">
        <f>_xll.BDH("SRPT US Equity","ARDR_CASH_EQUIVS","FQ4 2019","FQ4 2019","Currency=USD","Period=FQ","BEST_FPERIOD_OVERRIDE=FQ","FILING_STATUS=MR","SCALING_FORMAT=MLN","Sort=A","Dates=H","DateFormat=P","Fill=—","Direction=H","UseDPDF=Y")</f>
        <v>835.08</v>
      </c>
      <c r="H100" s="13">
        <f>_xll.BDH("SRPT US Equity","ARDR_CASH_EQUIVS","FQ1 2020","FQ1 2020","Currency=USD","Period=FQ","BEST_FPERIOD_OVERRIDE=FQ","FILING_STATUS=MR","SCALING_FORMAT=MLN","Sort=A","Dates=H","DateFormat=P","Fill=—","Direction=H","UseDPDF=Y")</f>
        <v>1764.212</v>
      </c>
      <c r="I100" s="13">
        <f>_xll.BDH("SRPT US Equity","ARDR_CASH_EQUIVS","FQ2 2020","FQ2 2020","Currency=USD","Period=FQ","BEST_FPERIOD_OVERRIDE=FQ","FILING_STATUS=MR","SCALING_FORMAT=MLN","Sort=A","Dates=H","DateFormat=P","Fill=—","Direction=H","UseDPDF=Y")</f>
        <v>1639.9590000000001</v>
      </c>
      <c r="J100" s="13">
        <f>_xll.BDH("SRPT US Equity","ARDR_CASH_EQUIVS","FQ3 2020","FQ3 2020","Currency=USD","Period=FQ","BEST_FPERIOD_OVERRIDE=FQ","FILING_STATUS=MR","SCALING_FORMAT=MLN","Sort=A","Dates=H","DateFormat=P","Fill=—","Direction=H","UseDPDF=Y")</f>
        <v>1474.6369999999999</v>
      </c>
      <c r="K100" s="13">
        <f>_xll.BDH("SRPT US Equity","ARDR_CASH_EQUIVS","FQ4 2020","FQ4 2020","Currency=USD","Period=FQ","BEST_FPERIOD_OVERRIDE=FQ","FILING_STATUS=MR","SCALING_FORMAT=MLN","Sort=A","Dates=H","DateFormat=P","Fill=—","Direction=H","UseDPDF=Y")</f>
        <v>1502.6479999999999</v>
      </c>
      <c r="L100" s="13">
        <f>_xll.BDH("SRPT US Equity","ARDR_CASH_EQUIVS","FQ1 2021","FQ1 2021","Currency=USD","Period=FQ","BEST_FPERIOD_OVERRIDE=FQ","FILING_STATUS=MR","SCALING_FORMAT=MLN","Sort=A","Dates=H","DateFormat=P","Fill=—","Direction=H","UseDPDF=Y")</f>
        <v>1481.836</v>
      </c>
      <c r="M100" s="13">
        <f>_xll.BDH("SRPT US Equity","ARDR_CASH_EQUIVS","FQ2 2021","FQ2 2021","Currency=USD","Period=FQ","BEST_FPERIOD_OVERRIDE=FQ","FILING_STATUS=MR","SCALING_FORMAT=MLN","Sort=A","Dates=H","DateFormat=P","Fill=—","Direction=H","UseDPDF=Y")</f>
        <v>1697.2750000000001</v>
      </c>
      <c r="N100" s="13">
        <f>_xll.BDH("SRPT US Equity","ARDR_CASH_EQUIVS","FQ3 2021","FQ3 2021","Currency=USD","Period=FQ","BEST_FPERIOD_OVERRIDE=FQ","FILING_STATUS=MR","SCALING_FORMAT=MLN","Sort=A","Dates=H","DateFormat=P","Fill=—","Direction=H","UseDPDF=Y")</f>
        <v>1599.1130000000001</v>
      </c>
      <c r="O100" s="13">
        <f>_xll.BDH("SRPT US Equity","ARDR_CASH_EQUIVS","FQ4 2021","FQ4 2021","Currency=USD","Period=FQ","BEST_FPERIOD_OVERRIDE=FQ","FILING_STATUS=MR","SCALING_FORMAT=MLN","Sort=A","Dates=H","DateFormat=P","Fill=—","Direction=H","UseDPDF=Y")</f>
        <v>2115.8690000000001</v>
      </c>
      <c r="P100" s="13" t="str">
        <f>_xll.BDH("SRPT US Equity","ARDR_CASH_EQUIVS","FQ1 2022","FQ1 2022","Currency=USD","Period=FQ","BEST_FPERIOD_OVERRIDE=FQ","FILING_STATUS=MR","SCALING_FORMAT=MLN","Sort=A","Dates=H","DateFormat=P","Fill=—","Direction=H","UseDPDF=Y")</f>
        <v>—</v>
      </c>
      <c r="Q100" s="13">
        <f>_xll.BDH("SRPT US Equity","ARDR_CASH_EQUIVS","FQ2 2022","FQ2 2022","Currency=USD","Period=FQ","BEST_FPERIOD_OVERRIDE=FQ","FILING_STATUS=MR","SCALING_FORMAT=MLN","Sort=A","Dates=H","DateFormat=P","Fill=—","Direction=H","UseDPDF=Y")</f>
        <v>868.56500000000005</v>
      </c>
      <c r="R100" s="13">
        <f>_xll.BDH("SRPT US Equity","ARDR_CASH_EQUIVS","FQ3 2022","FQ3 2022","Currency=USD","Period=FQ","BEST_FPERIOD_OVERRIDE=FQ","FILING_STATUS=MR","SCALING_FORMAT=MLN","Sort=A","Dates=H","DateFormat=P","Fill=—","Direction=H","UseDPDF=Y")</f>
        <v>1038.624</v>
      </c>
      <c r="S100" s="13">
        <f>_xll.BDH("SRPT US Equity","ARDR_CASH_EQUIVS","FQ4 2022","FQ4 2022","Currency=USD","Period=FQ","BEST_FPERIOD_OVERRIDE=FQ","FILING_STATUS=MR","SCALING_FORMAT=MLN","Sort=A","Dates=H","DateFormat=P","Fill=—","Direction=H","UseDPDF=Y")</f>
        <v>966.77700000000004</v>
      </c>
      <c r="T100" s="13">
        <f>_xll.BDH("SRPT US Equity","ARDR_CASH_EQUIVS","FQ1 2023","FQ1 2023","Currency=USD","Period=FQ","BEST_FPERIOD_OVERRIDE=FQ","FILING_STATUS=MR","SCALING_FORMAT=MLN","Sort=A","Dates=H","DateFormat=P","Fill=—","Direction=H","UseDPDF=Y")</f>
        <v>871.66800000000001</v>
      </c>
      <c r="U100" s="13">
        <f>_xll.BDH("SRPT US Equity","ARDR_CASH_EQUIVS","FQ2 2023","FQ2 2023","Currency=USD","Period=FQ","BEST_FPERIOD_OVERRIDE=FQ","FILING_STATUS=MR","SCALING_FORMAT=MLN","Sort=A","Dates=H","DateFormat=P","Fill=—","Direction=H","UseDPDF=Y")</f>
        <v>851.92899999999997</v>
      </c>
      <c r="V100" s="13">
        <f>_xll.BDH("SRPT US Equity","ARDR_CASH_EQUIVS","FQ3 2023","FQ3 2023","Currency=USD","Period=FQ","BEST_FPERIOD_OVERRIDE=FQ","FILING_STATUS=MR","SCALING_FORMAT=MLN","Sort=A","Dates=H","DateFormat=P","Fill=—","Direction=H","UseDPDF=Y")</f>
        <v>541.93200000000002</v>
      </c>
      <c r="W100" s="13">
        <f>_xll.BDH("SRPT US Equity","ARDR_CASH_EQUIVS","FQ4 2023","FQ4 2023","Currency=USD","Period=FQ","BEST_FPERIOD_OVERRIDE=FQ","FILING_STATUS=MR","SCALING_FORMAT=MLN","Sort=A","Dates=H","DateFormat=P","Fill=—","Direction=H","UseDPDF=Y")</f>
        <v>428.43</v>
      </c>
      <c r="X100" s="13">
        <f>_xll.BDH("SRPT US Equity","ARDR_CASH_EQUIVS","FQ1 2024","FQ1 2024","Currency=USD","Period=FQ","BEST_FPERIOD_OVERRIDE=FQ","FILING_STATUS=MR","SCALING_FORMAT=MLN","Sort=A","Dates=H","DateFormat=P","Fill=—","Direction=H","UseDPDF=Y")</f>
        <v>277.87</v>
      </c>
      <c r="Y100" s="13">
        <f>_xll.BDH("SRPT US Equity","ARDR_CASH_EQUIVS","FQ2 2024","FQ2 2024","Currency=USD","Period=FQ","BEST_FPERIOD_OVERRIDE=FQ","FILING_STATUS=MR","SCALING_FORMAT=MLN","Sort=A","Dates=H","DateFormat=P","Fill=—","Direction=H","UseDPDF=Y")</f>
        <v>383.62200000000001</v>
      </c>
      <c r="Z100" s="13">
        <f>_xll.BDH("SRPT US Equity","ARDR_CASH_EQUIVS","FQ3 2024","FQ3 2024","Currency=USD","Period=FQ","BEST_FPERIOD_OVERRIDE=FQ","FILING_STATUS=MR","SCALING_FORMAT=MLN","Sort=A","Dates=H","DateFormat=P","Fill=—","Direction=H","UseDPDF=Y")</f>
        <v>197.85499999999999</v>
      </c>
      <c r="AA100" s="13" t="str">
        <f>_xll.BDH("SRPT US Equity","ARDR_CASH_EQUIVS","FQ4 2024","FQ4 2024","Currency=USD","Period=FQ","BEST_FPERIOD_OVERRIDE=FQ","FILING_STATUS=MR","SCALING_FORMAT=MLN","Sort=A","Dates=H","DateFormat=P","Fill=—","Direction=H","UseDPDF=Y")</f>
        <v>—</v>
      </c>
    </row>
    <row r="101" spans="1:27" x14ac:dyDescent="0.25">
      <c r="A101" s="10" t="s">
        <v>1001</v>
      </c>
      <c r="B101" s="10" t="s">
        <v>1002</v>
      </c>
      <c r="C101" s="13" t="str">
        <f>_xll.BDH("SRPT US Equity","ARDR_DEBT_SCHEDULE_IN_YR1","FQ4 2018","FQ4 2018","Currency=USD","Period=FQ","BEST_FPERIOD_OVERRIDE=FQ","FILING_STATUS=MR","SCALING_FORMAT=MLN","Sort=A","Dates=H","DateFormat=P","Fill=—","Direction=H","UseDPDF=Y")</f>
        <v>—</v>
      </c>
      <c r="D101" s="13" t="str">
        <f>_xll.BDH("SRPT US Equity","ARDR_DEBT_SCHEDULE_IN_YR1","FQ1 2019","FQ1 2019","Currency=USD","Period=FQ","BEST_FPERIOD_OVERRIDE=FQ","FILING_STATUS=MR","SCALING_FORMAT=MLN","Sort=A","Dates=H","DateFormat=P","Fill=—","Direction=H","UseDPDF=Y")</f>
        <v>—</v>
      </c>
      <c r="E101" s="13" t="str">
        <f>_xll.BDH("SRPT US Equity","ARDR_DEBT_SCHEDULE_IN_YR1","FQ2 2019","FQ2 2019","Currency=USD","Period=FQ","BEST_FPERIOD_OVERRIDE=FQ","FILING_STATUS=MR","SCALING_FORMAT=MLN","Sort=A","Dates=H","DateFormat=P","Fill=—","Direction=H","UseDPDF=Y")</f>
        <v>—</v>
      </c>
      <c r="F101" s="13" t="str">
        <f>_xll.BDH("SRPT US Equity","ARDR_DEBT_SCHEDULE_IN_YR1","FQ3 2019","FQ3 2019","Currency=USD","Period=FQ","BEST_FPERIOD_OVERRIDE=FQ","FILING_STATUS=MR","SCALING_FORMAT=MLN","Sort=A","Dates=H","DateFormat=P","Fill=—","Direction=H","UseDPDF=Y")</f>
        <v>—</v>
      </c>
      <c r="G101" s="13" t="str">
        <f>_xll.BDH("SRPT US Equity","ARDR_DEBT_SCHEDULE_IN_YR1","FQ4 2019","FQ4 2019","Currency=USD","Period=FQ","BEST_FPERIOD_OVERRIDE=FQ","FILING_STATUS=MR","SCALING_FORMAT=MLN","Sort=A","Dates=H","DateFormat=P","Fill=—","Direction=H","UseDPDF=Y")</f>
        <v>—</v>
      </c>
      <c r="H101" s="13" t="str">
        <f>_xll.BDH("SRPT US Equity","ARDR_DEBT_SCHEDULE_IN_YR1","FQ1 2020","FQ1 2020","Currency=USD","Period=FQ","BEST_FPERIOD_OVERRIDE=FQ","FILING_STATUS=MR","SCALING_FORMAT=MLN","Sort=A","Dates=H","DateFormat=P","Fill=—","Direction=H","UseDPDF=Y")</f>
        <v>—</v>
      </c>
      <c r="I101" s="13" t="str">
        <f>_xll.BDH("SRPT US Equity","ARDR_DEBT_SCHEDULE_IN_YR1","FQ2 2020","FQ2 2020","Currency=USD","Period=FQ","BEST_FPERIOD_OVERRIDE=FQ","FILING_STATUS=MR","SCALING_FORMAT=MLN","Sort=A","Dates=H","DateFormat=P","Fill=—","Direction=H","UseDPDF=Y")</f>
        <v>—</v>
      </c>
      <c r="J101" s="13" t="str">
        <f>_xll.BDH("SRPT US Equity","ARDR_DEBT_SCHEDULE_IN_YR1","FQ3 2020","FQ3 2020","Currency=USD","Period=FQ","BEST_FPERIOD_OVERRIDE=FQ","FILING_STATUS=MR","SCALING_FORMAT=MLN","Sort=A","Dates=H","DateFormat=P","Fill=—","Direction=H","UseDPDF=Y")</f>
        <v>—</v>
      </c>
      <c r="K101" s="13" t="str">
        <f>_xll.BDH("SRPT US Equity","ARDR_DEBT_SCHEDULE_IN_YR1","FQ4 2020","FQ4 2020","Currency=USD","Period=FQ","BEST_FPERIOD_OVERRIDE=FQ","FILING_STATUS=MR","SCALING_FORMAT=MLN","Sort=A","Dates=H","DateFormat=P","Fill=—","Direction=H","UseDPDF=Y")</f>
        <v>—</v>
      </c>
      <c r="L101" s="13" t="str">
        <f>_xll.BDH("SRPT US Equity","ARDR_DEBT_SCHEDULE_IN_YR1","FQ1 2021","FQ1 2021","Currency=USD","Period=FQ","BEST_FPERIOD_OVERRIDE=FQ","FILING_STATUS=MR","SCALING_FORMAT=MLN","Sort=A","Dates=H","DateFormat=P","Fill=—","Direction=H","UseDPDF=Y")</f>
        <v>—</v>
      </c>
      <c r="M101" s="13" t="str">
        <f>_xll.BDH("SRPT US Equity","ARDR_DEBT_SCHEDULE_IN_YR1","FQ2 2021","FQ2 2021","Currency=USD","Period=FQ","BEST_FPERIOD_OVERRIDE=FQ","FILING_STATUS=MR","SCALING_FORMAT=MLN","Sort=A","Dates=H","DateFormat=P","Fill=—","Direction=H","UseDPDF=Y")</f>
        <v>—</v>
      </c>
      <c r="N101" s="13" t="str">
        <f>_xll.BDH("SRPT US Equity","ARDR_DEBT_SCHEDULE_IN_YR1","FQ3 2021","FQ3 2021","Currency=USD","Period=FQ","BEST_FPERIOD_OVERRIDE=FQ","FILING_STATUS=MR","SCALING_FORMAT=MLN","Sort=A","Dates=H","DateFormat=P","Fill=—","Direction=H","UseDPDF=Y")</f>
        <v>—</v>
      </c>
      <c r="O101" s="13" t="str">
        <f>_xll.BDH("SRPT US Equity","ARDR_DEBT_SCHEDULE_IN_YR1","FQ4 2021","FQ4 2021","Currency=USD","Period=FQ","BEST_FPERIOD_OVERRIDE=FQ","FILING_STATUS=MR","SCALING_FORMAT=MLN","Sort=A","Dates=H","DateFormat=P","Fill=—","Direction=H","UseDPDF=Y")</f>
        <v>—</v>
      </c>
      <c r="P101" s="13" t="str">
        <f>_xll.BDH("SRPT US Equity","ARDR_DEBT_SCHEDULE_IN_YR1","FQ1 2022","FQ1 2022","Currency=USD","Period=FQ","BEST_FPERIOD_OVERRIDE=FQ","FILING_STATUS=MR","SCALING_FORMAT=MLN","Sort=A","Dates=H","DateFormat=P","Fill=—","Direction=H","UseDPDF=Y")</f>
        <v>—</v>
      </c>
      <c r="Q101" s="13" t="str">
        <f>_xll.BDH("SRPT US Equity","ARDR_DEBT_SCHEDULE_IN_YR1","FQ2 2022","FQ2 2022","Currency=USD","Period=FQ","BEST_FPERIOD_OVERRIDE=FQ","FILING_STATUS=MR","SCALING_FORMAT=MLN","Sort=A","Dates=H","DateFormat=P","Fill=—","Direction=H","UseDPDF=Y")</f>
        <v>—</v>
      </c>
      <c r="R101" s="13" t="str">
        <f>_xll.BDH("SRPT US Equity","ARDR_DEBT_SCHEDULE_IN_YR1","FQ3 2022","FQ3 2022","Currency=USD","Period=FQ","BEST_FPERIOD_OVERRIDE=FQ","FILING_STATUS=MR","SCALING_FORMAT=MLN","Sort=A","Dates=H","DateFormat=P","Fill=—","Direction=H","UseDPDF=Y")</f>
        <v>—</v>
      </c>
      <c r="S101" s="13">
        <f>_xll.BDH("SRPT US Equity","ARDR_DEBT_SCHEDULE_IN_YR1","FQ4 2022","FQ4 2022","Currency=USD","Period=FQ","BEST_FPERIOD_OVERRIDE=FQ","FILING_STATUS=MR","SCALING_FORMAT=MLN","Sort=A","Dates=H","DateFormat=P","Fill=—","Direction=H","UseDPDF=Y")</f>
        <v>0</v>
      </c>
      <c r="T101" s="13">
        <f>_xll.BDH("SRPT US Equity","ARDR_DEBT_SCHEDULE_IN_YR1","FQ1 2023","FQ1 2023","Currency=USD","Period=FQ","BEST_FPERIOD_OVERRIDE=FQ","FILING_STATUS=MR","SCALING_FORMAT=MLN","Sort=A","Dates=H","DateFormat=P","Fill=—","Direction=H","UseDPDF=Y")</f>
        <v>0</v>
      </c>
      <c r="U101" s="13">
        <f>_xll.BDH("SRPT US Equity","ARDR_DEBT_SCHEDULE_IN_YR1","FQ2 2023","FQ2 2023","Currency=USD","Period=FQ","BEST_FPERIOD_OVERRIDE=FQ","FILING_STATUS=MR","SCALING_FORMAT=MLN","Sort=A","Dates=H","DateFormat=P","Fill=—","Direction=H","UseDPDF=Y")</f>
        <v>0</v>
      </c>
      <c r="V101" s="13">
        <f>_xll.BDH("SRPT US Equity","ARDR_DEBT_SCHEDULE_IN_YR1","FQ3 2023","FQ3 2023","Currency=USD","Period=FQ","BEST_FPERIOD_OVERRIDE=FQ","FILING_STATUS=MR","SCALING_FORMAT=MLN","Sort=A","Dates=H","DateFormat=P","Fill=—","Direction=H","UseDPDF=Y")</f>
        <v>0.749</v>
      </c>
      <c r="W101" s="13">
        <f>_xll.BDH("SRPT US Equity","ARDR_DEBT_SCHEDULE_IN_YR1","FQ4 2023","FQ4 2023","Currency=USD","Period=FQ","BEST_FPERIOD_OVERRIDE=FQ","FILING_STATUS=MR","SCALING_FORMAT=MLN","Sort=A","Dates=H","DateFormat=P","Fill=—","Direction=H","UseDPDF=Y")</f>
        <v>121.81</v>
      </c>
      <c r="X101" s="13" t="str">
        <f>_xll.BDH("SRPT US Equity","ARDR_DEBT_SCHEDULE_IN_YR1","FQ1 2024","FQ1 2024","Currency=USD","Period=FQ","BEST_FPERIOD_OVERRIDE=FQ","FILING_STATUS=MR","SCALING_FORMAT=MLN","Sort=A","Dates=H","DateFormat=P","Fill=—","Direction=H","UseDPDF=Y")</f>
        <v>—</v>
      </c>
      <c r="Y101" s="13">
        <f>_xll.BDH("SRPT US Equity","ARDR_DEBT_SCHEDULE_IN_YR1","FQ2 2024","FQ2 2024","Currency=USD","Period=FQ","BEST_FPERIOD_OVERRIDE=FQ","FILING_STATUS=MR","SCALING_FORMAT=MLN","Sort=A","Dates=H","DateFormat=P","Fill=—","Direction=H","UseDPDF=Y")</f>
        <v>99.539000000000001</v>
      </c>
      <c r="Z101" s="13">
        <f>_xll.BDH("SRPT US Equity","ARDR_DEBT_SCHEDULE_IN_YR1","FQ3 2024","FQ3 2024","Currency=USD","Period=FQ","BEST_FPERIOD_OVERRIDE=FQ","FILING_STATUS=MR","SCALING_FORMAT=MLN","Sort=A","Dates=H","DateFormat=P","Fill=—","Direction=H","UseDPDF=Y")</f>
        <v>92.350999999999999</v>
      </c>
      <c r="AA101" s="13">
        <f>_xll.BDH("SRPT US Equity","ARDR_DEBT_SCHEDULE_IN_YR1","FQ4 2024","FQ4 2024","Currency=USD","Period=FQ","BEST_FPERIOD_OVERRIDE=FQ","FILING_STATUS=MR","SCALING_FORMAT=MLN","Sort=A","Dates=H","DateFormat=P","Fill=—","Direction=H","UseDPDF=Y")</f>
        <v>14.375</v>
      </c>
    </row>
    <row r="102" spans="1:27" x14ac:dyDescent="0.25">
      <c r="A102" s="10" t="s">
        <v>1003</v>
      </c>
      <c r="B102" s="10" t="s">
        <v>1004</v>
      </c>
      <c r="C102" s="13" t="str">
        <f>_xll.BDH("SRPT US Equity","ARDR_DEBT_SCHEDULE_IN_YR2","FQ4 2018","FQ4 2018","Currency=USD","Period=FQ","BEST_FPERIOD_OVERRIDE=FQ","FILING_STATUS=MR","SCALING_FORMAT=MLN","Sort=A","Dates=H","DateFormat=P","Fill=—","Direction=H","UseDPDF=Y")</f>
        <v>—</v>
      </c>
      <c r="D102" s="13" t="str">
        <f>_xll.BDH("SRPT US Equity","ARDR_DEBT_SCHEDULE_IN_YR2","FQ1 2019","FQ1 2019","Currency=USD","Period=FQ","BEST_FPERIOD_OVERRIDE=FQ","FILING_STATUS=MR","SCALING_FORMAT=MLN","Sort=A","Dates=H","DateFormat=P","Fill=—","Direction=H","UseDPDF=Y")</f>
        <v>—</v>
      </c>
      <c r="E102" s="13" t="str">
        <f>_xll.BDH("SRPT US Equity","ARDR_DEBT_SCHEDULE_IN_YR2","FQ2 2019","FQ2 2019","Currency=USD","Period=FQ","BEST_FPERIOD_OVERRIDE=FQ","FILING_STATUS=MR","SCALING_FORMAT=MLN","Sort=A","Dates=H","DateFormat=P","Fill=—","Direction=H","UseDPDF=Y")</f>
        <v>—</v>
      </c>
      <c r="F102" s="13" t="str">
        <f>_xll.BDH("SRPT US Equity","ARDR_DEBT_SCHEDULE_IN_YR2","FQ3 2019","FQ3 2019","Currency=USD","Period=FQ","BEST_FPERIOD_OVERRIDE=FQ","FILING_STATUS=MR","SCALING_FORMAT=MLN","Sort=A","Dates=H","DateFormat=P","Fill=—","Direction=H","UseDPDF=Y")</f>
        <v>—</v>
      </c>
      <c r="G102" s="13" t="str">
        <f>_xll.BDH("SRPT US Equity","ARDR_DEBT_SCHEDULE_IN_YR2","FQ4 2019","FQ4 2019","Currency=USD","Period=FQ","BEST_FPERIOD_OVERRIDE=FQ","FILING_STATUS=MR","SCALING_FORMAT=MLN","Sort=A","Dates=H","DateFormat=P","Fill=—","Direction=H","UseDPDF=Y")</f>
        <v>—</v>
      </c>
      <c r="H102" s="13" t="str">
        <f>_xll.BDH("SRPT US Equity","ARDR_DEBT_SCHEDULE_IN_YR2","FQ1 2020","FQ1 2020","Currency=USD","Period=FQ","BEST_FPERIOD_OVERRIDE=FQ","FILING_STATUS=MR","SCALING_FORMAT=MLN","Sort=A","Dates=H","DateFormat=P","Fill=—","Direction=H","UseDPDF=Y")</f>
        <v>—</v>
      </c>
      <c r="I102" s="13" t="str">
        <f>_xll.BDH("SRPT US Equity","ARDR_DEBT_SCHEDULE_IN_YR2","FQ2 2020","FQ2 2020","Currency=USD","Period=FQ","BEST_FPERIOD_OVERRIDE=FQ","FILING_STATUS=MR","SCALING_FORMAT=MLN","Sort=A","Dates=H","DateFormat=P","Fill=—","Direction=H","UseDPDF=Y")</f>
        <v>—</v>
      </c>
      <c r="J102" s="13" t="str">
        <f>_xll.BDH("SRPT US Equity","ARDR_DEBT_SCHEDULE_IN_YR2","FQ3 2020","FQ3 2020","Currency=USD","Period=FQ","BEST_FPERIOD_OVERRIDE=FQ","FILING_STATUS=MR","SCALING_FORMAT=MLN","Sort=A","Dates=H","DateFormat=P","Fill=—","Direction=H","UseDPDF=Y")</f>
        <v>—</v>
      </c>
      <c r="K102" s="13" t="str">
        <f>_xll.BDH("SRPT US Equity","ARDR_DEBT_SCHEDULE_IN_YR2","FQ4 2020","FQ4 2020","Currency=USD","Period=FQ","BEST_FPERIOD_OVERRIDE=FQ","FILING_STATUS=MR","SCALING_FORMAT=MLN","Sort=A","Dates=H","DateFormat=P","Fill=—","Direction=H","UseDPDF=Y")</f>
        <v>—</v>
      </c>
      <c r="L102" s="13" t="str">
        <f>_xll.BDH("SRPT US Equity","ARDR_DEBT_SCHEDULE_IN_YR2","FQ1 2021","FQ1 2021","Currency=USD","Period=FQ","BEST_FPERIOD_OVERRIDE=FQ","FILING_STATUS=MR","SCALING_FORMAT=MLN","Sort=A","Dates=H","DateFormat=P","Fill=—","Direction=H","UseDPDF=Y")</f>
        <v>—</v>
      </c>
      <c r="M102" s="13" t="str">
        <f>_xll.BDH("SRPT US Equity","ARDR_DEBT_SCHEDULE_IN_YR2","FQ2 2021","FQ2 2021","Currency=USD","Period=FQ","BEST_FPERIOD_OVERRIDE=FQ","FILING_STATUS=MR","SCALING_FORMAT=MLN","Sort=A","Dates=H","DateFormat=P","Fill=—","Direction=H","UseDPDF=Y")</f>
        <v>—</v>
      </c>
      <c r="N102" s="13" t="str">
        <f>_xll.BDH("SRPT US Equity","ARDR_DEBT_SCHEDULE_IN_YR2","FQ3 2021","FQ3 2021","Currency=USD","Period=FQ","BEST_FPERIOD_OVERRIDE=FQ","FILING_STATUS=MR","SCALING_FORMAT=MLN","Sort=A","Dates=H","DateFormat=P","Fill=—","Direction=H","UseDPDF=Y")</f>
        <v>—</v>
      </c>
      <c r="O102" s="13" t="str">
        <f>_xll.BDH("SRPT US Equity","ARDR_DEBT_SCHEDULE_IN_YR2","FQ4 2021","FQ4 2021","Currency=USD","Period=FQ","BEST_FPERIOD_OVERRIDE=FQ","FILING_STATUS=MR","SCALING_FORMAT=MLN","Sort=A","Dates=H","DateFormat=P","Fill=—","Direction=H","UseDPDF=Y")</f>
        <v>—</v>
      </c>
      <c r="P102" s="13" t="str">
        <f>_xll.BDH("SRPT US Equity","ARDR_DEBT_SCHEDULE_IN_YR2","FQ1 2022","FQ1 2022","Currency=USD","Period=FQ","BEST_FPERIOD_OVERRIDE=FQ","FILING_STATUS=MR","SCALING_FORMAT=MLN","Sort=A","Dates=H","DateFormat=P","Fill=—","Direction=H","UseDPDF=Y")</f>
        <v>—</v>
      </c>
      <c r="Q102" s="13" t="str">
        <f>_xll.BDH("SRPT US Equity","ARDR_DEBT_SCHEDULE_IN_YR2","FQ2 2022","FQ2 2022","Currency=USD","Period=FQ","BEST_FPERIOD_OVERRIDE=FQ","FILING_STATUS=MR","SCALING_FORMAT=MLN","Sort=A","Dates=H","DateFormat=P","Fill=—","Direction=H","UseDPDF=Y")</f>
        <v>—</v>
      </c>
      <c r="R102" s="13" t="str">
        <f>_xll.BDH("SRPT US Equity","ARDR_DEBT_SCHEDULE_IN_YR2","FQ3 2022","FQ3 2022","Currency=USD","Period=FQ","BEST_FPERIOD_OVERRIDE=FQ","FILING_STATUS=MR","SCALING_FORMAT=MLN","Sort=A","Dates=H","DateFormat=P","Fill=—","Direction=H","UseDPDF=Y")</f>
        <v>—</v>
      </c>
      <c r="S102" s="13">
        <f>_xll.BDH("SRPT US Equity","ARDR_DEBT_SCHEDULE_IN_YR2","FQ4 2022","FQ4 2022","Currency=USD","Period=FQ","BEST_FPERIOD_OVERRIDE=FQ","FILING_STATUS=MR","SCALING_FORMAT=MLN","Sort=A","Dates=H","DateFormat=P","Fill=—","Direction=H","UseDPDF=Y")</f>
        <v>419.37099999999998</v>
      </c>
      <c r="T102" s="13">
        <f>_xll.BDH("SRPT US Equity","ARDR_DEBT_SCHEDULE_IN_YR2","FQ1 2023","FQ1 2023","Currency=USD","Period=FQ","BEST_FPERIOD_OVERRIDE=FQ","FILING_STATUS=MR","SCALING_FORMAT=MLN","Sort=A","Dates=H","DateFormat=P","Fill=—","Direction=H","UseDPDF=Y")</f>
        <v>105.84699999999999</v>
      </c>
      <c r="U102" s="13">
        <f>_xll.BDH("SRPT US Equity","ARDR_DEBT_SCHEDULE_IN_YR2","FQ2 2023","FQ2 2023","Currency=USD","Period=FQ","BEST_FPERIOD_OVERRIDE=FQ","FILING_STATUS=MR","SCALING_FORMAT=MLN","Sort=A","Dates=H","DateFormat=P","Fill=—","Direction=H","UseDPDF=Y")</f>
        <v>105.84699999999999</v>
      </c>
      <c r="V102" s="13">
        <f>_xll.BDH("SRPT US Equity","ARDR_DEBT_SCHEDULE_IN_YR2","FQ3 2023","FQ3 2023","Currency=USD","Period=FQ","BEST_FPERIOD_OVERRIDE=FQ","FILING_STATUS=MR","SCALING_FORMAT=MLN","Sort=A","Dates=H","DateFormat=P","Fill=—","Direction=H","UseDPDF=Y")</f>
        <v>121.81</v>
      </c>
      <c r="W102" s="13">
        <f>_xll.BDH("SRPT US Equity","ARDR_DEBT_SCHEDULE_IN_YR2","FQ4 2023","FQ4 2023","Currency=USD","Period=FQ","BEST_FPERIOD_OVERRIDE=FQ","FILING_STATUS=MR","SCALING_FORMAT=MLN","Sort=A","Dates=H","DateFormat=P","Fill=—","Direction=H","UseDPDF=Y")</f>
        <v>14.375</v>
      </c>
      <c r="X102" s="13" t="str">
        <f>_xll.BDH("SRPT US Equity","ARDR_DEBT_SCHEDULE_IN_YR2","FQ1 2024","FQ1 2024","Currency=USD","Period=FQ","BEST_FPERIOD_OVERRIDE=FQ","FILING_STATUS=MR","SCALING_FORMAT=MLN","Sort=A","Dates=H","DateFormat=P","Fill=—","Direction=H","UseDPDF=Y")</f>
        <v>—</v>
      </c>
      <c r="Y102" s="13">
        <f>_xll.BDH("SRPT US Equity","ARDR_DEBT_SCHEDULE_IN_YR2","FQ2 2024","FQ2 2024","Currency=USD","Period=FQ","BEST_FPERIOD_OVERRIDE=FQ","FILING_STATUS=MR","SCALING_FORMAT=MLN","Sort=A","Dates=H","DateFormat=P","Fill=—","Direction=H","UseDPDF=Y")</f>
        <v>14.375</v>
      </c>
      <c r="Z102" s="13">
        <f>_xll.BDH("SRPT US Equity","ARDR_DEBT_SCHEDULE_IN_YR2","FQ3 2024","FQ3 2024","Currency=USD","Period=FQ","BEST_FPERIOD_OVERRIDE=FQ","FILING_STATUS=MR","SCALING_FORMAT=MLN","Sort=A","Dates=H","DateFormat=P","Fill=—","Direction=H","UseDPDF=Y")</f>
        <v>14.375</v>
      </c>
      <c r="AA102" s="13">
        <f>_xll.BDH("SRPT US Equity","ARDR_DEBT_SCHEDULE_IN_YR2","FQ4 2024","FQ4 2024","Currency=USD","Period=FQ","BEST_FPERIOD_OVERRIDE=FQ","FILING_STATUS=MR","SCALING_FORMAT=MLN","Sort=A","Dates=H","DateFormat=P","Fill=—","Direction=H","UseDPDF=Y")</f>
        <v>14.375</v>
      </c>
    </row>
    <row r="103" spans="1:27" x14ac:dyDescent="0.25">
      <c r="A103" s="10" t="s">
        <v>1005</v>
      </c>
      <c r="B103" s="10" t="s">
        <v>1006</v>
      </c>
      <c r="C103" s="13" t="str">
        <f>_xll.BDH("SRPT US Equity","ARDR_DEBT_SCHEDULE_IN_YR3","FQ4 2018","FQ4 2018","Currency=USD","Period=FQ","BEST_FPERIOD_OVERRIDE=FQ","FILING_STATUS=MR","SCALING_FORMAT=MLN","Sort=A","Dates=H","DateFormat=P","Fill=—","Direction=H","UseDPDF=Y")</f>
        <v>—</v>
      </c>
      <c r="D103" s="13" t="str">
        <f>_xll.BDH("SRPT US Equity","ARDR_DEBT_SCHEDULE_IN_YR3","FQ1 2019","FQ1 2019","Currency=USD","Period=FQ","BEST_FPERIOD_OVERRIDE=FQ","FILING_STATUS=MR","SCALING_FORMAT=MLN","Sort=A","Dates=H","DateFormat=P","Fill=—","Direction=H","UseDPDF=Y")</f>
        <v>—</v>
      </c>
      <c r="E103" s="13" t="str">
        <f>_xll.BDH("SRPT US Equity","ARDR_DEBT_SCHEDULE_IN_YR3","FQ2 2019","FQ2 2019","Currency=USD","Period=FQ","BEST_FPERIOD_OVERRIDE=FQ","FILING_STATUS=MR","SCALING_FORMAT=MLN","Sort=A","Dates=H","DateFormat=P","Fill=—","Direction=H","UseDPDF=Y")</f>
        <v>—</v>
      </c>
      <c r="F103" s="13" t="str">
        <f>_xll.BDH("SRPT US Equity","ARDR_DEBT_SCHEDULE_IN_YR3","FQ3 2019","FQ3 2019","Currency=USD","Period=FQ","BEST_FPERIOD_OVERRIDE=FQ","FILING_STATUS=MR","SCALING_FORMAT=MLN","Sort=A","Dates=H","DateFormat=P","Fill=—","Direction=H","UseDPDF=Y")</f>
        <v>—</v>
      </c>
      <c r="G103" s="13" t="str">
        <f>_xll.BDH("SRPT US Equity","ARDR_DEBT_SCHEDULE_IN_YR3","FQ4 2019","FQ4 2019","Currency=USD","Period=FQ","BEST_FPERIOD_OVERRIDE=FQ","FILING_STATUS=MR","SCALING_FORMAT=MLN","Sort=A","Dates=H","DateFormat=P","Fill=—","Direction=H","UseDPDF=Y")</f>
        <v>—</v>
      </c>
      <c r="H103" s="13" t="str">
        <f>_xll.BDH("SRPT US Equity","ARDR_DEBT_SCHEDULE_IN_YR3","FQ1 2020","FQ1 2020","Currency=USD","Period=FQ","BEST_FPERIOD_OVERRIDE=FQ","FILING_STATUS=MR","SCALING_FORMAT=MLN","Sort=A","Dates=H","DateFormat=P","Fill=—","Direction=H","UseDPDF=Y")</f>
        <v>—</v>
      </c>
      <c r="I103" s="13" t="str">
        <f>_xll.BDH("SRPT US Equity","ARDR_DEBT_SCHEDULE_IN_YR3","FQ2 2020","FQ2 2020","Currency=USD","Period=FQ","BEST_FPERIOD_OVERRIDE=FQ","FILING_STATUS=MR","SCALING_FORMAT=MLN","Sort=A","Dates=H","DateFormat=P","Fill=—","Direction=H","UseDPDF=Y")</f>
        <v>—</v>
      </c>
      <c r="J103" s="13" t="str">
        <f>_xll.BDH("SRPT US Equity","ARDR_DEBT_SCHEDULE_IN_YR3","FQ3 2020","FQ3 2020","Currency=USD","Period=FQ","BEST_FPERIOD_OVERRIDE=FQ","FILING_STATUS=MR","SCALING_FORMAT=MLN","Sort=A","Dates=H","DateFormat=P","Fill=—","Direction=H","UseDPDF=Y")</f>
        <v>—</v>
      </c>
      <c r="K103" s="13" t="str">
        <f>_xll.BDH("SRPT US Equity","ARDR_DEBT_SCHEDULE_IN_YR3","FQ4 2020","FQ4 2020","Currency=USD","Period=FQ","BEST_FPERIOD_OVERRIDE=FQ","FILING_STATUS=MR","SCALING_FORMAT=MLN","Sort=A","Dates=H","DateFormat=P","Fill=—","Direction=H","UseDPDF=Y")</f>
        <v>—</v>
      </c>
      <c r="L103" s="13" t="str">
        <f>_xll.BDH("SRPT US Equity","ARDR_DEBT_SCHEDULE_IN_YR3","FQ1 2021","FQ1 2021","Currency=USD","Period=FQ","BEST_FPERIOD_OVERRIDE=FQ","FILING_STATUS=MR","SCALING_FORMAT=MLN","Sort=A","Dates=H","DateFormat=P","Fill=—","Direction=H","UseDPDF=Y")</f>
        <v>—</v>
      </c>
      <c r="M103" s="13" t="str">
        <f>_xll.BDH("SRPT US Equity","ARDR_DEBT_SCHEDULE_IN_YR3","FQ2 2021","FQ2 2021","Currency=USD","Period=FQ","BEST_FPERIOD_OVERRIDE=FQ","FILING_STATUS=MR","SCALING_FORMAT=MLN","Sort=A","Dates=H","DateFormat=P","Fill=—","Direction=H","UseDPDF=Y")</f>
        <v>—</v>
      </c>
      <c r="N103" s="13" t="str">
        <f>_xll.BDH("SRPT US Equity","ARDR_DEBT_SCHEDULE_IN_YR3","FQ3 2021","FQ3 2021","Currency=USD","Period=FQ","BEST_FPERIOD_OVERRIDE=FQ","FILING_STATUS=MR","SCALING_FORMAT=MLN","Sort=A","Dates=H","DateFormat=P","Fill=—","Direction=H","UseDPDF=Y")</f>
        <v>—</v>
      </c>
      <c r="O103" s="13" t="str">
        <f>_xll.BDH("SRPT US Equity","ARDR_DEBT_SCHEDULE_IN_YR3","FQ4 2021","FQ4 2021","Currency=USD","Period=FQ","BEST_FPERIOD_OVERRIDE=FQ","FILING_STATUS=MR","SCALING_FORMAT=MLN","Sort=A","Dates=H","DateFormat=P","Fill=—","Direction=H","UseDPDF=Y")</f>
        <v>—</v>
      </c>
      <c r="P103" s="13" t="str">
        <f>_xll.BDH("SRPT US Equity","ARDR_DEBT_SCHEDULE_IN_YR3","FQ1 2022","FQ1 2022","Currency=USD","Period=FQ","BEST_FPERIOD_OVERRIDE=FQ","FILING_STATUS=MR","SCALING_FORMAT=MLN","Sort=A","Dates=H","DateFormat=P","Fill=—","Direction=H","UseDPDF=Y")</f>
        <v>—</v>
      </c>
      <c r="Q103" s="13" t="str">
        <f>_xll.BDH("SRPT US Equity","ARDR_DEBT_SCHEDULE_IN_YR3","FQ2 2022","FQ2 2022","Currency=USD","Period=FQ","BEST_FPERIOD_OVERRIDE=FQ","FILING_STATUS=MR","SCALING_FORMAT=MLN","Sort=A","Dates=H","DateFormat=P","Fill=—","Direction=H","UseDPDF=Y")</f>
        <v>—</v>
      </c>
      <c r="R103" s="13" t="str">
        <f>_xll.BDH("SRPT US Equity","ARDR_DEBT_SCHEDULE_IN_YR3","FQ3 2022","FQ3 2022","Currency=USD","Period=FQ","BEST_FPERIOD_OVERRIDE=FQ","FILING_STATUS=MR","SCALING_FORMAT=MLN","Sort=A","Dates=H","DateFormat=P","Fill=—","Direction=H","UseDPDF=Y")</f>
        <v>—</v>
      </c>
      <c r="S103" s="13">
        <f>_xll.BDH("SRPT US Equity","ARDR_DEBT_SCHEDULE_IN_YR3","FQ4 2022","FQ4 2022","Currency=USD","Period=FQ","BEST_FPERIOD_OVERRIDE=FQ","FILING_STATUS=MR","SCALING_FORMAT=MLN","Sort=A","Dates=H","DateFormat=P","Fill=—","Direction=H","UseDPDF=Y")</f>
        <v>0</v>
      </c>
      <c r="T103" s="13">
        <f>_xll.BDH("SRPT US Equity","ARDR_DEBT_SCHEDULE_IN_YR3","FQ1 2023","FQ1 2023","Currency=USD","Period=FQ","BEST_FPERIOD_OVERRIDE=FQ","FILING_STATUS=MR","SCALING_FORMAT=MLN","Sort=A","Dates=H","DateFormat=P","Fill=—","Direction=H","UseDPDF=Y")</f>
        <v>0</v>
      </c>
      <c r="U103" s="13">
        <f>_xll.BDH("SRPT US Equity","ARDR_DEBT_SCHEDULE_IN_YR3","FQ2 2023","FQ2 2023","Currency=USD","Period=FQ","BEST_FPERIOD_OVERRIDE=FQ","FILING_STATUS=MR","SCALING_FORMAT=MLN","Sort=A","Dates=H","DateFormat=P","Fill=—","Direction=H","UseDPDF=Y")</f>
        <v>0</v>
      </c>
      <c r="V103" s="13">
        <f>_xll.BDH("SRPT US Equity","ARDR_DEBT_SCHEDULE_IN_YR3","FQ3 2023","FQ3 2023","Currency=USD","Period=FQ","BEST_FPERIOD_OVERRIDE=FQ","FILING_STATUS=MR","SCALING_FORMAT=MLN","Sort=A","Dates=H","DateFormat=P","Fill=—","Direction=H","UseDPDF=Y")</f>
        <v>14.375</v>
      </c>
      <c r="W103" s="13">
        <f>_xll.BDH("SRPT US Equity","ARDR_DEBT_SCHEDULE_IN_YR3","FQ4 2023","FQ4 2023","Currency=USD","Period=FQ","BEST_FPERIOD_OVERRIDE=FQ","FILING_STATUS=MR","SCALING_FORMAT=MLN","Sort=A","Dates=H","DateFormat=P","Fill=—","Direction=H","UseDPDF=Y")</f>
        <v>14.375</v>
      </c>
      <c r="X103" s="13" t="str">
        <f>_xll.BDH("SRPT US Equity","ARDR_DEBT_SCHEDULE_IN_YR3","FQ1 2024","FQ1 2024","Currency=USD","Period=FQ","BEST_FPERIOD_OVERRIDE=FQ","FILING_STATUS=MR","SCALING_FORMAT=MLN","Sort=A","Dates=H","DateFormat=P","Fill=—","Direction=H","UseDPDF=Y")</f>
        <v>—</v>
      </c>
      <c r="Y103" s="13">
        <f>_xll.BDH("SRPT US Equity","ARDR_DEBT_SCHEDULE_IN_YR3","FQ2 2024","FQ2 2024","Currency=USD","Period=FQ","BEST_FPERIOD_OVERRIDE=FQ","FILING_STATUS=MR","SCALING_FORMAT=MLN","Sort=A","Dates=H","DateFormat=P","Fill=—","Direction=H","UseDPDF=Y")</f>
        <v>14.375</v>
      </c>
      <c r="Z103" s="13">
        <f>_xll.BDH("SRPT US Equity","ARDR_DEBT_SCHEDULE_IN_YR3","FQ3 2024","FQ3 2024","Currency=USD","Period=FQ","BEST_FPERIOD_OVERRIDE=FQ","FILING_STATUS=MR","SCALING_FORMAT=MLN","Sort=A","Dates=H","DateFormat=P","Fill=—","Direction=H","UseDPDF=Y")</f>
        <v>14.375</v>
      </c>
      <c r="AA103" s="13">
        <f>_xll.BDH("SRPT US Equity","ARDR_DEBT_SCHEDULE_IN_YR3","FQ4 2024","FQ4 2024","Currency=USD","Period=FQ","BEST_FPERIOD_OVERRIDE=FQ","FILING_STATUS=MR","SCALING_FORMAT=MLN","Sort=A","Dates=H","DateFormat=P","Fill=—","Direction=H","UseDPDF=Y")</f>
        <v>1164.375</v>
      </c>
    </row>
    <row r="104" spans="1:27" x14ac:dyDescent="0.25">
      <c r="A104" s="10" t="s">
        <v>1007</v>
      </c>
      <c r="B104" s="10" t="s">
        <v>1008</v>
      </c>
      <c r="C104" s="13" t="str">
        <f>_xll.BDH("SRPT US Equity","ARDR_DEBT_SCHEDULE_IN_YR4","FQ4 2018","FQ4 2018","Currency=USD","Period=FQ","BEST_FPERIOD_OVERRIDE=FQ","FILING_STATUS=MR","SCALING_FORMAT=MLN","Sort=A","Dates=H","DateFormat=P","Fill=—","Direction=H","UseDPDF=Y")</f>
        <v>—</v>
      </c>
      <c r="D104" s="13" t="str">
        <f>_xll.BDH("SRPT US Equity","ARDR_DEBT_SCHEDULE_IN_YR4","FQ1 2019","FQ1 2019","Currency=USD","Period=FQ","BEST_FPERIOD_OVERRIDE=FQ","FILING_STATUS=MR","SCALING_FORMAT=MLN","Sort=A","Dates=H","DateFormat=P","Fill=—","Direction=H","UseDPDF=Y")</f>
        <v>—</v>
      </c>
      <c r="E104" s="13" t="str">
        <f>_xll.BDH("SRPT US Equity","ARDR_DEBT_SCHEDULE_IN_YR4","FQ2 2019","FQ2 2019","Currency=USD","Period=FQ","BEST_FPERIOD_OVERRIDE=FQ","FILING_STATUS=MR","SCALING_FORMAT=MLN","Sort=A","Dates=H","DateFormat=P","Fill=—","Direction=H","UseDPDF=Y")</f>
        <v>—</v>
      </c>
      <c r="F104" s="13" t="str">
        <f>_xll.BDH("SRPT US Equity","ARDR_DEBT_SCHEDULE_IN_YR4","FQ3 2019","FQ3 2019","Currency=USD","Period=FQ","BEST_FPERIOD_OVERRIDE=FQ","FILING_STATUS=MR","SCALING_FORMAT=MLN","Sort=A","Dates=H","DateFormat=P","Fill=—","Direction=H","UseDPDF=Y")</f>
        <v>—</v>
      </c>
      <c r="G104" s="13" t="str">
        <f>_xll.BDH("SRPT US Equity","ARDR_DEBT_SCHEDULE_IN_YR4","FQ4 2019","FQ4 2019","Currency=USD","Period=FQ","BEST_FPERIOD_OVERRIDE=FQ","FILING_STATUS=MR","SCALING_FORMAT=MLN","Sort=A","Dates=H","DateFormat=P","Fill=—","Direction=H","UseDPDF=Y")</f>
        <v>—</v>
      </c>
      <c r="H104" s="13" t="str">
        <f>_xll.BDH("SRPT US Equity","ARDR_DEBT_SCHEDULE_IN_YR4","FQ1 2020","FQ1 2020","Currency=USD","Period=FQ","BEST_FPERIOD_OVERRIDE=FQ","FILING_STATUS=MR","SCALING_FORMAT=MLN","Sort=A","Dates=H","DateFormat=P","Fill=—","Direction=H","UseDPDF=Y")</f>
        <v>—</v>
      </c>
      <c r="I104" s="13" t="str">
        <f>_xll.BDH("SRPT US Equity","ARDR_DEBT_SCHEDULE_IN_YR4","FQ2 2020","FQ2 2020","Currency=USD","Period=FQ","BEST_FPERIOD_OVERRIDE=FQ","FILING_STATUS=MR","SCALING_FORMAT=MLN","Sort=A","Dates=H","DateFormat=P","Fill=—","Direction=H","UseDPDF=Y")</f>
        <v>—</v>
      </c>
      <c r="J104" s="13" t="str">
        <f>_xll.BDH("SRPT US Equity","ARDR_DEBT_SCHEDULE_IN_YR4","FQ3 2020","FQ3 2020","Currency=USD","Period=FQ","BEST_FPERIOD_OVERRIDE=FQ","FILING_STATUS=MR","SCALING_FORMAT=MLN","Sort=A","Dates=H","DateFormat=P","Fill=—","Direction=H","UseDPDF=Y")</f>
        <v>—</v>
      </c>
      <c r="K104" s="13" t="str">
        <f>_xll.BDH("SRPT US Equity","ARDR_DEBT_SCHEDULE_IN_YR4","FQ4 2020","FQ4 2020","Currency=USD","Period=FQ","BEST_FPERIOD_OVERRIDE=FQ","FILING_STATUS=MR","SCALING_FORMAT=MLN","Sort=A","Dates=H","DateFormat=P","Fill=—","Direction=H","UseDPDF=Y")</f>
        <v>—</v>
      </c>
      <c r="L104" s="13" t="str">
        <f>_xll.BDH("SRPT US Equity","ARDR_DEBT_SCHEDULE_IN_YR4","FQ1 2021","FQ1 2021","Currency=USD","Period=FQ","BEST_FPERIOD_OVERRIDE=FQ","FILING_STATUS=MR","SCALING_FORMAT=MLN","Sort=A","Dates=H","DateFormat=P","Fill=—","Direction=H","UseDPDF=Y")</f>
        <v>—</v>
      </c>
      <c r="M104" s="13" t="str">
        <f>_xll.BDH("SRPT US Equity","ARDR_DEBT_SCHEDULE_IN_YR4","FQ2 2021","FQ2 2021","Currency=USD","Period=FQ","BEST_FPERIOD_OVERRIDE=FQ","FILING_STATUS=MR","SCALING_FORMAT=MLN","Sort=A","Dates=H","DateFormat=P","Fill=—","Direction=H","UseDPDF=Y")</f>
        <v>—</v>
      </c>
      <c r="N104" s="13" t="str">
        <f>_xll.BDH("SRPT US Equity","ARDR_DEBT_SCHEDULE_IN_YR4","FQ3 2021","FQ3 2021","Currency=USD","Period=FQ","BEST_FPERIOD_OVERRIDE=FQ","FILING_STATUS=MR","SCALING_FORMAT=MLN","Sort=A","Dates=H","DateFormat=P","Fill=—","Direction=H","UseDPDF=Y")</f>
        <v>—</v>
      </c>
      <c r="O104" s="13" t="str">
        <f>_xll.BDH("SRPT US Equity","ARDR_DEBT_SCHEDULE_IN_YR4","FQ4 2021","FQ4 2021","Currency=USD","Period=FQ","BEST_FPERIOD_OVERRIDE=FQ","FILING_STATUS=MR","SCALING_FORMAT=MLN","Sort=A","Dates=H","DateFormat=P","Fill=—","Direction=H","UseDPDF=Y")</f>
        <v>—</v>
      </c>
      <c r="P104" s="13" t="str">
        <f>_xll.BDH("SRPT US Equity","ARDR_DEBT_SCHEDULE_IN_YR4","FQ1 2022","FQ1 2022","Currency=USD","Period=FQ","BEST_FPERIOD_OVERRIDE=FQ","FILING_STATUS=MR","SCALING_FORMAT=MLN","Sort=A","Dates=H","DateFormat=P","Fill=—","Direction=H","UseDPDF=Y")</f>
        <v>—</v>
      </c>
      <c r="Q104" s="13" t="str">
        <f>_xll.BDH("SRPT US Equity","ARDR_DEBT_SCHEDULE_IN_YR4","FQ2 2022","FQ2 2022","Currency=USD","Period=FQ","BEST_FPERIOD_OVERRIDE=FQ","FILING_STATUS=MR","SCALING_FORMAT=MLN","Sort=A","Dates=H","DateFormat=P","Fill=—","Direction=H","UseDPDF=Y")</f>
        <v>—</v>
      </c>
      <c r="R104" s="13" t="str">
        <f>_xll.BDH("SRPT US Equity","ARDR_DEBT_SCHEDULE_IN_YR4","FQ3 2022","FQ3 2022","Currency=USD","Period=FQ","BEST_FPERIOD_OVERRIDE=FQ","FILING_STATUS=MR","SCALING_FORMAT=MLN","Sort=A","Dates=H","DateFormat=P","Fill=—","Direction=H","UseDPDF=Y")</f>
        <v>—</v>
      </c>
      <c r="S104" s="13">
        <f>_xll.BDH("SRPT US Equity","ARDR_DEBT_SCHEDULE_IN_YR4","FQ4 2022","FQ4 2022","Currency=USD","Period=FQ","BEST_FPERIOD_OVERRIDE=FQ","FILING_STATUS=MR","SCALING_FORMAT=MLN","Sort=A","Dates=H","DateFormat=P","Fill=—","Direction=H","UseDPDF=Y")</f>
        <v>0</v>
      </c>
      <c r="T104" s="13">
        <f>_xll.BDH("SRPT US Equity","ARDR_DEBT_SCHEDULE_IN_YR4","FQ1 2023","FQ1 2023","Currency=USD","Period=FQ","BEST_FPERIOD_OVERRIDE=FQ","FILING_STATUS=MR","SCALING_FORMAT=MLN","Sort=A","Dates=H","DateFormat=P","Fill=—","Direction=H","UseDPDF=Y")</f>
        <v>0</v>
      </c>
      <c r="U104" s="13">
        <f>_xll.BDH("SRPT US Equity","ARDR_DEBT_SCHEDULE_IN_YR4","FQ2 2023","FQ2 2023","Currency=USD","Period=FQ","BEST_FPERIOD_OVERRIDE=FQ","FILING_STATUS=MR","SCALING_FORMAT=MLN","Sort=A","Dates=H","DateFormat=P","Fill=—","Direction=H","UseDPDF=Y")</f>
        <v>0</v>
      </c>
      <c r="V104" s="13">
        <f>_xll.BDH("SRPT US Equity","ARDR_DEBT_SCHEDULE_IN_YR4","FQ3 2023","FQ3 2023","Currency=USD","Period=FQ","BEST_FPERIOD_OVERRIDE=FQ","FILING_STATUS=MR","SCALING_FORMAT=MLN","Sort=A","Dates=H","DateFormat=P","Fill=—","Direction=H","UseDPDF=Y")</f>
        <v>14.375</v>
      </c>
      <c r="W104" s="13">
        <f>_xll.BDH("SRPT US Equity","ARDR_DEBT_SCHEDULE_IN_YR4","FQ4 2023","FQ4 2023","Currency=USD","Period=FQ","BEST_FPERIOD_OVERRIDE=FQ","FILING_STATUS=MR","SCALING_FORMAT=MLN","Sort=A","Dates=H","DateFormat=P","Fill=—","Direction=H","UseDPDF=Y")</f>
        <v>1164.375</v>
      </c>
      <c r="X104" s="13" t="str">
        <f>_xll.BDH("SRPT US Equity","ARDR_DEBT_SCHEDULE_IN_YR4","FQ1 2024","FQ1 2024","Currency=USD","Period=FQ","BEST_FPERIOD_OVERRIDE=FQ","FILING_STATUS=MR","SCALING_FORMAT=MLN","Sort=A","Dates=H","DateFormat=P","Fill=—","Direction=H","UseDPDF=Y")</f>
        <v>—</v>
      </c>
      <c r="Y104" s="13">
        <f>_xll.BDH("SRPT US Equity","ARDR_DEBT_SCHEDULE_IN_YR4","FQ2 2024","FQ2 2024","Currency=USD","Period=FQ","BEST_FPERIOD_OVERRIDE=FQ","FILING_STATUS=MR","SCALING_FORMAT=MLN","Sort=A","Dates=H","DateFormat=P","Fill=—","Direction=H","UseDPDF=Y")</f>
        <v>1164.375</v>
      </c>
      <c r="Z104" s="13">
        <f>_xll.BDH("SRPT US Equity","ARDR_DEBT_SCHEDULE_IN_YR4","FQ3 2024","FQ3 2024","Currency=USD","Period=FQ","BEST_FPERIOD_OVERRIDE=FQ","FILING_STATUS=MR","SCALING_FORMAT=MLN","Sort=A","Dates=H","DateFormat=P","Fill=—","Direction=H","UseDPDF=Y")</f>
        <v>1164.375</v>
      </c>
      <c r="AA104" s="13" t="str">
        <f>_xll.BDH("SRPT US Equity","ARDR_DEBT_SCHEDULE_IN_YR4","FQ4 2024","FQ4 2024","Currency=USD","Period=FQ","BEST_FPERIOD_OVERRIDE=FQ","FILING_STATUS=MR","SCALING_FORMAT=MLN","Sort=A","Dates=H","DateFormat=P","Fill=—","Direction=H","UseDPDF=Y")</f>
        <v>—</v>
      </c>
    </row>
    <row r="105" spans="1:27" x14ac:dyDescent="0.25">
      <c r="A105" s="10" t="s">
        <v>1009</v>
      </c>
      <c r="B105" s="10" t="s">
        <v>1010</v>
      </c>
      <c r="C105" s="13" t="str">
        <f>_xll.BDH("SRPT US Equity","ARDR_DEBT_SCHEDULE_IN_YR5","FQ4 2018","FQ4 2018","Currency=USD","Period=FQ","BEST_FPERIOD_OVERRIDE=FQ","FILING_STATUS=MR","SCALING_FORMAT=MLN","Sort=A","Dates=H","DateFormat=P","Fill=—","Direction=H","UseDPDF=Y")</f>
        <v>—</v>
      </c>
      <c r="D105" s="13" t="str">
        <f>_xll.BDH("SRPT US Equity","ARDR_DEBT_SCHEDULE_IN_YR5","FQ1 2019","FQ1 2019","Currency=USD","Period=FQ","BEST_FPERIOD_OVERRIDE=FQ","FILING_STATUS=MR","SCALING_FORMAT=MLN","Sort=A","Dates=H","DateFormat=P","Fill=—","Direction=H","UseDPDF=Y")</f>
        <v>—</v>
      </c>
      <c r="E105" s="13" t="str">
        <f>_xll.BDH("SRPT US Equity","ARDR_DEBT_SCHEDULE_IN_YR5","FQ2 2019","FQ2 2019","Currency=USD","Period=FQ","BEST_FPERIOD_OVERRIDE=FQ","FILING_STATUS=MR","SCALING_FORMAT=MLN","Sort=A","Dates=H","DateFormat=P","Fill=—","Direction=H","UseDPDF=Y")</f>
        <v>—</v>
      </c>
      <c r="F105" s="13" t="str">
        <f>_xll.BDH("SRPT US Equity","ARDR_DEBT_SCHEDULE_IN_YR5","FQ3 2019","FQ3 2019","Currency=USD","Period=FQ","BEST_FPERIOD_OVERRIDE=FQ","FILING_STATUS=MR","SCALING_FORMAT=MLN","Sort=A","Dates=H","DateFormat=P","Fill=—","Direction=H","UseDPDF=Y")</f>
        <v>—</v>
      </c>
      <c r="G105" s="13" t="str">
        <f>_xll.BDH("SRPT US Equity","ARDR_DEBT_SCHEDULE_IN_YR5","FQ4 2019","FQ4 2019","Currency=USD","Period=FQ","BEST_FPERIOD_OVERRIDE=FQ","FILING_STATUS=MR","SCALING_FORMAT=MLN","Sort=A","Dates=H","DateFormat=P","Fill=—","Direction=H","UseDPDF=Y")</f>
        <v>—</v>
      </c>
      <c r="H105" s="13" t="str">
        <f>_xll.BDH("SRPT US Equity","ARDR_DEBT_SCHEDULE_IN_YR5","FQ1 2020","FQ1 2020","Currency=USD","Period=FQ","BEST_FPERIOD_OVERRIDE=FQ","FILING_STATUS=MR","SCALING_FORMAT=MLN","Sort=A","Dates=H","DateFormat=P","Fill=—","Direction=H","UseDPDF=Y")</f>
        <v>—</v>
      </c>
      <c r="I105" s="13" t="str">
        <f>_xll.BDH("SRPT US Equity","ARDR_DEBT_SCHEDULE_IN_YR5","FQ2 2020","FQ2 2020","Currency=USD","Period=FQ","BEST_FPERIOD_OVERRIDE=FQ","FILING_STATUS=MR","SCALING_FORMAT=MLN","Sort=A","Dates=H","DateFormat=P","Fill=—","Direction=H","UseDPDF=Y")</f>
        <v>—</v>
      </c>
      <c r="J105" s="13" t="str">
        <f>_xll.BDH("SRPT US Equity","ARDR_DEBT_SCHEDULE_IN_YR5","FQ3 2020","FQ3 2020","Currency=USD","Period=FQ","BEST_FPERIOD_OVERRIDE=FQ","FILING_STATUS=MR","SCALING_FORMAT=MLN","Sort=A","Dates=H","DateFormat=P","Fill=—","Direction=H","UseDPDF=Y")</f>
        <v>—</v>
      </c>
      <c r="K105" s="13" t="str">
        <f>_xll.BDH("SRPT US Equity","ARDR_DEBT_SCHEDULE_IN_YR5","FQ4 2020","FQ4 2020","Currency=USD","Period=FQ","BEST_FPERIOD_OVERRIDE=FQ","FILING_STATUS=MR","SCALING_FORMAT=MLN","Sort=A","Dates=H","DateFormat=P","Fill=—","Direction=H","UseDPDF=Y")</f>
        <v>—</v>
      </c>
      <c r="L105" s="13" t="str">
        <f>_xll.BDH("SRPT US Equity","ARDR_DEBT_SCHEDULE_IN_YR5","FQ1 2021","FQ1 2021","Currency=USD","Period=FQ","BEST_FPERIOD_OVERRIDE=FQ","FILING_STATUS=MR","SCALING_FORMAT=MLN","Sort=A","Dates=H","DateFormat=P","Fill=—","Direction=H","UseDPDF=Y")</f>
        <v>—</v>
      </c>
      <c r="M105" s="13" t="str">
        <f>_xll.BDH("SRPT US Equity","ARDR_DEBT_SCHEDULE_IN_YR5","FQ2 2021","FQ2 2021","Currency=USD","Period=FQ","BEST_FPERIOD_OVERRIDE=FQ","FILING_STATUS=MR","SCALING_FORMAT=MLN","Sort=A","Dates=H","DateFormat=P","Fill=—","Direction=H","UseDPDF=Y")</f>
        <v>—</v>
      </c>
      <c r="N105" s="13" t="str">
        <f>_xll.BDH("SRPT US Equity","ARDR_DEBT_SCHEDULE_IN_YR5","FQ3 2021","FQ3 2021","Currency=USD","Period=FQ","BEST_FPERIOD_OVERRIDE=FQ","FILING_STATUS=MR","SCALING_FORMAT=MLN","Sort=A","Dates=H","DateFormat=P","Fill=—","Direction=H","UseDPDF=Y")</f>
        <v>—</v>
      </c>
      <c r="O105" s="13" t="str">
        <f>_xll.BDH("SRPT US Equity","ARDR_DEBT_SCHEDULE_IN_YR5","FQ4 2021","FQ4 2021","Currency=USD","Period=FQ","BEST_FPERIOD_OVERRIDE=FQ","FILING_STATUS=MR","SCALING_FORMAT=MLN","Sort=A","Dates=H","DateFormat=P","Fill=—","Direction=H","UseDPDF=Y")</f>
        <v>—</v>
      </c>
      <c r="P105" s="13" t="str">
        <f>_xll.BDH("SRPT US Equity","ARDR_DEBT_SCHEDULE_IN_YR5","FQ1 2022","FQ1 2022","Currency=USD","Period=FQ","BEST_FPERIOD_OVERRIDE=FQ","FILING_STATUS=MR","SCALING_FORMAT=MLN","Sort=A","Dates=H","DateFormat=P","Fill=—","Direction=H","UseDPDF=Y")</f>
        <v>—</v>
      </c>
      <c r="Q105" s="13" t="str">
        <f>_xll.BDH("SRPT US Equity","ARDR_DEBT_SCHEDULE_IN_YR5","FQ2 2022","FQ2 2022","Currency=USD","Period=FQ","BEST_FPERIOD_OVERRIDE=FQ","FILING_STATUS=MR","SCALING_FORMAT=MLN","Sort=A","Dates=H","DateFormat=P","Fill=—","Direction=H","UseDPDF=Y")</f>
        <v>—</v>
      </c>
      <c r="R105" s="13" t="str">
        <f>_xll.BDH("SRPT US Equity","ARDR_DEBT_SCHEDULE_IN_YR5","FQ3 2022","FQ3 2022","Currency=USD","Period=FQ","BEST_FPERIOD_OVERRIDE=FQ","FILING_STATUS=MR","SCALING_FORMAT=MLN","Sort=A","Dates=H","DateFormat=P","Fill=—","Direction=H","UseDPDF=Y")</f>
        <v>—</v>
      </c>
      <c r="S105" s="13">
        <f>_xll.BDH("SRPT US Equity","ARDR_DEBT_SCHEDULE_IN_YR5","FQ4 2022","FQ4 2022","Currency=USD","Period=FQ","BEST_FPERIOD_OVERRIDE=FQ","FILING_STATUS=MR","SCALING_FORMAT=MLN","Sort=A","Dates=H","DateFormat=P","Fill=—","Direction=H","UseDPDF=Y")</f>
        <v>1150</v>
      </c>
      <c r="T105" s="13">
        <f>_xll.BDH("SRPT US Equity","ARDR_DEBT_SCHEDULE_IN_YR5","FQ1 2023","FQ1 2023","Currency=USD","Period=FQ","BEST_FPERIOD_OVERRIDE=FQ","FILING_STATUS=MR","SCALING_FORMAT=MLN","Sort=A","Dates=H","DateFormat=P","Fill=—","Direction=H","UseDPDF=Y")</f>
        <v>1150</v>
      </c>
      <c r="U105" s="13">
        <f>_xll.BDH("SRPT US Equity","ARDR_DEBT_SCHEDULE_IN_YR5","FQ2 2023","FQ2 2023","Currency=USD","Period=FQ","BEST_FPERIOD_OVERRIDE=FQ","FILING_STATUS=MR","SCALING_FORMAT=MLN","Sort=A","Dates=H","DateFormat=P","Fill=—","Direction=H","UseDPDF=Y")</f>
        <v>1150</v>
      </c>
      <c r="V105" s="13">
        <f>_xll.BDH("SRPT US Equity","ARDR_DEBT_SCHEDULE_IN_YR5","FQ3 2023","FQ3 2023","Currency=USD","Period=FQ","BEST_FPERIOD_OVERRIDE=FQ","FILING_STATUS=MR","SCALING_FORMAT=MLN","Sort=A","Dates=H","DateFormat=P","Fill=—","Direction=H","UseDPDF=Y")</f>
        <v>1164.375</v>
      </c>
      <c r="W105" s="13">
        <f>_xll.BDH("SRPT US Equity","ARDR_DEBT_SCHEDULE_IN_YR5","FQ4 2023","FQ4 2023","Currency=USD","Period=FQ","BEST_FPERIOD_OVERRIDE=FQ","FILING_STATUS=MR","SCALING_FORMAT=MLN","Sort=A","Dates=H","DateFormat=P","Fill=—","Direction=H","UseDPDF=Y")</f>
        <v>0</v>
      </c>
      <c r="X105" s="13" t="str">
        <f>_xll.BDH("SRPT US Equity","ARDR_DEBT_SCHEDULE_IN_YR5","FQ1 2024","FQ1 2024","Currency=USD","Period=FQ","BEST_FPERIOD_OVERRIDE=FQ","FILING_STATUS=MR","SCALING_FORMAT=MLN","Sort=A","Dates=H","DateFormat=P","Fill=—","Direction=H","UseDPDF=Y")</f>
        <v>—</v>
      </c>
      <c r="Y105" s="13" t="str">
        <f>_xll.BDH("SRPT US Equity","ARDR_DEBT_SCHEDULE_IN_YR5","FQ2 2024","FQ2 2024","Currency=USD","Period=FQ","BEST_FPERIOD_OVERRIDE=FQ","FILING_STATUS=MR","SCALING_FORMAT=MLN","Sort=A","Dates=H","DateFormat=P","Fill=—","Direction=H","UseDPDF=Y")</f>
        <v>—</v>
      </c>
      <c r="Z105" s="13" t="str">
        <f>_xll.BDH("SRPT US Equity","ARDR_DEBT_SCHEDULE_IN_YR5","FQ3 2024","FQ3 2024","Currency=USD","Period=FQ","BEST_FPERIOD_OVERRIDE=FQ","FILING_STATUS=MR","SCALING_FORMAT=MLN","Sort=A","Dates=H","DateFormat=P","Fill=—","Direction=H","UseDPDF=Y")</f>
        <v>—</v>
      </c>
      <c r="AA105" s="13" t="str">
        <f>_xll.BDH("SRPT US Equity","ARDR_DEBT_SCHEDULE_IN_YR5","FQ4 2024","FQ4 2024","Currency=USD","Period=FQ","BEST_FPERIOD_OVERRIDE=FQ","FILING_STATUS=MR","SCALING_FORMAT=MLN","Sort=A","Dates=H","DateFormat=P","Fill=—","Direction=H","UseDPDF=Y")</f>
        <v>—</v>
      </c>
    </row>
    <row r="106" spans="1:27" x14ac:dyDescent="0.25">
      <c r="A106" s="10" t="s">
        <v>1011</v>
      </c>
      <c r="B106" s="10" t="s">
        <v>1012</v>
      </c>
      <c r="C106" s="13" t="str">
        <f>_xll.BDH("SRPT US Equity","ARDR_DEBT_SCHEDULE_THEREAFTER","FQ4 2018","FQ4 2018","Currency=USD","Period=FQ","BEST_FPERIOD_OVERRIDE=FQ","FILING_STATUS=MR","SCALING_FORMAT=MLN","Sort=A","Dates=H","DateFormat=P","Fill=—","Direction=H","UseDPDF=Y")</f>
        <v>—</v>
      </c>
      <c r="D106" s="13" t="str">
        <f>_xll.BDH("SRPT US Equity","ARDR_DEBT_SCHEDULE_THEREAFTER","FQ1 2019","FQ1 2019","Currency=USD","Period=FQ","BEST_FPERIOD_OVERRIDE=FQ","FILING_STATUS=MR","SCALING_FORMAT=MLN","Sort=A","Dates=H","DateFormat=P","Fill=—","Direction=H","UseDPDF=Y")</f>
        <v>—</v>
      </c>
      <c r="E106" s="13" t="str">
        <f>_xll.BDH("SRPT US Equity","ARDR_DEBT_SCHEDULE_THEREAFTER","FQ2 2019","FQ2 2019","Currency=USD","Period=FQ","BEST_FPERIOD_OVERRIDE=FQ","FILING_STATUS=MR","SCALING_FORMAT=MLN","Sort=A","Dates=H","DateFormat=P","Fill=—","Direction=H","UseDPDF=Y")</f>
        <v>—</v>
      </c>
      <c r="F106" s="13">
        <f>_xll.BDH("SRPT US Equity","ARDR_DEBT_SCHEDULE_THEREAFTER","FQ3 2019","FQ3 2019","Currency=USD","Period=FQ","BEST_FPERIOD_OVERRIDE=FQ","FILING_STATUS=MR","SCALING_FORMAT=MLN","Sort=A","Dates=H","DateFormat=P","Fill=—","Direction=H","UseDPDF=Y")</f>
        <v>21.126000000000001</v>
      </c>
      <c r="G106" s="13" t="str">
        <f>_xll.BDH("SRPT US Equity","ARDR_DEBT_SCHEDULE_THEREAFTER","FQ4 2019","FQ4 2019","Currency=USD","Period=FQ","BEST_FPERIOD_OVERRIDE=FQ","FILING_STATUS=MR","SCALING_FORMAT=MLN","Sort=A","Dates=H","DateFormat=P","Fill=—","Direction=H","UseDPDF=Y")</f>
        <v>—</v>
      </c>
      <c r="H106" s="13" t="str">
        <f>_xll.BDH("SRPT US Equity","ARDR_DEBT_SCHEDULE_THEREAFTER","FQ1 2020","FQ1 2020","Currency=USD","Period=FQ","BEST_FPERIOD_OVERRIDE=FQ","FILING_STATUS=MR","SCALING_FORMAT=MLN","Sort=A","Dates=H","DateFormat=P","Fill=—","Direction=H","UseDPDF=Y")</f>
        <v>—</v>
      </c>
      <c r="I106" s="13" t="str">
        <f>_xll.BDH("SRPT US Equity","ARDR_DEBT_SCHEDULE_THEREAFTER","FQ2 2020","FQ2 2020","Currency=USD","Period=FQ","BEST_FPERIOD_OVERRIDE=FQ","FILING_STATUS=MR","SCALING_FORMAT=MLN","Sort=A","Dates=H","DateFormat=P","Fill=—","Direction=H","UseDPDF=Y")</f>
        <v>—</v>
      </c>
      <c r="J106" s="13" t="str">
        <f>_xll.BDH("SRPT US Equity","ARDR_DEBT_SCHEDULE_THEREAFTER","FQ3 2020","FQ3 2020","Currency=USD","Period=FQ","BEST_FPERIOD_OVERRIDE=FQ","FILING_STATUS=MR","SCALING_FORMAT=MLN","Sort=A","Dates=H","DateFormat=P","Fill=—","Direction=H","UseDPDF=Y")</f>
        <v>—</v>
      </c>
      <c r="K106" s="13" t="str">
        <f>_xll.BDH("SRPT US Equity","ARDR_DEBT_SCHEDULE_THEREAFTER","FQ4 2020","FQ4 2020","Currency=USD","Period=FQ","BEST_FPERIOD_OVERRIDE=FQ","FILING_STATUS=MR","SCALING_FORMAT=MLN","Sort=A","Dates=H","DateFormat=P","Fill=—","Direction=H","UseDPDF=Y")</f>
        <v>—</v>
      </c>
      <c r="L106" s="13" t="str">
        <f>_xll.BDH("SRPT US Equity","ARDR_DEBT_SCHEDULE_THEREAFTER","FQ1 2021","FQ1 2021","Currency=USD","Period=FQ","BEST_FPERIOD_OVERRIDE=FQ","FILING_STATUS=MR","SCALING_FORMAT=MLN","Sort=A","Dates=H","DateFormat=P","Fill=—","Direction=H","UseDPDF=Y")</f>
        <v>—</v>
      </c>
      <c r="M106" s="13" t="str">
        <f>_xll.BDH("SRPT US Equity","ARDR_DEBT_SCHEDULE_THEREAFTER","FQ2 2021","FQ2 2021","Currency=USD","Period=FQ","BEST_FPERIOD_OVERRIDE=FQ","FILING_STATUS=MR","SCALING_FORMAT=MLN","Sort=A","Dates=H","DateFormat=P","Fill=—","Direction=H","UseDPDF=Y")</f>
        <v>—</v>
      </c>
      <c r="N106" s="13" t="str">
        <f>_xll.BDH("SRPT US Equity","ARDR_DEBT_SCHEDULE_THEREAFTER","FQ3 2021","FQ3 2021","Currency=USD","Period=FQ","BEST_FPERIOD_OVERRIDE=FQ","FILING_STATUS=MR","SCALING_FORMAT=MLN","Sort=A","Dates=H","DateFormat=P","Fill=—","Direction=H","UseDPDF=Y")</f>
        <v>—</v>
      </c>
      <c r="O106" s="13" t="str">
        <f>_xll.BDH("SRPT US Equity","ARDR_DEBT_SCHEDULE_THEREAFTER","FQ4 2021","FQ4 2021","Currency=USD","Period=FQ","BEST_FPERIOD_OVERRIDE=FQ","FILING_STATUS=MR","SCALING_FORMAT=MLN","Sort=A","Dates=H","DateFormat=P","Fill=—","Direction=H","UseDPDF=Y")</f>
        <v>—</v>
      </c>
      <c r="P106" s="13" t="str">
        <f>_xll.BDH("SRPT US Equity","ARDR_DEBT_SCHEDULE_THEREAFTER","FQ1 2022","FQ1 2022","Currency=USD","Period=FQ","BEST_FPERIOD_OVERRIDE=FQ","FILING_STATUS=MR","SCALING_FORMAT=MLN","Sort=A","Dates=H","DateFormat=P","Fill=—","Direction=H","UseDPDF=Y")</f>
        <v>—</v>
      </c>
      <c r="Q106" s="13" t="str">
        <f>_xll.BDH("SRPT US Equity","ARDR_DEBT_SCHEDULE_THEREAFTER","FQ2 2022","FQ2 2022","Currency=USD","Period=FQ","BEST_FPERIOD_OVERRIDE=FQ","FILING_STATUS=MR","SCALING_FORMAT=MLN","Sort=A","Dates=H","DateFormat=P","Fill=—","Direction=H","UseDPDF=Y")</f>
        <v>—</v>
      </c>
      <c r="R106" s="13" t="str">
        <f>_xll.BDH("SRPT US Equity","ARDR_DEBT_SCHEDULE_THEREAFTER","FQ3 2022","FQ3 2022","Currency=USD","Period=FQ","BEST_FPERIOD_OVERRIDE=FQ","FILING_STATUS=MR","SCALING_FORMAT=MLN","Sort=A","Dates=H","DateFormat=P","Fill=—","Direction=H","UseDPDF=Y")</f>
        <v>—</v>
      </c>
      <c r="S106" s="13">
        <f>_xll.BDH("SRPT US Equity","ARDR_DEBT_SCHEDULE_THEREAFTER","FQ4 2022","FQ4 2022","Currency=USD","Period=FQ","BEST_FPERIOD_OVERRIDE=FQ","FILING_STATUS=MR","SCALING_FORMAT=MLN","Sort=A","Dates=H","DateFormat=P","Fill=—","Direction=H","UseDPDF=Y")</f>
        <v>0</v>
      </c>
      <c r="T106" s="13">
        <f>_xll.BDH("SRPT US Equity","ARDR_DEBT_SCHEDULE_THEREAFTER","FQ1 2023","FQ1 2023","Currency=USD","Period=FQ","BEST_FPERIOD_OVERRIDE=FQ","FILING_STATUS=MR","SCALING_FORMAT=MLN","Sort=A","Dates=H","DateFormat=P","Fill=—","Direction=H","UseDPDF=Y")</f>
        <v>0</v>
      </c>
      <c r="U106" s="13">
        <f>_xll.BDH("SRPT US Equity","ARDR_DEBT_SCHEDULE_THEREAFTER","FQ2 2023","FQ2 2023","Currency=USD","Period=FQ","BEST_FPERIOD_OVERRIDE=FQ","FILING_STATUS=MR","SCALING_FORMAT=MLN","Sort=A","Dates=H","DateFormat=P","Fill=—","Direction=H","UseDPDF=Y")</f>
        <v>0</v>
      </c>
      <c r="V106" s="13" t="str">
        <f>_xll.BDH("SRPT US Equity","ARDR_DEBT_SCHEDULE_THEREAFTER","FQ3 2023","FQ3 2023","Currency=USD","Period=FQ","BEST_FPERIOD_OVERRIDE=FQ","FILING_STATUS=MR","SCALING_FORMAT=MLN","Sort=A","Dates=H","DateFormat=P","Fill=—","Direction=H","UseDPDF=Y")</f>
        <v>—</v>
      </c>
      <c r="W106" s="13">
        <f>_xll.BDH("SRPT US Equity","ARDR_DEBT_SCHEDULE_THEREAFTER","FQ4 2023","FQ4 2023","Currency=USD","Period=FQ","BEST_FPERIOD_OVERRIDE=FQ","FILING_STATUS=MR","SCALING_FORMAT=MLN","Sort=A","Dates=H","DateFormat=P","Fill=—","Direction=H","UseDPDF=Y")</f>
        <v>0</v>
      </c>
      <c r="X106" s="13" t="str">
        <f>_xll.BDH("SRPT US Equity","ARDR_DEBT_SCHEDULE_THEREAFTER","FQ1 2024","FQ1 2024","Currency=USD","Period=FQ","BEST_FPERIOD_OVERRIDE=FQ","FILING_STATUS=MR","SCALING_FORMAT=MLN","Sort=A","Dates=H","DateFormat=P","Fill=—","Direction=H","UseDPDF=Y")</f>
        <v>—</v>
      </c>
      <c r="Y106" s="13" t="str">
        <f>_xll.BDH("SRPT US Equity","ARDR_DEBT_SCHEDULE_THEREAFTER","FQ2 2024","FQ2 2024","Currency=USD","Period=FQ","BEST_FPERIOD_OVERRIDE=FQ","FILING_STATUS=MR","SCALING_FORMAT=MLN","Sort=A","Dates=H","DateFormat=P","Fill=—","Direction=H","UseDPDF=Y")</f>
        <v>—</v>
      </c>
      <c r="Z106" s="13" t="str">
        <f>_xll.BDH("SRPT US Equity","ARDR_DEBT_SCHEDULE_THEREAFTER","FQ3 2024","FQ3 2024","Currency=USD","Period=FQ","BEST_FPERIOD_OVERRIDE=FQ","FILING_STATUS=MR","SCALING_FORMAT=MLN","Sort=A","Dates=H","DateFormat=P","Fill=—","Direction=H","UseDPDF=Y")</f>
        <v>—</v>
      </c>
      <c r="AA106" s="13">
        <f>_xll.BDH("SRPT US Equity","ARDR_DEBT_SCHEDULE_THEREAFTER","FQ4 2024","FQ4 2024","Currency=USD","Period=FQ","BEST_FPERIOD_OVERRIDE=FQ","FILING_STATUS=MR","SCALING_FORMAT=MLN","Sort=A","Dates=H","DateFormat=P","Fill=—","Direction=H","UseDPDF=Y")</f>
        <v>0</v>
      </c>
    </row>
    <row r="107" spans="1:27" x14ac:dyDescent="0.25">
      <c r="A107" s="10" t="s">
        <v>1013</v>
      </c>
      <c r="B107" s="10" t="s">
        <v>1014</v>
      </c>
      <c r="C107" s="13">
        <f>_xll.BDH("SRPT US Equity","ARDR_DEBT_SCHEDULE_TOTAL_DEBT","FQ4 2018","FQ4 2018","Currency=USD","Period=FQ","BEST_FPERIOD_OVERRIDE=FQ","FILING_STATUS=MR","SCALING_FORMAT=MLN","Sort=A","Dates=H","DateFormat=P","Fill=—","Direction=H","UseDPDF=Y")</f>
        <v>420.55399999999997</v>
      </c>
      <c r="D107" s="13">
        <f>_xll.BDH("SRPT US Equity","ARDR_DEBT_SCHEDULE_TOTAL_DEBT","FQ1 2019","FQ1 2019","Currency=USD","Period=FQ","BEST_FPERIOD_OVERRIDE=FQ","FILING_STATUS=MR","SCALING_FORMAT=MLN","Sort=A","Dates=H","DateFormat=P","Fill=—","Direction=H","UseDPDF=Y")</f>
        <v>425.75200000000001</v>
      </c>
      <c r="E107" s="13">
        <f>_xll.BDH("SRPT US Equity","ARDR_DEBT_SCHEDULE_TOTAL_DEBT","FQ2 2019","FQ2 2019","Currency=USD","Period=FQ","BEST_FPERIOD_OVERRIDE=FQ","FILING_STATUS=MR","SCALING_FORMAT=MLN","Sort=A","Dates=H","DateFormat=P","Fill=—","Direction=H","UseDPDF=Y")</f>
        <v>431.04</v>
      </c>
      <c r="F107" s="13">
        <f>_xll.BDH("SRPT US Equity","ARDR_DEBT_SCHEDULE_TOTAL_DEBT","FQ3 2019","FQ3 2019","Currency=USD","Period=FQ","BEST_FPERIOD_OVERRIDE=FQ","FILING_STATUS=MR","SCALING_FORMAT=MLN","Sort=A","Dates=H","DateFormat=P","Fill=—","Direction=H","UseDPDF=Y")</f>
        <v>436.42099999999999</v>
      </c>
      <c r="G107" s="13">
        <f>_xll.BDH("SRPT US Equity","ARDR_DEBT_SCHEDULE_TOTAL_DEBT","FQ4 2019","FQ4 2019","Currency=USD","Period=FQ","BEST_FPERIOD_OVERRIDE=FQ","FILING_STATUS=MR","SCALING_FORMAT=MLN","Sort=A","Dates=H","DateFormat=P","Fill=—","Direction=H","UseDPDF=Y")</f>
        <v>681.9</v>
      </c>
      <c r="H107" s="13">
        <f>_xll.BDH("SRPT US Equity","ARDR_DEBT_SCHEDULE_TOTAL_DEBT","FQ1 2020","FQ1 2020","Currency=USD","Period=FQ","BEST_FPERIOD_OVERRIDE=FQ","FILING_STATUS=MR","SCALING_FORMAT=MLN","Sort=A","Dates=H","DateFormat=P","Fill=—","Direction=H","UseDPDF=Y")</f>
        <v>687.95299999999997</v>
      </c>
      <c r="I107" s="13">
        <f>_xll.BDH("SRPT US Equity","ARDR_DEBT_SCHEDULE_TOTAL_DEBT","FQ2 2020","FQ2 2020","Currency=USD","Period=FQ","BEST_FPERIOD_OVERRIDE=FQ","FILING_STATUS=MR","SCALING_FORMAT=MLN","Sort=A","Dates=H","DateFormat=P","Fill=—","Direction=H","UseDPDF=Y")</f>
        <v>694.15599999999995</v>
      </c>
      <c r="J107" s="13">
        <f>_xll.BDH("SRPT US Equity","ARDR_DEBT_SCHEDULE_TOTAL_DEBT","FQ3 2020","FQ3 2020","Currency=USD","Period=FQ","BEST_FPERIOD_OVERRIDE=FQ","FILING_STATUS=MR","SCALING_FORMAT=MLN","Sort=A","Dates=H","DateFormat=P","Fill=—","Direction=H","UseDPDF=Y")</f>
        <v>700.47</v>
      </c>
      <c r="K107" s="13">
        <f>_xll.BDH("SRPT US Equity","ARDR_DEBT_SCHEDULE_TOTAL_DEBT","FQ4 2020","FQ4 2020","Currency=USD","Period=FQ","BEST_FPERIOD_OVERRIDE=FQ","FILING_STATUS=MR","SCALING_FORMAT=MLN","Sort=A","Dates=H","DateFormat=P","Fill=—","Direction=H","UseDPDF=Y")</f>
        <v>992.49300000000005</v>
      </c>
      <c r="L107" s="13">
        <f>_xll.BDH("SRPT US Equity","ARDR_DEBT_SCHEDULE_TOTAL_DEBT","FQ1 2021","FQ1 2021","Currency=USD","Period=FQ","BEST_FPERIOD_OVERRIDE=FQ","FILING_STATUS=MR","SCALING_FORMAT=MLN","Sort=A","Dates=H","DateFormat=P","Fill=—","Direction=H","UseDPDF=Y")</f>
        <v>1091.1099999999999</v>
      </c>
      <c r="M107" s="13">
        <f>_xll.BDH("SRPT US Equity","ARDR_DEBT_SCHEDULE_TOTAL_DEBT","FQ2 2021","FQ2 2021","Currency=USD","Period=FQ","BEST_FPERIOD_OVERRIDE=FQ","FILING_STATUS=MR","SCALING_FORMAT=MLN","Sort=A","Dates=H","DateFormat=P","Fill=—","Direction=H","UseDPDF=Y")</f>
        <v>1092.9849999999999</v>
      </c>
      <c r="N107" s="13">
        <f>_xll.BDH("SRPT US Equity","ARDR_DEBT_SCHEDULE_TOTAL_DEBT","FQ3 2021","FQ3 2021","Currency=USD","Period=FQ","BEST_FPERIOD_OVERRIDE=FQ","FILING_STATUS=MR","SCALING_FORMAT=MLN","Sort=A","Dates=H","DateFormat=P","Fill=—","Direction=H","UseDPDF=Y")</f>
        <v>1094.912</v>
      </c>
      <c r="O107" s="13">
        <f>_xll.BDH("SRPT US Equity","ARDR_DEBT_SCHEDULE_TOTAL_DEBT","FQ4 2021","FQ4 2021","Currency=USD","Period=FQ","BEST_FPERIOD_OVERRIDE=FQ","FILING_STATUS=MR","SCALING_FORMAT=MLN","Sort=A","Dates=H","DateFormat=P","Fill=—","Direction=H","UseDPDF=Y")</f>
        <v>1096.876</v>
      </c>
      <c r="P107" s="13">
        <f>_xll.BDH("SRPT US Equity","ARDR_DEBT_SCHEDULE_TOTAL_DEBT","FQ1 2022","FQ1 2022","Currency=USD","Period=FQ","BEST_FPERIOD_OVERRIDE=FQ","FILING_STATUS=MR","SCALING_FORMAT=MLN","Sort=A","Dates=H","DateFormat=P","Fill=—","Direction=H","UseDPDF=Y")</f>
        <v>1098.847</v>
      </c>
      <c r="Q107" s="13">
        <f>_xll.BDH("SRPT US Equity","ARDR_DEBT_SCHEDULE_TOTAL_DEBT","FQ2 2022","FQ2 2022","Currency=USD","Period=FQ","BEST_FPERIOD_OVERRIDE=FQ","FILING_STATUS=MR","SCALING_FORMAT=MLN","Sort=A","Dates=H","DateFormat=P","Fill=—","Direction=H","UseDPDF=Y")</f>
        <v>1100.873</v>
      </c>
      <c r="R107" s="13">
        <f>_xll.BDH("SRPT US Equity","ARDR_DEBT_SCHEDULE_TOTAL_DEBT","FQ3 2022","FQ3 2022","Currency=USD","Period=FQ","BEST_FPERIOD_OVERRIDE=FQ","FILING_STATUS=MR","SCALING_FORMAT=MLN","Sort=A","Dates=H","DateFormat=P","Fill=—","Direction=H","UseDPDF=Y")</f>
        <v>1542.77</v>
      </c>
      <c r="S107" s="13">
        <f>_xll.BDH("SRPT US Equity","ARDR_DEBT_SCHEDULE_TOTAL_DEBT","FQ4 2022","FQ4 2022","Currency=USD","Period=FQ","BEST_FPERIOD_OVERRIDE=FQ","FILING_STATUS=MR","SCALING_FORMAT=MLN","Sort=A","Dates=H","DateFormat=P","Fill=—","Direction=H","UseDPDF=Y")</f>
        <v>1569.3710000000001</v>
      </c>
      <c r="T107" s="13">
        <f>_xll.BDH("SRPT US Equity","ARDR_DEBT_SCHEDULE_TOTAL_DEBT","FQ1 2023","FQ1 2023","Currency=USD","Period=FQ","BEST_FPERIOD_OVERRIDE=FQ","FILING_STATUS=MR","SCALING_FORMAT=MLN","Sort=A","Dates=H","DateFormat=P","Fill=—","Direction=H","UseDPDF=Y")</f>
        <v>1255.847</v>
      </c>
      <c r="U107" s="13">
        <f>_xll.BDH("SRPT US Equity","ARDR_DEBT_SCHEDULE_TOTAL_DEBT","FQ2 2023","FQ2 2023","Currency=USD","Period=FQ","BEST_FPERIOD_OVERRIDE=FQ","FILING_STATUS=MR","SCALING_FORMAT=MLN","Sort=A","Dates=H","DateFormat=P","Fill=—","Direction=H","UseDPDF=Y")</f>
        <v>1255.847</v>
      </c>
      <c r="V107" s="13">
        <f>_xll.BDH("SRPT US Equity","ARDR_DEBT_SCHEDULE_TOTAL_DEBT","FQ3 2023","FQ3 2023","Currency=USD","Period=FQ","BEST_FPERIOD_OVERRIDE=FQ","FILING_STATUS=MR","SCALING_FORMAT=MLN","Sort=A","Dates=H","DateFormat=P","Fill=—","Direction=H","UseDPDF=Y")</f>
        <v>1315.729</v>
      </c>
      <c r="W107" s="13">
        <f>_xll.BDH("SRPT US Equity","ARDR_DEBT_SCHEDULE_TOTAL_DEBT","FQ4 2023","FQ4 2023","Currency=USD","Period=FQ","BEST_FPERIOD_OVERRIDE=FQ","FILING_STATUS=MR","SCALING_FORMAT=MLN","Sort=A","Dates=H","DateFormat=P","Fill=—","Direction=H","UseDPDF=Y")</f>
        <v>1314.9349999999999</v>
      </c>
      <c r="X107" s="13" t="str">
        <f>_xll.BDH("SRPT US Equity","ARDR_DEBT_SCHEDULE_TOTAL_DEBT","FQ1 2024","FQ1 2024","Currency=USD","Period=FQ","BEST_FPERIOD_OVERRIDE=FQ","FILING_STATUS=MR","SCALING_FORMAT=MLN","Sort=A","Dates=H","DateFormat=P","Fill=—","Direction=H","UseDPDF=Y")</f>
        <v>—</v>
      </c>
      <c r="Y107" s="13">
        <f>_xll.BDH("SRPT US Equity","ARDR_DEBT_SCHEDULE_TOTAL_DEBT","FQ2 2024","FQ2 2024","Currency=USD","Period=FQ","BEST_FPERIOD_OVERRIDE=FQ","FILING_STATUS=MR","SCALING_FORMAT=MLN","Sort=A","Dates=H","DateFormat=P","Fill=—","Direction=H","UseDPDF=Y")</f>
        <v>1292.664</v>
      </c>
      <c r="Z107" s="13">
        <f>_xll.BDH("SRPT US Equity","ARDR_DEBT_SCHEDULE_TOTAL_DEBT","FQ3 2024","FQ3 2024","Currency=USD","Period=FQ","BEST_FPERIOD_OVERRIDE=FQ","FILING_STATUS=MR","SCALING_FORMAT=MLN","Sort=A","Dates=H","DateFormat=P","Fill=—","Direction=H","UseDPDF=Y")</f>
        <v>1285.4760000000001</v>
      </c>
      <c r="AA107" s="13">
        <f>_xll.BDH("SRPT US Equity","ARDR_DEBT_SCHEDULE_TOTAL_DEBT","FQ4 2024","FQ4 2024","Currency=USD","Period=FQ","BEST_FPERIOD_OVERRIDE=FQ","FILING_STATUS=MR","SCALING_FORMAT=MLN","Sort=A","Dates=H","DateFormat=P","Fill=—","Direction=H","UseDPDF=Y")</f>
        <v>1193.125</v>
      </c>
    </row>
    <row r="108" spans="1:27" x14ac:dyDescent="0.25">
      <c r="A108" s="10" t="s">
        <v>1015</v>
      </c>
      <c r="B108" s="10" t="s">
        <v>1016</v>
      </c>
      <c r="C108" s="13">
        <f>_xll.BDH("SRPT US Equity","ARDR_DEBT_SCHEDULE_TOTAL_LT_DEBT","FQ4 2018","FQ4 2018","Currency=USD","Period=FQ","BEST_FPERIOD_OVERRIDE=FQ","FILING_STATUS=MR","SCALING_FORMAT=MLN","Sort=A","Dates=H","DateFormat=P","Fill=—","Direction=H","UseDPDF=Y")</f>
        <v>0</v>
      </c>
      <c r="D108" s="13">
        <f>_xll.BDH("SRPT US Equity","ARDR_DEBT_SCHEDULE_TOTAL_LT_DEBT","FQ1 2019","FQ1 2019","Currency=USD","Period=FQ","BEST_FPERIOD_OVERRIDE=FQ","FILING_STATUS=MR","SCALING_FORMAT=MLN","Sort=A","Dates=H","DateFormat=P","Fill=—","Direction=H","UseDPDF=Y")</f>
        <v>425.75200000000001</v>
      </c>
      <c r="E108" s="13">
        <f>_xll.BDH("SRPT US Equity","ARDR_DEBT_SCHEDULE_TOTAL_LT_DEBT","FQ2 2019","FQ2 2019","Currency=USD","Period=FQ","BEST_FPERIOD_OVERRIDE=FQ","FILING_STATUS=MR","SCALING_FORMAT=MLN","Sort=A","Dates=H","DateFormat=P","Fill=—","Direction=H","UseDPDF=Y")</f>
        <v>431.04</v>
      </c>
      <c r="F108" s="13">
        <f>_xll.BDH("SRPT US Equity","ARDR_DEBT_SCHEDULE_TOTAL_LT_DEBT","FQ3 2019","FQ3 2019","Currency=USD","Period=FQ","BEST_FPERIOD_OVERRIDE=FQ","FILING_STATUS=MR","SCALING_FORMAT=MLN","Sort=A","Dates=H","DateFormat=P","Fill=—","Direction=H","UseDPDF=Y")</f>
        <v>436.42099999999999</v>
      </c>
      <c r="G108" s="13" t="str">
        <f>_xll.BDH("SRPT US Equity","ARDR_DEBT_SCHEDULE_TOTAL_LT_DEBT","FQ4 2019","FQ4 2019","Currency=USD","Period=FQ","BEST_FPERIOD_OVERRIDE=FQ","FILING_STATUS=MR","SCALING_FORMAT=MLN","Sort=A","Dates=H","DateFormat=P","Fill=—","Direction=H","UseDPDF=Y")</f>
        <v>—</v>
      </c>
      <c r="H108" s="13" t="str">
        <f>_xll.BDH("SRPT US Equity","ARDR_DEBT_SCHEDULE_TOTAL_LT_DEBT","FQ1 2020","FQ1 2020","Currency=USD","Period=FQ","BEST_FPERIOD_OVERRIDE=FQ","FILING_STATUS=MR","SCALING_FORMAT=MLN","Sort=A","Dates=H","DateFormat=P","Fill=—","Direction=H","UseDPDF=Y")</f>
        <v>—</v>
      </c>
      <c r="I108" s="13" t="str">
        <f>_xll.BDH("SRPT US Equity","ARDR_DEBT_SCHEDULE_TOTAL_LT_DEBT","FQ2 2020","FQ2 2020","Currency=USD","Period=FQ","BEST_FPERIOD_OVERRIDE=FQ","FILING_STATUS=MR","SCALING_FORMAT=MLN","Sort=A","Dates=H","DateFormat=P","Fill=—","Direction=H","UseDPDF=Y")</f>
        <v>—</v>
      </c>
      <c r="J108" s="13" t="str">
        <f>_xll.BDH("SRPT US Equity","ARDR_DEBT_SCHEDULE_TOTAL_LT_DEBT","FQ3 2020","FQ3 2020","Currency=USD","Period=FQ","BEST_FPERIOD_OVERRIDE=FQ","FILING_STATUS=MR","SCALING_FORMAT=MLN","Sort=A","Dates=H","DateFormat=P","Fill=—","Direction=H","UseDPDF=Y")</f>
        <v>—</v>
      </c>
      <c r="K108" s="13" t="str">
        <f>_xll.BDH("SRPT US Equity","ARDR_DEBT_SCHEDULE_TOTAL_LT_DEBT","FQ4 2020","FQ4 2020","Currency=USD","Period=FQ","BEST_FPERIOD_OVERRIDE=FQ","FILING_STATUS=MR","SCALING_FORMAT=MLN","Sort=A","Dates=H","DateFormat=P","Fill=—","Direction=H","UseDPDF=Y")</f>
        <v>—</v>
      </c>
      <c r="L108" s="13" t="str">
        <f>_xll.BDH("SRPT US Equity","ARDR_DEBT_SCHEDULE_TOTAL_LT_DEBT","FQ1 2021","FQ1 2021","Currency=USD","Period=FQ","BEST_FPERIOD_OVERRIDE=FQ","FILING_STATUS=MR","SCALING_FORMAT=MLN","Sort=A","Dates=H","DateFormat=P","Fill=—","Direction=H","UseDPDF=Y")</f>
        <v>—</v>
      </c>
      <c r="M108" s="13" t="str">
        <f>_xll.BDH("SRPT US Equity","ARDR_DEBT_SCHEDULE_TOTAL_LT_DEBT","FQ2 2021","FQ2 2021","Currency=USD","Period=FQ","BEST_FPERIOD_OVERRIDE=FQ","FILING_STATUS=MR","SCALING_FORMAT=MLN","Sort=A","Dates=H","DateFormat=P","Fill=—","Direction=H","UseDPDF=Y")</f>
        <v>—</v>
      </c>
      <c r="N108" s="13" t="str">
        <f>_xll.BDH("SRPT US Equity","ARDR_DEBT_SCHEDULE_TOTAL_LT_DEBT","FQ3 2021","FQ3 2021","Currency=USD","Period=FQ","BEST_FPERIOD_OVERRIDE=FQ","FILING_STATUS=MR","SCALING_FORMAT=MLN","Sort=A","Dates=H","DateFormat=P","Fill=—","Direction=H","UseDPDF=Y")</f>
        <v>—</v>
      </c>
      <c r="O108" s="13" t="str">
        <f>_xll.BDH("SRPT US Equity","ARDR_DEBT_SCHEDULE_TOTAL_LT_DEBT","FQ4 2021","FQ4 2021","Currency=USD","Period=FQ","BEST_FPERIOD_OVERRIDE=FQ","FILING_STATUS=MR","SCALING_FORMAT=MLN","Sort=A","Dates=H","DateFormat=P","Fill=—","Direction=H","UseDPDF=Y")</f>
        <v>—</v>
      </c>
      <c r="P108" s="13" t="str">
        <f>_xll.BDH("SRPT US Equity","ARDR_DEBT_SCHEDULE_TOTAL_LT_DEBT","FQ1 2022","FQ1 2022","Currency=USD","Period=FQ","BEST_FPERIOD_OVERRIDE=FQ","FILING_STATUS=MR","SCALING_FORMAT=MLN","Sort=A","Dates=H","DateFormat=P","Fill=—","Direction=H","UseDPDF=Y")</f>
        <v>—</v>
      </c>
      <c r="Q108" s="13" t="str">
        <f>_xll.BDH("SRPT US Equity","ARDR_DEBT_SCHEDULE_TOTAL_LT_DEBT","FQ2 2022","FQ2 2022","Currency=USD","Period=FQ","BEST_FPERIOD_OVERRIDE=FQ","FILING_STATUS=MR","SCALING_FORMAT=MLN","Sort=A","Dates=H","DateFormat=P","Fill=—","Direction=H","UseDPDF=Y")</f>
        <v>—</v>
      </c>
      <c r="R108" s="13" t="str">
        <f>_xll.BDH("SRPT US Equity","ARDR_DEBT_SCHEDULE_TOTAL_LT_DEBT","FQ3 2022","FQ3 2022","Currency=USD","Period=FQ","BEST_FPERIOD_OVERRIDE=FQ","FILING_STATUS=MR","SCALING_FORMAT=MLN","Sort=A","Dates=H","DateFormat=P","Fill=—","Direction=H","UseDPDF=Y")</f>
        <v>—</v>
      </c>
      <c r="S108" s="13" t="str">
        <f>_xll.BDH("SRPT US Equity","ARDR_DEBT_SCHEDULE_TOTAL_LT_DEBT","FQ4 2022","FQ4 2022","Currency=USD","Period=FQ","BEST_FPERIOD_OVERRIDE=FQ","FILING_STATUS=MR","SCALING_FORMAT=MLN","Sort=A","Dates=H","DateFormat=P","Fill=—","Direction=H","UseDPDF=Y")</f>
        <v>—</v>
      </c>
      <c r="T108" s="13" t="str">
        <f>_xll.BDH("SRPT US Equity","ARDR_DEBT_SCHEDULE_TOTAL_LT_DEBT","FQ1 2023","FQ1 2023","Currency=USD","Period=FQ","BEST_FPERIOD_OVERRIDE=FQ","FILING_STATUS=MR","SCALING_FORMAT=MLN","Sort=A","Dates=H","DateFormat=P","Fill=—","Direction=H","UseDPDF=Y")</f>
        <v>—</v>
      </c>
      <c r="U108" s="13" t="str">
        <f>_xll.BDH("SRPT US Equity","ARDR_DEBT_SCHEDULE_TOTAL_LT_DEBT","FQ2 2023","FQ2 2023","Currency=USD","Period=FQ","BEST_FPERIOD_OVERRIDE=FQ","FILING_STATUS=MR","SCALING_FORMAT=MLN","Sort=A","Dates=H","DateFormat=P","Fill=—","Direction=H","UseDPDF=Y")</f>
        <v>—</v>
      </c>
      <c r="V108" s="13" t="str">
        <f>_xll.BDH("SRPT US Equity","ARDR_DEBT_SCHEDULE_TOTAL_LT_DEBT","FQ3 2023","FQ3 2023","Currency=USD","Period=FQ","BEST_FPERIOD_OVERRIDE=FQ","FILING_STATUS=MR","SCALING_FORMAT=MLN","Sort=A","Dates=H","DateFormat=P","Fill=—","Direction=H","UseDPDF=Y")</f>
        <v>—</v>
      </c>
      <c r="W108" s="13" t="str">
        <f>_xll.BDH("SRPT US Equity","ARDR_DEBT_SCHEDULE_TOTAL_LT_DEBT","FQ4 2023","FQ4 2023","Currency=USD","Period=FQ","BEST_FPERIOD_OVERRIDE=FQ","FILING_STATUS=MR","SCALING_FORMAT=MLN","Sort=A","Dates=H","DateFormat=P","Fill=—","Direction=H","UseDPDF=Y")</f>
        <v>—</v>
      </c>
      <c r="X108" s="13" t="str">
        <f>_xll.BDH("SRPT US Equity","ARDR_DEBT_SCHEDULE_TOTAL_LT_DEBT","FQ1 2024","FQ1 2024","Currency=USD","Period=FQ","BEST_FPERIOD_OVERRIDE=FQ","FILING_STATUS=MR","SCALING_FORMAT=MLN","Sort=A","Dates=H","DateFormat=P","Fill=—","Direction=H","UseDPDF=Y")</f>
        <v>—</v>
      </c>
      <c r="Y108" s="13" t="str">
        <f>_xll.BDH("SRPT US Equity","ARDR_DEBT_SCHEDULE_TOTAL_LT_DEBT","FQ2 2024","FQ2 2024","Currency=USD","Period=FQ","BEST_FPERIOD_OVERRIDE=FQ","FILING_STATUS=MR","SCALING_FORMAT=MLN","Sort=A","Dates=H","DateFormat=P","Fill=—","Direction=H","UseDPDF=Y")</f>
        <v>—</v>
      </c>
      <c r="Z108" s="13" t="str">
        <f>_xll.BDH("SRPT US Equity","ARDR_DEBT_SCHEDULE_TOTAL_LT_DEBT","FQ3 2024","FQ3 2024","Currency=USD","Period=FQ","BEST_FPERIOD_OVERRIDE=FQ","FILING_STATUS=MR","SCALING_FORMAT=MLN","Sort=A","Dates=H","DateFormat=P","Fill=—","Direction=H","UseDPDF=Y")</f>
        <v>—</v>
      </c>
      <c r="AA108" s="13" t="str">
        <f>_xll.BDH("SRPT US Equity","ARDR_DEBT_SCHEDULE_TOTAL_LT_DEBT","FQ4 2024","FQ4 2024","Currency=USD","Period=FQ","BEST_FPERIOD_OVERRIDE=FQ","FILING_STATUS=MR","SCALING_FORMAT=MLN","Sort=A","Dates=H","DateFormat=P","Fill=—","Direction=H","UseDPDF=Y")</f>
        <v>—</v>
      </c>
    </row>
    <row r="109" spans="1:27" x14ac:dyDescent="0.25">
      <c r="A109" s="10" t="s">
        <v>1017</v>
      </c>
      <c r="B109" s="10" t="s">
        <v>1018</v>
      </c>
      <c r="C109" s="13" t="str">
        <f>_xll.BDH("SRPT US Equity","ARDR_COMMON_SHARES_REPURCHASED","FQ4 2018","FQ4 2018","Currency=USD","Period=FQ","BEST_FPERIOD_OVERRIDE=FQ","FILING_STATUS=MR","Sort=A","Dates=H","DateFormat=P","Fill=—","Direction=H","UseDPDF=Y")</f>
        <v>—</v>
      </c>
      <c r="D109" s="13" t="str">
        <f>_xll.BDH("SRPT US Equity","ARDR_COMMON_SHARES_REPURCHASED","FQ1 2019","FQ1 2019","Currency=USD","Period=FQ","BEST_FPERIOD_OVERRIDE=FQ","FILING_STATUS=MR","Sort=A","Dates=H","DateFormat=P","Fill=—","Direction=H","UseDPDF=Y")</f>
        <v>—</v>
      </c>
      <c r="E109" s="13" t="str">
        <f>_xll.BDH("SRPT US Equity","ARDR_COMMON_SHARES_REPURCHASED","FQ2 2019","FQ2 2019","Currency=USD","Period=FQ","BEST_FPERIOD_OVERRIDE=FQ","FILING_STATUS=MR","Sort=A","Dates=H","DateFormat=P","Fill=—","Direction=H","UseDPDF=Y")</f>
        <v>—</v>
      </c>
      <c r="F109" s="13" t="str">
        <f>_xll.BDH("SRPT US Equity","ARDR_COMMON_SHARES_REPURCHASED","FQ3 2019","FQ3 2019","Currency=USD","Period=FQ","BEST_FPERIOD_OVERRIDE=FQ","FILING_STATUS=MR","Sort=A","Dates=H","DateFormat=P","Fill=—","Direction=H","UseDPDF=Y")</f>
        <v>—</v>
      </c>
      <c r="G109" s="13" t="str">
        <f>_xll.BDH("SRPT US Equity","ARDR_COMMON_SHARES_REPURCHASED","FQ4 2019","FQ4 2019","Currency=USD","Period=FQ","BEST_FPERIOD_OVERRIDE=FQ","FILING_STATUS=MR","Sort=A","Dates=H","DateFormat=P","Fill=—","Direction=H","UseDPDF=Y")</f>
        <v>—</v>
      </c>
      <c r="H109" s="13" t="str">
        <f>_xll.BDH("SRPT US Equity","ARDR_COMMON_SHARES_REPURCHASED","FQ1 2020","FQ1 2020","Currency=USD","Period=FQ","BEST_FPERIOD_OVERRIDE=FQ","FILING_STATUS=MR","Sort=A","Dates=H","DateFormat=P","Fill=—","Direction=H","UseDPDF=Y")</f>
        <v>—</v>
      </c>
      <c r="I109" s="13" t="str">
        <f>_xll.BDH("SRPT US Equity","ARDR_COMMON_SHARES_REPURCHASED","FQ2 2020","FQ2 2020","Currency=USD","Period=FQ","BEST_FPERIOD_OVERRIDE=FQ","FILING_STATUS=MR","Sort=A","Dates=H","DateFormat=P","Fill=—","Direction=H","UseDPDF=Y")</f>
        <v>—</v>
      </c>
      <c r="J109" s="13" t="str">
        <f>_xll.BDH("SRPT US Equity","ARDR_COMMON_SHARES_REPURCHASED","FQ3 2020","FQ3 2020","Currency=USD","Period=FQ","BEST_FPERIOD_OVERRIDE=FQ","FILING_STATUS=MR","Sort=A","Dates=H","DateFormat=P","Fill=—","Direction=H","UseDPDF=Y")</f>
        <v>—</v>
      </c>
      <c r="K109" s="13" t="str">
        <f>_xll.BDH("SRPT US Equity","ARDR_COMMON_SHARES_REPURCHASED","FQ4 2020","FQ4 2020","Currency=USD","Period=FQ","BEST_FPERIOD_OVERRIDE=FQ","FILING_STATUS=MR","Sort=A","Dates=H","DateFormat=P","Fill=—","Direction=H","UseDPDF=Y")</f>
        <v>—</v>
      </c>
      <c r="L109" s="13" t="str">
        <f>_xll.BDH("SRPT US Equity","ARDR_COMMON_SHARES_REPURCHASED","FQ1 2021","FQ1 2021","Currency=USD","Period=FQ","BEST_FPERIOD_OVERRIDE=FQ","FILING_STATUS=MR","Sort=A","Dates=H","DateFormat=P","Fill=—","Direction=H","UseDPDF=Y")</f>
        <v>—</v>
      </c>
      <c r="M109" s="13" t="str">
        <f>_xll.BDH("SRPT US Equity","ARDR_COMMON_SHARES_REPURCHASED","FQ2 2021","FQ2 2021","Currency=USD","Period=FQ","BEST_FPERIOD_OVERRIDE=FQ","FILING_STATUS=MR","Sort=A","Dates=H","DateFormat=P","Fill=—","Direction=H","UseDPDF=Y")</f>
        <v>—</v>
      </c>
      <c r="N109" s="13" t="str">
        <f>_xll.BDH("SRPT US Equity","ARDR_COMMON_SHARES_REPURCHASED","FQ3 2021","FQ3 2021","Currency=USD","Period=FQ","BEST_FPERIOD_OVERRIDE=FQ","FILING_STATUS=MR","Sort=A","Dates=H","DateFormat=P","Fill=—","Direction=H","UseDPDF=Y")</f>
        <v>—</v>
      </c>
      <c r="O109" s="13" t="str">
        <f>_xll.BDH("SRPT US Equity","ARDR_COMMON_SHARES_REPURCHASED","FQ4 2021","FQ4 2021","Currency=USD","Period=FQ","BEST_FPERIOD_OVERRIDE=FQ","FILING_STATUS=MR","Sort=A","Dates=H","DateFormat=P","Fill=—","Direction=H","UseDPDF=Y")</f>
        <v>—</v>
      </c>
      <c r="P109" s="13" t="str">
        <f>_xll.BDH("SRPT US Equity","ARDR_COMMON_SHARES_REPURCHASED","FQ1 2022","FQ1 2022","Currency=USD","Period=FQ","BEST_FPERIOD_OVERRIDE=FQ","FILING_STATUS=MR","Sort=A","Dates=H","DateFormat=P","Fill=—","Direction=H","UseDPDF=Y")</f>
        <v>—</v>
      </c>
      <c r="Q109" s="13" t="str">
        <f>_xll.BDH("SRPT US Equity","ARDR_COMMON_SHARES_REPURCHASED","FQ2 2022","FQ2 2022","Currency=USD","Period=FQ","BEST_FPERIOD_OVERRIDE=FQ","FILING_STATUS=MR","Sort=A","Dates=H","DateFormat=P","Fill=—","Direction=H","UseDPDF=Y")</f>
        <v>—</v>
      </c>
      <c r="R109" s="13">
        <f>_xll.BDH("SRPT US Equity","ARDR_COMMON_SHARES_REPURCHASED","FQ3 2022","FQ3 2022","Currency=USD","Period=FQ","BEST_FPERIOD_OVERRIDE=FQ","FILING_STATUS=MR","Sort=A","Dates=H","DateFormat=P","Fill=—","Direction=H","UseDPDF=Y")</f>
        <v>0</v>
      </c>
      <c r="S109" s="13" t="str">
        <f>_xll.BDH("SRPT US Equity","ARDR_COMMON_SHARES_REPURCHASED","FQ4 2022","FQ4 2022","Currency=USD","Period=FQ","BEST_FPERIOD_OVERRIDE=FQ","FILING_STATUS=MR","Sort=A","Dates=H","DateFormat=P","Fill=—","Direction=H","UseDPDF=Y")</f>
        <v>—</v>
      </c>
      <c r="T109" s="13" t="str">
        <f>_xll.BDH("SRPT US Equity","ARDR_COMMON_SHARES_REPURCHASED","FQ1 2023","FQ1 2023","Currency=USD","Period=FQ","BEST_FPERIOD_OVERRIDE=FQ","FILING_STATUS=MR","Sort=A","Dates=H","DateFormat=P","Fill=—","Direction=H","UseDPDF=Y")</f>
        <v>—</v>
      </c>
      <c r="U109" s="13" t="str">
        <f>_xll.BDH("SRPT US Equity","ARDR_COMMON_SHARES_REPURCHASED","FQ2 2023","FQ2 2023","Currency=USD","Period=FQ","BEST_FPERIOD_OVERRIDE=FQ","FILING_STATUS=MR","Sort=A","Dates=H","DateFormat=P","Fill=—","Direction=H","UseDPDF=Y")</f>
        <v>—</v>
      </c>
      <c r="V109" s="13" t="str">
        <f>_xll.BDH("SRPT US Equity","ARDR_COMMON_SHARES_REPURCHASED","FQ3 2023","FQ3 2023","Currency=USD","Period=FQ","BEST_FPERIOD_OVERRIDE=FQ","FILING_STATUS=MR","Sort=A","Dates=H","DateFormat=P","Fill=—","Direction=H","UseDPDF=Y")</f>
        <v>—</v>
      </c>
      <c r="W109" s="13" t="str">
        <f>_xll.BDH("SRPT US Equity","ARDR_COMMON_SHARES_REPURCHASED","FQ4 2023","FQ4 2023","Currency=USD","Period=FQ","BEST_FPERIOD_OVERRIDE=FQ","FILING_STATUS=MR","Sort=A","Dates=H","DateFormat=P","Fill=—","Direction=H","UseDPDF=Y")</f>
        <v>—</v>
      </c>
      <c r="X109" s="13" t="str">
        <f>_xll.BDH("SRPT US Equity","ARDR_COMMON_SHARES_REPURCHASED","FQ1 2024","FQ1 2024","Currency=USD","Period=FQ","BEST_FPERIOD_OVERRIDE=FQ","FILING_STATUS=MR","Sort=A","Dates=H","DateFormat=P","Fill=—","Direction=H","UseDPDF=Y")</f>
        <v>—</v>
      </c>
      <c r="Y109" s="13" t="str">
        <f>_xll.BDH("SRPT US Equity","ARDR_COMMON_SHARES_REPURCHASED","FQ2 2024","FQ2 2024","Currency=USD","Period=FQ","BEST_FPERIOD_OVERRIDE=FQ","FILING_STATUS=MR","Sort=A","Dates=H","DateFormat=P","Fill=—","Direction=H","UseDPDF=Y")</f>
        <v>—</v>
      </c>
      <c r="Z109" s="13" t="str">
        <f>_xll.BDH("SRPT US Equity","ARDR_COMMON_SHARES_REPURCHASED","FQ3 2024","FQ3 2024","Currency=USD","Period=FQ","BEST_FPERIOD_OVERRIDE=FQ","FILING_STATUS=MR","Sort=A","Dates=H","DateFormat=P","Fill=—","Direction=H","UseDPDF=Y")</f>
        <v>—</v>
      </c>
      <c r="AA109" s="13" t="str">
        <f>_xll.BDH("SRPT US Equity","ARDR_COMMON_SHARES_REPURCHASED","FQ4 2024","FQ4 2024","Currency=USD","Period=FQ","BEST_FPERIOD_OVERRIDE=FQ","FILING_STATUS=MR","Sort=A","Dates=H","DateFormat=P","Fill=—","Direction=H","UseDPDF=Y")</f>
        <v>—</v>
      </c>
    </row>
    <row r="110" spans="1:27" x14ac:dyDescent="0.25">
      <c r="A110" s="10" t="s">
        <v>1019</v>
      </c>
      <c r="B110" s="10" t="s">
        <v>1020</v>
      </c>
      <c r="C110" s="13" t="str">
        <f>_xll.BDH("SRPT US Equity","ARDR_VAL_COMMON_SHRS_REPURCHASED","FQ4 2018","FQ4 2018","Currency=USD","Period=FQ","BEST_FPERIOD_OVERRIDE=FQ","FILING_STATUS=MR","SCALING_FORMAT=MLN","Sort=A","Dates=H","DateFormat=P","Fill=—","Direction=H","UseDPDF=Y")</f>
        <v>—</v>
      </c>
      <c r="D110" s="13" t="str">
        <f>_xll.BDH("SRPT US Equity","ARDR_VAL_COMMON_SHRS_REPURCHASED","FQ1 2019","FQ1 2019","Currency=USD","Period=FQ","BEST_FPERIOD_OVERRIDE=FQ","FILING_STATUS=MR","SCALING_FORMAT=MLN","Sort=A","Dates=H","DateFormat=P","Fill=—","Direction=H","UseDPDF=Y")</f>
        <v>—</v>
      </c>
      <c r="E110" s="13" t="str">
        <f>_xll.BDH("SRPT US Equity","ARDR_VAL_COMMON_SHRS_REPURCHASED","FQ2 2019","FQ2 2019","Currency=USD","Period=FQ","BEST_FPERIOD_OVERRIDE=FQ","FILING_STATUS=MR","SCALING_FORMAT=MLN","Sort=A","Dates=H","DateFormat=P","Fill=—","Direction=H","UseDPDF=Y")</f>
        <v>—</v>
      </c>
      <c r="F110" s="13" t="str">
        <f>_xll.BDH("SRPT US Equity","ARDR_VAL_COMMON_SHRS_REPURCHASED","FQ3 2019","FQ3 2019","Currency=USD","Period=FQ","BEST_FPERIOD_OVERRIDE=FQ","FILING_STATUS=MR","SCALING_FORMAT=MLN","Sort=A","Dates=H","DateFormat=P","Fill=—","Direction=H","UseDPDF=Y")</f>
        <v>—</v>
      </c>
      <c r="G110" s="13" t="str">
        <f>_xll.BDH("SRPT US Equity","ARDR_VAL_COMMON_SHRS_REPURCHASED","FQ4 2019","FQ4 2019","Currency=USD","Period=FQ","BEST_FPERIOD_OVERRIDE=FQ","FILING_STATUS=MR","SCALING_FORMAT=MLN","Sort=A","Dates=H","DateFormat=P","Fill=—","Direction=H","UseDPDF=Y")</f>
        <v>—</v>
      </c>
      <c r="H110" s="13" t="str">
        <f>_xll.BDH("SRPT US Equity","ARDR_VAL_COMMON_SHRS_REPURCHASED","FQ1 2020","FQ1 2020","Currency=USD","Period=FQ","BEST_FPERIOD_OVERRIDE=FQ","FILING_STATUS=MR","SCALING_FORMAT=MLN","Sort=A","Dates=H","DateFormat=P","Fill=—","Direction=H","UseDPDF=Y")</f>
        <v>—</v>
      </c>
      <c r="I110" s="13" t="str">
        <f>_xll.BDH("SRPT US Equity","ARDR_VAL_COMMON_SHRS_REPURCHASED","FQ2 2020","FQ2 2020","Currency=USD","Period=FQ","BEST_FPERIOD_OVERRIDE=FQ","FILING_STATUS=MR","SCALING_FORMAT=MLN","Sort=A","Dates=H","DateFormat=P","Fill=—","Direction=H","UseDPDF=Y")</f>
        <v>—</v>
      </c>
      <c r="J110" s="13" t="str">
        <f>_xll.BDH("SRPT US Equity","ARDR_VAL_COMMON_SHRS_REPURCHASED","FQ3 2020","FQ3 2020","Currency=USD","Period=FQ","BEST_FPERIOD_OVERRIDE=FQ","FILING_STATUS=MR","SCALING_FORMAT=MLN","Sort=A","Dates=H","DateFormat=P","Fill=—","Direction=H","UseDPDF=Y")</f>
        <v>—</v>
      </c>
      <c r="K110" s="13" t="str">
        <f>_xll.BDH("SRPT US Equity","ARDR_VAL_COMMON_SHRS_REPURCHASED","FQ4 2020","FQ4 2020","Currency=USD","Period=FQ","BEST_FPERIOD_OVERRIDE=FQ","FILING_STATUS=MR","SCALING_FORMAT=MLN","Sort=A","Dates=H","DateFormat=P","Fill=—","Direction=H","UseDPDF=Y")</f>
        <v>—</v>
      </c>
      <c r="L110" s="13" t="str">
        <f>_xll.BDH("SRPT US Equity","ARDR_VAL_COMMON_SHRS_REPURCHASED","FQ1 2021","FQ1 2021","Currency=USD","Period=FQ","BEST_FPERIOD_OVERRIDE=FQ","FILING_STATUS=MR","SCALING_FORMAT=MLN","Sort=A","Dates=H","DateFormat=P","Fill=—","Direction=H","UseDPDF=Y")</f>
        <v>—</v>
      </c>
      <c r="M110" s="13" t="str">
        <f>_xll.BDH("SRPT US Equity","ARDR_VAL_COMMON_SHRS_REPURCHASED","FQ2 2021","FQ2 2021","Currency=USD","Period=FQ","BEST_FPERIOD_OVERRIDE=FQ","FILING_STATUS=MR","SCALING_FORMAT=MLN","Sort=A","Dates=H","DateFormat=P","Fill=—","Direction=H","UseDPDF=Y")</f>
        <v>—</v>
      </c>
      <c r="N110" s="13" t="str">
        <f>_xll.BDH("SRPT US Equity","ARDR_VAL_COMMON_SHRS_REPURCHASED","FQ3 2021","FQ3 2021","Currency=USD","Period=FQ","BEST_FPERIOD_OVERRIDE=FQ","FILING_STATUS=MR","SCALING_FORMAT=MLN","Sort=A","Dates=H","DateFormat=P","Fill=—","Direction=H","UseDPDF=Y")</f>
        <v>—</v>
      </c>
      <c r="O110" s="13" t="str">
        <f>_xll.BDH("SRPT US Equity","ARDR_VAL_COMMON_SHRS_REPURCHASED","FQ4 2021","FQ4 2021","Currency=USD","Period=FQ","BEST_FPERIOD_OVERRIDE=FQ","FILING_STATUS=MR","SCALING_FORMAT=MLN","Sort=A","Dates=H","DateFormat=P","Fill=—","Direction=H","UseDPDF=Y")</f>
        <v>—</v>
      </c>
      <c r="P110" s="13" t="str">
        <f>_xll.BDH("SRPT US Equity","ARDR_VAL_COMMON_SHRS_REPURCHASED","FQ1 2022","FQ1 2022","Currency=USD","Period=FQ","BEST_FPERIOD_OVERRIDE=FQ","FILING_STATUS=MR","SCALING_FORMAT=MLN","Sort=A","Dates=H","DateFormat=P","Fill=—","Direction=H","UseDPDF=Y")</f>
        <v>—</v>
      </c>
      <c r="Q110" s="13" t="str">
        <f>_xll.BDH("SRPT US Equity","ARDR_VAL_COMMON_SHRS_REPURCHASED","FQ2 2022","FQ2 2022","Currency=USD","Period=FQ","BEST_FPERIOD_OVERRIDE=FQ","FILING_STATUS=MR","SCALING_FORMAT=MLN","Sort=A","Dates=H","DateFormat=P","Fill=—","Direction=H","UseDPDF=Y")</f>
        <v>—</v>
      </c>
      <c r="R110" s="13">
        <f>_xll.BDH("SRPT US Equity","ARDR_VAL_COMMON_SHRS_REPURCHASED","FQ3 2022","FQ3 2022","Currency=USD","Period=FQ","BEST_FPERIOD_OVERRIDE=FQ","FILING_STATUS=MR","SCALING_FORMAT=MLN","Sort=A","Dates=H","DateFormat=P","Fill=—","Direction=H","UseDPDF=Y")</f>
        <v>0</v>
      </c>
      <c r="S110" s="13" t="str">
        <f>_xll.BDH("SRPT US Equity","ARDR_VAL_COMMON_SHRS_REPURCHASED","FQ4 2022","FQ4 2022","Currency=USD","Period=FQ","BEST_FPERIOD_OVERRIDE=FQ","FILING_STATUS=MR","SCALING_FORMAT=MLN","Sort=A","Dates=H","DateFormat=P","Fill=—","Direction=H","UseDPDF=Y")</f>
        <v>—</v>
      </c>
      <c r="T110" s="13" t="str">
        <f>_xll.BDH("SRPT US Equity","ARDR_VAL_COMMON_SHRS_REPURCHASED","FQ1 2023","FQ1 2023","Currency=USD","Period=FQ","BEST_FPERIOD_OVERRIDE=FQ","FILING_STATUS=MR","SCALING_FORMAT=MLN","Sort=A","Dates=H","DateFormat=P","Fill=—","Direction=H","UseDPDF=Y")</f>
        <v>—</v>
      </c>
      <c r="U110" s="13" t="str">
        <f>_xll.BDH("SRPT US Equity","ARDR_VAL_COMMON_SHRS_REPURCHASED","FQ2 2023","FQ2 2023","Currency=USD","Period=FQ","BEST_FPERIOD_OVERRIDE=FQ","FILING_STATUS=MR","SCALING_FORMAT=MLN","Sort=A","Dates=H","DateFormat=P","Fill=—","Direction=H","UseDPDF=Y")</f>
        <v>—</v>
      </c>
      <c r="V110" s="13" t="str">
        <f>_xll.BDH("SRPT US Equity","ARDR_VAL_COMMON_SHRS_REPURCHASED","FQ3 2023","FQ3 2023","Currency=USD","Period=FQ","BEST_FPERIOD_OVERRIDE=FQ","FILING_STATUS=MR","SCALING_FORMAT=MLN","Sort=A","Dates=H","DateFormat=P","Fill=—","Direction=H","UseDPDF=Y")</f>
        <v>—</v>
      </c>
      <c r="W110" s="13" t="str">
        <f>_xll.BDH("SRPT US Equity","ARDR_VAL_COMMON_SHRS_REPURCHASED","FQ4 2023","FQ4 2023","Currency=USD","Period=FQ","BEST_FPERIOD_OVERRIDE=FQ","FILING_STATUS=MR","SCALING_FORMAT=MLN","Sort=A","Dates=H","DateFormat=P","Fill=—","Direction=H","UseDPDF=Y")</f>
        <v>—</v>
      </c>
      <c r="X110" s="13" t="str">
        <f>_xll.BDH("SRPT US Equity","ARDR_VAL_COMMON_SHRS_REPURCHASED","FQ1 2024","FQ1 2024","Currency=USD","Period=FQ","BEST_FPERIOD_OVERRIDE=FQ","FILING_STATUS=MR","SCALING_FORMAT=MLN","Sort=A","Dates=H","DateFormat=P","Fill=—","Direction=H","UseDPDF=Y")</f>
        <v>—</v>
      </c>
      <c r="Y110" s="13" t="str">
        <f>_xll.BDH("SRPT US Equity","ARDR_VAL_COMMON_SHRS_REPURCHASED","FQ2 2024","FQ2 2024","Currency=USD","Period=FQ","BEST_FPERIOD_OVERRIDE=FQ","FILING_STATUS=MR","SCALING_FORMAT=MLN","Sort=A","Dates=H","DateFormat=P","Fill=—","Direction=H","UseDPDF=Y")</f>
        <v>—</v>
      </c>
      <c r="Z110" s="13" t="str">
        <f>_xll.BDH("SRPT US Equity","ARDR_VAL_COMMON_SHRS_REPURCHASED","FQ3 2024","FQ3 2024","Currency=USD","Period=FQ","BEST_FPERIOD_OVERRIDE=FQ","FILING_STATUS=MR","SCALING_FORMAT=MLN","Sort=A","Dates=H","DateFormat=P","Fill=—","Direction=H","UseDPDF=Y")</f>
        <v>—</v>
      </c>
      <c r="AA110" s="13" t="str">
        <f>_xll.BDH("SRPT US Equity","ARDR_VAL_COMMON_SHRS_REPURCHASED","FQ4 2024","FQ4 2024","Currency=USD","Period=FQ","BEST_FPERIOD_OVERRIDE=FQ","FILING_STATUS=MR","SCALING_FORMAT=MLN","Sort=A","Dates=H","DateFormat=P","Fill=—","Direction=H","UseDPDF=Y")</f>
        <v>—</v>
      </c>
    </row>
    <row r="111" spans="1:27" x14ac:dyDescent="0.25">
      <c r="A111" s="10" t="s">
        <v>1021</v>
      </c>
      <c r="B111" s="10" t="s">
        <v>1022</v>
      </c>
      <c r="C111" s="13" t="str">
        <f>_xll.BDH("SRPT US Equity","ARDR_TOTAL_OPERATING_LIABILITIES","FQ4 2018","FQ4 2018","Currency=USD","Period=FQ","BEST_FPERIOD_OVERRIDE=FQ","FILING_STATUS=MR","Sort=A","Dates=H","DateFormat=P","Fill=—","Direction=H","UseDPDF=Y")</f>
        <v>—</v>
      </c>
      <c r="D111" s="13">
        <f>_xll.BDH("SRPT US Equity","ARDR_TOTAL_OPERATING_LIABILITIES","FQ1 2019","FQ1 2019","Currency=USD","Period=FQ","BEST_FPERIOD_OVERRIDE=FQ","FILING_STATUS=MR","Sort=A","Dates=H","DateFormat=P","Fill=—","Direction=H","UseDPDF=Y")</f>
        <v>58.929000000000002</v>
      </c>
      <c r="E111" s="13">
        <f>_xll.BDH("SRPT US Equity","ARDR_TOTAL_OPERATING_LIABILITIES","FQ2 2019","FQ2 2019","Currency=USD","Period=FQ","BEST_FPERIOD_OVERRIDE=FQ","FILING_STATUS=MR","Sort=A","Dates=H","DateFormat=P","Fill=—","Direction=H","UseDPDF=Y")</f>
        <v>57.37</v>
      </c>
      <c r="F111" s="13">
        <f>_xll.BDH("SRPT US Equity","ARDR_TOTAL_OPERATING_LIABILITIES","FQ3 2019","FQ3 2019","Currency=USD","Period=FQ","BEST_FPERIOD_OVERRIDE=FQ","FILING_STATUS=MR","Sort=A","Dates=H","DateFormat=P","Fill=—","Direction=H","UseDPDF=Y")</f>
        <v>57.337000000000003</v>
      </c>
      <c r="G111" s="13">
        <f>_xll.BDH("SRPT US Equity","ARDR_TOTAL_OPERATING_LIABILITIES","FQ4 2019","FQ4 2019","Currency=USD","Period=FQ","BEST_FPERIOD_OVERRIDE=FQ","FILING_STATUS=MR","Sort=A","Dates=H","DateFormat=P","Fill=—","Direction=H","UseDPDF=Y")</f>
        <v>55.566000000000003</v>
      </c>
      <c r="H111" s="13" t="str">
        <f>_xll.BDH("SRPT US Equity","ARDR_TOTAL_OPERATING_LIABILITIES","FQ1 2020","FQ1 2020","Currency=USD","Period=FQ","BEST_FPERIOD_OVERRIDE=FQ","FILING_STATUS=MR","Sort=A","Dates=H","DateFormat=P","Fill=—","Direction=H","UseDPDF=Y")</f>
        <v>—</v>
      </c>
      <c r="I111" s="13" t="str">
        <f>_xll.BDH("SRPT US Equity","ARDR_TOTAL_OPERATING_LIABILITIES","FQ2 2020","FQ2 2020","Currency=USD","Period=FQ","BEST_FPERIOD_OVERRIDE=FQ","FILING_STATUS=MR","Sort=A","Dates=H","DateFormat=P","Fill=—","Direction=H","UseDPDF=Y")</f>
        <v>—</v>
      </c>
      <c r="J111" s="13" t="str">
        <f>_xll.BDH("SRPT US Equity","ARDR_TOTAL_OPERATING_LIABILITIES","FQ3 2020","FQ3 2020","Currency=USD","Period=FQ","BEST_FPERIOD_OVERRIDE=FQ","FILING_STATUS=MR","Sort=A","Dates=H","DateFormat=P","Fill=—","Direction=H","UseDPDF=Y")</f>
        <v>—</v>
      </c>
      <c r="K111" s="13">
        <f>_xll.BDH("SRPT US Equity","ARDR_TOTAL_OPERATING_LIABILITIES","FQ4 2020","FQ4 2020","Currency=USD","Period=FQ","BEST_FPERIOD_OVERRIDE=FQ","FILING_STATUS=MR","Sort=A","Dates=H","DateFormat=P","Fill=—","Direction=H","UseDPDF=Y")</f>
        <v>101.297</v>
      </c>
      <c r="L111" s="13" t="str">
        <f>_xll.BDH("SRPT US Equity","ARDR_TOTAL_OPERATING_LIABILITIES","FQ1 2021","FQ1 2021","Currency=USD","Period=FQ","BEST_FPERIOD_OVERRIDE=FQ","FILING_STATUS=MR","Sort=A","Dates=H","DateFormat=P","Fill=—","Direction=H","UseDPDF=Y")</f>
        <v>—</v>
      </c>
      <c r="M111" s="13" t="str">
        <f>_xll.BDH("SRPT US Equity","ARDR_TOTAL_OPERATING_LIABILITIES","FQ2 2021","FQ2 2021","Currency=USD","Period=FQ","BEST_FPERIOD_OVERRIDE=FQ","FILING_STATUS=MR","Sort=A","Dates=H","DateFormat=P","Fill=—","Direction=H","UseDPDF=Y")</f>
        <v>—</v>
      </c>
      <c r="N111" s="13" t="str">
        <f>_xll.BDH("SRPT US Equity","ARDR_TOTAL_OPERATING_LIABILITIES","FQ3 2021","FQ3 2021","Currency=USD","Period=FQ","BEST_FPERIOD_OVERRIDE=FQ","FILING_STATUS=MR","Sort=A","Dates=H","DateFormat=P","Fill=—","Direction=H","UseDPDF=Y")</f>
        <v>—</v>
      </c>
      <c r="O111" s="13">
        <f>_xll.BDH("SRPT US Equity","ARDR_TOTAL_OPERATING_LIABILITIES","FQ4 2021","FQ4 2021","Currency=USD","Period=FQ","BEST_FPERIOD_OVERRIDE=FQ","FILING_STATUS=MR","Sort=A","Dates=H","DateFormat=P","Fill=—","Direction=H","UseDPDF=Y")</f>
        <v>56.561</v>
      </c>
      <c r="P111" s="13">
        <f>_xll.BDH("SRPT US Equity","ARDR_TOTAL_OPERATING_LIABILITIES","FQ1 2022","FQ1 2022","Currency=USD","Period=FQ","BEST_FPERIOD_OVERRIDE=FQ","FILING_STATUS=MR","Sort=A","Dates=H","DateFormat=P","Fill=—","Direction=H","UseDPDF=Y")</f>
        <v>38.619999999999997</v>
      </c>
      <c r="Q111" s="13">
        <f>_xll.BDH("SRPT US Equity","ARDR_TOTAL_OPERATING_LIABILITIES","FQ2 2022","FQ2 2022","Currency=USD","Period=FQ","BEST_FPERIOD_OVERRIDE=FQ","FILING_STATUS=MR","Sort=A","Dates=H","DateFormat=P","Fill=—","Direction=H","UseDPDF=Y")</f>
        <v>39.368000000000002</v>
      </c>
      <c r="R111" s="13">
        <f>_xll.BDH("SRPT US Equity","ARDR_TOTAL_OPERATING_LIABILITIES","FQ3 2022","FQ3 2022","Currency=USD","Period=FQ","BEST_FPERIOD_OVERRIDE=FQ","FILING_STATUS=MR","Sort=A","Dates=H","DateFormat=P","Fill=—","Direction=H","UseDPDF=Y")</f>
        <v>35.228999999999999</v>
      </c>
      <c r="S111" s="13">
        <f>_xll.BDH("SRPT US Equity","ARDR_TOTAL_OPERATING_LIABILITIES","FQ4 2022","FQ4 2022","Currency=USD","Period=FQ","BEST_FPERIOD_OVERRIDE=FQ","FILING_STATUS=MR","Sort=A","Dates=H","DateFormat=P","Fill=—","Direction=H","UseDPDF=Y")</f>
        <v>73.066999999999993</v>
      </c>
      <c r="T111" s="13">
        <f>_xll.BDH("SRPT US Equity","ARDR_TOTAL_OPERATING_LIABILITIES","FQ1 2023","FQ1 2023","Currency=USD","Period=FQ","BEST_FPERIOD_OVERRIDE=FQ","FILING_STATUS=MR","Sort=A","Dates=H","DateFormat=P","Fill=—","Direction=H","UseDPDF=Y")</f>
        <v>53.930999999999997</v>
      </c>
      <c r="U111" s="13">
        <f>_xll.BDH("SRPT US Equity","ARDR_TOTAL_OPERATING_LIABILITIES","FQ2 2023","FQ2 2023","Currency=USD","Period=FQ","BEST_FPERIOD_OVERRIDE=FQ","FILING_STATUS=MR","Sort=A","Dates=H","DateFormat=P","Fill=—","Direction=H","UseDPDF=Y")</f>
        <v>129.16999999999999</v>
      </c>
      <c r="V111" s="13">
        <f>_xll.BDH("SRPT US Equity","ARDR_TOTAL_OPERATING_LIABILITIES","FQ3 2023","FQ3 2023","Currency=USD","Period=FQ","BEST_FPERIOD_OVERRIDE=FQ","FILING_STATUS=MR","Sort=A","Dates=H","DateFormat=P","Fill=—","Direction=H","UseDPDF=Y")</f>
        <v>152.703</v>
      </c>
      <c r="W111" s="13">
        <f>_xll.BDH("SRPT US Equity","ARDR_TOTAL_OPERATING_LIABILITIES","FQ4 2023","FQ4 2023","Currency=USD","Period=FQ","BEST_FPERIOD_OVERRIDE=FQ","FILING_STATUS=MR","Sort=A","Dates=H","DateFormat=P","Fill=—","Direction=H","UseDPDF=Y")</f>
        <v>158.81</v>
      </c>
      <c r="X111" s="13">
        <f>_xll.BDH("SRPT US Equity","ARDR_TOTAL_OPERATING_LIABILITIES","FQ1 2024","FQ1 2024","Currency=USD","Period=FQ","BEST_FPERIOD_OVERRIDE=FQ","FILING_STATUS=MR","Sort=A","Dates=H","DateFormat=P","Fill=—","Direction=H","UseDPDF=Y")</f>
        <v>140.102</v>
      </c>
      <c r="Y111" s="13">
        <f>_xll.BDH("SRPT US Equity","ARDR_TOTAL_OPERATING_LIABILITIES","FQ2 2024","FQ2 2024","Currency=USD","Period=FQ","BEST_FPERIOD_OVERRIDE=FQ","FILING_STATUS=MR","Sort=A","Dates=H","DateFormat=P","Fill=—","Direction=H","UseDPDF=Y")</f>
        <v>143.601</v>
      </c>
      <c r="Z111" s="13">
        <f>_xll.BDH("SRPT US Equity","ARDR_TOTAL_OPERATING_LIABILITIES","FQ3 2024","FQ3 2024","Currency=USD","Period=FQ","BEST_FPERIOD_OVERRIDE=FQ","FILING_STATUS=MR","Sort=A","Dates=H","DateFormat=P","Fill=—","Direction=H","UseDPDF=Y")</f>
        <v>170.00899999999999</v>
      </c>
      <c r="AA111" s="13">
        <f>_xll.BDH("SRPT US Equity","ARDR_TOTAL_OPERATING_LIABILITIES","FQ4 2024","FQ4 2024","Currency=USD","Period=FQ","BEST_FPERIOD_OVERRIDE=FQ","FILING_STATUS=MR","Sort=A","Dates=H","DateFormat=P","Fill=—","Direction=H","UseDPDF=Y")</f>
        <v>192.47300000000001</v>
      </c>
    </row>
    <row r="112" spans="1:27" x14ac:dyDescent="0.25">
      <c r="A112" s="10" t="s">
        <v>1023</v>
      </c>
      <c r="B112" s="10" t="s">
        <v>1024</v>
      </c>
      <c r="C112" s="13">
        <f>_xll.BDH("SRPT US Equity","ARDR_FV_ASSETS_REC_LEVEL_1","FQ4 2018","FQ4 2018","Currency=USD","Period=FQ","BEST_FPERIOD_OVERRIDE=FQ","FILING_STATUS=MR","SCALING_FORMAT=MLN","Sort=A","Dates=H","DateFormat=P","Fill=—","Direction=H","UseDPDF=Y")</f>
        <v>849.36300000000006</v>
      </c>
      <c r="D112" s="13">
        <f>_xll.BDH("SRPT US Equity","ARDR_FV_ASSETS_REC_LEVEL_1","FQ1 2019","FQ1 2019","Currency=USD","Period=FQ","BEST_FPERIOD_OVERRIDE=FQ","FILING_STATUS=MR","SCALING_FORMAT=MLN","Sort=A","Dates=H","DateFormat=P","Fill=—","Direction=H","UseDPDF=Y")</f>
        <v>999.37300000000005</v>
      </c>
      <c r="E112" s="13">
        <f>_xll.BDH("SRPT US Equity","ARDR_FV_ASSETS_REC_LEVEL_1","FQ2 2019","FQ2 2019","Currency=USD","Period=FQ","BEST_FPERIOD_OVERRIDE=FQ","FILING_STATUS=MR","SCALING_FORMAT=MLN","Sort=A","Dates=H","DateFormat=P","Fill=—","Direction=H","UseDPDF=Y")</f>
        <v>881.41899999999998</v>
      </c>
      <c r="F112" s="13">
        <f>_xll.BDH("SRPT US Equity","ARDR_FV_ASSETS_REC_LEVEL_1","FQ3 2019","FQ3 2019","Currency=USD","Period=FQ","BEST_FPERIOD_OVERRIDE=FQ","FILING_STATUS=MR","SCALING_FORMAT=MLN","Sort=A","Dates=H","DateFormat=P","Fill=—","Direction=H","UseDPDF=Y")</f>
        <v>858.19100000000003</v>
      </c>
      <c r="G112" s="13">
        <f>_xll.BDH("SRPT US Equity","ARDR_FV_ASSETS_REC_LEVEL_1","FQ4 2019","FQ4 2019","Currency=USD","Period=FQ","BEST_FPERIOD_OVERRIDE=FQ","FILING_STATUS=MR","SCALING_FORMAT=MLN","Sort=A","Dates=H","DateFormat=P","Fill=—","Direction=H","UseDPDF=Y")</f>
        <v>1015.5069999999999</v>
      </c>
      <c r="H112" s="13">
        <f>_xll.BDH("SRPT US Equity","ARDR_FV_ASSETS_REC_LEVEL_1","FQ1 2020","FQ1 2020","Currency=USD","Period=FQ","BEST_FPERIOD_OVERRIDE=FQ","FILING_STATUS=MR","SCALING_FORMAT=MLN","Sort=A","Dates=H","DateFormat=P","Fill=—","Direction=H","UseDPDF=Y")</f>
        <v>1771.5060000000001</v>
      </c>
      <c r="I112" s="13">
        <f>_xll.BDH("SRPT US Equity","ARDR_FV_ASSETS_REC_LEVEL_1","FQ2 2020","FQ2 2020","Currency=USD","Period=FQ","BEST_FPERIOD_OVERRIDE=FQ","FILING_STATUS=MR","SCALING_FORMAT=MLN","Sort=A","Dates=H","DateFormat=P","Fill=—","Direction=H","UseDPDF=Y")</f>
        <v>1741.962</v>
      </c>
      <c r="J112" s="13">
        <f>_xll.BDH("SRPT US Equity","ARDR_FV_ASSETS_REC_LEVEL_1","FQ3 2020","FQ3 2020","Currency=USD","Period=FQ","BEST_FPERIOD_OVERRIDE=FQ","FILING_STATUS=MR","SCALING_FORMAT=MLN","Sort=A","Dates=H","DateFormat=P","Fill=—","Direction=H","UseDPDF=Y")</f>
        <v>1521.098</v>
      </c>
      <c r="K112" s="13">
        <f>_xll.BDH("SRPT US Equity","ARDR_FV_ASSETS_REC_LEVEL_1","FQ4 2020","FQ4 2020","Currency=USD","Period=FQ","BEST_FPERIOD_OVERRIDE=FQ","FILING_STATUS=MR","SCALING_FORMAT=MLN","Sort=A","Dates=H","DateFormat=P","Fill=—","Direction=H","UseDPDF=Y")</f>
        <v>1671.37</v>
      </c>
      <c r="L112" s="13">
        <f>_xll.BDH("SRPT US Equity","ARDR_FV_ASSETS_REC_LEVEL_1","FQ1 2021","FQ1 2021","Currency=USD","Period=FQ","BEST_FPERIOD_OVERRIDE=FQ","FILING_STATUS=MR","SCALING_FORMAT=MLN","Sort=A","Dates=H","DateFormat=P","Fill=—","Direction=H","UseDPDF=Y")</f>
        <v>1416.402</v>
      </c>
      <c r="M112" s="13">
        <f>_xll.BDH("SRPT US Equity","ARDR_FV_ASSETS_REC_LEVEL_1","FQ2 2021","FQ2 2021","Currency=USD","Period=FQ","BEST_FPERIOD_OVERRIDE=FQ","FILING_STATUS=MR","SCALING_FORMAT=MLN","Sort=A","Dates=H","DateFormat=P","Fill=—","Direction=H","UseDPDF=Y")</f>
        <v>1415.6579999999999</v>
      </c>
      <c r="N112" s="13">
        <f>_xll.BDH("SRPT US Equity","ARDR_FV_ASSETS_REC_LEVEL_1","FQ3 2021","FQ3 2021","Currency=USD","Period=FQ","BEST_FPERIOD_OVERRIDE=FQ","FILING_STATUS=MR","SCALING_FORMAT=MLN","Sort=A","Dates=H","DateFormat=P","Fill=—","Direction=H","UseDPDF=Y")</f>
        <v>1290.4179999999999</v>
      </c>
      <c r="O112" s="13">
        <f>_xll.BDH("SRPT US Equity","ARDR_FV_ASSETS_REC_LEVEL_1","FQ4 2021","FQ4 2021","Currency=USD","Period=FQ","BEST_FPERIOD_OVERRIDE=FQ","FILING_STATUS=MR","SCALING_FORMAT=MLN","Sort=A","Dates=H","DateFormat=P","Fill=—","Direction=H","UseDPDF=Y")</f>
        <v>1565.088</v>
      </c>
      <c r="P112" s="13">
        <f>_xll.BDH("SRPT US Equity","ARDR_FV_ASSETS_REC_LEVEL_1","FQ1 2022","FQ1 2022","Currency=USD","Period=FQ","BEST_FPERIOD_OVERRIDE=FQ","FILING_STATUS=MR","SCALING_FORMAT=MLN","Sort=A","Dates=H","DateFormat=P","Fill=—","Direction=H","UseDPDF=Y")</f>
        <v>662.33600000000001</v>
      </c>
      <c r="Q112" s="13">
        <f>_xll.BDH("SRPT US Equity","ARDR_FV_ASSETS_REC_LEVEL_1","FQ2 2022","FQ2 2022","Currency=USD","Period=FQ","BEST_FPERIOD_OVERRIDE=FQ","FILING_STATUS=MR","SCALING_FORMAT=MLN","Sort=A","Dates=H","DateFormat=P","Fill=—","Direction=H","UseDPDF=Y")</f>
        <v>464.88200000000001</v>
      </c>
      <c r="R112" s="13">
        <f>_xll.BDH("SRPT US Equity","ARDR_FV_ASSETS_REC_LEVEL_1","FQ3 2022","FQ3 2022","Currency=USD","Period=FQ","BEST_FPERIOD_OVERRIDE=FQ","FILING_STATUS=MR","SCALING_FORMAT=MLN","Sort=A","Dates=H","DateFormat=P","Fill=—","Direction=H","UseDPDF=Y")</f>
        <v>509.53300000000002</v>
      </c>
      <c r="S112" s="13">
        <f>_xll.BDH("SRPT US Equity","ARDR_FV_ASSETS_REC_LEVEL_1","FQ4 2022","FQ4 2022","Currency=USD","Period=FQ","BEST_FPERIOD_OVERRIDE=FQ","FILING_STATUS=MR","SCALING_FORMAT=MLN","Sort=A","Dates=H","DateFormat=P","Fill=—","Direction=H","UseDPDF=Y")</f>
        <v>467.87400000000002</v>
      </c>
      <c r="T112" s="13">
        <f>_xll.BDH("SRPT US Equity","ARDR_FV_ASSETS_REC_LEVEL_1","FQ1 2023","FQ1 2023","Currency=USD","Period=FQ","BEST_FPERIOD_OVERRIDE=FQ","FILING_STATUS=MR","SCALING_FORMAT=MLN","Sort=A","Dates=H","DateFormat=P","Fill=—","Direction=H","UseDPDF=Y")</f>
        <v>450.40699999999998</v>
      </c>
      <c r="U112" s="13">
        <f>_xll.BDH("SRPT US Equity","ARDR_FV_ASSETS_REC_LEVEL_1","FQ2 2023","FQ2 2023","Currency=USD","Period=FQ","BEST_FPERIOD_OVERRIDE=FQ","FILING_STATUS=MR","SCALING_FORMAT=MLN","Sort=A","Dates=H","DateFormat=P","Fill=—","Direction=H","UseDPDF=Y")</f>
        <v>404.863</v>
      </c>
      <c r="V112" s="13">
        <f>_xll.BDH("SRPT US Equity","ARDR_FV_ASSETS_REC_LEVEL_1","FQ3 2023","FQ3 2023","Currency=USD","Period=FQ","BEST_FPERIOD_OVERRIDE=FQ","FILING_STATUS=MR","SCALING_FORMAT=MLN","Sort=A","Dates=H","DateFormat=P","Fill=—","Direction=H","UseDPDF=Y")</f>
        <v>139.68199999999999</v>
      </c>
      <c r="W112" s="13">
        <f>_xll.BDH("SRPT US Equity","ARDR_FV_ASSETS_REC_LEVEL_1","FQ4 2023","FQ4 2023","Currency=USD","Period=FQ","BEST_FPERIOD_OVERRIDE=FQ","FILING_STATUS=MR","SCALING_FORMAT=MLN","Sort=A","Dates=H","DateFormat=P","Fill=—","Direction=H","UseDPDF=Y")</f>
        <v>69.445999999999998</v>
      </c>
      <c r="X112" s="13">
        <f>_xll.BDH("SRPT US Equity","ARDR_FV_ASSETS_REC_LEVEL_1","FQ1 2024","FQ1 2024","Currency=USD","Period=FQ","BEST_FPERIOD_OVERRIDE=FQ","FILING_STATUS=MR","SCALING_FORMAT=MLN","Sort=A","Dates=H","DateFormat=P","Fill=—","Direction=H","UseDPDF=Y")</f>
        <v>284.327</v>
      </c>
      <c r="Y112" s="13">
        <f>_xll.BDH("SRPT US Equity","ARDR_FV_ASSETS_REC_LEVEL_1","FQ2 2024","FQ2 2024","Currency=USD","Period=FQ","BEST_FPERIOD_OVERRIDE=FQ","FILING_STATUS=MR","SCALING_FORMAT=MLN","Sort=A","Dates=H","DateFormat=P","Fill=—","Direction=H","UseDPDF=Y")</f>
        <v>107.465</v>
      </c>
      <c r="Z112" s="13">
        <f>_xll.BDH("SRPT US Equity","ARDR_FV_ASSETS_REC_LEVEL_1","FQ3 2024","FQ3 2024","Currency=USD","Period=FQ","BEST_FPERIOD_OVERRIDE=FQ","FILING_STATUS=MR","SCALING_FORMAT=MLN","Sort=A","Dates=H","DateFormat=P","Fill=—","Direction=H","UseDPDF=Y")</f>
        <v>39.167999999999999</v>
      </c>
      <c r="AA112" s="13">
        <f>_xll.BDH("SRPT US Equity","ARDR_FV_ASSETS_REC_LEVEL_1","FQ4 2024","FQ4 2024","Currency=USD","Period=FQ","BEST_FPERIOD_OVERRIDE=FQ","FILING_STATUS=MR","SCALING_FORMAT=MLN","Sort=A","Dates=H","DateFormat=P","Fill=—","Direction=H","UseDPDF=Y")</f>
        <v>458.245</v>
      </c>
    </row>
    <row r="113" spans="1:27" x14ac:dyDescent="0.25">
      <c r="A113" s="10" t="s">
        <v>1025</v>
      </c>
      <c r="B113" s="10" t="s">
        <v>1026</v>
      </c>
      <c r="C113" s="13">
        <f>_xll.BDH("SRPT US Equity","ARDR_FV_ASSETS_REC_LEVEL_2","FQ4 2018","FQ4 2018","Currency=USD","Period=FQ","BEST_FPERIOD_OVERRIDE=FQ","FILING_STATUS=MR","SCALING_FORMAT=MLN","Sort=A","Dates=H","DateFormat=P","Fill=—","Direction=H","UseDPDF=Y")</f>
        <v>125.907</v>
      </c>
      <c r="D113" s="13">
        <f>_xll.BDH("SRPT US Equity","ARDR_FV_ASSETS_REC_LEVEL_2","FQ1 2019","FQ1 2019","Currency=USD","Period=FQ","BEST_FPERIOD_OVERRIDE=FQ","FILING_STATUS=MR","SCALING_FORMAT=MLN","Sort=A","Dates=H","DateFormat=P","Fill=—","Direction=H","UseDPDF=Y")</f>
        <v>65.778999999999996</v>
      </c>
      <c r="E113" s="13">
        <f>_xll.BDH("SRPT US Equity","ARDR_FV_ASSETS_REC_LEVEL_2","FQ2 2019","FQ2 2019","Currency=USD","Period=FQ","BEST_FPERIOD_OVERRIDE=FQ","FILING_STATUS=MR","SCALING_FORMAT=MLN","Sort=A","Dates=H","DateFormat=P","Fill=—","Direction=H","UseDPDF=Y")</f>
        <v>87.37</v>
      </c>
      <c r="F113" s="13">
        <f>_xll.BDH("SRPT US Equity","ARDR_FV_ASSETS_REC_LEVEL_2","FQ3 2019","FQ3 2019","Currency=USD","Period=FQ","BEST_FPERIOD_OVERRIDE=FQ","FILING_STATUS=MR","SCALING_FORMAT=MLN","Sort=A","Dates=H","DateFormat=P","Fill=—","Direction=H","UseDPDF=Y")</f>
        <v>9.984</v>
      </c>
      <c r="G113" s="13">
        <f>_xll.BDH("SRPT US Equity","ARDR_FV_ASSETS_REC_LEVEL_2","FQ4 2019","FQ4 2019","Currency=USD","Period=FQ","BEST_FPERIOD_OVERRIDE=FQ","FILING_STATUS=MR","SCALING_FORMAT=MLN","Sort=A","Dates=H","DateFormat=P","Fill=—","Direction=H","UseDPDF=Y")</f>
        <v>0</v>
      </c>
      <c r="H113" s="13">
        <f>_xll.BDH("SRPT US Equity","ARDR_FV_ASSETS_REC_LEVEL_2","FQ1 2020","FQ1 2020","Currency=USD","Period=FQ","BEST_FPERIOD_OVERRIDE=FQ","FILING_STATUS=MR","SCALING_FORMAT=MLN","Sort=A","Dates=H","DateFormat=P","Fill=—","Direction=H","UseDPDF=Y")</f>
        <v>0</v>
      </c>
      <c r="I113" s="13">
        <f>_xll.BDH("SRPT US Equity","ARDR_FV_ASSETS_REC_LEVEL_2","FQ2 2020","FQ2 2020","Currency=USD","Period=FQ","BEST_FPERIOD_OVERRIDE=FQ","FILING_STATUS=MR","SCALING_FORMAT=MLN","Sort=A","Dates=H","DateFormat=P","Fill=—","Direction=H","UseDPDF=Y")</f>
        <v>0</v>
      </c>
      <c r="J113" s="13">
        <f>_xll.BDH("SRPT US Equity","ARDR_FV_ASSETS_REC_LEVEL_2","FQ3 2020","FQ3 2020","Currency=USD","Period=FQ","BEST_FPERIOD_OVERRIDE=FQ","FILING_STATUS=MR","SCALING_FORMAT=MLN","Sort=A","Dates=H","DateFormat=P","Fill=—","Direction=H","UseDPDF=Y")</f>
        <v>0</v>
      </c>
      <c r="K113" s="13">
        <f>_xll.BDH("SRPT US Equity","ARDR_FV_ASSETS_REC_LEVEL_2","FQ4 2020","FQ4 2020","Currency=USD","Period=FQ","BEST_FPERIOD_OVERRIDE=FQ","FILING_STATUS=MR","SCALING_FORMAT=MLN","Sort=A","Dates=H","DateFormat=P","Fill=—","Direction=H","UseDPDF=Y")</f>
        <v>0</v>
      </c>
      <c r="L113" s="13">
        <f>_xll.BDH("SRPT US Equity","ARDR_FV_ASSETS_REC_LEVEL_2","FQ1 2021","FQ1 2021","Currency=USD","Period=FQ","BEST_FPERIOD_OVERRIDE=FQ","FILING_STATUS=MR","SCALING_FORMAT=MLN","Sort=A","Dates=H","DateFormat=P","Fill=—","Direction=H","UseDPDF=Y")</f>
        <v>0</v>
      </c>
      <c r="M113" s="13">
        <f>_xll.BDH("SRPT US Equity","ARDR_FV_ASSETS_REC_LEVEL_2","FQ2 2021","FQ2 2021","Currency=USD","Period=FQ","BEST_FPERIOD_OVERRIDE=FQ","FILING_STATUS=MR","SCALING_FORMAT=MLN","Sort=A","Dates=H","DateFormat=P","Fill=—","Direction=H","UseDPDF=Y")</f>
        <v>0</v>
      </c>
      <c r="N113" s="13">
        <f>_xll.BDH("SRPT US Equity","ARDR_FV_ASSETS_REC_LEVEL_2","FQ3 2021","FQ3 2021","Currency=USD","Period=FQ","BEST_FPERIOD_OVERRIDE=FQ","FILING_STATUS=MR","SCALING_FORMAT=MLN","Sort=A","Dates=H","DateFormat=P","Fill=—","Direction=H","UseDPDF=Y")</f>
        <v>0</v>
      </c>
      <c r="O113" s="13">
        <f>_xll.BDH("SRPT US Equity","ARDR_FV_ASSETS_REC_LEVEL_2","FQ4 2021","FQ4 2021","Currency=USD","Period=FQ","BEST_FPERIOD_OVERRIDE=FQ","FILING_STATUS=MR","SCALING_FORMAT=MLN","Sort=A","Dates=H","DateFormat=P","Fill=—","Direction=H","UseDPDF=Y")</f>
        <v>0</v>
      </c>
      <c r="P113" s="13">
        <f>_xll.BDH("SRPT US Equity","ARDR_FV_ASSETS_REC_LEVEL_2","FQ1 2022","FQ1 2022","Currency=USD","Period=FQ","BEST_FPERIOD_OVERRIDE=FQ","FILING_STATUS=MR","SCALING_FORMAT=MLN","Sort=A","Dates=H","DateFormat=P","Fill=—","Direction=H","UseDPDF=Y")</f>
        <v>904.38</v>
      </c>
      <c r="Q113" s="13">
        <f>_xll.BDH("SRPT US Equity","ARDR_FV_ASSETS_REC_LEVEL_2","FQ2 2022","FQ2 2022","Currency=USD","Period=FQ","BEST_FPERIOD_OVERRIDE=FQ","FILING_STATUS=MR","SCALING_FORMAT=MLN","Sort=A","Dates=H","DateFormat=P","Fill=—","Direction=H","UseDPDF=Y")</f>
        <v>1102.3910000000001</v>
      </c>
      <c r="R113" s="13">
        <f>_xll.BDH("SRPT US Equity","ARDR_FV_ASSETS_REC_LEVEL_2","FQ3 2022","FQ3 2022","Currency=USD","Period=FQ","BEST_FPERIOD_OVERRIDE=FQ","FILING_STATUS=MR","SCALING_FORMAT=MLN","Sort=A","Dates=H","DateFormat=P","Fill=—","Direction=H","UseDPDF=Y")</f>
        <v>1149.037</v>
      </c>
      <c r="S113" s="13">
        <f>_xll.BDH("SRPT US Equity","ARDR_FV_ASSETS_REC_LEVEL_2","FQ4 2022","FQ4 2022","Currency=USD","Period=FQ","BEST_FPERIOD_OVERRIDE=FQ","FILING_STATUS=MR","SCALING_FORMAT=MLN","Sort=A","Dates=H","DateFormat=P","Fill=—","Direction=H","UseDPDF=Y")</f>
        <v>1187.395</v>
      </c>
      <c r="T113" s="13">
        <f>_xll.BDH("SRPT US Equity","ARDR_FV_ASSETS_REC_LEVEL_2","FQ1 2023","FQ1 2023","Currency=USD","Period=FQ","BEST_FPERIOD_OVERRIDE=FQ","FILING_STATUS=MR","SCALING_FORMAT=MLN","Sort=A","Dates=H","DateFormat=P","Fill=—","Direction=H","UseDPDF=Y")</f>
        <v>1090.6410000000001</v>
      </c>
      <c r="U113" s="13">
        <f>_xll.BDH("SRPT US Equity","ARDR_FV_ASSETS_REC_LEVEL_2","FQ2 2023","FQ2 2023","Currency=USD","Period=FQ","BEST_FPERIOD_OVERRIDE=FQ","FILING_STATUS=MR","SCALING_FORMAT=MLN","Sort=A","Dates=H","DateFormat=P","Fill=—","Direction=H","UseDPDF=Y")</f>
        <v>1058.566</v>
      </c>
      <c r="V113" s="13">
        <f>_xll.BDH("SRPT US Equity","ARDR_FV_ASSETS_REC_LEVEL_2","FQ3 2023","FQ3 2023","Currency=USD","Period=FQ","BEST_FPERIOD_OVERRIDE=FQ","FILING_STATUS=MR","SCALING_FORMAT=MLN","Sort=A","Dates=H","DateFormat=P","Fill=—","Direction=H","UseDPDF=Y")</f>
        <v>1268.671</v>
      </c>
      <c r="W113" s="13">
        <f>_xll.BDH("SRPT US Equity","ARDR_FV_ASSETS_REC_LEVEL_2","FQ4 2023","FQ4 2023","Currency=USD","Period=FQ","BEST_FPERIOD_OVERRIDE=FQ","FILING_STATUS=MR","SCALING_FORMAT=MLN","Sort=A","Dates=H","DateFormat=P","Fill=—","Direction=H","UseDPDF=Y")</f>
        <v>1301.5</v>
      </c>
      <c r="X113" s="13">
        <f>_xll.BDH("SRPT US Equity","ARDR_FV_ASSETS_REC_LEVEL_2","FQ1 2024","FQ1 2024","Currency=USD","Period=FQ","BEST_FPERIOD_OVERRIDE=FQ","FILING_STATUS=MR","SCALING_FORMAT=MLN","Sort=A","Dates=H","DateFormat=P","Fill=—","Direction=H","UseDPDF=Y")</f>
        <v>997.37199999999996</v>
      </c>
      <c r="Y113" s="13">
        <f>_xll.BDH("SRPT US Equity","ARDR_FV_ASSETS_REC_LEVEL_2","FQ2 2024","FQ2 2024","Currency=USD","Period=FQ","BEST_FPERIOD_OVERRIDE=FQ","FILING_STATUS=MR","SCALING_FORMAT=MLN","Sort=A","Dates=H","DateFormat=P","Fill=—","Direction=H","UseDPDF=Y")</f>
        <v>1115.0309999999999</v>
      </c>
      <c r="Z113" s="13">
        <f>_xll.BDH("SRPT US Equity","ARDR_FV_ASSETS_REC_LEVEL_2","FQ3 2024","FQ3 2024","Currency=USD","Period=FQ","BEST_FPERIOD_OVERRIDE=FQ","FILING_STATUS=MR","SCALING_FORMAT=MLN","Sort=A","Dates=H","DateFormat=P","Fill=—","Direction=H","UseDPDF=Y")</f>
        <v>1217.7629999999999</v>
      </c>
      <c r="AA113" s="13">
        <f>_xll.BDH("SRPT US Equity","ARDR_FV_ASSETS_REC_LEVEL_2","FQ4 2024","FQ4 2024","Currency=USD","Period=FQ","BEST_FPERIOD_OVERRIDE=FQ","FILING_STATUS=MR","SCALING_FORMAT=MLN","Sort=A","Dates=H","DateFormat=P","Fill=—","Direction=H","UseDPDF=Y")</f>
        <v>384.94499999999999</v>
      </c>
    </row>
    <row r="114" spans="1:27" x14ac:dyDescent="0.25">
      <c r="A114" s="10" t="s">
        <v>1027</v>
      </c>
      <c r="B114" s="10" t="s">
        <v>1028</v>
      </c>
      <c r="C114" s="13">
        <f>_xll.BDH("SRPT US Equity","ARDR_FV_ASSETS_REC_LEVEL_3","FQ4 2018","FQ4 2018","Currency=USD","Period=FQ","BEST_FPERIOD_OVERRIDE=FQ","FILING_STATUS=MR","SCALING_FORMAT=MLN","Sort=A","Dates=H","DateFormat=P","Fill=—","Direction=H","UseDPDF=Y")</f>
        <v>30</v>
      </c>
      <c r="D114" s="13">
        <f>_xll.BDH("SRPT US Equity","ARDR_FV_ASSETS_REC_LEVEL_3","FQ1 2019","FQ1 2019","Currency=USD","Period=FQ","BEST_FPERIOD_OVERRIDE=FQ","FILING_STATUS=MR","SCALING_FORMAT=MLN","Sort=A","Dates=H","DateFormat=P","Fill=—","Direction=H","UseDPDF=Y")</f>
        <v>30</v>
      </c>
      <c r="E114" s="13">
        <f>_xll.BDH("SRPT US Equity","ARDR_FV_ASSETS_REC_LEVEL_3","FQ2 2019","FQ2 2019","Currency=USD","Period=FQ","BEST_FPERIOD_OVERRIDE=FQ","FILING_STATUS=MR","SCALING_FORMAT=MLN","Sort=A","Dates=H","DateFormat=P","Fill=—","Direction=H","UseDPDF=Y")</f>
        <v>30</v>
      </c>
      <c r="F114" s="13">
        <f>_xll.BDH("SRPT US Equity","ARDR_FV_ASSETS_REC_LEVEL_3","FQ3 2019","FQ3 2019","Currency=USD","Period=FQ","BEST_FPERIOD_OVERRIDE=FQ","FILING_STATUS=MR","SCALING_FORMAT=MLN","Sort=A","Dates=H","DateFormat=P","Fill=—","Direction=H","UseDPDF=Y")</f>
        <v>30</v>
      </c>
      <c r="G114" s="13">
        <f>_xll.BDH("SRPT US Equity","ARDR_FV_ASSETS_REC_LEVEL_3","FQ4 2019","FQ4 2019","Currency=USD","Period=FQ","BEST_FPERIOD_OVERRIDE=FQ","FILING_STATUS=MR","SCALING_FORMAT=MLN","Sort=A","Dates=H","DateFormat=P","Fill=—","Direction=H","UseDPDF=Y")</f>
        <v>30</v>
      </c>
      <c r="H114" s="13">
        <f>_xll.BDH("SRPT US Equity","ARDR_FV_ASSETS_REC_LEVEL_3","FQ1 2020","FQ1 2020","Currency=USD","Period=FQ","BEST_FPERIOD_OVERRIDE=FQ","FILING_STATUS=MR","SCALING_FORMAT=MLN","Sort=A","Dates=H","DateFormat=P","Fill=—","Direction=H","UseDPDF=Y")</f>
        <v>30</v>
      </c>
      <c r="I114" s="13">
        <f>_xll.BDH("SRPT US Equity","ARDR_FV_ASSETS_REC_LEVEL_3","FQ2 2020","FQ2 2020","Currency=USD","Period=FQ","BEST_FPERIOD_OVERRIDE=FQ","FILING_STATUS=MR","SCALING_FORMAT=MLN","Sort=A","Dates=H","DateFormat=P","Fill=—","Direction=H","UseDPDF=Y")</f>
        <v>30</v>
      </c>
      <c r="J114" s="13">
        <f>_xll.BDH("SRPT US Equity","ARDR_FV_ASSETS_REC_LEVEL_3","FQ3 2020","FQ3 2020","Currency=USD","Period=FQ","BEST_FPERIOD_OVERRIDE=FQ","FILING_STATUS=MR","SCALING_FORMAT=MLN","Sort=A","Dates=H","DateFormat=P","Fill=—","Direction=H","UseDPDF=Y")</f>
        <v>30</v>
      </c>
      <c r="K114" s="13">
        <f>_xll.BDH("SRPT US Equity","ARDR_FV_ASSETS_REC_LEVEL_3","FQ4 2020","FQ4 2020","Currency=USD","Period=FQ","BEST_FPERIOD_OVERRIDE=FQ","FILING_STATUS=MR","SCALING_FORMAT=MLN","Sort=A","Dates=H","DateFormat=P","Fill=—","Direction=H","UseDPDF=Y")</f>
        <v>35.1</v>
      </c>
      <c r="L114" s="13">
        <f>_xll.BDH("SRPT US Equity","ARDR_FV_ASSETS_REC_LEVEL_3","FQ1 2021","FQ1 2021","Currency=USD","Period=FQ","BEST_FPERIOD_OVERRIDE=FQ","FILING_STATUS=MR","SCALING_FORMAT=MLN","Sort=A","Dates=H","DateFormat=P","Fill=—","Direction=H","UseDPDF=Y")</f>
        <v>36.9</v>
      </c>
      <c r="M114" s="13">
        <f>_xll.BDH("SRPT US Equity","ARDR_FV_ASSETS_REC_LEVEL_3","FQ2 2021","FQ2 2021","Currency=USD","Period=FQ","BEST_FPERIOD_OVERRIDE=FQ","FILING_STATUS=MR","SCALING_FORMAT=MLN","Sort=A","Dates=H","DateFormat=P","Fill=—","Direction=H","UseDPDF=Y")</f>
        <v>36.9</v>
      </c>
      <c r="N114" s="13">
        <f>_xll.BDH("SRPT US Equity","ARDR_FV_ASSETS_REC_LEVEL_3","FQ3 2021","FQ3 2021","Currency=USD","Period=FQ","BEST_FPERIOD_OVERRIDE=FQ","FILING_STATUS=MR","SCALING_FORMAT=MLN","Sort=A","Dates=H","DateFormat=P","Fill=—","Direction=H","UseDPDF=Y")</f>
        <v>32.411999999999999</v>
      </c>
      <c r="O114" s="13">
        <f>_xll.BDH("SRPT US Equity","ARDR_FV_ASSETS_REC_LEVEL_3","FQ4 2021","FQ4 2021","Currency=USD","Period=FQ","BEST_FPERIOD_OVERRIDE=FQ","FILING_STATUS=MR","SCALING_FORMAT=MLN","Sort=A","Dates=H","DateFormat=P","Fill=—","Direction=H","UseDPDF=Y")</f>
        <v>32.411999999999999</v>
      </c>
      <c r="P114" s="13">
        <f>_xll.BDH("SRPT US Equity","ARDR_FV_ASSETS_REC_LEVEL_3","FQ1 2022","FQ1 2022","Currency=USD","Period=FQ","BEST_FPERIOD_OVERRIDE=FQ","FILING_STATUS=MR","SCALING_FORMAT=MLN","Sort=A","Dates=H","DateFormat=P","Fill=—","Direction=H","UseDPDF=Y")</f>
        <v>32.411999999999999</v>
      </c>
      <c r="Q114" s="13">
        <f>_xll.BDH("SRPT US Equity","ARDR_FV_ASSETS_REC_LEVEL_3","FQ2 2022","FQ2 2022","Currency=USD","Period=FQ","BEST_FPERIOD_OVERRIDE=FQ","FILING_STATUS=MR","SCALING_FORMAT=MLN","Sort=A","Dates=H","DateFormat=P","Fill=—","Direction=H","UseDPDF=Y")</f>
        <v>32.411999999999999</v>
      </c>
      <c r="R114" s="13">
        <f>_xll.BDH("SRPT US Equity","ARDR_FV_ASSETS_REC_LEVEL_3","FQ3 2022","FQ3 2022","Currency=USD","Period=FQ","BEST_FPERIOD_OVERRIDE=FQ","FILING_STATUS=MR","SCALING_FORMAT=MLN","Sort=A","Dates=H","DateFormat=P","Fill=—","Direction=H","UseDPDF=Y")</f>
        <v>32.575000000000003</v>
      </c>
      <c r="S114" s="13">
        <f>_xll.BDH("SRPT US Equity","ARDR_FV_ASSETS_REC_LEVEL_3","FQ4 2022","FQ4 2022","Currency=USD","Period=FQ","BEST_FPERIOD_OVERRIDE=FQ","FILING_STATUS=MR","SCALING_FORMAT=MLN","Sort=A","Dates=H","DateFormat=P","Fill=—","Direction=H","UseDPDF=Y")</f>
        <v>31</v>
      </c>
      <c r="T114" s="13">
        <f>_xll.BDH("SRPT US Equity","ARDR_FV_ASSETS_REC_LEVEL_3","FQ1 2023","FQ1 2023","Currency=USD","Period=FQ","BEST_FPERIOD_OVERRIDE=FQ","FILING_STATUS=MR","SCALING_FORMAT=MLN","Sort=A","Dates=H","DateFormat=P","Fill=—","Direction=H","UseDPDF=Y")</f>
        <v>31</v>
      </c>
      <c r="U114" s="13">
        <f>_xll.BDH("SRPT US Equity","ARDR_FV_ASSETS_REC_LEVEL_3","FQ2 2023","FQ2 2023","Currency=USD","Period=FQ","BEST_FPERIOD_OVERRIDE=FQ","FILING_STATUS=MR","SCALING_FORMAT=MLN","Sort=A","Dates=H","DateFormat=P","Fill=—","Direction=H","UseDPDF=Y")</f>
        <v>31</v>
      </c>
      <c r="V114" s="13">
        <f>_xll.BDH("SRPT US Equity","ARDR_FV_ASSETS_REC_LEVEL_3","FQ3 2023","FQ3 2023","Currency=USD","Period=FQ","BEST_FPERIOD_OVERRIDE=FQ","FILING_STATUS=MR","SCALING_FORMAT=MLN","Sort=A","Dates=H","DateFormat=P","Fill=—","Direction=H","UseDPDF=Y")</f>
        <v>7.5</v>
      </c>
      <c r="W114" s="13">
        <f>_xll.BDH("SRPT US Equity","ARDR_FV_ASSETS_REC_LEVEL_3","FQ4 2023","FQ4 2023","Currency=USD","Period=FQ","BEST_FPERIOD_OVERRIDE=FQ","FILING_STATUS=MR","SCALING_FORMAT=MLN","Sort=A","Dates=H","DateFormat=P","Fill=—","Direction=H","UseDPDF=Y")</f>
        <v>1</v>
      </c>
      <c r="X114" s="13">
        <f>_xll.BDH("SRPT US Equity","ARDR_FV_ASSETS_REC_LEVEL_3","FQ1 2024","FQ1 2024","Currency=USD","Period=FQ","BEST_FPERIOD_OVERRIDE=FQ","FILING_STATUS=MR","SCALING_FORMAT=MLN","Sort=A","Dates=H","DateFormat=P","Fill=—","Direction=H","UseDPDF=Y")</f>
        <v>1</v>
      </c>
      <c r="Y114" s="13">
        <f>_xll.BDH("SRPT US Equity","ARDR_FV_ASSETS_REC_LEVEL_3","FQ2 2024","FQ2 2024","Currency=USD","Period=FQ","BEST_FPERIOD_OVERRIDE=FQ","FILING_STATUS=MR","SCALING_FORMAT=MLN","Sort=A","Dates=H","DateFormat=P","Fill=—","Direction=H","UseDPDF=Y")</f>
        <v>1</v>
      </c>
      <c r="Z114" s="13">
        <f>_xll.BDH("SRPT US Equity","ARDR_FV_ASSETS_REC_LEVEL_3","FQ3 2024","FQ3 2024","Currency=USD","Period=FQ","BEST_FPERIOD_OVERRIDE=FQ","FILING_STATUS=MR","SCALING_FORMAT=MLN","Sort=A","Dates=H","DateFormat=P","Fill=—","Direction=H","UseDPDF=Y")</f>
        <v>1</v>
      </c>
      <c r="AA114" s="13">
        <f>_xll.BDH("SRPT US Equity","ARDR_FV_ASSETS_REC_LEVEL_3","FQ4 2024","FQ4 2024","Currency=USD","Period=FQ","BEST_FPERIOD_OVERRIDE=FQ","FILING_STATUS=MR","SCALING_FORMAT=MLN","Sort=A","Dates=H","DateFormat=P","Fill=—","Direction=H","UseDPDF=Y")</f>
        <v>1</v>
      </c>
    </row>
    <row r="115" spans="1:27" x14ac:dyDescent="0.25">
      <c r="A115" s="10" t="s">
        <v>1029</v>
      </c>
      <c r="B115" s="10" t="s">
        <v>1030</v>
      </c>
      <c r="C115" s="13">
        <f>_xll.BDH("SRPT US Equity","ARDR_FV_ASSETS_REC_TOTAL","FQ4 2018","FQ4 2018","Currency=USD","Period=FQ","BEST_FPERIOD_OVERRIDE=FQ","FILING_STATUS=MR","SCALING_FORMAT=MLN","Sort=A","Dates=H","DateFormat=P","Fill=—","Direction=H","UseDPDF=Y")</f>
        <v>1005.27</v>
      </c>
      <c r="D115" s="13">
        <f>_xll.BDH("SRPT US Equity","ARDR_FV_ASSETS_REC_TOTAL","FQ1 2019","FQ1 2019","Currency=USD","Period=FQ","BEST_FPERIOD_OVERRIDE=FQ","FILING_STATUS=MR","SCALING_FORMAT=MLN","Sort=A","Dates=H","DateFormat=P","Fill=—","Direction=H","UseDPDF=Y")</f>
        <v>1095.152</v>
      </c>
      <c r="E115" s="13">
        <f>_xll.BDH("SRPT US Equity","ARDR_FV_ASSETS_REC_TOTAL","FQ2 2019","FQ2 2019","Currency=USD","Period=FQ","BEST_FPERIOD_OVERRIDE=FQ","FILING_STATUS=MR","SCALING_FORMAT=MLN","Sort=A","Dates=H","DateFormat=P","Fill=—","Direction=H","UseDPDF=Y")</f>
        <v>998.78899999999999</v>
      </c>
      <c r="F115" s="13">
        <f>_xll.BDH("SRPT US Equity","ARDR_FV_ASSETS_REC_TOTAL","FQ3 2019","FQ3 2019","Currency=USD","Period=FQ","BEST_FPERIOD_OVERRIDE=FQ","FILING_STATUS=MR","SCALING_FORMAT=MLN","Sort=A","Dates=H","DateFormat=P","Fill=—","Direction=H","UseDPDF=Y")</f>
        <v>898.17499999999995</v>
      </c>
      <c r="G115" s="13">
        <f>_xll.BDH("SRPT US Equity","ARDR_FV_ASSETS_REC_TOTAL","FQ4 2019","FQ4 2019","Currency=USD","Period=FQ","BEST_FPERIOD_OVERRIDE=FQ","FILING_STATUS=MR","SCALING_FORMAT=MLN","Sort=A","Dates=H","DateFormat=P","Fill=—","Direction=H","UseDPDF=Y")</f>
        <v>1045.5070000000001</v>
      </c>
      <c r="H115" s="13">
        <f>_xll.BDH("SRPT US Equity","ARDR_FV_ASSETS_REC_TOTAL","FQ1 2020","FQ1 2020","Currency=USD","Period=FQ","BEST_FPERIOD_OVERRIDE=FQ","FILING_STATUS=MR","SCALING_FORMAT=MLN","Sort=A","Dates=H","DateFormat=P","Fill=—","Direction=H","UseDPDF=Y")</f>
        <v>1801.5060000000001</v>
      </c>
      <c r="I115" s="13">
        <f>_xll.BDH("SRPT US Equity","ARDR_FV_ASSETS_REC_TOTAL","FQ2 2020","FQ2 2020","Currency=USD","Period=FQ","BEST_FPERIOD_OVERRIDE=FQ","FILING_STATUS=MR","SCALING_FORMAT=MLN","Sort=A","Dates=H","DateFormat=P","Fill=—","Direction=H","UseDPDF=Y")</f>
        <v>1771.962</v>
      </c>
      <c r="J115" s="13">
        <f>_xll.BDH("SRPT US Equity","ARDR_FV_ASSETS_REC_TOTAL","FQ3 2020","FQ3 2020","Currency=USD","Period=FQ","BEST_FPERIOD_OVERRIDE=FQ","FILING_STATUS=MR","SCALING_FORMAT=MLN","Sort=A","Dates=H","DateFormat=P","Fill=—","Direction=H","UseDPDF=Y")</f>
        <v>1551.098</v>
      </c>
      <c r="K115" s="13">
        <f>_xll.BDH("SRPT US Equity","ARDR_FV_ASSETS_REC_TOTAL","FQ4 2020","FQ4 2020","Currency=USD","Period=FQ","BEST_FPERIOD_OVERRIDE=FQ","FILING_STATUS=MR","SCALING_FORMAT=MLN","Sort=A","Dates=H","DateFormat=P","Fill=—","Direction=H","UseDPDF=Y")</f>
        <v>1706.47</v>
      </c>
      <c r="L115" s="13">
        <f>_xll.BDH("SRPT US Equity","ARDR_FV_ASSETS_REC_TOTAL","FQ1 2021","FQ1 2021","Currency=USD","Period=FQ","BEST_FPERIOD_OVERRIDE=FQ","FILING_STATUS=MR","SCALING_FORMAT=MLN","Sort=A","Dates=H","DateFormat=P","Fill=—","Direction=H","UseDPDF=Y")</f>
        <v>1453.3019999999999</v>
      </c>
      <c r="M115" s="13">
        <f>_xll.BDH("SRPT US Equity","ARDR_FV_ASSETS_REC_TOTAL","FQ2 2021","FQ2 2021","Currency=USD","Period=FQ","BEST_FPERIOD_OVERRIDE=FQ","FILING_STATUS=MR","SCALING_FORMAT=MLN","Sort=A","Dates=H","DateFormat=P","Fill=—","Direction=H","UseDPDF=Y")</f>
        <v>1452.558</v>
      </c>
      <c r="N115" s="13">
        <f>_xll.BDH("SRPT US Equity","ARDR_FV_ASSETS_REC_TOTAL","FQ3 2021","FQ3 2021","Currency=USD","Period=FQ","BEST_FPERIOD_OVERRIDE=FQ","FILING_STATUS=MR","SCALING_FORMAT=MLN","Sort=A","Dates=H","DateFormat=P","Fill=—","Direction=H","UseDPDF=Y")</f>
        <v>1322.83</v>
      </c>
      <c r="O115" s="13">
        <f>_xll.BDH("SRPT US Equity","ARDR_FV_ASSETS_REC_TOTAL","FQ4 2021","FQ4 2021","Currency=USD","Period=FQ","BEST_FPERIOD_OVERRIDE=FQ","FILING_STATUS=MR","SCALING_FORMAT=MLN","Sort=A","Dates=H","DateFormat=P","Fill=—","Direction=H","UseDPDF=Y")</f>
        <v>1597.5</v>
      </c>
      <c r="P115" s="13">
        <f>_xll.BDH("SRPT US Equity","ARDR_FV_ASSETS_REC_TOTAL","FQ1 2022","FQ1 2022","Currency=USD","Period=FQ","BEST_FPERIOD_OVERRIDE=FQ","FILING_STATUS=MR","SCALING_FORMAT=MLN","Sort=A","Dates=H","DateFormat=P","Fill=—","Direction=H","UseDPDF=Y")</f>
        <v>1599.1279999999999</v>
      </c>
      <c r="Q115" s="13">
        <f>_xll.BDH("SRPT US Equity","ARDR_FV_ASSETS_REC_TOTAL","FQ2 2022","FQ2 2022","Currency=USD","Period=FQ","BEST_FPERIOD_OVERRIDE=FQ","FILING_STATUS=MR","SCALING_FORMAT=MLN","Sort=A","Dates=H","DateFormat=P","Fill=—","Direction=H","UseDPDF=Y")</f>
        <v>1599.6849999999999</v>
      </c>
      <c r="R115" s="13">
        <f>_xll.BDH("SRPT US Equity","ARDR_FV_ASSETS_REC_TOTAL","FQ3 2022","FQ3 2022","Currency=USD","Period=FQ","BEST_FPERIOD_OVERRIDE=FQ","FILING_STATUS=MR","SCALING_FORMAT=MLN","Sort=A","Dates=H","DateFormat=P","Fill=—","Direction=H","UseDPDF=Y")</f>
        <v>1691.145</v>
      </c>
      <c r="S115" s="13">
        <f>_xll.BDH("SRPT US Equity","ARDR_FV_ASSETS_REC_TOTAL","FQ4 2022","FQ4 2022","Currency=USD","Period=FQ","BEST_FPERIOD_OVERRIDE=FQ","FILING_STATUS=MR","SCALING_FORMAT=MLN","Sort=A","Dates=H","DateFormat=P","Fill=—","Direction=H","UseDPDF=Y")</f>
        <v>1686.269</v>
      </c>
      <c r="T115" s="13">
        <f>_xll.BDH("SRPT US Equity","ARDR_FV_ASSETS_REC_TOTAL","FQ1 2023","FQ1 2023","Currency=USD","Period=FQ","BEST_FPERIOD_OVERRIDE=FQ","FILING_STATUS=MR","SCALING_FORMAT=MLN","Sort=A","Dates=H","DateFormat=P","Fill=—","Direction=H","UseDPDF=Y")</f>
        <v>1572.048</v>
      </c>
      <c r="U115" s="13">
        <f>_xll.BDH("SRPT US Equity","ARDR_FV_ASSETS_REC_TOTAL","FQ2 2023","FQ2 2023","Currency=USD","Period=FQ","BEST_FPERIOD_OVERRIDE=FQ","FILING_STATUS=MR","SCALING_FORMAT=MLN","Sort=A","Dates=H","DateFormat=P","Fill=—","Direction=H","UseDPDF=Y")</f>
        <v>1494.4290000000001</v>
      </c>
      <c r="V115" s="13">
        <f>_xll.BDH("SRPT US Equity","ARDR_FV_ASSETS_REC_TOTAL","FQ3 2023","FQ3 2023","Currency=USD","Period=FQ","BEST_FPERIOD_OVERRIDE=FQ","FILING_STATUS=MR","SCALING_FORMAT=MLN","Sort=A","Dates=H","DateFormat=P","Fill=—","Direction=H","UseDPDF=Y")</f>
        <v>1415.8530000000001</v>
      </c>
      <c r="W115" s="13">
        <f>_xll.BDH("SRPT US Equity","ARDR_FV_ASSETS_REC_TOTAL","FQ4 2023","FQ4 2023","Currency=USD","Period=FQ","BEST_FPERIOD_OVERRIDE=FQ","FILING_STATUS=MR","SCALING_FORMAT=MLN","Sort=A","Dates=H","DateFormat=P","Fill=—","Direction=H","UseDPDF=Y")</f>
        <v>1371.9459999999999</v>
      </c>
      <c r="X115" s="13">
        <f>_xll.BDH("SRPT US Equity","ARDR_FV_ASSETS_REC_TOTAL","FQ1 2024","FQ1 2024","Currency=USD","Period=FQ","BEST_FPERIOD_OVERRIDE=FQ","FILING_STATUS=MR","SCALING_FORMAT=MLN","Sort=A","Dates=H","DateFormat=P","Fill=—","Direction=H","UseDPDF=Y")</f>
        <v>1282.6990000000001</v>
      </c>
      <c r="Y115" s="13">
        <f>_xll.BDH("SRPT US Equity","ARDR_FV_ASSETS_REC_TOTAL","FQ2 2024","FQ2 2024","Currency=USD","Period=FQ","BEST_FPERIOD_OVERRIDE=FQ","FILING_STATUS=MR","SCALING_FORMAT=MLN","Sort=A","Dates=H","DateFormat=P","Fill=—","Direction=H","UseDPDF=Y")</f>
        <v>1223.4960000000001</v>
      </c>
      <c r="Z115" s="13">
        <f>_xll.BDH("SRPT US Equity","ARDR_FV_ASSETS_REC_TOTAL","FQ3 2024","FQ3 2024","Currency=USD","Period=FQ","BEST_FPERIOD_OVERRIDE=FQ","FILING_STATUS=MR","SCALING_FORMAT=MLN","Sort=A","Dates=H","DateFormat=P","Fill=—","Direction=H","UseDPDF=Y")</f>
        <v>1257.931</v>
      </c>
      <c r="AA115" s="13">
        <f>_xll.BDH("SRPT US Equity","ARDR_FV_ASSETS_REC_TOTAL","FQ4 2024","FQ4 2024","Currency=USD","Period=FQ","BEST_FPERIOD_OVERRIDE=FQ","FILING_STATUS=MR","SCALING_FORMAT=MLN","Sort=A","Dates=H","DateFormat=P","Fill=—","Direction=H","UseDPDF=Y")</f>
        <v>844.19</v>
      </c>
    </row>
    <row r="116" spans="1:27" x14ac:dyDescent="0.25">
      <c r="A116" s="10" t="s">
        <v>1031</v>
      </c>
      <c r="B116" s="10" t="s">
        <v>1032</v>
      </c>
      <c r="C116" s="13" t="str">
        <f>_xll.BDH("SRPT US Equity","ARDR_FV_LIAB_REC_LEVEL_1","FQ4 2018","FQ4 2018","Currency=USD","Period=FQ","BEST_FPERIOD_OVERRIDE=FQ","FILING_STATUS=MR","SCALING_FORMAT=MLN","Sort=A","Dates=H","DateFormat=P","Fill=—","Direction=H","UseDPDF=Y")</f>
        <v>—</v>
      </c>
      <c r="D116" s="13" t="str">
        <f>_xll.BDH("SRPT US Equity","ARDR_FV_LIAB_REC_LEVEL_1","FQ1 2019","FQ1 2019","Currency=USD","Period=FQ","BEST_FPERIOD_OVERRIDE=FQ","FILING_STATUS=MR","SCALING_FORMAT=MLN","Sort=A","Dates=H","DateFormat=P","Fill=—","Direction=H","UseDPDF=Y")</f>
        <v>—</v>
      </c>
      <c r="E116" s="13">
        <f>_xll.BDH("SRPT US Equity","ARDR_FV_LIAB_REC_LEVEL_1","FQ2 2019","FQ2 2019","Currency=USD","Period=FQ","BEST_FPERIOD_OVERRIDE=FQ","FILING_STATUS=MR","SCALING_FORMAT=MLN","Sort=A","Dates=H","DateFormat=P","Fill=—","Direction=H","UseDPDF=Y")</f>
        <v>0</v>
      </c>
      <c r="F116" s="13">
        <f>_xll.BDH("SRPT US Equity","ARDR_FV_LIAB_REC_LEVEL_1","FQ3 2019","FQ3 2019","Currency=USD","Period=FQ","BEST_FPERIOD_OVERRIDE=FQ","FILING_STATUS=MR","SCALING_FORMAT=MLN","Sort=A","Dates=H","DateFormat=P","Fill=—","Direction=H","UseDPDF=Y")</f>
        <v>0</v>
      </c>
      <c r="G116" s="13">
        <f>_xll.BDH("SRPT US Equity","ARDR_FV_LIAB_REC_LEVEL_1","FQ4 2019","FQ4 2019","Currency=USD","Period=FQ","BEST_FPERIOD_OVERRIDE=FQ","FILING_STATUS=MR","SCALING_FORMAT=MLN","Sort=A","Dates=H","DateFormat=P","Fill=—","Direction=H","UseDPDF=Y")</f>
        <v>0</v>
      </c>
      <c r="H116" s="13">
        <f>_xll.BDH("SRPT US Equity","ARDR_FV_LIAB_REC_LEVEL_1","FQ1 2020","FQ1 2020","Currency=USD","Period=FQ","BEST_FPERIOD_OVERRIDE=FQ","FILING_STATUS=MR","SCALING_FORMAT=MLN","Sort=A","Dates=H","DateFormat=P","Fill=—","Direction=H","UseDPDF=Y")</f>
        <v>0</v>
      </c>
      <c r="I116" s="13">
        <f>_xll.BDH("SRPT US Equity","ARDR_FV_LIAB_REC_LEVEL_1","FQ2 2020","FQ2 2020","Currency=USD","Period=FQ","BEST_FPERIOD_OVERRIDE=FQ","FILING_STATUS=MR","SCALING_FORMAT=MLN","Sort=A","Dates=H","DateFormat=P","Fill=—","Direction=H","UseDPDF=Y")</f>
        <v>0</v>
      </c>
      <c r="J116" s="13">
        <f>_xll.BDH("SRPT US Equity","ARDR_FV_LIAB_REC_LEVEL_1","FQ3 2020","FQ3 2020","Currency=USD","Period=FQ","BEST_FPERIOD_OVERRIDE=FQ","FILING_STATUS=MR","SCALING_FORMAT=MLN","Sort=A","Dates=H","DateFormat=P","Fill=—","Direction=H","UseDPDF=Y")</f>
        <v>0</v>
      </c>
      <c r="K116" s="13">
        <f>_xll.BDH("SRPT US Equity","ARDR_FV_LIAB_REC_LEVEL_1","FQ4 2020","FQ4 2020","Currency=USD","Period=FQ","BEST_FPERIOD_OVERRIDE=FQ","FILING_STATUS=MR","SCALING_FORMAT=MLN","Sort=A","Dates=H","DateFormat=P","Fill=—","Direction=H","UseDPDF=Y")</f>
        <v>0</v>
      </c>
      <c r="L116" s="13">
        <f>_xll.BDH("SRPT US Equity","ARDR_FV_LIAB_REC_LEVEL_1","FQ1 2021","FQ1 2021","Currency=USD","Period=FQ","BEST_FPERIOD_OVERRIDE=FQ","FILING_STATUS=MR","SCALING_FORMAT=MLN","Sort=A","Dates=H","DateFormat=P","Fill=—","Direction=H","UseDPDF=Y")</f>
        <v>0</v>
      </c>
      <c r="M116" s="13">
        <f>_xll.BDH("SRPT US Equity","ARDR_FV_LIAB_REC_LEVEL_1","FQ2 2021","FQ2 2021","Currency=USD","Period=FQ","BEST_FPERIOD_OVERRIDE=FQ","FILING_STATUS=MR","SCALING_FORMAT=MLN","Sort=A","Dates=H","DateFormat=P","Fill=—","Direction=H","UseDPDF=Y")</f>
        <v>0</v>
      </c>
      <c r="N116" s="13">
        <f>_xll.BDH("SRPT US Equity","ARDR_FV_LIAB_REC_LEVEL_1","FQ3 2021","FQ3 2021","Currency=USD","Period=FQ","BEST_FPERIOD_OVERRIDE=FQ","FILING_STATUS=MR","SCALING_FORMAT=MLN","Sort=A","Dates=H","DateFormat=P","Fill=—","Direction=H","UseDPDF=Y")</f>
        <v>0</v>
      </c>
      <c r="O116" s="13">
        <f>_xll.BDH("SRPT US Equity","ARDR_FV_LIAB_REC_LEVEL_1","FQ4 2021","FQ4 2021","Currency=USD","Period=FQ","BEST_FPERIOD_OVERRIDE=FQ","FILING_STATUS=MR","SCALING_FORMAT=MLN","Sort=A","Dates=H","DateFormat=P","Fill=—","Direction=H","UseDPDF=Y")</f>
        <v>0</v>
      </c>
      <c r="P116" s="13">
        <f>_xll.BDH("SRPT US Equity","ARDR_FV_LIAB_REC_LEVEL_1","FQ1 2022","FQ1 2022","Currency=USD","Period=FQ","BEST_FPERIOD_OVERRIDE=FQ","FILING_STATUS=MR","SCALING_FORMAT=MLN","Sort=A","Dates=H","DateFormat=P","Fill=—","Direction=H","UseDPDF=Y")</f>
        <v>0</v>
      </c>
      <c r="Q116" s="13">
        <f>_xll.BDH("SRPT US Equity","ARDR_FV_LIAB_REC_LEVEL_1","FQ2 2022","FQ2 2022","Currency=USD","Period=FQ","BEST_FPERIOD_OVERRIDE=FQ","FILING_STATUS=MR","SCALING_FORMAT=MLN","Sort=A","Dates=H","DateFormat=P","Fill=—","Direction=H","UseDPDF=Y")</f>
        <v>0</v>
      </c>
      <c r="R116" s="13">
        <f>_xll.BDH("SRPT US Equity","ARDR_FV_LIAB_REC_LEVEL_1","FQ3 2022","FQ3 2022","Currency=USD","Period=FQ","BEST_FPERIOD_OVERRIDE=FQ","FILING_STATUS=MR","SCALING_FORMAT=MLN","Sort=A","Dates=H","DateFormat=P","Fill=—","Direction=H","UseDPDF=Y")</f>
        <v>0</v>
      </c>
      <c r="S116" s="13">
        <f>_xll.BDH("SRPT US Equity","ARDR_FV_LIAB_REC_LEVEL_1","FQ4 2022","FQ4 2022","Currency=USD","Period=FQ","BEST_FPERIOD_OVERRIDE=FQ","FILING_STATUS=MR","SCALING_FORMAT=MLN","Sort=A","Dates=H","DateFormat=P","Fill=—","Direction=H","UseDPDF=Y")</f>
        <v>0</v>
      </c>
      <c r="T116" s="13">
        <f>_xll.BDH("SRPT US Equity","ARDR_FV_LIAB_REC_LEVEL_1","FQ1 2023","FQ1 2023","Currency=USD","Period=FQ","BEST_FPERIOD_OVERRIDE=FQ","FILING_STATUS=MR","SCALING_FORMAT=MLN","Sort=A","Dates=H","DateFormat=P","Fill=—","Direction=H","UseDPDF=Y")</f>
        <v>0</v>
      </c>
      <c r="U116" s="13">
        <f>_xll.BDH("SRPT US Equity","ARDR_FV_LIAB_REC_LEVEL_1","FQ2 2023","FQ2 2023","Currency=USD","Period=FQ","BEST_FPERIOD_OVERRIDE=FQ","FILING_STATUS=MR","SCALING_FORMAT=MLN","Sort=A","Dates=H","DateFormat=P","Fill=—","Direction=H","UseDPDF=Y")</f>
        <v>0</v>
      </c>
      <c r="V116" s="13">
        <f>_xll.BDH("SRPT US Equity","ARDR_FV_LIAB_REC_LEVEL_1","FQ3 2023","FQ3 2023","Currency=USD","Period=FQ","BEST_FPERIOD_OVERRIDE=FQ","FILING_STATUS=MR","SCALING_FORMAT=MLN","Sort=A","Dates=H","DateFormat=P","Fill=—","Direction=H","UseDPDF=Y")</f>
        <v>0</v>
      </c>
      <c r="W116" s="13">
        <f>_xll.BDH("SRPT US Equity","ARDR_FV_LIAB_REC_LEVEL_1","FQ4 2023","FQ4 2023","Currency=USD","Period=FQ","BEST_FPERIOD_OVERRIDE=FQ","FILING_STATUS=MR","SCALING_FORMAT=MLN","Sort=A","Dates=H","DateFormat=P","Fill=—","Direction=H","UseDPDF=Y")</f>
        <v>0</v>
      </c>
      <c r="X116" s="13">
        <f>_xll.BDH("SRPT US Equity","ARDR_FV_LIAB_REC_LEVEL_1","FQ1 2024","FQ1 2024","Currency=USD","Period=FQ","BEST_FPERIOD_OVERRIDE=FQ","FILING_STATUS=MR","SCALING_FORMAT=MLN","Sort=A","Dates=H","DateFormat=P","Fill=—","Direction=H","UseDPDF=Y")</f>
        <v>0</v>
      </c>
      <c r="Y116" s="13">
        <f>_xll.BDH("SRPT US Equity","ARDR_FV_LIAB_REC_LEVEL_1","FQ2 2024","FQ2 2024","Currency=USD","Period=FQ","BEST_FPERIOD_OVERRIDE=FQ","FILING_STATUS=MR","SCALING_FORMAT=MLN","Sort=A","Dates=H","DateFormat=P","Fill=—","Direction=H","UseDPDF=Y")</f>
        <v>0</v>
      </c>
      <c r="Z116" s="13">
        <f>_xll.BDH("SRPT US Equity","ARDR_FV_LIAB_REC_LEVEL_1","FQ3 2024","FQ3 2024","Currency=USD","Period=FQ","BEST_FPERIOD_OVERRIDE=FQ","FILING_STATUS=MR","SCALING_FORMAT=MLN","Sort=A","Dates=H","DateFormat=P","Fill=—","Direction=H","UseDPDF=Y")</f>
        <v>0</v>
      </c>
      <c r="AA116" s="13">
        <f>_xll.BDH("SRPT US Equity","ARDR_FV_LIAB_REC_LEVEL_1","FQ4 2024","FQ4 2024","Currency=USD","Period=FQ","BEST_FPERIOD_OVERRIDE=FQ","FILING_STATUS=MR","SCALING_FORMAT=MLN","Sort=A","Dates=H","DateFormat=P","Fill=—","Direction=H","UseDPDF=Y")</f>
        <v>0</v>
      </c>
    </row>
    <row r="117" spans="1:27" x14ac:dyDescent="0.25">
      <c r="A117" s="10" t="s">
        <v>1033</v>
      </c>
      <c r="B117" s="10" t="s">
        <v>1034</v>
      </c>
      <c r="C117" s="13" t="str">
        <f>_xll.BDH("SRPT US Equity","ARDR_FV_LIAB_REC_LEVEL_2","FQ4 2018","FQ4 2018","Currency=USD","Period=FQ","BEST_FPERIOD_OVERRIDE=FQ","FILING_STATUS=MR","SCALING_FORMAT=MLN","Sort=A","Dates=H","DateFormat=P","Fill=—","Direction=H","UseDPDF=Y")</f>
        <v>—</v>
      </c>
      <c r="D117" s="13" t="str">
        <f>_xll.BDH("SRPT US Equity","ARDR_FV_LIAB_REC_LEVEL_2","FQ1 2019","FQ1 2019","Currency=USD","Period=FQ","BEST_FPERIOD_OVERRIDE=FQ","FILING_STATUS=MR","SCALING_FORMAT=MLN","Sort=A","Dates=H","DateFormat=P","Fill=—","Direction=H","UseDPDF=Y")</f>
        <v>—</v>
      </c>
      <c r="E117" s="13">
        <f>_xll.BDH("SRPT US Equity","ARDR_FV_LIAB_REC_LEVEL_2","FQ2 2019","FQ2 2019","Currency=USD","Period=FQ","BEST_FPERIOD_OVERRIDE=FQ","FILING_STATUS=MR","SCALING_FORMAT=MLN","Sort=A","Dates=H","DateFormat=P","Fill=—","Direction=H","UseDPDF=Y")</f>
        <v>0</v>
      </c>
      <c r="F117" s="13">
        <f>_xll.BDH("SRPT US Equity","ARDR_FV_LIAB_REC_LEVEL_2","FQ3 2019","FQ3 2019","Currency=USD","Period=FQ","BEST_FPERIOD_OVERRIDE=FQ","FILING_STATUS=MR","SCALING_FORMAT=MLN","Sort=A","Dates=H","DateFormat=P","Fill=—","Direction=H","UseDPDF=Y")</f>
        <v>0</v>
      </c>
      <c r="G117" s="13">
        <f>_xll.BDH("SRPT US Equity","ARDR_FV_LIAB_REC_LEVEL_2","FQ4 2019","FQ4 2019","Currency=USD","Period=FQ","BEST_FPERIOD_OVERRIDE=FQ","FILING_STATUS=MR","SCALING_FORMAT=MLN","Sort=A","Dates=H","DateFormat=P","Fill=—","Direction=H","UseDPDF=Y")</f>
        <v>0</v>
      </c>
      <c r="H117" s="13">
        <f>_xll.BDH("SRPT US Equity","ARDR_FV_LIAB_REC_LEVEL_2","FQ1 2020","FQ1 2020","Currency=USD","Period=FQ","BEST_FPERIOD_OVERRIDE=FQ","FILING_STATUS=MR","SCALING_FORMAT=MLN","Sort=A","Dates=H","DateFormat=P","Fill=—","Direction=H","UseDPDF=Y")</f>
        <v>0</v>
      </c>
      <c r="I117" s="13">
        <f>_xll.BDH("SRPT US Equity","ARDR_FV_LIAB_REC_LEVEL_2","FQ2 2020","FQ2 2020","Currency=USD","Period=FQ","BEST_FPERIOD_OVERRIDE=FQ","FILING_STATUS=MR","SCALING_FORMAT=MLN","Sort=A","Dates=H","DateFormat=P","Fill=—","Direction=H","UseDPDF=Y")</f>
        <v>0</v>
      </c>
      <c r="J117" s="13">
        <f>_xll.BDH("SRPT US Equity","ARDR_FV_LIAB_REC_LEVEL_2","FQ3 2020","FQ3 2020","Currency=USD","Period=FQ","BEST_FPERIOD_OVERRIDE=FQ","FILING_STATUS=MR","SCALING_FORMAT=MLN","Sort=A","Dates=H","DateFormat=P","Fill=—","Direction=H","UseDPDF=Y")</f>
        <v>0</v>
      </c>
      <c r="K117" s="13">
        <f>_xll.BDH("SRPT US Equity","ARDR_FV_LIAB_REC_LEVEL_2","FQ4 2020","FQ4 2020","Currency=USD","Period=FQ","BEST_FPERIOD_OVERRIDE=FQ","FILING_STATUS=MR","SCALING_FORMAT=MLN","Sort=A","Dates=H","DateFormat=P","Fill=—","Direction=H","UseDPDF=Y")</f>
        <v>0</v>
      </c>
      <c r="L117" s="13">
        <f>_xll.BDH("SRPT US Equity","ARDR_FV_LIAB_REC_LEVEL_2","FQ1 2021","FQ1 2021","Currency=USD","Period=FQ","BEST_FPERIOD_OVERRIDE=FQ","FILING_STATUS=MR","SCALING_FORMAT=MLN","Sort=A","Dates=H","DateFormat=P","Fill=—","Direction=H","UseDPDF=Y")</f>
        <v>0</v>
      </c>
      <c r="M117" s="13">
        <f>_xll.BDH("SRPT US Equity","ARDR_FV_LIAB_REC_LEVEL_2","FQ2 2021","FQ2 2021","Currency=USD","Period=FQ","BEST_FPERIOD_OVERRIDE=FQ","FILING_STATUS=MR","SCALING_FORMAT=MLN","Sort=A","Dates=H","DateFormat=P","Fill=—","Direction=H","UseDPDF=Y")</f>
        <v>0</v>
      </c>
      <c r="N117" s="13">
        <f>_xll.BDH("SRPT US Equity","ARDR_FV_LIAB_REC_LEVEL_2","FQ3 2021","FQ3 2021","Currency=USD","Period=FQ","BEST_FPERIOD_OVERRIDE=FQ","FILING_STATUS=MR","SCALING_FORMAT=MLN","Sort=A","Dates=H","DateFormat=P","Fill=—","Direction=H","UseDPDF=Y")</f>
        <v>0</v>
      </c>
      <c r="O117" s="13">
        <f>_xll.BDH("SRPT US Equity","ARDR_FV_LIAB_REC_LEVEL_2","FQ4 2021","FQ4 2021","Currency=USD","Period=FQ","BEST_FPERIOD_OVERRIDE=FQ","FILING_STATUS=MR","SCALING_FORMAT=MLN","Sort=A","Dates=H","DateFormat=P","Fill=—","Direction=H","UseDPDF=Y")</f>
        <v>0</v>
      </c>
      <c r="P117" s="13">
        <f>_xll.BDH("SRPT US Equity","ARDR_FV_LIAB_REC_LEVEL_2","FQ1 2022","FQ1 2022","Currency=USD","Period=FQ","BEST_FPERIOD_OVERRIDE=FQ","FILING_STATUS=MR","SCALING_FORMAT=MLN","Sort=A","Dates=H","DateFormat=P","Fill=—","Direction=H","UseDPDF=Y")</f>
        <v>0</v>
      </c>
      <c r="Q117" s="13">
        <f>_xll.BDH("SRPT US Equity","ARDR_FV_LIAB_REC_LEVEL_2","FQ2 2022","FQ2 2022","Currency=USD","Period=FQ","BEST_FPERIOD_OVERRIDE=FQ","FILING_STATUS=MR","SCALING_FORMAT=MLN","Sort=A","Dates=H","DateFormat=P","Fill=—","Direction=H","UseDPDF=Y")</f>
        <v>0</v>
      </c>
      <c r="R117" s="13">
        <f>_xll.BDH("SRPT US Equity","ARDR_FV_LIAB_REC_LEVEL_2","FQ3 2022","FQ3 2022","Currency=USD","Period=FQ","BEST_FPERIOD_OVERRIDE=FQ","FILING_STATUS=MR","SCALING_FORMAT=MLN","Sort=A","Dates=H","DateFormat=P","Fill=—","Direction=H","UseDPDF=Y")</f>
        <v>0</v>
      </c>
      <c r="S117" s="13">
        <f>_xll.BDH("SRPT US Equity","ARDR_FV_LIAB_REC_LEVEL_2","FQ4 2022","FQ4 2022","Currency=USD","Period=FQ","BEST_FPERIOD_OVERRIDE=FQ","FILING_STATUS=MR","SCALING_FORMAT=MLN","Sort=A","Dates=H","DateFormat=P","Fill=—","Direction=H","UseDPDF=Y")</f>
        <v>0</v>
      </c>
      <c r="T117" s="13">
        <f>_xll.BDH("SRPT US Equity","ARDR_FV_LIAB_REC_LEVEL_2","FQ1 2023","FQ1 2023","Currency=USD","Period=FQ","BEST_FPERIOD_OVERRIDE=FQ","FILING_STATUS=MR","SCALING_FORMAT=MLN","Sort=A","Dates=H","DateFormat=P","Fill=—","Direction=H","UseDPDF=Y")</f>
        <v>0</v>
      </c>
      <c r="U117" s="13">
        <f>_xll.BDH("SRPT US Equity","ARDR_FV_LIAB_REC_LEVEL_2","FQ2 2023","FQ2 2023","Currency=USD","Period=FQ","BEST_FPERIOD_OVERRIDE=FQ","FILING_STATUS=MR","SCALING_FORMAT=MLN","Sort=A","Dates=H","DateFormat=P","Fill=—","Direction=H","UseDPDF=Y")</f>
        <v>0</v>
      </c>
      <c r="V117" s="13">
        <f>_xll.BDH("SRPT US Equity","ARDR_FV_LIAB_REC_LEVEL_2","FQ3 2023","FQ3 2023","Currency=USD","Period=FQ","BEST_FPERIOD_OVERRIDE=FQ","FILING_STATUS=MR","SCALING_FORMAT=MLN","Sort=A","Dates=H","DateFormat=P","Fill=—","Direction=H","UseDPDF=Y")</f>
        <v>0</v>
      </c>
      <c r="W117" s="13">
        <f>_xll.BDH("SRPT US Equity","ARDR_FV_LIAB_REC_LEVEL_2","FQ4 2023","FQ4 2023","Currency=USD","Period=FQ","BEST_FPERIOD_OVERRIDE=FQ","FILING_STATUS=MR","SCALING_FORMAT=MLN","Sort=A","Dates=H","DateFormat=P","Fill=—","Direction=H","UseDPDF=Y")</f>
        <v>0</v>
      </c>
      <c r="X117" s="13">
        <f>_xll.BDH("SRPT US Equity","ARDR_FV_LIAB_REC_LEVEL_2","FQ1 2024","FQ1 2024","Currency=USD","Period=FQ","BEST_FPERIOD_OVERRIDE=FQ","FILING_STATUS=MR","SCALING_FORMAT=MLN","Sort=A","Dates=H","DateFormat=P","Fill=—","Direction=H","UseDPDF=Y")</f>
        <v>0</v>
      </c>
      <c r="Y117" s="13">
        <f>_xll.BDH("SRPT US Equity","ARDR_FV_LIAB_REC_LEVEL_2","FQ2 2024","FQ2 2024","Currency=USD","Period=FQ","BEST_FPERIOD_OVERRIDE=FQ","FILING_STATUS=MR","SCALING_FORMAT=MLN","Sort=A","Dates=H","DateFormat=P","Fill=—","Direction=H","UseDPDF=Y")</f>
        <v>0</v>
      </c>
      <c r="Z117" s="13">
        <f>_xll.BDH("SRPT US Equity","ARDR_FV_LIAB_REC_LEVEL_2","FQ3 2024","FQ3 2024","Currency=USD","Period=FQ","BEST_FPERIOD_OVERRIDE=FQ","FILING_STATUS=MR","SCALING_FORMAT=MLN","Sort=A","Dates=H","DateFormat=P","Fill=—","Direction=H","UseDPDF=Y")</f>
        <v>0</v>
      </c>
      <c r="AA117" s="13">
        <f>_xll.BDH("SRPT US Equity","ARDR_FV_LIAB_REC_LEVEL_2","FQ4 2024","FQ4 2024","Currency=USD","Period=FQ","BEST_FPERIOD_OVERRIDE=FQ","FILING_STATUS=MR","SCALING_FORMAT=MLN","Sort=A","Dates=H","DateFormat=P","Fill=—","Direction=H","UseDPDF=Y")</f>
        <v>0</v>
      </c>
    </row>
    <row r="118" spans="1:27" x14ac:dyDescent="0.25">
      <c r="A118" s="10" t="s">
        <v>1035</v>
      </c>
      <c r="B118" s="10" t="s">
        <v>1036</v>
      </c>
      <c r="C118" s="13" t="str">
        <f>_xll.BDH("SRPT US Equity","ARDR_FV_LIAB_REC_LEVEL_3","FQ4 2018","FQ4 2018","Currency=USD","Period=FQ","BEST_FPERIOD_OVERRIDE=FQ","FILING_STATUS=MR","SCALING_FORMAT=MLN","Sort=A","Dates=H","DateFormat=P","Fill=—","Direction=H","UseDPDF=Y")</f>
        <v>—</v>
      </c>
      <c r="D118" s="13" t="str">
        <f>_xll.BDH("SRPT US Equity","ARDR_FV_LIAB_REC_LEVEL_3","FQ1 2019","FQ1 2019","Currency=USD","Period=FQ","BEST_FPERIOD_OVERRIDE=FQ","FILING_STATUS=MR","SCALING_FORMAT=MLN","Sort=A","Dates=H","DateFormat=P","Fill=—","Direction=H","UseDPDF=Y")</f>
        <v>—</v>
      </c>
      <c r="E118" s="13">
        <f>_xll.BDH("SRPT US Equity","ARDR_FV_LIAB_REC_LEVEL_3","FQ2 2019","FQ2 2019","Currency=USD","Period=FQ","BEST_FPERIOD_OVERRIDE=FQ","FILING_STATUS=MR","SCALING_FORMAT=MLN","Sort=A","Dates=H","DateFormat=P","Fill=—","Direction=H","UseDPDF=Y")</f>
        <v>5.2</v>
      </c>
      <c r="F118" s="13">
        <f>_xll.BDH("SRPT US Equity","ARDR_FV_LIAB_REC_LEVEL_3","FQ3 2019","FQ3 2019","Currency=USD","Period=FQ","BEST_FPERIOD_OVERRIDE=FQ","FILING_STATUS=MR","SCALING_FORMAT=MLN","Sort=A","Dates=H","DateFormat=P","Fill=—","Direction=H","UseDPDF=Y")</f>
        <v>5.2</v>
      </c>
      <c r="G118" s="13">
        <f>_xll.BDH("SRPT US Equity","ARDR_FV_LIAB_REC_LEVEL_3","FQ4 2019","FQ4 2019","Currency=USD","Period=FQ","BEST_FPERIOD_OVERRIDE=FQ","FILING_STATUS=MR","SCALING_FORMAT=MLN","Sort=A","Dates=H","DateFormat=P","Fill=—","Direction=H","UseDPDF=Y")</f>
        <v>5.2</v>
      </c>
      <c r="H118" s="13">
        <f>_xll.BDH("SRPT US Equity","ARDR_FV_LIAB_REC_LEVEL_3","FQ1 2020","FQ1 2020","Currency=USD","Period=FQ","BEST_FPERIOD_OVERRIDE=FQ","FILING_STATUS=MR","SCALING_FORMAT=MLN","Sort=A","Dates=H","DateFormat=P","Fill=—","Direction=H","UseDPDF=Y")</f>
        <v>5.2</v>
      </c>
      <c r="I118" s="13">
        <f>_xll.BDH("SRPT US Equity","ARDR_FV_LIAB_REC_LEVEL_3","FQ2 2020","FQ2 2020","Currency=USD","Period=FQ","BEST_FPERIOD_OVERRIDE=FQ","FILING_STATUS=MR","SCALING_FORMAT=MLN","Sort=A","Dates=H","DateFormat=P","Fill=—","Direction=H","UseDPDF=Y")</f>
        <v>5.2</v>
      </c>
      <c r="J118" s="13">
        <f>_xll.BDH("SRPT US Equity","ARDR_FV_LIAB_REC_LEVEL_3","FQ3 2020","FQ3 2020","Currency=USD","Period=FQ","BEST_FPERIOD_OVERRIDE=FQ","FILING_STATUS=MR","SCALING_FORMAT=MLN","Sort=A","Dates=H","DateFormat=P","Fill=—","Direction=H","UseDPDF=Y")</f>
        <v>50.5</v>
      </c>
      <c r="K118" s="13">
        <f>_xll.BDH("SRPT US Equity","ARDR_FV_LIAB_REC_LEVEL_3","FQ4 2020","FQ4 2020","Currency=USD","Period=FQ","BEST_FPERIOD_OVERRIDE=FQ","FILING_STATUS=MR","SCALING_FORMAT=MLN","Sort=A","Dates=H","DateFormat=P","Fill=—","Direction=H","UseDPDF=Y")</f>
        <v>50.8</v>
      </c>
      <c r="L118" s="13">
        <f>_xll.BDH("SRPT US Equity","ARDR_FV_LIAB_REC_LEVEL_3","FQ1 2021","FQ1 2021","Currency=USD","Period=FQ","BEST_FPERIOD_OVERRIDE=FQ","FILING_STATUS=MR","SCALING_FORMAT=MLN","Sort=A","Dates=H","DateFormat=P","Fill=—","Direction=H","UseDPDF=Y")</f>
        <v>50.8</v>
      </c>
      <c r="M118" s="13">
        <f>_xll.BDH("SRPT US Equity","ARDR_FV_LIAB_REC_LEVEL_3","FQ2 2021","FQ2 2021","Currency=USD","Period=FQ","BEST_FPERIOD_OVERRIDE=FQ","FILING_STATUS=MR","SCALING_FORMAT=MLN","Sort=A","Dates=H","DateFormat=P","Fill=—","Direction=H","UseDPDF=Y")</f>
        <v>50.8</v>
      </c>
      <c r="N118" s="13">
        <f>_xll.BDH("SRPT US Equity","ARDR_FV_LIAB_REC_LEVEL_3","FQ3 2021","FQ3 2021","Currency=USD","Period=FQ","BEST_FPERIOD_OVERRIDE=FQ","FILING_STATUS=MR","SCALING_FORMAT=MLN","Sort=A","Dates=H","DateFormat=P","Fill=—","Direction=H","UseDPDF=Y")</f>
        <v>43.6</v>
      </c>
      <c r="O118" s="13">
        <f>_xll.BDH("SRPT US Equity","ARDR_FV_LIAB_REC_LEVEL_3","FQ4 2021","FQ4 2021","Currency=USD","Period=FQ","BEST_FPERIOD_OVERRIDE=FQ","FILING_STATUS=MR","SCALING_FORMAT=MLN","Sort=A","Dates=H","DateFormat=P","Fill=—","Direction=H","UseDPDF=Y")</f>
        <v>43.6</v>
      </c>
      <c r="P118" s="13">
        <f>_xll.BDH("SRPT US Equity","ARDR_FV_LIAB_REC_LEVEL_3","FQ1 2022","FQ1 2022","Currency=USD","Period=FQ","BEST_FPERIOD_OVERRIDE=FQ","FILING_STATUS=MR","SCALING_FORMAT=MLN","Sort=A","Dates=H","DateFormat=P","Fill=—","Direction=H","UseDPDF=Y")</f>
        <v>43.6</v>
      </c>
      <c r="Q118" s="13">
        <f>_xll.BDH("SRPT US Equity","ARDR_FV_LIAB_REC_LEVEL_3","FQ2 2022","FQ2 2022","Currency=USD","Period=FQ","BEST_FPERIOD_OVERRIDE=FQ","FILING_STATUS=MR","SCALING_FORMAT=MLN","Sort=A","Dates=H","DateFormat=P","Fill=—","Direction=H","UseDPDF=Y")</f>
        <v>43.6</v>
      </c>
      <c r="R118" s="13">
        <f>_xll.BDH("SRPT US Equity","ARDR_FV_LIAB_REC_LEVEL_3","FQ3 2022","FQ3 2022","Currency=USD","Period=FQ","BEST_FPERIOD_OVERRIDE=FQ","FILING_STATUS=MR","SCALING_FORMAT=MLN","Sort=A","Dates=H","DateFormat=P","Fill=—","Direction=H","UseDPDF=Y")</f>
        <v>36.9</v>
      </c>
      <c r="S118" s="13">
        <f>_xll.BDH("SRPT US Equity","ARDR_FV_LIAB_REC_LEVEL_3","FQ4 2022","FQ4 2022","Currency=USD","Period=FQ","BEST_FPERIOD_OVERRIDE=FQ","FILING_STATUS=MR","SCALING_FORMAT=MLN","Sort=A","Dates=H","DateFormat=P","Fill=—","Direction=H","UseDPDF=Y")</f>
        <v>36.9</v>
      </c>
      <c r="T118" s="13">
        <f>_xll.BDH("SRPT US Equity","ARDR_FV_LIAB_REC_LEVEL_3","FQ1 2023","FQ1 2023","Currency=USD","Period=FQ","BEST_FPERIOD_OVERRIDE=FQ","FILING_STATUS=MR","SCALING_FORMAT=MLN","Sort=A","Dates=H","DateFormat=P","Fill=—","Direction=H","UseDPDF=Y")</f>
        <v>36.9</v>
      </c>
      <c r="U118" s="13">
        <f>_xll.BDH("SRPT US Equity","ARDR_FV_LIAB_REC_LEVEL_3","FQ2 2023","FQ2 2023","Currency=USD","Period=FQ","BEST_FPERIOD_OVERRIDE=FQ","FILING_STATUS=MR","SCALING_FORMAT=MLN","Sort=A","Dates=H","DateFormat=P","Fill=—","Direction=H","UseDPDF=Y")</f>
        <v>36.1</v>
      </c>
      <c r="V118" s="13">
        <f>_xll.BDH("SRPT US Equity","ARDR_FV_LIAB_REC_LEVEL_3","FQ3 2023","FQ3 2023","Currency=USD","Period=FQ","BEST_FPERIOD_OVERRIDE=FQ","FILING_STATUS=MR","SCALING_FORMAT=MLN","Sort=A","Dates=H","DateFormat=P","Fill=—","Direction=H","UseDPDF=Y")</f>
        <v>38.1</v>
      </c>
      <c r="W118" s="13">
        <f>_xll.BDH("SRPT US Equity","ARDR_FV_LIAB_REC_LEVEL_3","FQ4 2023","FQ4 2023","Currency=USD","Period=FQ","BEST_FPERIOD_OVERRIDE=FQ","FILING_STATUS=MR","SCALING_FORMAT=MLN","Sort=A","Dates=H","DateFormat=P","Fill=—","Direction=H","UseDPDF=Y")</f>
        <v>38.1</v>
      </c>
      <c r="X118" s="13">
        <f>_xll.BDH("SRPT US Equity","ARDR_FV_LIAB_REC_LEVEL_3","FQ1 2024","FQ1 2024","Currency=USD","Period=FQ","BEST_FPERIOD_OVERRIDE=FQ","FILING_STATUS=MR","SCALING_FORMAT=MLN","Sort=A","Dates=H","DateFormat=P","Fill=—","Direction=H","UseDPDF=Y")</f>
        <v>48.2</v>
      </c>
      <c r="Y118" s="13">
        <f>_xll.BDH("SRPT US Equity","ARDR_FV_LIAB_REC_LEVEL_3","FQ2 2024","FQ2 2024","Currency=USD","Period=FQ","BEST_FPERIOD_OVERRIDE=FQ","FILING_STATUS=MR","SCALING_FORMAT=MLN","Sort=A","Dates=H","DateFormat=P","Fill=—","Direction=H","UseDPDF=Y")</f>
        <v>48.2</v>
      </c>
      <c r="Z118" s="13">
        <f>_xll.BDH("SRPT US Equity","ARDR_FV_LIAB_REC_LEVEL_3","FQ3 2024","FQ3 2024","Currency=USD","Period=FQ","BEST_FPERIOD_OVERRIDE=FQ","FILING_STATUS=MR","SCALING_FORMAT=MLN","Sort=A","Dates=H","DateFormat=P","Fill=—","Direction=H","UseDPDF=Y")</f>
        <v>47.4</v>
      </c>
      <c r="AA118" s="13">
        <f>_xll.BDH("SRPT US Equity","ARDR_FV_LIAB_REC_LEVEL_3","FQ4 2024","FQ4 2024","Currency=USD","Period=FQ","BEST_FPERIOD_OVERRIDE=FQ","FILING_STATUS=MR","SCALING_FORMAT=MLN","Sort=A","Dates=H","DateFormat=P","Fill=—","Direction=H","UseDPDF=Y")</f>
        <v>47.4</v>
      </c>
    </row>
    <row r="119" spans="1:27" x14ac:dyDescent="0.25">
      <c r="A119" s="10" t="s">
        <v>1037</v>
      </c>
      <c r="B119" s="10" t="s">
        <v>1038</v>
      </c>
      <c r="C119" s="13" t="str">
        <f>_xll.BDH("SRPT US Equity","ARDR_FV_LIAB_REC_TOTAL","FQ4 2018","FQ4 2018","Currency=USD","Period=FQ","BEST_FPERIOD_OVERRIDE=FQ","FILING_STATUS=MR","SCALING_FORMAT=MLN","Sort=A","Dates=H","DateFormat=P","Fill=—","Direction=H","UseDPDF=Y")</f>
        <v>—</v>
      </c>
      <c r="D119" s="13" t="str">
        <f>_xll.BDH("SRPT US Equity","ARDR_FV_LIAB_REC_TOTAL","FQ1 2019","FQ1 2019","Currency=USD","Period=FQ","BEST_FPERIOD_OVERRIDE=FQ","FILING_STATUS=MR","SCALING_FORMAT=MLN","Sort=A","Dates=H","DateFormat=P","Fill=—","Direction=H","UseDPDF=Y")</f>
        <v>—</v>
      </c>
      <c r="E119" s="13">
        <f>_xll.BDH("SRPT US Equity","ARDR_FV_LIAB_REC_TOTAL","FQ2 2019","FQ2 2019","Currency=USD","Period=FQ","BEST_FPERIOD_OVERRIDE=FQ","FILING_STATUS=MR","SCALING_FORMAT=MLN","Sort=A","Dates=H","DateFormat=P","Fill=—","Direction=H","UseDPDF=Y")</f>
        <v>5.2</v>
      </c>
      <c r="F119" s="13">
        <f>_xll.BDH("SRPT US Equity","ARDR_FV_LIAB_REC_TOTAL","FQ3 2019","FQ3 2019","Currency=USD","Period=FQ","BEST_FPERIOD_OVERRIDE=FQ","FILING_STATUS=MR","SCALING_FORMAT=MLN","Sort=A","Dates=H","DateFormat=P","Fill=—","Direction=H","UseDPDF=Y")</f>
        <v>5.2</v>
      </c>
      <c r="G119" s="13">
        <f>_xll.BDH("SRPT US Equity","ARDR_FV_LIAB_REC_TOTAL","FQ4 2019","FQ4 2019","Currency=USD","Period=FQ","BEST_FPERIOD_OVERRIDE=FQ","FILING_STATUS=MR","SCALING_FORMAT=MLN","Sort=A","Dates=H","DateFormat=P","Fill=—","Direction=H","UseDPDF=Y")</f>
        <v>5.2</v>
      </c>
      <c r="H119" s="13">
        <f>_xll.BDH("SRPT US Equity","ARDR_FV_LIAB_REC_TOTAL","FQ1 2020","FQ1 2020","Currency=USD","Period=FQ","BEST_FPERIOD_OVERRIDE=FQ","FILING_STATUS=MR","SCALING_FORMAT=MLN","Sort=A","Dates=H","DateFormat=P","Fill=—","Direction=H","UseDPDF=Y")</f>
        <v>5.2</v>
      </c>
      <c r="I119" s="13">
        <f>_xll.BDH("SRPT US Equity","ARDR_FV_LIAB_REC_TOTAL","FQ2 2020","FQ2 2020","Currency=USD","Period=FQ","BEST_FPERIOD_OVERRIDE=FQ","FILING_STATUS=MR","SCALING_FORMAT=MLN","Sort=A","Dates=H","DateFormat=P","Fill=—","Direction=H","UseDPDF=Y")</f>
        <v>5.2</v>
      </c>
      <c r="J119" s="13">
        <f>_xll.BDH("SRPT US Equity","ARDR_FV_LIAB_REC_TOTAL","FQ3 2020","FQ3 2020","Currency=USD","Period=FQ","BEST_FPERIOD_OVERRIDE=FQ","FILING_STATUS=MR","SCALING_FORMAT=MLN","Sort=A","Dates=H","DateFormat=P","Fill=—","Direction=H","UseDPDF=Y")</f>
        <v>50.5</v>
      </c>
      <c r="K119" s="13">
        <f>_xll.BDH("SRPT US Equity","ARDR_FV_LIAB_REC_TOTAL","FQ4 2020","FQ4 2020","Currency=USD","Period=FQ","BEST_FPERIOD_OVERRIDE=FQ","FILING_STATUS=MR","SCALING_FORMAT=MLN","Sort=A","Dates=H","DateFormat=P","Fill=—","Direction=H","UseDPDF=Y")</f>
        <v>50.8</v>
      </c>
      <c r="L119" s="13">
        <f>_xll.BDH("SRPT US Equity","ARDR_FV_LIAB_REC_TOTAL","FQ1 2021","FQ1 2021","Currency=USD","Period=FQ","BEST_FPERIOD_OVERRIDE=FQ","FILING_STATUS=MR","SCALING_FORMAT=MLN","Sort=A","Dates=H","DateFormat=P","Fill=—","Direction=H","UseDPDF=Y")</f>
        <v>50.8</v>
      </c>
      <c r="M119" s="13">
        <f>_xll.BDH("SRPT US Equity","ARDR_FV_LIAB_REC_TOTAL","FQ2 2021","FQ2 2021","Currency=USD","Period=FQ","BEST_FPERIOD_OVERRIDE=FQ","FILING_STATUS=MR","SCALING_FORMAT=MLN","Sort=A","Dates=H","DateFormat=P","Fill=—","Direction=H","UseDPDF=Y")</f>
        <v>50.8</v>
      </c>
      <c r="N119" s="13">
        <f>_xll.BDH("SRPT US Equity","ARDR_FV_LIAB_REC_TOTAL","FQ3 2021","FQ3 2021","Currency=USD","Period=FQ","BEST_FPERIOD_OVERRIDE=FQ","FILING_STATUS=MR","SCALING_FORMAT=MLN","Sort=A","Dates=H","DateFormat=P","Fill=—","Direction=H","UseDPDF=Y")</f>
        <v>43.6</v>
      </c>
      <c r="O119" s="13">
        <f>_xll.BDH("SRPT US Equity","ARDR_FV_LIAB_REC_TOTAL","FQ4 2021","FQ4 2021","Currency=USD","Period=FQ","BEST_FPERIOD_OVERRIDE=FQ","FILING_STATUS=MR","SCALING_FORMAT=MLN","Sort=A","Dates=H","DateFormat=P","Fill=—","Direction=H","UseDPDF=Y")</f>
        <v>43.6</v>
      </c>
      <c r="P119" s="13">
        <f>_xll.BDH("SRPT US Equity","ARDR_FV_LIAB_REC_TOTAL","FQ1 2022","FQ1 2022","Currency=USD","Period=FQ","BEST_FPERIOD_OVERRIDE=FQ","FILING_STATUS=MR","SCALING_FORMAT=MLN","Sort=A","Dates=H","DateFormat=P","Fill=—","Direction=H","UseDPDF=Y")</f>
        <v>43.6</v>
      </c>
      <c r="Q119" s="13">
        <f>_xll.BDH("SRPT US Equity","ARDR_FV_LIAB_REC_TOTAL","FQ2 2022","FQ2 2022","Currency=USD","Period=FQ","BEST_FPERIOD_OVERRIDE=FQ","FILING_STATUS=MR","SCALING_FORMAT=MLN","Sort=A","Dates=H","DateFormat=P","Fill=—","Direction=H","UseDPDF=Y")</f>
        <v>43.6</v>
      </c>
      <c r="R119" s="13">
        <f>_xll.BDH("SRPT US Equity","ARDR_FV_LIAB_REC_TOTAL","FQ3 2022","FQ3 2022","Currency=USD","Period=FQ","BEST_FPERIOD_OVERRIDE=FQ","FILING_STATUS=MR","SCALING_FORMAT=MLN","Sort=A","Dates=H","DateFormat=P","Fill=—","Direction=H","UseDPDF=Y")</f>
        <v>36.9</v>
      </c>
      <c r="S119" s="13">
        <f>_xll.BDH("SRPT US Equity","ARDR_FV_LIAB_REC_TOTAL","FQ4 2022","FQ4 2022","Currency=USD","Period=FQ","BEST_FPERIOD_OVERRIDE=FQ","FILING_STATUS=MR","SCALING_FORMAT=MLN","Sort=A","Dates=H","DateFormat=P","Fill=—","Direction=H","UseDPDF=Y")</f>
        <v>36.9</v>
      </c>
      <c r="T119" s="13">
        <f>_xll.BDH("SRPT US Equity","ARDR_FV_LIAB_REC_TOTAL","FQ1 2023","FQ1 2023","Currency=USD","Period=FQ","BEST_FPERIOD_OVERRIDE=FQ","FILING_STATUS=MR","SCALING_FORMAT=MLN","Sort=A","Dates=H","DateFormat=P","Fill=—","Direction=H","UseDPDF=Y")</f>
        <v>36.9</v>
      </c>
      <c r="U119" s="13">
        <f>_xll.BDH("SRPT US Equity","ARDR_FV_LIAB_REC_TOTAL","FQ2 2023","FQ2 2023","Currency=USD","Period=FQ","BEST_FPERIOD_OVERRIDE=FQ","FILING_STATUS=MR","SCALING_FORMAT=MLN","Sort=A","Dates=H","DateFormat=P","Fill=—","Direction=H","UseDPDF=Y")</f>
        <v>36.1</v>
      </c>
      <c r="V119" s="13">
        <f>_xll.BDH("SRPT US Equity","ARDR_FV_LIAB_REC_TOTAL","FQ3 2023","FQ3 2023","Currency=USD","Period=FQ","BEST_FPERIOD_OVERRIDE=FQ","FILING_STATUS=MR","SCALING_FORMAT=MLN","Sort=A","Dates=H","DateFormat=P","Fill=—","Direction=H","UseDPDF=Y")</f>
        <v>38.1</v>
      </c>
      <c r="W119" s="13">
        <f>_xll.BDH("SRPT US Equity","ARDR_FV_LIAB_REC_TOTAL","FQ4 2023","FQ4 2023","Currency=USD","Period=FQ","BEST_FPERIOD_OVERRIDE=FQ","FILING_STATUS=MR","SCALING_FORMAT=MLN","Sort=A","Dates=H","DateFormat=P","Fill=—","Direction=H","UseDPDF=Y")</f>
        <v>38.1</v>
      </c>
      <c r="X119" s="13">
        <f>_xll.BDH("SRPT US Equity","ARDR_FV_LIAB_REC_TOTAL","FQ1 2024","FQ1 2024","Currency=USD","Period=FQ","BEST_FPERIOD_OVERRIDE=FQ","FILING_STATUS=MR","SCALING_FORMAT=MLN","Sort=A","Dates=H","DateFormat=P","Fill=—","Direction=H","UseDPDF=Y")</f>
        <v>48.2</v>
      </c>
      <c r="Y119" s="13">
        <f>_xll.BDH("SRPT US Equity","ARDR_FV_LIAB_REC_TOTAL","FQ2 2024","FQ2 2024","Currency=USD","Period=FQ","BEST_FPERIOD_OVERRIDE=FQ","FILING_STATUS=MR","SCALING_FORMAT=MLN","Sort=A","Dates=H","DateFormat=P","Fill=—","Direction=H","UseDPDF=Y")</f>
        <v>48.2</v>
      </c>
      <c r="Z119" s="13">
        <f>_xll.BDH("SRPT US Equity","ARDR_FV_LIAB_REC_TOTAL","FQ3 2024","FQ3 2024","Currency=USD","Period=FQ","BEST_FPERIOD_OVERRIDE=FQ","FILING_STATUS=MR","SCALING_FORMAT=MLN","Sort=A","Dates=H","DateFormat=P","Fill=—","Direction=H","UseDPDF=Y")</f>
        <v>47.4</v>
      </c>
      <c r="AA119" s="13">
        <f>_xll.BDH("SRPT US Equity","ARDR_FV_LIAB_REC_TOTAL","FQ4 2024","FQ4 2024","Currency=USD","Period=FQ","BEST_FPERIOD_OVERRIDE=FQ","FILING_STATUS=MR","SCALING_FORMAT=MLN","Sort=A","Dates=H","DateFormat=P","Fill=—","Direction=H","UseDPDF=Y")</f>
        <v>47.4</v>
      </c>
    </row>
    <row r="120" spans="1:27" x14ac:dyDescent="0.25">
      <c r="A120" s="10" t="s">
        <v>1039</v>
      </c>
      <c r="B120" s="10" t="s">
        <v>1040</v>
      </c>
      <c r="C120" s="13">
        <f>_xll.BDH("SRPT US Equity","ARDR_CONTRACTUAL_OBLIG_YEAR_1","FQ4 2018","FQ4 2018","Currency=USD","Period=FQ","BEST_FPERIOD_OVERRIDE=FQ","FILING_STATUS=MR","SCALING_FORMAT=MLN","Sort=A","Dates=H","DateFormat=P","Fill=—","Direction=H","UseDPDF=Y")</f>
        <v>202.49</v>
      </c>
      <c r="D120" s="13">
        <f>_xll.BDH("SRPT US Equity","ARDR_CONTRACTUAL_OBLIG_YEAR_1","FQ1 2019","FQ1 2019","Currency=USD","Period=FQ","BEST_FPERIOD_OVERRIDE=FQ","FILING_STATUS=MR","SCALING_FORMAT=MLN","Sort=A","Dates=H","DateFormat=P","Fill=—","Direction=H","UseDPDF=Y")</f>
        <v>219.148</v>
      </c>
      <c r="E120" s="13">
        <f>_xll.BDH("SRPT US Equity","ARDR_CONTRACTUAL_OBLIG_YEAR_1","FQ2 2019","FQ2 2019","Currency=USD","Period=FQ","BEST_FPERIOD_OVERRIDE=FQ","FILING_STATUS=MR","SCALING_FORMAT=MLN","Sort=A","Dates=H","DateFormat=P","Fill=—","Direction=H","UseDPDF=Y")</f>
        <v>271.084</v>
      </c>
      <c r="F120" s="13">
        <f>_xll.BDH("SRPT US Equity","ARDR_CONTRACTUAL_OBLIG_YEAR_1","FQ3 2019","FQ3 2019","Currency=USD","Period=FQ","BEST_FPERIOD_OVERRIDE=FQ","FILING_STATUS=MR","SCALING_FORMAT=MLN","Sort=A","Dates=H","DateFormat=P","Fill=—","Direction=H","UseDPDF=Y")</f>
        <v>324.12799999999999</v>
      </c>
      <c r="G120" s="13">
        <f>_xll.BDH("SRPT US Equity","ARDR_CONTRACTUAL_OBLIG_YEAR_1","FQ4 2019","FQ4 2019","Currency=USD","Period=FQ","BEST_FPERIOD_OVERRIDE=FQ","FILING_STATUS=MR","SCALING_FORMAT=MLN","Sort=A","Dates=H","DateFormat=P","Fill=—","Direction=H","UseDPDF=Y")</f>
        <v>421.32499999999999</v>
      </c>
      <c r="H120" s="13">
        <f>_xll.BDH("SRPT US Equity","ARDR_CONTRACTUAL_OBLIG_YEAR_1","FQ1 2020","FQ1 2020","Currency=USD","Period=FQ","BEST_FPERIOD_OVERRIDE=FQ","FILING_STATUS=MR","SCALING_FORMAT=MLN","Sort=A","Dates=H","DateFormat=P","Fill=—","Direction=H","UseDPDF=Y")</f>
        <v>434.53</v>
      </c>
      <c r="I120" s="13">
        <f>_xll.BDH("SRPT US Equity","ARDR_CONTRACTUAL_OBLIG_YEAR_1","FQ2 2020","FQ2 2020","Currency=USD","Period=FQ","BEST_FPERIOD_OVERRIDE=FQ","FILING_STATUS=MR","SCALING_FORMAT=MLN","Sort=A","Dates=H","DateFormat=P","Fill=—","Direction=H","UseDPDF=Y")</f>
        <v>644.27599999999995</v>
      </c>
      <c r="J120" s="13">
        <f>_xll.BDH("SRPT US Equity","ARDR_CONTRACTUAL_OBLIG_YEAR_1","FQ3 2020","FQ3 2020","Currency=USD","Period=FQ","BEST_FPERIOD_OVERRIDE=FQ","FILING_STATUS=MR","SCALING_FORMAT=MLN","Sort=A","Dates=H","DateFormat=P","Fill=—","Direction=H","UseDPDF=Y")</f>
        <v>645.80600000000004</v>
      </c>
      <c r="K120" s="13">
        <f>_xll.BDH("SRPT US Equity","ARDR_CONTRACTUAL_OBLIG_YEAR_1","FQ4 2020","FQ4 2020","Currency=USD","Period=FQ","BEST_FPERIOD_OVERRIDE=FQ","FILING_STATUS=MR","SCALING_FORMAT=MLN","Sort=A","Dates=H","DateFormat=P","Fill=—","Direction=H","UseDPDF=Y")</f>
        <v>702.07899999999995</v>
      </c>
      <c r="L120" s="13">
        <f>_xll.BDH("SRPT US Equity","ARDR_CONTRACTUAL_OBLIG_YEAR_1","FQ1 2021","FQ1 2021","Currency=USD","Period=FQ","BEST_FPERIOD_OVERRIDE=FQ","FILING_STATUS=MR","SCALING_FORMAT=MLN","Sort=A","Dates=H","DateFormat=P","Fill=—","Direction=H","UseDPDF=Y")</f>
        <v>697.70899999999995</v>
      </c>
      <c r="M120" s="13">
        <f>_xll.BDH("SRPT US Equity","ARDR_CONTRACTUAL_OBLIG_YEAR_1","FQ2 2021","FQ2 2021","Currency=USD","Period=FQ","BEST_FPERIOD_OVERRIDE=FQ","FILING_STATUS=MR","SCALING_FORMAT=MLN","Sort=A","Dates=H","DateFormat=P","Fill=—","Direction=H","UseDPDF=Y")</f>
        <v>765.08199999999999</v>
      </c>
      <c r="N120" s="13">
        <f>_xll.BDH("SRPT US Equity","ARDR_CONTRACTUAL_OBLIG_YEAR_1","FQ3 2021","FQ3 2021","Currency=USD","Period=FQ","BEST_FPERIOD_OVERRIDE=FQ","FILING_STATUS=MR","SCALING_FORMAT=MLN","Sort=A","Dates=H","DateFormat=P","Fill=—","Direction=H","UseDPDF=Y")</f>
        <v>726.16200000000003</v>
      </c>
      <c r="O120" s="13">
        <f>_xll.BDH("SRPT US Equity","ARDR_CONTRACTUAL_OBLIG_YEAR_1","FQ4 2021","FQ4 2021","Currency=USD","Period=FQ","BEST_FPERIOD_OVERRIDE=FQ","FILING_STATUS=MR","SCALING_FORMAT=MLN","Sort=A","Dates=H","DateFormat=P","Fill=—","Direction=H","UseDPDF=Y")</f>
        <v>647.12400000000002</v>
      </c>
      <c r="P120" s="13">
        <f>_xll.BDH("SRPT US Equity","ARDR_CONTRACTUAL_OBLIG_YEAR_1","FQ1 2022","FQ1 2022","Currency=USD","Period=FQ","BEST_FPERIOD_OVERRIDE=FQ","FILING_STATUS=MR","SCALING_FORMAT=MLN","Sort=A","Dates=H","DateFormat=P","Fill=—","Direction=H","UseDPDF=Y")</f>
        <v>651.79100000000005</v>
      </c>
      <c r="Q120" s="13">
        <f>_xll.BDH("SRPT US Equity","ARDR_CONTRACTUAL_OBLIG_YEAR_1","FQ2 2022","FQ2 2022","Currency=USD","Period=FQ","BEST_FPERIOD_OVERRIDE=FQ","FILING_STATUS=MR","SCALING_FORMAT=MLN","Sort=A","Dates=H","DateFormat=P","Fill=—","Direction=H","UseDPDF=Y")</f>
        <v>529.68899999999996</v>
      </c>
      <c r="R120" s="13">
        <f>_xll.BDH("SRPT US Equity","ARDR_CONTRACTUAL_OBLIG_YEAR_1","FQ3 2022","FQ3 2022","Currency=USD","Period=FQ","BEST_FPERIOD_OVERRIDE=FQ","FILING_STATUS=MR","SCALING_FORMAT=MLN","Sort=A","Dates=H","DateFormat=P","Fill=—","Direction=H","UseDPDF=Y")</f>
        <v>399.60199999999998</v>
      </c>
      <c r="S120" s="13">
        <f>_xll.BDH("SRPT US Equity","ARDR_CONTRACTUAL_OBLIG_YEAR_1","FQ4 2022","FQ4 2022","Currency=USD","Period=FQ","BEST_FPERIOD_OVERRIDE=FQ","FILING_STATUS=MR","SCALING_FORMAT=MLN","Sort=A","Dates=H","DateFormat=P","Fill=—","Direction=H","UseDPDF=Y")</f>
        <v>649.64400000000001</v>
      </c>
      <c r="T120" s="13">
        <f>_xll.BDH("SRPT US Equity","ARDR_CONTRACTUAL_OBLIG_YEAR_1","FQ1 2023","FQ1 2023","Currency=USD","Period=FQ","BEST_FPERIOD_OVERRIDE=FQ","FILING_STATUS=MR","SCALING_FORMAT=MLN","Sort=A","Dates=H","DateFormat=P","Fill=—","Direction=H","UseDPDF=Y")</f>
        <v>677.33600000000001</v>
      </c>
      <c r="U120" s="13">
        <f>_xll.BDH("SRPT US Equity","ARDR_CONTRACTUAL_OBLIG_YEAR_1","FQ2 2023","FQ2 2023","Currency=USD","Period=FQ","BEST_FPERIOD_OVERRIDE=FQ","FILING_STATUS=MR","SCALING_FORMAT=MLN","Sort=A","Dates=H","DateFormat=P","Fill=—","Direction=H","UseDPDF=Y")</f>
        <v>489.56099999999998</v>
      </c>
      <c r="V120" s="13">
        <f>_xll.BDH("SRPT US Equity","ARDR_CONTRACTUAL_OBLIG_YEAR_1","FQ3 2023","FQ3 2023","Currency=USD","Period=FQ","BEST_FPERIOD_OVERRIDE=FQ","FILING_STATUS=MR","SCALING_FORMAT=MLN","Sort=A","Dates=H","DateFormat=P","Fill=—","Direction=H","UseDPDF=Y")</f>
        <v>380.762</v>
      </c>
      <c r="W120" s="13">
        <f>_xll.BDH("SRPT US Equity","ARDR_CONTRACTUAL_OBLIG_YEAR_1","FQ4 2023","FQ4 2023","Currency=USD","Period=FQ","BEST_FPERIOD_OVERRIDE=FQ","FILING_STATUS=MR","SCALING_FORMAT=MLN","Sort=A","Dates=H","DateFormat=P","Fill=—","Direction=H","UseDPDF=Y")</f>
        <v>1032.1590000000001</v>
      </c>
      <c r="X120" s="13">
        <f>_xll.BDH("SRPT US Equity","ARDR_CONTRACTUAL_OBLIG_YEAR_1","FQ1 2024","FQ1 2024","Currency=USD","Period=FQ","BEST_FPERIOD_OVERRIDE=FQ","FILING_STATUS=MR","SCALING_FORMAT=MLN","Sort=A","Dates=H","DateFormat=P","Fill=—","Direction=H","UseDPDF=Y")</f>
        <v>836.03</v>
      </c>
      <c r="Y120" s="13">
        <f>_xll.BDH("SRPT US Equity","ARDR_CONTRACTUAL_OBLIG_YEAR_1","FQ2 2024","FQ2 2024","Currency=USD","Period=FQ","BEST_FPERIOD_OVERRIDE=FQ","FILING_STATUS=MR","SCALING_FORMAT=MLN","Sort=A","Dates=H","DateFormat=P","Fill=—","Direction=H","UseDPDF=Y")</f>
        <v>757.16600000000005</v>
      </c>
      <c r="Z120" s="13">
        <f>_xll.BDH("SRPT US Equity","ARDR_CONTRACTUAL_OBLIG_YEAR_1","FQ3 2024","FQ3 2024","Currency=USD","Period=FQ","BEST_FPERIOD_OVERRIDE=FQ","FILING_STATUS=MR","SCALING_FORMAT=MLN","Sort=A","Dates=H","DateFormat=P","Fill=—","Direction=H","UseDPDF=Y")</f>
        <v>600.02099999999996</v>
      </c>
      <c r="AA120" s="13" t="str">
        <f>_xll.BDH("SRPT US Equity","ARDR_CONTRACTUAL_OBLIG_YEAR_1","FQ4 2024","FQ4 2024","Currency=USD","Period=FQ","BEST_FPERIOD_OVERRIDE=FQ","FILING_STATUS=MR","SCALING_FORMAT=MLN","Sort=A","Dates=H","DateFormat=P","Fill=—","Direction=H","UseDPDF=Y")</f>
        <v>—</v>
      </c>
    </row>
    <row r="121" spans="1:27" x14ac:dyDescent="0.25">
      <c r="A121" s="10" t="s">
        <v>1041</v>
      </c>
      <c r="B121" s="10" t="s">
        <v>1042</v>
      </c>
      <c r="C121" s="13">
        <f>_xll.BDH("SRPT US Equity","ARDR_CONTRACTUAL_OBLIG_YEAR_2_3","FQ4 2018","FQ4 2018","Currency=USD","Period=FQ","BEST_FPERIOD_OVERRIDE=FQ","FILING_STATUS=MR","SCALING_FORMAT=MLN","Sort=A","Dates=H","DateFormat=P","Fill=—","Direction=H","UseDPDF=Y")</f>
        <v>109.053</v>
      </c>
      <c r="D121" s="13">
        <f>_xll.BDH("SRPT US Equity","ARDR_CONTRACTUAL_OBLIG_YEAR_2_3","FQ1 2019","FQ1 2019","Currency=USD","Period=FQ","BEST_FPERIOD_OVERRIDE=FQ","FILING_STATUS=MR","SCALING_FORMAT=MLN","Sort=A","Dates=H","DateFormat=P","Fill=—","Direction=H","UseDPDF=Y")</f>
        <v>183.15</v>
      </c>
      <c r="E121" s="13">
        <f>_xll.BDH("SRPT US Equity","ARDR_CONTRACTUAL_OBLIG_YEAR_2_3","FQ2 2019","FQ2 2019","Currency=USD","Period=FQ","BEST_FPERIOD_OVERRIDE=FQ","FILING_STATUS=MR","SCALING_FORMAT=MLN","Sort=A","Dates=H","DateFormat=P","Fill=—","Direction=H","UseDPDF=Y")</f>
        <v>214.63</v>
      </c>
      <c r="F121" s="13">
        <f>_xll.BDH("SRPT US Equity","ARDR_CONTRACTUAL_OBLIG_YEAR_2_3","FQ3 2019","FQ3 2019","Currency=USD","Period=FQ","BEST_FPERIOD_OVERRIDE=FQ","FILING_STATUS=MR","SCALING_FORMAT=MLN","Sort=A","Dates=H","DateFormat=P","Fill=—","Direction=H","UseDPDF=Y")</f>
        <v>313.44799999999998</v>
      </c>
      <c r="G121" s="13">
        <f>_xll.BDH("SRPT US Equity","ARDR_CONTRACTUAL_OBLIG_YEAR_2_3","FQ4 2019","FQ4 2019","Currency=USD","Period=FQ","BEST_FPERIOD_OVERRIDE=FQ","FILING_STATUS=MR","SCALING_FORMAT=MLN","Sort=A","Dates=H","DateFormat=P","Fill=—","Direction=H","UseDPDF=Y")</f>
        <v>332.47500000000002</v>
      </c>
      <c r="H121" s="13">
        <f>_xll.BDH("SRPT US Equity","ARDR_CONTRACTUAL_OBLIG_YEAR_2_3","FQ1 2020","FQ1 2020","Currency=USD","Period=FQ","BEST_FPERIOD_OVERRIDE=FQ","FILING_STATUS=MR","SCALING_FORMAT=MLN","Sort=A","Dates=H","DateFormat=P","Fill=—","Direction=H","UseDPDF=Y")</f>
        <v>294.36599999999999</v>
      </c>
      <c r="I121" s="13">
        <f>_xll.BDH("SRPT US Equity","ARDR_CONTRACTUAL_OBLIG_YEAR_2_3","FQ2 2020","FQ2 2020","Currency=USD","Period=FQ","BEST_FPERIOD_OVERRIDE=FQ","FILING_STATUS=MR","SCALING_FORMAT=MLN","Sort=A","Dates=H","DateFormat=P","Fill=—","Direction=H","UseDPDF=Y")</f>
        <v>356.49599999999998</v>
      </c>
      <c r="J121" s="13">
        <f>_xll.BDH("SRPT US Equity","ARDR_CONTRACTUAL_OBLIG_YEAR_2_3","FQ3 2020","FQ3 2020","Currency=USD","Period=FQ","BEST_FPERIOD_OVERRIDE=FQ","FILING_STATUS=MR","SCALING_FORMAT=MLN","Sort=A","Dates=H","DateFormat=P","Fill=—","Direction=H","UseDPDF=Y")</f>
        <v>299.14600000000002</v>
      </c>
      <c r="K121" s="13">
        <f>_xll.BDH("SRPT US Equity","ARDR_CONTRACTUAL_OBLIG_YEAR_2_3","FQ4 2020","FQ4 2020","Currency=USD","Period=FQ","BEST_FPERIOD_OVERRIDE=FQ","FILING_STATUS=MR","SCALING_FORMAT=MLN","Sort=A","Dates=H","DateFormat=P","Fill=—","Direction=H","UseDPDF=Y")</f>
        <v>700.52700000000004</v>
      </c>
      <c r="L121" s="13">
        <f>_xll.BDH("SRPT US Equity","ARDR_CONTRACTUAL_OBLIG_YEAR_2_3","FQ1 2021","FQ1 2021","Currency=USD","Period=FQ","BEST_FPERIOD_OVERRIDE=FQ","FILING_STATUS=MR","SCALING_FORMAT=MLN","Sort=A","Dates=H","DateFormat=P","Fill=—","Direction=H","UseDPDF=Y")</f>
        <v>791.51900000000001</v>
      </c>
      <c r="M121" s="13">
        <f>_xll.BDH("SRPT US Equity","ARDR_CONTRACTUAL_OBLIG_YEAR_2_3","FQ2 2021","FQ2 2021","Currency=USD","Period=FQ","BEST_FPERIOD_OVERRIDE=FQ","FILING_STATUS=MR","SCALING_FORMAT=MLN","Sort=A","Dates=H","DateFormat=P","Fill=—","Direction=H","UseDPDF=Y")</f>
        <v>735.38599999999997</v>
      </c>
      <c r="N121" s="13">
        <f>_xll.BDH("SRPT US Equity","ARDR_CONTRACTUAL_OBLIG_YEAR_2_3","FQ3 2021","FQ3 2021","Currency=USD","Period=FQ","BEST_FPERIOD_OVERRIDE=FQ","FILING_STATUS=MR","SCALING_FORMAT=MLN","Sort=A","Dates=H","DateFormat=P","Fill=—","Direction=H","UseDPDF=Y")</f>
        <v>833.56500000000005</v>
      </c>
      <c r="O121" s="13">
        <f>_xll.BDH("SRPT US Equity","ARDR_CONTRACTUAL_OBLIG_YEAR_2_3","FQ4 2021","FQ4 2021","Currency=USD","Period=FQ","BEST_FPERIOD_OVERRIDE=FQ","FILING_STATUS=MR","SCALING_FORMAT=MLN","Sort=A","Dates=H","DateFormat=P","Fill=—","Direction=H","UseDPDF=Y")</f>
        <v>317.07</v>
      </c>
      <c r="P121" s="13">
        <f>_xll.BDH("SRPT US Equity","ARDR_CONTRACTUAL_OBLIG_YEAR_2_3","FQ1 2022","FQ1 2022","Currency=USD","Period=FQ","BEST_FPERIOD_OVERRIDE=FQ","FILING_STATUS=MR","SCALING_FORMAT=MLN","Sort=A","Dates=H","DateFormat=P","Fill=—","Direction=H","UseDPDF=Y")</f>
        <v>384.99599999999998</v>
      </c>
      <c r="Q121" s="13">
        <f>_xll.BDH("SRPT US Equity","ARDR_CONTRACTUAL_OBLIG_YEAR_2_3","FQ2 2022","FQ2 2022","Currency=USD","Period=FQ","BEST_FPERIOD_OVERRIDE=FQ","FILING_STATUS=MR","SCALING_FORMAT=MLN","Sort=A","Dates=H","DateFormat=P","Fill=—","Direction=H","UseDPDF=Y")</f>
        <v>456.80500000000001</v>
      </c>
      <c r="R121" s="13">
        <f>_xll.BDH("SRPT US Equity","ARDR_CONTRACTUAL_OBLIG_YEAR_2_3","FQ3 2022","FQ3 2022","Currency=USD","Period=FQ","BEST_FPERIOD_OVERRIDE=FQ","FILING_STATUS=MR","SCALING_FORMAT=MLN","Sort=A","Dates=H","DateFormat=P","Fill=—","Direction=H","UseDPDF=Y")</f>
        <v>634.70000000000005</v>
      </c>
      <c r="S121" s="13">
        <f>_xll.BDH("SRPT US Equity","ARDR_CONTRACTUAL_OBLIG_YEAR_2_3","FQ4 2022","FQ4 2022","Currency=USD","Period=FQ","BEST_FPERIOD_OVERRIDE=FQ","FILING_STATUS=MR","SCALING_FORMAT=MLN","Sort=A","Dates=H","DateFormat=P","Fill=—","Direction=H","UseDPDF=Y")</f>
        <v>384.47199999999998</v>
      </c>
      <c r="T121" s="13">
        <f>_xll.BDH("SRPT US Equity","ARDR_CONTRACTUAL_OBLIG_YEAR_2_3","FQ1 2023","FQ1 2023","Currency=USD","Period=FQ","BEST_FPERIOD_OVERRIDE=FQ","FILING_STATUS=MR","SCALING_FORMAT=MLN","Sort=A","Dates=H","DateFormat=P","Fill=—","Direction=H","UseDPDF=Y")</f>
        <v>503.68299999999999</v>
      </c>
      <c r="U121" s="13">
        <f>_xll.BDH("SRPT US Equity","ARDR_CONTRACTUAL_OBLIG_YEAR_2_3","FQ2 2023","FQ2 2023","Currency=USD","Period=FQ","BEST_FPERIOD_OVERRIDE=FQ","FILING_STATUS=MR","SCALING_FORMAT=MLN","Sort=A","Dates=H","DateFormat=P","Fill=—","Direction=H","UseDPDF=Y")</f>
        <v>562.34100000000001</v>
      </c>
      <c r="V121" s="13">
        <f>_xll.BDH("SRPT US Equity","ARDR_CONTRACTUAL_OBLIG_YEAR_2_3","FQ3 2023","FQ3 2023","Currency=USD","Period=FQ","BEST_FPERIOD_OVERRIDE=FQ","FILING_STATUS=MR","SCALING_FORMAT=MLN","Sort=A","Dates=H","DateFormat=P","Fill=—","Direction=H","UseDPDF=Y")</f>
        <v>913.76199999999994</v>
      </c>
      <c r="W121" s="13">
        <f>_xll.BDH("SRPT US Equity","ARDR_CONTRACTUAL_OBLIG_YEAR_2_3","FQ4 2023","FQ4 2023","Currency=USD","Period=FQ","BEST_FPERIOD_OVERRIDE=FQ","FILING_STATUS=MR","SCALING_FORMAT=MLN","Sort=A","Dates=H","DateFormat=P","Fill=—","Direction=H","UseDPDF=Y")</f>
        <v>257.75099999999998</v>
      </c>
      <c r="X121" s="13">
        <f>_xll.BDH("SRPT US Equity","ARDR_CONTRACTUAL_OBLIG_YEAR_2_3","FQ1 2024","FQ1 2024","Currency=USD","Period=FQ","BEST_FPERIOD_OVERRIDE=FQ","FILING_STATUS=MR","SCALING_FORMAT=MLN","Sort=A","Dates=H","DateFormat=P","Fill=—","Direction=H","UseDPDF=Y")</f>
        <v>280.07799999999997</v>
      </c>
      <c r="Y121" s="13">
        <f>_xll.BDH("SRPT US Equity","ARDR_CONTRACTUAL_OBLIG_YEAR_2_3","FQ2 2024","FQ2 2024","Currency=USD","Period=FQ","BEST_FPERIOD_OVERRIDE=FQ","FILING_STATUS=MR","SCALING_FORMAT=MLN","Sort=A","Dates=H","DateFormat=P","Fill=—","Direction=H","UseDPDF=Y")</f>
        <v>339.01600000000002</v>
      </c>
      <c r="Z121" s="13">
        <f>_xll.BDH("SRPT US Equity","ARDR_CONTRACTUAL_OBLIG_YEAR_2_3","FQ3 2024","FQ3 2024","Currency=USD","Period=FQ","BEST_FPERIOD_OVERRIDE=FQ","FILING_STATUS=MR","SCALING_FORMAT=MLN","Sort=A","Dates=H","DateFormat=P","Fill=—","Direction=H","UseDPDF=Y")</f>
        <v>719.25900000000001</v>
      </c>
      <c r="AA121" s="13" t="str">
        <f>_xll.BDH("SRPT US Equity","ARDR_CONTRACTUAL_OBLIG_YEAR_2_3","FQ4 2024","FQ4 2024","Currency=USD","Period=FQ","BEST_FPERIOD_OVERRIDE=FQ","FILING_STATUS=MR","SCALING_FORMAT=MLN","Sort=A","Dates=H","DateFormat=P","Fill=—","Direction=H","UseDPDF=Y")</f>
        <v>—</v>
      </c>
    </row>
    <row r="122" spans="1:27" x14ac:dyDescent="0.25">
      <c r="A122" s="10" t="s">
        <v>1043</v>
      </c>
      <c r="B122" s="10" t="s">
        <v>1044</v>
      </c>
      <c r="C122" s="13">
        <f>_xll.BDH("SRPT US Equity","ARDR_CONTRACTUAL_OBLIG_YEAR_4_5","FQ4 2018","FQ4 2018","Currency=USD","Period=FQ","BEST_FPERIOD_OVERRIDE=FQ","FILING_STATUS=MR","SCALING_FORMAT=MLN","Sort=A","Dates=H","DateFormat=P","Fill=—","Direction=H","UseDPDF=Y")</f>
        <v>122.755</v>
      </c>
      <c r="D122" s="13">
        <f>_xll.BDH("SRPT US Equity","ARDR_CONTRACTUAL_OBLIG_YEAR_4_5","FQ1 2019","FQ1 2019","Currency=USD","Period=FQ","BEST_FPERIOD_OVERRIDE=FQ","FILING_STATUS=MR","SCALING_FORMAT=MLN","Sort=A","Dates=H","DateFormat=P","Fill=—","Direction=H","UseDPDF=Y")</f>
        <v>123.089</v>
      </c>
      <c r="E122" s="13">
        <f>_xll.BDH("SRPT US Equity","ARDR_CONTRACTUAL_OBLIG_YEAR_4_5","FQ2 2019","FQ2 2019","Currency=USD","Period=FQ","BEST_FPERIOD_OVERRIDE=FQ","FILING_STATUS=MR","SCALING_FORMAT=MLN","Sort=A","Dates=H","DateFormat=P","Fill=—","Direction=H","UseDPDF=Y")</f>
        <v>149.101</v>
      </c>
      <c r="F122" s="13">
        <f>_xll.BDH("SRPT US Equity","ARDR_CONTRACTUAL_OBLIG_YEAR_4_5","FQ3 2019","FQ3 2019","Currency=USD","Period=FQ","BEST_FPERIOD_OVERRIDE=FQ","FILING_STATUS=MR","SCALING_FORMAT=MLN","Sort=A","Dates=H","DateFormat=P","Fill=—","Direction=H","UseDPDF=Y")</f>
        <v>153.92599999999999</v>
      </c>
      <c r="G122" s="13">
        <f>_xll.BDH("SRPT US Equity","ARDR_CONTRACTUAL_OBLIG_YEAR_4_5","FQ4 2019","FQ4 2019","Currency=USD","Period=FQ","BEST_FPERIOD_OVERRIDE=FQ","FILING_STATUS=MR","SCALING_FORMAT=MLN","Sort=A","Dates=H","DateFormat=P","Fill=—","Direction=H","UseDPDF=Y")</f>
        <v>996.25599999999997</v>
      </c>
      <c r="H122" s="13">
        <f>_xll.BDH("SRPT US Equity","ARDR_CONTRACTUAL_OBLIG_YEAR_4_5","FQ1 2020","FQ1 2020","Currency=USD","Period=FQ","BEST_FPERIOD_OVERRIDE=FQ","FILING_STATUS=MR","SCALING_FORMAT=MLN","Sort=A","Dates=H","DateFormat=P","Fill=—","Direction=H","UseDPDF=Y")</f>
        <v>988.13199999999995</v>
      </c>
      <c r="I122" s="13">
        <f>_xll.BDH("SRPT US Equity","ARDR_CONTRACTUAL_OBLIG_YEAR_4_5","FQ2 2020","FQ2 2020","Currency=USD","Period=FQ","BEST_FPERIOD_OVERRIDE=FQ","FILING_STATUS=MR","SCALING_FORMAT=MLN","Sort=A","Dates=H","DateFormat=P","Fill=—","Direction=H","UseDPDF=Y")</f>
        <v>992.02099999999996</v>
      </c>
      <c r="J122" s="13">
        <f>_xll.BDH("SRPT US Equity","ARDR_CONTRACTUAL_OBLIG_YEAR_4_5","FQ3 2020","FQ3 2020","Currency=USD","Period=FQ","BEST_FPERIOD_OVERRIDE=FQ","FILING_STATUS=MR","SCALING_FORMAT=MLN","Sort=A","Dates=H","DateFormat=P","Fill=—","Direction=H","UseDPDF=Y")</f>
        <v>971.15499999999997</v>
      </c>
      <c r="K122" s="13">
        <f>_xll.BDH("SRPT US Equity","ARDR_CONTRACTUAL_OBLIG_YEAR_4_5","FQ4 2020","FQ4 2020","Currency=USD","Period=FQ","BEST_FPERIOD_OVERRIDE=FQ","FILING_STATUS=MR","SCALING_FORMAT=MLN","Sort=A","Dates=H","DateFormat=P","Fill=—","Direction=H","UseDPDF=Y")</f>
        <v>1131.7719999999999</v>
      </c>
      <c r="L122" s="13">
        <f>_xll.BDH("SRPT US Equity","ARDR_CONTRACTUAL_OBLIG_YEAR_4_5","FQ1 2021","FQ1 2021","Currency=USD","Period=FQ","BEST_FPERIOD_OVERRIDE=FQ","FILING_STATUS=MR","SCALING_FORMAT=MLN","Sort=A","Dates=H","DateFormat=P","Fill=—","Direction=H","UseDPDF=Y")</f>
        <v>1131.556</v>
      </c>
      <c r="M122" s="13">
        <f>_xll.BDH("SRPT US Equity","ARDR_CONTRACTUAL_OBLIG_YEAR_4_5","FQ2 2021","FQ2 2021","Currency=USD","Period=FQ","BEST_FPERIOD_OVERRIDE=FQ","FILING_STATUS=MR","SCALING_FORMAT=MLN","Sort=A","Dates=H","DateFormat=P","Fill=—","Direction=H","UseDPDF=Y")</f>
        <v>1095.325</v>
      </c>
      <c r="N122" s="13">
        <f>_xll.BDH("SRPT US Equity","ARDR_CONTRACTUAL_OBLIG_YEAR_4_5","FQ3 2021","FQ3 2021","Currency=USD","Period=FQ","BEST_FPERIOD_OVERRIDE=FQ","FILING_STATUS=MR","SCALING_FORMAT=MLN","Sort=A","Dates=H","DateFormat=P","Fill=—","Direction=H","UseDPDF=Y")</f>
        <v>1068.058</v>
      </c>
      <c r="O122" s="13">
        <f>_xll.BDH("SRPT US Equity","ARDR_CONTRACTUAL_OBLIG_YEAR_4_5","FQ4 2021","FQ4 2021","Currency=USD","Period=FQ","BEST_FPERIOD_OVERRIDE=FQ","FILING_STATUS=MR","SCALING_FORMAT=MLN","Sort=A","Dates=H","DateFormat=P","Fill=—","Direction=H","UseDPDF=Y")</f>
        <v>155.55799999999999</v>
      </c>
      <c r="P122" s="13">
        <f>_xll.BDH("SRPT US Equity","ARDR_CONTRACTUAL_OBLIG_YEAR_4_5","FQ1 2022","FQ1 2022","Currency=USD","Period=FQ","BEST_FPERIOD_OVERRIDE=FQ","FILING_STATUS=MR","SCALING_FORMAT=MLN","Sort=A","Dates=H","DateFormat=P","Fill=—","Direction=H","UseDPDF=Y")</f>
        <v>155.01599999999999</v>
      </c>
      <c r="Q122" s="13">
        <f>_xll.BDH("SRPT US Equity","ARDR_CONTRACTUAL_OBLIG_YEAR_4_5","FQ2 2022","FQ2 2022","Currency=USD","Period=FQ","BEST_FPERIOD_OVERRIDE=FQ","FILING_STATUS=MR","SCALING_FORMAT=MLN","Sort=A","Dates=H","DateFormat=P","Fill=—","Direction=H","UseDPDF=Y")</f>
        <v>153.518</v>
      </c>
      <c r="R122" s="13">
        <f>_xll.BDH("SRPT US Equity","ARDR_CONTRACTUAL_OBLIG_YEAR_4_5","FQ3 2022","FQ3 2022","Currency=USD","Period=FQ","BEST_FPERIOD_OVERRIDE=FQ","FILING_STATUS=MR","SCALING_FORMAT=MLN","Sort=A","Dates=H","DateFormat=P","Fill=—","Direction=H","UseDPDF=Y")</f>
        <v>151.36199999999999</v>
      </c>
      <c r="S122" s="13">
        <f>_xll.BDH("SRPT US Equity","ARDR_CONTRACTUAL_OBLIG_YEAR_4_5","FQ4 2022","FQ4 2022","Currency=USD","Period=FQ","BEST_FPERIOD_OVERRIDE=FQ","FILING_STATUS=MR","SCALING_FORMAT=MLN","Sort=A","Dates=H","DateFormat=P","Fill=—","Direction=H","UseDPDF=Y")</f>
        <v>117.22</v>
      </c>
      <c r="T122" s="13">
        <f>_xll.BDH("SRPT US Equity","ARDR_CONTRACTUAL_OBLIG_YEAR_4_5","FQ1 2023","FQ1 2023","Currency=USD","Period=FQ","BEST_FPERIOD_OVERRIDE=FQ","FILING_STATUS=MR","SCALING_FORMAT=MLN","Sort=A","Dates=H","DateFormat=P","Fill=—","Direction=H","UseDPDF=Y")</f>
        <v>125</v>
      </c>
      <c r="U122" s="13">
        <f>_xll.BDH("SRPT US Equity","ARDR_CONTRACTUAL_OBLIG_YEAR_4_5","FQ2 2023","FQ2 2023","Currency=USD","Period=FQ","BEST_FPERIOD_OVERRIDE=FQ","FILING_STATUS=MR","SCALING_FORMAT=MLN","Sort=A","Dates=H","DateFormat=P","Fill=—","Direction=H","UseDPDF=Y")</f>
        <v>157.607</v>
      </c>
      <c r="V122" s="13">
        <f>_xll.BDH("SRPT US Equity","ARDR_CONTRACTUAL_OBLIG_YEAR_4_5","FQ3 2023","FQ3 2023","Currency=USD","Period=FQ","BEST_FPERIOD_OVERRIDE=FQ","FILING_STATUS=MR","SCALING_FORMAT=MLN","Sort=A","Dates=H","DateFormat=P","Fill=—","Direction=H","UseDPDF=Y")</f>
        <v>157.607</v>
      </c>
      <c r="W122" s="13">
        <f>_xll.BDH("SRPT US Equity","ARDR_CONTRACTUAL_OBLIG_YEAR_4_5","FQ4 2023","FQ4 2023","Currency=USD","Period=FQ","BEST_FPERIOD_OVERRIDE=FQ","FILING_STATUS=MR","SCALING_FORMAT=MLN","Sort=A","Dates=H","DateFormat=P","Fill=—","Direction=H","UseDPDF=Y")</f>
        <v>149.91999999999999</v>
      </c>
      <c r="X122" s="13">
        <f>_xll.BDH("SRPT US Equity","ARDR_CONTRACTUAL_OBLIG_YEAR_4_5","FQ1 2024","FQ1 2024","Currency=USD","Period=FQ","BEST_FPERIOD_OVERRIDE=FQ","FILING_STATUS=MR","SCALING_FORMAT=MLN","Sort=A","Dates=H","DateFormat=P","Fill=—","Direction=H","UseDPDF=Y")</f>
        <v>149.99100000000001</v>
      </c>
      <c r="Y122" s="13">
        <f>_xll.BDH("SRPT US Equity","ARDR_CONTRACTUAL_OBLIG_YEAR_4_5","FQ2 2024","FQ2 2024","Currency=USD","Period=FQ","BEST_FPERIOD_OVERRIDE=FQ","FILING_STATUS=MR","SCALING_FORMAT=MLN","Sort=A","Dates=H","DateFormat=P","Fill=—","Direction=H","UseDPDF=Y")</f>
        <v>149.97300000000001</v>
      </c>
      <c r="Z122" s="13">
        <f>_xll.BDH("SRPT US Equity","ARDR_CONTRACTUAL_OBLIG_YEAR_4_5","FQ3 2024","FQ3 2024","Currency=USD","Period=FQ","BEST_FPERIOD_OVERRIDE=FQ","FILING_STATUS=MR","SCALING_FORMAT=MLN","Sort=A","Dates=H","DateFormat=P","Fill=—","Direction=H","UseDPDF=Y")</f>
        <v>154.523</v>
      </c>
      <c r="AA122" s="13" t="str">
        <f>_xll.BDH("SRPT US Equity","ARDR_CONTRACTUAL_OBLIG_YEAR_4_5","FQ4 2024","FQ4 2024","Currency=USD","Period=FQ","BEST_FPERIOD_OVERRIDE=FQ","FILING_STATUS=MR","SCALING_FORMAT=MLN","Sort=A","Dates=H","DateFormat=P","Fill=—","Direction=H","UseDPDF=Y")</f>
        <v>—</v>
      </c>
    </row>
    <row r="123" spans="1:27" x14ac:dyDescent="0.25">
      <c r="A123" s="10" t="s">
        <v>1045</v>
      </c>
      <c r="B123" s="10" t="s">
        <v>1046</v>
      </c>
      <c r="C123" s="13">
        <f>_xll.BDH("SRPT US Equity","ARDR_CONT_OBLIG_BEYOND_YEAR_5","FQ4 2018","FQ4 2018","Currency=USD","Period=FQ","BEST_FPERIOD_OVERRIDE=FQ","FILING_STATUS=MR","SCALING_FORMAT=MLN","Sort=A","Dates=H","DateFormat=P","Fill=—","Direction=H","UseDPDF=Y")</f>
        <v>722.005</v>
      </c>
      <c r="D123" s="13">
        <f>_xll.BDH("SRPT US Equity","ARDR_CONT_OBLIG_BEYOND_YEAR_5","FQ1 2019","FQ1 2019","Currency=USD","Period=FQ","BEST_FPERIOD_OVERRIDE=FQ","FILING_STATUS=MR","SCALING_FORMAT=MLN","Sort=A","Dates=H","DateFormat=P","Fill=—","Direction=H","UseDPDF=Y")</f>
        <v>704.56200000000001</v>
      </c>
      <c r="E123" s="13">
        <f>_xll.BDH("SRPT US Equity","ARDR_CONT_OBLIG_BEYOND_YEAR_5","FQ2 2019","FQ2 2019","Currency=USD","Period=FQ","BEST_FPERIOD_OVERRIDE=FQ","FILING_STATUS=MR","SCALING_FORMAT=MLN","Sort=A","Dates=H","DateFormat=P","Fill=—","Direction=H","UseDPDF=Y")</f>
        <v>721.64499999999998</v>
      </c>
      <c r="F123" s="13">
        <f>_xll.BDH("SRPT US Equity","ARDR_CONT_OBLIG_BEYOND_YEAR_5","FQ3 2019","FQ3 2019","Currency=USD","Period=FQ","BEST_FPERIOD_OVERRIDE=FQ","FILING_STATUS=MR","SCALING_FORMAT=MLN","Sort=A","Dates=H","DateFormat=P","Fill=—","Direction=H","UseDPDF=Y")</f>
        <v>153.92599999999999</v>
      </c>
      <c r="G123" s="13">
        <f>_xll.BDH("SRPT US Equity","ARDR_CONT_OBLIG_BEYOND_YEAR_5","FQ4 2019","FQ4 2019","Currency=USD","Period=FQ","BEST_FPERIOD_OVERRIDE=FQ","FILING_STATUS=MR","SCALING_FORMAT=MLN","Sort=A","Dates=H","DateFormat=P","Fill=—","Direction=H","UseDPDF=Y")</f>
        <v>159.00399999999999</v>
      </c>
      <c r="H123" s="13">
        <f>_xll.BDH("SRPT US Equity","ARDR_CONT_OBLIG_BEYOND_YEAR_5","FQ1 2020","FQ1 2020","Currency=USD","Period=FQ","BEST_FPERIOD_OVERRIDE=FQ","FILING_STATUS=MR","SCALING_FORMAT=MLN","Sort=A","Dates=H","DateFormat=P","Fill=—","Direction=H","UseDPDF=Y")</f>
        <v>142.489</v>
      </c>
      <c r="I123" s="13">
        <f>_xll.BDH("SRPT US Equity","ARDR_CONT_OBLIG_BEYOND_YEAR_5","FQ2 2020","FQ2 2020","Currency=USD","Period=FQ","BEST_FPERIOD_OVERRIDE=FQ","FILING_STATUS=MR","SCALING_FORMAT=MLN","Sort=A","Dates=H","DateFormat=P","Fill=—","Direction=H","UseDPDF=Y")</f>
        <v>159.47</v>
      </c>
      <c r="J123" s="13">
        <f>_xll.BDH("SRPT US Equity","ARDR_CONT_OBLIG_BEYOND_YEAR_5","FQ3 2020","FQ3 2020","Currency=USD","Period=FQ","BEST_FPERIOD_OVERRIDE=FQ","FILING_STATUS=MR","SCALING_FORMAT=MLN","Sort=A","Dates=H","DateFormat=P","Fill=—","Direction=H","UseDPDF=Y")</f>
        <v>150.208</v>
      </c>
      <c r="K123" s="13">
        <f>_xll.BDH("SRPT US Equity","ARDR_CONT_OBLIG_BEYOND_YEAR_5","FQ4 2020","FQ4 2020","Currency=USD","Period=FQ","BEST_FPERIOD_OVERRIDE=FQ","FILING_STATUS=MR","SCALING_FORMAT=MLN","Sort=A","Dates=H","DateFormat=P","Fill=—","Direction=H","UseDPDF=Y")</f>
        <v>138.78800000000001</v>
      </c>
      <c r="L123" s="13">
        <f>_xll.BDH("SRPT US Equity","ARDR_CONT_OBLIG_BEYOND_YEAR_5","FQ1 2021","FQ1 2021","Currency=USD","Period=FQ","BEST_FPERIOD_OVERRIDE=FQ","FILING_STATUS=MR","SCALING_FORMAT=MLN","Sort=A","Dates=H","DateFormat=P","Fill=—","Direction=H","UseDPDF=Y")</f>
        <v>193.78899999999999</v>
      </c>
      <c r="M123" s="13">
        <f>_xll.BDH("SRPT US Equity","ARDR_CONT_OBLIG_BEYOND_YEAR_5","FQ2 2021","FQ2 2021","Currency=USD","Period=FQ","BEST_FPERIOD_OVERRIDE=FQ","FILING_STATUS=MR","SCALING_FORMAT=MLN","Sort=A","Dates=H","DateFormat=P","Fill=—","Direction=H","UseDPDF=Y")</f>
        <v>179.68100000000001</v>
      </c>
      <c r="N123" s="13">
        <f>_xll.BDH("SRPT US Equity","ARDR_CONT_OBLIG_BEYOND_YEAR_5","FQ3 2021","FQ3 2021","Currency=USD","Period=FQ","BEST_FPERIOD_OVERRIDE=FQ","FILING_STATUS=MR","SCALING_FORMAT=MLN","Sort=A","Dates=H","DateFormat=P","Fill=—","Direction=H","UseDPDF=Y")</f>
        <v>221.14699999999999</v>
      </c>
      <c r="O123" s="13">
        <f>_xll.BDH("SRPT US Equity","ARDR_CONT_OBLIG_BEYOND_YEAR_5","FQ4 2021","FQ4 2021","Currency=USD","Period=FQ","BEST_FPERIOD_OVERRIDE=FQ","FILING_STATUS=MR","SCALING_FORMAT=MLN","Sort=A","Dates=H","DateFormat=P","Fill=—","Direction=H","UseDPDF=Y")</f>
        <v>109.44</v>
      </c>
      <c r="P123" s="13">
        <f>_xll.BDH("SRPT US Equity","ARDR_CONT_OBLIG_BEYOND_YEAR_5","FQ1 2022","FQ1 2022","Currency=USD","Period=FQ","BEST_FPERIOD_OVERRIDE=FQ","FILING_STATUS=MR","SCALING_FORMAT=MLN","Sort=A","Dates=H","DateFormat=P","Fill=—","Direction=H","UseDPDF=Y")</f>
        <v>109.44</v>
      </c>
      <c r="Q123" s="13">
        <f>_xll.BDH("SRPT US Equity","ARDR_CONT_OBLIG_BEYOND_YEAR_5","FQ2 2022","FQ2 2022","Currency=USD","Period=FQ","BEST_FPERIOD_OVERRIDE=FQ","FILING_STATUS=MR","SCALING_FORMAT=MLN","Sort=A","Dates=H","DateFormat=P","Fill=—","Direction=H","UseDPDF=Y")</f>
        <v>109.44</v>
      </c>
      <c r="R123" s="13">
        <f>_xll.BDH("SRPT US Equity","ARDR_CONT_OBLIG_BEYOND_YEAR_5","FQ3 2022","FQ3 2022","Currency=USD","Period=FQ","BEST_FPERIOD_OVERRIDE=FQ","FILING_STATUS=MR","SCALING_FORMAT=MLN","Sort=A","Dates=H","DateFormat=P","Fill=—","Direction=H","UseDPDF=Y")</f>
        <v>109.44</v>
      </c>
      <c r="S123" s="13">
        <f>_xll.BDH("SRPT US Equity","ARDR_CONT_OBLIG_BEYOND_YEAR_5","FQ4 2022","FQ4 2022","Currency=USD","Period=FQ","BEST_FPERIOD_OVERRIDE=FQ","FILING_STATUS=MR","SCALING_FORMAT=MLN","Sort=A","Dates=H","DateFormat=P","Fill=—","Direction=H","UseDPDF=Y")</f>
        <v>117.22</v>
      </c>
      <c r="T123" s="13">
        <f>_xll.BDH("SRPT US Equity","ARDR_CONT_OBLIG_BEYOND_YEAR_5","FQ1 2023","FQ1 2023","Currency=USD","Period=FQ","BEST_FPERIOD_OVERRIDE=FQ","FILING_STATUS=MR","SCALING_FORMAT=MLN","Sort=A","Dates=H","DateFormat=P","Fill=—","Direction=H","UseDPDF=Y")</f>
        <v>62.5</v>
      </c>
      <c r="U123" s="13">
        <f>_xll.BDH("SRPT US Equity","ARDR_CONT_OBLIG_BEYOND_YEAR_5","FQ2 2023","FQ2 2023","Currency=USD","Period=FQ","BEST_FPERIOD_OVERRIDE=FQ","FILING_STATUS=MR","SCALING_FORMAT=MLN","Sort=A","Dates=H","DateFormat=P","Fill=—","Direction=H","UseDPDF=Y")</f>
        <v>72.244</v>
      </c>
      <c r="V123" s="13">
        <f>_xll.BDH("SRPT US Equity","ARDR_CONT_OBLIG_BEYOND_YEAR_5","FQ3 2023","FQ3 2023","Currency=USD","Period=FQ","BEST_FPERIOD_OVERRIDE=FQ","FILING_STATUS=MR","SCALING_FORMAT=MLN","Sort=A","Dates=H","DateFormat=P","Fill=—","Direction=H","UseDPDF=Y")</f>
        <v>72.244</v>
      </c>
      <c r="W123" s="13">
        <f>_xll.BDH("SRPT US Equity","ARDR_CONT_OBLIG_BEYOND_YEAR_5","FQ4 2023","FQ4 2023","Currency=USD","Period=FQ","BEST_FPERIOD_OVERRIDE=FQ","FILING_STATUS=MR","SCALING_FORMAT=MLN","Sort=A","Dates=H","DateFormat=P","Fill=—","Direction=H","UseDPDF=Y")</f>
        <v>0</v>
      </c>
      <c r="X123" s="13" t="str">
        <f>_xll.BDH("SRPT US Equity","ARDR_CONT_OBLIG_BEYOND_YEAR_5","FQ1 2024","FQ1 2024","Currency=USD","Period=FQ","BEST_FPERIOD_OVERRIDE=FQ","FILING_STATUS=MR","SCALING_FORMAT=MLN","Sort=A","Dates=H","DateFormat=P","Fill=—","Direction=H","UseDPDF=Y")</f>
        <v>—</v>
      </c>
      <c r="Y123" s="13" t="str">
        <f>_xll.BDH("SRPT US Equity","ARDR_CONT_OBLIG_BEYOND_YEAR_5","FQ2 2024","FQ2 2024","Currency=USD","Period=FQ","BEST_FPERIOD_OVERRIDE=FQ","FILING_STATUS=MR","SCALING_FORMAT=MLN","Sort=A","Dates=H","DateFormat=P","Fill=—","Direction=H","UseDPDF=Y")</f>
        <v>—</v>
      </c>
      <c r="Z123" s="13" t="str">
        <f>_xll.BDH("SRPT US Equity","ARDR_CONT_OBLIG_BEYOND_YEAR_5","FQ3 2024","FQ3 2024","Currency=USD","Period=FQ","BEST_FPERIOD_OVERRIDE=FQ","FILING_STATUS=MR","SCALING_FORMAT=MLN","Sort=A","Dates=H","DateFormat=P","Fill=—","Direction=H","UseDPDF=Y")</f>
        <v>—</v>
      </c>
      <c r="AA123" s="13" t="str">
        <f>_xll.BDH("SRPT US Equity","ARDR_CONT_OBLIG_BEYOND_YEAR_5","FQ4 2024","FQ4 2024","Currency=USD","Period=FQ","BEST_FPERIOD_OVERRIDE=FQ","FILING_STATUS=MR","SCALING_FORMAT=MLN","Sort=A","Dates=H","DateFormat=P","Fill=—","Direction=H","UseDPDF=Y")</f>
        <v>—</v>
      </c>
    </row>
    <row r="124" spans="1:27" x14ac:dyDescent="0.25">
      <c r="A124" s="10" t="s">
        <v>1047</v>
      </c>
      <c r="B124" s="10" t="s">
        <v>1048</v>
      </c>
      <c r="C124" s="13">
        <f>_xll.BDH("SRPT US Equity","ARDR_CONTRACTUAL_OBLIG_TOTAL","FQ4 2018","FQ4 2018","Currency=USD","Period=FQ","BEST_FPERIOD_OVERRIDE=FQ","FILING_STATUS=MR","SCALING_FORMAT=MLN","Sort=A","Dates=H","DateFormat=P","Fill=—","Direction=H","UseDPDF=Y")</f>
        <v>1156.3030000000001</v>
      </c>
      <c r="D124" s="13">
        <f>_xll.BDH("SRPT US Equity","ARDR_CONTRACTUAL_OBLIG_TOTAL","FQ1 2019","FQ1 2019","Currency=USD","Period=FQ","BEST_FPERIOD_OVERRIDE=FQ","FILING_STATUS=MR","SCALING_FORMAT=MLN","Sort=A","Dates=H","DateFormat=P","Fill=—","Direction=H","UseDPDF=Y")</f>
        <v>1229.9490000000001</v>
      </c>
      <c r="E124" s="13">
        <f>_xll.BDH("SRPT US Equity","ARDR_CONTRACTUAL_OBLIG_TOTAL","FQ2 2019","FQ2 2019","Currency=USD","Period=FQ","BEST_FPERIOD_OVERRIDE=FQ","FILING_STATUS=MR","SCALING_FORMAT=MLN","Sort=A","Dates=H","DateFormat=P","Fill=—","Direction=H","UseDPDF=Y")</f>
        <v>1356.46</v>
      </c>
      <c r="F124" s="13">
        <f>_xll.BDH("SRPT US Equity","ARDR_CONTRACTUAL_OBLIG_TOTAL","FQ3 2019","FQ3 2019","Currency=USD","Period=FQ","BEST_FPERIOD_OVERRIDE=FQ","FILING_STATUS=MR","SCALING_FORMAT=MLN","Sort=A","Dates=H","DateFormat=P","Fill=—","Direction=H","UseDPDF=Y")</f>
        <v>1535.098</v>
      </c>
      <c r="G124" s="13">
        <f>_xll.BDH("SRPT US Equity","ARDR_CONTRACTUAL_OBLIG_TOTAL","FQ4 2019","FQ4 2019","Currency=USD","Period=FQ","BEST_FPERIOD_OVERRIDE=FQ","FILING_STATUS=MR","SCALING_FORMAT=MLN","Sort=A","Dates=H","DateFormat=P","Fill=—","Direction=H","UseDPDF=Y")</f>
        <v>1909.06</v>
      </c>
      <c r="H124" s="13">
        <f>_xll.BDH("SRPT US Equity","ARDR_CONTRACTUAL_OBLIG_TOTAL","FQ1 2020","FQ1 2020","Currency=USD","Period=FQ","BEST_FPERIOD_OVERRIDE=FQ","FILING_STATUS=MR","SCALING_FORMAT=MLN","Sort=A","Dates=H","DateFormat=P","Fill=—","Direction=H","UseDPDF=Y")</f>
        <v>1859.5170000000001</v>
      </c>
      <c r="I124" s="13">
        <f>_xll.BDH("SRPT US Equity","ARDR_CONTRACTUAL_OBLIG_TOTAL","FQ2 2020","FQ2 2020","Currency=USD","Period=FQ","BEST_FPERIOD_OVERRIDE=FQ","FILING_STATUS=MR","SCALING_FORMAT=MLN","Sort=A","Dates=H","DateFormat=P","Fill=—","Direction=H","UseDPDF=Y")</f>
        <v>2152.2629999999999</v>
      </c>
      <c r="J124" s="13">
        <f>_xll.BDH("SRPT US Equity","ARDR_CONTRACTUAL_OBLIG_TOTAL","FQ3 2020","FQ3 2020","Currency=USD","Period=FQ","BEST_FPERIOD_OVERRIDE=FQ","FILING_STATUS=MR","SCALING_FORMAT=MLN","Sort=A","Dates=H","DateFormat=P","Fill=—","Direction=H","UseDPDF=Y")</f>
        <v>2066.3150000000001</v>
      </c>
      <c r="K124" s="13">
        <f>_xll.BDH("SRPT US Equity","ARDR_CONTRACTUAL_OBLIG_TOTAL","FQ4 2020","FQ4 2020","Currency=USD","Period=FQ","BEST_FPERIOD_OVERRIDE=FQ","FILING_STATUS=MR","SCALING_FORMAT=MLN","Sort=A","Dates=H","DateFormat=P","Fill=—","Direction=H","UseDPDF=Y")</f>
        <v>2673.1660000000002</v>
      </c>
      <c r="L124" s="13">
        <f>_xll.BDH("SRPT US Equity","ARDR_CONTRACTUAL_OBLIG_TOTAL","FQ1 2021","FQ1 2021","Currency=USD","Period=FQ","BEST_FPERIOD_OVERRIDE=FQ","FILING_STATUS=MR","SCALING_FORMAT=MLN","Sort=A","Dates=H","DateFormat=P","Fill=—","Direction=H","UseDPDF=Y")</f>
        <v>2814.5729999999999</v>
      </c>
      <c r="M124" s="13">
        <f>_xll.BDH("SRPT US Equity","ARDR_CONTRACTUAL_OBLIG_TOTAL","FQ2 2021","FQ2 2021","Currency=USD","Period=FQ","BEST_FPERIOD_OVERRIDE=FQ","FILING_STATUS=MR","SCALING_FORMAT=MLN","Sort=A","Dates=H","DateFormat=P","Fill=—","Direction=H","UseDPDF=Y")</f>
        <v>2775.4740000000002</v>
      </c>
      <c r="N124" s="13">
        <f>_xll.BDH("SRPT US Equity","ARDR_CONTRACTUAL_OBLIG_TOTAL","FQ3 2021","FQ3 2021","Currency=USD","Period=FQ","BEST_FPERIOD_OVERRIDE=FQ","FILING_STATUS=MR","SCALING_FORMAT=MLN","Sort=A","Dates=H","DateFormat=P","Fill=—","Direction=H","UseDPDF=Y")</f>
        <v>2848.9319999999998</v>
      </c>
      <c r="O124" s="13">
        <f>_xll.BDH("SRPT US Equity","ARDR_CONTRACTUAL_OBLIG_TOTAL","FQ4 2021","FQ4 2021","Currency=USD","Period=FQ","BEST_FPERIOD_OVERRIDE=FQ","FILING_STATUS=MR","SCALING_FORMAT=MLN","Sort=A","Dates=H","DateFormat=P","Fill=—","Direction=H","UseDPDF=Y")</f>
        <v>1229.192</v>
      </c>
      <c r="P124" s="13">
        <f>_xll.BDH("SRPT US Equity","ARDR_CONTRACTUAL_OBLIG_TOTAL","FQ1 2022","FQ1 2022","Currency=USD","Period=FQ","BEST_FPERIOD_OVERRIDE=FQ","FILING_STATUS=MR","SCALING_FORMAT=MLN","Sort=A","Dates=H","DateFormat=P","Fill=—","Direction=H","UseDPDF=Y")</f>
        <v>1301.2429999999999</v>
      </c>
      <c r="Q124" s="13">
        <f>_xll.BDH("SRPT US Equity","ARDR_CONTRACTUAL_OBLIG_TOTAL","FQ2 2022","FQ2 2022","Currency=USD","Period=FQ","BEST_FPERIOD_OVERRIDE=FQ","FILING_STATUS=MR","SCALING_FORMAT=MLN","Sort=A","Dates=H","DateFormat=P","Fill=—","Direction=H","UseDPDF=Y")</f>
        <v>1249.452</v>
      </c>
      <c r="R124" s="13">
        <f>_xll.BDH("SRPT US Equity","ARDR_CONTRACTUAL_OBLIG_TOTAL","FQ3 2022","FQ3 2022","Currency=USD","Period=FQ","BEST_FPERIOD_OVERRIDE=FQ","FILING_STATUS=MR","SCALING_FORMAT=MLN","Sort=A","Dates=H","DateFormat=P","Fill=—","Direction=H","UseDPDF=Y")</f>
        <v>1295.104</v>
      </c>
      <c r="S124" s="13">
        <f>_xll.BDH("SRPT US Equity","ARDR_CONTRACTUAL_OBLIG_TOTAL","FQ4 2022","FQ4 2022","Currency=USD","Period=FQ","BEST_FPERIOD_OVERRIDE=FQ","FILING_STATUS=MR","SCALING_FORMAT=MLN","Sort=A","Dates=H","DateFormat=P","Fill=—","Direction=H","UseDPDF=Y")</f>
        <v>1385.7760000000001</v>
      </c>
      <c r="T124" s="13">
        <f>_xll.BDH("SRPT US Equity","ARDR_CONTRACTUAL_OBLIG_TOTAL","FQ1 2023","FQ1 2023","Currency=USD","Period=FQ","BEST_FPERIOD_OVERRIDE=FQ","FILING_STATUS=MR","SCALING_FORMAT=MLN","Sort=A","Dates=H","DateFormat=P","Fill=—","Direction=H","UseDPDF=Y")</f>
        <v>1368.519</v>
      </c>
      <c r="U124" s="13">
        <f>_xll.BDH("SRPT US Equity","ARDR_CONTRACTUAL_OBLIG_TOTAL","FQ2 2023","FQ2 2023","Currency=USD","Period=FQ","BEST_FPERIOD_OVERRIDE=FQ","FILING_STATUS=MR","SCALING_FORMAT=MLN","Sort=A","Dates=H","DateFormat=P","Fill=—","Direction=H","UseDPDF=Y")</f>
        <v>1281.7529999999999</v>
      </c>
      <c r="V124" s="13">
        <f>_xll.BDH("SRPT US Equity","ARDR_CONTRACTUAL_OBLIG_TOTAL","FQ3 2023","FQ3 2023","Currency=USD","Period=FQ","BEST_FPERIOD_OVERRIDE=FQ","FILING_STATUS=MR","SCALING_FORMAT=MLN","Sort=A","Dates=H","DateFormat=P","Fill=—","Direction=H","UseDPDF=Y")</f>
        <v>1524.375</v>
      </c>
      <c r="W124" s="13">
        <f>_xll.BDH("SRPT US Equity","ARDR_CONTRACTUAL_OBLIG_TOTAL","FQ4 2023","FQ4 2023","Currency=USD","Period=FQ","BEST_FPERIOD_OVERRIDE=FQ","FILING_STATUS=MR","SCALING_FORMAT=MLN","Sort=A","Dates=H","DateFormat=P","Fill=—","Direction=H","UseDPDF=Y")</f>
        <v>1439.83</v>
      </c>
      <c r="X124" s="13">
        <f>_xll.BDH("SRPT US Equity","ARDR_CONTRACTUAL_OBLIG_TOTAL","FQ1 2024","FQ1 2024","Currency=USD","Period=FQ","BEST_FPERIOD_OVERRIDE=FQ","FILING_STATUS=MR","SCALING_FORMAT=MLN","Sort=A","Dates=H","DateFormat=P","Fill=—","Direction=H","UseDPDF=Y")</f>
        <v>1266.0989999999999</v>
      </c>
      <c r="Y124" s="13">
        <f>_xll.BDH("SRPT US Equity","ARDR_CONTRACTUAL_OBLIG_TOTAL","FQ2 2024","FQ2 2024","Currency=USD","Period=FQ","BEST_FPERIOD_OVERRIDE=FQ","FILING_STATUS=MR","SCALING_FORMAT=MLN","Sort=A","Dates=H","DateFormat=P","Fill=—","Direction=H","UseDPDF=Y")</f>
        <v>1246.155</v>
      </c>
      <c r="Z124" s="13">
        <f>_xll.BDH("SRPT US Equity","ARDR_CONTRACTUAL_OBLIG_TOTAL","FQ3 2024","FQ3 2024","Currency=USD","Period=FQ","BEST_FPERIOD_OVERRIDE=FQ","FILING_STATUS=MR","SCALING_FORMAT=MLN","Sort=A","Dates=H","DateFormat=P","Fill=—","Direction=H","UseDPDF=Y")</f>
        <v>1186.1199999999999</v>
      </c>
      <c r="AA124" s="13" t="str">
        <f>_xll.BDH("SRPT US Equity","ARDR_CONTRACTUAL_OBLIG_TOTAL","FQ4 2024","FQ4 2024","Currency=USD","Period=FQ","BEST_FPERIOD_OVERRIDE=FQ","FILING_STATUS=MR","SCALING_FORMAT=MLN","Sort=A","Dates=H","DateFormat=P","Fill=—","Direction=H","UseDPDF=Y")</f>
        <v>—</v>
      </c>
    </row>
    <row r="125" spans="1:27" x14ac:dyDescent="0.25">
      <c r="A125" s="10" t="s">
        <v>1049</v>
      </c>
      <c r="B125" s="10" t="s">
        <v>1050</v>
      </c>
      <c r="C125" s="13" t="str">
        <f>_xll.BDH("SRPT US Equity","ARDR_RENTAL_EXPENSE_YEARS_2_3","FQ4 2018","FQ4 2018","Currency=USD","Period=FQ","BEST_FPERIOD_OVERRIDE=FQ","FILING_STATUS=MR","SCALING_FORMAT=MLN","Sort=A","Dates=H","DateFormat=P","Fill=—","Direction=H","UseDPDF=Y")</f>
        <v>—</v>
      </c>
      <c r="D125" s="13" t="str">
        <f>_xll.BDH("SRPT US Equity","ARDR_RENTAL_EXPENSE_YEARS_2_3","FQ1 2019","FQ1 2019","Currency=USD","Period=FQ","BEST_FPERIOD_OVERRIDE=FQ","FILING_STATUS=MR","SCALING_FORMAT=MLN","Sort=A","Dates=H","DateFormat=P","Fill=—","Direction=H","UseDPDF=Y")</f>
        <v>—</v>
      </c>
      <c r="E125" s="13" t="str">
        <f>_xll.BDH("SRPT US Equity","ARDR_RENTAL_EXPENSE_YEARS_2_3","FQ2 2019","FQ2 2019","Currency=USD","Period=FQ","BEST_FPERIOD_OVERRIDE=FQ","FILING_STATUS=MR","SCALING_FORMAT=MLN","Sort=A","Dates=H","DateFormat=P","Fill=—","Direction=H","UseDPDF=Y")</f>
        <v>—</v>
      </c>
      <c r="F125" s="13" t="str">
        <f>_xll.BDH("SRPT US Equity","ARDR_RENTAL_EXPENSE_YEARS_2_3","FQ3 2019","FQ3 2019","Currency=USD","Period=FQ","BEST_FPERIOD_OVERRIDE=FQ","FILING_STATUS=MR","SCALING_FORMAT=MLN","Sort=A","Dates=H","DateFormat=P","Fill=—","Direction=H","UseDPDF=Y")</f>
        <v>—</v>
      </c>
      <c r="G125" s="13" t="str">
        <f>_xll.BDH("SRPT US Equity","ARDR_RENTAL_EXPENSE_YEARS_2_3","FQ4 2019","FQ4 2019","Currency=USD","Period=FQ","BEST_FPERIOD_OVERRIDE=FQ","FILING_STATUS=MR","SCALING_FORMAT=MLN","Sort=A","Dates=H","DateFormat=P","Fill=—","Direction=H","UseDPDF=Y")</f>
        <v>—</v>
      </c>
      <c r="H125" s="13">
        <f>_xll.BDH("SRPT US Equity","ARDR_RENTAL_EXPENSE_YEARS_2_3","FQ1 2020","FQ1 2020","Currency=USD","Period=FQ","BEST_FPERIOD_OVERRIDE=FQ","FILING_STATUS=MR","SCALING_FORMAT=MLN","Sort=A","Dates=H","DateFormat=P","Fill=—","Direction=H","UseDPDF=Y")</f>
        <v>23.609000000000002</v>
      </c>
      <c r="I125" s="13">
        <f>_xll.BDH("SRPT US Equity","ARDR_RENTAL_EXPENSE_YEARS_2_3","FQ2 2020","FQ2 2020","Currency=USD","Period=FQ","BEST_FPERIOD_OVERRIDE=FQ","FILING_STATUS=MR","SCALING_FORMAT=MLN","Sort=A","Dates=H","DateFormat=P","Fill=—","Direction=H","UseDPDF=Y")</f>
        <v>24.231000000000002</v>
      </c>
      <c r="J125" s="13">
        <f>_xll.BDH("SRPT US Equity","ARDR_RENTAL_EXPENSE_YEARS_2_3","FQ3 2020","FQ3 2020","Currency=USD","Period=FQ","BEST_FPERIOD_OVERRIDE=FQ","FILING_STATUS=MR","SCALING_FORMAT=MLN","Sort=A","Dates=H","DateFormat=P","Fill=—","Direction=H","UseDPDF=Y")</f>
        <v>23.765999999999998</v>
      </c>
      <c r="K125" s="13" t="str">
        <f>_xll.BDH("SRPT US Equity","ARDR_RENTAL_EXPENSE_YEARS_2_3","FQ4 2020","FQ4 2020","Currency=USD","Period=FQ","BEST_FPERIOD_OVERRIDE=FQ","FILING_STATUS=MR","SCALING_FORMAT=MLN","Sort=A","Dates=H","DateFormat=P","Fill=—","Direction=H","UseDPDF=Y")</f>
        <v>—</v>
      </c>
      <c r="L125" s="13">
        <f>_xll.BDH("SRPT US Equity","ARDR_RENTAL_EXPENSE_YEARS_2_3","FQ1 2021","FQ1 2021","Currency=USD","Period=FQ","BEST_FPERIOD_OVERRIDE=FQ","FILING_STATUS=MR","SCALING_FORMAT=MLN","Sort=A","Dates=H","DateFormat=P","Fill=—","Direction=H","UseDPDF=Y")</f>
        <v>23.082000000000001</v>
      </c>
      <c r="M125" s="13">
        <f>_xll.BDH("SRPT US Equity","ARDR_RENTAL_EXPENSE_YEARS_2_3","FQ2 2021","FQ2 2021","Currency=USD","Period=FQ","BEST_FPERIOD_OVERRIDE=FQ","FILING_STATUS=MR","SCALING_FORMAT=MLN","Sort=A","Dates=H","DateFormat=P","Fill=—","Direction=H","UseDPDF=Y")</f>
        <v>24.077000000000002</v>
      </c>
      <c r="N125" s="13">
        <f>_xll.BDH("SRPT US Equity","ARDR_RENTAL_EXPENSE_YEARS_2_3","FQ3 2021","FQ3 2021","Currency=USD","Period=FQ","BEST_FPERIOD_OVERRIDE=FQ","FILING_STATUS=MR","SCALING_FORMAT=MLN","Sort=A","Dates=H","DateFormat=P","Fill=—","Direction=H","UseDPDF=Y")</f>
        <v>24.06</v>
      </c>
      <c r="O125" s="13" t="str">
        <f>_xll.BDH("SRPT US Equity","ARDR_RENTAL_EXPENSE_YEARS_2_3","FQ4 2021","FQ4 2021","Currency=USD","Period=FQ","BEST_FPERIOD_OVERRIDE=FQ","FILING_STATUS=MR","SCALING_FORMAT=MLN","Sort=A","Dates=H","DateFormat=P","Fill=—","Direction=H","UseDPDF=Y")</f>
        <v>—</v>
      </c>
      <c r="P125" s="13" t="str">
        <f>_xll.BDH("SRPT US Equity","ARDR_RENTAL_EXPENSE_YEARS_2_3","FQ1 2022","FQ1 2022","Currency=USD","Period=FQ","BEST_FPERIOD_OVERRIDE=FQ","FILING_STATUS=MR","SCALING_FORMAT=MLN","Sort=A","Dates=H","DateFormat=P","Fill=—","Direction=H","UseDPDF=Y")</f>
        <v>—</v>
      </c>
      <c r="Q125" s="13" t="str">
        <f>_xll.BDH("SRPT US Equity","ARDR_RENTAL_EXPENSE_YEARS_2_3","FQ2 2022","FQ2 2022","Currency=USD","Period=FQ","BEST_FPERIOD_OVERRIDE=FQ","FILING_STATUS=MR","SCALING_FORMAT=MLN","Sort=A","Dates=H","DateFormat=P","Fill=—","Direction=H","UseDPDF=Y")</f>
        <v>—</v>
      </c>
      <c r="R125" s="13" t="str">
        <f>_xll.BDH("SRPT US Equity","ARDR_RENTAL_EXPENSE_YEARS_2_3","FQ3 2022","FQ3 2022","Currency=USD","Period=FQ","BEST_FPERIOD_OVERRIDE=FQ","FILING_STATUS=MR","SCALING_FORMAT=MLN","Sort=A","Dates=H","DateFormat=P","Fill=—","Direction=H","UseDPDF=Y")</f>
        <v>—</v>
      </c>
      <c r="S125" s="13" t="str">
        <f>_xll.BDH("SRPT US Equity","ARDR_RENTAL_EXPENSE_YEARS_2_3","FQ4 2022","FQ4 2022","Currency=USD","Period=FQ","BEST_FPERIOD_OVERRIDE=FQ","FILING_STATUS=MR","SCALING_FORMAT=MLN","Sort=A","Dates=H","DateFormat=P","Fill=—","Direction=H","UseDPDF=Y")</f>
        <v>—</v>
      </c>
      <c r="T125" s="13" t="str">
        <f>_xll.BDH("SRPT US Equity","ARDR_RENTAL_EXPENSE_YEARS_2_3","FQ1 2023","FQ1 2023","Currency=USD","Period=FQ","BEST_FPERIOD_OVERRIDE=FQ","FILING_STATUS=MR","SCALING_FORMAT=MLN","Sort=A","Dates=H","DateFormat=P","Fill=—","Direction=H","UseDPDF=Y")</f>
        <v>—</v>
      </c>
      <c r="U125" s="13" t="str">
        <f>_xll.BDH("SRPT US Equity","ARDR_RENTAL_EXPENSE_YEARS_2_3","FQ2 2023","FQ2 2023","Currency=USD","Period=FQ","BEST_FPERIOD_OVERRIDE=FQ","FILING_STATUS=MR","SCALING_FORMAT=MLN","Sort=A","Dates=H","DateFormat=P","Fill=—","Direction=H","UseDPDF=Y")</f>
        <v>—</v>
      </c>
      <c r="V125" s="13" t="str">
        <f>_xll.BDH("SRPT US Equity","ARDR_RENTAL_EXPENSE_YEARS_2_3","FQ3 2023","FQ3 2023","Currency=USD","Period=FQ","BEST_FPERIOD_OVERRIDE=FQ","FILING_STATUS=MR","SCALING_FORMAT=MLN","Sort=A","Dates=H","DateFormat=P","Fill=—","Direction=H","UseDPDF=Y")</f>
        <v>—</v>
      </c>
      <c r="W125" s="13" t="str">
        <f>_xll.BDH("SRPT US Equity","ARDR_RENTAL_EXPENSE_YEARS_2_3","FQ4 2023","FQ4 2023","Currency=USD","Period=FQ","BEST_FPERIOD_OVERRIDE=FQ","FILING_STATUS=MR","SCALING_FORMAT=MLN","Sort=A","Dates=H","DateFormat=P","Fill=—","Direction=H","UseDPDF=Y")</f>
        <v>—</v>
      </c>
      <c r="X125" s="13" t="str">
        <f>_xll.BDH("SRPT US Equity","ARDR_RENTAL_EXPENSE_YEARS_2_3","FQ1 2024","FQ1 2024","Currency=USD","Period=FQ","BEST_FPERIOD_OVERRIDE=FQ","FILING_STATUS=MR","SCALING_FORMAT=MLN","Sort=A","Dates=H","DateFormat=P","Fill=—","Direction=H","UseDPDF=Y")</f>
        <v>—</v>
      </c>
      <c r="Y125" s="13" t="str">
        <f>_xll.BDH("SRPT US Equity","ARDR_RENTAL_EXPENSE_YEARS_2_3","FQ2 2024","FQ2 2024","Currency=USD","Period=FQ","BEST_FPERIOD_OVERRIDE=FQ","FILING_STATUS=MR","SCALING_FORMAT=MLN","Sort=A","Dates=H","DateFormat=P","Fill=—","Direction=H","UseDPDF=Y")</f>
        <v>—</v>
      </c>
      <c r="Z125" s="13" t="str">
        <f>_xll.BDH("SRPT US Equity","ARDR_RENTAL_EXPENSE_YEARS_2_3","FQ3 2024","FQ3 2024","Currency=USD","Period=FQ","BEST_FPERIOD_OVERRIDE=FQ","FILING_STATUS=MR","SCALING_FORMAT=MLN","Sort=A","Dates=H","DateFormat=P","Fill=—","Direction=H","UseDPDF=Y")</f>
        <v>—</v>
      </c>
      <c r="AA125" s="13" t="str">
        <f>_xll.BDH("SRPT US Equity","ARDR_RENTAL_EXPENSE_YEARS_2_3","FQ4 2024","FQ4 2024","Currency=USD","Period=FQ","BEST_FPERIOD_OVERRIDE=FQ","FILING_STATUS=MR","SCALING_FORMAT=MLN","Sort=A","Dates=H","DateFormat=P","Fill=—","Direction=H","UseDPDF=Y")</f>
        <v>—</v>
      </c>
    </row>
    <row r="126" spans="1:27" x14ac:dyDescent="0.25">
      <c r="A126" s="10" t="s">
        <v>1051</v>
      </c>
      <c r="B126" s="10" t="s">
        <v>1052</v>
      </c>
      <c r="C126" s="13" t="str">
        <f>_xll.BDH("SRPT US Equity","ARDR_RENTAL_EXPENSE_YEARS_4_5","FQ4 2018","FQ4 2018","Currency=USD","Period=FQ","BEST_FPERIOD_OVERRIDE=FQ","FILING_STATUS=MR","SCALING_FORMAT=MLN","Sort=A","Dates=H","DateFormat=P","Fill=—","Direction=H","UseDPDF=Y")</f>
        <v>—</v>
      </c>
      <c r="D126" s="13" t="str">
        <f>_xll.BDH("SRPT US Equity","ARDR_RENTAL_EXPENSE_YEARS_4_5","FQ1 2019","FQ1 2019","Currency=USD","Period=FQ","BEST_FPERIOD_OVERRIDE=FQ","FILING_STATUS=MR","SCALING_FORMAT=MLN","Sort=A","Dates=H","DateFormat=P","Fill=—","Direction=H","UseDPDF=Y")</f>
        <v>—</v>
      </c>
      <c r="E126" s="13" t="str">
        <f>_xll.BDH("SRPT US Equity","ARDR_RENTAL_EXPENSE_YEARS_4_5","FQ2 2019","FQ2 2019","Currency=USD","Period=FQ","BEST_FPERIOD_OVERRIDE=FQ","FILING_STATUS=MR","SCALING_FORMAT=MLN","Sort=A","Dates=H","DateFormat=P","Fill=—","Direction=H","UseDPDF=Y")</f>
        <v>—</v>
      </c>
      <c r="F126" s="13" t="str">
        <f>_xll.BDH("SRPT US Equity","ARDR_RENTAL_EXPENSE_YEARS_4_5","FQ3 2019","FQ3 2019","Currency=USD","Period=FQ","BEST_FPERIOD_OVERRIDE=FQ","FILING_STATUS=MR","SCALING_FORMAT=MLN","Sort=A","Dates=H","DateFormat=P","Fill=—","Direction=H","UseDPDF=Y")</f>
        <v>—</v>
      </c>
      <c r="G126" s="13" t="str">
        <f>_xll.BDH("SRPT US Equity","ARDR_RENTAL_EXPENSE_YEARS_4_5","FQ4 2019","FQ4 2019","Currency=USD","Period=FQ","BEST_FPERIOD_OVERRIDE=FQ","FILING_STATUS=MR","SCALING_FORMAT=MLN","Sort=A","Dates=H","DateFormat=P","Fill=—","Direction=H","UseDPDF=Y")</f>
        <v>—</v>
      </c>
      <c r="H126" s="13">
        <f>_xll.BDH("SRPT US Equity","ARDR_RENTAL_EXPENSE_YEARS_4_5","FQ1 2020","FQ1 2020","Currency=USD","Period=FQ","BEST_FPERIOD_OVERRIDE=FQ","FILING_STATUS=MR","SCALING_FORMAT=MLN","Sort=A","Dates=H","DateFormat=P","Fill=—","Direction=H","UseDPDF=Y")</f>
        <v>22.792999999999999</v>
      </c>
      <c r="I126" s="13">
        <f>_xll.BDH("SRPT US Equity","ARDR_RENTAL_EXPENSE_YEARS_4_5","FQ2 2020","FQ2 2020","Currency=USD","Period=FQ","BEST_FPERIOD_OVERRIDE=FQ","FILING_STATUS=MR","SCALING_FORMAT=MLN","Sort=A","Dates=H","DateFormat=P","Fill=—","Direction=H","UseDPDF=Y")</f>
        <v>23.13</v>
      </c>
      <c r="J126" s="13">
        <f>_xll.BDH("SRPT US Equity","ARDR_RENTAL_EXPENSE_YEARS_4_5","FQ3 2020","FQ3 2020","Currency=USD","Period=FQ","BEST_FPERIOD_OVERRIDE=FQ","FILING_STATUS=MR","SCALING_FORMAT=MLN","Sort=A","Dates=H","DateFormat=P","Fill=—","Direction=H","UseDPDF=Y")</f>
        <v>23.143999999999998</v>
      </c>
      <c r="K126" s="13" t="str">
        <f>_xll.BDH("SRPT US Equity","ARDR_RENTAL_EXPENSE_YEARS_4_5","FQ4 2020","FQ4 2020","Currency=USD","Period=FQ","BEST_FPERIOD_OVERRIDE=FQ","FILING_STATUS=MR","SCALING_FORMAT=MLN","Sort=A","Dates=H","DateFormat=P","Fill=—","Direction=H","UseDPDF=Y")</f>
        <v>—</v>
      </c>
      <c r="L126" s="13">
        <f>_xll.BDH("SRPT US Equity","ARDR_RENTAL_EXPENSE_YEARS_4_5","FQ1 2021","FQ1 2021","Currency=USD","Period=FQ","BEST_FPERIOD_OVERRIDE=FQ","FILING_STATUS=MR","SCALING_FORMAT=MLN","Sort=A","Dates=H","DateFormat=P","Fill=—","Direction=H","UseDPDF=Y")</f>
        <v>17.948</v>
      </c>
      <c r="M126" s="13">
        <f>_xll.BDH("SRPT US Equity","ARDR_RENTAL_EXPENSE_YEARS_4_5","FQ2 2021","FQ2 2021","Currency=USD","Period=FQ","BEST_FPERIOD_OVERRIDE=FQ","FILING_STATUS=MR","SCALING_FORMAT=MLN","Sort=A","Dates=H","DateFormat=P","Fill=—","Direction=H","UseDPDF=Y")</f>
        <v>15.37</v>
      </c>
      <c r="N126" s="13">
        <f>_xll.BDH("SRPT US Equity","ARDR_RENTAL_EXPENSE_YEARS_4_5","FQ3 2021","FQ3 2021","Currency=USD","Period=FQ","BEST_FPERIOD_OVERRIDE=FQ","FILING_STATUS=MR","SCALING_FORMAT=MLN","Sort=A","Dates=H","DateFormat=P","Fill=—","Direction=H","UseDPDF=Y")</f>
        <v>12.497</v>
      </c>
      <c r="O126" s="13" t="str">
        <f>_xll.BDH("SRPT US Equity","ARDR_RENTAL_EXPENSE_YEARS_4_5","FQ4 2021","FQ4 2021","Currency=USD","Period=FQ","BEST_FPERIOD_OVERRIDE=FQ","FILING_STATUS=MR","SCALING_FORMAT=MLN","Sort=A","Dates=H","DateFormat=P","Fill=—","Direction=H","UseDPDF=Y")</f>
        <v>—</v>
      </c>
      <c r="P126" s="13" t="str">
        <f>_xll.BDH("SRPT US Equity","ARDR_RENTAL_EXPENSE_YEARS_4_5","FQ1 2022","FQ1 2022","Currency=USD","Period=FQ","BEST_FPERIOD_OVERRIDE=FQ","FILING_STATUS=MR","SCALING_FORMAT=MLN","Sort=A","Dates=H","DateFormat=P","Fill=—","Direction=H","UseDPDF=Y")</f>
        <v>—</v>
      </c>
      <c r="Q126" s="13" t="str">
        <f>_xll.BDH("SRPT US Equity","ARDR_RENTAL_EXPENSE_YEARS_4_5","FQ2 2022","FQ2 2022","Currency=USD","Period=FQ","BEST_FPERIOD_OVERRIDE=FQ","FILING_STATUS=MR","SCALING_FORMAT=MLN","Sort=A","Dates=H","DateFormat=P","Fill=—","Direction=H","UseDPDF=Y")</f>
        <v>—</v>
      </c>
      <c r="R126" s="13" t="str">
        <f>_xll.BDH("SRPT US Equity","ARDR_RENTAL_EXPENSE_YEARS_4_5","FQ3 2022","FQ3 2022","Currency=USD","Period=FQ","BEST_FPERIOD_OVERRIDE=FQ","FILING_STATUS=MR","SCALING_FORMAT=MLN","Sort=A","Dates=H","DateFormat=P","Fill=—","Direction=H","UseDPDF=Y")</f>
        <v>—</v>
      </c>
      <c r="S126" s="13" t="str">
        <f>_xll.BDH("SRPT US Equity","ARDR_RENTAL_EXPENSE_YEARS_4_5","FQ4 2022","FQ4 2022","Currency=USD","Period=FQ","BEST_FPERIOD_OVERRIDE=FQ","FILING_STATUS=MR","SCALING_FORMAT=MLN","Sort=A","Dates=H","DateFormat=P","Fill=—","Direction=H","UseDPDF=Y")</f>
        <v>—</v>
      </c>
      <c r="T126" s="13" t="str">
        <f>_xll.BDH("SRPT US Equity","ARDR_RENTAL_EXPENSE_YEARS_4_5","FQ1 2023","FQ1 2023","Currency=USD","Period=FQ","BEST_FPERIOD_OVERRIDE=FQ","FILING_STATUS=MR","SCALING_FORMAT=MLN","Sort=A","Dates=H","DateFormat=P","Fill=—","Direction=H","UseDPDF=Y")</f>
        <v>—</v>
      </c>
      <c r="U126" s="13" t="str">
        <f>_xll.BDH("SRPT US Equity","ARDR_RENTAL_EXPENSE_YEARS_4_5","FQ2 2023","FQ2 2023","Currency=USD","Period=FQ","BEST_FPERIOD_OVERRIDE=FQ","FILING_STATUS=MR","SCALING_FORMAT=MLN","Sort=A","Dates=H","DateFormat=P","Fill=—","Direction=H","UseDPDF=Y")</f>
        <v>—</v>
      </c>
      <c r="V126" s="13" t="str">
        <f>_xll.BDH("SRPT US Equity","ARDR_RENTAL_EXPENSE_YEARS_4_5","FQ3 2023","FQ3 2023","Currency=USD","Period=FQ","BEST_FPERIOD_OVERRIDE=FQ","FILING_STATUS=MR","SCALING_FORMAT=MLN","Sort=A","Dates=H","DateFormat=P","Fill=—","Direction=H","UseDPDF=Y")</f>
        <v>—</v>
      </c>
      <c r="W126" s="13" t="str">
        <f>_xll.BDH("SRPT US Equity","ARDR_RENTAL_EXPENSE_YEARS_4_5","FQ4 2023","FQ4 2023","Currency=USD","Period=FQ","BEST_FPERIOD_OVERRIDE=FQ","FILING_STATUS=MR","SCALING_FORMAT=MLN","Sort=A","Dates=H","DateFormat=P","Fill=—","Direction=H","UseDPDF=Y")</f>
        <v>—</v>
      </c>
      <c r="X126" s="13" t="str">
        <f>_xll.BDH("SRPT US Equity","ARDR_RENTAL_EXPENSE_YEARS_4_5","FQ1 2024","FQ1 2024","Currency=USD","Period=FQ","BEST_FPERIOD_OVERRIDE=FQ","FILING_STATUS=MR","SCALING_FORMAT=MLN","Sort=A","Dates=H","DateFormat=P","Fill=—","Direction=H","UseDPDF=Y")</f>
        <v>—</v>
      </c>
      <c r="Y126" s="13" t="str">
        <f>_xll.BDH("SRPT US Equity","ARDR_RENTAL_EXPENSE_YEARS_4_5","FQ2 2024","FQ2 2024","Currency=USD","Period=FQ","BEST_FPERIOD_OVERRIDE=FQ","FILING_STATUS=MR","SCALING_FORMAT=MLN","Sort=A","Dates=H","DateFormat=P","Fill=—","Direction=H","UseDPDF=Y")</f>
        <v>—</v>
      </c>
      <c r="Z126" s="13" t="str">
        <f>_xll.BDH("SRPT US Equity","ARDR_RENTAL_EXPENSE_YEARS_4_5","FQ3 2024","FQ3 2024","Currency=USD","Period=FQ","BEST_FPERIOD_OVERRIDE=FQ","FILING_STATUS=MR","SCALING_FORMAT=MLN","Sort=A","Dates=H","DateFormat=P","Fill=—","Direction=H","UseDPDF=Y")</f>
        <v>—</v>
      </c>
      <c r="AA126" s="13" t="str">
        <f>_xll.BDH("SRPT US Equity","ARDR_RENTAL_EXPENSE_YEARS_4_5","FQ4 2024","FQ4 2024","Currency=USD","Period=FQ","BEST_FPERIOD_OVERRIDE=FQ","FILING_STATUS=MR","SCALING_FORMAT=MLN","Sort=A","Dates=H","DateFormat=P","Fill=—","Direction=H","UseDPDF=Y")</f>
        <v>—</v>
      </c>
    </row>
    <row r="127" spans="1:27" x14ac:dyDescent="0.25">
      <c r="A127" s="10" t="s">
        <v>1053</v>
      </c>
      <c r="B127" s="10" t="s">
        <v>1054</v>
      </c>
      <c r="C127" s="13" t="str">
        <f>_xll.BDH("SRPT US Equity","ARDR_PV_FUTURE_MIN_OP_LEASE_OBL","FQ4 2018","FQ4 2018","Currency=USD","Period=FQ","BEST_FPERIOD_OVERRIDE=FQ","FILING_STATUS=MR","SCALING_FORMAT=MLN","Sort=A","Dates=H","DateFormat=P","Fill=—","Direction=H","UseDPDF=Y")</f>
        <v>—</v>
      </c>
      <c r="D127" s="13">
        <f>_xll.BDH("SRPT US Equity","ARDR_PV_FUTURE_MIN_OP_LEASE_OBL","FQ1 2019","FQ1 2019","Currency=USD","Period=FQ","BEST_FPERIOD_OVERRIDE=FQ","FILING_STATUS=MR","SCALING_FORMAT=MLN","Sort=A","Dates=H","DateFormat=P","Fill=—","Direction=H","UseDPDF=Y")</f>
        <v>58.929000000000002</v>
      </c>
      <c r="E127" s="13">
        <f>_xll.BDH("SRPT US Equity","ARDR_PV_FUTURE_MIN_OP_LEASE_OBL","FQ2 2019","FQ2 2019","Currency=USD","Period=FQ","BEST_FPERIOD_OVERRIDE=FQ","FILING_STATUS=MR","SCALING_FORMAT=MLN","Sort=A","Dates=H","DateFormat=P","Fill=—","Direction=H","UseDPDF=Y")</f>
        <v>57.37</v>
      </c>
      <c r="F127" s="13">
        <f>_xll.BDH("SRPT US Equity","ARDR_PV_FUTURE_MIN_OP_LEASE_OBL","FQ3 2019","FQ3 2019","Currency=USD","Period=FQ","BEST_FPERIOD_OVERRIDE=FQ","FILING_STATUS=MR","SCALING_FORMAT=MLN","Sort=A","Dates=H","DateFormat=P","Fill=—","Direction=H","UseDPDF=Y")</f>
        <v>57.337000000000003</v>
      </c>
      <c r="G127" s="13">
        <f>_xll.BDH("SRPT US Equity","ARDR_PV_FUTURE_MIN_OP_LEASE_OBL","FQ4 2019","FQ4 2019","Currency=USD","Period=FQ","BEST_FPERIOD_OVERRIDE=FQ","FILING_STATUS=MR","SCALING_FORMAT=MLN","Sort=A","Dates=H","DateFormat=P","Fill=—","Direction=H","UseDPDF=Y")</f>
        <v>55.566000000000003</v>
      </c>
      <c r="H127" s="13" t="str">
        <f>_xll.BDH("SRPT US Equity","ARDR_PV_FUTURE_MIN_OP_LEASE_OBL","FQ1 2020","FQ1 2020","Currency=USD","Period=FQ","BEST_FPERIOD_OVERRIDE=FQ","FILING_STATUS=MR","SCALING_FORMAT=MLN","Sort=A","Dates=H","DateFormat=P","Fill=—","Direction=H","UseDPDF=Y")</f>
        <v>—</v>
      </c>
      <c r="I127" s="13" t="str">
        <f>_xll.BDH("SRPT US Equity","ARDR_PV_FUTURE_MIN_OP_LEASE_OBL","FQ2 2020","FQ2 2020","Currency=USD","Period=FQ","BEST_FPERIOD_OVERRIDE=FQ","FILING_STATUS=MR","SCALING_FORMAT=MLN","Sort=A","Dates=H","DateFormat=P","Fill=—","Direction=H","UseDPDF=Y")</f>
        <v>—</v>
      </c>
      <c r="J127" s="13" t="str">
        <f>_xll.BDH("SRPT US Equity","ARDR_PV_FUTURE_MIN_OP_LEASE_OBL","FQ3 2020","FQ3 2020","Currency=USD","Period=FQ","BEST_FPERIOD_OVERRIDE=FQ","FILING_STATUS=MR","SCALING_FORMAT=MLN","Sort=A","Dates=H","DateFormat=P","Fill=—","Direction=H","UseDPDF=Y")</f>
        <v>—</v>
      </c>
      <c r="K127" s="13">
        <f>_xll.BDH("SRPT US Equity","ARDR_PV_FUTURE_MIN_OP_LEASE_OBL","FQ4 2020","FQ4 2020","Currency=USD","Period=FQ","BEST_FPERIOD_OVERRIDE=FQ","FILING_STATUS=MR","SCALING_FORMAT=MLN","Sort=A","Dates=H","DateFormat=P","Fill=—","Direction=H","UseDPDF=Y")</f>
        <v>101.297</v>
      </c>
      <c r="L127" s="13" t="str">
        <f>_xll.BDH("SRPT US Equity","ARDR_PV_FUTURE_MIN_OP_LEASE_OBL","FQ1 2021","FQ1 2021","Currency=USD","Period=FQ","BEST_FPERIOD_OVERRIDE=FQ","FILING_STATUS=MR","SCALING_FORMAT=MLN","Sort=A","Dates=H","DateFormat=P","Fill=—","Direction=H","UseDPDF=Y")</f>
        <v>—</v>
      </c>
      <c r="M127" s="13" t="str">
        <f>_xll.BDH("SRPT US Equity","ARDR_PV_FUTURE_MIN_OP_LEASE_OBL","FQ2 2021","FQ2 2021","Currency=USD","Period=FQ","BEST_FPERIOD_OVERRIDE=FQ","FILING_STATUS=MR","SCALING_FORMAT=MLN","Sort=A","Dates=H","DateFormat=P","Fill=—","Direction=H","UseDPDF=Y")</f>
        <v>—</v>
      </c>
      <c r="N127" s="13" t="str">
        <f>_xll.BDH("SRPT US Equity","ARDR_PV_FUTURE_MIN_OP_LEASE_OBL","FQ3 2021","FQ3 2021","Currency=USD","Period=FQ","BEST_FPERIOD_OVERRIDE=FQ","FILING_STATUS=MR","SCALING_FORMAT=MLN","Sort=A","Dates=H","DateFormat=P","Fill=—","Direction=H","UseDPDF=Y")</f>
        <v>—</v>
      </c>
      <c r="O127" s="13">
        <f>_xll.BDH("SRPT US Equity","ARDR_PV_FUTURE_MIN_OP_LEASE_OBL","FQ4 2021","FQ4 2021","Currency=USD","Period=FQ","BEST_FPERIOD_OVERRIDE=FQ","FILING_STATUS=MR","SCALING_FORMAT=MLN","Sort=A","Dates=H","DateFormat=P","Fill=—","Direction=H","UseDPDF=Y")</f>
        <v>56.561</v>
      </c>
      <c r="P127" s="13" t="str">
        <f>_xll.BDH("SRPT US Equity","ARDR_PV_FUTURE_MIN_OP_LEASE_OBL","FQ1 2022","FQ1 2022","Currency=USD","Period=FQ","BEST_FPERIOD_OVERRIDE=FQ","FILING_STATUS=MR","SCALING_FORMAT=MLN","Sort=A","Dates=H","DateFormat=P","Fill=—","Direction=H","UseDPDF=Y")</f>
        <v>—</v>
      </c>
      <c r="Q127" s="13" t="str">
        <f>_xll.BDH("SRPT US Equity","ARDR_PV_FUTURE_MIN_OP_LEASE_OBL","FQ2 2022","FQ2 2022","Currency=USD","Period=FQ","BEST_FPERIOD_OVERRIDE=FQ","FILING_STATUS=MR","SCALING_FORMAT=MLN","Sort=A","Dates=H","DateFormat=P","Fill=—","Direction=H","UseDPDF=Y")</f>
        <v>—</v>
      </c>
      <c r="R127" s="13" t="str">
        <f>_xll.BDH("SRPT US Equity","ARDR_PV_FUTURE_MIN_OP_LEASE_OBL","FQ3 2022","FQ3 2022","Currency=USD","Period=FQ","BEST_FPERIOD_OVERRIDE=FQ","FILING_STATUS=MR","SCALING_FORMAT=MLN","Sort=A","Dates=H","DateFormat=P","Fill=—","Direction=H","UseDPDF=Y")</f>
        <v>—</v>
      </c>
      <c r="S127" s="13">
        <f>_xll.BDH("SRPT US Equity","ARDR_PV_FUTURE_MIN_OP_LEASE_OBL","FQ4 2022","FQ4 2022","Currency=USD","Period=FQ","BEST_FPERIOD_OVERRIDE=FQ","FILING_STATUS=MR","SCALING_FORMAT=MLN","Sort=A","Dates=H","DateFormat=P","Fill=—","Direction=H","UseDPDF=Y")</f>
        <v>73.066999999999993</v>
      </c>
      <c r="T127" s="13" t="str">
        <f>_xll.BDH("SRPT US Equity","ARDR_PV_FUTURE_MIN_OP_LEASE_OBL","FQ1 2023","FQ1 2023","Currency=USD","Period=FQ","BEST_FPERIOD_OVERRIDE=FQ","FILING_STATUS=MR","SCALING_FORMAT=MLN","Sort=A","Dates=H","DateFormat=P","Fill=—","Direction=H","UseDPDF=Y")</f>
        <v>—</v>
      </c>
      <c r="U127" s="13" t="str">
        <f>_xll.BDH("SRPT US Equity","ARDR_PV_FUTURE_MIN_OP_LEASE_OBL","FQ2 2023","FQ2 2023","Currency=USD","Period=FQ","BEST_FPERIOD_OVERRIDE=FQ","FILING_STATUS=MR","SCALING_FORMAT=MLN","Sort=A","Dates=H","DateFormat=P","Fill=—","Direction=H","UseDPDF=Y")</f>
        <v>—</v>
      </c>
      <c r="V127" s="13" t="str">
        <f>_xll.BDH("SRPT US Equity","ARDR_PV_FUTURE_MIN_OP_LEASE_OBL","FQ3 2023","FQ3 2023","Currency=USD","Period=FQ","BEST_FPERIOD_OVERRIDE=FQ","FILING_STATUS=MR","SCALING_FORMAT=MLN","Sort=A","Dates=H","DateFormat=P","Fill=—","Direction=H","UseDPDF=Y")</f>
        <v>—</v>
      </c>
      <c r="W127" s="13">
        <f>_xll.BDH("SRPT US Equity","ARDR_PV_FUTURE_MIN_OP_LEASE_OBL","FQ4 2023","FQ4 2023","Currency=USD","Period=FQ","BEST_FPERIOD_OVERRIDE=FQ","FILING_STATUS=MR","SCALING_FORMAT=MLN","Sort=A","Dates=H","DateFormat=P","Fill=—","Direction=H","UseDPDF=Y")</f>
        <v>158.81</v>
      </c>
      <c r="X127" s="13" t="str">
        <f>_xll.BDH("SRPT US Equity","ARDR_PV_FUTURE_MIN_OP_LEASE_OBL","FQ1 2024","FQ1 2024","Currency=USD","Period=FQ","BEST_FPERIOD_OVERRIDE=FQ","FILING_STATUS=MR","SCALING_FORMAT=MLN","Sort=A","Dates=H","DateFormat=P","Fill=—","Direction=H","UseDPDF=Y")</f>
        <v>—</v>
      </c>
      <c r="Y127" s="13" t="str">
        <f>_xll.BDH("SRPT US Equity","ARDR_PV_FUTURE_MIN_OP_LEASE_OBL","FQ2 2024","FQ2 2024","Currency=USD","Period=FQ","BEST_FPERIOD_OVERRIDE=FQ","FILING_STATUS=MR","SCALING_FORMAT=MLN","Sort=A","Dates=H","DateFormat=P","Fill=—","Direction=H","UseDPDF=Y")</f>
        <v>—</v>
      </c>
      <c r="Z127" s="13" t="str">
        <f>_xll.BDH("SRPT US Equity","ARDR_PV_FUTURE_MIN_OP_LEASE_OBL","FQ3 2024","FQ3 2024","Currency=USD","Period=FQ","BEST_FPERIOD_OVERRIDE=FQ","FILING_STATUS=MR","SCALING_FORMAT=MLN","Sort=A","Dates=H","DateFormat=P","Fill=—","Direction=H","UseDPDF=Y")</f>
        <v>—</v>
      </c>
      <c r="AA127" s="13">
        <f>_xll.BDH("SRPT US Equity","ARDR_PV_FUTURE_MIN_OP_LEASE_OBL","FQ4 2024","FQ4 2024","Currency=USD","Period=FQ","BEST_FPERIOD_OVERRIDE=FQ","FILING_STATUS=MR","SCALING_FORMAT=MLN","Sort=A","Dates=H","DateFormat=P","Fill=—","Direction=H","UseDPDF=Y")</f>
        <v>205.74600000000001</v>
      </c>
    </row>
    <row r="128" spans="1:27" x14ac:dyDescent="0.25">
      <c r="A128" s="10" t="s">
        <v>1055</v>
      </c>
      <c r="B128" s="10" t="s">
        <v>1056</v>
      </c>
      <c r="C128" s="14" t="str">
        <f>_xll.BDH("SRPT US Equity","ARDR_WEI_AVG_COST_OPTIONS_GRANT","FQ4 2018","FQ4 2018","Currency=USD","Period=FQ","BEST_FPERIOD_OVERRIDE=FQ","FILING_STATUS=MR","Sort=A","Dates=H","DateFormat=P","Fill=—","Direction=H","UseDPDF=Y")</f>
        <v>—</v>
      </c>
      <c r="D128" s="14">
        <f>_xll.BDH("SRPT US Equity","ARDR_WEI_AVG_COST_OPTIONS_GRANT","FQ1 2019","FQ1 2019","Currency=USD","Period=FQ","BEST_FPERIOD_OVERRIDE=FQ","FILING_STATUS=MR","Sort=A","Dates=H","DateFormat=P","Fill=—","Direction=H","UseDPDF=Y")</f>
        <v>76.44</v>
      </c>
      <c r="E128" s="14">
        <f>_xll.BDH("SRPT US Equity","ARDR_WEI_AVG_COST_OPTIONS_GRANT","FQ2 2019","FQ2 2019","Currency=USD","Period=FQ","BEST_FPERIOD_OVERRIDE=FQ","FILING_STATUS=MR","Sort=A","Dates=H","DateFormat=P","Fill=—","Direction=H","UseDPDF=Y")</f>
        <v>67.8</v>
      </c>
      <c r="F128" s="14">
        <f>_xll.BDH("SRPT US Equity","ARDR_WEI_AVG_COST_OPTIONS_GRANT","FQ3 2019","FQ3 2019","Currency=USD","Period=FQ","BEST_FPERIOD_OVERRIDE=FQ","FILING_STATUS=MR","Sort=A","Dates=H","DateFormat=P","Fill=—","Direction=H","UseDPDF=Y")</f>
        <v>51.64</v>
      </c>
      <c r="G128" s="14" t="str">
        <f>_xll.BDH("SRPT US Equity","ARDR_WEI_AVG_COST_OPTIONS_GRANT","FQ4 2019","FQ4 2019","Currency=USD","Period=FQ","BEST_FPERIOD_OVERRIDE=FQ","FILING_STATUS=MR","Sort=A","Dates=H","DateFormat=P","Fill=—","Direction=H","UseDPDF=Y")</f>
        <v>—</v>
      </c>
      <c r="H128" s="14">
        <f>_xll.BDH("SRPT US Equity","ARDR_WEI_AVG_COST_OPTIONS_GRANT","FQ1 2020","FQ1 2020","Currency=USD","Period=FQ","BEST_FPERIOD_OVERRIDE=FQ","FILING_STATUS=MR","Sort=A","Dates=H","DateFormat=P","Fill=—","Direction=H","UseDPDF=Y")</f>
        <v>56.8</v>
      </c>
      <c r="I128" s="14">
        <f>_xll.BDH("SRPT US Equity","ARDR_WEI_AVG_COST_OPTIONS_GRANT","FQ2 2020","FQ2 2020","Currency=USD","Period=FQ","BEST_FPERIOD_OVERRIDE=FQ","FILING_STATUS=MR","Sort=A","Dates=H","DateFormat=P","Fill=—","Direction=H","UseDPDF=Y")</f>
        <v>73.16</v>
      </c>
      <c r="J128" s="14">
        <f>_xll.BDH("SRPT US Equity","ARDR_WEI_AVG_COST_OPTIONS_GRANT","FQ3 2020","FQ3 2020","Currency=USD","Period=FQ","BEST_FPERIOD_OVERRIDE=FQ","FILING_STATUS=MR","Sort=A","Dates=H","DateFormat=P","Fill=—","Direction=H","UseDPDF=Y")</f>
        <v>73.88</v>
      </c>
      <c r="K128" s="14">
        <f>_xll.BDH("SRPT US Equity","ARDR_WEI_AVG_COST_OPTIONS_GRANT","FQ4 2020","FQ4 2020","Currency=USD","Period=FQ","BEST_FPERIOD_OVERRIDE=FQ","FILING_STATUS=MR","Sort=A","Dates=H","DateFormat=P","Fill=—","Direction=H","UseDPDF=Y")</f>
        <v>61.37</v>
      </c>
      <c r="L128" s="14">
        <f>_xll.BDH("SRPT US Equity","ARDR_WEI_AVG_COST_OPTIONS_GRANT","FQ1 2021","FQ1 2021","Currency=USD","Period=FQ","BEST_FPERIOD_OVERRIDE=FQ","FILING_STATUS=MR","Sort=A","Dates=H","DateFormat=P","Fill=—","Direction=H","UseDPDF=Y")</f>
        <v>49.35</v>
      </c>
      <c r="M128" s="14">
        <f>_xll.BDH("SRPT US Equity","ARDR_WEI_AVG_COST_OPTIONS_GRANT","FQ2 2021","FQ2 2021","Currency=USD","Period=FQ","BEST_FPERIOD_OVERRIDE=FQ","FILING_STATUS=MR","Sort=A","Dates=H","DateFormat=P","Fill=—","Direction=H","UseDPDF=Y")</f>
        <v>39.79</v>
      </c>
      <c r="N128" s="14">
        <f>_xll.BDH("SRPT US Equity","ARDR_WEI_AVG_COST_OPTIONS_GRANT","FQ3 2021","FQ3 2021","Currency=USD","Period=FQ","BEST_FPERIOD_OVERRIDE=FQ","FILING_STATUS=MR","Sort=A","Dates=H","DateFormat=P","Fill=—","Direction=H","UseDPDF=Y")</f>
        <v>42.62</v>
      </c>
      <c r="O128" s="14">
        <f>_xll.BDH("SRPT US Equity","ARDR_WEI_AVG_COST_OPTIONS_GRANT","FQ4 2021","FQ4 2021","Currency=USD","Period=FQ","BEST_FPERIOD_OVERRIDE=FQ","FILING_STATUS=MR","Sort=A","Dates=H","DateFormat=P","Fill=—","Direction=H","UseDPDF=Y")</f>
        <v>48.15</v>
      </c>
      <c r="P128" s="14">
        <f>_xll.BDH("SRPT US Equity","ARDR_WEI_AVG_COST_OPTIONS_GRANT","FQ1 2022","FQ1 2022","Currency=USD","Period=FQ","BEST_FPERIOD_OVERRIDE=FQ","FILING_STATUS=MR","Sort=A","Dates=H","DateFormat=P","Fill=—","Direction=H","UseDPDF=Y")</f>
        <v>46.99</v>
      </c>
      <c r="Q128" s="14">
        <f>_xll.BDH("SRPT US Equity","ARDR_WEI_AVG_COST_OPTIONS_GRANT","FQ2 2022","FQ2 2022","Currency=USD","Period=FQ","BEST_FPERIOD_OVERRIDE=FQ","FILING_STATUS=MR","Sort=A","Dates=H","DateFormat=P","Fill=—","Direction=H","UseDPDF=Y")</f>
        <v>43.4</v>
      </c>
      <c r="R128" s="14">
        <f>_xll.BDH("SRPT US Equity","ARDR_WEI_AVG_COST_OPTIONS_GRANT","FQ3 2022","FQ3 2022","Currency=USD","Period=FQ","BEST_FPERIOD_OVERRIDE=FQ","FILING_STATUS=MR","Sort=A","Dates=H","DateFormat=P","Fill=—","Direction=H","UseDPDF=Y")</f>
        <v>59.84</v>
      </c>
      <c r="S128" s="14">
        <f>_xll.BDH("SRPT US Equity","ARDR_WEI_AVG_COST_OPTIONS_GRANT","FQ4 2022","FQ4 2022","Currency=USD","Period=FQ","BEST_FPERIOD_OVERRIDE=FQ","FILING_STATUS=MR","Sort=A","Dates=H","DateFormat=P","Fill=—","Direction=H","UseDPDF=Y")</f>
        <v>48.82</v>
      </c>
      <c r="T128" s="14">
        <f>_xll.BDH("SRPT US Equity","ARDR_WEI_AVG_COST_OPTIONS_GRANT","FQ1 2023","FQ1 2023","Currency=USD","Period=FQ","BEST_FPERIOD_OVERRIDE=FQ","FILING_STATUS=MR","Sort=A","Dates=H","DateFormat=P","Fill=—","Direction=H","UseDPDF=Y")</f>
        <v>46.99</v>
      </c>
      <c r="U128" s="14">
        <f>_xll.BDH("SRPT US Equity","ARDR_WEI_AVG_COST_OPTIONS_GRANT","FQ2 2023","FQ2 2023","Currency=USD","Period=FQ","BEST_FPERIOD_OVERRIDE=FQ","FILING_STATUS=MR","Sort=A","Dates=H","DateFormat=P","Fill=—","Direction=H","UseDPDF=Y")</f>
        <v>66.819999999999993</v>
      </c>
      <c r="V128" s="14">
        <f>_xll.BDH("SRPT US Equity","ARDR_WEI_AVG_COST_OPTIONS_GRANT","FQ3 2023","FQ3 2023","Currency=USD","Period=FQ","BEST_FPERIOD_OVERRIDE=FQ","FILING_STATUS=MR","Sort=A","Dates=H","DateFormat=P","Fill=—","Direction=H","UseDPDF=Y")</f>
        <v>66.53</v>
      </c>
      <c r="W128" s="14">
        <f>_xll.BDH("SRPT US Equity","ARDR_WEI_AVG_COST_OPTIONS_GRANT","FQ4 2023","FQ4 2023","Currency=USD","Period=FQ","BEST_FPERIOD_OVERRIDE=FQ","FILING_STATUS=MR","Sort=A","Dates=H","DateFormat=P","Fill=—","Direction=H","UseDPDF=Y")</f>
        <v>70.94</v>
      </c>
      <c r="X128" s="14" t="str">
        <f>_xll.BDH("SRPT US Equity","ARDR_WEI_AVG_COST_OPTIONS_GRANT","FQ1 2024","FQ1 2024","Currency=USD","Period=FQ","BEST_FPERIOD_OVERRIDE=FQ","FILING_STATUS=MR","Sort=A","Dates=H","DateFormat=P","Fill=—","Direction=H","UseDPDF=Y")</f>
        <v>—</v>
      </c>
      <c r="Y128" s="14">
        <f>_xll.BDH("SRPT US Equity","ARDR_WEI_AVG_COST_OPTIONS_GRANT","FQ2 2024","FQ2 2024","Currency=USD","Period=FQ","BEST_FPERIOD_OVERRIDE=FQ","FILING_STATUS=MR","Sort=A","Dates=H","DateFormat=P","Fill=—","Direction=H","UseDPDF=Y")</f>
        <v>72.37</v>
      </c>
      <c r="Z128" s="14">
        <f>_xll.BDH("SRPT US Equity","ARDR_WEI_AVG_COST_OPTIONS_GRANT","FQ3 2024","FQ3 2024","Currency=USD","Period=FQ","BEST_FPERIOD_OVERRIDE=FQ","FILING_STATUS=MR","Sort=A","Dates=H","DateFormat=P","Fill=—","Direction=H","UseDPDF=Y")</f>
        <v>55.16</v>
      </c>
      <c r="AA128" s="14">
        <f>_xll.BDH("SRPT US Equity","ARDR_WEI_AVG_COST_OPTIONS_GRANT","FQ4 2024","FQ4 2024","Currency=USD","Period=FQ","BEST_FPERIOD_OVERRIDE=FQ","FILING_STATUS=MR","Sort=A","Dates=H","DateFormat=P","Fill=—","Direction=H","UseDPDF=Y")</f>
        <v>67.31</v>
      </c>
    </row>
    <row r="129" spans="1:27" x14ac:dyDescent="0.25">
      <c r="A129" s="10" t="s">
        <v>1057</v>
      </c>
      <c r="B129" s="10" t="s">
        <v>1058</v>
      </c>
      <c r="C129" s="14" t="str">
        <f>_xll.BDH("SRPT US Equity","ARDR_STOCK_OPTION_VAL_EXP_LIFE","FQ4 2018","FQ4 2018","Currency=USD","Period=FQ","BEST_FPERIOD_OVERRIDE=FQ","FILING_STATUS=MR","Sort=A","Dates=H","DateFormat=P","Fill=—","Direction=H","UseDPDF=Y")</f>
        <v>—</v>
      </c>
      <c r="D129" s="14" t="str">
        <f>_xll.BDH("SRPT US Equity","ARDR_STOCK_OPTION_VAL_EXP_LIFE","FQ1 2019","FQ1 2019","Currency=USD","Period=FQ","BEST_FPERIOD_OVERRIDE=FQ","FILING_STATUS=MR","Sort=A","Dates=H","DateFormat=P","Fill=—","Direction=H","UseDPDF=Y")</f>
        <v>—</v>
      </c>
      <c r="E129" s="14" t="str">
        <f>_xll.BDH("SRPT US Equity","ARDR_STOCK_OPTION_VAL_EXP_LIFE","FQ2 2019","FQ2 2019","Currency=USD","Period=FQ","BEST_FPERIOD_OVERRIDE=FQ","FILING_STATUS=MR","Sort=A","Dates=H","DateFormat=P","Fill=—","Direction=H","UseDPDF=Y")</f>
        <v>—</v>
      </c>
      <c r="F129" s="14" t="str">
        <f>_xll.BDH("SRPT US Equity","ARDR_STOCK_OPTION_VAL_EXP_LIFE","FQ3 2019","FQ3 2019","Currency=USD","Period=FQ","BEST_FPERIOD_OVERRIDE=FQ","FILING_STATUS=MR","Sort=A","Dates=H","DateFormat=P","Fill=—","Direction=H","UseDPDF=Y")</f>
        <v>—</v>
      </c>
      <c r="G129" s="14">
        <f>_xll.BDH("SRPT US Equity","ARDR_STOCK_OPTION_VAL_EXP_LIFE","FQ4 2019","FQ4 2019","Currency=USD","Period=FQ","BEST_FPERIOD_OVERRIDE=FQ","FILING_STATUS=MR","Sort=A","Dates=H","DateFormat=P","Fill=—","Direction=H","UseDPDF=Y")</f>
        <v>5.04</v>
      </c>
      <c r="H129" s="14" t="str">
        <f>_xll.BDH("SRPT US Equity","ARDR_STOCK_OPTION_VAL_EXP_LIFE","FQ1 2020","FQ1 2020","Currency=USD","Period=FQ","BEST_FPERIOD_OVERRIDE=FQ","FILING_STATUS=MR","Sort=A","Dates=H","DateFormat=P","Fill=—","Direction=H","UseDPDF=Y")</f>
        <v>—</v>
      </c>
      <c r="I129" s="14" t="str">
        <f>_xll.BDH("SRPT US Equity","ARDR_STOCK_OPTION_VAL_EXP_LIFE","FQ2 2020","FQ2 2020","Currency=USD","Period=FQ","BEST_FPERIOD_OVERRIDE=FQ","FILING_STATUS=MR","Sort=A","Dates=H","DateFormat=P","Fill=—","Direction=H","UseDPDF=Y")</f>
        <v>—</v>
      </c>
      <c r="J129" s="14" t="str">
        <f>_xll.BDH("SRPT US Equity","ARDR_STOCK_OPTION_VAL_EXP_LIFE","FQ3 2020","FQ3 2020","Currency=USD","Period=FQ","BEST_FPERIOD_OVERRIDE=FQ","FILING_STATUS=MR","Sort=A","Dates=H","DateFormat=P","Fill=—","Direction=H","UseDPDF=Y")</f>
        <v>—</v>
      </c>
      <c r="K129" s="14">
        <f>_xll.BDH("SRPT US Equity","ARDR_STOCK_OPTION_VAL_EXP_LIFE","FQ4 2020","FQ4 2020","Currency=USD","Period=FQ","BEST_FPERIOD_OVERRIDE=FQ","FILING_STATUS=MR","Sort=A","Dates=H","DateFormat=P","Fill=—","Direction=H","UseDPDF=Y")</f>
        <v>5</v>
      </c>
      <c r="L129" s="14" t="str">
        <f>_xll.BDH("SRPT US Equity","ARDR_STOCK_OPTION_VAL_EXP_LIFE","FQ1 2021","FQ1 2021","Currency=USD","Period=FQ","BEST_FPERIOD_OVERRIDE=FQ","FILING_STATUS=MR","Sort=A","Dates=H","DateFormat=P","Fill=—","Direction=H","UseDPDF=Y")</f>
        <v>—</v>
      </c>
      <c r="M129" s="14" t="str">
        <f>_xll.BDH("SRPT US Equity","ARDR_STOCK_OPTION_VAL_EXP_LIFE","FQ2 2021","FQ2 2021","Currency=USD","Period=FQ","BEST_FPERIOD_OVERRIDE=FQ","FILING_STATUS=MR","Sort=A","Dates=H","DateFormat=P","Fill=—","Direction=H","UseDPDF=Y")</f>
        <v>—</v>
      </c>
      <c r="N129" s="14" t="str">
        <f>_xll.BDH("SRPT US Equity","ARDR_STOCK_OPTION_VAL_EXP_LIFE","FQ3 2021","FQ3 2021","Currency=USD","Period=FQ","BEST_FPERIOD_OVERRIDE=FQ","FILING_STATUS=MR","Sort=A","Dates=H","DateFormat=P","Fill=—","Direction=H","UseDPDF=Y")</f>
        <v>—</v>
      </c>
      <c r="O129" s="14">
        <f>_xll.BDH("SRPT US Equity","ARDR_STOCK_OPTION_VAL_EXP_LIFE","FQ4 2021","FQ4 2021","Currency=USD","Period=FQ","BEST_FPERIOD_OVERRIDE=FQ","FILING_STATUS=MR","Sort=A","Dates=H","DateFormat=P","Fill=—","Direction=H","UseDPDF=Y")</f>
        <v>4.99</v>
      </c>
      <c r="P129" s="14" t="str">
        <f>_xll.BDH("SRPT US Equity","ARDR_STOCK_OPTION_VAL_EXP_LIFE","FQ1 2022","FQ1 2022","Currency=USD","Period=FQ","BEST_FPERIOD_OVERRIDE=FQ","FILING_STATUS=MR","Sort=A","Dates=H","DateFormat=P","Fill=—","Direction=H","UseDPDF=Y")</f>
        <v>—</v>
      </c>
      <c r="Q129" s="14" t="str">
        <f>_xll.BDH("SRPT US Equity","ARDR_STOCK_OPTION_VAL_EXP_LIFE","FQ2 2022","FQ2 2022","Currency=USD","Period=FQ","BEST_FPERIOD_OVERRIDE=FQ","FILING_STATUS=MR","Sort=A","Dates=H","DateFormat=P","Fill=—","Direction=H","UseDPDF=Y")</f>
        <v>—</v>
      </c>
      <c r="R129" s="14" t="str">
        <f>_xll.BDH("SRPT US Equity","ARDR_STOCK_OPTION_VAL_EXP_LIFE","FQ3 2022","FQ3 2022","Currency=USD","Period=FQ","BEST_FPERIOD_OVERRIDE=FQ","FILING_STATUS=MR","Sort=A","Dates=H","DateFormat=P","Fill=—","Direction=H","UseDPDF=Y")</f>
        <v>—</v>
      </c>
      <c r="S129" s="14">
        <f>_xll.BDH("SRPT US Equity","ARDR_STOCK_OPTION_VAL_EXP_LIFE","FQ4 2022","FQ4 2022","Currency=USD","Period=FQ","BEST_FPERIOD_OVERRIDE=FQ","FILING_STATUS=MR","Sort=A","Dates=H","DateFormat=P","Fill=—","Direction=H","UseDPDF=Y")</f>
        <v>5.09</v>
      </c>
      <c r="T129" s="14" t="str">
        <f>_xll.BDH("SRPT US Equity","ARDR_STOCK_OPTION_VAL_EXP_LIFE","FQ1 2023","FQ1 2023","Currency=USD","Period=FQ","BEST_FPERIOD_OVERRIDE=FQ","FILING_STATUS=MR","Sort=A","Dates=H","DateFormat=P","Fill=—","Direction=H","UseDPDF=Y")</f>
        <v>—</v>
      </c>
      <c r="U129" s="14" t="str">
        <f>_xll.BDH("SRPT US Equity","ARDR_STOCK_OPTION_VAL_EXP_LIFE","FQ2 2023","FQ2 2023","Currency=USD","Period=FQ","BEST_FPERIOD_OVERRIDE=FQ","FILING_STATUS=MR","Sort=A","Dates=H","DateFormat=P","Fill=—","Direction=H","UseDPDF=Y")</f>
        <v>—</v>
      </c>
      <c r="V129" s="14" t="str">
        <f>_xll.BDH("SRPT US Equity","ARDR_STOCK_OPTION_VAL_EXP_LIFE","FQ3 2023","FQ3 2023","Currency=USD","Period=FQ","BEST_FPERIOD_OVERRIDE=FQ","FILING_STATUS=MR","Sort=A","Dates=H","DateFormat=P","Fill=—","Direction=H","UseDPDF=Y")</f>
        <v>—</v>
      </c>
      <c r="W129" s="14">
        <f>_xll.BDH("SRPT US Equity","ARDR_STOCK_OPTION_VAL_EXP_LIFE","FQ4 2023","FQ4 2023","Currency=USD","Period=FQ","BEST_FPERIOD_OVERRIDE=FQ","FILING_STATUS=MR","Sort=A","Dates=H","DateFormat=P","Fill=—","Direction=H","UseDPDF=Y")</f>
        <v>5.23</v>
      </c>
      <c r="X129" s="14" t="str">
        <f>_xll.BDH("SRPT US Equity","ARDR_STOCK_OPTION_VAL_EXP_LIFE","FQ1 2024","FQ1 2024","Currency=USD","Period=FQ","BEST_FPERIOD_OVERRIDE=FQ","FILING_STATUS=MR","Sort=A","Dates=H","DateFormat=P","Fill=—","Direction=H","UseDPDF=Y")</f>
        <v>—</v>
      </c>
      <c r="Y129" s="14" t="str">
        <f>_xll.BDH("SRPT US Equity","ARDR_STOCK_OPTION_VAL_EXP_LIFE","FQ2 2024","FQ2 2024","Currency=USD","Period=FQ","BEST_FPERIOD_OVERRIDE=FQ","FILING_STATUS=MR","Sort=A","Dates=H","DateFormat=P","Fill=—","Direction=H","UseDPDF=Y")</f>
        <v>—</v>
      </c>
      <c r="Z129" s="14" t="str">
        <f>_xll.BDH("SRPT US Equity","ARDR_STOCK_OPTION_VAL_EXP_LIFE","FQ3 2024","FQ3 2024","Currency=USD","Period=FQ","BEST_FPERIOD_OVERRIDE=FQ","FILING_STATUS=MR","Sort=A","Dates=H","DateFormat=P","Fill=—","Direction=H","UseDPDF=Y")</f>
        <v>—</v>
      </c>
      <c r="AA129" s="14">
        <f>_xll.BDH("SRPT US Equity","ARDR_STOCK_OPTION_VAL_EXP_LIFE","FQ4 2024","FQ4 2024","Currency=USD","Period=FQ","BEST_FPERIOD_OVERRIDE=FQ","FILING_STATUS=MR","Sort=A","Dates=H","DateFormat=P","Fill=—","Direction=H","UseDPDF=Y")</f>
        <v>5.81</v>
      </c>
    </row>
    <row r="130" spans="1:27" x14ac:dyDescent="0.25">
      <c r="A130" s="10" t="s">
        <v>1059</v>
      </c>
      <c r="B130" s="10" t="s">
        <v>1060</v>
      </c>
      <c r="C130" s="14">
        <f>_xll.BDH("SRPT US Equity","ARDR_STOCK_OPTION_VAL_DVD_YLD","FQ4 2018","FQ4 2018","Currency=USD","Period=FQ","BEST_FPERIOD_OVERRIDE=FQ","FILING_STATUS=MR","Sort=A","Dates=H","DateFormat=P","Fill=—","Direction=H","UseDPDF=Y")</f>
        <v>0</v>
      </c>
      <c r="D130" s="14" t="str">
        <f>_xll.BDH("SRPT US Equity","ARDR_STOCK_OPTION_VAL_DVD_YLD","FQ1 2019","FQ1 2019","Currency=USD","Period=FQ","BEST_FPERIOD_OVERRIDE=FQ","FILING_STATUS=MR","Sort=A","Dates=H","DateFormat=P","Fill=—","Direction=H","UseDPDF=Y")</f>
        <v>—</v>
      </c>
      <c r="E130" s="14" t="str">
        <f>_xll.BDH("SRPT US Equity","ARDR_STOCK_OPTION_VAL_DVD_YLD","FQ2 2019","FQ2 2019","Currency=USD","Period=FQ","BEST_FPERIOD_OVERRIDE=FQ","FILING_STATUS=MR","Sort=A","Dates=H","DateFormat=P","Fill=—","Direction=H","UseDPDF=Y")</f>
        <v>—</v>
      </c>
      <c r="F130" s="14" t="str">
        <f>_xll.BDH("SRPT US Equity","ARDR_STOCK_OPTION_VAL_DVD_YLD","FQ3 2019","FQ3 2019","Currency=USD","Period=FQ","BEST_FPERIOD_OVERRIDE=FQ","FILING_STATUS=MR","Sort=A","Dates=H","DateFormat=P","Fill=—","Direction=H","UseDPDF=Y")</f>
        <v>—</v>
      </c>
      <c r="G130" s="14">
        <f>_xll.BDH("SRPT US Equity","ARDR_STOCK_OPTION_VAL_DVD_YLD","FQ4 2019","FQ4 2019","Currency=USD","Period=FQ","BEST_FPERIOD_OVERRIDE=FQ","FILING_STATUS=MR","Sort=A","Dates=H","DateFormat=P","Fill=—","Direction=H","UseDPDF=Y")</f>
        <v>0</v>
      </c>
      <c r="H130" s="14" t="str">
        <f>_xll.BDH("SRPT US Equity","ARDR_STOCK_OPTION_VAL_DVD_YLD","FQ1 2020","FQ1 2020","Currency=USD","Period=FQ","BEST_FPERIOD_OVERRIDE=FQ","FILING_STATUS=MR","Sort=A","Dates=H","DateFormat=P","Fill=—","Direction=H","UseDPDF=Y")</f>
        <v>—</v>
      </c>
      <c r="I130" s="14" t="str">
        <f>_xll.BDH("SRPT US Equity","ARDR_STOCK_OPTION_VAL_DVD_YLD","FQ2 2020","FQ2 2020","Currency=USD","Period=FQ","BEST_FPERIOD_OVERRIDE=FQ","FILING_STATUS=MR","Sort=A","Dates=H","DateFormat=P","Fill=—","Direction=H","UseDPDF=Y")</f>
        <v>—</v>
      </c>
      <c r="J130" s="14" t="str">
        <f>_xll.BDH("SRPT US Equity","ARDR_STOCK_OPTION_VAL_DVD_YLD","FQ3 2020","FQ3 2020","Currency=USD","Period=FQ","BEST_FPERIOD_OVERRIDE=FQ","FILING_STATUS=MR","Sort=A","Dates=H","DateFormat=P","Fill=—","Direction=H","UseDPDF=Y")</f>
        <v>—</v>
      </c>
      <c r="K130" s="14">
        <f>_xll.BDH("SRPT US Equity","ARDR_STOCK_OPTION_VAL_DVD_YLD","FQ4 2020","FQ4 2020","Currency=USD","Period=FQ","BEST_FPERIOD_OVERRIDE=FQ","FILING_STATUS=MR","Sort=A","Dates=H","DateFormat=P","Fill=—","Direction=H","UseDPDF=Y")</f>
        <v>0</v>
      </c>
      <c r="L130" s="14" t="str">
        <f>_xll.BDH("SRPT US Equity","ARDR_STOCK_OPTION_VAL_DVD_YLD","FQ1 2021","FQ1 2021","Currency=USD","Period=FQ","BEST_FPERIOD_OVERRIDE=FQ","FILING_STATUS=MR","Sort=A","Dates=H","DateFormat=P","Fill=—","Direction=H","UseDPDF=Y")</f>
        <v>—</v>
      </c>
      <c r="M130" s="14" t="str">
        <f>_xll.BDH("SRPT US Equity","ARDR_STOCK_OPTION_VAL_DVD_YLD","FQ2 2021","FQ2 2021","Currency=USD","Period=FQ","BEST_FPERIOD_OVERRIDE=FQ","FILING_STATUS=MR","Sort=A","Dates=H","DateFormat=P","Fill=—","Direction=H","UseDPDF=Y")</f>
        <v>—</v>
      </c>
      <c r="N130" s="14" t="str">
        <f>_xll.BDH("SRPT US Equity","ARDR_STOCK_OPTION_VAL_DVD_YLD","FQ3 2021","FQ3 2021","Currency=USD","Period=FQ","BEST_FPERIOD_OVERRIDE=FQ","FILING_STATUS=MR","Sort=A","Dates=H","DateFormat=P","Fill=—","Direction=H","UseDPDF=Y")</f>
        <v>—</v>
      </c>
      <c r="O130" s="14">
        <f>_xll.BDH("SRPT US Equity","ARDR_STOCK_OPTION_VAL_DVD_YLD","FQ4 2021","FQ4 2021","Currency=USD","Period=FQ","BEST_FPERIOD_OVERRIDE=FQ","FILING_STATUS=MR","Sort=A","Dates=H","DateFormat=P","Fill=—","Direction=H","UseDPDF=Y")</f>
        <v>0</v>
      </c>
      <c r="P130" s="14" t="str">
        <f>_xll.BDH("SRPT US Equity","ARDR_STOCK_OPTION_VAL_DVD_YLD","FQ1 2022","FQ1 2022","Currency=USD","Period=FQ","BEST_FPERIOD_OVERRIDE=FQ","FILING_STATUS=MR","Sort=A","Dates=H","DateFormat=P","Fill=—","Direction=H","UseDPDF=Y")</f>
        <v>—</v>
      </c>
      <c r="Q130" s="14" t="str">
        <f>_xll.BDH("SRPT US Equity","ARDR_STOCK_OPTION_VAL_DVD_YLD","FQ2 2022","FQ2 2022","Currency=USD","Period=FQ","BEST_FPERIOD_OVERRIDE=FQ","FILING_STATUS=MR","Sort=A","Dates=H","DateFormat=P","Fill=—","Direction=H","UseDPDF=Y")</f>
        <v>—</v>
      </c>
      <c r="R130" s="14" t="str">
        <f>_xll.BDH("SRPT US Equity","ARDR_STOCK_OPTION_VAL_DVD_YLD","FQ3 2022","FQ3 2022","Currency=USD","Period=FQ","BEST_FPERIOD_OVERRIDE=FQ","FILING_STATUS=MR","Sort=A","Dates=H","DateFormat=P","Fill=—","Direction=H","UseDPDF=Y")</f>
        <v>—</v>
      </c>
      <c r="S130" s="14">
        <f>_xll.BDH("SRPT US Equity","ARDR_STOCK_OPTION_VAL_DVD_YLD","FQ4 2022","FQ4 2022","Currency=USD","Period=FQ","BEST_FPERIOD_OVERRIDE=FQ","FILING_STATUS=MR","Sort=A","Dates=H","DateFormat=P","Fill=—","Direction=H","UseDPDF=Y")</f>
        <v>0</v>
      </c>
      <c r="T130" s="14" t="str">
        <f>_xll.BDH("SRPT US Equity","ARDR_STOCK_OPTION_VAL_DVD_YLD","FQ1 2023","FQ1 2023","Currency=USD","Period=FQ","BEST_FPERIOD_OVERRIDE=FQ","FILING_STATUS=MR","Sort=A","Dates=H","DateFormat=P","Fill=—","Direction=H","UseDPDF=Y")</f>
        <v>—</v>
      </c>
      <c r="U130" s="14" t="str">
        <f>_xll.BDH("SRPT US Equity","ARDR_STOCK_OPTION_VAL_DVD_YLD","FQ2 2023","FQ2 2023","Currency=USD","Period=FQ","BEST_FPERIOD_OVERRIDE=FQ","FILING_STATUS=MR","Sort=A","Dates=H","DateFormat=P","Fill=—","Direction=H","UseDPDF=Y")</f>
        <v>—</v>
      </c>
      <c r="V130" s="14" t="str">
        <f>_xll.BDH("SRPT US Equity","ARDR_STOCK_OPTION_VAL_DVD_YLD","FQ3 2023","FQ3 2023","Currency=USD","Period=FQ","BEST_FPERIOD_OVERRIDE=FQ","FILING_STATUS=MR","Sort=A","Dates=H","DateFormat=P","Fill=—","Direction=H","UseDPDF=Y")</f>
        <v>—</v>
      </c>
      <c r="W130" s="14">
        <f>_xll.BDH("SRPT US Equity","ARDR_STOCK_OPTION_VAL_DVD_YLD","FQ4 2023","FQ4 2023","Currency=USD","Period=FQ","BEST_FPERIOD_OVERRIDE=FQ","FILING_STATUS=MR","Sort=A","Dates=H","DateFormat=P","Fill=—","Direction=H","UseDPDF=Y")</f>
        <v>0</v>
      </c>
      <c r="X130" s="14" t="str">
        <f>_xll.BDH("SRPT US Equity","ARDR_STOCK_OPTION_VAL_DVD_YLD","FQ1 2024","FQ1 2024","Currency=USD","Period=FQ","BEST_FPERIOD_OVERRIDE=FQ","FILING_STATUS=MR","Sort=A","Dates=H","DateFormat=P","Fill=—","Direction=H","UseDPDF=Y")</f>
        <v>—</v>
      </c>
      <c r="Y130" s="14" t="str">
        <f>_xll.BDH("SRPT US Equity","ARDR_STOCK_OPTION_VAL_DVD_YLD","FQ2 2024","FQ2 2024","Currency=USD","Period=FQ","BEST_FPERIOD_OVERRIDE=FQ","FILING_STATUS=MR","Sort=A","Dates=H","DateFormat=P","Fill=—","Direction=H","UseDPDF=Y")</f>
        <v>—</v>
      </c>
      <c r="Z130" s="14" t="str">
        <f>_xll.BDH("SRPT US Equity","ARDR_STOCK_OPTION_VAL_DVD_YLD","FQ3 2024","FQ3 2024","Currency=USD","Period=FQ","BEST_FPERIOD_OVERRIDE=FQ","FILING_STATUS=MR","Sort=A","Dates=H","DateFormat=P","Fill=—","Direction=H","UseDPDF=Y")</f>
        <v>—</v>
      </c>
      <c r="AA130" s="14">
        <f>_xll.BDH("SRPT US Equity","ARDR_STOCK_OPTION_VAL_DVD_YLD","FQ4 2024","FQ4 2024","Currency=USD","Period=FQ","BEST_FPERIOD_OVERRIDE=FQ","FILING_STATUS=MR","Sort=A","Dates=H","DateFormat=P","Fill=—","Direction=H","UseDPDF=Y")</f>
        <v>0</v>
      </c>
    </row>
    <row r="131" spans="1:27" x14ac:dyDescent="0.25">
      <c r="A131" s="10" t="s">
        <v>1061</v>
      </c>
      <c r="B131" s="10" t="s">
        <v>1062</v>
      </c>
      <c r="C131" s="14">
        <f>_xll.BDH("SRPT US Equity","ARDR_AVG_EXER_PX_OPT_EXERCISABLE","FQ4 2018","FQ4 2018","Currency=USD","Period=FQ","BEST_FPERIOD_OVERRIDE=FQ","FILING_STATUS=MR","Sort=A","Dates=H","DateFormat=P","Fill=—","Direction=H","UseDPDF=Y")</f>
        <v>27.69</v>
      </c>
      <c r="D131" s="14" t="str">
        <f>_xll.BDH("SRPT US Equity","ARDR_AVG_EXER_PX_OPT_EXERCISABLE","FQ1 2019","FQ1 2019","Currency=USD","Period=FQ","BEST_FPERIOD_OVERRIDE=FQ","FILING_STATUS=MR","Sort=A","Dates=H","DateFormat=P","Fill=—","Direction=H","UseDPDF=Y")</f>
        <v>—</v>
      </c>
      <c r="E131" s="14" t="str">
        <f>_xll.BDH("SRPT US Equity","ARDR_AVG_EXER_PX_OPT_EXERCISABLE","FQ2 2019","FQ2 2019","Currency=USD","Period=FQ","BEST_FPERIOD_OVERRIDE=FQ","FILING_STATUS=MR","Sort=A","Dates=H","DateFormat=P","Fill=—","Direction=H","UseDPDF=Y")</f>
        <v>—</v>
      </c>
      <c r="F131" s="14" t="str">
        <f>_xll.BDH("SRPT US Equity","ARDR_AVG_EXER_PX_OPT_EXERCISABLE","FQ3 2019","FQ3 2019","Currency=USD","Period=FQ","BEST_FPERIOD_OVERRIDE=FQ","FILING_STATUS=MR","Sort=A","Dates=H","DateFormat=P","Fill=—","Direction=H","UseDPDF=Y")</f>
        <v>—</v>
      </c>
      <c r="G131" s="14">
        <f>_xll.BDH("SRPT US Equity","ARDR_AVG_EXER_PX_OPT_EXERCISABLE","FQ4 2019","FQ4 2019","Currency=USD","Period=FQ","BEST_FPERIOD_OVERRIDE=FQ","FILING_STATUS=MR","Sort=A","Dates=H","DateFormat=P","Fill=—","Direction=H","UseDPDF=Y")</f>
        <v>45.33</v>
      </c>
      <c r="H131" s="14" t="str">
        <f>_xll.BDH("SRPT US Equity","ARDR_AVG_EXER_PX_OPT_EXERCISABLE","FQ1 2020","FQ1 2020","Currency=USD","Period=FQ","BEST_FPERIOD_OVERRIDE=FQ","FILING_STATUS=MR","Sort=A","Dates=H","DateFormat=P","Fill=—","Direction=H","UseDPDF=Y")</f>
        <v>—</v>
      </c>
      <c r="I131" s="14" t="str">
        <f>_xll.BDH("SRPT US Equity","ARDR_AVG_EXER_PX_OPT_EXERCISABLE","FQ2 2020","FQ2 2020","Currency=USD","Period=FQ","BEST_FPERIOD_OVERRIDE=FQ","FILING_STATUS=MR","Sort=A","Dates=H","DateFormat=P","Fill=—","Direction=H","UseDPDF=Y")</f>
        <v>—</v>
      </c>
      <c r="J131" s="14" t="str">
        <f>_xll.BDH("SRPT US Equity","ARDR_AVG_EXER_PX_OPT_EXERCISABLE","FQ3 2020","FQ3 2020","Currency=USD","Period=FQ","BEST_FPERIOD_OVERRIDE=FQ","FILING_STATUS=MR","Sort=A","Dates=H","DateFormat=P","Fill=—","Direction=H","UseDPDF=Y")</f>
        <v>—</v>
      </c>
      <c r="K131" s="14">
        <f>_xll.BDH("SRPT US Equity","ARDR_AVG_EXER_PX_OPT_EXERCISABLE","FQ4 2020","FQ4 2020","Currency=USD","Period=FQ","BEST_FPERIOD_OVERRIDE=FQ","FILING_STATUS=MR","Sort=A","Dates=H","DateFormat=P","Fill=—","Direction=H","UseDPDF=Y")</f>
        <v>70.16</v>
      </c>
      <c r="L131" s="14" t="str">
        <f>_xll.BDH("SRPT US Equity","ARDR_AVG_EXER_PX_OPT_EXERCISABLE","FQ1 2021","FQ1 2021","Currency=USD","Period=FQ","BEST_FPERIOD_OVERRIDE=FQ","FILING_STATUS=MR","Sort=A","Dates=H","DateFormat=P","Fill=—","Direction=H","UseDPDF=Y")</f>
        <v>—</v>
      </c>
      <c r="M131" s="14" t="str">
        <f>_xll.BDH("SRPT US Equity","ARDR_AVG_EXER_PX_OPT_EXERCISABLE","FQ2 2021","FQ2 2021","Currency=USD","Period=FQ","BEST_FPERIOD_OVERRIDE=FQ","FILING_STATUS=MR","Sort=A","Dates=H","DateFormat=P","Fill=—","Direction=H","UseDPDF=Y")</f>
        <v>—</v>
      </c>
      <c r="N131" s="14" t="str">
        <f>_xll.BDH("SRPT US Equity","ARDR_AVG_EXER_PX_OPT_EXERCISABLE","FQ3 2021","FQ3 2021","Currency=USD","Period=FQ","BEST_FPERIOD_OVERRIDE=FQ","FILING_STATUS=MR","Sort=A","Dates=H","DateFormat=P","Fill=—","Direction=H","UseDPDF=Y")</f>
        <v>—</v>
      </c>
      <c r="O131" s="14">
        <f>_xll.BDH("SRPT US Equity","ARDR_AVG_EXER_PX_OPT_EXERCISABLE","FQ4 2021","FQ4 2021","Currency=USD","Period=FQ","BEST_FPERIOD_OVERRIDE=FQ","FILING_STATUS=MR","Sort=A","Dates=H","DateFormat=P","Fill=—","Direction=H","UseDPDF=Y")</f>
        <v>84.71</v>
      </c>
      <c r="P131" s="14" t="str">
        <f>_xll.BDH("SRPT US Equity","ARDR_AVG_EXER_PX_OPT_EXERCISABLE","FQ1 2022","FQ1 2022","Currency=USD","Period=FQ","BEST_FPERIOD_OVERRIDE=FQ","FILING_STATUS=MR","Sort=A","Dates=H","DateFormat=P","Fill=—","Direction=H","UseDPDF=Y")</f>
        <v>—</v>
      </c>
      <c r="Q131" s="14" t="str">
        <f>_xll.BDH("SRPT US Equity","ARDR_AVG_EXER_PX_OPT_EXERCISABLE","FQ2 2022","FQ2 2022","Currency=USD","Period=FQ","BEST_FPERIOD_OVERRIDE=FQ","FILING_STATUS=MR","Sort=A","Dates=H","DateFormat=P","Fill=—","Direction=H","UseDPDF=Y")</f>
        <v>—</v>
      </c>
      <c r="R131" s="14" t="str">
        <f>_xll.BDH("SRPT US Equity","ARDR_AVG_EXER_PX_OPT_EXERCISABLE","FQ3 2022","FQ3 2022","Currency=USD","Period=FQ","BEST_FPERIOD_OVERRIDE=FQ","FILING_STATUS=MR","Sort=A","Dates=H","DateFormat=P","Fill=—","Direction=H","UseDPDF=Y")</f>
        <v>—</v>
      </c>
      <c r="S131" s="14" t="str">
        <f>_xll.BDH("SRPT US Equity","ARDR_AVG_EXER_PX_OPT_EXERCISABLE","FQ4 2022","FQ4 2022","Currency=USD","Period=FQ","BEST_FPERIOD_OVERRIDE=FQ","FILING_STATUS=MR","Sort=A","Dates=H","DateFormat=P","Fill=—","Direction=H","UseDPDF=Y")</f>
        <v>—</v>
      </c>
      <c r="T131" s="14" t="str">
        <f>_xll.BDH("SRPT US Equity","ARDR_AVG_EXER_PX_OPT_EXERCISABLE","FQ1 2023","FQ1 2023","Currency=USD","Period=FQ","BEST_FPERIOD_OVERRIDE=FQ","FILING_STATUS=MR","Sort=A","Dates=H","DateFormat=P","Fill=—","Direction=H","UseDPDF=Y")</f>
        <v>—</v>
      </c>
      <c r="U131" s="14" t="str">
        <f>_xll.BDH("SRPT US Equity","ARDR_AVG_EXER_PX_OPT_EXERCISABLE","FQ2 2023","FQ2 2023","Currency=USD","Period=FQ","BEST_FPERIOD_OVERRIDE=FQ","FILING_STATUS=MR","Sort=A","Dates=H","DateFormat=P","Fill=—","Direction=H","UseDPDF=Y")</f>
        <v>—</v>
      </c>
      <c r="V131" s="14" t="str">
        <f>_xll.BDH("SRPT US Equity","ARDR_AVG_EXER_PX_OPT_EXERCISABLE","FQ3 2023","FQ3 2023","Currency=USD","Period=FQ","BEST_FPERIOD_OVERRIDE=FQ","FILING_STATUS=MR","Sort=A","Dates=H","DateFormat=P","Fill=—","Direction=H","UseDPDF=Y")</f>
        <v>—</v>
      </c>
      <c r="W131" s="14" t="str">
        <f>_xll.BDH("SRPT US Equity","ARDR_AVG_EXER_PX_OPT_EXERCISABLE","FQ4 2023","FQ4 2023","Currency=USD","Period=FQ","BEST_FPERIOD_OVERRIDE=FQ","FILING_STATUS=MR","Sort=A","Dates=H","DateFormat=P","Fill=—","Direction=H","UseDPDF=Y")</f>
        <v>—</v>
      </c>
      <c r="X131" s="14" t="str">
        <f>_xll.BDH("SRPT US Equity","ARDR_AVG_EXER_PX_OPT_EXERCISABLE","FQ1 2024","FQ1 2024","Currency=USD","Period=FQ","BEST_FPERIOD_OVERRIDE=FQ","FILING_STATUS=MR","Sort=A","Dates=H","DateFormat=P","Fill=—","Direction=H","UseDPDF=Y")</f>
        <v>—</v>
      </c>
      <c r="Y131" s="14" t="str">
        <f>_xll.BDH("SRPT US Equity","ARDR_AVG_EXER_PX_OPT_EXERCISABLE","FQ2 2024","FQ2 2024","Currency=USD","Period=FQ","BEST_FPERIOD_OVERRIDE=FQ","FILING_STATUS=MR","Sort=A","Dates=H","DateFormat=P","Fill=—","Direction=H","UseDPDF=Y")</f>
        <v>—</v>
      </c>
      <c r="Z131" s="14" t="str">
        <f>_xll.BDH("SRPT US Equity","ARDR_AVG_EXER_PX_OPT_EXERCISABLE","FQ3 2024","FQ3 2024","Currency=USD","Period=FQ","BEST_FPERIOD_OVERRIDE=FQ","FILING_STATUS=MR","Sort=A","Dates=H","DateFormat=P","Fill=—","Direction=H","UseDPDF=Y")</f>
        <v>—</v>
      </c>
      <c r="AA131" s="14" t="str">
        <f>_xll.BDH("SRPT US Equity","ARDR_AVG_EXER_PX_OPT_EXERCISABLE","FQ4 2024","FQ4 2024","Currency=USD","Period=FQ","BEST_FPERIOD_OVERRIDE=FQ","FILING_STATUS=MR","Sort=A","Dates=H","DateFormat=P","Fill=—","Direction=H","UseDPDF=Y")</f>
        <v>—</v>
      </c>
    </row>
    <row r="132" spans="1:27" x14ac:dyDescent="0.25">
      <c r="A132" s="10" t="s">
        <v>1063</v>
      </c>
      <c r="B132" s="10" t="s">
        <v>1064</v>
      </c>
      <c r="C132" s="14">
        <f>_xll.BDH("SRPT US Equity","ARDR_AVG_EXER_PX_OPT_OUTSTANDING","FQ4 2018","FQ4 2018","Currency=USD","Period=FQ","BEST_FPERIOD_OVERRIDE=FQ","FILING_STATUS=MR","Sort=A","Dates=H","DateFormat=P","Fill=—","Direction=H","UseDPDF=Y")</f>
        <v>46.09</v>
      </c>
      <c r="D132" s="14" t="str">
        <f>_xll.BDH("SRPT US Equity","ARDR_AVG_EXER_PX_OPT_OUTSTANDING","FQ1 2019","FQ1 2019","Currency=USD","Period=FQ","BEST_FPERIOD_OVERRIDE=FQ","FILING_STATUS=MR","Sort=A","Dates=H","DateFormat=P","Fill=—","Direction=H","UseDPDF=Y")</f>
        <v>—</v>
      </c>
      <c r="E132" s="14" t="str">
        <f>_xll.BDH("SRPT US Equity","ARDR_AVG_EXER_PX_OPT_OUTSTANDING","FQ2 2019","FQ2 2019","Currency=USD","Period=FQ","BEST_FPERIOD_OVERRIDE=FQ","FILING_STATUS=MR","Sort=A","Dates=H","DateFormat=P","Fill=—","Direction=H","UseDPDF=Y")</f>
        <v>—</v>
      </c>
      <c r="F132" s="14" t="str">
        <f>_xll.BDH("SRPT US Equity","ARDR_AVG_EXER_PX_OPT_OUTSTANDING","FQ3 2019","FQ3 2019","Currency=USD","Period=FQ","BEST_FPERIOD_OVERRIDE=FQ","FILING_STATUS=MR","Sort=A","Dates=H","DateFormat=P","Fill=—","Direction=H","UseDPDF=Y")</f>
        <v>—</v>
      </c>
      <c r="G132" s="14">
        <f>_xll.BDH("SRPT US Equity","ARDR_AVG_EXER_PX_OPT_OUTSTANDING","FQ4 2019","FQ4 2019","Currency=USD","Period=FQ","BEST_FPERIOD_OVERRIDE=FQ","FILING_STATUS=MR","Sort=A","Dates=H","DateFormat=P","Fill=—","Direction=H","UseDPDF=Y")</f>
        <v>61.01</v>
      </c>
      <c r="H132" s="14" t="str">
        <f>_xll.BDH("SRPT US Equity","ARDR_AVG_EXER_PX_OPT_OUTSTANDING","FQ1 2020","FQ1 2020","Currency=USD","Period=FQ","BEST_FPERIOD_OVERRIDE=FQ","FILING_STATUS=MR","Sort=A","Dates=H","DateFormat=P","Fill=—","Direction=H","UseDPDF=Y")</f>
        <v>—</v>
      </c>
      <c r="I132" s="14" t="str">
        <f>_xll.BDH("SRPT US Equity","ARDR_AVG_EXER_PX_OPT_OUTSTANDING","FQ2 2020","FQ2 2020","Currency=USD","Period=FQ","BEST_FPERIOD_OVERRIDE=FQ","FILING_STATUS=MR","Sort=A","Dates=H","DateFormat=P","Fill=—","Direction=H","UseDPDF=Y")</f>
        <v>—</v>
      </c>
      <c r="J132" s="14" t="str">
        <f>_xll.BDH("SRPT US Equity","ARDR_AVG_EXER_PX_OPT_OUTSTANDING","FQ3 2020","FQ3 2020","Currency=USD","Period=FQ","BEST_FPERIOD_OVERRIDE=FQ","FILING_STATUS=MR","Sort=A","Dates=H","DateFormat=P","Fill=—","Direction=H","UseDPDF=Y")</f>
        <v>—</v>
      </c>
      <c r="K132" s="14">
        <f>_xll.BDH("SRPT US Equity","ARDR_AVG_EXER_PX_OPT_OUTSTANDING","FQ4 2020","FQ4 2020","Currency=USD","Period=FQ","BEST_FPERIOD_OVERRIDE=FQ","FILING_STATUS=MR","Sort=A","Dates=H","DateFormat=P","Fill=—","Direction=H","UseDPDF=Y")</f>
        <v>70.61</v>
      </c>
      <c r="L132" s="14" t="str">
        <f>_xll.BDH("SRPT US Equity","ARDR_AVG_EXER_PX_OPT_OUTSTANDING","FQ1 2021","FQ1 2021","Currency=USD","Period=FQ","BEST_FPERIOD_OVERRIDE=FQ","FILING_STATUS=MR","Sort=A","Dates=H","DateFormat=P","Fill=—","Direction=H","UseDPDF=Y")</f>
        <v>—</v>
      </c>
      <c r="M132" s="14" t="str">
        <f>_xll.BDH("SRPT US Equity","ARDR_AVG_EXER_PX_OPT_OUTSTANDING","FQ2 2021","FQ2 2021","Currency=USD","Period=FQ","BEST_FPERIOD_OVERRIDE=FQ","FILING_STATUS=MR","Sort=A","Dates=H","DateFormat=P","Fill=—","Direction=H","UseDPDF=Y")</f>
        <v>—</v>
      </c>
      <c r="N132" s="14" t="str">
        <f>_xll.BDH("SRPT US Equity","ARDR_AVG_EXER_PX_OPT_OUTSTANDING","FQ3 2021","FQ3 2021","Currency=USD","Period=FQ","BEST_FPERIOD_OVERRIDE=FQ","FILING_STATUS=MR","Sort=A","Dates=H","DateFormat=P","Fill=—","Direction=H","UseDPDF=Y")</f>
        <v>—</v>
      </c>
      <c r="O132" s="14">
        <f>_xll.BDH("SRPT US Equity","ARDR_AVG_EXER_PX_OPT_OUTSTANDING","FQ4 2021","FQ4 2021","Currency=USD","Period=FQ","BEST_FPERIOD_OVERRIDE=FQ","FILING_STATUS=MR","Sort=A","Dates=H","DateFormat=P","Fill=—","Direction=H","UseDPDF=Y")</f>
        <v>69.39</v>
      </c>
      <c r="P132" s="14" t="str">
        <f>_xll.BDH("SRPT US Equity","ARDR_AVG_EXER_PX_OPT_OUTSTANDING","FQ1 2022","FQ1 2022","Currency=USD","Period=FQ","BEST_FPERIOD_OVERRIDE=FQ","FILING_STATUS=MR","Sort=A","Dates=H","DateFormat=P","Fill=—","Direction=H","UseDPDF=Y")</f>
        <v>—</v>
      </c>
      <c r="Q132" s="14" t="str">
        <f>_xll.BDH("SRPT US Equity","ARDR_AVG_EXER_PX_OPT_OUTSTANDING","FQ2 2022","FQ2 2022","Currency=USD","Period=FQ","BEST_FPERIOD_OVERRIDE=FQ","FILING_STATUS=MR","Sort=A","Dates=H","DateFormat=P","Fill=—","Direction=H","UseDPDF=Y")</f>
        <v>—</v>
      </c>
      <c r="R132" s="14" t="str">
        <f>_xll.BDH("SRPT US Equity","ARDR_AVG_EXER_PX_OPT_OUTSTANDING","FQ3 2022","FQ3 2022","Currency=USD","Period=FQ","BEST_FPERIOD_OVERRIDE=FQ","FILING_STATUS=MR","Sort=A","Dates=H","DateFormat=P","Fill=—","Direction=H","UseDPDF=Y")</f>
        <v>—</v>
      </c>
      <c r="S132" s="14" t="str">
        <f>_xll.BDH("SRPT US Equity","ARDR_AVG_EXER_PX_OPT_OUTSTANDING","FQ4 2022","FQ4 2022","Currency=USD","Period=FQ","BEST_FPERIOD_OVERRIDE=FQ","FILING_STATUS=MR","Sort=A","Dates=H","DateFormat=P","Fill=—","Direction=H","UseDPDF=Y")</f>
        <v>—</v>
      </c>
      <c r="T132" s="14" t="str">
        <f>_xll.BDH("SRPT US Equity","ARDR_AVG_EXER_PX_OPT_OUTSTANDING","FQ1 2023","FQ1 2023","Currency=USD","Period=FQ","BEST_FPERIOD_OVERRIDE=FQ","FILING_STATUS=MR","Sort=A","Dates=H","DateFormat=P","Fill=—","Direction=H","UseDPDF=Y")</f>
        <v>—</v>
      </c>
      <c r="U132" s="14" t="str">
        <f>_xll.BDH("SRPT US Equity","ARDR_AVG_EXER_PX_OPT_OUTSTANDING","FQ2 2023","FQ2 2023","Currency=USD","Period=FQ","BEST_FPERIOD_OVERRIDE=FQ","FILING_STATUS=MR","Sort=A","Dates=H","DateFormat=P","Fill=—","Direction=H","UseDPDF=Y")</f>
        <v>—</v>
      </c>
      <c r="V132" s="14" t="str">
        <f>_xll.BDH("SRPT US Equity","ARDR_AVG_EXER_PX_OPT_OUTSTANDING","FQ3 2023","FQ3 2023","Currency=USD","Period=FQ","BEST_FPERIOD_OVERRIDE=FQ","FILING_STATUS=MR","Sort=A","Dates=H","DateFormat=P","Fill=—","Direction=H","UseDPDF=Y")</f>
        <v>—</v>
      </c>
      <c r="W132" s="14" t="str">
        <f>_xll.BDH("SRPT US Equity","ARDR_AVG_EXER_PX_OPT_OUTSTANDING","FQ4 2023","FQ4 2023","Currency=USD","Period=FQ","BEST_FPERIOD_OVERRIDE=FQ","FILING_STATUS=MR","Sort=A","Dates=H","DateFormat=P","Fill=—","Direction=H","UseDPDF=Y")</f>
        <v>—</v>
      </c>
      <c r="X132" s="14">
        <f>_xll.BDH("SRPT US Equity","ARDR_AVG_EXER_PX_OPT_OUTSTANDING","FQ1 2024","FQ1 2024","Currency=USD","Period=FQ","BEST_FPERIOD_OVERRIDE=FQ","FILING_STATUS=MR","Sort=A","Dates=H","DateFormat=P","Fill=—","Direction=H","UseDPDF=Y")</f>
        <v>67.56</v>
      </c>
      <c r="Y132" s="14" t="str">
        <f>_xll.BDH("SRPT US Equity","ARDR_AVG_EXER_PX_OPT_OUTSTANDING","FQ2 2024","FQ2 2024","Currency=USD","Period=FQ","BEST_FPERIOD_OVERRIDE=FQ","FILING_STATUS=MR","Sort=A","Dates=H","DateFormat=P","Fill=—","Direction=H","UseDPDF=Y")</f>
        <v>—</v>
      </c>
      <c r="Z132" s="14" t="str">
        <f>_xll.BDH("SRPT US Equity","ARDR_AVG_EXER_PX_OPT_OUTSTANDING","FQ3 2024","FQ3 2024","Currency=USD","Period=FQ","BEST_FPERIOD_OVERRIDE=FQ","FILING_STATUS=MR","Sort=A","Dates=H","DateFormat=P","Fill=—","Direction=H","UseDPDF=Y")</f>
        <v>—</v>
      </c>
      <c r="AA132" s="14" t="str">
        <f>_xll.BDH("SRPT US Equity","ARDR_AVG_EXER_PX_OPT_OUTSTANDING","FQ4 2024","FQ4 2024","Currency=USD","Period=FQ","BEST_FPERIOD_OVERRIDE=FQ","FILING_STATUS=MR","Sort=A","Dates=H","DateFormat=P","Fill=—","Direction=H","UseDPDF=Y")</f>
        <v>—</v>
      </c>
    </row>
    <row r="133" spans="1:27" x14ac:dyDescent="0.25">
      <c r="A133" s="10" t="s">
        <v>1065</v>
      </c>
      <c r="B133" s="10" t="s">
        <v>1066</v>
      </c>
      <c r="C133" s="13">
        <f>_xll.BDH("SRPT US Equity","ARDR_OPTIONS_EXERCISABLE","FQ4 2018","FQ4 2018","Currency=USD","Period=FQ","BEST_FPERIOD_OVERRIDE=FQ","FILING_STATUS=MR","Sort=A","Dates=H","DateFormat=P","Fill=—","Direction=H","UseDPDF=Y")</f>
        <v>2.3048000000000002</v>
      </c>
      <c r="D133" s="13" t="str">
        <f>_xll.BDH("SRPT US Equity","ARDR_OPTIONS_EXERCISABLE","FQ1 2019","FQ1 2019","Currency=USD","Period=FQ","BEST_FPERIOD_OVERRIDE=FQ","FILING_STATUS=MR","Sort=A","Dates=H","DateFormat=P","Fill=—","Direction=H","UseDPDF=Y")</f>
        <v>—</v>
      </c>
      <c r="E133" s="13" t="str">
        <f>_xll.BDH("SRPT US Equity","ARDR_OPTIONS_EXERCISABLE","FQ2 2019","FQ2 2019","Currency=USD","Period=FQ","BEST_FPERIOD_OVERRIDE=FQ","FILING_STATUS=MR","Sort=A","Dates=H","DateFormat=P","Fill=—","Direction=H","UseDPDF=Y")</f>
        <v>—</v>
      </c>
      <c r="F133" s="13" t="str">
        <f>_xll.BDH("SRPT US Equity","ARDR_OPTIONS_EXERCISABLE","FQ3 2019","FQ3 2019","Currency=USD","Period=FQ","BEST_FPERIOD_OVERRIDE=FQ","FILING_STATUS=MR","Sort=A","Dates=H","DateFormat=P","Fill=—","Direction=H","UseDPDF=Y")</f>
        <v>—</v>
      </c>
      <c r="G133" s="13">
        <f>_xll.BDH("SRPT US Equity","ARDR_OPTIONS_EXERCISABLE","FQ4 2019","FQ4 2019","Currency=USD","Period=FQ","BEST_FPERIOD_OVERRIDE=FQ","FILING_STATUS=MR","Sort=A","Dates=H","DateFormat=P","Fill=—","Direction=H","UseDPDF=Y")</f>
        <v>2.3685999999999998</v>
      </c>
      <c r="H133" s="13" t="str">
        <f>_xll.BDH("SRPT US Equity","ARDR_OPTIONS_EXERCISABLE","FQ1 2020","FQ1 2020","Currency=USD","Period=FQ","BEST_FPERIOD_OVERRIDE=FQ","FILING_STATUS=MR","Sort=A","Dates=H","DateFormat=P","Fill=—","Direction=H","UseDPDF=Y")</f>
        <v>—</v>
      </c>
      <c r="I133" s="13" t="str">
        <f>_xll.BDH("SRPT US Equity","ARDR_OPTIONS_EXERCISABLE","FQ2 2020","FQ2 2020","Currency=USD","Period=FQ","BEST_FPERIOD_OVERRIDE=FQ","FILING_STATUS=MR","Sort=A","Dates=H","DateFormat=P","Fill=—","Direction=H","UseDPDF=Y")</f>
        <v>—</v>
      </c>
      <c r="J133" s="13" t="str">
        <f>_xll.BDH("SRPT US Equity","ARDR_OPTIONS_EXERCISABLE","FQ3 2020","FQ3 2020","Currency=USD","Period=FQ","BEST_FPERIOD_OVERRIDE=FQ","FILING_STATUS=MR","Sort=A","Dates=H","DateFormat=P","Fill=—","Direction=H","UseDPDF=Y")</f>
        <v>—</v>
      </c>
      <c r="K133" s="13">
        <f>_xll.BDH("SRPT US Equity","ARDR_OPTIONS_EXERCISABLE","FQ4 2020","FQ4 2020","Currency=USD","Period=FQ","BEST_FPERIOD_OVERRIDE=FQ","FILING_STATUS=MR","Sort=A","Dates=H","DateFormat=P","Fill=—","Direction=H","UseDPDF=Y")</f>
        <v>2.0203000000000002</v>
      </c>
      <c r="L133" s="13" t="str">
        <f>_xll.BDH("SRPT US Equity","ARDR_OPTIONS_EXERCISABLE","FQ1 2021","FQ1 2021","Currency=USD","Period=FQ","BEST_FPERIOD_OVERRIDE=FQ","FILING_STATUS=MR","Sort=A","Dates=H","DateFormat=P","Fill=—","Direction=H","UseDPDF=Y")</f>
        <v>—</v>
      </c>
      <c r="M133" s="13" t="str">
        <f>_xll.BDH("SRPT US Equity","ARDR_OPTIONS_EXERCISABLE","FQ2 2021","FQ2 2021","Currency=USD","Period=FQ","BEST_FPERIOD_OVERRIDE=FQ","FILING_STATUS=MR","Sort=A","Dates=H","DateFormat=P","Fill=—","Direction=H","UseDPDF=Y")</f>
        <v>—</v>
      </c>
      <c r="N133" s="13" t="str">
        <f>_xll.BDH("SRPT US Equity","ARDR_OPTIONS_EXERCISABLE","FQ3 2021","FQ3 2021","Currency=USD","Period=FQ","BEST_FPERIOD_OVERRIDE=FQ","FILING_STATUS=MR","Sort=A","Dates=H","DateFormat=P","Fill=—","Direction=H","UseDPDF=Y")</f>
        <v>—</v>
      </c>
      <c r="O133" s="13">
        <f>_xll.BDH("SRPT US Equity","ARDR_OPTIONS_EXERCISABLE","FQ4 2021","FQ4 2021","Currency=USD","Period=FQ","BEST_FPERIOD_OVERRIDE=FQ","FILING_STATUS=MR","Sort=A","Dates=H","DateFormat=P","Fill=—","Direction=H","UseDPDF=Y")</f>
        <v>2.5324</v>
      </c>
      <c r="P133" s="13" t="str">
        <f>_xll.BDH("SRPT US Equity","ARDR_OPTIONS_EXERCISABLE","FQ1 2022","FQ1 2022","Currency=USD","Period=FQ","BEST_FPERIOD_OVERRIDE=FQ","FILING_STATUS=MR","Sort=A","Dates=H","DateFormat=P","Fill=—","Direction=H","UseDPDF=Y")</f>
        <v>—</v>
      </c>
      <c r="Q133" s="13" t="str">
        <f>_xll.BDH("SRPT US Equity","ARDR_OPTIONS_EXERCISABLE","FQ2 2022","FQ2 2022","Currency=USD","Period=FQ","BEST_FPERIOD_OVERRIDE=FQ","FILING_STATUS=MR","Sort=A","Dates=H","DateFormat=P","Fill=—","Direction=H","UseDPDF=Y")</f>
        <v>—</v>
      </c>
      <c r="R133" s="13" t="str">
        <f>_xll.BDH("SRPT US Equity","ARDR_OPTIONS_EXERCISABLE","FQ3 2022","FQ3 2022","Currency=USD","Period=FQ","BEST_FPERIOD_OVERRIDE=FQ","FILING_STATUS=MR","Sort=A","Dates=H","DateFormat=P","Fill=—","Direction=H","UseDPDF=Y")</f>
        <v>—</v>
      </c>
      <c r="S133" s="13">
        <f>_xll.BDH("SRPT US Equity","ARDR_OPTIONS_EXERCISABLE","FQ4 2022","FQ4 2022","Currency=USD","Period=FQ","BEST_FPERIOD_OVERRIDE=FQ","FILING_STATUS=MR","Sort=A","Dates=H","DateFormat=P","Fill=—","Direction=H","UseDPDF=Y")</f>
        <v>4.6925999999999997</v>
      </c>
      <c r="T133" s="13" t="str">
        <f>_xll.BDH("SRPT US Equity","ARDR_OPTIONS_EXERCISABLE","FQ1 2023","FQ1 2023","Currency=USD","Period=FQ","BEST_FPERIOD_OVERRIDE=FQ","FILING_STATUS=MR","Sort=A","Dates=H","DateFormat=P","Fill=—","Direction=H","UseDPDF=Y")</f>
        <v>—</v>
      </c>
      <c r="U133" s="13" t="str">
        <f>_xll.BDH("SRPT US Equity","ARDR_OPTIONS_EXERCISABLE","FQ2 2023","FQ2 2023","Currency=USD","Period=FQ","BEST_FPERIOD_OVERRIDE=FQ","FILING_STATUS=MR","Sort=A","Dates=H","DateFormat=P","Fill=—","Direction=H","UseDPDF=Y")</f>
        <v>—</v>
      </c>
      <c r="V133" s="13" t="str">
        <f>_xll.BDH("SRPT US Equity","ARDR_OPTIONS_EXERCISABLE","FQ3 2023","FQ3 2023","Currency=USD","Period=FQ","BEST_FPERIOD_OVERRIDE=FQ","FILING_STATUS=MR","Sort=A","Dates=H","DateFormat=P","Fill=—","Direction=H","UseDPDF=Y")</f>
        <v>—</v>
      </c>
      <c r="W133" s="13">
        <f>_xll.BDH("SRPT US Equity","ARDR_OPTIONS_EXERCISABLE","FQ4 2023","FQ4 2023","Currency=USD","Period=FQ","BEST_FPERIOD_OVERRIDE=FQ","FILING_STATUS=MR","Sort=A","Dates=H","DateFormat=P","Fill=—","Direction=H","UseDPDF=Y")</f>
        <v>5.952</v>
      </c>
      <c r="X133" s="13" t="str">
        <f>_xll.BDH("SRPT US Equity","ARDR_OPTIONS_EXERCISABLE","FQ1 2024","FQ1 2024","Currency=USD","Period=FQ","BEST_FPERIOD_OVERRIDE=FQ","FILING_STATUS=MR","Sort=A","Dates=H","DateFormat=P","Fill=—","Direction=H","UseDPDF=Y")</f>
        <v>—</v>
      </c>
      <c r="Y133" s="13" t="str">
        <f>_xll.BDH("SRPT US Equity","ARDR_OPTIONS_EXERCISABLE","FQ2 2024","FQ2 2024","Currency=USD","Period=FQ","BEST_FPERIOD_OVERRIDE=FQ","FILING_STATUS=MR","Sort=A","Dates=H","DateFormat=P","Fill=—","Direction=H","UseDPDF=Y")</f>
        <v>—</v>
      </c>
      <c r="Z133" s="13" t="str">
        <f>_xll.BDH("SRPT US Equity","ARDR_OPTIONS_EXERCISABLE","FQ3 2024","FQ3 2024","Currency=USD","Period=FQ","BEST_FPERIOD_OVERRIDE=FQ","FILING_STATUS=MR","Sort=A","Dates=H","DateFormat=P","Fill=—","Direction=H","UseDPDF=Y")</f>
        <v>—</v>
      </c>
      <c r="AA133" s="13">
        <f>_xll.BDH("SRPT US Equity","ARDR_OPTIONS_EXERCISABLE","FQ4 2024","FQ4 2024","Currency=USD","Period=FQ","BEST_FPERIOD_OVERRIDE=FQ","FILING_STATUS=MR","Sort=A","Dates=H","DateFormat=P","Fill=—","Direction=H","UseDPDF=Y")</f>
        <v>6.2679999999999998</v>
      </c>
    </row>
    <row r="134" spans="1:27" x14ac:dyDescent="0.25">
      <c r="A134" s="10" t="s">
        <v>1067</v>
      </c>
      <c r="B134" s="10" t="s">
        <v>1068</v>
      </c>
      <c r="C134" s="13">
        <f>_xll.BDH("SRPT US Equity","ARDR_DEFERRED_TAX_ALLOWANCE","FQ4 2018","FQ4 2018","Currency=USD","Period=FQ","BEST_FPERIOD_OVERRIDE=FQ","FILING_STATUS=MR","SCALING_FORMAT=MLN","Sort=A","Dates=H","DateFormat=P","Fill=—","Direction=H","UseDPDF=Y")</f>
        <v>369.34500000000003</v>
      </c>
      <c r="D134" s="13" t="str">
        <f>_xll.BDH("SRPT US Equity","ARDR_DEFERRED_TAX_ALLOWANCE","FQ1 2019","FQ1 2019","Currency=USD","Period=FQ","BEST_FPERIOD_OVERRIDE=FQ","FILING_STATUS=MR","SCALING_FORMAT=MLN","Sort=A","Dates=H","DateFormat=P","Fill=—","Direction=H","UseDPDF=Y")</f>
        <v>—</v>
      </c>
      <c r="E134" s="13" t="str">
        <f>_xll.BDH("SRPT US Equity","ARDR_DEFERRED_TAX_ALLOWANCE","FQ2 2019","FQ2 2019","Currency=USD","Period=FQ","BEST_FPERIOD_OVERRIDE=FQ","FILING_STATUS=MR","SCALING_FORMAT=MLN","Sort=A","Dates=H","DateFormat=P","Fill=—","Direction=H","UseDPDF=Y")</f>
        <v>—</v>
      </c>
      <c r="F134" s="13" t="str">
        <f>_xll.BDH("SRPT US Equity","ARDR_DEFERRED_TAX_ALLOWANCE","FQ3 2019","FQ3 2019","Currency=USD","Period=FQ","BEST_FPERIOD_OVERRIDE=FQ","FILING_STATUS=MR","SCALING_FORMAT=MLN","Sort=A","Dates=H","DateFormat=P","Fill=—","Direction=H","UseDPDF=Y")</f>
        <v>—</v>
      </c>
      <c r="G134" s="13">
        <f>_xll.BDH("SRPT US Equity","ARDR_DEFERRED_TAX_ALLOWANCE","FQ4 2019","FQ4 2019","Currency=USD","Period=FQ","BEST_FPERIOD_OVERRIDE=FQ","FILING_STATUS=MR","SCALING_FORMAT=MLN","Sort=A","Dates=H","DateFormat=P","Fill=—","Direction=H","UseDPDF=Y")</f>
        <v>488.82900000000001</v>
      </c>
      <c r="H134" s="13" t="str">
        <f>_xll.BDH("SRPT US Equity","ARDR_DEFERRED_TAX_ALLOWANCE","FQ1 2020","FQ1 2020","Currency=USD","Period=FQ","BEST_FPERIOD_OVERRIDE=FQ","FILING_STATUS=MR","SCALING_FORMAT=MLN","Sort=A","Dates=H","DateFormat=P","Fill=—","Direction=H","UseDPDF=Y")</f>
        <v>—</v>
      </c>
      <c r="I134" s="13" t="str">
        <f>_xll.BDH("SRPT US Equity","ARDR_DEFERRED_TAX_ALLOWANCE","FQ2 2020","FQ2 2020","Currency=USD","Period=FQ","BEST_FPERIOD_OVERRIDE=FQ","FILING_STATUS=MR","SCALING_FORMAT=MLN","Sort=A","Dates=H","DateFormat=P","Fill=—","Direction=H","UseDPDF=Y")</f>
        <v>—</v>
      </c>
      <c r="J134" s="13" t="str">
        <f>_xll.BDH("SRPT US Equity","ARDR_DEFERRED_TAX_ALLOWANCE","FQ3 2020","FQ3 2020","Currency=USD","Period=FQ","BEST_FPERIOD_OVERRIDE=FQ","FILING_STATUS=MR","SCALING_FORMAT=MLN","Sort=A","Dates=H","DateFormat=P","Fill=—","Direction=H","UseDPDF=Y")</f>
        <v>—</v>
      </c>
      <c r="K134" s="13">
        <f>_xll.BDH("SRPT US Equity","ARDR_DEFERRED_TAX_ALLOWANCE","FQ4 2020","FQ4 2020","Currency=USD","Period=FQ","BEST_FPERIOD_OVERRIDE=FQ","FILING_STATUS=MR","SCALING_FORMAT=MLN","Sort=A","Dates=H","DateFormat=P","Fill=—","Direction=H","UseDPDF=Y")</f>
        <v>605.84799999999996</v>
      </c>
      <c r="L134" s="13" t="str">
        <f>_xll.BDH("SRPT US Equity","ARDR_DEFERRED_TAX_ALLOWANCE","FQ1 2021","FQ1 2021","Currency=USD","Period=FQ","BEST_FPERIOD_OVERRIDE=FQ","FILING_STATUS=MR","SCALING_FORMAT=MLN","Sort=A","Dates=H","DateFormat=P","Fill=—","Direction=H","UseDPDF=Y")</f>
        <v>—</v>
      </c>
      <c r="M134" s="13" t="str">
        <f>_xll.BDH("SRPT US Equity","ARDR_DEFERRED_TAX_ALLOWANCE","FQ2 2021","FQ2 2021","Currency=USD","Period=FQ","BEST_FPERIOD_OVERRIDE=FQ","FILING_STATUS=MR","SCALING_FORMAT=MLN","Sort=A","Dates=H","DateFormat=P","Fill=—","Direction=H","UseDPDF=Y")</f>
        <v>—</v>
      </c>
      <c r="N134" s="13" t="str">
        <f>_xll.BDH("SRPT US Equity","ARDR_DEFERRED_TAX_ALLOWANCE","FQ3 2021","FQ3 2021","Currency=USD","Period=FQ","BEST_FPERIOD_OVERRIDE=FQ","FILING_STATUS=MR","SCALING_FORMAT=MLN","Sort=A","Dates=H","DateFormat=P","Fill=—","Direction=H","UseDPDF=Y")</f>
        <v>—</v>
      </c>
      <c r="O134" s="13">
        <f>_xll.BDH("SRPT US Equity","ARDR_DEFERRED_TAX_ALLOWANCE","FQ4 2021","FQ4 2021","Currency=USD","Period=FQ","BEST_FPERIOD_OVERRIDE=FQ","FILING_STATUS=MR","SCALING_FORMAT=MLN","Sort=A","Dates=H","DateFormat=P","Fill=—","Direction=H","UseDPDF=Y")</f>
        <v>672.31899999999996</v>
      </c>
      <c r="P134" s="13" t="str">
        <f>_xll.BDH("SRPT US Equity","ARDR_DEFERRED_TAX_ALLOWANCE","FQ1 2022","FQ1 2022","Currency=USD","Period=FQ","BEST_FPERIOD_OVERRIDE=FQ","FILING_STATUS=MR","SCALING_FORMAT=MLN","Sort=A","Dates=H","DateFormat=P","Fill=—","Direction=H","UseDPDF=Y")</f>
        <v>—</v>
      </c>
      <c r="Q134" s="13" t="str">
        <f>_xll.BDH("SRPT US Equity","ARDR_DEFERRED_TAX_ALLOWANCE","FQ2 2022","FQ2 2022","Currency=USD","Period=FQ","BEST_FPERIOD_OVERRIDE=FQ","FILING_STATUS=MR","SCALING_FORMAT=MLN","Sort=A","Dates=H","DateFormat=P","Fill=—","Direction=H","UseDPDF=Y")</f>
        <v>—</v>
      </c>
      <c r="R134" s="13" t="str">
        <f>_xll.BDH("SRPT US Equity","ARDR_DEFERRED_TAX_ALLOWANCE","FQ3 2022","FQ3 2022","Currency=USD","Period=FQ","BEST_FPERIOD_OVERRIDE=FQ","FILING_STATUS=MR","SCALING_FORMAT=MLN","Sort=A","Dates=H","DateFormat=P","Fill=—","Direction=H","UseDPDF=Y")</f>
        <v>—</v>
      </c>
      <c r="S134" s="13">
        <f>_xll.BDH("SRPT US Equity","ARDR_DEFERRED_TAX_ALLOWANCE","FQ4 2022","FQ4 2022","Currency=USD","Period=FQ","BEST_FPERIOD_OVERRIDE=FQ","FILING_STATUS=MR","SCALING_FORMAT=MLN","Sort=A","Dates=H","DateFormat=P","Fill=—","Direction=H","UseDPDF=Y")</f>
        <v>811.90800000000002</v>
      </c>
      <c r="T134" s="13" t="str">
        <f>_xll.BDH("SRPT US Equity","ARDR_DEFERRED_TAX_ALLOWANCE","FQ1 2023","FQ1 2023","Currency=USD","Period=FQ","BEST_FPERIOD_OVERRIDE=FQ","FILING_STATUS=MR","SCALING_FORMAT=MLN","Sort=A","Dates=H","DateFormat=P","Fill=—","Direction=H","UseDPDF=Y")</f>
        <v>—</v>
      </c>
      <c r="U134" s="13" t="str">
        <f>_xll.BDH("SRPT US Equity","ARDR_DEFERRED_TAX_ALLOWANCE","FQ2 2023","FQ2 2023","Currency=USD","Period=FQ","BEST_FPERIOD_OVERRIDE=FQ","FILING_STATUS=MR","SCALING_FORMAT=MLN","Sort=A","Dates=H","DateFormat=P","Fill=—","Direction=H","UseDPDF=Y")</f>
        <v>—</v>
      </c>
      <c r="V134" s="13" t="str">
        <f>_xll.BDH("SRPT US Equity","ARDR_DEFERRED_TAX_ALLOWANCE","FQ3 2023","FQ3 2023","Currency=USD","Period=FQ","BEST_FPERIOD_OVERRIDE=FQ","FILING_STATUS=MR","SCALING_FORMAT=MLN","Sort=A","Dates=H","DateFormat=P","Fill=—","Direction=H","UseDPDF=Y")</f>
        <v>—</v>
      </c>
      <c r="W134" s="13">
        <f>_xll.BDH("SRPT US Equity","ARDR_DEFERRED_TAX_ALLOWANCE","FQ4 2023","FQ4 2023","Currency=USD","Period=FQ","BEST_FPERIOD_OVERRIDE=FQ","FILING_STATUS=MR","SCALING_FORMAT=MLN","Sort=A","Dates=H","DateFormat=P","Fill=—","Direction=H","UseDPDF=Y")</f>
        <v>883.66499999999996</v>
      </c>
      <c r="X134" s="13" t="str">
        <f>_xll.BDH("SRPT US Equity","ARDR_DEFERRED_TAX_ALLOWANCE","FQ1 2024","FQ1 2024","Currency=USD","Period=FQ","BEST_FPERIOD_OVERRIDE=FQ","FILING_STATUS=MR","SCALING_FORMAT=MLN","Sort=A","Dates=H","DateFormat=P","Fill=—","Direction=H","UseDPDF=Y")</f>
        <v>—</v>
      </c>
      <c r="Y134" s="13" t="str">
        <f>_xll.BDH("SRPT US Equity","ARDR_DEFERRED_TAX_ALLOWANCE","FQ2 2024","FQ2 2024","Currency=USD","Period=FQ","BEST_FPERIOD_OVERRIDE=FQ","FILING_STATUS=MR","SCALING_FORMAT=MLN","Sort=A","Dates=H","DateFormat=P","Fill=—","Direction=H","UseDPDF=Y")</f>
        <v>—</v>
      </c>
      <c r="Z134" s="13" t="str">
        <f>_xll.BDH("SRPT US Equity","ARDR_DEFERRED_TAX_ALLOWANCE","FQ3 2024","FQ3 2024","Currency=USD","Period=FQ","BEST_FPERIOD_OVERRIDE=FQ","FILING_STATUS=MR","SCALING_FORMAT=MLN","Sort=A","Dates=H","DateFormat=P","Fill=—","Direction=H","UseDPDF=Y")</f>
        <v>—</v>
      </c>
      <c r="AA134" s="13">
        <f>_xll.BDH("SRPT US Equity","ARDR_DEFERRED_TAX_ALLOWANCE","FQ4 2024","FQ4 2024","Currency=USD","Period=FQ","BEST_FPERIOD_OVERRIDE=FQ","FILING_STATUS=MR","SCALING_FORMAT=MLN","Sort=A","Dates=H","DateFormat=P","Fill=—","Direction=H","UseDPDF=Y")</f>
        <v>888.33500000000004</v>
      </c>
    </row>
    <row r="135" spans="1:27" x14ac:dyDescent="0.25">
      <c r="A135" s="10" t="s">
        <v>1069</v>
      </c>
      <c r="B135" s="10" t="s">
        <v>1070</v>
      </c>
      <c r="C135" s="13" t="str">
        <f>_xll.BDH("SRPT US Equity","ARDR_FV_ASSETS_REC_L1_TRAD_TREAS","FQ4 2018","FQ4 2018","Currency=USD","Period=FQ","BEST_FPERIOD_OVERRIDE=FQ","FILING_STATUS=MR","SCALING_FORMAT=MLN","Sort=A","Dates=H","DateFormat=P","Fill=—","Direction=H","UseDPDF=Y")</f>
        <v>—</v>
      </c>
      <c r="D135" s="13">
        <f>_xll.BDH("SRPT US Equity","ARDR_FV_ASSETS_REC_L1_TRAD_TREAS","FQ1 2019","FQ1 2019","Currency=USD","Period=FQ","BEST_FPERIOD_OVERRIDE=FQ","FILING_STATUS=MR","SCALING_FORMAT=MLN","Sort=A","Dates=H","DateFormat=P","Fill=—","Direction=H","UseDPDF=Y")</f>
        <v>155.40600000000001</v>
      </c>
      <c r="E135" s="13">
        <f>_xll.BDH("SRPT US Equity","ARDR_FV_ASSETS_REC_L1_TRAD_TREAS","FQ2 2019","FQ2 2019","Currency=USD","Period=FQ","BEST_FPERIOD_OVERRIDE=FQ","FILING_STATUS=MR","SCALING_FORMAT=MLN","Sort=A","Dates=H","DateFormat=P","Fill=—","Direction=H","UseDPDF=Y")</f>
        <v>181.04</v>
      </c>
      <c r="F135" s="13">
        <f>_xll.BDH("SRPT US Equity","ARDR_FV_ASSETS_REC_L1_TRAD_TREAS","FQ3 2019","FQ3 2019","Currency=USD","Period=FQ","BEST_FPERIOD_OVERRIDE=FQ","FILING_STATUS=MR","SCALING_FORMAT=MLN","Sort=A","Dates=H","DateFormat=P","Fill=—","Direction=H","UseDPDF=Y")</f>
        <v>119.538</v>
      </c>
      <c r="G135" s="13">
        <f>_xll.BDH("SRPT US Equity","ARDR_FV_ASSETS_REC_L1_TRAD_TREAS","FQ4 2019","FQ4 2019","Currency=USD","Period=FQ","BEST_FPERIOD_OVERRIDE=FQ","FILING_STATUS=MR","SCALING_FORMAT=MLN","Sort=A","Dates=H","DateFormat=P","Fill=—","Direction=H","UseDPDF=Y")</f>
        <v>203.41</v>
      </c>
      <c r="H135" s="13">
        <f>_xll.BDH("SRPT US Equity","ARDR_FV_ASSETS_REC_L1_TRAD_TREAS","FQ1 2020","FQ1 2020","Currency=USD","Period=FQ","BEST_FPERIOD_OVERRIDE=FQ","FILING_STATUS=MR","SCALING_FORMAT=MLN","Sort=A","Dates=H","DateFormat=P","Fill=—","Direction=H","UseDPDF=Y")</f>
        <v>1047.7619999999999</v>
      </c>
      <c r="I135" s="13">
        <f>_xll.BDH("SRPT US Equity","ARDR_FV_ASSETS_REC_L1_TRAD_TREAS","FQ2 2020","FQ2 2020","Currency=USD","Period=FQ","BEST_FPERIOD_OVERRIDE=FQ","FILING_STATUS=MR","SCALING_FORMAT=MLN","Sort=A","Dates=H","DateFormat=P","Fill=—","Direction=H","UseDPDF=Y")</f>
        <v>810.14599999999996</v>
      </c>
      <c r="J135" s="13">
        <f>_xll.BDH("SRPT US Equity","ARDR_FV_ASSETS_REC_L1_TRAD_TREAS","FQ3 2020","FQ3 2020","Currency=USD","Period=FQ","BEST_FPERIOD_OVERRIDE=FQ","FILING_STATUS=MR","SCALING_FORMAT=MLN","Sort=A","Dates=H","DateFormat=P","Fill=—","Direction=H","UseDPDF=Y")</f>
        <v>624.71400000000006</v>
      </c>
      <c r="K135" s="13">
        <f>_xll.BDH("SRPT US Equity","ARDR_FV_ASSETS_REC_L1_TRAD_TREAS","FQ4 2020","FQ4 2020","Currency=USD","Period=FQ","BEST_FPERIOD_OVERRIDE=FQ","FILING_STATUS=MR","SCALING_FORMAT=MLN","Sort=A","Dates=H","DateFormat=P","Fill=—","Direction=H","UseDPDF=Y")</f>
        <v>629.44000000000005</v>
      </c>
      <c r="L135" s="13">
        <f>_xll.BDH("SRPT US Equity","ARDR_FV_ASSETS_REC_L1_TRAD_TREAS","FQ1 2021","FQ1 2021","Currency=USD","Period=FQ","BEST_FPERIOD_OVERRIDE=FQ","FILING_STATUS=MR","SCALING_FORMAT=MLN","Sort=A","Dates=H","DateFormat=P","Fill=—","Direction=H","UseDPDF=Y")</f>
        <v>1053.383</v>
      </c>
      <c r="M135" s="13">
        <f>_xll.BDH("SRPT US Equity","ARDR_FV_ASSETS_REC_L1_TRAD_TREAS","FQ2 2021","FQ2 2021","Currency=USD","Period=FQ","BEST_FPERIOD_OVERRIDE=FQ","FILING_STATUS=MR","SCALING_FORMAT=MLN","Sort=A","Dates=H","DateFormat=P","Fill=—","Direction=H","UseDPDF=Y")</f>
        <v>1382.337</v>
      </c>
      <c r="N135" s="13">
        <f>_xll.BDH("SRPT US Equity","ARDR_FV_ASSETS_REC_L1_TRAD_TREAS","FQ3 2021","FQ3 2021","Currency=USD","Period=FQ","BEST_FPERIOD_OVERRIDE=FQ","FILING_STATUS=MR","SCALING_FORMAT=MLN","Sort=A","Dates=H","DateFormat=P","Fill=—","Direction=H","UseDPDF=Y")</f>
        <v>1287.2919999999999</v>
      </c>
      <c r="O135" s="13">
        <f>_xll.BDH("SRPT US Equity","ARDR_FV_ASSETS_REC_L1_TRAD_TREAS","FQ4 2021","FQ4 2021","Currency=USD","Period=FQ","BEST_FPERIOD_OVERRIDE=FQ","FILING_STATUS=MR","SCALING_FORMAT=MLN","Sort=A","Dates=H","DateFormat=P","Fill=—","Direction=H","UseDPDF=Y")</f>
        <v>1562.3579999999999</v>
      </c>
      <c r="P135" s="13">
        <f>_xll.BDH("SRPT US Equity","ARDR_FV_ASSETS_REC_L1_TRAD_TREAS","FQ1 2022","FQ1 2022","Currency=USD","Period=FQ","BEST_FPERIOD_OVERRIDE=FQ","FILING_STATUS=MR","SCALING_FORMAT=MLN","Sort=A","Dates=H","DateFormat=P","Fill=—","Direction=H","UseDPDF=Y")</f>
        <v>606.49800000000005</v>
      </c>
      <c r="Q135" s="13">
        <f>_xll.BDH("SRPT US Equity","ARDR_FV_ASSETS_REC_L1_TRAD_TREAS","FQ2 2022","FQ2 2022","Currency=USD","Period=FQ","BEST_FPERIOD_OVERRIDE=FQ","FILING_STATUS=MR","SCALING_FORMAT=MLN","Sort=A","Dates=H","DateFormat=P","Fill=—","Direction=H","UseDPDF=Y")</f>
        <v>464.06</v>
      </c>
      <c r="R135" s="13">
        <f>_xll.BDH("SRPT US Equity","ARDR_FV_ASSETS_REC_L1_TRAD_TREAS","FQ3 2022","FQ3 2022","Currency=USD","Period=FQ","BEST_FPERIOD_OVERRIDE=FQ","FILING_STATUS=MR","SCALING_FORMAT=MLN","Sort=A","Dates=H","DateFormat=P","Fill=—","Direction=H","UseDPDF=Y")</f>
        <v>508.86399999999998</v>
      </c>
      <c r="S135" s="13">
        <f>_xll.BDH("SRPT US Equity","ARDR_FV_ASSETS_REC_L1_TRAD_TREAS","FQ4 2022","FQ4 2022","Currency=USD","Period=FQ","BEST_FPERIOD_OVERRIDE=FQ","FILING_STATUS=MR","SCALING_FORMAT=MLN","Sort=A","Dates=H","DateFormat=P","Fill=—","Direction=H","UseDPDF=Y")</f>
        <v>467.553</v>
      </c>
      <c r="T135" s="13">
        <f>_xll.BDH("SRPT US Equity","ARDR_FV_ASSETS_REC_L1_TRAD_TREAS","FQ1 2023","FQ1 2023","Currency=USD","Period=FQ","BEST_FPERIOD_OVERRIDE=FQ","FILING_STATUS=MR","SCALING_FORMAT=MLN","Sort=A","Dates=H","DateFormat=P","Fill=—","Direction=H","UseDPDF=Y")</f>
        <v>450.40699999999998</v>
      </c>
      <c r="U135" s="13">
        <f>_xll.BDH("SRPT US Equity","ARDR_FV_ASSETS_REC_L1_TRAD_TREAS","FQ2 2023","FQ2 2023","Currency=USD","Period=FQ","BEST_FPERIOD_OVERRIDE=FQ","FILING_STATUS=MR","SCALING_FORMAT=MLN","Sort=A","Dates=H","DateFormat=P","Fill=—","Direction=H","UseDPDF=Y")</f>
        <v>404.863</v>
      </c>
      <c r="V135" s="13">
        <f>_xll.BDH("SRPT US Equity","ARDR_FV_ASSETS_REC_L1_TRAD_TREAS","FQ3 2023","FQ3 2023","Currency=USD","Period=FQ","BEST_FPERIOD_OVERRIDE=FQ","FILING_STATUS=MR","SCALING_FORMAT=MLN","Sort=A","Dates=H","DateFormat=P","Fill=—","Direction=H","UseDPDF=Y")</f>
        <v>139.68199999999999</v>
      </c>
      <c r="W135" s="13">
        <f>_xll.BDH("SRPT US Equity","ARDR_FV_ASSETS_REC_L1_TRAD_TREAS","FQ4 2023","FQ4 2023","Currency=USD","Period=FQ","BEST_FPERIOD_OVERRIDE=FQ","FILING_STATUS=MR","SCALING_FORMAT=MLN","Sort=A","Dates=H","DateFormat=P","Fill=—","Direction=H","UseDPDF=Y")</f>
        <v>63.918999999999997</v>
      </c>
      <c r="X135" s="13">
        <f>_xll.BDH("SRPT US Equity","ARDR_FV_ASSETS_REC_L1_TRAD_TREAS","FQ1 2024","FQ1 2024","Currency=USD","Period=FQ","BEST_FPERIOD_OVERRIDE=FQ","FILING_STATUS=MR","SCALING_FORMAT=MLN","Sort=A","Dates=H","DateFormat=P","Fill=—","Direction=H","UseDPDF=Y")</f>
        <v>277.87</v>
      </c>
      <c r="Y135" s="13">
        <f>_xll.BDH("SRPT US Equity","ARDR_FV_ASSETS_REC_L1_TRAD_TREAS","FQ2 2024","FQ2 2024","Currency=USD","Period=FQ","BEST_FPERIOD_OVERRIDE=FQ","FILING_STATUS=MR","SCALING_FORMAT=MLN","Sort=A","Dates=H","DateFormat=P","Fill=—","Direction=H","UseDPDF=Y")</f>
        <v>100.85899999999999</v>
      </c>
      <c r="Z135" s="13">
        <f>_xll.BDH("SRPT US Equity","ARDR_FV_ASSETS_REC_L1_TRAD_TREAS","FQ3 2024","FQ3 2024","Currency=USD","Period=FQ","BEST_FPERIOD_OVERRIDE=FQ","FILING_STATUS=MR","SCALING_FORMAT=MLN","Sort=A","Dates=H","DateFormat=P","Fill=—","Direction=H","UseDPDF=Y")</f>
        <v>21.951000000000001</v>
      </c>
      <c r="AA135" s="13">
        <f>_xll.BDH("SRPT US Equity","ARDR_FV_ASSETS_REC_L1_TRAD_TREAS","FQ4 2024","FQ4 2024","Currency=USD","Period=FQ","BEST_FPERIOD_OVERRIDE=FQ","FILING_STATUS=MR","SCALING_FORMAT=MLN","Sort=A","Dates=H","DateFormat=P","Fill=—","Direction=H","UseDPDF=Y")</f>
        <v>455.53500000000003</v>
      </c>
    </row>
    <row r="136" spans="1:27" x14ac:dyDescent="0.25">
      <c r="A136" s="10" t="s">
        <v>1071</v>
      </c>
      <c r="B136" s="10" t="s">
        <v>1072</v>
      </c>
      <c r="C136" s="13" t="str">
        <f>_xll.BDH("SRPT US Equity","ARDR_FV_ASSETS_REC_L1_TRAD_BONDS","FQ4 2018","FQ4 2018","Currency=USD","Period=FQ","BEST_FPERIOD_OVERRIDE=FQ","FILING_STATUS=MR","SCALING_FORMAT=MLN","Sort=A","Dates=H","DateFormat=P","Fill=—","Direction=H","UseDPDF=Y")</f>
        <v>—</v>
      </c>
      <c r="D136" s="13" t="str">
        <f>_xll.BDH("SRPT US Equity","ARDR_FV_ASSETS_REC_L1_TRAD_BONDS","FQ1 2019","FQ1 2019","Currency=USD","Period=FQ","BEST_FPERIOD_OVERRIDE=FQ","FILING_STATUS=MR","SCALING_FORMAT=MLN","Sort=A","Dates=H","DateFormat=P","Fill=—","Direction=H","UseDPDF=Y")</f>
        <v>—</v>
      </c>
      <c r="E136" s="13" t="str">
        <f>_xll.BDH("SRPT US Equity","ARDR_FV_ASSETS_REC_L1_TRAD_BONDS","FQ2 2019","FQ2 2019","Currency=USD","Period=FQ","BEST_FPERIOD_OVERRIDE=FQ","FILING_STATUS=MR","SCALING_FORMAT=MLN","Sort=A","Dates=H","DateFormat=P","Fill=—","Direction=H","UseDPDF=Y")</f>
        <v>—</v>
      </c>
      <c r="F136" s="13" t="str">
        <f>_xll.BDH("SRPT US Equity","ARDR_FV_ASSETS_REC_L1_TRAD_BONDS","FQ3 2019","FQ3 2019","Currency=USD","Period=FQ","BEST_FPERIOD_OVERRIDE=FQ","FILING_STATUS=MR","SCALING_FORMAT=MLN","Sort=A","Dates=H","DateFormat=P","Fill=—","Direction=H","UseDPDF=Y")</f>
        <v>—</v>
      </c>
      <c r="G136" s="13" t="str">
        <f>_xll.BDH("SRPT US Equity","ARDR_FV_ASSETS_REC_L1_TRAD_BONDS","FQ4 2019","FQ4 2019","Currency=USD","Period=FQ","BEST_FPERIOD_OVERRIDE=FQ","FILING_STATUS=MR","SCALING_FORMAT=MLN","Sort=A","Dates=H","DateFormat=P","Fill=—","Direction=H","UseDPDF=Y")</f>
        <v>—</v>
      </c>
      <c r="H136" s="13" t="str">
        <f>_xll.BDH("SRPT US Equity","ARDR_FV_ASSETS_REC_L1_TRAD_BONDS","FQ1 2020","FQ1 2020","Currency=USD","Period=FQ","BEST_FPERIOD_OVERRIDE=FQ","FILING_STATUS=MR","SCALING_FORMAT=MLN","Sort=A","Dates=H","DateFormat=P","Fill=—","Direction=H","UseDPDF=Y")</f>
        <v>—</v>
      </c>
      <c r="I136" s="13" t="str">
        <f>_xll.BDH("SRPT US Equity","ARDR_FV_ASSETS_REC_L1_TRAD_BONDS","FQ2 2020","FQ2 2020","Currency=USD","Period=FQ","BEST_FPERIOD_OVERRIDE=FQ","FILING_STATUS=MR","SCALING_FORMAT=MLN","Sort=A","Dates=H","DateFormat=P","Fill=—","Direction=H","UseDPDF=Y")</f>
        <v>—</v>
      </c>
      <c r="J136" s="13" t="str">
        <f>_xll.BDH("SRPT US Equity","ARDR_FV_ASSETS_REC_L1_TRAD_BONDS","FQ3 2020","FQ3 2020","Currency=USD","Period=FQ","BEST_FPERIOD_OVERRIDE=FQ","FILING_STATUS=MR","SCALING_FORMAT=MLN","Sort=A","Dates=H","DateFormat=P","Fill=—","Direction=H","UseDPDF=Y")</f>
        <v>—</v>
      </c>
      <c r="K136" s="13" t="str">
        <f>_xll.BDH("SRPT US Equity","ARDR_FV_ASSETS_REC_L1_TRAD_BONDS","FQ4 2020","FQ4 2020","Currency=USD","Period=FQ","BEST_FPERIOD_OVERRIDE=FQ","FILING_STATUS=MR","SCALING_FORMAT=MLN","Sort=A","Dates=H","DateFormat=P","Fill=—","Direction=H","UseDPDF=Y")</f>
        <v>—</v>
      </c>
      <c r="L136" s="13" t="str">
        <f>_xll.BDH("SRPT US Equity","ARDR_FV_ASSETS_REC_L1_TRAD_BONDS","FQ1 2021","FQ1 2021","Currency=USD","Period=FQ","BEST_FPERIOD_OVERRIDE=FQ","FILING_STATUS=MR","SCALING_FORMAT=MLN","Sort=A","Dates=H","DateFormat=P","Fill=—","Direction=H","UseDPDF=Y")</f>
        <v>—</v>
      </c>
      <c r="M136" s="13" t="str">
        <f>_xll.BDH("SRPT US Equity","ARDR_FV_ASSETS_REC_L1_TRAD_BONDS","FQ2 2021","FQ2 2021","Currency=USD","Period=FQ","BEST_FPERIOD_OVERRIDE=FQ","FILING_STATUS=MR","SCALING_FORMAT=MLN","Sort=A","Dates=H","DateFormat=P","Fill=—","Direction=H","UseDPDF=Y")</f>
        <v>—</v>
      </c>
      <c r="N136" s="13" t="str">
        <f>_xll.BDH("SRPT US Equity","ARDR_FV_ASSETS_REC_L1_TRAD_BONDS","FQ3 2021","FQ3 2021","Currency=USD","Period=FQ","BEST_FPERIOD_OVERRIDE=FQ","FILING_STATUS=MR","SCALING_FORMAT=MLN","Sort=A","Dates=H","DateFormat=P","Fill=—","Direction=H","UseDPDF=Y")</f>
        <v>—</v>
      </c>
      <c r="O136" s="13" t="str">
        <f>_xll.BDH("SRPT US Equity","ARDR_FV_ASSETS_REC_L1_TRAD_BONDS","FQ4 2021","FQ4 2021","Currency=USD","Period=FQ","BEST_FPERIOD_OVERRIDE=FQ","FILING_STATUS=MR","SCALING_FORMAT=MLN","Sort=A","Dates=H","DateFormat=P","Fill=—","Direction=H","UseDPDF=Y")</f>
        <v>—</v>
      </c>
      <c r="P136" s="13">
        <f>_xll.BDH("SRPT US Equity","ARDR_FV_ASSETS_REC_L1_TRAD_BONDS","FQ1 2022","FQ1 2022","Currency=USD","Period=FQ","BEST_FPERIOD_OVERRIDE=FQ","FILING_STATUS=MR","SCALING_FORMAT=MLN","Sort=A","Dates=H","DateFormat=P","Fill=—","Direction=H","UseDPDF=Y")</f>
        <v>54.856000000000002</v>
      </c>
      <c r="Q136" s="13" t="str">
        <f>_xll.BDH("SRPT US Equity","ARDR_FV_ASSETS_REC_L1_TRAD_BONDS","FQ2 2022","FQ2 2022","Currency=USD","Period=FQ","BEST_FPERIOD_OVERRIDE=FQ","FILING_STATUS=MR","SCALING_FORMAT=MLN","Sort=A","Dates=H","DateFormat=P","Fill=—","Direction=H","UseDPDF=Y")</f>
        <v>—</v>
      </c>
      <c r="R136" s="13">
        <f>_xll.BDH("SRPT US Equity","ARDR_FV_ASSETS_REC_L1_TRAD_BONDS","FQ3 2022","FQ3 2022","Currency=USD","Period=FQ","BEST_FPERIOD_OVERRIDE=FQ","FILING_STATUS=MR","SCALING_FORMAT=MLN","Sort=A","Dates=H","DateFormat=P","Fill=—","Direction=H","UseDPDF=Y")</f>
        <v>0</v>
      </c>
      <c r="S136" s="13">
        <f>_xll.BDH("SRPT US Equity","ARDR_FV_ASSETS_REC_L1_TRAD_BONDS","FQ4 2022","FQ4 2022","Currency=USD","Period=FQ","BEST_FPERIOD_OVERRIDE=FQ","FILING_STATUS=MR","SCALING_FORMAT=MLN","Sort=A","Dates=H","DateFormat=P","Fill=—","Direction=H","UseDPDF=Y")</f>
        <v>0</v>
      </c>
      <c r="T136" s="13">
        <f>_xll.BDH("SRPT US Equity","ARDR_FV_ASSETS_REC_L1_TRAD_BONDS","FQ1 2023","FQ1 2023","Currency=USD","Period=FQ","BEST_FPERIOD_OVERRIDE=FQ","FILING_STATUS=MR","SCALING_FORMAT=MLN","Sort=A","Dates=H","DateFormat=P","Fill=—","Direction=H","UseDPDF=Y")</f>
        <v>0</v>
      </c>
      <c r="U136" s="13">
        <f>_xll.BDH("SRPT US Equity","ARDR_FV_ASSETS_REC_L1_TRAD_BONDS","FQ2 2023","FQ2 2023","Currency=USD","Period=FQ","BEST_FPERIOD_OVERRIDE=FQ","FILING_STATUS=MR","SCALING_FORMAT=MLN","Sort=A","Dates=H","DateFormat=P","Fill=—","Direction=H","UseDPDF=Y")</f>
        <v>0</v>
      </c>
      <c r="V136" s="13">
        <f>_xll.BDH("SRPT US Equity","ARDR_FV_ASSETS_REC_L1_TRAD_BONDS","FQ3 2023","FQ3 2023","Currency=USD","Period=FQ","BEST_FPERIOD_OVERRIDE=FQ","FILING_STATUS=MR","SCALING_FORMAT=MLN","Sort=A","Dates=H","DateFormat=P","Fill=—","Direction=H","UseDPDF=Y")</f>
        <v>0</v>
      </c>
      <c r="W136" s="13">
        <f>_xll.BDH("SRPT US Equity","ARDR_FV_ASSETS_REC_L1_TRAD_BONDS","FQ4 2023","FQ4 2023","Currency=USD","Period=FQ","BEST_FPERIOD_OVERRIDE=FQ","FILING_STATUS=MR","SCALING_FORMAT=MLN","Sort=A","Dates=H","DateFormat=P","Fill=—","Direction=H","UseDPDF=Y")</f>
        <v>0</v>
      </c>
      <c r="X136" s="13">
        <f>_xll.BDH("SRPT US Equity","ARDR_FV_ASSETS_REC_L1_TRAD_BONDS","FQ1 2024","FQ1 2024","Currency=USD","Period=FQ","BEST_FPERIOD_OVERRIDE=FQ","FILING_STATUS=MR","SCALING_FORMAT=MLN","Sort=A","Dates=H","DateFormat=P","Fill=—","Direction=H","UseDPDF=Y")</f>
        <v>0</v>
      </c>
      <c r="Y136" s="13">
        <f>_xll.BDH("SRPT US Equity","ARDR_FV_ASSETS_REC_L1_TRAD_BONDS","FQ2 2024","FQ2 2024","Currency=USD","Period=FQ","BEST_FPERIOD_OVERRIDE=FQ","FILING_STATUS=MR","SCALING_FORMAT=MLN","Sort=A","Dates=H","DateFormat=P","Fill=—","Direction=H","UseDPDF=Y")</f>
        <v>0</v>
      </c>
      <c r="Z136" s="13">
        <f>_xll.BDH("SRPT US Equity","ARDR_FV_ASSETS_REC_L1_TRAD_BONDS","FQ3 2024","FQ3 2024","Currency=USD","Period=FQ","BEST_FPERIOD_OVERRIDE=FQ","FILING_STATUS=MR","SCALING_FORMAT=MLN","Sort=A","Dates=H","DateFormat=P","Fill=—","Direction=H","UseDPDF=Y")</f>
        <v>13.494</v>
      </c>
      <c r="AA136" s="13">
        <f>_xll.BDH("SRPT US Equity","ARDR_FV_ASSETS_REC_L1_TRAD_BONDS","FQ4 2024","FQ4 2024","Currency=USD","Period=FQ","BEST_FPERIOD_OVERRIDE=FQ","FILING_STATUS=MR","SCALING_FORMAT=MLN","Sort=A","Dates=H","DateFormat=P","Fill=—","Direction=H","UseDPDF=Y")</f>
        <v>0</v>
      </c>
    </row>
    <row r="137" spans="1:27" x14ac:dyDescent="0.25">
      <c r="A137" s="10" t="s">
        <v>1073</v>
      </c>
      <c r="B137" s="10" t="s">
        <v>1074</v>
      </c>
      <c r="C137" s="13" t="str">
        <f>_xll.BDH("SRPT US Equity","ARDR_FV_ASTS_REC_L1_TRAD_CDO_CLO","FQ4 2018","FQ4 2018","Currency=USD","Period=FQ","BEST_FPERIOD_OVERRIDE=FQ","FILING_STATUS=MR","SCALING_FORMAT=MLN","Sort=A","Dates=H","DateFormat=P","Fill=—","Direction=H","UseDPDF=Y")</f>
        <v>—</v>
      </c>
      <c r="D137" s="13" t="str">
        <f>_xll.BDH("SRPT US Equity","ARDR_FV_ASTS_REC_L1_TRAD_CDO_CLO","FQ1 2019","FQ1 2019","Currency=USD","Period=FQ","BEST_FPERIOD_OVERRIDE=FQ","FILING_STATUS=MR","SCALING_FORMAT=MLN","Sort=A","Dates=H","DateFormat=P","Fill=—","Direction=H","UseDPDF=Y")</f>
        <v>—</v>
      </c>
      <c r="E137" s="13" t="str">
        <f>_xll.BDH("SRPT US Equity","ARDR_FV_ASTS_REC_L1_TRAD_CDO_CLO","FQ2 2019","FQ2 2019","Currency=USD","Period=FQ","BEST_FPERIOD_OVERRIDE=FQ","FILING_STATUS=MR","SCALING_FORMAT=MLN","Sort=A","Dates=H","DateFormat=P","Fill=—","Direction=H","UseDPDF=Y")</f>
        <v>—</v>
      </c>
      <c r="F137" s="13" t="str">
        <f>_xll.BDH("SRPT US Equity","ARDR_FV_ASTS_REC_L1_TRAD_CDO_CLO","FQ3 2019","FQ3 2019","Currency=USD","Period=FQ","BEST_FPERIOD_OVERRIDE=FQ","FILING_STATUS=MR","SCALING_FORMAT=MLN","Sort=A","Dates=H","DateFormat=P","Fill=—","Direction=H","UseDPDF=Y")</f>
        <v>—</v>
      </c>
      <c r="G137" s="13" t="str">
        <f>_xll.BDH("SRPT US Equity","ARDR_FV_ASTS_REC_L1_TRAD_CDO_CLO","FQ4 2019","FQ4 2019","Currency=USD","Period=FQ","BEST_FPERIOD_OVERRIDE=FQ","FILING_STATUS=MR","SCALING_FORMAT=MLN","Sort=A","Dates=H","DateFormat=P","Fill=—","Direction=H","UseDPDF=Y")</f>
        <v>—</v>
      </c>
      <c r="H137" s="13" t="str">
        <f>_xll.BDH("SRPT US Equity","ARDR_FV_ASTS_REC_L1_TRAD_CDO_CLO","FQ1 2020","FQ1 2020","Currency=USD","Period=FQ","BEST_FPERIOD_OVERRIDE=FQ","FILING_STATUS=MR","SCALING_FORMAT=MLN","Sort=A","Dates=H","DateFormat=P","Fill=—","Direction=H","UseDPDF=Y")</f>
        <v>—</v>
      </c>
      <c r="I137" s="13" t="str">
        <f>_xll.BDH("SRPT US Equity","ARDR_FV_ASTS_REC_L1_TRAD_CDO_CLO","FQ2 2020","FQ2 2020","Currency=USD","Period=FQ","BEST_FPERIOD_OVERRIDE=FQ","FILING_STATUS=MR","SCALING_FORMAT=MLN","Sort=A","Dates=H","DateFormat=P","Fill=—","Direction=H","UseDPDF=Y")</f>
        <v>—</v>
      </c>
      <c r="J137" s="13" t="str">
        <f>_xll.BDH("SRPT US Equity","ARDR_FV_ASTS_REC_L1_TRAD_CDO_CLO","FQ3 2020","FQ3 2020","Currency=USD","Period=FQ","BEST_FPERIOD_OVERRIDE=FQ","FILING_STATUS=MR","SCALING_FORMAT=MLN","Sort=A","Dates=H","DateFormat=P","Fill=—","Direction=H","UseDPDF=Y")</f>
        <v>—</v>
      </c>
      <c r="K137" s="13" t="str">
        <f>_xll.BDH("SRPT US Equity","ARDR_FV_ASTS_REC_L1_TRAD_CDO_CLO","FQ4 2020","FQ4 2020","Currency=USD","Period=FQ","BEST_FPERIOD_OVERRIDE=FQ","FILING_STATUS=MR","SCALING_FORMAT=MLN","Sort=A","Dates=H","DateFormat=P","Fill=—","Direction=H","UseDPDF=Y")</f>
        <v>—</v>
      </c>
      <c r="L137" s="13" t="str">
        <f>_xll.BDH("SRPT US Equity","ARDR_FV_ASTS_REC_L1_TRAD_CDO_CLO","FQ1 2021","FQ1 2021","Currency=USD","Period=FQ","BEST_FPERIOD_OVERRIDE=FQ","FILING_STATUS=MR","SCALING_FORMAT=MLN","Sort=A","Dates=H","DateFormat=P","Fill=—","Direction=H","UseDPDF=Y")</f>
        <v>—</v>
      </c>
      <c r="M137" s="13" t="str">
        <f>_xll.BDH("SRPT US Equity","ARDR_FV_ASTS_REC_L1_TRAD_CDO_CLO","FQ2 2021","FQ2 2021","Currency=USD","Period=FQ","BEST_FPERIOD_OVERRIDE=FQ","FILING_STATUS=MR","SCALING_FORMAT=MLN","Sort=A","Dates=H","DateFormat=P","Fill=—","Direction=H","UseDPDF=Y")</f>
        <v>—</v>
      </c>
      <c r="N137" s="13" t="str">
        <f>_xll.BDH("SRPT US Equity","ARDR_FV_ASTS_REC_L1_TRAD_CDO_CLO","FQ3 2021","FQ3 2021","Currency=USD","Period=FQ","BEST_FPERIOD_OVERRIDE=FQ","FILING_STATUS=MR","SCALING_FORMAT=MLN","Sort=A","Dates=H","DateFormat=P","Fill=—","Direction=H","UseDPDF=Y")</f>
        <v>—</v>
      </c>
      <c r="O137" s="13" t="str">
        <f>_xll.BDH("SRPT US Equity","ARDR_FV_ASTS_REC_L1_TRAD_CDO_CLO","FQ4 2021","FQ4 2021","Currency=USD","Period=FQ","BEST_FPERIOD_OVERRIDE=FQ","FILING_STATUS=MR","SCALING_FORMAT=MLN","Sort=A","Dates=H","DateFormat=P","Fill=—","Direction=H","UseDPDF=Y")</f>
        <v>—</v>
      </c>
      <c r="P137" s="13">
        <f>_xll.BDH("SRPT US Equity","ARDR_FV_ASTS_REC_L1_TRAD_CDO_CLO","FQ1 2022","FQ1 2022","Currency=USD","Period=FQ","BEST_FPERIOD_OVERRIDE=FQ","FILING_STATUS=MR","SCALING_FORMAT=MLN","Sort=A","Dates=H","DateFormat=P","Fill=—","Direction=H","UseDPDF=Y")</f>
        <v>0</v>
      </c>
      <c r="Q137" s="13" t="str">
        <f>_xll.BDH("SRPT US Equity","ARDR_FV_ASTS_REC_L1_TRAD_CDO_CLO","FQ2 2022","FQ2 2022","Currency=USD","Period=FQ","BEST_FPERIOD_OVERRIDE=FQ","FILING_STATUS=MR","SCALING_FORMAT=MLN","Sort=A","Dates=H","DateFormat=P","Fill=—","Direction=H","UseDPDF=Y")</f>
        <v>—</v>
      </c>
      <c r="R137" s="13" t="str">
        <f>_xll.BDH("SRPT US Equity","ARDR_FV_ASTS_REC_L1_TRAD_CDO_CLO","FQ3 2022","FQ3 2022","Currency=USD","Period=FQ","BEST_FPERIOD_OVERRIDE=FQ","FILING_STATUS=MR","SCALING_FORMAT=MLN","Sort=A","Dates=H","DateFormat=P","Fill=—","Direction=H","UseDPDF=Y")</f>
        <v>—</v>
      </c>
      <c r="S137" s="13" t="str">
        <f>_xll.BDH("SRPT US Equity","ARDR_FV_ASTS_REC_L1_TRAD_CDO_CLO","FQ4 2022","FQ4 2022","Currency=USD","Period=FQ","BEST_FPERIOD_OVERRIDE=FQ","FILING_STATUS=MR","SCALING_FORMAT=MLN","Sort=A","Dates=H","DateFormat=P","Fill=—","Direction=H","UseDPDF=Y")</f>
        <v>—</v>
      </c>
      <c r="T137" s="13" t="str">
        <f>_xll.BDH("SRPT US Equity","ARDR_FV_ASTS_REC_L1_TRAD_CDO_CLO","FQ1 2023","FQ1 2023","Currency=USD","Period=FQ","BEST_FPERIOD_OVERRIDE=FQ","FILING_STATUS=MR","SCALING_FORMAT=MLN","Sort=A","Dates=H","DateFormat=P","Fill=—","Direction=H","UseDPDF=Y")</f>
        <v>—</v>
      </c>
      <c r="U137" s="13">
        <f>_xll.BDH("SRPT US Equity","ARDR_FV_ASTS_REC_L1_TRAD_CDO_CLO","FQ2 2023","FQ2 2023","Currency=USD","Period=FQ","BEST_FPERIOD_OVERRIDE=FQ","FILING_STATUS=MR","SCALING_FORMAT=MLN","Sort=A","Dates=H","DateFormat=P","Fill=—","Direction=H","UseDPDF=Y")</f>
        <v>0</v>
      </c>
      <c r="V137" s="13">
        <f>_xll.BDH("SRPT US Equity","ARDR_FV_ASTS_REC_L1_TRAD_CDO_CLO","FQ3 2023","FQ3 2023","Currency=USD","Period=FQ","BEST_FPERIOD_OVERRIDE=FQ","FILING_STATUS=MR","SCALING_FORMAT=MLN","Sort=A","Dates=H","DateFormat=P","Fill=—","Direction=H","UseDPDF=Y")</f>
        <v>0</v>
      </c>
      <c r="W137" s="13" t="str">
        <f>_xll.BDH("SRPT US Equity","ARDR_FV_ASTS_REC_L1_TRAD_CDO_CLO","FQ4 2023","FQ4 2023","Currency=USD","Period=FQ","BEST_FPERIOD_OVERRIDE=FQ","FILING_STATUS=MR","SCALING_FORMAT=MLN","Sort=A","Dates=H","DateFormat=P","Fill=—","Direction=H","UseDPDF=Y")</f>
        <v>—</v>
      </c>
      <c r="X137" s="13" t="str">
        <f>_xll.BDH("SRPT US Equity","ARDR_FV_ASTS_REC_L1_TRAD_CDO_CLO","FQ1 2024","FQ1 2024","Currency=USD","Period=FQ","BEST_FPERIOD_OVERRIDE=FQ","FILING_STATUS=MR","SCALING_FORMAT=MLN","Sort=A","Dates=H","DateFormat=P","Fill=—","Direction=H","UseDPDF=Y")</f>
        <v>—</v>
      </c>
      <c r="Y137" s="13" t="str">
        <f>_xll.BDH("SRPT US Equity","ARDR_FV_ASTS_REC_L1_TRAD_CDO_CLO","FQ2 2024","FQ2 2024","Currency=USD","Period=FQ","BEST_FPERIOD_OVERRIDE=FQ","FILING_STATUS=MR","SCALING_FORMAT=MLN","Sort=A","Dates=H","DateFormat=P","Fill=—","Direction=H","UseDPDF=Y")</f>
        <v>—</v>
      </c>
      <c r="Z137" s="13" t="str">
        <f>_xll.BDH("SRPT US Equity","ARDR_FV_ASTS_REC_L1_TRAD_CDO_CLO","FQ3 2024","FQ3 2024","Currency=USD","Period=FQ","BEST_FPERIOD_OVERRIDE=FQ","FILING_STATUS=MR","SCALING_FORMAT=MLN","Sort=A","Dates=H","DateFormat=P","Fill=—","Direction=H","UseDPDF=Y")</f>
        <v>—</v>
      </c>
      <c r="AA137" s="13" t="str">
        <f>_xll.BDH("SRPT US Equity","ARDR_FV_ASTS_REC_L1_TRAD_CDO_CLO","FQ4 2024","FQ4 2024","Currency=USD","Period=FQ","BEST_FPERIOD_OVERRIDE=FQ","FILING_STATUS=MR","SCALING_FORMAT=MLN","Sort=A","Dates=H","DateFormat=P","Fill=—","Direction=H","UseDPDF=Y")</f>
        <v>—</v>
      </c>
    </row>
    <row r="138" spans="1:27" x14ac:dyDescent="0.25">
      <c r="A138" s="10" t="s">
        <v>1075</v>
      </c>
      <c r="B138" s="10" t="s">
        <v>1076</v>
      </c>
      <c r="C138" s="13" t="str">
        <f>_xll.BDH("SRPT US Equity","ARDR_FV_ASSETS_REC_L1_TRAD_OTHER","FQ4 2018","FQ4 2018","Currency=USD","Period=FQ","BEST_FPERIOD_OVERRIDE=FQ","FILING_STATUS=MR","SCALING_FORMAT=MLN","Sort=A","Dates=H","DateFormat=P","Fill=—","Direction=H","UseDPDF=Y")</f>
        <v>—</v>
      </c>
      <c r="D138" s="13" t="str">
        <f>_xll.BDH("SRPT US Equity","ARDR_FV_ASSETS_REC_L1_TRAD_OTHER","FQ1 2019","FQ1 2019","Currency=USD","Period=FQ","BEST_FPERIOD_OVERRIDE=FQ","FILING_STATUS=MR","SCALING_FORMAT=MLN","Sort=A","Dates=H","DateFormat=P","Fill=—","Direction=H","UseDPDF=Y")</f>
        <v>—</v>
      </c>
      <c r="E138" s="13" t="str">
        <f>_xll.BDH("SRPT US Equity","ARDR_FV_ASSETS_REC_L1_TRAD_OTHER","FQ2 2019","FQ2 2019","Currency=USD","Period=FQ","BEST_FPERIOD_OVERRIDE=FQ","FILING_STATUS=MR","SCALING_FORMAT=MLN","Sort=A","Dates=H","DateFormat=P","Fill=—","Direction=H","UseDPDF=Y")</f>
        <v>—</v>
      </c>
      <c r="F138" s="13" t="str">
        <f>_xll.BDH("SRPT US Equity","ARDR_FV_ASSETS_REC_L1_TRAD_OTHER","FQ3 2019","FQ3 2019","Currency=USD","Period=FQ","BEST_FPERIOD_OVERRIDE=FQ","FILING_STATUS=MR","SCALING_FORMAT=MLN","Sort=A","Dates=H","DateFormat=P","Fill=—","Direction=H","UseDPDF=Y")</f>
        <v>—</v>
      </c>
      <c r="G138" s="13" t="str">
        <f>_xll.BDH("SRPT US Equity","ARDR_FV_ASSETS_REC_L1_TRAD_OTHER","FQ4 2019","FQ4 2019","Currency=USD","Period=FQ","BEST_FPERIOD_OVERRIDE=FQ","FILING_STATUS=MR","SCALING_FORMAT=MLN","Sort=A","Dates=H","DateFormat=P","Fill=—","Direction=H","UseDPDF=Y")</f>
        <v>—</v>
      </c>
      <c r="H138" s="13" t="str">
        <f>_xll.BDH("SRPT US Equity","ARDR_FV_ASSETS_REC_L1_TRAD_OTHER","FQ1 2020","FQ1 2020","Currency=USD","Period=FQ","BEST_FPERIOD_OVERRIDE=FQ","FILING_STATUS=MR","SCALING_FORMAT=MLN","Sort=A","Dates=H","DateFormat=P","Fill=—","Direction=H","UseDPDF=Y")</f>
        <v>—</v>
      </c>
      <c r="I138" s="13" t="str">
        <f>_xll.BDH("SRPT US Equity","ARDR_FV_ASSETS_REC_L1_TRAD_OTHER","FQ2 2020","FQ2 2020","Currency=USD","Period=FQ","BEST_FPERIOD_OVERRIDE=FQ","FILING_STATUS=MR","SCALING_FORMAT=MLN","Sort=A","Dates=H","DateFormat=P","Fill=—","Direction=H","UseDPDF=Y")</f>
        <v>—</v>
      </c>
      <c r="J138" s="13" t="str">
        <f>_xll.BDH("SRPT US Equity","ARDR_FV_ASSETS_REC_L1_TRAD_OTHER","FQ3 2020","FQ3 2020","Currency=USD","Period=FQ","BEST_FPERIOD_OVERRIDE=FQ","FILING_STATUS=MR","SCALING_FORMAT=MLN","Sort=A","Dates=H","DateFormat=P","Fill=—","Direction=H","UseDPDF=Y")</f>
        <v>—</v>
      </c>
      <c r="K138" s="13" t="str">
        <f>_xll.BDH("SRPT US Equity","ARDR_FV_ASSETS_REC_L1_TRAD_OTHER","FQ4 2020","FQ4 2020","Currency=USD","Period=FQ","BEST_FPERIOD_OVERRIDE=FQ","FILING_STATUS=MR","SCALING_FORMAT=MLN","Sort=A","Dates=H","DateFormat=P","Fill=—","Direction=H","UseDPDF=Y")</f>
        <v>—</v>
      </c>
      <c r="L138" s="13" t="str">
        <f>_xll.BDH("SRPT US Equity","ARDR_FV_ASSETS_REC_L1_TRAD_OTHER","FQ1 2021","FQ1 2021","Currency=USD","Period=FQ","BEST_FPERIOD_OVERRIDE=FQ","FILING_STATUS=MR","SCALING_FORMAT=MLN","Sort=A","Dates=H","DateFormat=P","Fill=—","Direction=H","UseDPDF=Y")</f>
        <v>—</v>
      </c>
      <c r="M138" s="13" t="str">
        <f>_xll.BDH("SRPT US Equity","ARDR_FV_ASSETS_REC_L1_TRAD_OTHER","FQ2 2021","FQ2 2021","Currency=USD","Period=FQ","BEST_FPERIOD_OVERRIDE=FQ","FILING_STATUS=MR","SCALING_FORMAT=MLN","Sort=A","Dates=H","DateFormat=P","Fill=—","Direction=H","UseDPDF=Y")</f>
        <v>—</v>
      </c>
      <c r="N138" s="13" t="str">
        <f>_xll.BDH("SRPT US Equity","ARDR_FV_ASSETS_REC_L1_TRAD_OTHER","FQ3 2021","FQ3 2021","Currency=USD","Period=FQ","BEST_FPERIOD_OVERRIDE=FQ","FILING_STATUS=MR","SCALING_FORMAT=MLN","Sort=A","Dates=H","DateFormat=P","Fill=—","Direction=H","UseDPDF=Y")</f>
        <v>—</v>
      </c>
      <c r="O138" s="13" t="str">
        <f>_xll.BDH("SRPT US Equity","ARDR_FV_ASSETS_REC_L1_TRAD_OTHER","FQ4 2021","FQ4 2021","Currency=USD","Period=FQ","BEST_FPERIOD_OVERRIDE=FQ","FILING_STATUS=MR","SCALING_FORMAT=MLN","Sort=A","Dates=H","DateFormat=P","Fill=—","Direction=H","UseDPDF=Y")</f>
        <v>—</v>
      </c>
      <c r="P138" s="13">
        <f>_xll.BDH("SRPT US Equity","ARDR_FV_ASSETS_REC_L1_TRAD_OTHER","FQ1 2022","FQ1 2022","Currency=USD","Period=FQ","BEST_FPERIOD_OVERRIDE=FQ","FILING_STATUS=MR","SCALING_FORMAT=MLN","Sort=A","Dates=H","DateFormat=P","Fill=—","Direction=H","UseDPDF=Y")</f>
        <v>0.98199999999999998</v>
      </c>
      <c r="Q138" s="13" t="str">
        <f>_xll.BDH("SRPT US Equity","ARDR_FV_ASSETS_REC_L1_TRAD_OTHER","FQ2 2022","FQ2 2022","Currency=USD","Period=FQ","BEST_FPERIOD_OVERRIDE=FQ","FILING_STATUS=MR","SCALING_FORMAT=MLN","Sort=A","Dates=H","DateFormat=P","Fill=—","Direction=H","UseDPDF=Y")</f>
        <v>—</v>
      </c>
      <c r="R138" s="13">
        <f>_xll.BDH("SRPT US Equity","ARDR_FV_ASSETS_REC_L1_TRAD_OTHER","FQ3 2022","FQ3 2022","Currency=USD","Period=FQ","BEST_FPERIOD_OVERRIDE=FQ","FILING_STATUS=MR","SCALING_FORMAT=MLN","Sort=A","Dates=H","DateFormat=P","Fill=—","Direction=H","UseDPDF=Y")</f>
        <v>0.66900000000000004</v>
      </c>
      <c r="S138" s="13">
        <f>_xll.BDH("SRPT US Equity","ARDR_FV_ASSETS_REC_L1_TRAD_OTHER","FQ4 2022","FQ4 2022","Currency=USD","Period=FQ","BEST_FPERIOD_OVERRIDE=FQ","FILING_STATUS=MR","SCALING_FORMAT=MLN","Sort=A","Dates=H","DateFormat=P","Fill=—","Direction=H","UseDPDF=Y")</f>
        <v>0</v>
      </c>
      <c r="T138" s="13">
        <f>_xll.BDH("SRPT US Equity","ARDR_FV_ASSETS_REC_L1_TRAD_OTHER","FQ1 2023","FQ1 2023","Currency=USD","Period=FQ","BEST_FPERIOD_OVERRIDE=FQ","FILING_STATUS=MR","SCALING_FORMAT=MLN","Sort=A","Dates=H","DateFormat=P","Fill=—","Direction=H","UseDPDF=Y")</f>
        <v>0</v>
      </c>
      <c r="U138" s="13">
        <f>_xll.BDH("SRPT US Equity","ARDR_FV_ASSETS_REC_L1_TRAD_OTHER","FQ2 2023","FQ2 2023","Currency=USD","Period=FQ","BEST_FPERIOD_OVERRIDE=FQ","FILING_STATUS=MR","SCALING_FORMAT=MLN","Sort=A","Dates=H","DateFormat=P","Fill=—","Direction=H","UseDPDF=Y")</f>
        <v>0</v>
      </c>
      <c r="V138" s="13">
        <f>_xll.BDH("SRPT US Equity","ARDR_FV_ASSETS_REC_L1_TRAD_OTHER","FQ3 2023","FQ3 2023","Currency=USD","Period=FQ","BEST_FPERIOD_OVERRIDE=FQ","FILING_STATUS=MR","SCALING_FORMAT=MLN","Sort=A","Dates=H","DateFormat=P","Fill=—","Direction=H","UseDPDF=Y")</f>
        <v>0</v>
      </c>
      <c r="W138" s="13">
        <f>_xll.BDH("SRPT US Equity","ARDR_FV_ASSETS_REC_L1_TRAD_OTHER","FQ4 2023","FQ4 2023","Currency=USD","Period=FQ","BEST_FPERIOD_OVERRIDE=FQ","FILING_STATUS=MR","SCALING_FORMAT=MLN","Sort=A","Dates=H","DateFormat=P","Fill=—","Direction=H","UseDPDF=Y")</f>
        <v>0</v>
      </c>
      <c r="X138" s="13">
        <f>_xll.BDH("SRPT US Equity","ARDR_FV_ASSETS_REC_L1_TRAD_OTHER","FQ1 2024","FQ1 2024","Currency=USD","Period=FQ","BEST_FPERIOD_OVERRIDE=FQ","FILING_STATUS=MR","SCALING_FORMAT=MLN","Sort=A","Dates=H","DateFormat=P","Fill=—","Direction=H","UseDPDF=Y")</f>
        <v>6.4569999999999999</v>
      </c>
      <c r="Y138" s="13">
        <f>_xll.BDH("SRPT US Equity","ARDR_FV_ASSETS_REC_L1_TRAD_OTHER","FQ2 2024","FQ2 2024","Currency=USD","Period=FQ","BEST_FPERIOD_OVERRIDE=FQ","FILING_STATUS=MR","SCALING_FORMAT=MLN","Sort=A","Dates=H","DateFormat=P","Fill=—","Direction=H","UseDPDF=Y")</f>
        <v>6.6059999999999999</v>
      </c>
      <c r="Z138" s="13">
        <f>_xll.BDH("SRPT US Equity","ARDR_FV_ASSETS_REC_L1_TRAD_OTHER","FQ3 2024","FQ3 2024","Currency=USD","Period=FQ","BEST_FPERIOD_OVERRIDE=FQ","FILING_STATUS=MR","SCALING_FORMAT=MLN","Sort=A","Dates=H","DateFormat=P","Fill=—","Direction=H","UseDPDF=Y")</f>
        <v>3.7229999999999999</v>
      </c>
      <c r="AA138" s="13">
        <f>_xll.BDH("SRPT US Equity","ARDR_FV_ASSETS_REC_L1_TRAD_OTHER","FQ4 2024","FQ4 2024","Currency=USD","Period=FQ","BEST_FPERIOD_OVERRIDE=FQ","FILING_STATUS=MR","SCALING_FORMAT=MLN","Sort=A","Dates=H","DateFormat=P","Fill=—","Direction=H","UseDPDF=Y")</f>
        <v>0</v>
      </c>
    </row>
    <row r="139" spans="1:27" x14ac:dyDescent="0.25">
      <c r="A139" s="10" t="s">
        <v>1077</v>
      </c>
      <c r="B139" s="10" t="s">
        <v>1078</v>
      </c>
      <c r="C139" s="13" t="str">
        <f>_xll.BDH("SRPT US Equity","ARDR_FV_ASTS_REC_L1_AFS_CORP_BDS","FQ4 2018","FQ4 2018","Currency=USD","Period=FQ","BEST_FPERIOD_OVERRIDE=FQ","FILING_STATUS=MR","SCALING_FORMAT=MLN","Sort=A","Dates=H","DateFormat=P","Fill=—","Direction=H","UseDPDF=Y")</f>
        <v>—</v>
      </c>
      <c r="D139" s="13">
        <f>_xll.BDH("SRPT US Equity","ARDR_FV_ASTS_REC_L1_AFS_CORP_BDS","FQ1 2019","FQ1 2019","Currency=USD","Period=FQ","BEST_FPERIOD_OVERRIDE=FQ","FILING_STATUS=MR","SCALING_FORMAT=MLN","Sort=A","Dates=H","DateFormat=P","Fill=—","Direction=H","UseDPDF=Y")</f>
        <v>33.582000000000001</v>
      </c>
      <c r="E139" s="13">
        <f>_xll.BDH("SRPT US Equity","ARDR_FV_ASTS_REC_L1_AFS_CORP_BDS","FQ2 2019","FQ2 2019","Currency=USD","Period=FQ","BEST_FPERIOD_OVERRIDE=FQ","FILING_STATUS=MR","SCALING_FORMAT=MLN","Sort=A","Dates=H","DateFormat=P","Fill=—","Direction=H","UseDPDF=Y")</f>
        <v>19.981999999999999</v>
      </c>
      <c r="F139" s="13">
        <f>_xll.BDH("SRPT US Equity","ARDR_FV_ASTS_REC_L1_AFS_CORP_BDS","FQ3 2019","FQ3 2019","Currency=USD","Period=FQ","BEST_FPERIOD_OVERRIDE=FQ","FILING_STATUS=MR","SCALING_FORMAT=MLN","Sort=A","Dates=H","DateFormat=P","Fill=—","Direction=H","UseDPDF=Y")</f>
        <v>725.82</v>
      </c>
      <c r="G139" s="13">
        <f>_xll.BDH("SRPT US Equity","ARDR_FV_ASTS_REC_L1_AFS_CORP_BDS","FQ4 2019","FQ4 2019","Currency=USD","Period=FQ","BEST_FPERIOD_OVERRIDE=FQ","FILING_STATUS=MR","SCALING_FORMAT=MLN","Sort=A","Dates=H","DateFormat=P","Fill=—","Direction=H","UseDPDF=Y")</f>
        <v>809.15899999999999</v>
      </c>
      <c r="H139" s="13" t="str">
        <f>_xll.BDH("SRPT US Equity","ARDR_FV_ASTS_REC_L1_AFS_CORP_BDS","FQ1 2020","FQ1 2020","Currency=USD","Period=FQ","BEST_FPERIOD_OVERRIDE=FQ","FILING_STATUS=MR","SCALING_FORMAT=MLN","Sort=A","Dates=H","DateFormat=P","Fill=—","Direction=H","UseDPDF=Y")</f>
        <v>—</v>
      </c>
      <c r="I139" s="13" t="str">
        <f>_xll.BDH("SRPT US Equity","ARDR_FV_ASTS_REC_L1_AFS_CORP_BDS","FQ2 2020","FQ2 2020","Currency=USD","Period=FQ","BEST_FPERIOD_OVERRIDE=FQ","FILING_STATUS=MR","SCALING_FORMAT=MLN","Sort=A","Dates=H","DateFormat=P","Fill=—","Direction=H","UseDPDF=Y")</f>
        <v>—</v>
      </c>
      <c r="J139" s="13" t="str">
        <f>_xll.BDH("SRPT US Equity","ARDR_FV_ASTS_REC_L1_AFS_CORP_BDS","FQ3 2020","FQ3 2020","Currency=USD","Period=FQ","BEST_FPERIOD_OVERRIDE=FQ","FILING_STATUS=MR","SCALING_FORMAT=MLN","Sort=A","Dates=H","DateFormat=P","Fill=—","Direction=H","UseDPDF=Y")</f>
        <v>—</v>
      </c>
      <c r="K139" s="13" t="str">
        <f>_xll.BDH("SRPT US Equity","ARDR_FV_ASTS_REC_L1_AFS_CORP_BDS","FQ4 2020","FQ4 2020","Currency=USD","Period=FQ","BEST_FPERIOD_OVERRIDE=FQ","FILING_STATUS=MR","SCALING_FORMAT=MLN","Sort=A","Dates=H","DateFormat=P","Fill=—","Direction=H","UseDPDF=Y")</f>
        <v>—</v>
      </c>
      <c r="L139" s="13" t="str">
        <f>_xll.BDH("SRPT US Equity","ARDR_FV_ASTS_REC_L1_AFS_CORP_BDS","FQ1 2021","FQ1 2021","Currency=USD","Period=FQ","BEST_FPERIOD_OVERRIDE=FQ","FILING_STATUS=MR","SCALING_FORMAT=MLN","Sort=A","Dates=H","DateFormat=P","Fill=—","Direction=H","UseDPDF=Y")</f>
        <v>—</v>
      </c>
      <c r="M139" s="13" t="str">
        <f>_xll.BDH("SRPT US Equity","ARDR_FV_ASTS_REC_L1_AFS_CORP_BDS","FQ2 2021","FQ2 2021","Currency=USD","Period=FQ","BEST_FPERIOD_OVERRIDE=FQ","FILING_STATUS=MR","SCALING_FORMAT=MLN","Sort=A","Dates=H","DateFormat=P","Fill=—","Direction=H","UseDPDF=Y")</f>
        <v>—</v>
      </c>
      <c r="N139" s="13" t="str">
        <f>_xll.BDH("SRPT US Equity","ARDR_FV_ASTS_REC_L1_AFS_CORP_BDS","FQ3 2021","FQ3 2021","Currency=USD","Period=FQ","BEST_FPERIOD_OVERRIDE=FQ","FILING_STATUS=MR","SCALING_FORMAT=MLN","Sort=A","Dates=H","DateFormat=P","Fill=—","Direction=H","UseDPDF=Y")</f>
        <v>—</v>
      </c>
      <c r="O139" s="13" t="str">
        <f>_xll.BDH("SRPT US Equity","ARDR_FV_ASTS_REC_L1_AFS_CORP_BDS","FQ4 2021","FQ4 2021","Currency=USD","Period=FQ","BEST_FPERIOD_OVERRIDE=FQ","FILING_STATUS=MR","SCALING_FORMAT=MLN","Sort=A","Dates=H","DateFormat=P","Fill=—","Direction=H","UseDPDF=Y")</f>
        <v>—</v>
      </c>
      <c r="P139" s="13" t="str">
        <f>_xll.BDH("SRPT US Equity","ARDR_FV_ASTS_REC_L1_AFS_CORP_BDS","FQ1 2022","FQ1 2022","Currency=USD","Period=FQ","BEST_FPERIOD_OVERRIDE=FQ","FILING_STATUS=MR","SCALING_FORMAT=MLN","Sort=A","Dates=H","DateFormat=P","Fill=—","Direction=H","UseDPDF=Y")</f>
        <v>—</v>
      </c>
      <c r="Q139" s="13" t="str">
        <f>_xll.BDH("SRPT US Equity","ARDR_FV_ASTS_REC_L1_AFS_CORP_BDS","FQ2 2022","FQ2 2022","Currency=USD","Period=FQ","BEST_FPERIOD_OVERRIDE=FQ","FILING_STATUS=MR","SCALING_FORMAT=MLN","Sort=A","Dates=H","DateFormat=P","Fill=—","Direction=H","UseDPDF=Y")</f>
        <v>—</v>
      </c>
      <c r="R139" s="13" t="str">
        <f>_xll.BDH("SRPT US Equity","ARDR_FV_ASTS_REC_L1_AFS_CORP_BDS","FQ3 2022","FQ3 2022","Currency=USD","Period=FQ","BEST_FPERIOD_OVERRIDE=FQ","FILING_STATUS=MR","SCALING_FORMAT=MLN","Sort=A","Dates=H","DateFormat=P","Fill=—","Direction=H","UseDPDF=Y")</f>
        <v>—</v>
      </c>
      <c r="S139" s="13" t="str">
        <f>_xll.BDH("SRPT US Equity","ARDR_FV_ASTS_REC_L1_AFS_CORP_BDS","FQ4 2022","FQ4 2022","Currency=USD","Period=FQ","BEST_FPERIOD_OVERRIDE=FQ","FILING_STATUS=MR","SCALING_FORMAT=MLN","Sort=A","Dates=H","DateFormat=P","Fill=—","Direction=H","UseDPDF=Y")</f>
        <v>—</v>
      </c>
      <c r="T139" s="13" t="str">
        <f>_xll.BDH("SRPT US Equity","ARDR_FV_ASTS_REC_L1_AFS_CORP_BDS","FQ1 2023","FQ1 2023","Currency=USD","Period=FQ","BEST_FPERIOD_OVERRIDE=FQ","FILING_STATUS=MR","SCALING_FORMAT=MLN","Sort=A","Dates=H","DateFormat=P","Fill=—","Direction=H","UseDPDF=Y")</f>
        <v>—</v>
      </c>
      <c r="U139" s="13" t="str">
        <f>_xll.BDH("SRPT US Equity","ARDR_FV_ASTS_REC_L1_AFS_CORP_BDS","FQ2 2023","FQ2 2023","Currency=USD","Period=FQ","BEST_FPERIOD_OVERRIDE=FQ","FILING_STATUS=MR","SCALING_FORMAT=MLN","Sort=A","Dates=H","DateFormat=P","Fill=—","Direction=H","UseDPDF=Y")</f>
        <v>—</v>
      </c>
      <c r="V139" s="13" t="str">
        <f>_xll.BDH("SRPT US Equity","ARDR_FV_ASTS_REC_L1_AFS_CORP_BDS","FQ3 2023","FQ3 2023","Currency=USD","Period=FQ","BEST_FPERIOD_OVERRIDE=FQ","FILING_STATUS=MR","SCALING_FORMAT=MLN","Sort=A","Dates=H","DateFormat=P","Fill=—","Direction=H","UseDPDF=Y")</f>
        <v>—</v>
      </c>
      <c r="W139" s="13" t="str">
        <f>_xll.BDH("SRPT US Equity","ARDR_FV_ASTS_REC_L1_AFS_CORP_BDS","FQ4 2023","FQ4 2023","Currency=USD","Period=FQ","BEST_FPERIOD_OVERRIDE=FQ","FILING_STATUS=MR","SCALING_FORMAT=MLN","Sort=A","Dates=H","DateFormat=P","Fill=—","Direction=H","UseDPDF=Y")</f>
        <v>—</v>
      </c>
      <c r="X139" s="13" t="str">
        <f>_xll.BDH("SRPT US Equity","ARDR_FV_ASTS_REC_L1_AFS_CORP_BDS","FQ1 2024","FQ1 2024","Currency=USD","Period=FQ","BEST_FPERIOD_OVERRIDE=FQ","FILING_STATUS=MR","SCALING_FORMAT=MLN","Sort=A","Dates=H","DateFormat=P","Fill=—","Direction=H","UseDPDF=Y")</f>
        <v>—</v>
      </c>
      <c r="Y139" s="13" t="str">
        <f>_xll.BDH("SRPT US Equity","ARDR_FV_ASTS_REC_L1_AFS_CORP_BDS","FQ2 2024","FQ2 2024","Currency=USD","Period=FQ","BEST_FPERIOD_OVERRIDE=FQ","FILING_STATUS=MR","SCALING_FORMAT=MLN","Sort=A","Dates=H","DateFormat=P","Fill=—","Direction=H","UseDPDF=Y")</f>
        <v>—</v>
      </c>
      <c r="Z139" s="13" t="str">
        <f>_xll.BDH("SRPT US Equity","ARDR_FV_ASTS_REC_L1_AFS_CORP_BDS","FQ3 2024","FQ3 2024","Currency=USD","Period=FQ","BEST_FPERIOD_OVERRIDE=FQ","FILING_STATUS=MR","SCALING_FORMAT=MLN","Sort=A","Dates=H","DateFormat=P","Fill=—","Direction=H","UseDPDF=Y")</f>
        <v>—</v>
      </c>
      <c r="AA139" s="13" t="str">
        <f>_xll.BDH("SRPT US Equity","ARDR_FV_ASTS_REC_L1_AFS_CORP_BDS","FQ4 2024","FQ4 2024","Currency=USD","Period=FQ","BEST_FPERIOD_OVERRIDE=FQ","FILING_STATUS=MR","SCALING_FORMAT=MLN","Sort=A","Dates=H","DateFormat=P","Fill=—","Direction=H","UseDPDF=Y")</f>
        <v>—</v>
      </c>
    </row>
    <row r="140" spans="1:27" x14ac:dyDescent="0.25">
      <c r="A140" s="10" t="s">
        <v>1079</v>
      </c>
      <c r="B140" s="10" t="s">
        <v>1080</v>
      </c>
      <c r="C140" s="13" t="str">
        <f>_xll.BDH("SRPT US Equity","ARDR_FV_ASTS_REC_L1_DERIVATIVES","FQ4 2018","FQ4 2018","Currency=USD","Period=FQ","BEST_FPERIOD_OVERRIDE=FQ","FILING_STATUS=MR","SCALING_FORMAT=MLN","Sort=A","Dates=H","DateFormat=P","Fill=—","Direction=H","UseDPDF=Y")</f>
        <v>—</v>
      </c>
      <c r="D140" s="13" t="str">
        <f>_xll.BDH("SRPT US Equity","ARDR_FV_ASTS_REC_L1_DERIVATIVES","FQ1 2019","FQ1 2019","Currency=USD","Period=FQ","BEST_FPERIOD_OVERRIDE=FQ","FILING_STATUS=MR","SCALING_FORMAT=MLN","Sort=A","Dates=H","DateFormat=P","Fill=—","Direction=H","UseDPDF=Y")</f>
        <v>—</v>
      </c>
      <c r="E140" s="13" t="str">
        <f>_xll.BDH("SRPT US Equity","ARDR_FV_ASTS_REC_L1_DERIVATIVES","FQ2 2019","FQ2 2019","Currency=USD","Period=FQ","BEST_FPERIOD_OVERRIDE=FQ","FILING_STATUS=MR","SCALING_FORMAT=MLN","Sort=A","Dates=H","DateFormat=P","Fill=—","Direction=H","UseDPDF=Y")</f>
        <v>—</v>
      </c>
      <c r="F140" s="13" t="str">
        <f>_xll.BDH("SRPT US Equity","ARDR_FV_ASTS_REC_L1_DERIVATIVES","FQ3 2019","FQ3 2019","Currency=USD","Period=FQ","BEST_FPERIOD_OVERRIDE=FQ","FILING_STATUS=MR","SCALING_FORMAT=MLN","Sort=A","Dates=H","DateFormat=P","Fill=—","Direction=H","UseDPDF=Y")</f>
        <v>—</v>
      </c>
      <c r="G140" s="13" t="str">
        <f>_xll.BDH("SRPT US Equity","ARDR_FV_ASTS_REC_L1_DERIVATIVES","FQ4 2019","FQ4 2019","Currency=USD","Period=FQ","BEST_FPERIOD_OVERRIDE=FQ","FILING_STATUS=MR","SCALING_FORMAT=MLN","Sort=A","Dates=H","DateFormat=P","Fill=—","Direction=H","UseDPDF=Y")</f>
        <v>—</v>
      </c>
      <c r="H140" s="13" t="str">
        <f>_xll.BDH("SRPT US Equity","ARDR_FV_ASTS_REC_L1_DERIVATIVES","FQ1 2020","FQ1 2020","Currency=USD","Period=FQ","BEST_FPERIOD_OVERRIDE=FQ","FILING_STATUS=MR","SCALING_FORMAT=MLN","Sort=A","Dates=H","DateFormat=P","Fill=—","Direction=H","UseDPDF=Y")</f>
        <v>—</v>
      </c>
      <c r="I140" s="13" t="str">
        <f>_xll.BDH("SRPT US Equity","ARDR_FV_ASTS_REC_L1_DERIVATIVES","FQ2 2020","FQ2 2020","Currency=USD","Period=FQ","BEST_FPERIOD_OVERRIDE=FQ","FILING_STATUS=MR","SCALING_FORMAT=MLN","Sort=A","Dates=H","DateFormat=P","Fill=—","Direction=H","UseDPDF=Y")</f>
        <v>—</v>
      </c>
      <c r="J140" s="13" t="str">
        <f>_xll.BDH("SRPT US Equity","ARDR_FV_ASTS_REC_L1_DERIVATIVES","FQ3 2020","FQ3 2020","Currency=USD","Period=FQ","BEST_FPERIOD_OVERRIDE=FQ","FILING_STATUS=MR","SCALING_FORMAT=MLN","Sort=A","Dates=H","DateFormat=P","Fill=—","Direction=H","UseDPDF=Y")</f>
        <v>—</v>
      </c>
      <c r="K140" s="13" t="str">
        <f>_xll.BDH("SRPT US Equity","ARDR_FV_ASTS_REC_L1_DERIVATIVES","FQ4 2020","FQ4 2020","Currency=USD","Period=FQ","BEST_FPERIOD_OVERRIDE=FQ","FILING_STATUS=MR","SCALING_FORMAT=MLN","Sort=A","Dates=H","DateFormat=P","Fill=—","Direction=H","UseDPDF=Y")</f>
        <v>—</v>
      </c>
      <c r="L140" s="13" t="str">
        <f>_xll.BDH("SRPT US Equity","ARDR_FV_ASTS_REC_L1_DERIVATIVES","FQ1 2021","FQ1 2021","Currency=USD","Period=FQ","BEST_FPERIOD_OVERRIDE=FQ","FILING_STATUS=MR","SCALING_FORMAT=MLN","Sort=A","Dates=H","DateFormat=P","Fill=—","Direction=H","UseDPDF=Y")</f>
        <v>—</v>
      </c>
      <c r="M140" s="13" t="str">
        <f>_xll.BDH("SRPT US Equity","ARDR_FV_ASTS_REC_L1_DERIVATIVES","FQ2 2021","FQ2 2021","Currency=USD","Period=FQ","BEST_FPERIOD_OVERRIDE=FQ","FILING_STATUS=MR","SCALING_FORMAT=MLN","Sort=A","Dates=H","DateFormat=P","Fill=—","Direction=H","UseDPDF=Y")</f>
        <v>—</v>
      </c>
      <c r="N140" s="13" t="str">
        <f>_xll.BDH("SRPT US Equity","ARDR_FV_ASTS_REC_L1_DERIVATIVES","FQ3 2021","FQ3 2021","Currency=USD","Period=FQ","BEST_FPERIOD_OVERRIDE=FQ","FILING_STATUS=MR","SCALING_FORMAT=MLN","Sort=A","Dates=H","DateFormat=P","Fill=—","Direction=H","UseDPDF=Y")</f>
        <v>—</v>
      </c>
      <c r="O140" s="13" t="str">
        <f>_xll.BDH("SRPT US Equity","ARDR_FV_ASTS_REC_L1_DERIVATIVES","FQ4 2021","FQ4 2021","Currency=USD","Period=FQ","BEST_FPERIOD_OVERRIDE=FQ","FILING_STATUS=MR","SCALING_FORMAT=MLN","Sort=A","Dates=H","DateFormat=P","Fill=—","Direction=H","UseDPDF=Y")</f>
        <v>—</v>
      </c>
      <c r="P140" s="13" t="str">
        <f>_xll.BDH("SRPT US Equity","ARDR_FV_ASTS_REC_L1_DERIVATIVES","FQ1 2022","FQ1 2022","Currency=USD","Period=FQ","BEST_FPERIOD_OVERRIDE=FQ","FILING_STATUS=MR","SCALING_FORMAT=MLN","Sort=A","Dates=H","DateFormat=P","Fill=—","Direction=H","UseDPDF=Y")</f>
        <v>—</v>
      </c>
      <c r="Q140" s="13" t="str">
        <f>_xll.BDH("SRPT US Equity","ARDR_FV_ASTS_REC_L1_DERIVATIVES","FQ2 2022","FQ2 2022","Currency=USD","Period=FQ","BEST_FPERIOD_OVERRIDE=FQ","FILING_STATUS=MR","SCALING_FORMAT=MLN","Sort=A","Dates=H","DateFormat=P","Fill=—","Direction=H","UseDPDF=Y")</f>
        <v>—</v>
      </c>
      <c r="R140" s="13" t="str">
        <f>_xll.BDH("SRPT US Equity","ARDR_FV_ASTS_REC_L1_DERIVATIVES","FQ3 2022","FQ3 2022","Currency=USD","Period=FQ","BEST_FPERIOD_OVERRIDE=FQ","FILING_STATUS=MR","SCALING_FORMAT=MLN","Sort=A","Dates=H","DateFormat=P","Fill=—","Direction=H","UseDPDF=Y")</f>
        <v>—</v>
      </c>
      <c r="S140" s="13" t="str">
        <f>_xll.BDH("SRPT US Equity","ARDR_FV_ASTS_REC_L1_DERIVATIVES","FQ4 2022","FQ4 2022","Currency=USD","Period=FQ","BEST_FPERIOD_OVERRIDE=FQ","FILING_STATUS=MR","SCALING_FORMAT=MLN","Sort=A","Dates=H","DateFormat=P","Fill=—","Direction=H","UseDPDF=Y")</f>
        <v>—</v>
      </c>
      <c r="T140" s="13" t="str">
        <f>_xll.BDH("SRPT US Equity","ARDR_FV_ASTS_REC_L1_DERIVATIVES","FQ1 2023","FQ1 2023","Currency=USD","Period=FQ","BEST_FPERIOD_OVERRIDE=FQ","FILING_STATUS=MR","SCALING_FORMAT=MLN","Sort=A","Dates=H","DateFormat=P","Fill=—","Direction=H","UseDPDF=Y")</f>
        <v>—</v>
      </c>
      <c r="U140" s="13" t="str">
        <f>_xll.BDH("SRPT US Equity","ARDR_FV_ASTS_REC_L1_DERIVATIVES","FQ2 2023","FQ2 2023","Currency=USD","Period=FQ","BEST_FPERIOD_OVERRIDE=FQ","FILING_STATUS=MR","SCALING_FORMAT=MLN","Sort=A","Dates=H","DateFormat=P","Fill=—","Direction=H","UseDPDF=Y")</f>
        <v>—</v>
      </c>
      <c r="V140" s="13" t="str">
        <f>_xll.BDH("SRPT US Equity","ARDR_FV_ASTS_REC_L1_DERIVATIVES","FQ3 2023","FQ3 2023","Currency=USD","Period=FQ","BEST_FPERIOD_OVERRIDE=FQ","FILING_STATUS=MR","SCALING_FORMAT=MLN","Sort=A","Dates=H","DateFormat=P","Fill=—","Direction=H","UseDPDF=Y")</f>
        <v>—</v>
      </c>
      <c r="W140" s="13" t="str">
        <f>_xll.BDH("SRPT US Equity","ARDR_FV_ASTS_REC_L1_DERIVATIVES","FQ4 2023","FQ4 2023","Currency=USD","Period=FQ","BEST_FPERIOD_OVERRIDE=FQ","FILING_STATUS=MR","SCALING_FORMAT=MLN","Sort=A","Dates=H","DateFormat=P","Fill=—","Direction=H","UseDPDF=Y")</f>
        <v>—</v>
      </c>
      <c r="X140" s="13" t="str">
        <f>_xll.BDH("SRPT US Equity","ARDR_FV_ASTS_REC_L1_DERIVATIVES","FQ1 2024","FQ1 2024","Currency=USD","Period=FQ","BEST_FPERIOD_OVERRIDE=FQ","FILING_STATUS=MR","SCALING_FORMAT=MLN","Sort=A","Dates=H","DateFormat=P","Fill=—","Direction=H","UseDPDF=Y")</f>
        <v>—</v>
      </c>
      <c r="Y140" s="13" t="str">
        <f>_xll.BDH("SRPT US Equity","ARDR_FV_ASTS_REC_L1_DERIVATIVES","FQ2 2024","FQ2 2024","Currency=USD","Period=FQ","BEST_FPERIOD_OVERRIDE=FQ","FILING_STATUS=MR","SCALING_FORMAT=MLN","Sort=A","Dates=H","DateFormat=P","Fill=—","Direction=H","UseDPDF=Y")</f>
        <v>—</v>
      </c>
      <c r="Z140" s="13">
        <f>_xll.BDH("SRPT US Equity","ARDR_FV_ASTS_REC_L1_DERIVATIVES","FQ3 2024","FQ3 2024","Currency=USD","Period=FQ","BEST_FPERIOD_OVERRIDE=FQ","FILING_STATUS=MR","SCALING_FORMAT=MLN","Sort=A","Dates=H","DateFormat=P","Fill=—","Direction=H","UseDPDF=Y")</f>
        <v>0</v>
      </c>
      <c r="AA140" s="13" t="str">
        <f>_xll.BDH("SRPT US Equity","ARDR_FV_ASTS_REC_L1_DERIVATIVES","FQ4 2024","FQ4 2024","Currency=USD","Period=FQ","BEST_FPERIOD_OVERRIDE=FQ","FILING_STATUS=MR","SCALING_FORMAT=MLN","Sort=A","Dates=H","DateFormat=P","Fill=—","Direction=H","UseDPDF=Y")</f>
        <v>—</v>
      </c>
    </row>
    <row r="141" spans="1:27" x14ac:dyDescent="0.25">
      <c r="A141" s="10" t="s">
        <v>1081</v>
      </c>
      <c r="B141" s="10" t="s">
        <v>1082</v>
      </c>
      <c r="C141" s="13" t="str">
        <f>_xll.BDH("SRPT US Equity","ARDR_FV_ASSETS_REC_L1_OTHER","FQ4 2018","FQ4 2018","Currency=USD","Period=FQ","BEST_FPERIOD_OVERRIDE=FQ","FILING_STATUS=MR","SCALING_FORMAT=MLN","Sort=A","Dates=H","DateFormat=P","Fill=—","Direction=H","UseDPDF=Y")</f>
        <v>—</v>
      </c>
      <c r="D141" s="13">
        <f>_xll.BDH("SRPT US Equity","ARDR_FV_ASSETS_REC_L1_OTHER","FQ1 2019","FQ1 2019","Currency=USD","Period=FQ","BEST_FPERIOD_OVERRIDE=FQ","FILING_STATUS=MR","SCALING_FORMAT=MLN","Sort=A","Dates=H","DateFormat=P","Fill=—","Direction=H","UseDPDF=Y")</f>
        <v>810.38499999999999</v>
      </c>
      <c r="E141" s="13">
        <f>_xll.BDH("SRPT US Equity","ARDR_FV_ASSETS_REC_L1_OTHER","FQ2 2019","FQ2 2019","Currency=USD","Period=FQ","BEST_FPERIOD_OVERRIDE=FQ","FILING_STATUS=MR","SCALING_FORMAT=MLN","Sort=A","Dates=H","DateFormat=P","Fill=—","Direction=H","UseDPDF=Y")</f>
        <v>680.39700000000005</v>
      </c>
      <c r="F141" s="13">
        <f>_xll.BDH("SRPT US Equity","ARDR_FV_ASSETS_REC_L1_OTHER","FQ3 2019","FQ3 2019","Currency=USD","Period=FQ","BEST_FPERIOD_OVERRIDE=FQ","FILING_STATUS=MR","SCALING_FORMAT=MLN","Sort=A","Dates=H","DateFormat=P","Fill=—","Direction=H","UseDPDF=Y")</f>
        <v>12.833</v>
      </c>
      <c r="G141" s="13">
        <f>_xll.BDH("SRPT US Equity","ARDR_FV_ASSETS_REC_L1_OTHER","FQ4 2019","FQ4 2019","Currency=USD","Period=FQ","BEST_FPERIOD_OVERRIDE=FQ","FILING_STATUS=MR","SCALING_FORMAT=MLN","Sort=A","Dates=H","DateFormat=P","Fill=—","Direction=H","UseDPDF=Y")</f>
        <v>2.9380000000000002</v>
      </c>
      <c r="H141" s="13">
        <f>_xll.BDH("SRPT US Equity","ARDR_FV_ASSETS_REC_L1_OTHER","FQ1 2020","FQ1 2020","Currency=USD","Period=FQ","BEST_FPERIOD_OVERRIDE=FQ","FILING_STATUS=MR","SCALING_FORMAT=MLN","Sort=A","Dates=H","DateFormat=P","Fill=—","Direction=H","UseDPDF=Y")</f>
        <v>723.74400000000003</v>
      </c>
      <c r="I141" s="13">
        <f>_xll.BDH("SRPT US Equity","ARDR_FV_ASSETS_REC_L1_OTHER","FQ2 2020","FQ2 2020","Currency=USD","Period=FQ","BEST_FPERIOD_OVERRIDE=FQ","FILING_STATUS=MR","SCALING_FORMAT=MLN","Sort=A","Dates=H","DateFormat=P","Fill=—","Direction=H","UseDPDF=Y")</f>
        <v>931.81600000000003</v>
      </c>
      <c r="J141" s="13">
        <f>_xll.BDH("SRPT US Equity","ARDR_FV_ASSETS_REC_L1_OTHER","FQ3 2020","FQ3 2020","Currency=USD","Period=FQ","BEST_FPERIOD_OVERRIDE=FQ","FILING_STATUS=MR","SCALING_FORMAT=MLN","Sort=A","Dates=H","DateFormat=P","Fill=—","Direction=H","UseDPDF=Y")</f>
        <v>896.38400000000001</v>
      </c>
      <c r="K141" s="13">
        <f>_xll.BDH("SRPT US Equity","ARDR_FV_ASSETS_REC_L1_OTHER","FQ4 2020","FQ4 2020","Currency=USD","Period=FQ","BEST_FPERIOD_OVERRIDE=FQ","FILING_STATUS=MR","SCALING_FORMAT=MLN","Sort=A","Dates=H","DateFormat=P","Fill=—","Direction=H","UseDPDF=Y")</f>
        <v>1041.93</v>
      </c>
      <c r="L141" s="13">
        <f>_xll.BDH("SRPT US Equity","ARDR_FV_ASSETS_REC_L1_OTHER","FQ1 2021","FQ1 2021","Currency=USD","Period=FQ","BEST_FPERIOD_OVERRIDE=FQ","FILING_STATUS=MR","SCALING_FORMAT=MLN","Sort=A","Dates=H","DateFormat=P","Fill=—","Direction=H","UseDPDF=Y")</f>
        <v>363.01900000000001</v>
      </c>
      <c r="M141" s="13">
        <f>_xll.BDH("SRPT US Equity","ARDR_FV_ASSETS_REC_L1_OTHER","FQ2 2021","FQ2 2021","Currency=USD","Period=FQ","BEST_FPERIOD_OVERRIDE=FQ","FILING_STATUS=MR","SCALING_FORMAT=MLN","Sort=A","Dates=H","DateFormat=P","Fill=—","Direction=H","UseDPDF=Y")</f>
        <v>33.320999999999998</v>
      </c>
      <c r="N141" s="13">
        <f>_xll.BDH("SRPT US Equity","ARDR_FV_ASSETS_REC_L1_OTHER","FQ3 2021","FQ3 2021","Currency=USD","Period=FQ","BEST_FPERIOD_OVERRIDE=FQ","FILING_STATUS=MR","SCALING_FORMAT=MLN","Sort=A","Dates=H","DateFormat=P","Fill=—","Direction=H","UseDPDF=Y")</f>
        <v>3.1259999999999999</v>
      </c>
      <c r="O141" s="13">
        <f>_xll.BDH("SRPT US Equity","ARDR_FV_ASSETS_REC_L1_OTHER","FQ4 2021","FQ4 2021","Currency=USD","Period=FQ","BEST_FPERIOD_OVERRIDE=FQ","FILING_STATUS=MR","SCALING_FORMAT=MLN","Sort=A","Dates=H","DateFormat=P","Fill=—","Direction=H","UseDPDF=Y")</f>
        <v>2.73</v>
      </c>
      <c r="P141" s="13" t="str">
        <f>_xll.BDH("SRPT US Equity","ARDR_FV_ASSETS_REC_L1_OTHER","FQ1 2022","FQ1 2022","Currency=USD","Period=FQ","BEST_FPERIOD_OVERRIDE=FQ","FILING_STATUS=MR","SCALING_FORMAT=MLN","Sort=A","Dates=H","DateFormat=P","Fill=—","Direction=H","UseDPDF=Y")</f>
        <v>—</v>
      </c>
      <c r="Q141" s="13">
        <f>_xll.BDH("SRPT US Equity","ARDR_FV_ASSETS_REC_L1_OTHER","FQ2 2022","FQ2 2022","Currency=USD","Period=FQ","BEST_FPERIOD_OVERRIDE=FQ","FILING_STATUS=MR","SCALING_FORMAT=MLN","Sort=A","Dates=H","DateFormat=P","Fill=—","Direction=H","UseDPDF=Y")</f>
        <v>0.82199999999999995</v>
      </c>
      <c r="R141" s="13" t="str">
        <f>_xll.BDH("SRPT US Equity","ARDR_FV_ASSETS_REC_L1_OTHER","FQ3 2022","FQ3 2022","Currency=USD","Period=FQ","BEST_FPERIOD_OVERRIDE=FQ","FILING_STATUS=MR","SCALING_FORMAT=MLN","Sort=A","Dates=H","DateFormat=P","Fill=—","Direction=H","UseDPDF=Y")</f>
        <v>—</v>
      </c>
      <c r="S141" s="13">
        <f>_xll.BDH("SRPT US Equity","ARDR_FV_ASSETS_REC_L1_OTHER","FQ4 2022","FQ4 2022","Currency=USD","Period=FQ","BEST_FPERIOD_OVERRIDE=FQ","FILING_STATUS=MR","SCALING_FORMAT=MLN","Sort=A","Dates=H","DateFormat=P","Fill=—","Direction=H","UseDPDF=Y")</f>
        <v>0.32100000000000001</v>
      </c>
      <c r="T141" s="13">
        <f>_xll.BDH("SRPT US Equity","ARDR_FV_ASSETS_REC_L1_OTHER","FQ1 2023","FQ1 2023","Currency=USD","Period=FQ","BEST_FPERIOD_OVERRIDE=FQ","FILING_STATUS=MR","SCALING_FORMAT=MLN","Sort=A","Dates=H","DateFormat=P","Fill=—","Direction=H","UseDPDF=Y")</f>
        <v>0</v>
      </c>
      <c r="U141" s="13" t="str">
        <f>_xll.BDH("SRPT US Equity","ARDR_FV_ASSETS_REC_L1_OTHER","FQ2 2023","FQ2 2023","Currency=USD","Period=FQ","BEST_FPERIOD_OVERRIDE=FQ","FILING_STATUS=MR","SCALING_FORMAT=MLN","Sort=A","Dates=H","DateFormat=P","Fill=—","Direction=H","UseDPDF=Y")</f>
        <v>—</v>
      </c>
      <c r="V141" s="13" t="str">
        <f>_xll.BDH("SRPT US Equity","ARDR_FV_ASSETS_REC_L1_OTHER","FQ3 2023","FQ3 2023","Currency=USD","Period=FQ","BEST_FPERIOD_OVERRIDE=FQ","FILING_STATUS=MR","SCALING_FORMAT=MLN","Sort=A","Dates=H","DateFormat=P","Fill=—","Direction=H","UseDPDF=Y")</f>
        <v>—</v>
      </c>
      <c r="W141" s="13">
        <f>_xll.BDH("SRPT US Equity","ARDR_FV_ASSETS_REC_L1_OTHER","FQ4 2023","FQ4 2023","Currency=USD","Period=FQ","BEST_FPERIOD_OVERRIDE=FQ","FILING_STATUS=MR","SCALING_FORMAT=MLN","Sort=A","Dates=H","DateFormat=P","Fill=—","Direction=H","UseDPDF=Y")</f>
        <v>5.5270000000000001</v>
      </c>
      <c r="X141" s="13">
        <f>_xll.BDH("SRPT US Equity","ARDR_FV_ASSETS_REC_L1_OTHER","FQ1 2024","FQ1 2024","Currency=USD","Period=FQ","BEST_FPERIOD_OVERRIDE=FQ","FILING_STATUS=MR","SCALING_FORMAT=MLN","Sort=A","Dates=H","DateFormat=P","Fill=—","Direction=H","UseDPDF=Y")</f>
        <v>0</v>
      </c>
      <c r="Y141" s="13">
        <f>_xll.BDH("SRPT US Equity","ARDR_FV_ASSETS_REC_L1_OTHER","FQ2 2024","FQ2 2024","Currency=USD","Period=FQ","BEST_FPERIOD_OVERRIDE=FQ","FILING_STATUS=MR","SCALING_FORMAT=MLN","Sort=A","Dates=H","DateFormat=P","Fill=—","Direction=H","UseDPDF=Y")</f>
        <v>0</v>
      </c>
      <c r="Z141" s="13">
        <f>_xll.BDH("SRPT US Equity","ARDR_FV_ASSETS_REC_L1_OTHER","FQ3 2024","FQ3 2024","Currency=USD","Period=FQ","BEST_FPERIOD_OVERRIDE=FQ","FILING_STATUS=MR","SCALING_FORMAT=MLN","Sort=A","Dates=H","DateFormat=P","Fill=—","Direction=H","UseDPDF=Y")</f>
        <v>0</v>
      </c>
      <c r="AA141" s="13">
        <f>_xll.BDH("SRPT US Equity","ARDR_FV_ASSETS_REC_L1_OTHER","FQ4 2024","FQ4 2024","Currency=USD","Period=FQ","BEST_FPERIOD_OVERRIDE=FQ","FILING_STATUS=MR","SCALING_FORMAT=MLN","Sort=A","Dates=H","DateFormat=P","Fill=—","Direction=H","UseDPDF=Y")</f>
        <v>2.71</v>
      </c>
    </row>
    <row r="142" spans="1:27" x14ac:dyDescent="0.25">
      <c r="A142" s="10" t="s">
        <v>1083</v>
      </c>
      <c r="B142" s="10" t="s">
        <v>1084</v>
      </c>
      <c r="C142" s="13" t="str">
        <f>_xll.BDH("SRPT US Equity","ARDR_FV_ASTS_REC_L2_TRAD_TREAS","FQ4 2018","FQ4 2018","Currency=USD","Period=FQ","BEST_FPERIOD_OVERRIDE=FQ","FILING_STATUS=MR","SCALING_FORMAT=MLN","Sort=A","Dates=H","DateFormat=P","Fill=—","Direction=H","UseDPDF=Y")</f>
        <v>—</v>
      </c>
      <c r="D142" s="13">
        <f>_xll.BDH("SRPT US Equity","ARDR_FV_ASTS_REC_L2_TRAD_TREAS","FQ1 2019","FQ1 2019","Currency=USD","Period=FQ","BEST_FPERIOD_OVERRIDE=FQ","FILING_STATUS=MR","SCALING_FORMAT=MLN","Sort=A","Dates=H","DateFormat=P","Fill=—","Direction=H","UseDPDF=Y")</f>
        <v>65.778999999999996</v>
      </c>
      <c r="E142" s="13">
        <f>_xll.BDH("SRPT US Equity","ARDR_FV_ASTS_REC_L2_TRAD_TREAS","FQ2 2019","FQ2 2019","Currency=USD","Period=FQ","BEST_FPERIOD_OVERRIDE=FQ","FILING_STATUS=MR","SCALING_FORMAT=MLN","Sort=A","Dates=H","DateFormat=P","Fill=—","Direction=H","UseDPDF=Y")</f>
        <v>0</v>
      </c>
      <c r="F142" s="13">
        <f>_xll.BDH("SRPT US Equity","ARDR_FV_ASTS_REC_L2_TRAD_TREAS","FQ3 2019","FQ3 2019","Currency=USD","Period=FQ","BEST_FPERIOD_OVERRIDE=FQ","FILING_STATUS=MR","SCALING_FORMAT=MLN","Sort=A","Dates=H","DateFormat=P","Fill=—","Direction=H","UseDPDF=Y")</f>
        <v>0</v>
      </c>
      <c r="G142" s="13">
        <f>_xll.BDH("SRPT US Equity","ARDR_FV_ASTS_REC_L2_TRAD_TREAS","FQ4 2019","FQ4 2019","Currency=USD","Period=FQ","BEST_FPERIOD_OVERRIDE=FQ","FILING_STATUS=MR","SCALING_FORMAT=MLN","Sort=A","Dates=H","DateFormat=P","Fill=—","Direction=H","UseDPDF=Y")</f>
        <v>0</v>
      </c>
      <c r="H142" s="13">
        <f>_xll.BDH("SRPT US Equity","ARDR_FV_ASTS_REC_L2_TRAD_TREAS","FQ1 2020","FQ1 2020","Currency=USD","Period=FQ","BEST_FPERIOD_OVERRIDE=FQ","FILING_STATUS=MR","SCALING_FORMAT=MLN","Sort=A","Dates=H","DateFormat=P","Fill=—","Direction=H","UseDPDF=Y")</f>
        <v>0</v>
      </c>
      <c r="I142" s="13">
        <f>_xll.BDH("SRPT US Equity","ARDR_FV_ASTS_REC_L2_TRAD_TREAS","FQ2 2020","FQ2 2020","Currency=USD","Period=FQ","BEST_FPERIOD_OVERRIDE=FQ","FILING_STATUS=MR","SCALING_FORMAT=MLN","Sort=A","Dates=H","DateFormat=P","Fill=—","Direction=H","UseDPDF=Y")</f>
        <v>0</v>
      </c>
      <c r="J142" s="13">
        <f>_xll.BDH("SRPT US Equity","ARDR_FV_ASTS_REC_L2_TRAD_TREAS","FQ3 2020","FQ3 2020","Currency=USD","Period=FQ","BEST_FPERIOD_OVERRIDE=FQ","FILING_STATUS=MR","SCALING_FORMAT=MLN","Sort=A","Dates=H","DateFormat=P","Fill=—","Direction=H","UseDPDF=Y")</f>
        <v>0</v>
      </c>
      <c r="K142" s="13">
        <f>_xll.BDH("SRPT US Equity","ARDR_FV_ASTS_REC_L2_TRAD_TREAS","FQ4 2020","FQ4 2020","Currency=USD","Period=FQ","BEST_FPERIOD_OVERRIDE=FQ","FILING_STATUS=MR","SCALING_FORMAT=MLN","Sort=A","Dates=H","DateFormat=P","Fill=—","Direction=H","UseDPDF=Y")</f>
        <v>0</v>
      </c>
      <c r="L142" s="13">
        <f>_xll.BDH("SRPT US Equity","ARDR_FV_ASTS_REC_L2_TRAD_TREAS","FQ1 2021","FQ1 2021","Currency=USD","Period=FQ","BEST_FPERIOD_OVERRIDE=FQ","FILING_STATUS=MR","SCALING_FORMAT=MLN","Sort=A","Dates=H","DateFormat=P","Fill=—","Direction=H","UseDPDF=Y")</f>
        <v>0</v>
      </c>
      <c r="M142" s="13">
        <f>_xll.BDH("SRPT US Equity","ARDR_FV_ASTS_REC_L2_TRAD_TREAS","FQ2 2021","FQ2 2021","Currency=USD","Period=FQ","BEST_FPERIOD_OVERRIDE=FQ","FILING_STATUS=MR","SCALING_FORMAT=MLN","Sort=A","Dates=H","DateFormat=P","Fill=—","Direction=H","UseDPDF=Y")</f>
        <v>0</v>
      </c>
      <c r="N142" s="13" t="str">
        <f>_xll.BDH("SRPT US Equity","ARDR_FV_ASTS_REC_L2_TRAD_TREAS","FQ3 2021","FQ3 2021","Currency=USD","Period=FQ","BEST_FPERIOD_OVERRIDE=FQ","FILING_STATUS=MR","SCALING_FORMAT=MLN","Sort=A","Dates=H","DateFormat=P","Fill=—","Direction=H","UseDPDF=Y")</f>
        <v>—</v>
      </c>
      <c r="O142" s="13">
        <f>_xll.BDH("SRPT US Equity","ARDR_FV_ASTS_REC_L2_TRAD_TREAS","FQ4 2021","FQ4 2021","Currency=USD","Period=FQ","BEST_FPERIOD_OVERRIDE=FQ","FILING_STATUS=MR","SCALING_FORMAT=MLN","Sort=A","Dates=H","DateFormat=P","Fill=—","Direction=H","UseDPDF=Y")</f>
        <v>0</v>
      </c>
      <c r="P142" s="13">
        <f>_xll.BDH("SRPT US Equity","ARDR_FV_ASTS_REC_L2_TRAD_TREAS","FQ1 2022","FQ1 2022","Currency=USD","Period=FQ","BEST_FPERIOD_OVERRIDE=FQ","FILING_STATUS=MR","SCALING_FORMAT=MLN","Sort=A","Dates=H","DateFormat=P","Fill=—","Direction=H","UseDPDF=Y")</f>
        <v>0</v>
      </c>
      <c r="Q142" s="13">
        <f>_xll.BDH("SRPT US Equity","ARDR_FV_ASTS_REC_L2_TRAD_TREAS","FQ2 2022","FQ2 2022","Currency=USD","Period=FQ","BEST_FPERIOD_OVERRIDE=FQ","FILING_STATUS=MR","SCALING_FORMAT=MLN","Sort=A","Dates=H","DateFormat=P","Fill=—","Direction=H","UseDPDF=Y")</f>
        <v>0</v>
      </c>
      <c r="R142" s="13">
        <f>_xll.BDH("SRPT US Equity","ARDR_FV_ASTS_REC_L2_TRAD_TREAS","FQ3 2022","FQ3 2022","Currency=USD","Period=FQ","BEST_FPERIOD_OVERRIDE=FQ","FILING_STATUS=MR","SCALING_FORMAT=MLN","Sort=A","Dates=H","DateFormat=P","Fill=—","Direction=H","UseDPDF=Y")</f>
        <v>0</v>
      </c>
      <c r="S142" s="13">
        <f>_xll.BDH("SRPT US Equity","ARDR_FV_ASTS_REC_L2_TRAD_TREAS","FQ4 2022","FQ4 2022","Currency=USD","Period=FQ","BEST_FPERIOD_OVERRIDE=FQ","FILING_STATUS=MR","SCALING_FORMAT=MLN","Sort=A","Dates=H","DateFormat=P","Fill=—","Direction=H","UseDPDF=Y")</f>
        <v>0</v>
      </c>
      <c r="T142" s="13">
        <f>_xll.BDH("SRPT US Equity","ARDR_FV_ASTS_REC_L2_TRAD_TREAS","FQ1 2023","FQ1 2023","Currency=USD","Period=FQ","BEST_FPERIOD_OVERRIDE=FQ","FILING_STATUS=MR","SCALING_FORMAT=MLN","Sort=A","Dates=H","DateFormat=P","Fill=—","Direction=H","UseDPDF=Y")</f>
        <v>0</v>
      </c>
      <c r="U142" s="13">
        <f>_xll.BDH("SRPT US Equity","ARDR_FV_ASTS_REC_L2_TRAD_TREAS","FQ2 2023","FQ2 2023","Currency=USD","Period=FQ","BEST_FPERIOD_OVERRIDE=FQ","FILING_STATUS=MR","SCALING_FORMAT=MLN","Sort=A","Dates=H","DateFormat=P","Fill=—","Direction=H","UseDPDF=Y")</f>
        <v>0</v>
      </c>
      <c r="V142" s="13">
        <f>_xll.BDH("SRPT US Equity","ARDR_FV_ASTS_REC_L2_TRAD_TREAS","FQ3 2023","FQ3 2023","Currency=USD","Period=FQ","BEST_FPERIOD_OVERRIDE=FQ","FILING_STATUS=MR","SCALING_FORMAT=MLN","Sort=A","Dates=H","DateFormat=P","Fill=—","Direction=H","UseDPDF=Y")</f>
        <v>0</v>
      </c>
      <c r="W142" s="13">
        <f>_xll.BDH("SRPT US Equity","ARDR_FV_ASTS_REC_L2_TRAD_TREAS","FQ4 2023","FQ4 2023","Currency=USD","Period=FQ","BEST_FPERIOD_OVERRIDE=FQ","FILING_STATUS=MR","SCALING_FORMAT=MLN","Sort=A","Dates=H","DateFormat=P","Fill=—","Direction=H","UseDPDF=Y")</f>
        <v>0</v>
      </c>
      <c r="X142" s="13">
        <f>_xll.BDH("SRPT US Equity","ARDR_FV_ASTS_REC_L2_TRAD_TREAS","FQ1 2024","FQ1 2024","Currency=USD","Period=FQ","BEST_FPERIOD_OVERRIDE=FQ","FILING_STATUS=MR","SCALING_FORMAT=MLN","Sort=A","Dates=H","DateFormat=P","Fill=—","Direction=H","UseDPDF=Y")</f>
        <v>0</v>
      </c>
      <c r="Y142" s="13">
        <f>_xll.BDH("SRPT US Equity","ARDR_FV_ASTS_REC_L2_TRAD_TREAS","FQ2 2024","FQ2 2024","Currency=USD","Period=FQ","BEST_FPERIOD_OVERRIDE=FQ","FILING_STATUS=MR","SCALING_FORMAT=MLN","Sort=A","Dates=H","DateFormat=P","Fill=—","Direction=H","UseDPDF=Y")</f>
        <v>0</v>
      </c>
      <c r="Z142" s="13">
        <f>_xll.BDH("SRPT US Equity","ARDR_FV_ASTS_REC_L2_TRAD_TREAS","FQ3 2024","FQ3 2024","Currency=USD","Period=FQ","BEST_FPERIOD_OVERRIDE=FQ","FILING_STATUS=MR","SCALING_FORMAT=MLN","Sort=A","Dates=H","DateFormat=P","Fill=—","Direction=H","UseDPDF=Y")</f>
        <v>0</v>
      </c>
      <c r="AA142" s="13">
        <f>_xll.BDH("SRPT US Equity","ARDR_FV_ASTS_REC_L2_TRAD_TREAS","FQ4 2024","FQ4 2024","Currency=USD","Period=FQ","BEST_FPERIOD_OVERRIDE=FQ","FILING_STATUS=MR","SCALING_FORMAT=MLN","Sort=A","Dates=H","DateFormat=P","Fill=—","Direction=H","UseDPDF=Y")</f>
        <v>0</v>
      </c>
    </row>
    <row r="143" spans="1:27" x14ac:dyDescent="0.25">
      <c r="A143" s="10" t="s">
        <v>1085</v>
      </c>
      <c r="B143" s="10" t="s">
        <v>1086</v>
      </c>
      <c r="C143" s="13" t="str">
        <f>_xll.BDH("SRPT US Equity","ARDR_FV_ASTS_REC_L2_TRAD_BONDS","FQ4 2018","FQ4 2018","Currency=USD","Period=FQ","BEST_FPERIOD_OVERRIDE=FQ","FILING_STATUS=MR","SCALING_FORMAT=MLN","Sort=A","Dates=H","DateFormat=P","Fill=—","Direction=H","UseDPDF=Y")</f>
        <v>—</v>
      </c>
      <c r="D143" s="13" t="str">
        <f>_xll.BDH("SRPT US Equity","ARDR_FV_ASTS_REC_L2_TRAD_BONDS","FQ1 2019","FQ1 2019","Currency=USD","Period=FQ","BEST_FPERIOD_OVERRIDE=FQ","FILING_STATUS=MR","SCALING_FORMAT=MLN","Sort=A","Dates=H","DateFormat=P","Fill=—","Direction=H","UseDPDF=Y")</f>
        <v>—</v>
      </c>
      <c r="E143" s="13" t="str">
        <f>_xll.BDH("SRPT US Equity","ARDR_FV_ASTS_REC_L2_TRAD_BONDS","FQ2 2019","FQ2 2019","Currency=USD","Period=FQ","BEST_FPERIOD_OVERRIDE=FQ","FILING_STATUS=MR","SCALING_FORMAT=MLN","Sort=A","Dates=H","DateFormat=P","Fill=—","Direction=H","UseDPDF=Y")</f>
        <v>—</v>
      </c>
      <c r="F143" s="13" t="str">
        <f>_xll.BDH("SRPT US Equity","ARDR_FV_ASTS_REC_L2_TRAD_BONDS","FQ3 2019","FQ3 2019","Currency=USD","Period=FQ","BEST_FPERIOD_OVERRIDE=FQ","FILING_STATUS=MR","SCALING_FORMAT=MLN","Sort=A","Dates=H","DateFormat=P","Fill=—","Direction=H","UseDPDF=Y")</f>
        <v>—</v>
      </c>
      <c r="G143" s="13" t="str">
        <f>_xll.BDH("SRPT US Equity","ARDR_FV_ASTS_REC_L2_TRAD_BONDS","FQ4 2019","FQ4 2019","Currency=USD","Period=FQ","BEST_FPERIOD_OVERRIDE=FQ","FILING_STATUS=MR","SCALING_FORMAT=MLN","Sort=A","Dates=H","DateFormat=P","Fill=—","Direction=H","UseDPDF=Y")</f>
        <v>—</v>
      </c>
      <c r="H143" s="13" t="str">
        <f>_xll.BDH("SRPT US Equity","ARDR_FV_ASTS_REC_L2_TRAD_BONDS","FQ1 2020","FQ1 2020","Currency=USD","Period=FQ","BEST_FPERIOD_OVERRIDE=FQ","FILING_STATUS=MR","SCALING_FORMAT=MLN","Sort=A","Dates=H","DateFormat=P","Fill=—","Direction=H","UseDPDF=Y")</f>
        <v>—</v>
      </c>
      <c r="I143" s="13" t="str">
        <f>_xll.BDH("SRPT US Equity","ARDR_FV_ASTS_REC_L2_TRAD_BONDS","FQ2 2020","FQ2 2020","Currency=USD","Period=FQ","BEST_FPERIOD_OVERRIDE=FQ","FILING_STATUS=MR","SCALING_FORMAT=MLN","Sort=A","Dates=H","DateFormat=P","Fill=—","Direction=H","UseDPDF=Y")</f>
        <v>—</v>
      </c>
      <c r="J143" s="13" t="str">
        <f>_xll.BDH("SRPT US Equity","ARDR_FV_ASTS_REC_L2_TRAD_BONDS","FQ3 2020","FQ3 2020","Currency=USD","Period=FQ","BEST_FPERIOD_OVERRIDE=FQ","FILING_STATUS=MR","SCALING_FORMAT=MLN","Sort=A","Dates=H","DateFormat=P","Fill=—","Direction=H","UseDPDF=Y")</f>
        <v>—</v>
      </c>
      <c r="K143" s="13" t="str">
        <f>_xll.BDH("SRPT US Equity","ARDR_FV_ASTS_REC_L2_TRAD_BONDS","FQ4 2020","FQ4 2020","Currency=USD","Period=FQ","BEST_FPERIOD_OVERRIDE=FQ","FILING_STATUS=MR","SCALING_FORMAT=MLN","Sort=A","Dates=H","DateFormat=P","Fill=—","Direction=H","UseDPDF=Y")</f>
        <v>—</v>
      </c>
      <c r="L143" s="13" t="str">
        <f>_xll.BDH("SRPT US Equity","ARDR_FV_ASTS_REC_L2_TRAD_BONDS","FQ1 2021","FQ1 2021","Currency=USD","Period=FQ","BEST_FPERIOD_OVERRIDE=FQ","FILING_STATUS=MR","SCALING_FORMAT=MLN","Sort=A","Dates=H","DateFormat=P","Fill=—","Direction=H","UseDPDF=Y")</f>
        <v>—</v>
      </c>
      <c r="M143" s="13" t="str">
        <f>_xll.BDH("SRPT US Equity","ARDR_FV_ASTS_REC_L2_TRAD_BONDS","FQ2 2021","FQ2 2021","Currency=USD","Period=FQ","BEST_FPERIOD_OVERRIDE=FQ","FILING_STATUS=MR","SCALING_FORMAT=MLN","Sort=A","Dates=H","DateFormat=P","Fill=—","Direction=H","UseDPDF=Y")</f>
        <v>—</v>
      </c>
      <c r="N143" s="13" t="str">
        <f>_xll.BDH("SRPT US Equity","ARDR_FV_ASTS_REC_L2_TRAD_BONDS","FQ3 2021","FQ3 2021","Currency=USD","Period=FQ","BEST_FPERIOD_OVERRIDE=FQ","FILING_STATUS=MR","SCALING_FORMAT=MLN","Sort=A","Dates=H","DateFormat=P","Fill=—","Direction=H","UseDPDF=Y")</f>
        <v>—</v>
      </c>
      <c r="O143" s="13" t="str">
        <f>_xll.BDH("SRPT US Equity","ARDR_FV_ASTS_REC_L2_TRAD_BONDS","FQ4 2021","FQ4 2021","Currency=USD","Period=FQ","BEST_FPERIOD_OVERRIDE=FQ","FILING_STATUS=MR","SCALING_FORMAT=MLN","Sort=A","Dates=H","DateFormat=P","Fill=—","Direction=H","UseDPDF=Y")</f>
        <v>—</v>
      </c>
      <c r="P143" s="13" t="str">
        <f>_xll.BDH("SRPT US Equity","ARDR_FV_ASTS_REC_L2_TRAD_BONDS","FQ1 2022","FQ1 2022","Currency=USD","Period=FQ","BEST_FPERIOD_OVERRIDE=FQ","FILING_STATUS=MR","SCALING_FORMAT=MLN","Sort=A","Dates=H","DateFormat=P","Fill=—","Direction=H","UseDPDF=Y")</f>
        <v>—</v>
      </c>
      <c r="Q143" s="13" t="str">
        <f>_xll.BDH("SRPT US Equity","ARDR_FV_ASTS_REC_L2_TRAD_BONDS","FQ2 2022","FQ2 2022","Currency=USD","Period=FQ","BEST_FPERIOD_OVERRIDE=FQ","FILING_STATUS=MR","SCALING_FORMAT=MLN","Sort=A","Dates=H","DateFormat=P","Fill=—","Direction=H","UseDPDF=Y")</f>
        <v>—</v>
      </c>
      <c r="R143" s="13">
        <f>_xll.BDH("SRPT US Equity","ARDR_FV_ASTS_REC_L2_TRAD_BONDS","FQ3 2022","FQ3 2022","Currency=USD","Period=FQ","BEST_FPERIOD_OVERRIDE=FQ","FILING_STATUS=MR","SCALING_FORMAT=MLN","Sort=A","Dates=H","DateFormat=P","Fill=—","Direction=H","UseDPDF=Y")</f>
        <v>923.44399999999996</v>
      </c>
      <c r="S143" s="13">
        <f>_xll.BDH("SRPT US Equity","ARDR_FV_ASTS_REC_L2_TRAD_BONDS","FQ4 2022","FQ4 2022","Currency=USD","Period=FQ","BEST_FPERIOD_OVERRIDE=FQ","FILING_STATUS=MR","SCALING_FORMAT=MLN","Sort=A","Dates=H","DateFormat=P","Fill=—","Direction=H","UseDPDF=Y")</f>
        <v>125.741</v>
      </c>
      <c r="T143" s="13">
        <f>_xll.BDH("SRPT US Equity","ARDR_FV_ASTS_REC_L2_TRAD_BONDS","FQ1 2023","FQ1 2023","Currency=USD","Period=FQ","BEST_FPERIOD_OVERRIDE=FQ","FILING_STATUS=MR","SCALING_FORMAT=MLN","Sort=A","Dates=H","DateFormat=P","Fill=—","Direction=H","UseDPDF=Y")</f>
        <v>1069.498</v>
      </c>
      <c r="U143" s="13">
        <f>_xll.BDH("SRPT US Equity","ARDR_FV_ASTS_REC_L2_TRAD_BONDS","FQ2 2023","FQ2 2023","Currency=USD","Period=FQ","BEST_FPERIOD_OVERRIDE=FQ","FILING_STATUS=MR","SCALING_FORMAT=MLN","Sort=A","Dates=H","DateFormat=P","Fill=—","Direction=H","UseDPDF=Y")</f>
        <v>1050.605</v>
      </c>
      <c r="V143" s="13">
        <f>_xll.BDH("SRPT US Equity","ARDR_FV_ASTS_REC_L2_TRAD_BONDS","FQ3 2023","FQ3 2023","Currency=USD","Period=FQ","BEST_FPERIOD_OVERRIDE=FQ","FILING_STATUS=MR","SCALING_FORMAT=MLN","Sort=A","Dates=H","DateFormat=P","Fill=—","Direction=H","UseDPDF=Y")</f>
        <v>1223.605</v>
      </c>
      <c r="W143" s="13">
        <f>_xll.BDH("SRPT US Equity","ARDR_FV_ASTS_REC_L2_TRAD_BONDS","FQ4 2023","FQ4 2023","Currency=USD","Period=FQ","BEST_FPERIOD_OVERRIDE=FQ","FILING_STATUS=MR","SCALING_FORMAT=MLN","Sort=A","Dates=H","DateFormat=P","Fill=—","Direction=H","UseDPDF=Y")</f>
        <v>130.38</v>
      </c>
      <c r="X143" s="13">
        <f>_xll.BDH("SRPT US Equity","ARDR_FV_ASTS_REC_L2_TRAD_BONDS","FQ1 2024","FQ1 2024","Currency=USD","Period=FQ","BEST_FPERIOD_OVERRIDE=FQ","FILING_STATUS=MR","SCALING_FORMAT=MLN","Sort=A","Dates=H","DateFormat=P","Fill=—","Direction=H","UseDPDF=Y")</f>
        <v>942.50900000000001</v>
      </c>
      <c r="Y143" s="13">
        <f>_xll.BDH("SRPT US Equity","ARDR_FV_ASTS_REC_L2_TRAD_BONDS","FQ2 2024","FQ2 2024","Currency=USD","Period=FQ","BEST_FPERIOD_OVERRIDE=FQ","FILING_STATUS=MR","SCALING_FORMAT=MLN","Sort=A","Dates=H","DateFormat=P","Fill=—","Direction=H","UseDPDF=Y")</f>
        <v>1061.9010000000001</v>
      </c>
      <c r="Z143" s="13">
        <f>_xll.BDH("SRPT US Equity","ARDR_FV_ASTS_REC_L2_TRAD_BONDS","FQ3 2024","FQ3 2024","Currency=USD","Period=FQ","BEST_FPERIOD_OVERRIDE=FQ","FILING_STATUS=MR","SCALING_FORMAT=MLN","Sort=A","Dates=H","DateFormat=P","Fill=—","Direction=H","UseDPDF=Y")</f>
        <v>1155.153</v>
      </c>
      <c r="AA143" s="13">
        <f>_xll.BDH("SRPT US Equity","ARDR_FV_ASTS_REC_L2_TRAD_BONDS","FQ4 2024","FQ4 2024","Currency=USD","Period=FQ","BEST_FPERIOD_OVERRIDE=FQ","FILING_STATUS=MR","SCALING_FORMAT=MLN","Sort=A","Dates=H","DateFormat=P","Fill=—","Direction=H","UseDPDF=Y")</f>
        <v>93.727000000000004</v>
      </c>
    </row>
    <row r="144" spans="1:27" x14ac:dyDescent="0.25">
      <c r="A144" s="10" t="s">
        <v>1087</v>
      </c>
      <c r="B144" s="10" t="s">
        <v>1088</v>
      </c>
      <c r="C144" s="13" t="str">
        <f>_xll.BDH("SRPT US Equity","ARDR_FV_ASTS_REC_L2_TRAD_CDO_CLO","FQ4 2018","FQ4 2018","Currency=USD","Period=FQ","BEST_FPERIOD_OVERRIDE=FQ","FILING_STATUS=MR","SCALING_FORMAT=MLN","Sort=A","Dates=H","DateFormat=P","Fill=—","Direction=H","UseDPDF=Y")</f>
        <v>—</v>
      </c>
      <c r="D144" s="13" t="str">
        <f>_xll.BDH("SRPT US Equity","ARDR_FV_ASTS_REC_L2_TRAD_CDO_CLO","FQ1 2019","FQ1 2019","Currency=USD","Period=FQ","BEST_FPERIOD_OVERRIDE=FQ","FILING_STATUS=MR","SCALING_FORMAT=MLN","Sort=A","Dates=H","DateFormat=P","Fill=—","Direction=H","UseDPDF=Y")</f>
        <v>—</v>
      </c>
      <c r="E144" s="13" t="str">
        <f>_xll.BDH("SRPT US Equity","ARDR_FV_ASTS_REC_L2_TRAD_CDO_CLO","FQ2 2019","FQ2 2019","Currency=USD","Period=FQ","BEST_FPERIOD_OVERRIDE=FQ","FILING_STATUS=MR","SCALING_FORMAT=MLN","Sort=A","Dates=H","DateFormat=P","Fill=—","Direction=H","UseDPDF=Y")</f>
        <v>—</v>
      </c>
      <c r="F144" s="13" t="str">
        <f>_xll.BDH("SRPT US Equity","ARDR_FV_ASTS_REC_L2_TRAD_CDO_CLO","FQ3 2019","FQ3 2019","Currency=USD","Period=FQ","BEST_FPERIOD_OVERRIDE=FQ","FILING_STATUS=MR","SCALING_FORMAT=MLN","Sort=A","Dates=H","DateFormat=P","Fill=—","Direction=H","UseDPDF=Y")</f>
        <v>—</v>
      </c>
      <c r="G144" s="13" t="str">
        <f>_xll.BDH("SRPT US Equity","ARDR_FV_ASTS_REC_L2_TRAD_CDO_CLO","FQ4 2019","FQ4 2019","Currency=USD","Period=FQ","BEST_FPERIOD_OVERRIDE=FQ","FILING_STATUS=MR","SCALING_FORMAT=MLN","Sort=A","Dates=H","DateFormat=P","Fill=—","Direction=H","UseDPDF=Y")</f>
        <v>—</v>
      </c>
      <c r="H144" s="13" t="str">
        <f>_xll.BDH("SRPT US Equity","ARDR_FV_ASTS_REC_L2_TRAD_CDO_CLO","FQ1 2020","FQ1 2020","Currency=USD","Period=FQ","BEST_FPERIOD_OVERRIDE=FQ","FILING_STATUS=MR","SCALING_FORMAT=MLN","Sort=A","Dates=H","DateFormat=P","Fill=—","Direction=H","UseDPDF=Y")</f>
        <v>—</v>
      </c>
      <c r="I144" s="13" t="str">
        <f>_xll.BDH("SRPT US Equity","ARDR_FV_ASTS_REC_L2_TRAD_CDO_CLO","FQ2 2020","FQ2 2020","Currency=USD","Period=FQ","BEST_FPERIOD_OVERRIDE=FQ","FILING_STATUS=MR","SCALING_FORMAT=MLN","Sort=A","Dates=H","DateFormat=P","Fill=—","Direction=H","UseDPDF=Y")</f>
        <v>—</v>
      </c>
      <c r="J144" s="13" t="str">
        <f>_xll.BDH("SRPT US Equity","ARDR_FV_ASTS_REC_L2_TRAD_CDO_CLO","FQ3 2020","FQ3 2020","Currency=USD","Period=FQ","BEST_FPERIOD_OVERRIDE=FQ","FILING_STATUS=MR","SCALING_FORMAT=MLN","Sort=A","Dates=H","DateFormat=P","Fill=—","Direction=H","UseDPDF=Y")</f>
        <v>—</v>
      </c>
      <c r="K144" s="13" t="str">
        <f>_xll.BDH("SRPT US Equity","ARDR_FV_ASTS_REC_L2_TRAD_CDO_CLO","FQ4 2020","FQ4 2020","Currency=USD","Period=FQ","BEST_FPERIOD_OVERRIDE=FQ","FILING_STATUS=MR","SCALING_FORMAT=MLN","Sort=A","Dates=H","DateFormat=P","Fill=—","Direction=H","UseDPDF=Y")</f>
        <v>—</v>
      </c>
      <c r="L144" s="13" t="str">
        <f>_xll.BDH("SRPT US Equity","ARDR_FV_ASTS_REC_L2_TRAD_CDO_CLO","FQ1 2021","FQ1 2021","Currency=USD","Period=FQ","BEST_FPERIOD_OVERRIDE=FQ","FILING_STATUS=MR","SCALING_FORMAT=MLN","Sort=A","Dates=H","DateFormat=P","Fill=—","Direction=H","UseDPDF=Y")</f>
        <v>—</v>
      </c>
      <c r="M144" s="13" t="str">
        <f>_xll.BDH("SRPT US Equity","ARDR_FV_ASTS_REC_L2_TRAD_CDO_CLO","FQ2 2021","FQ2 2021","Currency=USD","Period=FQ","BEST_FPERIOD_OVERRIDE=FQ","FILING_STATUS=MR","SCALING_FORMAT=MLN","Sort=A","Dates=H","DateFormat=P","Fill=—","Direction=H","UseDPDF=Y")</f>
        <v>—</v>
      </c>
      <c r="N144" s="13" t="str">
        <f>_xll.BDH("SRPT US Equity","ARDR_FV_ASTS_REC_L2_TRAD_CDO_CLO","FQ3 2021","FQ3 2021","Currency=USD","Period=FQ","BEST_FPERIOD_OVERRIDE=FQ","FILING_STATUS=MR","SCALING_FORMAT=MLN","Sort=A","Dates=H","DateFormat=P","Fill=—","Direction=H","UseDPDF=Y")</f>
        <v>—</v>
      </c>
      <c r="O144" s="13" t="str">
        <f>_xll.BDH("SRPT US Equity","ARDR_FV_ASTS_REC_L2_TRAD_CDO_CLO","FQ4 2021","FQ4 2021","Currency=USD","Period=FQ","BEST_FPERIOD_OVERRIDE=FQ","FILING_STATUS=MR","SCALING_FORMAT=MLN","Sort=A","Dates=H","DateFormat=P","Fill=—","Direction=H","UseDPDF=Y")</f>
        <v>—</v>
      </c>
      <c r="P144" s="13" t="str">
        <f>_xll.BDH("SRPT US Equity","ARDR_FV_ASTS_REC_L2_TRAD_CDO_CLO","FQ1 2022","FQ1 2022","Currency=USD","Period=FQ","BEST_FPERIOD_OVERRIDE=FQ","FILING_STATUS=MR","SCALING_FORMAT=MLN","Sort=A","Dates=H","DateFormat=P","Fill=—","Direction=H","UseDPDF=Y")</f>
        <v>—</v>
      </c>
      <c r="Q144" s="13" t="str">
        <f>_xll.BDH("SRPT US Equity","ARDR_FV_ASTS_REC_L2_TRAD_CDO_CLO","FQ2 2022","FQ2 2022","Currency=USD","Period=FQ","BEST_FPERIOD_OVERRIDE=FQ","FILING_STATUS=MR","SCALING_FORMAT=MLN","Sort=A","Dates=H","DateFormat=P","Fill=—","Direction=H","UseDPDF=Y")</f>
        <v>—</v>
      </c>
      <c r="R144" s="13" t="str">
        <f>_xll.BDH("SRPT US Equity","ARDR_FV_ASTS_REC_L2_TRAD_CDO_CLO","FQ3 2022","FQ3 2022","Currency=USD","Period=FQ","BEST_FPERIOD_OVERRIDE=FQ","FILING_STATUS=MR","SCALING_FORMAT=MLN","Sort=A","Dates=H","DateFormat=P","Fill=—","Direction=H","UseDPDF=Y")</f>
        <v>—</v>
      </c>
      <c r="S144" s="13" t="str">
        <f>_xll.BDH("SRPT US Equity","ARDR_FV_ASTS_REC_L2_TRAD_CDO_CLO","FQ4 2022","FQ4 2022","Currency=USD","Period=FQ","BEST_FPERIOD_OVERRIDE=FQ","FILING_STATUS=MR","SCALING_FORMAT=MLN","Sort=A","Dates=H","DateFormat=P","Fill=—","Direction=H","UseDPDF=Y")</f>
        <v>—</v>
      </c>
      <c r="T144" s="13" t="str">
        <f>_xll.BDH("SRPT US Equity","ARDR_FV_ASTS_REC_L2_TRAD_CDO_CLO","FQ1 2023","FQ1 2023","Currency=USD","Period=FQ","BEST_FPERIOD_OVERRIDE=FQ","FILING_STATUS=MR","SCALING_FORMAT=MLN","Sort=A","Dates=H","DateFormat=P","Fill=—","Direction=H","UseDPDF=Y")</f>
        <v>—</v>
      </c>
      <c r="U144" s="13">
        <f>_xll.BDH("SRPT US Equity","ARDR_FV_ASTS_REC_L2_TRAD_CDO_CLO","FQ2 2023","FQ2 2023","Currency=USD","Period=FQ","BEST_FPERIOD_OVERRIDE=FQ","FILING_STATUS=MR","SCALING_FORMAT=MLN","Sort=A","Dates=H","DateFormat=P","Fill=—","Direction=H","UseDPDF=Y")</f>
        <v>7.9610000000000003</v>
      </c>
      <c r="V144" s="13">
        <f>_xll.BDH("SRPT US Equity","ARDR_FV_ASTS_REC_L2_TRAD_CDO_CLO","FQ3 2023","FQ3 2023","Currency=USD","Period=FQ","BEST_FPERIOD_OVERRIDE=FQ","FILING_STATUS=MR","SCALING_FORMAT=MLN","Sort=A","Dates=H","DateFormat=P","Fill=—","Direction=H","UseDPDF=Y")</f>
        <v>45.066000000000003</v>
      </c>
      <c r="W144" s="13" t="str">
        <f>_xll.BDH("SRPT US Equity","ARDR_FV_ASTS_REC_L2_TRAD_CDO_CLO","FQ4 2023","FQ4 2023","Currency=USD","Period=FQ","BEST_FPERIOD_OVERRIDE=FQ","FILING_STATUS=MR","SCALING_FORMAT=MLN","Sort=A","Dates=H","DateFormat=P","Fill=—","Direction=H","UseDPDF=Y")</f>
        <v>—</v>
      </c>
      <c r="X144" s="13" t="str">
        <f>_xll.BDH("SRPT US Equity","ARDR_FV_ASTS_REC_L2_TRAD_CDO_CLO","FQ1 2024","FQ1 2024","Currency=USD","Period=FQ","BEST_FPERIOD_OVERRIDE=FQ","FILING_STATUS=MR","SCALING_FORMAT=MLN","Sort=A","Dates=H","DateFormat=P","Fill=—","Direction=H","UseDPDF=Y")</f>
        <v>—</v>
      </c>
      <c r="Y144" s="13" t="str">
        <f>_xll.BDH("SRPT US Equity","ARDR_FV_ASTS_REC_L2_TRAD_CDO_CLO","FQ2 2024","FQ2 2024","Currency=USD","Period=FQ","BEST_FPERIOD_OVERRIDE=FQ","FILING_STATUS=MR","SCALING_FORMAT=MLN","Sort=A","Dates=H","DateFormat=P","Fill=—","Direction=H","UseDPDF=Y")</f>
        <v>—</v>
      </c>
      <c r="Z144" s="13" t="str">
        <f>_xll.BDH("SRPT US Equity","ARDR_FV_ASTS_REC_L2_TRAD_CDO_CLO","FQ3 2024","FQ3 2024","Currency=USD","Period=FQ","BEST_FPERIOD_OVERRIDE=FQ","FILING_STATUS=MR","SCALING_FORMAT=MLN","Sort=A","Dates=H","DateFormat=P","Fill=—","Direction=H","UseDPDF=Y")</f>
        <v>—</v>
      </c>
      <c r="AA144" s="13" t="str">
        <f>_xll.BDH("SRPT US Equity","ARDR_FV_ASTS_REC_L2_TRAD_CDO_CLO","FQ4 2024","FQ4 2024","Currency=USD","Period=FQ","BEST_FPERIOD_OVERRIDE=FQ","FILING_STATUS=MR","SCALING_FORMAT=MLN","Sort=A","Dates=H","DateFormat=P","Fill=—","Direction=H","UseDPDF=Y")</f>
        <v>—</v>
      </c>
    </row>
    <row r="145" spans="1:27" x14ac:dyDescent="0.25">
      <c r="A145" s="10" t="s">
        <v>1089</v>
      </c>
      <c r="B145" s="10" t="s">
        <v>1090</v>
      </c>
      <c r="C145" s="13" t="str">
        <f>_xll.BDH("SRPT US Equity","ARDR_FV_ASSETS_REC_L2_TRAD_OTHER","FQ4 2018","FQ4 2018","Currency=USD","Period=FQ","BEST_FPERIOD_OVERRIDE=FQ","FILING_STATUS=MR","SCALING_FORMAT=MLN","Sort=A","Dates=H","DateFormat=P","Fill=—","Direction=H","UseDPDF=Y")</f>
        <v>—</v>
      </c>
      <c r="D145" s="13" t="str">
        <f>_xll.BDH("SRPT US Equity","ARDR_FV_ASSETS_REC_L2_TRAD_OTHER","FQ1 2019","FQ1 2019","Currency=USD","Period=FQ","BEST_FPERIOD_OVERRIDE=FQ","FILING_STATUS=MR","SCALING_FORMAT=MLN","Sort=A","Dates=H","DateFormat=P","Fill=—","Direction=H","UseDPDF=Y")</f>
        <v>—</v>
      </c>
      <c r="E145" s="13" t="str">
        <f>_xll.BDH("SRPT US Equity","ARDR_FV_ASSETS_REC_L2_TRAD_OTHER","FQ2 2019","FQ2 2019","Currency=USD","Period=FQ","BEST_FPERIOD_OVERRIDE=FQ","FILING_STATUS=MR","SCALING_FORMAT=MLN","Sort=A","Dates=H","DateFormat=P","Fill=—","Direction=H","UseDPDF=Y")</f>
        <v>—</v>
      </c>
      <c r="F145" s="13" t="str">
        <f>_xll.BDH("SRPT US Equity","ARDR_FV_ASSETS_REC_L2_TRAD_OTHER","FQ3 2019","FQ3 2019","Currency=USD","Period=FQ","BEST_FPERIOD_OVERRIDE=FQ","FILING_STATUS=MR","SCALING_FORMAT=MLN","Sort=A","Dates=H","DateFormat=P","Fill=—","Direction=H","UseDPDF=Y")</f>
        <v>—</v>
      </c>
      <c r="G145" s="13" t="str">
        <f>_xll.BDH("SRPT US Equity","ARDR_FV_ASSETS_REC_L2_TRAD_OTHER","FQ4 2019","FQ4 2019","Currency=USD","Period=FQ","BEST_FPERIOD_OVERRIDE=FQ","FILING_STATUS=MR","SCALING_FORMAT=MLN","Sort=A","Dates=H","DateFormat=P","Fill=—","Direction=H","UseDPDF=Y")</f>
        <v>—</v>
      </c>
      <c r="H145" s="13" t="str">
        <f>_xll.BDH("SRPT US Equity","ARDR_FV_ASSETS_REC_L2_TRAD_OTHER","FQ1 2020","FQ1 2020","Currency=USD","Period=FQ","BEST_FPERIOD_OVERRIDE=FQ","FILING_STATUS=MR","SCALING_FORMAT=MLN","Sort=A","Dates=H","DateFormat=P","Fill=—","Direction=H","UseDPDF=Y")</f>
        <v>—</v>
      </c>
      <c r="I145" s="13" t="str">
        <f>_xll.BDH("SRPT US Equity","ARDR_FV_ASSETS_REC_L2_TRAD_OTHER","FQ2 2020","FQ2 2020","Currency=USD","Period=FQ","BEST_FPERIOD_OVERRIDE=FQ","FILING_STATUS=MR","SCALING_FORMAT=MLN","Sort=A","Dates=H","DateFormat=P","Fill=—","Direction=H","UseDPDF=Y")</f>
        <v>—</v>
      </c>
      <c r="J145" s="13" t="str">
        <f>_xll.BDH("SRPT US Equity","ARDR_FV_ASSETS_REC_L2_TRAD_OTHER","FQ3 2020","FQ3 2020","Currency=USD","Period=FQ","BEST_FPERIOD_OVERRIDE=FQ","FILING_STATUS=MR","SCALING_FORMAT=MLN","Sort=A","Dates=H","DateFormat=P","Fill=—","Direction=H","UseDPDF=Y")</f>
        <v>—</v>
      </c>
      <c r="K145" s="13" t="str">
        <f>_xll.BDH("SRPT US Equity","ARDR_FV_ASSETS_REC_L2_TRAD_OTHER","FQ4 2020","FQ4 2020","Currency=USD","Period=FQ","BEST_FPERIOD_OVERRIDE=FQ","FILING_STATUS=MR","SCALING_FORMAT=MLN","Sort=A","Dates=H","DateFormat=P","Fill=—","Direction=H","UseDPDF=Y")</f>
        <v>—</v>
      </c>
      <c r="L145" s="13" t="str">
        <f>_xll.BDH("SRPT US Equity","ARDR_FV_ASSETS_REC_L2_TRAD_OTHER","FQ1 2021","FQ1 2021","Currency=USD","Period=FQ","BEST_FPERIOD_OVERRIDE=FQ","FILING_STATUS=MR","SCALING_FORMAT=MLN","Sort=A","Dates=H","DateFormat=P","Fill=—","Direction=H","UseDPDF=Y")</f>
        <v>—</v>
      </c>
      <c r="M145" s="13" t="str">
        <f>_xll.BDH("SRPT US Equity","ARDR_FV_ASSETS_REC_L2_TRAD_OTHER","FQ2 2021","FQ2 2021","Currency=USD","Period=FQ","BEST_FPERIOD_OVERRIDE=FQ","FILING_STATUS=MR","SCALING_FORMAT=MLN","Sort=A","Dates=H","DateFormat=P","Fill=—","Direction=H","UseDPDF=Y")</f>
        <v>—</v>
      </c>
      <c r="N145" s="13" t="str">
        <f>_xll.BDH("SRPT US Equity","ARDR_FV_ASSETS_REC_L2_TRAD_OTHER","FQ3 2021","FQ3 2021","Currency=USD","Period=FQ","BEST_FPERIOD_OVERRIDE=FQ","FILING_STATUS=MR","SCALING_FORMAT=MLN","Sort=A","Dates=H","DateFormat=P","Fill=—","Direction=H","UseDPDF=Y")</f>
        <v>—</v>
      </c>
      <c r="O145" s="13" t="str">
        <f>_xll.BDH("SRPT US Equity","ARDR_FV_ASSETS_REC_L2_TRAD_OTHER","FQ4 2021","FQ4 2021","Currency=USD","Period=FQ","BEST_FPERIOD_OVERRIDE=FQ","FILING_STATUS=MR","SCALING_FORMAT=MLN","Sort=A","Dates=H","DateFormat=P","Fill=—","Direction=H","UseDPDF=Y")</f>
        <v>—</v>
      </c>
      <c r="P145" s="13">
        <f>_xll.BDH("SRPT US Equity","ARDR_FV_ASSETS_REC_L2_TRAD_OTHER","FQ1 2022","FQ1 2022","Currency=USD","Period=FQ","BEST_FPERIOD_OVERRIDE=FQ","FILING_STATUS=MR","SCALING_FORMAT=MLN","Sort=A","Dates=H","DateFormat=P","Fill=—","Direction=H","UseDPDF=Y")</f>
        <v>169.71600000000001</v>
      </c>
      <c r="Q145" s="13" t="str">
        <f>_xll.BDH("SRPT US Equity","ARDR_FV_ASSETS_REC_L2_TRAD_OTHER","FQ2 2022","FQ2 2022","Currency=USD","Period=FQ","BEST_FPERIOD_OVERRIDE=FQ","FILING_STATUS=MR","SCALING_FORMAT=MLN","Sort=A","Dates=H","DateFormat=P","Fill=—","Direction=H","UseDPDF=Y")</f>
        <v>—</v>
      </c>
      <c r="R145" s="13">
        <f>_xll.BDH("SRPT US Equity","ARDR_FV_ASSETS_REC_L2_TRAD_OTHER","FQ3 2022","FQ3 2022","Currency=USD","Period=FQ","BEST_FPERIOD_OVERRIDE=FQ","FILING_STATUS=MR","SCALING_FORMAT=MLN","Sort=A","Dates=H","DateFormat=P","Fill=—","Direction=H","UseDPDF=Y")</f>
        <v>225.59299999999999</v>
      </c>
      <c r="S145" s="13">
        <f>_xll.BDH("SRPT US Equity","ARDR_FV_ASSETS_REC_L2_TRAD_OTHER","FQ4 2022","FQ4 2022","Currency=USD","Period=FQ","BEST_FPERIOD_OVERRIDE=FQ","FILING_STATUS=MR","SCALING_FORMAT=MLN","Sort=A","Dates=H","DateFormat=P","Fill=—","Direction=H","UseDPDF=Y")</f>
        <v>1018.909</v>
      </c>
      <c r="T145" s="13">
        <f>_xll.BDH("SRPT US Equity","ARDR_FV_ASSETS_REC_L2_TRAD_OTHER","FQ1 2023","FQ1 2023","Currency=USD","Period=FQ","BEST_FPERIOD_OVERRIDE=FQ","FILING_STATUS=MR","SCALING_FORMAT=MLN","Sort=A","Dates=H","DateFormat=P","Fill=—","Direction=H","UseDPDF=Y")</f>
        <v>0</v>
      </c>
      <c r="U145" s="13" t="str">
        <f>_xll.BDH("SRPT US Equity","ARDR_FV_ASSETS_REC_L2_TRAD_OTHER","FQ2 2023","FQ2 2023","Currency=USD","Period=FQ","BEST_FPERIOD_OVERRIDE=FQ","FILING_STATUS=MR","SCALING_FORMAT=MLN","Sort=A","Dates=H","DateFormat=P","Fill=—","Direction=H","UseDPDF=Y")</f>
        <v>—</v>
      </c>
      <c r="V145" s="13" t="str">
        <f>_xll.BDH("SRPT US Equity","ARDR_FV_ASSETS_REC_L2_TRAD_OTHER","FQ3 2023","FQ3 2023","Currency=USD","Period=FQ","BEST_FPERIOD_OVERRIDE=FQ","FILING_STATUS=MR","SCALING_FORMAT=MLN","Sort=A","Dates=H","DateFormat=P","Fill=—","Direction=H","UseDPDF=Y")</f>
        <v>—</v>
      </c>
      <c r="W145" s="13">
        <f>_xll.BDH("SRPT US Equity","ARDR_FV_ASSETS_REC_L2_TRAD_OTHER","FQ4 2023","FQ4 2023","Currency=USD","Period=FQ","BEST_FPERIOD_OVERRIDE=FQ","FILING_STATUS=MR","SCALING_FORMAT=MLN","Sort=A","Dates=H","DateFormat=P","Fill=—","Direction=H","UseDPDF=Y")</f>
        <v>1114.499</v>
      </c>
      <c r="X145" s="13">
        <f>_xll.BDH("SRPT US Equity","ARDR_FV_ASSETS_REC_L2_TRAD_OTHER","FQ1 2024","FQ1 2024","Currency=USD","Period=FQ","BEST_FPERIOD_OVERRIDE=FQ","FILING_STATUS=MR","SCALING_FORMAT=MLN","Sort=A","Dates=H","DateFormat=P","Fill=—","Direction=H","UseDPDF=Y")</f>
        <v>0</v>
      </c>
      <c r="Y145" s="13">
        <f>_xll.BDH("SRPT US Equity","ARDR_FV_ASSETS_REC_L2_TRAD_OTHER","FQ2 2024","FQ2 2024","Currency=USD","Period=FQ","BEST_FPERIOD_OVERRIDE=FQ","FILING_STATUS=MR","SCALING_FORMAT=MLN","Sort=A","Dates=H","DateFormat=P","Fill=—","Direction=H","UseDPDF=Y")</f>
        <v>0</v>
      </c>
      <c r="Z145" s="13">
        <f>_xll.BDH("SRPT US Equity","ARDR_FV_ASSETS_REC_L2_TRAD_OTHER","FQ3 2024","FQ3 2024","Currency=USD","Period=FQ","BEST_FPERIOD_OVERRIDE=FQ","FILING_STATUS=MR","SCALING_FORMAT=MLN","Sort=A","Dates=H","DateFormat=P","Fill=—","Direction=H","UseDPDF=Y")</f>
        <v>0</v>
      </c>
      <c r="AA145" s="13">
        <f>_xll.BDH("SRPT US Equity","ARDR_FV_ASSETS_REC_L2_TRAD_OTHER","FQ4 2024","FQ4 2024","Currency=USD","Period=FQ","BEST_FPERIOD_OVERRIDE=FQ","FILING_STATUS=MR","SCALING_FORMAT=MLN","Sort=A","Dates=H","DateFormat=P","Fill=—","Direction=H","UseDPDF=Y")</f>
        <v>279.899</v>
      </c>
    </row>
    <row r="146" spans="1:27" x14ac:dyDescent="0.25">
      <c r="A146" s="10" t="s">
        <v>1091</v>
      </c>
      <c r="B146" s="10" t="s">
        <v>1092</v>
      </c>
      <c r="C146" s="13" t="str">
        <f>_xll.BDH("SRPT US Equity","ARDR_FV_ASTS_REC_L2_AFS_CORP_BDS","FQ4 2018","FQ4 2018","Currency=USD","Period=FQ","BEST_FPERIOD_OVERRIDE=FQ","FILING_STATUS=MR","SCALING_FORMAT=MLN","Sort=A","Dates=H","DateFormat=P","Fill=—","Direction=H","UseDPDF=Y")</f>
        <v>—</v>
      </c>
      <c r="D146" s="13">
        <f>_xll.BDH("SRPT US Equity","ARDR_FV_ASTS_REC_L2_AFS_CORP_BDS","FQ1 2019","FQ1 2019","Currency=USD","Period=FQ","BEST_FPERIOD_OVERRIDE=FQ","FILING_STATUS=MR","SCALING_FORMAT=MLN","Sort=A","Dates=H","DateFormat=P","Fill=—","Direction=H","UseDPDF=Y")</f>
        <v>0</v>
      </c>
      <c r="E146" s="13" t="str">
        <f>_xll.BDH("SRPT US Equity","ARDR_FV_ASTS_REC_L2_AFS_CORP_BDS","FQ2 2019","FQ2 2019","Currency=USD","Period=FQ","BEST_FPERIOD_OVERRIDE=FQ","FILING_STATUS=MR","SCALING_FORMAT=MLN","Sort=A","Dates=H","DateFormat=P","Fill=—","Direction=H","UseDPDF=Y")</f>
        <v>—</v>
      </c>
      <c r="F146" s="13" t="str">
        <f>_xll.BDH("SRPT US Equity","ARDR_FV_ASTS_REC_L2_AFS_CORP_BDS","FQ3 2019","FQ3 2019","Currency=USD","Period=FQ","BEST_FPERIOD_OVERRIDE=FQ","FILING_STATUS=MR","SCALING_FORMAT=MLN","Sort=A","Dates=H","DateFormat=P","Fill=—","Direction=H","UseDPDF=Y")</f>
        <v>—</v>
      </c>
      <c r="G146" s="13">
        <f>_xll.BDH("SRPT US Equity","ARDR_FV_ASTS_REC_L2_AFS_CORP_BDS","FQ4 2019","FQ4 2019","Currency=USD","Period=FQ","BEST_FPERIOD_OVERRIDE=FQ","FILING_STATUS=MR","SCALING_FORMAT=MLN","Sort=A","Dates=H","DateFormat=P","Fill=—","Direction=H","UseDPDF=Y")</f>
        <v>0</v>
      </c>
      <c r="H146" s="13" t="str">
        <f>_xll.BDH("SRPT US Equity","ARDR_FV_ASTS_REC_L2_AFS_CORP_BDS","FQ1 2020","FQ1 2020","Currency=USD","Period=FQ","BEST_FPERIOD_OVERRIDE=FQ","FILING_STATUS=MR","SCALING_FORMAT=MLN","Sort=A","Dates=H","DateFormat=P","Fill=—","Direction=H","UseDPDF=Y")</f>
        <v>—</v>
      </c>
      <c r="I146" s="13" t="str">
        <f>_xll.BDH("SRPT US Equity","ARDR_FV_ASTS_REC_L2_AFS_CORP_BDS","FQ2 2020","FQ2 2020","Currency=USD","Period=FQ","BEST_FPERIOD_OVERRIDE=FQ","FILING_STATUS=MR","SCALING_FORMAT=MLN","Sort=A","Dates=H","DateFormat=P","Fill=—","Direction=H","UseDPDF=Y")</f>
        <v>—</v>
      </c>
      <c r="J146" s="13" t="str">
        <f>_xll.BDH("SRPT US Equity","ARDR_FV_ASTS_REC_L2_AFS_CORP_BDS","FQ3 2020","FQ3 2020","Currency=USD","Period=FQ","BEST_FPERIOD_OVERRIDE=FQ","FILING_STATUS=MR","SCALING_FORMAT=MLN","Sort=A","Dates=H","DateFormat=P","Fill=—","Direction=H","UseDPDF=Y")</f>
        <v>—</v>
      </c>
      <c r="K146" s="13" t="str">
        <f>_xll.BDH("SRPT US Equity","ARDR_FV_ASTS_REC_L2_AFS_CORP_BDS","FQ4 2020","FQ4 2020","Currency=USD","Period=FQ","BEST_FPERIOD_OVERRIDE=FQ","FILING_STATUS=MR","SCALING_FORMAT=MLN","Sort=A","Dates=H","DateFormat=P","Fill=—","Direction=H","UseDPDF=Y")</f>
        <v>—</v>
      </c>
      <c r="L146" s="13" t="str">
        <f>_xll.BDH("SRPT US Equity","ARDR_FV_ASTS_REC_L2_AFS_CORP_BDS","FQ1 2021","FQ1 2021","Currency=USD","Period=FQ","BEST_FPERIOD_OVERRIDE=FQ","FILING_STATUS=MR","SCALING_FORMAT=MLN","Sort=A","Dates=H","DateFormat=P","Fill=—","Direction=H","UseDPDF=Y")</f>
        <v>—</v>
      </c>
      <c r="M146" s="13" t="str">
        <f>_xll.BDH("SRPT US Equity","ARDR_FV_ASTS_REC_L2_AFS_CORP_BDS","FQ2 2021","FQ2 2021","Currency=USD","Period=FQ","BEST_FPERIOD_OVERRIDE=FQ","FILING_STATUS=MR","SCALING_FORMAT=MLN","Sort=A","Dates=H","DateFormat=P","Fill=—","Direction=H","UseDPDF=Y")</f>
        <v>—</v>
      </c>
      <c r="N146" s="13" t="str">
        <f>_xll.BDH("SRPT US Equity","ARDR_FV_ASTS_REC_L2_AFS_CORP_BDS","FQ3 2021","FQ3 2021","Currency=USD","Period=FQ","BEST_FPERIOD_OVERRIDE=FQ","FILING_STATUS=MR","SCALING_FORMAT=MLN","Sort=A","Dates=H","DateFormat=P","Fill=—","Direction=H","UseDPDF=Y")</f>
        <v>—</v>
      </c>
      <c r="O146" s="13" t="str">
        <f>_xll.BDH("SRPT US Equity","ARDR_FV_ASTS_REC_L2_AFS_CORP_BDS","FQ4 2021","FQ4 2021","Currency=USD","Period=FQ","BEST_FPERIOD_OVERRIDE=FQ","FILING_STATUS=MR","SCALING_FORMAT=MLN","Sort=A","Dates=H","DateFormat=P","Fill=—","Direction=H","UseDPDF=Y")</f>
        <v>—</v>
      </c>
      <c r="P146" s="13">
        <f>_xll.BDH("SRPT US Equity","ARDR_FV_ASTS_REC_L2_AFS_CORP_BDS","FQ1 2022","FQ1 2022","Currency=USD","Period=FQ","BEST_FPERIOD_OVERRIDE=FQ","FILING_STATUS=MR","SCALING_FORMAT=MLN","Sort=A","Dates=H","DateFormat=P","Fill=—","Direction=H","UseDPDF=Y")</f>
        <v>734.66399999999999</v>
      </c>
      <c r="Q146" s="13" t="str">
        <f>_xll.BDH("SRPT US Equity","ARDR_FV_ASTS_REC_L2_AFS_CORP_BDS","FQ2 2022","FQ2 2022","Currency=USD","Period=FQ","BEST_FPERIOD_OVERRIDE=FQ","FILING_STATUS=MR","SCALING_FORMAT=MLN","Sort=A","Dates=H","DateFormat=P","Fill=—","Direction=H","UseDPDF=Y")</f>
        <v>—</v>
      </c>
      <c r="R146" s="13" t="str">
        <f>_xll.BDH("SRPT US Equity","ARDR_FV_ASTS_REC_L2_AFS_CORP_BDS","FQ3 2022","FQ3 2022","Currency=USD","Period=FQ","BEST_FPERIOD_OVERRIDE=FQ","FILING_STATUS=MR","SCALING_FORMAT=MLN","Sort=A","Dates=H","DateFormat=P","Fill=—","Direction=H","UseDPDF=Y")</f>
        <v>—</v>
      </c>
      <c r="S146" s="13" t="str">
        <f>_xll.BDH("SRPT US Equity","ARDR_FV_ASTS_REC_L2_AFS_CORP_BDS","FQ4 2022","FQ4 2022","Currency=USD","Period=FQ","BEST_FPERIOD_OVERRIDE=FQ","FILING_STATUS=MR","SCALING_FORMAT=MLN","Sort=A","Dates=H","DateFormat=P","Fill=—","Direction=H","UseDPDF=Y")</f>
        <v>—</v>
      </c>
      <c r="T146" s="13" t="str">
        <f>_xll.BDH("SRPT US Equity","ARDR_FV_ASTS_REC_L2_AFS_CORP_BDS","FQ1 2023","FQ1 2023","Currency=USD","Period=FQ","BEST_FPERIOD_OVERRIDE=FQ","FILING_STATUS=MR","SCALING_FORMAT=MLN","Sort=A","Dates=H","DateFormat=P","Fill=—","Direction=H","UseDPDF=Y")</f>
        <v>—</v>
      </c>
      <c r="U146" s="13" t="str">
        <f>_xll.BDH("SRPT US Equity","ARDR_FV_ASTS_REC_L2_AFS_CORP_BDS","FQ2 2023","FQ2 2023","Currency=USD","Period=FQ","BEST_FPERIOD_OVERRIDE=FQ","FILING_STATUS=MR","SCALING_FORMAT=MLN","Sort=A","Dates=H","DateFormat=P","Fill=—","Direction=H","UseDPDF=Y")</f>
        <v>—</v>
      </c>
      <c r="V146" s="13" t="str">
        <f>_xll.BDH("SRPT US Equity","ARDR_FV_ASTS_REC_L2_AFS_CORP_BDS","FQ3 2023","FQ3 2023","Currency=USD","Period=FQ","BEST_FPERIOD_OVERRIDE=FQ","FILING_STATUS=MR","SCALING_FORMAT=MLN","Sort=A","Dates=H","DateFormat=P","Fill=—","Direction=H","UseDPDF=Y")</f>
        <v>—</v>
      </c>
      <c r="W146" s="13" t="str">
        <f>_xll.BDH("SRPT US Equity","ARDR_FV_ASTS_REC_L2_AFS_CORP_BDS","FQ4 2023","FQ4 2023","Currency=USD","Period=FQ","BEST_FPERIOD_OVERRIDE=FQ","FILING_STATUS=MR","SCALING_FORMAT=MLN","Sort=A","Dates=H","DateFormat=P","Fill=—","Direction=H","UseDPDF=Y")</f>
        <v>—</v>
      </c>
      <c r="X146" s="13" t="str">
        <f>_xll.BDH("SRPT US Equity","ARDR_FV_ASTS_REC_L2_AFS_CORP_BDS","FQ1 2024","FQ1 2024","Currency=USD","Period=FQ","BEST_FPERIOD_OVERRIDE=FQ","FILING_STATUS=MR","SCALING_FORMAT=MLN","Sort=A","Dates=H","DateFormat=P","Fill=—","Direction=H","UseDPDF=Y")</f>
        <v>—</v>
      </c>
      <c r="Y146" s="13" t="str">
        <f>_xll.BDH("SRPT US Equity","ARDR_FV_ASTS_REC_L2_AFS_CORP_BDS","FQ2 2024","FQ2 2024","Currency=USD","Period=FQ","BEST_FPERIOD_OVERRIDE=FQ","FILING_STATUS=MR","SCALING_FORMAT=MLN","Sort=A","Dates=H","DateFormat=P","Fill=—","Direction=H","UseDPDF=Y")</f>
        <v>—</v>
      </c>
      <c r="Z146" s="13" t="str">
        <f>_xll.BDH("SRPT US Equity","ARDR_FV_ASTS_REC_L2_AFS_CORP_BDS","FQ3 2024","FQ3 2024","Currency=USD","Period=FQ","BEST_FPERIOD_OVERRIDE=FQ","FILING_STATUS=MR","SCALING_FORMAT=MLN","Sort=A","Dates=H","DateFormat=P","Fill=—","Direction=H","UseDPDF=Y")</f>
        <v>—</v>
      </c>
      <c r="AA146" s="13" t="str">
        <f>_xll.BDH("SRPT US Equity","ARDR_FV_ASTS_REC_L2_AFS_CORP_BDS","FQ4 2024","FQ4 2024","Currency=USD","Period=FQ","BEST_FPERIOD_OVERRIDE=FQ","FILING_STATUS=MR","SCALING_FORMAT=MLN","Sort=A","Dates=H","DateFormat=P","Fill=—","Direction=H","UseDPDF=Y")</f>
        <v>—</v>
      </c>
    </row>
    <row r="147" spans="1:27" x14ac:dyDescent="0.25">
      <c r="A147" s="10" t="s">
        <v>1093</v>
      </c>
      <c r="B147" s="10" t="s">
        <v>1094</v>
      </c>
      <c r="C147" s="13" t="str">
        <f>_xll.BDH("SRPT US Equity","ARDR_FV_ASTS_REC_L2_DERIVATIVES","FQ4 2018","FQ4 2018","Currency=USD","Period=FQ","BEST_FPERIOD_OVERRIDE=FQ","FILING_STATUS=MR","SCALING_FORMAT=MLN","Sort=A","Dates=H","DateFormat=P","Fill=—","Direction=H","UseDPDF=Y")</f>
        <v>—</v>
      </c>
      <c r="D147" s="13" t="str">
        <f>_xll.BDH("SRPT US Equity","ARDR_FV_ASTS_REC_L2_DERIVATIVES","FQ1 2019","FQ1 2019","Currency=USD","Period=FQ","BEST_FPERIOD_OVERRIDE=FQ","FILING_STATUS=MR","SCALING_FORMAT=MLN","Sort=A","Dates=H","DateFormat=P","Fill=—","Direction=H","UseDPDF=Y")</f>
        <v>—</v>
      </c>
      <c r="E147" s="13" t="str">
        <f>_xll.BDH("SRPT US Equity","ARDR_FV_ASTS_REC_L2_DERIVATIVES","FQ2 2019","FQ2 2019","Currency=USD","Period=FQ","BEST_FPERIOD_OVERRIDE=FQ","FILING_STATUS=MR","SCALING_FORMAT=MLN","Sort=A","Dates=H","DateFormat=P","Fill=—","Direction=H","UseDPDF=Y")</f>
        <v>—</v>
      </c>
      <c r="F147" s="13" t="str">
        <f>_xll.BDH("SRPT US Equity","ARDR_FV_ASTS_REC_L2_DERIVATIVES","FQ3 2019","FQ3 2019","Currency=USD","Period=FQ","BEST_FPERIOD_OVERRIDE=FQ","FILING_STATUS=MR","SCALING_FORMAT=MLN","Sort=A","Dates=H","DateFormat=P","Fill=—","Direction=H","UseDPDF=Y")</f>
        <v>—</v>
      </c>
      <c r="G147" s="13" t="str">
        <f>_xll.BDH("SRPT US Equity","ARDR_FV_ASTS_REC_L2_DERIVATIVES","FQ4 2019","FQ4 2019","Currency=USD","Period=FQ","BEST_FPERIOD_OVERRIDE=FQ","FILING_STATUS=MR","SCALING_FORMAT=MLN","Sort=A","Dates=H","DateFormat=P","Fill=—","Direction=H","UseDPDF=Y")</f>
        <v>—</v>
      </c>
      <c r="H147" s="13" t="str">
        <f>_xll.BDH("SRPT US Equity","ARDR_FV_ASTS_REC_L2_DERIVATIVES","FQ1 2020","FQ1 2020","Currency=USD","Period=FQ","BEST_FPERIOD_OVERRIDE=FQ","FILING_STATUS=MR","SCALING_FORMAT=MLN","Sort=A","Dates=H","DateFormat=P","Fill=—","Direction=H","UseDPDF=Y")</f>
        <v>—</v>
      </c>
      <c r="I147" s="13" t="str">
        <f>_xll.BDH("SRPT US Equity","ARDR_FV_ASTS_REC_L2_DERIVATIVES","FQ2 2020","FQ2 2020","Currency=USD","Period=FQ","BEST_FPERIOD_OVERRIDE=FQ","FILING_STATUS=MR","SCALING_FORMAT=MLN","Sort=A","Dates=H","DateFormat=P","Fill=—","Direction=H","UseDPDF=Y")</f>
        <v>—</v>
      </c>
      <c r="J147" s="13" t="str">
        <f>_xll.BDH("SRPT US Equity","ARDR_FV_ASTS_REC_L2_DERIVATIVES","FQ3 2020","FQ3 2020","Currency=USD","Period=FQ","BEST_FPERIOD_OVERRIDE=FQ","FILING_STATUS=MR","SCALING_FORMAT=MLN","Sort=A","Dates=H","DateFormat=P","Fill=—","Direction=H","UseDPDF=Y")</f>
        <v>—</v>
      </c>
      <c r="K147" s="13" t="str">
        <f>_xll.BDH("SRPT US Equity","ARDR_FV_ASTS_REC_L2_DERIVATIVES","FQ4 2020","FQ4 2020","Currency=USD","Period=FQ","BEST_FPERIOD_OVERRIDE=FQ","FILING_STATUS=MR","SCALING_FORMAT=MLN","Sort=A","Dates=H","DateFormat=P","Fill=—","Direction=H","UseDPDF=Y")</f>
        <v>—</v>
      </c>
      <c r="L147" s="13" t="str">
        <f>_xll.BDH("SRPT US Equity","ARDR_FV_ASTS_REC_L2_DERIVATIVES","FQ1 2021","FQ1 2021","Currency=USD","Period=FQ","BEST_FPERIOD_OVERRIDE=FQ","FILING_STATUS=MR","SCALING_FORMAT=MLN","Sort=A","Dates=H","DateFormat=P","Fill=—","Direction=H","UseDPDF=Y")</f>
        <v>—</v>
      </c>
      <c r="M147" s="13" t="str">
        <f>_xll.BDH("SRPT US Equity","ARDR_FV_ASTS_REC_L2_DERIVATIVES","FQ2 2021","FQ2 2021","Currency=USD","Period=FQ","BEST_FPERIOD_OVERRIDE=FQ","FILING_STATUS=MR","SCALING_FORMAT=MLN","Sort=A","Dates=H","DateFormat=P","Fill=—","Direction=H","UseDPDF=Y")</f>
        <v>—</v>
      </c>
      <c r="N147" s="13" t="str">
        <f>_xll.BDH("SRPT US Equity","ARDR_FV_ASTS_REC_L2_DERIVATIVES","FQ3 2021","FQ3 2021","Currency=USD","Period=FQ","BEST_FPERIOD_OVERRIDE=FQ","FILING_STATUS=MR","SCALING_FORMAT=MLN","Sort=A","Dates=H","DateFormat=P","Fill=—","Direction=H","UseDPDF=Y")</f>
        <v>—</v>
      </c>
      <c r="O147" s="13" t="str">
        <f>_xll.BDH("SRPT US Equity","ARDR_FV_ASTS_REC_L2_DERIVATIVES","FQ4 2021","FQ4 2021","Currency=USD","Period=FQ","BEST_FPERIOD_OVERRIDE=FQ","FILING_STATUS=MR","SCALING_FORMAT=MLN","Sort=A","Dates=H","DateFormat=P","Fill=—","Direction=H","UseDPDF=Y")</f>
        <v>—</v>
      </c>
      <c r="P147" s="13" t="str">
        <f>_xll.BDH("SRPT US Equity","ARDR_FV_ASTS_REC_L2_DERIVATIVES","FQ1 2022","FQ1 2022","Currency=USD","Period=FQ","BEST_FPERIOD_OVERRIDE=FQ","FILING_STATUS=MR","SCALING_FORMAT=MLN","Sort=A","Dates=H","DateFormat=P","Fill=—","Direction=H","UseDPDF=Y")</f>
        <v>—</v>
      </c>
      <c r="Q147" s="13" t="str">
        <f>_xll.BDH("SRPT US Equity","ARDR_FV_ASTS_REC_L2_DERIVATIVES","FQ2 2022","FQ2 2022","Currency=USD","Period=FQ","BEST_FPERIOD_OVERRIDE=FQ","FILING_STATUS=MR","SCALING_FORMAT=MLN","Sort=A","Dates=H","DateFormat=P","Fill=—","Direction=H","UseDPDF=Y")</f>
        <v>—</v>
      </c>
      <c r="R147" s="13" t="str">
        <f>_xll.BDH("SRPT US Equity","ARDR_FV_ASTS_REC_L2_DERIVATIVES","FQ3 2022","FQ3 2022","Currency=USD","Period=FQ","BEST_FPERIOD_OVERRIDE=FQ","FILING_STATUS=MR","SCALING_FORMAT=MLN","Sort=A","Dates=H","DateFormat=P","Fill=—","Direction=H","UseDPDF=Y")</f>
        <v>—</v>
      </c>
      <c r="S147" s="13" t="str">
        <f>_xll.BDH("SRPT US Equity","ARDR_FV_ASTS_REC_L2_DERIVATIVES","FQ4 2022","FQ4 2022","Currency=USD","Period=FQ","BEST_FPERIOD_OVERRIDE=FQ","FILING_STATUS=MR","SCALING_FORMAT=MLN","Sort=A","Dates=H","DateFormat=P","Fill=—","Direction=H","UseDPDF=Y")</f>
        <v>—</v>
      </c>
      <c r="T147" s="13" t="str">
        <f>_xll.BDH("SRPT US Equity","ARDR_FV_ASTS_REC_L2_DERIVATIVES","FQ1 2023","FQ1 2023","Currency=USD","Period=FQ","BEST_FPERIOD_OVERRIDE=FQ","FILING_STATUS=MR","SCALING_FORMAT=MLN","Sort=A","Dates=H","DateFormat=P","Fill=—","Direction=H","UseDPDF=Y")</f>
        <v>—</v>
      </c>
      <c r="U147" s="13" t="str">
        <f>_xll.BDH("SRPT US Equity","ARDR_FV_ASTS_REC_L2_DERIVATIVES","FQ2 2023","FQ2 2023","Currency=USD","Period=FQ","BEST_FPERIOD_OVERRIDE=FQ","FILING_STATUS=MR","SCALING_FORMAT=MLN","Sort=A","Dates=H","DateFormat=P","Fill=—","Direction=H","UseDPDF=Y")</f>
        <v>—</v>
      </c>
      <c r="V147" s="13" t="str">
        <f>_xll.BDH("SRPT US Equity","ARDR_FV_ASTS_REC_L2_DERIVATIVES","FQ3 2023","FQ3 2023","Currency=USD","Period=FQ","BEST_FPERIOD_OVERRIDE=FQ","FILING_STATUS=MR","SCALING_FORMAT=MLN","Sort=A","Dates=H","DateFormat=P","Fill=—","Direction=H","UseDPDF=Y")</f>
        <v>—</v>
      </c>
      <c r="W147" s="13" t="str">
        <f>_xll.BDH("SRPT US Equity","ARDR_FV_ASTS_REC_L2_DERIVATIVES","FQ4 2023","FQ4 2023","Currency=USD","Period=FQ","BEST_FPERIOD_OVERRIDE=FQ","FILING_STATUS=MR","SCALING_FORMAT=MLN","Sort=A","Dates=H","DateFormat=P","Fill=—","Direction=H","UseDPDF=Y")</f>
        <v>—</v>
      </c>
      <c r="X147" s="13" t="str">
        <f>_xll.BDH("SRPT US Equity","ARDR_FV_ASTS_REC_L2_DERIVATIVES","FQ1 2024","FQ1 2024","Currency=USD","Period=FQ","BEST_FPERIOD_OVERRIDE=FQ","FILING_STATUS=MR","SCALING_FORMAT=MLN","Sort=A","Dates=H","DateFormat=P","Fill=—","Direction=H","UseDPDF=Y")</f>
        <v>—</v>
      </c>
      <c r="Y147" s="13" t="str">
        <f>_xll.BDH("SRPT US Equity","ARDR_FV_ASTS_REC_L2_DERIVATIVES","FQ2 2024","FQ2 2024","Currency=USD","Period=FQ","BEST_FPERIOD_OVERRIDE=FQ","FILING_STATUS=MR","SCALING_FORMAT=MLN","Sort=A","Dates=H","DateFormat=P","Fill=—","Direction=H","UseDPDF=Y")</f>
        <v>—</v>
      </c>
      <c r="Z147" s="13">
        <f>_xll.BDH("SRPT US Equity","ARDR_FV_ASTS_REC_L2_DERIVATIVES","FQ3 2024","FQ3 2024","Currency=USD","Period=FQ","BEST_FPERIOD_OVERRIDE=FQ","FILING_STATUS=MR","SCALING_FORMAT=MLN","Sort=A","Dates=H","DateFormat=P","Fill=—","Direction=H","UseDPDF=Y")</f>
        <v>44.622</v>
      </c>
      <c r="AA147" s="13" t="str">
        <f>_xll.BDH("SRPT US Equity","ARDR_FV_ASTS_REC_L2_DERIVATIVES","FQ4 2024","FQ4 2024","Currency=USD","Period=FQ","BEST_FPERIOD_OVERRIDE=FQ","FILING_STATUS=MR","SCALING_FORMAT=MLN","Sort=A","Dates=H","DateFormat=P","Fill=—","Direction=H","UseDPDF=Y")</f>
        <v>—</v>
      </c>
    </row>
    <row r="148" spans="1:27" x14ac:dyDescent="0.25">
      <c r="A148" s="10" t="s">
        <v>1095</v>
      </c>
      <c r="B148" s="10" t="s">
        <v>1096</v>
      </c>
      <c r="C148" s="13" t="str">
        <f>_xll.BDH("SRPT US Equity","ARDR_FV_ASSETS_REC_L2_OTH","FQ4 2018","FQ4 2018","Currency=USD","Period=FQ","BEST_FPERIOD_OVERRIDE=FQ","FILING_STATUS=MR","SCALING_FORMAT=MLN","Sort=A","Dates=H","DateFormat=P","Fill=—","Direction=H","UseDPDF=Y")</f>
        <v>—</v>
      </c>
      <c r="D148" s="13">
        <f>_xll.BDH("SRPT US Equity","ARDR_FV_ASSETS_REC_L2_OTH","FQ1 2019","FQ1 2019","Currency=USD","Period=FQ","BEST_FPERIOD_OVERRIDE=FQ","FILING_STATUS=MR","SCALING_FORMAT=MLN","Sort=A","Dates=H","DateFormat=P","Fill=—","Direction=H","UseDPDF=Y")</f>
        <v>0</v>
      </c>
      <c r="E148" s="13">
        <f>_xll.BDH("SRPT US Equity","ARDR_FV_ASSETS_REC_L2_OTH","FQ2 2019","FQ2 2019","Currency=USD","Period=FQ","BEST_FPERIOD_OVERRIDE=FQ","FILING_STATUS=MR","SCALING_FORMAT=MLN","Sort=A","Dates=H","DateFormat=P","Fill=—","Direction=H","UseDPDF=Y")</f>
        <v>87.37</v>
      </c>
      <c r="F148" s="13">
        <f>_xll.BDH("SRPT US Equity","ARDR_FV_ASSETS_REC_L2_OTH","FQ3 2019","FQ3 2019","Currency=USD","Period=FQ","BEST_FPERIOD_OVERRIDE=FQ","FILING_STATUS=MR","SCALING_FORMAT=MLN","Sort=A","Dates=H","DateFormat=P","Fill=—","Direction=H","UseDPDF=Y")</f>
        <v>9.984</v>
      </c>
      <c r="G148" s="13">
        <f>_xll.BDH("SRPT US Equity","ARDR_FV_ASSETS_REC_L2_OTH","FQ4 2019","FQ4 2019","Currency=USD","Period=FQ","BEST_FPERIOD_OVERRIDE=FQ","FILING_STATUS=MR","SCALING_FORMAT=MLN","Sort=A","Dates=H","DateFormat=P","Fill=—","Direction=H","UseDPDF=Y")</f>
        <v>0</v>
      </c>
      <c r="H148" s="13">
        <f>_xll.BDH("SRPT US Equity","ARDR_FV_ASSETS_REC_L2_OTH","FQ1 2020","FQ1 2020","Currency=USD","Period=FQ","BEST_FPERIOD_OVERRIDE=FQ","FILING_STATUS=MR","SCALING_FORMAT=MLN","Sort=A","Dates=H","DateFormat=P","Fill=—","Direction=H","UseDPDF=Y")</f>
        <v>0</v>
      </c>
      <c r="I148" s="13">
        <f>_xll.BDH("SRPT US Equity","ARDR_FV_ASSETS_REC_L2_OTH","FQ2 2020","FQ2 2020","Currency=USD","Period=FQ","BEST_FPERIOD_OVERRIDE=FQ","FILING_STATUS=MR","SCALING_FORMAT=MLN","Sort=A","Dates=H","DateFormat=P","Fill=—","Direction=H","UseDPDF=Y")</f>
        <v>0</v>
      </c>
      <c r="J148" s="13">
        <f>_xll.BDH("SRPT US Equity","ARDR_FV_ASSETS_REC_L2_OTH","FQ3 2020","FQ3 2020","Currency=USD","Period=FQ","BEST_FPERIOD_OVERRIDE=FQ","FILING_STATUS=MR","SCALING_FORMAT=MLN","Sort=A","Dates=H","DateFormat=P","Fill=—","Direction=H","UseDPDF=Y")</f>
        <v>0</v>
      </c>
      <c r="K148" s="13">
        <f>_xll.BDH("SRPT US Equity","ARDR_FV_ASSETS_REC_L2_OTH","FQ4 2020","FQ4 2020","Currency=USD","Period=FQ","BEST_FPERIOD_OVERRIDE=FQ","FILING_STATUS=MR","SCALING_FORMAT=MLN","Sort=A","Dates=H","DateFormat=P","Fill=—","Direction=H","UseDPDF=Y")</f>
        <v>0</v>
      </c>
      <c r="L148" s="13">
        <f>_xll.BDH("SRPT US Equity","ARDR_FV_ASSETS_REC_L2_OTH","FQ1 2021","FQ1 2021","Currency=USD","Period=FQ","BEST_FPERIOD_OVERRIDE=FQ","FILING_STATUS=MR","SCALING_FORMAT=MLN","Sort=A","Dates=H","DateFormat=P","Fill=—","Direction=H","UseDPDF=Y")</f>
        <v>0</v>
      </c>
      <c r="M148" s="13">
        <f>_xll.BDH("SRPT US Equity","ARDR_FV_ASSETS_REC_L2_OTH","FQ2 2021","FQ2 2021","Currency=USD","Period=FQ","BEST_FPERIOD_OVERRIDE=FQ","FILING_STATUS=MR","SCALING_FORMAT=MLN","Sort=A","Dates=H","DateFormat=P","Fill=—","Direction=H","UseDPDF=Y")</f>
        <v>0</v>
      </c>
      <c r="N148" s="13">
        <f>_xll.BDH("SRPT US Equity","ARDR_FV_ASSETS_REC_L2_OTH","FQ3 2021","FQ3 2021","Currency=USD","Period=FQ","BEST_FPERIOD_OVERRIDE=FQ","FILING_STATUS=MR","SCALING_FORMAT=MLN","Sort=A","Dates=H","DateFormat=P","Fill=—","Direction=H","UseDPDF=Y")</f>
        <v>0</v>
      </c>
      <c r="O148" s="13">
        <f>_xll.BDH("SRPT US Equity","ARDR_FV_ASSETS_REC_L2_OTH","FQ4 2021","FQ4 2021","Currency=USD","Period=FQ","BEST_FPERIOD_OVERRIDE=FQ","FILING_STATUS=MR","SCALING_FORMAT=MLN","Sort=A","Dates=H","DateFormat=P","Fill=—","Direction=H","UseDPDF=Y")</f>
        <v>0</v>
      </c>
      <c r="P148" s="13" t="str">
        <f>_xll.BDH("SRPT US Equity","ARDR_FV_ASSETS_REC_L2_OTH","FQ1 2022","FQ1 2022","Currency=USD","Period=FQ","BEST_FPERIOD_OVERRIDE=FQ","FILING_STATUS=MR","SCALING_FORMAT=MLN","Sort=A","Dates=H","DateFormat=P","Fill=—","Direction=H","UseDPDF=Y")</f>
        <v>—</v>
      </c>
      <c r="Q148" s="13">
        <f>_xll.BDH("SRPT US Equity","ARDR_FV_ASSETS_REC_L2_OTH","FQ2 2022","FQ2 2022","Currency=USD","Period=FQ","BEST_FPERIOD_OVERRIDE=FQ","FILING_STATUS=MR","SCALING_FORMAT=MLN","Sort=A","Dates=H","DateFormat=P","Fill=—","Direction=H","UseDPDF=Y")</f>
        <v>1102.3910000000001</v>
      </c>
      <c r="R148" s="13" t="str">
        <f>_xll.BDH("SRPT US Equity","ARDR_FV_ASSETS_REC_L2_OTH","FQ3 2022","FQ3 2022","Currency=USD","Period=FQ","BEST_FPERIOD_OVERRIDE=FQ","FILING_STATUS=MR","SCALING_FORMAT=MLN","Sort=A","Dates=H","DateFormat=P","Fill=—","Direction=H","UseDPDF=Y")</f>
        <v>—</v>
      </c>
      <c r="S148" s="13">
        <f>_xll.BDH("SRPT US Equity","ARDR_FV_ASSETS_REC_L2_OTH","FQ4 2022","FQ4 2022","Currency=USD","Period=FQ","BEST_FPERIOD_OVERRIDE=FQ","FILING_STATUS=MR","SCALING_FORMAT=MLN","Sort=A","Dates=H","DateFormat=P","Fill=—","Direction=H","UseDPDF=Y")</f>
        <v>42.744999999999997</v>
      </c>
      <c r="T148" s="13">
        <f>_xll.BDH("SRPT US Equity","ARDR_FV_ASSETS_REC_L2_OTH","FQ1 2023","FQ1 2023","Currency=USD","Period=FQ","BEST_FPERIOD_OVERRIDE=FQ","FILING_STATUS=MR","SCALING_FORMAT=MLN","Sort=A","Dates=H","DateFormat=P","Fill=—","Direction=H","UseDPDF=Y")</f>
        <v>21.143000000000001</v>
      </c>
      <c r="U148" s="13" t="str">
        <f>_xll.BDH("SRPT US Equity","ARDR_FV_ASSETS_REC_L2_OTH","FQ2 2023","FQ2 2023","Currency=USD","Period=FQ","BEST_FPERIOD_OVERRIDE=FQ","FILING_STATUS=MR","SCALING_FORMAT=MLN","Sort=A","Dates=H","DateFormat=P","Fill=—","Direction=H","UseDPDF=Y")</f>
        <v>—</v>
      </c>
      <c r="V148" s="13" t="str">
        <f>_xll.BDH("SRPT US Equity","ARDR_FV_ASSETS_REC_L2_OTH","FQ3 2023","FQ3 2023","Currency=USD","Period=FQ","BEST_FPERIOD_OVERRIDE=FQ","FILING_STATUS=MR","SCALING_FORMAT=MLN","Sort=A","Dates=H","DateFormat=P","Fill=—","Direction=H","UseDPDF=Y")</f>
        <v>—</v>
      </c>
      <c r="W148" s="13">
        <f>_xll.BDH("SRPT US Equity","ARDR_FV_ASSETS_REC_L2_OTH","FQ4 2023","FQ4 2023","Currency=USD","Period=FQ","BEST_FPERIOD_OVERRIDE=FQ","FILING_STATUS=MR","SCALING_FORMAT=MLN","Sort=A","Dates=H","DateFormat=P","Fill=—","Direction=H","UseDPDF=Y")</f>
        <v>56.621000000000002</v>
      </c>
      <c r="X148" s="13">
        <f>_xll.BDH("SRPT US Equity","ARDR_FV_ASSETS_REC_L2_OTH","FQ1 2024","FQ1 2024","Currency=USD","Period=FQ","BEST_FPERIOD_OVERRIDE=FQ","FILING_STATUS=MR","SCALING_FORMAT=MLN","Sort=A","Dates=H","DateFormat=P","Fill=—","Direction=H","UseDPDF=Y")</f>
        <v>54.863</v>
      </c>
      <c r="Y148" s="13">
        <f>_xll.BDH("SRPT US Equity","ARDR_FV_ASSETS_REC_L2_OTH","FQ2 2024","FQ2 2024","Currency=USD","Period=FQ","BEST_FPERIOD_OVERRIDE=FQ","FILING_STATUS=MR","SCALING_FORMAT=MLN","Sort=A","Dates=H","DateFormat=P","Fill=—","Direction=H","UseDPDF=Y")</f>
        <v>53.13</v>
      </c>
      <c r="Z148" s="13">
        <f>_xll.BDH("SRPT US Equity","ARDR_FV_ASSETS_REC_L2_OTH","FQ3 2024","FQ3 2024","Currency=USD","Period=FQ","BEST_FPERIOD_OVERRIDE=FQ","FILING_STATUS=MR","SCALING_FORMAT=MLN","Sort=A","Dates=H","DateFormat=P","Fill=—","Direction=H","UseDPDF=Y")</f>
        <v>17.988</v>
      </c>
      <c r="AA148" s="13">
        <f>_xll.BDH("SRPT US Equity","ARDR_FV_ASSETS_REC_L2_OTH","FQ4 2024","FQ4 2024","Currency=USD","Period=FQ","BEST_FPERIOD_OVERRIDE=FQ","FILING_STATUS=MR","SCALING_FORMAT=MLN","Sort=A","Dates=H","DateFormat=P","Fill=—","Direction=H","UseDPDF=Y")</f>
        <v>11.319000000000001</v>
      </c>
    </row>
    <row r="149" spans="1:27" x14ac:dyDescent="0.25">
      <c r="A149" s="10" t="s">
        <v>1097</v>
      </c>
      <c r="B149" s="10" t="s">
        <v>1098</v>
      </c>
      <c r="C149" s="13" t="str">
        <f>_xll.BDH("SRPT US Equity","ARDR_FV_ASTS_REC_L3_TRAD_TREAS","FQ4 2018","FQ4 2018","Currency=USD","Period=FQ","BEST_FPERIOD_OVERRIDE=FQ","FILING_STATUS=MR","SCALING_FORMAT=MLN","Sort=A","Dates=H","DateFormat=P","Fill=—","Direction=H","UseDPDF=Y")</f>
        <v>—</v>
      </c>
      <c r="D149" s="13">
        <f>_xll.BDH("SRPT US Equity","ARDR_FV_ASTS_REC_L3_TRAD_TREAS","FQ1 2019","FQ1 2019","Currency=USD","Period=FQ","BEST_FPERIOD_OVERRIDE=FQ","FILING_STATUS=MR","SCALING_FORMAT=MLN","Sort=A","Dates=H","DateFormat=P","Fill=—","Direction=H","UseDPDF=Y")</f>
        <v>0</v>
      </c>
      <c r="E149" s="13" t="str">
        <f>_xll.BDH("SRPT US Equity","ARDR_FV_ASTS_REC_L3_TRAD_TREAS","FQ2 2019","FQ2 2019","Currency=USD","Period=FQ","BEST_FPERIOD_OVERRIDE=FQ","FILING_STATUS=MR","SCALING_FORMAT=MLN","Sort=A","Dates=H","DateFormat=P","Fill=—","Direction=H","UseDPDF=Y")</f>
        <v>—</v>
      </c>
      <c r="F149" s="13">
        <f>_xll.BDH("SRPT US Equity","ARDR_FV_ASTS_REC_L3_TRAD_TREAS","FQ3 2019","FQ3 2019","Currency=USD","Period=FQ","BEST_FPERIOD_OVERRIDE=FQ","FILING_STATUS=MR","SCALING_FORMAT=MLN","Sort=A","Dates=H","DateFormat=P","Fill=—","Direction=H","UseDPDF=Y")</f>
        <v>0</v>
      </c>
      <c r="G149" s="13">
        <f>_xll.BDH("SRPT US Equity","ARDR_FV_ASTS_REC_L3_TRAD_TREAS","FQ4 2019","FQ4 2019","Currency=USD","Period=FQ","BEST_FPERIOD_OVERRIDE=FQ","FILING_STATUS=MR","SCALING_FORMAT=MLN","Sort=A","Dates=H","DateFormat=P","Fill=—","Direction=H","UseDPDF=Y")</f>
        <v>0</v>
      </c>
      <c r="H149" s="13">
        <f>_xll.BDH("SRPT US Equity","ARDR_FV_ASTS_REC_L3_TRAD_TREAS","FQ1 2020","FQ1 2020","Currency=USD","Period=FQ","BEST_FPERIOD_OVERRIDE=FQ","FILING_STATUS=MR","SCALING_FORMAT=MLN","Sort=A","Dates=H","DateFormat=P","Fill=—","Direction=H","UseDPDF=Y")</f>
        <v>0</v>
      </c>
      <c r="I149" s="13">
        <f>_xll.BDH("SRPT US Equity","ARDR_FV_ASTS_REC_L3_TRAD_TREAS","FQ2 2020","FQ2 2020","Currency=USD","Period=FQ","BEST_FPERIOD_OVERRIDE=FQ","FILING_STATUS=MR","SCALING_FORMAT=MLN","Sort=A","Dates=H","DateFormat=P","Fill=—","Direction=H","UseDPDF=Y")</f>
        <v>0</v>
      </c>
      <c r="J149" s="13">
        <f>_xll.BDH("SRPT US Equity","ARDR_FV_ASTS_REC_L3_TRAD_TREAS","FQ3 2020","FQ3 2020","Currency=USD","Period=FQ","BEST_FPERIOD_OVERRIDE=FQ","FILING_STATUS=MR","SCALING_FORMAT=MLN","Sort=A","Dates=H","DateFormat=P","Fill=—","Direction=H","UseDPDF=Y")</f>
        <v>0</v>
      </c>
      <c r="K149" s="13">
        <f>_xll.BDH("SRPT US Equity","ARDR_FV_ASTS_REC_L3_TRAD_TREAS","FQ4 2020","FQ4 2020","Currency=USD","Period=FQ","BEST_FPERIOD_OVERRIDE=FQ","FILING_STATUS=MR","SCALING_FORMAT=MLN","Sort=A","Dates=H","DateFormat=P","Fill=—","Direction=H","UseDPDF=Y")</f>
        <v>0</v>
      </c>
      <c r="L149" s="13">
        <f>_xll.BDH("SRPT US Equity","ARDR_FV_ASTS_REC_L3_TRAD_TREAS","FQ1 2021","FQ1 2021","Currency=USD","Period=FQ","BEST_FPERIOD_OVERRIDE=FQ","FILING_STATUS=MR","SCALING_FORMAT=MLN","Sort=A","Dates=H","DateFormat=P","Fill=—","Direction=H","UseDPDF=Y")</f>
        <v>0</v>
      </c>
      <c r="M149" s="13">
        <f>_xll.BDH("SRPT US Equity","ARDR_FV_ASTS_REC_L3_TRAD_TREAS","FQ2 2021","FQ2 2021","Currency=USD","Period=FQ","BEST_FPERIOD_OVERRIDE=FQ","FILING_STATUS=MR","SCALING_FORMAT=MLN","Sort=A","Dates=H","DateFormat=P","Fill=—","Direction=H","UseDPDF=Y")</f>
        <v>0</v>
      </c>
      <c r="N149" s="13">
        <f>_xll.BDH("SRPT US Equity","ARDR_FV_ASTS_REC_L3_TRAD_TREAS","FQ3 2021","FQ3 2021","Currency=USD","Period=FQ","BEST_FPERIOD_OVERRIDE=FQ","FILING_STATUS=MR","SCALING_FORMAT=MLN","Sort=A","Dates=H","DateFormat=P","Fill=—","Direction=H","UseDPDF=Y")</f>
        <v>0</v>
      </c>
      <c r="O149" s="13">
        <f>_xll.BDH("SRPT US Equity","ARDR_FV_ASTS_REC_L3_TRAD_TREAS","FQ4 2021","FQ4 2021","Currency=USD","Period=FQ","BEST_FPERIOD_OVERRIDE=FQ","FILING_STATUS=MR","SCALING_FORMAT=MLN","Sort=A","Dates=H","DateFormat=P","Fill=—","Direction=H","UseDPDF=Y")</f>
        <v>0</v>
      </c>
      <c r="P149" s="13">
        <f>_xll.BDH("SRPT US Equity","ARDR_FV_ASTS_REC_L3_TRAD_TREAS","FQ1 2022","FQ1 2022","Currency=USD","Period=FQ","BEST_FPERIOD_OVERRIDE=FQ","FILING_STATUS=MR","SCALING_FORMAT=MLN","Sort=A","Dates=H","DateFormat=P","Fill=—","Direction=H","UseDPDF=Y")</f>
        <v>0</v>
      </c>
      <c r="Q149" s="13">
        <f>_xll.BDH("SRPT US Equity","ARDR_FV_ASTS_REC_L3_TRAD_TREAS","FQ2 2022","FQ2 2022","Currency=USD","Period=FQ","BEST_FPERIOD_OVERRIDE=FQ","FILING_STATUS=MR","SCALING_FORMAT=MLN","Sort=A","Dates=H","DateFormat=P","Fill=—","Direction=H","UseDPDF=Y")</f>
        <v>0</v>
      </c>
      <c r="R149" s="13">
        <f>_xll.BDH("SRPT US Equity","ARDR_FV_ASTS_REC_L3_TRAD_TREAS","FQ3 2022","FQ3 2022","Currency=USD","Period=FQ","BEST_FPERIOD_OVERRIDE=FQ","FILING_STATUS=MR","SCALING_FORMAT=MLN","Sort=A","Dates=H","DateFormat=P","Fill=—","Direction=H","UseDPDF=Y")</f>
        <v>0</v>
      </c>
      <c r="S149" s="13">
        <f>_xll.BDH("SRPT US Equity","ARDR_FV_ASTS_REC_L3_TRAD_TREAS","FQ4 2022","FQ4 2022","Currency=USD","Period=FQ","BEST_FPERIOD_OVERRIDE=FQ","FILING_STATUS=MR","SCALING_FORMAT=MLN","Sort=A","Dates=H","DateFormat=P","Fill=—","Direction=H","UseDPDF=Y")</f>
        <v>0</v>
      </c>
      <c r="T149" s="13">
        <f>_xll.BDH("SRPT US Equity","ARDR_FV_ASTS_REC_L3_TRAD_TREAS","FQ1 2023","FQ1 2023","Currency=USD","Period=FQ","BEST_FPERIOD_OVERRIDE=FQ","FILING_STATUS=MR","SCALING_FORMAT=MLN","Sort=A","Dates=H","DateFormat=P","Fill=—","Direction=H","UseDPDF=Y")</f>
        <v>0</v>
      </c>
      <c r="U149" s="13">
        <f>_xll.BDH("SRPT US Equity","ARDR_FV_ASTS_REC_L3_TRAD_TREAS","FQ2 2023","FQ2 2023","Currency=USD","Period=FQ","BEST_FPERIOD_OVERRIDE=FQ","FILING_STATUS=MR","SCALING_FORMAT=MLN","Sort=A","Dates=H","DateFormat=P","Fill=—","Direction=H","UseDPDF=Y")</f>
        <v>0</v>
      </c>
      <c r="V149" s="13">
        <f>_xll.BDH("SRPT US Equity","ARDR_FV_ASTS_REC_L3_TRAD_TREAS","FQ3 2023","FQ3 2023","Currency=USD","Period=FQ","BEST_FPERIOD_OVERRIDE=FQ","FILING_STATUS=MR","SCALING_FORMAT=MLN","Sort=A","Dates=H","DateFormat=P","Fill=—","Direction=H","UseDPDF=Y")</f>
        <v>0</v>
      </c>
      <c r="W149" s="13">
        <f>_xll.BDH("SRPT US Equity","ARDR_FV_ASTS_REC_L3_TRAD_TREAS","FQ4 2023","FQ4 2023","Currency=USD","Period=FQ","BEST_FPERIOD_OVERRIDE=FQ","FILING_STATUS=MR","SCALING_FORMAT=MLN","Sort=A","Dates=H","DateFormat=P","Fill=—","Direction=H","UseDPDF=Y")</f>
        <v>0</v>
      </c>
      <c r="X149" s="13">
        <f>_xll.BDH("SRPT US Equity","ARDR_FV_ASTS_REC_L3_TRAD_TREAS","FQ1 2024","FQ1 2024","Currency=USD","Period=FQ","BEST_FPERIOD_OVERRIDE=FQ","FILING_STATUS=MR","SCALING_FORMAT=MLN","Sort=A","Dates=H","DateFormat=P","Fill=—","Direction=H","UseDPDF=Y")</f>
        <v>0</v>
      </c>
      <c r="Y149" s="13">
        <f>_xll.BDH("SRPT US Equity","ARDR_FV_ASTS_REC_L3_TRAD_TREAS","FQ2 2024","FQ2 2024","Currency=USD","Period=FQ","BEST_FPERIOD_OVERRIDE=FQ","FILING_STATUS=MR","SCALING_FORMAT=MLN","Sort=A","Dates=H","DateFormat=P","Fill=—","Direction=H","UseDPDF=Y")</f>
        <v>0</v>
      </c>
      <c r="Z149" s="13">
        <f>_xll.BDH("SRPT US Equity","ARDR_FV_ASTS_REC_L3_TRAD_TREAS","FQ3 2024","FQ3 2024","Currency=USD","Period=FQ","BEST_FPERIOD_OVERRIDE=FQ","FILING_STATUS=MR","SCALING_FORMAT=MLN","Sort=A","Dates=H","DateFormat=P","Fill=—","Direction=H","UseDPDF=Y")</f>
        <v>0</v>
      </c>
      <c r="AA149" s="13">
        <f>_xll.BDH("SRPT US Equity","ARDR_FV_ASTS_REC_L3_TRAD_TREAS","FQ4 2024","FQ4 2024","Currency=USD","Period=FQ","BEST_FPERIOD_OVERRIDE=FQ","FILING_STATUS=MR","SCALING_FORMAT=MLN","Sort=A","Dates=H","DateFormat=P","Fill=—","Direction=H","UseDPDF=Y")</f>
        <v>0</v>
      </c>
    </row>
    <row r="150" spans="1:27" x14ac:dyDescent="0.25">
      <c r="A150" s="10" t="s">
        <v>1099</v>
      </c>
      <c r="B150" s="10" t="s">
        <v>1100</v>
      </c>
      <c r="C150" s="13" t="str">
        <f>_xll.BDH("SRPT US Equity","ARDR_FV_ASTS_REC_L3_TRAD_BONDS","FQ4 2018","FQ4 2018","Currency=USD","Period=FQ","BEST_FPERIOD_OVERRIDE=FQ","FILING_STATUS=MR","SCALING_FORMAT=MLN","Sort=A","Dates=H","DateFormat=P","Fill=—","Direction=H","UseDPDF=Y")</f>
        <v>—</v>
      </c>
      <c r="D150" s="13" t="str">
        <f>_xll.BDH("SRPT US Equity","ARDR_FV_ASTS_REC_L3_TRAD_BONDS","FQ1 2019","FQ1 2019","Currency=USD","Period=FQ","BEST_FPERIOD_OVERRIDE=FQ","FILING_STATUS=MR","SCALING_FORMAT=MLN","Sort=A","Dates=H","DateFormat=P","Fill=—","Direction=H","UseDPDF=Y")</f>
        <v>—</v>
      </c>
      <c r="E150" s="13" t="str">
        <f>_xll.BDH("SRPT US Equity","ARDR_FV_ASTS_REC_L3_TRAD_BONDS","FQ2 2019","FQ2 2019","Currency=USD","Period=FQ","BEST_FPERIOD_OVERRIDE=FQ","FILING_STATUS=MR","SCALING_FORMAT=MLN","Sort=A","Dates=H","DateFormat=P","Fill=—","Direction=H","UseDPDF=Y")</f>
        <v>—</v>
      </c>
      <c r="F150" s="13" t="str">
        <f>_xll.BDH("SRPT US Equity","ARDR_FV_ASTS_REC_L3_TRAD_BONDS","FQ3 2019","FQ3 2019","Currency=USD","Period=FQ","BEST_FPERIOD_OVERRIDE=FQ","FILING_STATUS=MR","SCALING_FORMAT=MLN","Sort=A","Dates=H","DateFormat=P","Fill=—","Direction=H","UseDPDF=Y")</f>
        <v>—</v>
      </c>
      <c r="G150" s="13" t="str">
        <f>_xll.BDH("SRPT US Equity","ARDR_FV_ASTS_REC_L3_TRAD_BONDS","FQ4 2019","FQ4 2019","Currency=USD","Period=FQ","BEST_FPERIOD_OVERRIDE=FQ","FILING_STATUS=MR","SCALING_FORMAT=MLN","Sort=A","Dates=H","DateFormat=P","Fill=—","Direction=H","UseDPDF=Y")</f>
        <v>—</v>
      </c>
      <c r="H150" s="13" t="str">
        <f>_xll.BDH("SRPT US Equity","ARDR_FV_ASTS_REC_L3_TRAD_BONDS","FQ1 2020","FQ1 2020","Currency=USD","Period=FQ","BEST_FPERIOD_OVERRIDE=FQ","FILING_STATUS=MR","SCALING_FORMAT=MLN","Sort=A","Dates=H","DateFormat=P","Fill=—","Direction=H","UseDPDF=Y")</f>
        <v>—</v>
      </c>
      <c r="I150" s="13" t="str">
        <f>_xll.BDH("SRPT US Equity","ARDR_FV_ASTS_REC_L3_TRAD_BONDS","FQ2 2020","FQ2 2020","Currency=USD","Period=FQ","BEST_FPERIOD_OVERRIDE=FQ","FILING_STATUS=MR","SCALING_FORMAT=MLN","Sort=A","Dates=H","DateFormat=P","Fill=—","Direction=H","UseDPDF=Y")</f>
        <v>—</v>
      </c>
      <c r="J150" s="13" t="str">
        <f>_xll.BDH("SRPT US Equity","ARDR_FV_ASTS_REC_L3_TRAD_BONDS","FQ3 2020","FQ3 2020","Currency=USD","Period=FQ","BEST_FPERIOD_OVERRIDE=FQ","FILING_STATUS=MR","SCALING_FORMAT=MLN","Sort=A","Dates=H","DateFormat=P","Fill=—","Direction=H","UseDPDF=Y")</f>
        <v>—</v>
      </c>
      <c r="K150" s="13" t="str">
        <f>_xll.BDH("SRPT US Equity","ARDR_FV_ASTS_REC_L3_TRAD_BONDS","FQ4 2020","FQ4 2020","Currency=USD","Period=FQ","BEST_FPERIOD_OVERRIDE=FQ","FILING_STATUS=MR","SCALING_FORMAT=MLN","Sort=A","Dates=H","DateFormat=P","Fill=—","Direction=H","UseDPDF=Y")</f>
        <v>—</v>
      </c>
      <c r="L150" s="13" t="str">
        <f>_xll.BDH("SRPT US Equity","ARDR_FV_ASTS_REC_L3_TRAD_BONDS","FQ1 2021","FQ1 2021","Currency=USD","Period=FQ","BEST_FPERIOD_OVERRIDE=FQ","FILING_STATUS=MR","SCALING_FORMAT=MLN","Sort=A","Dates=H","DateFormat=P","Fill=—","Direction=H","UseDPDF=Y")</f>
        <v>—</v>
      </c>
      <c r="M150" s="13" t="str">
        <f>_xll.BDH("SRPT US Equity","ARDR_FV_ASTS_REC_L3_TRAD_BONDS","FQ2 2021","FQ2 2021","Currency=USD","Period=FQ","BEST_FPERIOD_OVERRIDE=FQ","FILING_STATUS=MR","SCALING_FORMAT=MLN","Sort=A","Dates=H","DateFormat=P","Fill=—","Direction=H","UseDPDF=Y")</f>
        <v>—</v>
      </c>
      <c r="N150" s="13" t="str">
        <f>_xll.BDH("SRPT US Equity","ARDR_FV_ASTS_REC_L3_TRAD_BONDS","FQ3 2021","FQ3 2021","Currency=USD","Period=FQ","BEST_FPERIOD_OVERRIDE=FQ","FILING_STATUS=MR","SCALING_FORMAT=MLN","Sort=A","Dates=H","DateFormat=P","Fill=—","Direction=H","UseDPDF=Y")</f>
        <v>—</v>
      </c>
      <c r="O150" s="13" t="str">
        <f>_xll.BDH("SRPT US Equity","ARDR_FV_ASTS_REC_L3_TRAD_BONDS","FQ4 2021","FQ4 2021","Currency=USD","Period=FQ","BEST_FPERIOD_OVERRIDE=FQ","FILING_STATUS=MR","SCALING_FORMAT=MLN","Sort=A","Dates=H","DateFormat=P","Fill=—","Direction=H","UseDPDF=Y")</f>
        <v>—</v>
      </c>
      <c r="P150" s="13" t="str">
        <f>_xll.BDH("SRPT US Equity","ARDR_FV_ASTS_REC_L3_TRAD_BONDS","FQ1 2022","FQ1 2022","Currency=USD","Period=FQ","BEST_FPERIOD_OVERRIDE=FQ","FILING_STATUS=MR","SCALING_FORMAT=MLN","Sort=A","Dates=H","DateFormat=P","Fill=—","Direction=H","UseDPDF=Y")</f>
        <v>—</v>
      </c>
      <c r="Q150" s="13" t="str">
        <f>_xll.BDH("SRPT US Equity","ARDR_FV_ASTS_REC_L3_TRAD_BONDS","FQ2 2022","FQ2 2022","Currency=USD","Period=FQ","BEST_FPERIOD_OVERRIDE=FQ","FILING_STATUS=MR","SCALING_FORMAT=MLN","Sort=A","Dates=H","DateFormat=P","Fill=—","Direction=H","UseDPDF=Y")</f>
        <v>—</v>
      </c>
      <c r="R150" s="13">
        <f>_xll.BDH("SRPT US Equity","ARDR_FV_ASTS_REC_L3_TRAD_BONDS","FQ3 2022","FQ3 2022","Currency=USD","Period=FQ","BEST_FPERIOD_OVERRIDE=FQ","FILING_STATUS=MR","SCALING_FORMAT=MLN","Sort=A","Dates=H","DateFormat=P","Fill=—","Direction=H","UseDPDF=Y")</f>
        <v>0</v>
      </c>
      <c r="S150" s="13">
        <f>_xll.BDH("SRPT US Equity","ARDR_FV_ASTS_REC_L3_TRAD_BONDS","FQ4 2022","FQ4 2022","Currency=USD","Period=FQ","BEST_FPERIOD_OVERRIDE=FQ","FILING_STATUS=MR","SCALING_FORMAT=MLN","Sort=A","Dates=H","DateFormat=P","Fill=—","Direction=H","UseDPDF=Y")</f>
        <v>0</v>
      </c>
      <c r="T150" s="13">
        <f>_xll.BDH("SRPT US Equity","ARDR_FV_ASTS_REC_L3_TRAD_BONDS","FQ1 2023","FQ1 2023","Currency=USD","Period=FQ","BEST_FPERIOD_OVERRIDE=FQ","FILING_STATUS=MR","SCALING_FORMAT=MLN","Sort=A","Dates=H","DateFormat=P","Fill=—","Direction=H","UseDPDF=Y")</f>
        <v>0</v>
      </c>
      <c r="U150" s="13">
        <f>_xll.BDH("SRPT US Equity","ARDR_FV_ASTS_REC_L3_TRAD_BONDS","FQ2 2023","FQ2 2023","Currency=USD","Period=FQ","BEST_FPERIOD_OVERRIDE=FQ","FILING_STATUS=MR","SCALING_FORMAT=MLN","Sort=A","Dates=H","DateFormat=P","Fill=—","Direction=H","UseDPDF=Y")</f>
        <v>0</v>
      </c>
      <c r="V150" s="13">
        <f>_xll.BDH("SRPT US Equity","ARDR_FV_ASTS_REC_L3_TRAD_BONDS","FQ3 2023","FQ3 2023","Currency=USD","Period=FQ","BEST_FPERIOD_OVERRIDE=FQ","FILING_STATUS=MR","SCALING_FORMAT=MLN","Sort=A","Dates=H","DateFormat=P","Fill=—","Direction=H","UseDPDF=Y")</f>
        <v>0</v>
      </c>
      <c r="W150" s="13">
        <f>_xll.BDH("SRPT US Equity","ARDR_FV_ASTS_REC_L3_TRAD_BONDS","FQ4 2023","FQ4 2023","Currency=USD","Period=FQ","BEST_FPERIOD_OVERRIDE=FQ","FILING_STATUS=MR","SCALING_FORMAT=MLN","Sort=A","Dates=H","DateFormat=P","Fill=—","Direction=H","UseDPDF=Y")</f>
        <v>0</v>
      </c>
      <c r="X150" s="13">
        <f>_xll.BDH("SRPT US Equity","ARDR_FV_ASTS_REC_L3_TRAD_BONDS","FQ1 2024","FQ1 2024","Currency=USD","Period=FQ","BEST_FPERIOD_OVERRIDE=FQ","FILING_STATUS=MR","SCALING_FORMAT=MLN","Sort=A","Dates=H","DateFormat=P","Fill=—","Direction=H","UseDPDF=Y")</f>
        <v>0</v>
      </c>
      <c r="Y150" s="13">
        <f>_xll.BDH("SRPT US Equity","ARDR_FV_ASTS_REC_L3_TRAD_BONDS","FQ2 2024","FQ2 2024","Currency=USD","Period=FQ","BEST_FPERIOD_OVERRIDE=FQ","FILING_STATUS=MR","SCALING_FORMAT=MLN","Sort=A","Dates=H","DateFormat=P","Fill=—","Direction=H","UseDPDF=Y")</f>
        <v>0</v>
      </c>
      <c r="Z150" s="13">
        <f>_xll.BDH("SRPT US Equity","ARDR_FV_ASTS_REC_L3_TRAD_BONDS","FQ3 2024","FQ3 2024","Currency=USD","Period=FQ","BEST_FPERIOD_OVERRIDE=FQ","FILING_STATUS=MR","SCALING_FORMAT=MLN","Sort=A","Dates=H","DateFormat=P","Fill=—","Direction=H","UseDPDF=Y")</f>
        <v>0</v>
      </c>
      <c r="AA150" s="13" t="str">
        <f>_xll.BDH("SRPT US Equity","ARDR_FV_ASTS_REC_L3_TRAD_BONDS","FQ4 2024","FQ4 2024","Currency=USD","Period=FQ","BEST_FPERIOD_OVERRIDE=FQ","FILING_STATUS=MR","SCALING_FORMAT=MLN","Sort=A","Dates=H","DateFormat=P","Fill=—","Direction=H","UseDPDF=Y")</f>
        <v>—</v>
      </c>
    </row>
    <row r="151" spans="1:27" x14ac:dyDescent="0.25">
      <c r="A151" s="10" t="s">
        <v>1101</v>
      </c>
      <c r="B151" s="10" t="s">
        <v>1102</v>
      </c>
      <c r="C151" s="13" t="str">
        <f>_xll.BDH("SRPT US Equity","ARDR_FV_ASTS_REC_L3_TRAD_OTHER","FQ4 2018","FQ4 2018","Currency=USD","Period=FQ","BEST_FPERIOD_OVERRIDE=FQ","FILING_STATUS=MR","SCALING_FORMAT=MLN","Sort=A","Dates=H","DateFormat=P","Fill=—","Direction=H","UseDPDF=Y")</f>
        <v>—</v>
      </c>
      <c r="D151" s="13" t="str">
        <f>_xll.BDH("SRPT US Equity","ARDR_FV_ASTS_REC_L3_TRAD_OTHER","FQ1 2019","FQ1 2019","Currency=USD","Period=FQ","BEST_FPERIOD_OVERRIDE=FQ","FILING_STATUS=MR","SCALING_FORMAT=MLN","Sort=A","Dates=H","DateFormat=P","Fill=—","Direction=H","UseDPDF=Y")</f>
        <v>—</v>
      </c>
      <c r="E151" s="13" t="str">
        <f>_xll.BDH("SRPT US Equity","ARDR_FV_ASTS_REC_L3_TRAD_OTHER","FQ2 2019","FQ2 2019","Currency=USD","Period=FQ","BEST_FPERIOD_OVERRIDE=FQ","FILING_STATUS=MR","SCALING_FORMAT=MLN","Sort=A","Dates=H","DateFormat=P","Fill=—","Direction=H","UseDPDF=Y")</f>
        <v>—</v>
      </c>
      <c r="F151" s="13" t="str">
        <f>_xll.BDH("SRPT US Equity","ARDR_FV_ASTS_REC_L3_TRAD_OTHER","FQ3 2019","FQ3 2019","Currency=USD","Period=FQ","BEST_FPERIOD_OVERRIDE=FQ","FILING_STATUS=MR","SCALING_FORMAT=MLN","Sort=A","Dates=H","DateFormat=P","Fill=—","Direction=H","UseDPDF=Y")</f>
        <v>—</v>
      </c>
      <c r="G151" s="13" t="str">
        <f>_xll.BDH("SRPT US Equity","ARDR_FV_ASTS_REC_L3_TRAD_OTHER","FQ4 2019","FQ4 2019","Currency=USD","Period=FQ","BEST_FPERIOD_OVERRIDE=FQ","FILING_STATUS=MR","SCALING_FORMAT=MLN","Sort=A","Dates=H","DateFormat=P","Fill=—","Direction=H","UseDPDF=Y")</f>
        <v>—</v>
      </c>
      <c r="H151" s="13" t="str">
        <f>_xll.BDH("SRPT US Equity","ARDR_FV_ASTS_REC_L3_TRAD_OTHER","FQ1 2020","FQ1 2020","Currency=USD","Period=FQ","BEST_FPERIOD_OVERRIDE=FQ","FILING_STATUS=MR","SCALING_FORMAT=MLN","Sort=A","Dates=H","DateFormat=P","Fill=—","Direction=H","UseDPDF=Y")</f>
        <v>—</v>
      </c>
      <c r="I151" s="13" t="str">
        <f>_xll.BDH("SRPT US Equity","ARDR_FV_ASTS_REC_L3_TRAD_OTHER","FQ2 2020","FQ2 2020","Currency=USD","Period=FQ","BEST_FPERIOD_OVERRIDE=FQ","FILING_STATUS=MR","SCALING_FORMAT=MLN","Sort=A","Dates=H","DateFormat=P","Fill=—","Direction=H","UseDPDF=Y")</f>
        <v>—</v>
      </c>
      <c r="J151" s="13" t="str">
        <f>_xll.BDH("SRPT US Equity","ARDR_FV_ASTS_REC_L3_TRAD_OTHER","FQ3 2020","FQ3 2020","Currency=USD","Period=FQ","BEST_FPERIOD_OVERRIDE=FQ","FILING_STATUS=MR","SCALING_FORMAT=MLN","Sort=A","Dates=H","DateFormat=P","Fill=—","Direction=H","UseDPDF=Y")</f>
        <v>—</v>
      </c>
      <c r="K151" s="13" t="str">
        <f>_xll.BDH("SRPT US Equity","ARDR_FV_ASTS_REC_L3_TRAD_OTHER","FQ4 2020","FQ4 2020","Currency=USD","Period=FQ","BEST_FPERIOD_OVERRIDE=FQ","FILING_STATUS=MR","SCALING_FORMAT=MLN","Sort=A","Dates=H","DateFormat=P","Fill=—","Direction=H","UseDPDF=Y")</f>
        <v>—</v>
      </c>
      <c r="L151" s="13" t="str">
        <f>_xll.BDH("SRPT US Equity","ARDR_FV_ASTS_REC_L3_TRAD_OTHER","FQ1 2021","FQ1 2021","Currency=USD","Period=FQ","BEST_FPERIOD_OVERRIDE=FQ","FILING_STATUS=MR","SCALING_FORMAT=MLN","Sort=A","Dates=H","DateFormat=P","Fill=—","Direction=H","UseDPDF=Y")</f>
        <v>—</v>
      </c>
      <c r="M151" s="13" t="str">
        <f>_xll.BDH("SRPT US Equity","ARDR_FV_ASTS_REC_L3_TRAD_OTHER","FQ2 2021","FQ2 2021","Currency=USD","Period=FQ","BEST_FPERIOD_OVERRIDE=FQ","FILING_STATUS=MR","SCALING_FORMAT=MLN","Sort=A","Dates=H","DateFormat=P","Fill=—","Direction=H","UseDPDF=Y")</f>
        <v>—</v>
      </c>
      <c r="N151" s="13" t="str">
        <f>_xll.BDH("SRPT US Equity","ARDR_FV_ASTS_REC_L3_TRAD_OTHER","FQ3 2021","FQ3 2021","Currency=USD","Period=FQ","BEST_FPERIOD_OVERRIDE=FQ","FILING_STATUS=MR","SCALING_FORMAT=MLN","Sort=A","Dates=H","DateFormat=P","Fill=—","Direction=H","UseDPDF=Y")</f>
        <v>—</v>
      </c>
      <c r="O151" s="13" t="str">
        <f>_xll.BDH("SRPT US Equity","ARDR_FV_ASTS_REC_L3_TRAD_OTHER","FQ4 2021","FQ4 2021","Currency=USD","Period=FQ","BEST_FPERIOD_OVERRIDE=FQ","FILING_STATUS=MR","SCALING_FORMAT=MLN","Sort=A","Dates=H","DateFormat=P","Fill=—","Direction=H","UseDPDF=Y")</f>
        <v>—</v>
      </c>
      <c r="P151" s="13">
        <f>_xll.BDH("SRPT US Equity","ARDR_FV_ASTS_REC_L3_TRAD_OTHER","FQ1 2022","FQ1 2022","Currency=USD","Period=FQ","BEST_FPERIOD_OVERRIDE=FQ","FILING_STATUS=MR","SCALING_FORMAT=MLN","Sort=A","Dates=H","DateFormat=P","Fill=—","Direction=H","UseDPDF=Y")</f>
        <v>32.411999999999999</v>
      </c>
      <c r="Q151" s="13" t="str">
        <f>_xll.BDH("SRPT US Equity","ARDR_FV_ASTS_REC_L3_TRAD_OTHER","FQ2 2022","FQ2 2022","Currency=USD","Period=FQ","BEST_FPERIOD_OVERRIDE=FQ","FILING_STATUS=MR","SCALING_FORMAT=MLN","Sort=A","Dates=H","DateFormat=P","Fill=—","Direction=H","UseDPDF=Y")</f>
        <v>—</v>
      </c>
      <c r="R151" s="13">
        <f>_xll.BDH("SRPT US Equity","ARDR_FV_ASTS_REC_L3_TRAD_OTHER","FQ3 2022","FQ3 2022","Currency=USD","Period=FQ","BEST_FPERIOD_OVERRIDE=FQ","FILING_STATUS=MR","SCALING_FORMAT=MLN","Sort=A","Dates=H","DateFormat=P","Fill=—","Direction=H","UseDPDF=Y")</f>
        <v>32.575000000000003</v>
      </c>
      <c r="S151" s="13">
        <f>_xll.BDH("SRPT US Equity","ARDR_FV_ASTS_REC_L3_TRAD_OTHER","FQ4 2022","FQ4 2022","Currency=USD","Period=FQ","BEST_FPERIOD_OVERRIDE=FQ","FILING_STATUS=MR","SCALING_FORMAT=MLN","Sort=A","Dates=H","DateFormat=P","Fill=—","Direction=H","UseDPDF=Y")</f>
        <v>0</v>
      </c>
      <c r="T151" s="13">
        <f>_xll.BDH("SRPT US Equity","ARDR_FV_ASTS_REC_L3_TRAD_OTHER","FQ1 2023","FQ1 2023","Currency=USD","Period=FQ","BEST_FPERIOD_OVERRIDE=FQ","FILING_STATUS=MR","SCALING_FORMAT=MLN","Sort=A","Dates=H","DateFormat=P","Fill=—","Direction=H","UseDPDF=Y")</f>
        <v>31</v>
      </c>
      <c r="U151" s="13">
        <f>_xll.BDH("SRPT US Equity","ARDR_FV_ASTS_REC_L3_TRAD_OTHER","FQ2 2023","FQ2 2023","Currency=USD","Period=FQ","BEST_FPERIOD_OVERRIDE=FQ","FILING_STATUS=MR","SCALING_FORMAT=MLN","Sort=A","Dates=H","DateFormat=P","Fill=—","Direction=H","UseDPDF=Y")</f>
        <v>31</v>
      </c>
      <c r="V151" s="13">
        <f>_xll.BDH("SRPT US Equity","ARDR_FV_ASTS_REC_L3_TRAD_OTHER","FQ3 2023","FQ3 2023","Currency=USD","Period=FQ","BEST_FPERIOD_OVERRIDE=FQ","FILING_STATUS=MR","SCALING_FORMAT=MLN","Sort=A","Dates=H","DateFormat=P","Fill=—","Direction=H","UseDPDF=Y")</f>
        <v>7.5</v>
      </c>
      <c r="W151" s="13">
        <f>_xll.BDH("SRPT US Equity","ARDR_FV_ASTS_REC_L3_TRAD_OTHER","FQ4 2023","FQ4 2023","Currency=USD","Period=FQ","BEST_FPERIOD_OVERRIDE=FQ","FILING_STATUS=MR","SCALING_FORMAT=MLN","Sort=A","Dates=H","DateFormat=P","Fill=—","Direction=H","UseDPDF=Y")</f>
        <v>0</v>
      </c>
      <c r="X151" s="13">
        <f>_xll.BDH("SRPT US Equity","ARDR_FV_ASTS_REC_L3_TRAD_OTHER","FQ1 2024","FQ1 2024","Currency=USD","Period=FQ","BEST_FPERIOD_OVERRIDE=FQ","FILING_STATUS=MR","SCALING_FORMAT=MLN","Sort=A","Dates=H","DateFormat=P","Fill=—","Direction=H","UseDPDF=Y")</f>
        <v>1</v>
      </c>
      <c r="Y151" s="13">
        <f>_xll.BDH("SRPT US Equity","ARDR_FV_ASTS_REC_L3_TRAD_OTHER","FQ2 2024","FQ2 2024","Currency=USD","Period=FQ","BEST_FPERIOD_OVERRIDE=FQ","FILING_STATUS=MR","SCALING_FORMAT=MLN","Sort=A","Dates=H","DateFormat=P","Fill=—","Direction=H","UseDPDF=Y")</f>
        <v>1</v>
      </c>
      <c r="Z151" s="13">
        <f>_xll.BDH("SRPT US Equity","ARDR_FV_ASTS_REC_L3_TRAD_OTHER","FQ3 2024","FQ3 2024","Currency=USD","Period=FQ","BEST_FPERIOD_OVERRIDE=FQ","FILING_STATUS=MR","SCALING_FORMAT=MLN","Sort=A","Dates=H","DateFormat=P","Fill=—","Direction=H","UseDPDF=Y")</f>
        <v>1</v>
      </c>
      <c r="AA151" s="13">
        <f>_xll.BDH("SRPT US Equity","ARDR_FV_ASTS_REC_L3_TRAD_OTHER","FQ4 2024","FQ4 2024","Currency=USD","Period=FQ","BEST_FPERIOD_OVERRIDE=FQ","FILING_STATUS=MR","SCALING_FORMAT=MLN","Sort=A","Dates=H","DateFormat=P","Fill=—","Direction=H","UseDPDF=Y")</f>
        <v>0</v>
      </c>
    </row>
    <row r="152" spans="1:27" x14ac:dyDescent="0.25">
      <c r="A152" s="10" t="s">
        <v>1103</v>
      </c>
      <c r="B152" s="10" t="s">
        <v>1104</v>
      </c>
      <c r="C152" s="13" t="str">
        <f>_xll.BDH("SRPT US Equity","ARDR_FV_ASTS_REC_L3_AFS_CORP_BDS","FQ4 2018","FQ4 2018","Currency=USD","Period=FQ","BEST_FPERIOD_OVERRIDE=FQ","FILING_STATUS=MR","SCALING_FORMAT=MLN","Sort=A","Dates=H","DateFormat=P","Fill=—","Direction=H","UseDPDF=Y")</f>
        <v>—</v>
      </c>
      <c r="D152" s="13">
        <f>_xll.BDH("SRPT US Equity","ARDR_FV_ASTS_REC_L3_AFS_CORP_BDS","FQ1 2019","FQ1 2019","Currency=USD","Period=FQ","BEST_FPERIOD_OVERRIDE=FQ","FILING_STATUS=MR","SCALING_FORMAT=MLN","Sort=A","Dates=H","DateFormat=P","Fill=—","Direction=H","UseDPDF=Y")</f>
        <v>0</v>
      </c>
      <c r="E152" s="13" t="str">
        <f>_xll.BDH("SRPT US Equity","ARDR_FV_ASTS_REC_L3_AFS_CORP_BDS","FQ2 2019","FQ2 2019","Currency=USD","Period=FQ","BEST_FPERIOD_OVERRIDE=FQ","FILING_STATUS=MR","SCALING_FORMAT=MLN","Sort=A","Dates=H","DateFormat=P","Fill=—","Direction=H","UseDPDF=Y")</f>
        <v>—</v>
      </c>
      <c r="F152" s="13" t="str">
        <f>_xll.BDH("SRPT US Equity","ARDR_FV_ASTS_REC_L3_AFS_CORP_BDS","FQ3 2019","FQ3 2019","Currency=USD","Period=FQ","BEST_FPERIOD_OVERRIDE=FQ","FILING_STATUS=MR","SCALING_FORMAT=MLN","Sort=A","Dates=H","DateFormat=P","Fill=—","Direction=H","UseDPDF=Y")</f>
        <v>—</v>
      </c>
      <c r="G152" s="13">
        <f>_xll.BDH("SRPT US Equity","ARDR_FV_ASTS_REC_L3_AFS_CORP_BDS","FQ4 2019","FQ4 2019","Currency=USD","Period=FQ","BEST_FPERIOD_OVERRIDE=FQ","FILING_STATUS=MR","SCALING_FORMAT=MLN","Sort=A","Dates=H","DateFormat=P","Fill=—","Direction=H","UseDPDF=Y")</f>
        <v>0</v>
      </c>
      <c r="H152" s="13" t="str">
        <f>_xll.BDH("SRPT US Equity","ARDR_FV_ASTS_REC_L3_AFS_CORP_BDS","FQ1 2020","FQ1 2020","Currency=USD","Period=FQ","BEST_FPERIOD_OVERRIDE=FQ","FILING_STATUS=MR","SCALING_FORMAT=MLN","Sort=A","Dates=H","DateFormat=P","Fill=—","Direction=H","UseDPDF=Y")</f>
        <v>—</v>
      </c>
      <c r="I152" s="13" t="str">
        <f>_xll.BDH("SRPT US Equity","ARDR_FV_ASTS_REC_L3_AFS_CORP_BDS","FQ2 2020","FQ2 2020","Currency=USD","Period=FQ","BEST_FPERIOD_OVERRIDE=FQ","FILING_STATUS=MR","SCALING_FORMAT=MLN","Sort=A","Dates=H","DateFormat=P","Fill=—","Direction=H","UseDPDF=Y")</f>
        <v>—</v>
      </c>
      <c r="J152" s="13" t="str">
        <f>_xll.BDH("SRPT US Equity","ARDR_FV_ASTS_REC_L3_AFS_CORP_BDS","FQ3 2020","FQ3 2020","Currency=USD","Period=FQ","BEST_FPERIOD_OVERRIDE=FQ","FILING_STATUS=MR","SCALING_FORMAT=MLN","Sort=A","Dates=H","DateFormat=P","Fill=—","Direction=H","UseDPDF=Y")</f>
        <v>—</v>
      </c>
      <c r="K152" s="13" t="str">
        <f>_xll.BDH("SRPT US Equity","ARDR_FV_ASTS_REC_L3_AFS_CORP_BDS","FQ4 2020","FQ4 2020","Currency=USD","Period=FQ","BEST_FPERIOD_OVERRIDE=FQ","FILING_STATUS=MR","SCALING_FORMAT=MLN","Sort=A","Dates=H","DateFormat=P","Fill=—","Direction=H","UseDPDF=Y")</f>
        <v>—</v>
      </c>
      <c r="L152" s="13" t="str">
        <f>_xll.BDH("SRPT US Equity","ARDR_FV_ASTS_REC_L3_AFS_CORP_BDS","FQ1 2021","FQ1 2021","Currency=USD","Period=FQ","BEST_FPERIOD_OVERRIDE=FQ","FILING_STATUS=MR","SCALING_FORMAT=MLN","Sort=A","Dates=H","DateFormat=P","Fill=—","Direction=H","UseDPDF=Y")</f>
        <v>—</v>
      </c>
      <c r="M152" s="13" t="str">
        <f>_xll.BDH("SRPT US Equity","ARDR_FV_ASTS_REC_L3_AFS_CORP_BDS","FQ2 2021","FQ2 2021","Currency=USD","Period=FQ","BEST_FPERIOD_OVERRIDE=FQ","FILING_STATUS=MR","SCALING_FORMAT=MLN","Sort=A","Dates=H","DateFormat=P","Fill=—","Direction=H","UseDPDF=Y")</f>
        <v>—</v>
      </c>
      <c r="N152" s="13" t="str">
        <f>_xll.BDH("SRPT US Equity","ARDR_FV_ASTS_REC_L3_AFS_CORP_BDS","FQ3 2021","FQ3 2021","Currency=USD","Period=FQ","BEST_FPERIOD_OVERRIDE=FQ","FILING_STATUS=MR","SCALING_FORMAT=MLN","Sort=A","Dates=H","DateFormat=P","Fill=—","Direction=H","UseDPDF=Y")</f>
        <v>—</v>
      </c>
      <c r="O152" s="13" t="str">
        <f>_xll.BDH("SRPT US Equity","ARDR_FV_ASTS_REC_L3_AFS_CORP_BDS","FQ4 2021","FQ4 2021","Currency=USD","Period=FQ","BEST_FPERIOD_OVERRIDE=FQ","FILING_STATUS=MR","SCALING_FORMAT=MLN","Sort=A","Dates=H","DateFormat=P","Fill=—","Direction=H","UseDPDF=Y")</f>
        <v>—</v>
      </c>
      <c r="P152" s="13">
        <f>_xll.BDH("SRPT US Equity","ARDR_FV_ASTS_REC_L3_AFS_CORP_BDS","FQ1 2022","FQ1 2022","Currency=USD","Period=FQ","BEST_FPERIOD_OVERRIDE=FQ","FILING_STATUS=MR","SCALING_FORMAT=MLN","Sort=A","Dates=H","DateFormat=P","Fill=—","Direction=H","UseDPDF=Y")</f>
        <v>0</v>
      </c>
      <c r="Q152" s="13" t="str">
        <f>_xll.BDH("SRPT US Equity","ARDR_FV_ASTS_REC_L3_AFS_CORP_BDS","FQ2 2022","FQ2 2022","Currency=USD","Period=FQ","BEST_FPERIOD_OVERRIDE=FQ","FILING_STATUS=MR","SCALING_FORMAT=MLN","Sort=A","Dates=H","DateFormat=P","Fill=—","Direction=H","UseDPDF=Y")</f>
        <v>—</v>
      </c>
      <c r="R152" s="13" t="str">
        <f>_xll.BDH("SRPT US Equity","ARDR_FV_ASTS_REC_L3_AFS_CORP_BDS","FQ3 2022","FQ3 2022","Currency=USD","Period=FQ","BEST_FPERIOD_OVERRIDE=FQ","FILING_STATUS=MR","SCALING_FORMAT=MLN","Sort=A","Dates=H","DateFormat=P","Fill=—","Direction=H","UseDPDF=Y")</f>
        <v>—</v>
      </c>
      <c r="S152" s="13" t="str">
        <f>_xll.BDH("SRPT US Equity","ARDR_FV_ASTS_REC_L3_AFS_CORP_BDS","FQ4 2022","FQ4 2022","Currency=USD","Period=FQ","BEST_FPERIOD_OVERRIDE=FQ","FILING_STATUS=MR","SCALING_FORMAT=MLN","Sort=A","Dates=H","DateFormat=P","Fill=—","Direction=H","UseDPDF=Y")</f>
        <v>—</v>
      </c>
      <c r="T152" s="13" t="str">
        <f>_xll.BDH("SRPT US Equity","ARDR_FV_ASTS_REC_L3_AFS_CORP_BDS","FQ1 2023","FQ1 2023","Currency=USD","Period=FQ","BEST_FPERIOD_OVERRIDE=FQ","FILING_STATUS=MR","SCALING_FORMAT=MLN","Sort=A","Dates=H","DateFormat=P","Fill=—","Direction=H","UseDPDF=Y")</f>
        <v>—</v>
      </c>
      <c r="U152" s="13" t="str">
        <f>_xll.BDH("SRPT US Equity","ARDR_FV_ASTS_REC_L3_AFS_CORP_BDS","FQ2 2023","FQ2 2023","Currency=USD","Period=FQ","BEST_FPERIOD_OVERRIDE=FQ","FILING_STATUS=MR","SCALING_FORMAT=MLN","Sort=A","Dates=H","DateFormat=P","Fill=—","Direction=H","UseDPDF=Y")</f>
        <v>—</v>
      </c>
      <c r="V152" s="13" t="str">
        <f>_xll.BDH("SRPT US Equity","ARDR_FV_ASTS_REC_L3_AFS_CORP_BDS","FQ3 2023","FQ3 2023","Currency=USD","Period=FQ","BEST_FPERIOD_OVERRIDE=FQ","FILING_STATUS=MR","SCALING_FORMAT=MLN","Sort=A","Dates=H","DateFormat=P","Fill=—","Direction=H","UseDPDF=Y")</f>
        <v>—</v>
      </c>
      <c r="W152" s="13" t="str">
        <f>_xll.BDH("SRPT US Equity","ARDR_FV_ASTS_REC_L3_AFS_CORP_BDS","FQ4 2023","FQ4 2023","Currency=USD","Period=FQ","BEST_FPERIOD_OVERRIDE=FQ","FILING_STATUS=MR","SCALING_FORMAT=MLN","Sort=A","Dates=H","DateFormat=P","Fill=—","Direction=H","UseDPDF=Y")</f>
        <v>—</v>
      </c>
      <c r="X152" s="13" t="str">
        <f>_xll.BDH("SRPT US Equity","ARDR_FV_ASTS_REC_L3_AFS_CORP_BDS","FQ1 2024","FQ1 2024","Currency=USD","Period=FQ","BEST_FPERIOD_OVERRIDE=FQ","FILING_STATUS=MR","SCALING_FORMAT=MLN","Sort=A","Dates=H","DateFormat=P","Fill=—","Direction=H","UseDPDF=Y")</f>
        <v>—</v>
      </c>
      <c r="Y152" s="13" t="str">
        <f>_xll.BDH("SRPT US Equity","ARDR_FV_ASTS_REC_L3_AFS_CORP_BDS","FQ2 2024","FQ2 2024","Currency=USD","Period=FQ","BEST_FPERIOD_OVERRIDE=FQ","FILING_STATUS=MR","SCALING_FORMAT=MLN","Sort=A","Dates=H","DateFormat=P","Fill=—","Direction=H","UseDPDF=Y")</f>
        <v>—</v>
      </c>
      <c r="Z152" s="13" t="str">
        <f>_xll.BDH("SRPT US Equity","ARDR_FV_ASTS_REC_L3_AFS_CORP_BDS","FQ3 2024","FQ3 2024","Currency=USD","Period=FQ","BEST_FPERIOD_OVERRIDE=FQ","FILING_STATUS=MR","SCALING_FORMAT=MLN","Sort=A","Dates=H","DateFormat=P","Fill=—","Direction=H","UseDPDF=Y")</f>
        <v>—</v>
      </c>
      <c r="AA152" s="13" t="str">
        <f>_xll.BDH("SRPT US Equity","ARDR_FV_ASTS_REC_L3_AFS_CORP_BDS","FQ4 2024","FQ4 2024","Currency=USD","Period=FQ","BEST_FPERIOD_OVERRIDE=FQ","FILING_STATUS=MR","SCALING_FORMAT=MLN","Sort=A","Dates=H","DateFormat=P","Fill=—","Direction=H","UseDPDF=Y")</f>
        <v>—</v>
      </c>
    </row>
    <row r="153" spans="1:27" x14ac:dyDescent="0.25">
      <c r="A153" s="10" t="s">
        <v>1105</v>
      </c>
      <c r="B153" s="10" t="s">
        <v>1106</v>
      </c>
      <c r="C153" s="13" t="str">
        <f>_xll.BDH("SRPT US Equity","ARDR_FV_ASTS_REC_L3_DERIVATIVES","FQ4 2018","FQ4 2018","Currency=USD","Period=FQ","BEST_FPERIOD_OVERRIDE=FQ","FILING_STATUS=MR","SCALING_FORMAT=MLN","Sort=A","Dates=H","DateFormat=P","Fill=—","Direction=H","UseDPDF=Y")</f>
        <v>—</v>
      </c>
      <c r="D153" s="13" t="str">
        <f>_xll.BDH("SRPT US Equity","ARDR_FV_ASTS_REC_L3_DERIVATIVES","FQ1 2019","FQ1 2019","Currency=USD","Period=FQ","BEST_FPERIOD_OVERRIDE=FQ","FILING_STATUS=MR","SCALING_FORMAT=MLN","Sort=A","Dates=H","DateFormat=P","Fill=—","Direction=H","UseDPDF=Y")</f>
        <v>—</v>
      </c>
      <c r="E153" s="13" t="str">
        <f>_xll.BDH("SRPT US Equity","ARDR_FV_ASTS_REC_L3_DERIVATIVES","FQ2 2019","FQ2 2019","Currency=USD","Period=FQ","BEST_FPERIOD_OVERRIDE=FQ","FILING_STATUS=MR","SCALING_FORMAT=MLN","Sort=A","Dates=H","DateFormat=P","Fill=—","Direction=H","UseDPDF=Y")</f>
        <v>—</v>
      </c>
      <c r="F153" s="13" t="str">
        <f>_xll.BDH("SRPT US Equity","ARDR_FV_ASTS_REC_L3_DERIVATIVES","FQ3 2019","FQ3 2019","Currency=USD","Period=FQ","BEST_FPERIOD_OVERRIDE=FQ","FILING_STATUS=MR","SCALING_FORMAT=MLN","Sort=A","Dates=H","DateFormat=P","Fill=—","Direction=H","UseDPDF=Y")</f>
        <v>—</v>
      </c>
      <c r="G153" s="13" t="str">
        <f>_xll.BDH("SRPT US Equity","ARDR_FV_ASTS_REC_L3_DERIVATIVES","FQ4 2019","FQ4 2019","Currency=USD","Period=FQ","BEST_FPERIOD_OVERRIDE=FQ","FILING_STATUS=MR","SCALING_FORMAT=MLN","Sort=A","Dates=H","DateFormat=P","Fill=—","Direction=H","UseDPDF=Y")</f>
        <v>—</v>
      </c>
      <c r="H153" s="13" t="str">
        <f>_xll.BDH("SRPT US Equity","ARDR_FV_ASTS_REC_L3_DERIVATIVES","FQ1 2020","FQ1 2020","Currency=USD","Period=FQ","BEST_FPERIOD_OVERRIDE=FQ","FILING_STATUS=MR","SCALING_FORMAT=MLN","Sort=A","Dates=H","DateFormat=P","Fill=—","Direction=H","UseDPDF=Y")</f>
        <v>—</v>
      </c>
      <c r="I153" s="13" t="str">
        <f>_xll.BDH("SRPT US Equity","ARDR_FV_ASTS_REC_L3_DERIVATIVES","FQ2 2020","FQ2 2020","Currency=USD","Period=FQ","BEST_FPERIOD_OVERRIDE=FQ","FILING_STATUS=MR","SCALING_FORMAT=MLN","Sort=A","Dates=H","DateFormat=P","Fill=—","Direction=H","UseDPDF=Y")</f>
        <v>—</v>
      </c>
      <c r="J153" s="13" t="str">
        <f>_xll.BDH("SRPT US Equity","ARDR_FV_ASTS_REC_L3_DERIVATIVES","FQ3 2020","FQ3 2020","Currency=USD","Period=FQ","BEST_FPERIOD_OVERRIDE=FQ","FILING_STATUS=MR","SCALING_FORMAT=MLN","Sort=A","Dates=H","DateFormat=P","Fill=—","Direction=H","UseDPDF=Y")</f>
        <v>—</v>
      </c>
      <c r="K153" s="13" t="str">
        <f>_xll.BDH("SRPT US Equity","ARDR_FV_ASTS_REC_L3_DERIVATIVES","FQ4 2020","FQ4 2020","Currency=USD","Period=FQ","BEST_FPERIOD_OVERRIDE=FQ","FILING_STATUS=MR","SCALING_FORMAT=MLN","Sort=A","Dates=H","DateFormat=P","Fill=—","Direction=H","UseDPDF=Y")</f>
        <v>—</v>
      </c>
      <c r="L153" s="13" t="str">
        <f>_xll.BDH("SRPT US Equity","ARDR_FV_ASTS_REC_L3_DERIVATIVES","FQ1 2021","FQ1 2021","Currency=USD","Period=FQ","BEST_FPERIOD_OVERRIDE=FQ","FILING_STATUS=MR","SCALING_FORMAT=MLN","Sort=A","Dates=H","DateFormat=P","Fill=—","Direction=H","UseDPDF=Y")</f>
        <v>—</v>
      </c>
      <c r="M153" s="13" t="str">
        <f>_xll.BDH("SRPT US Equity","ARDR_FV_ASTS_REC_L3_DERIVATIVES","FQ2 2021","FQ2 2021","Currency=USD","Period=FQ","BEST_FPERIOD_OVERRIDE=FQ","FILING_STATUS=MR","SCALING_FORMAT=MLN","Sort=A","Dates=H","DateFormat=P","Fill=—","Direction=H","UseDPDF=Y")</f>
        <v>—</v>
      </c>
      <c r="N153" s="13" t="str">
        <f>_xll.BDH("SRPT US Equity","ARDR_FV_ASTS_REC_L3_DERIVATIVES","FQ3 2021","FQ3 2021","Currency=USD","Period=FQ","BEST_FPERIOD_OVERRIDE=FQ","FILING_STATUS=MR","SCALING_FORMAT=MLN","Sort=A","Dates=H","DateFormat=P","Fill=—","Direction=H","UseDPDF=Y")</f>
        <v>—</v>
      </c>
      <c r="O153" s="13" t="str">
        <f>_xll.BDH("SRPT US Equity","ARDR_FV_ASTS_REC_L3_DERIVATIVES","FQ4 2021","FQ4 2021","Currency=USD","Period=FQ","BEST_FPERIOD_OVERRIDE=FQ","FILING_STATUS=MR","SCALING_FORMAT=MLN","Sort=A","Dates=H","DateFormat=P","Fill=—","Direction=H","UseDPDF=Y")</f>
        <v>—</v>
      </c>
      <c r="P153" s="13" t="str">
        <f>_xll.BDH("SRPT US Equity","ARDR_FV_ASTS_REC_L3_DERIVATIVES","FQ1 2022","FQ1 2022","Currency=USD","Period=FQ","BEST_FPERIOD_OVERRIDE=FQ","FILING_STATUS=MR","SCALING_FORMAT=MLN","Sort=A","Dates=H","DateFormat=P","Fill=—","Direction=H","UseDPDF=Y")</f>
        <v>—</v>
      </c>
      <c r="Q153" s="13" t="str">
        <f>_xll.BDH("SRPT US Equity","ARDR_FV_ASTS_REC_L3_DERIVATIVES","FQ2 2022","FQ2 2022","Currency=USD","Period=FQ","BEST_FPERIOD_OVERRIDE=FQ","FILING_STATUS=MR","SCALING_FORMAT=MLN","Sort=A","Dates=H","DateFormat=P","Fill=—","Direction=H","UseDPDF=Y")</f>
        <v>—</v>
      </c>
      <c r="R153" s="13" t="str">
        <f>_xll.BDH("SRPT US Equity","ARDR_FV_ASTS_REC_L3_DERIVATIVES","FQ3 2022","FQ3 2022","Currency=USD","Period=FQ","BEST_FPERIOD_OVERRIDE=FQ","FILING_STATUS=MR","SCALING_FORMAT=MLN","Sort=A","Dates=H","DateFormat=P","Fill=—","Direction=H","UseDPDF=Y")</f>
        <v>—</v>
      </c>
      <c r="S153" s="13" t="str">
        <f>_xll.BDH("SRPT US Equity","ARDR_FV_ASTS_REC_L3_DERIVATIVES","FQ4 2022","FQ4 2022","Currency=USD","Period=FQ","BEST_FPERIOD_OVERRIDE=FQ","FILING_STATUS=MR","SCALING_FORMAT=MLN","Sort=A","Dates=H","DateFormat=P","Fill=—","Direction=H","UseDPDF=Y")</f>
        <v>—</v>
      </c>
      <c r="T153" s="13" t="str">
        <f>_xll.BDH("SRPT US Equity","ARDR_FV_ASTS_REC_L3_DERIVATIVES","FQ1 2023","FQ1 2023","Currency=USD","Period=FQ","BEST_FPERIOD_OVERRIDE=FQ","FILING_STATUS=MR","SCALING_FORMAT=MLN","Sort=A","Dates=H","DateFormat=P","Fill=—","Direction=H","UseDPDF=Y")</f>
        <v>—</v>
      </c>
      <c r="U153" s="13" t="str">
        <f>_xll.BDH("SRPT US Equity","ARDR_FV_ASTS_REC_L3_DERIVATIVES","FQ2 2023","FQ2 2023","Currency=USD","Period=FQ","BEST_FPERIOD_OVERRIDE=FQ","FILING_STATUS=MR","SCALING_FORMAT=MLN","Sort=A","Dates=H","DateFormat=P","Fill=—","Direction=H","UseDPDF=Y")</f>
        <v>—</v>
      </c>
      <c r="V153" s="13" t="str">
        <f>_xll.BDH("SRPT US Equity","ARDR_FV_ASTS_REC_L3_DERIVATIVES","FQ3 2023","FQ3 2023","Currency=USD","Period=FQ","BEST_FPERIOD_OVERRIDE=FQ","FILING_STATUS=MR","SCALING_FORMAT=MLN","Sort=A","Dates=H","DateFormat=P","Fill=—","Direction=H","UseDPDF=Y")</f>
        <v>—</v>
      </c>
      <c r="W153" s="13" t="str">
        <f>_xll.BDH("SRPT US Equity","ARDR_FV_ASTS_REC_L3_DERIVATIVES","FQ4 2023","FQ4 2023","Currency=USD","Period=FQ","BEST_FPERIOD_OVERRIDE=FQ","FILING_STATUS=MR","SCALING_FORMAT=MLN","Sort=A","Dates=H","DateFormat=P","Fill=—","Direction=H","UseDPDF=Y")</f>
        <v>—</v>
      </c>
      <c r="X153" s="13" t="str">
        <f>_xll.BDH("SRPT US Equity","ARDR_FV_ASTS_REC_L3_DERIVATIVES","FQ1 2024","FQ1 2024","Currency=USD","Period=FQ","BEST_FPERIOD_OVERRIDE=FQ","FILING_STATUS=MR","SCALING_FORMAT=MLN","Sort=A","Dates=H","DateFormat=P","Fill=—","Direction=H","UseDPDF=Y")</f>
        <v>—</v>
      </c>
      <c r="Y153" s="13" t="str">
        <f>_xll.BDH("SRPT US Equity","ARDR_FV_ASTS_REC_L3_DERIVATIVES","FQ2 2024","FQ2 2024","Currency=USD","Period=FQ","BEST_FPERIOD_OVERRIDE=FQ","FILING_STATUS=MR","SCALING_FORMAT=MLN","Sort=A","Dates=H","DateFormat=P","Fill=—","Direction=H","UseDPDF=Y")</f>
        <v>—</v>
      </c>
      <c r="Z153" s="13">
        <f>_xll.BDH("SRPT US Equity","ARDR_FV_ASTS_REC_L3_DERIVATIVES","FQ3 2024","FQ3 2024","Currency=USD","Period=FQ","BEST_FPERIOD_OVERRIDE=FQ","FILING_STATUS=MR","SCALING_FORMAT=MLN","Sort=A","Dates=H","DateFormat=P","Fill=—","Direction=H","UseDPDF=Y")</f>
        <v>0</v>
      </c>
      <c r="AA153" s="13" t="str">
        <f>_xll.BDH("SRPT US Equity","ARDR_FV_ASTS_REC_L3_DERIVATIVES","FQ4 2024","FQ4 2024","Currency=USD","Period=FQ","BEST_FPERIOD_OVERRIDE=FQ","FILING_STATUS=MR","SCALING_FORMAT=MLN","Sort=A","Dates=H","DateFormat=P","Fill=—","Direction=H","UseDPDF=Y")</f>
        <v>—</v>
      </c>
    </row>
    <row r="154" spans="1:27" x14ac:dyDescent="0.25">
      <c r="A154" s="10" t="s">
        <v>1107</v>
      </c>
      <c r="B154" s="10" t="s">
        <v>1108</v>
      </c>
      <c r="C154" s="13" t="str">
        <f>_xll.BDH("SRPT US Equity","ARDR_FV_ASSETS_REC_L3_OTHER","FQ4 2018","FQ4 2018","Currency=USD","Period=FQ","BEST_FPERIOD_OVERRIDE=FQ","FILING_STATUS=MR","SCALING_FORMAT=MLN","Sort=A","Dates=H","DateFormat=P","Fill=—","Direction=H","UseDPDF=Y")</f>
        <v>—</v>
      </c>
      <c r="D154" s="13">
        <f>_xll.BDH("SRPT US Equity","ARDR_FV_ASSETS_REC_L3_OTHER","FQ1 2019","FQ1 2019","Currency=USD","Period=FQ","BEST_FPERIOD_OVERRIDE=FQ","FILING_STATUS=MR","SCALING_FORMAT=MLN","Sort=A","Dates=H","DateFormat=P","Fill=—","Direction=H","UseDPDF=Y")</f>
        <v>30</v>
      </c>
      <c r="E154" s="13">
        <f>_xll.BDH("SRPT US Equity","ARDR_FV_ASSETS_REC_L3_OTHER","FQ2 2019","FQ2 2019","Currency=USD","Period=FQ","BEST_FPERIOD_OVERRIDE=FQ","FILING_STATUS=MR","SCALING_FORMAT=MLN","Sort=A","Dates=H","DateFormat=P","Fill=—","Direction=H","UseDPDF=Y")</f>
        <v>30</v>
      </c>
      <c r="F154" s="13">
        <f>_xll.BDH("SRPT US Equity","ARDR_FV_ASSETS_REC_L3_OTHER","FQ3 2019","FQ3 2019","Currency=USD","Period=FQ","BEST_FPERIOD_OVERRIDE=FQ","FILING_STATUS=MR","SCALING_FORMAT=MLN","Sort=A","Dates=H","DateFormat=P","Fill=—","Direction=H","UseDPDF=Y")</f>
        <v>30</v>
      </c>
      <c r="G154" s="13">
        <f>_xll.BDH("SRPT US Equity","ARDR_FV_ASSETS_REC_L3_OTHER","FQ4 2019","FQ4 2019","Currency=USD","Period=FQ","BEST_FPERIOD_OVERRIDE=FQ","FILING_STATUS=MR","SCALING_FORMAT=MLN","Sort=A","Dates=H","DateFormat=P","Fill=—","Direction=H","UseDPDF=Y")</f>
        <v>30</v>
      </c>
      <c r="H154" s="13">
        <f>_xll.BDH("SRPT US Equity","ARDR_FV_ASSETS_REC_L3_OTHER","FQ1 2020","FQ1 2020","Currency=USD","Period=FQ","BEST_FPERIOD_OVERRIDE=FQ","FILING_STATUS=MR","SCALING_FORMAT=MLN","Sort=A","Dates=H","DateFormat=P","Fill=—","Direction=H","UseDPDF=Y")</f>
        <v>30</v>
      </c>
      <c r="I154" s="13">
        <f>_xll.BDH("SRPT US Equity","ARDR_FV_ASSETS_REC_L3_OTHER","FQ2 2020","FQ2 2020","Currency=USD","Period=FQ","BEST_FPERIOD_OVERRIDE=FQ","FILING_STATUS=MR","SCALING_FORMAT=MLN","Sort=A","Dates=H","DateFormat=P","Fill=—","Direction=H","UseDPDF=Y")</f>
        <v>30</v>
      </c>
      <c r="J154" s="13">
        <f>_xll.BDH("SRPT US Equity","ARDR_FV_ASSETS_REC_L3_OTHER","FQ3 2020","FQ3 2020","Currency=USD","Period=FQ","BEST_FPERIOD_OVERRIDE=FQ","FILING_STATUS=MR","SCALING_FORMAT=MLN","Sort=A","Dates=H","DateFormat=P","Fill=—","Direction=H","UseDPDF=Y")</f>
        <v>30</v>
      </c>
      <c r="K154" s="13">
        <f>_xll.BDH("SRPT US Equity","ARDR_FV_ASSETS_REC_L3_OTHER","FQ4 2020","FQ4 2020","Currency=USD","Period=FQ","BEST_FPERIOD_OVERRIDE=FQ","FILING_STATUS=MR","SCALING_FORMAT=MLN","Sort=A","Dates=H","DateFormat=P","Fill=—","Direction=H","UseDPDF=Y")</f>
        <v>35.1</v>
      </c>
      <c r="L154" s="13">
        <f>_xll.BDH("SRPT US Equity","ARDR_FV_ASSETS_REC_L3_OTHER","FQ1 2021","FQ1 2021","Currency=USD","Period=FQ","BEST_FPERIOD_OVERRIDE=FQ","FILING_STATUS=MR","SCALING_FORMAT=MLN","Sort=A","Dates=H","DateFormat=P","Fill=—","Direction=H","UseDPDF=Y")</f>
        <v>36.9</v>
      </c>
      <c r="M154" s="13">
        <f>_xll.BDH("SRPT US Equity","ARDR_FV_ASSETS_REC_L3_OTHER","FQ2 2021","FQ2 2021","Currency=USD","Period=FQ","BEST_FPERIOD_OVERRIDE=FQ","FILING_STATUS=MR","SCALING_FORMAT=MLN","Sort=A","Dates=H","DateFormat=P","Fill=—","Direction=H","UseDPDF=Y")</f>
        <v>36.9</v>
      </c>
      <c r="N154" s="13">
        <f>_xll.BDH("SRPT US Equity","ARDR_FV_ASSETS_REC_L3_OTHER","FQ3 2021","FQ3 2021","Currency=USD","Period=FQ","BEST_FPERIOD_OVERRIDE=FQ","FILING_STATUS=MR","SCALING_FORMAT=MLN","Sort=A","Dates=H","DateFormat=P","Fill=—","Direction=H","UseDPDF=Y")</f>
        <v>32.411999999999999</v>
      </c>
      <c r="O154" s="13">
        <f>_xll.BDH("SRPT US Equity","ARDR_FV_ASSETS_REC_L3_OTHER","FQ4 2021","FQ4 2021","Currency=USD","Period=FQ","BEST_FPERIOD_OVERRIDE=FQ","FILING_STATUS=MR","SCALING_FORMAT=MLN","Sort=A","Dates=H","DateFormat=P","Fill=—","Direction=H","UseDPDF=Y")</f>
        <v>32.411999999999999</v>
      </c>
      <c r="P154" s="13" t="str">
        <f>_xll.BDH("SRPT US Equity","ARDR_FV_ASSETS_REC_L3_OTHER","FQ1 2022","FQ1 2022","Currency=USD","Period=FQ","BEST_FPERIOD_OVERRIDE=FQ","FILING_STATUS=MR","SCALING_FORMAT=MLN","Sort=A","Dates=H","DateFormat=P","Fill=—","Direction=H","UseDPDF=Y")</f>
        <v>—</v>
      </c>
      <c r="Q154" s="13">
        <f>_xll.BDH("SRPT US Equity","ARDR_FV_ASSETS_REC_L3_OTHER","FQ2 2022","FQ2 2022","Currency=USD","Period=FQ","BEST_FPERIOD_OVERRIDE=FQ","FILING_STATUS=MR","SCALING_FORMAT=MLN","Sort=A","Dates=H","DateFormat=P","Fill=—","Direction=H","UseDPDF=Y")</f>
        <v>32.411999999999999</v>
      </c>
      <c r="R154" s="13" t="str">
        <f>_xll.BDH("SRPT US Equity","ARDR_FV_ASSETS_REC_L3_OTHER","FQ3 2022","FQ3 2022","Currency=USD","Period=FQ","BEST_FPERIOD_OVERRIDE=FQ","FILING_STATUS=MR","SCALING_FORMAT=MLN","Sort=A","Dates=H","DateFormat=P","Fill=—","Direction=H","UseDPDF=Y")</f>
        <v>—</v>
      </c>
      <c r="S154" s="13">
        <f>_xll.BDH("SRPT US Equity","ARDR_FV_ASSETS_REC_L3_OTHER","FQ4 2022","FQ4 2022","Currency=USD","Period=FQ","BEST_FPERIOD_OVERRIDE=FQ","FILING_STATUS=MR","SCALING_FORMAT=MLN","Sort=A","Dates=H","DateFormat=P","Fill=—","Direction=H","UseDPDF=Y")</f>
        <v>31</v>
      </c>
      <c r="T154" s="13">
        <f>_xll.BDH("SRPT US Equity","ARDR_FV_ASSETS_REC_L3_OTHER","FQ1 2023","FQ1 2023","Currency=USD","Period=FQ","BEST_FPERIOD_OVERRIDE=FQ","FILING_STATUS=MR","SCALING_FORMAT=MLN","Sort=A","Dates=H","DateFormat=P","Fill=—","Direction=H","UseDPDF=Y")</f>
        <v>0</v>
      </c>
      <c r="U154" s="13" t="str">
        <f>_xll.BDH("SRPT US Equity","ARDR_FV_ASSETS_REC_L3_OTHER","FQ2 2023","FQ2 2023","Currency=USD","Period=FQ","BEST_FPERIOD_OVERRIDE=FQ","FILING_STATUS=MR","SCALING_FORMAT=MLN","Sort=A","Dates=H","DateFormat=P","Fill=—","Direction=H","UseDPDF=Y")</f>
        <v>—</v>
      </c>
      <c r="V154" s="13" t="str">
        <f>_xll.BDH("SRPT US Equity","ARDR_FV_ASSETS_REC_L3_OTHER","FQ3 2023","FQ3 2023","Currency=USD","Period=FQ","BEST_FPERIOD_OVERRIDE=FQ","FILING_STATUS=MR","SCALING_FORMAT=MLN","Sort=A","Dates=H","DateFormat=P","Fill=—","Direction=H","UseDPDF=Y")</f>
        <v>—</v>
      </c>
      <c r="W154" s="13">
        <f>_xll.BDH("SRPT US Equity","ARDR_FV_ASSETS_REC_L3_OTHER","FQ4 2023","FQ4 2023","Currency=USD","Period=FQ","BEST_FPERIOD_OVERRIDE=FQ","FILING_STATUS=MR","SCALING_FORMAT=MLN","Sort=A","Dates=H","DateFormat=P","Fill=—","Direction=H","UseDPDF=Y")</f>
        <v>1</v>
      </c>
      <c r="X154" s="13">
        <f>_xll.BDH("SRPT US Equity","ARDR_FV_ASSETS_REC_L3_OTHER","FQ1 2024","FQ1 2024","Currency=USD","Period=FQ","BEST_FPERIOD_OVERRIDE=FQ","FILING_STATUS=MR","SCALING_FORMAT=MLN","Sort=A","Dates=H","DateFormat=P","Fill=—","Direction=H","UseDPDF=Y")</f>
        <v>0</v>
      </c>
      <c r="Y154" s="13">
        <f>_xll.BDH("SRPT US Equity","ARDR_FV_ASSETS_REC_L3_OTHER","FQ2 2024","FQ2 2024","Currency=USD","Period=FQ","BEST_FPERIOD_OVERRIDE=FQ","FILING_STATUS=MR","SCALING_FORMAT=MLN","Sort=A","Dates=H","DateFormat=P","Fill=—","Direction=H","UseDPDF=Y")</f>
        <v>0</v>
      </c>
      <c r="Z154" s="13">
        <f>_xll.BDH("SRPT US Equity","ARDR_FV_ASSETS_REC_L3_OTHER","FQ3 2024","FQ3 2024","Currency=USD","Period=FQ","BEST_FPERIOD_OVERRIDE=FQ","FILING_STATUS=MR","SCALING_FORMAT=MLN","Sort=A","Dates=H","DateFormat=P","Fill=—","Direction=H","UseDPDF=Y")</f>
        <v>0</v>
      </c>
      <c r="AA154" s="13">
        <f>_xll.BDH("SRPT US Equity","ARDR_FV_ASSETS_REC_L3_OTHER","FQ4 2024","FQ4 2024","Currency=USD","Period=FQ","BEST_FPERIOD_OVERRIDE=FQ","FILING_STATUS=MR","SCALING_FORMAT=MLN","Sort=A","Dates=H","DateFormat=P","Fill=—","Direction=H","UseDPDF=Y")</f>
        <v>1</v>
      </c>
    </row>
    <row r="155" spans="1:27" x14ac:dyDescent="0.25">
      <c r="A155" s="10" t="s">
        <v>1109</v>
      </c>
      <c r="B155" s="10" t="s">
        <v>1110</v>
      </c>
      <c r="C155" s="13" t="str">
        <f>_xll.BDH("SRPT US Equity","ARDR_FV_ASTS_REC_TOT_TRADING_ACC","FQ4 2018","FQ4 2018","Currency=USD","Period=FQ","BEST_FPERIOD_OVERRIDE=FQ","FILING_STATUS=MR","SCALING_FORMAT=MLN","Sort=A","Dates=H","DateFormat=P","Fill=—","Direction=H","UseDPDF=Y")</f>
        <v>—</v>
      </c>
      <c r="D155" s="13" t="str">
        <f>_xll.BDH("SRPT US Equity","ARDR_FV_ASTS_REC_TOT_TRADING_ACC","FQ1 2019","FQ1 2019","Currency=USD","Period=FQ","BEST_FPERIOD_OVERRIDE=FQ","FILING_STATUS=MR","SCALING_FORMAT=MLN","Sort=A","Dates=H","DateFormat=P","Fill=—","Direction=H","UseDPDF=Y")</f>
        <v>—</v>
      </c>
      <c r="E155" s="13" t="str">
        <f>_xll.BDH("SRPT US Equity","ARDR_FV_ASTS_REC_TOT_TRADING_ACC","FQ2 2019","FQ2 2019","Currency=USD","Period=FQ","BEST_FPERIOD_OVERRIDE=FQ","FILING_STATUS=MR","SCALING_FORMAT=MLN","Sort=A","Dates=H","DateFormat=P","Fill=—","Direction=H","UseDPDF=Y")</f>
        <v>—</v>
      </c>
      <c r="F155" s="13" t="str">
        <f>_xll.BDH("SRPT US Equity","ARDR_FV_ASTS_REC_TOT_TRADING_ACC","FQ3 2019","FQ3 2019","Currency=USD","Period=FQ","BEST_FPERIOD_OVERRIDE=FQ","FILING_STATUS=MR","SCALING_FORMAT=MLN","Sort=A","Dates=H","DateFormat=P","Fill=—","Direction=H","UseDPDF=Y")</f>
        <v>—</v>
      </c>
      <c r="G155" s="13" t="str">
        <f>_xll.BDH("SRPT US Equity","ARDR_FV_ASTS_REC_TOT_TRADING_ACC","FQ4 2019","FQ4 2019","Currency=USD","Period=FQ","BEST_FPERIOD_OVERRIDE=FQ","FILING_STATUS=MR","SCALING_FORMAT=MLN","Sort=A","Dates=H","DateFormat=P","Fill=—","Direction=H","UseDPDF=Y")</f>
        <v>—</v>
      </c>
      <c r="H155" s="13">
        <f>_xll.BDH("SRPT US Equity","ARDR_FV_ASTS_REC_TOT_TRADING_ACC","FQ1 2020","FQ1 2020","Currency=USD","Period=FQ","BEST_FPERIOD_OVERRIDE=FQ","FILING_STATUS=MR","SCALING_FORMAT=MLN","Sort=A","Dates=H","DateFormat=P","Fill=—","Direction=H","UseDPDF=Y")</f>
        <v>1047.7619999999999</v>
      </c>
      <c r="I155" s="13">
        <f>_xll.BDH("SRPT US Equity","ARDR_FV_ASTS_REC_TOT_TRADING_ACC","FQ2 2020","FQ2 2020","Currency=USD","Period=FQ","BEST_FPERIOD_OVERRIDE=FQ","FILING_STATUS=MR","SCALING_FORMAT=MLN","Sort=A","Dates=H","DateFormat=P","Fill=—","Direction=H","UseDPDF=Y")</f>
        <v>810.14599999999996</v>
      </c>
      <c r="J155" s="13">
        <f>_xll.BDH("SRPT US Equity","ARDR_FV_ASTS_REC_TOT_TRADING_ACC","FQ3 2020","FQ3 2020","Currency=USD","Period=FQ","BEST_FPERIOD_OVERRIDE=FQ","FILING_STATUS=MR","SCALING_FORMAT=MLN","Sort=A","Dates=H","DateFormat=P","Fill=—","Direction=H","UseDPDF=Y")</f>
        <v>624.71400000000006</v>
      </c>
      <c r="K155" s="13" t="str">
        <f>_xll.BDH("SRPT US Equity","ARDR_FV_ASTS_REC_TOT_TRADING_ACC","FQ4 2020","FQ4 2020","Currency=USD","Period=FQ","BEST_FPERIOD_OVERRIDE=FQ","FILING_STATUS=MR","SCALING_FORMAT=MLN","Sort=A","Dates=H","DateFormat=P","Fill=—","Direction=H","UseDPDF=Y")</f>
        <v>—</v>
      </c>
      <c r="L155" s="13">
        <f>_xll.BDH("SRPT US Equity","ARDR_FV_ASTS_REC_TOT_TRADING_ACC","FQ1 2021","FQ1 2021","Currency=USD","Period=FQ","BEST_FPERIOD_OVERRIDE=FQ","FILING_STATUS=MR","SCALING_FORMAT=MLN","Sort=A","Dates=H","DateFormat=P","Fill=—","Direction=H","UseDPDF=Y")</f>
        <v>1053.383</v>
      </c>
      <c r="M155" s="13">
        <f>_xll.BDH("SRPT US Equity","ARDR_FV_ASTS_REC_TOT_TRADING_ACC","FQ2 2021","FQ2 2021","Currency=USD","Period=FQ","BEST_FPERIOD_OVERRIDE=FQ","FILING_STATUS=MR","SCALING_FORMAT=MLN","Sort=A","Dates=H","DateFormat=P","Fill=—","Direction=H","UseDPDF=Y")</f>
        <v>1382.337</v>
      </c>
      <c r="N155" s="13">
        <f>_xll.BDH("SRPT US Equity","ARDR_FV_ASTS_REC_TOT_TRADING_ACC","FQ3 2021","FQ3 2021","Currency=USD","Period=FQ","BEST_FPERIOD_OVERRIDE=FQ","FILING_STATUS=MR","SCALING_FORMAT=MLN","Sort=A","Dates=H","DateFormat=P","Fill=—","Direction=H","UseDPDF=Y")</f>
        <v>1287.2919999999999</v>
      </c>
      <c r="O155" s="13">
        <f>_xll.BDH("SRPT US Equity","ARDR_FV_ASTS_REC_TOT_TRADING_ACC","FQ4 2021","FQ4 2021","Currency=USD","Period=FQ","BEST_FPERIOD_OVERRIDE=FQ","FILING_STATUS=MR","SCALING_FORMAT=MLN","Sort=A","Dates=H","DateFormat=P","Fill=—","Direction=H","UseDPDF=Y")</f>
        <v>1562.3579999999999</v>
      </c>
      <c r="P155" s="13" t="str">
        <f>_xll.BDH("SRPT US Equity","ARDR_FV_ASTS_REC_TOT_TRADING_ACC","FQ1 2022","FQ1 2022","Currency=USD","Period=FQ","BEST_FPERIOD_OVERRIDE=FQ","FILING_STATUS=MR","SCALING_FORMAT=MLN","Sort=A","Dates=H","DateFormat=P","Fill=—","Direction=H","UseDPDF=Y")</f>
        <v>—</v>
      </c>
      <c r="Q155" s="13">
        <f>_xll.BDH("SRPT US Equity","ARDR_FV_ASTS_REC_TOT_TRADING_ACC","FQ2 2022","FQ2 2022","Currency=USD","Period=FQ","BEST_FPERIOD_OVERRIDE=FQ","FILING_STATUS=MR","SCALING_FORMAT=MLN","Sort=A","Dates=H","DateFormat=P","Fill=—","Direction=H","UseDPDF=Y")</f>
        <v>464.06</v>
      </c>
      <c r="R155" s="13">
        <f>_xll.BDH("SRPT US Equity","ARDR_FV_ASTS_REC_TOT_TRADING_ACC","FQ3 2022","FQ3 2022","Currency=USD","Period=FQ","BEST_FPERIOD_OVERRIDE=FQ","FILING_STATUS=MR","SCALING_FORMAT=MLN","Sort=A","Dates=H","DateFormat=P","Fill=—","Direction=H","UseDPDF=Y")</f>
        <v>1691.145</v>
      </c>
      <c r="S155" s="13">
        <f>_xll.BDH("SRPT US Equity","ARDR_FV_ASTS_REC_TOT_TRADING_ACC","FQ4 2022","FQ4 2022","Currency=USD","Period=FQ","BEST_FPERIOD_OVERRIDE=FQ","FILING_STATUS=MR","SCALING_FORMAT=MLN","Sort=A","Dates=H","DateFormat=P","Fill=—","Direction=H","UseDPDF=Y")</f>
        <v>1400.8340000000001</v>
      </c>
      <c r="T155" s="13">
        <f>_xll.BDH("SRPT US Equity","ARDR_FV_ASTS_REC_TOT_TRADING_ACC","FQ1 2023","FQ1 2023","Currency=USD","Period=FQ","BEST_FPERIOD_OVERRIDE=FQ","FILING_STATUS=MR","SCALING_FORMAT=MLN","Sort=A","Dates=H","DateFormat=P","Fill=—","Direction=H","UseDPDF=Y")</f>
        <v>481.40699999999998</v>
      </c>
      <c r="U155" s="13">
        <f>_xll.BDH("SRPT US Equity","ARDR_FV_ASTS_REC_TOT_TRADING_ACC","FQ2 2023","FQ2 2023","Currency=USD","Period=FQ","BEST_FPERIOD_OVERRIDE=FQ","FILING_STATUS=MR","SCALING_FORMAT=MLN","Sort=A","Dates=H","DateFormat=P","Fill=—","Direction=H","UseDPDF=Y")</f>
        <v>404.863</v>
      </c>
      <c r="V155" s="13">
        <f>_xll.BDH("SRPT US Equity","ARDR_FV_ASTS_REC_TOT_TRADING_ACC","FQ3 2023","FQ3 2023","Currency=USD","Period=FQ","BEST_FPERIOD_OVERRIDE=FQ","FILING_STATUS=MR","SCALING_FORMAT=MLN","Sort=A","Dates=H","DateFormat=P","Fill=—","Direction=H","UseDPDF=Y")</f>
        <v>1415.8530000000001</v>
      </c>
      <c r="W155" s="13">
        <f>_xll.BDH("SRPT US Equity","ARDR_FV_ASTS_REC_TOT_TRADING_ACC","FQ4 2023","FQ4 2023","Currency=USD","Period=FQ","BEST_FPERIOD_OVERRIDE=FQ","FILING_STATUS=MR","SCALING_FORMAT=MLN","Sort=A","Dates=H","DateFormat=P","Fill=—","Direction=H","UseDPDF=Y")</f>
        <v>1195.4359999999999</v>
      </c>
      <c r="X155" s="13">
        <f>_xll.BDH("SRPT US Equity","ARDR_FV_ASTS_REC_TOT_TRADING_ACC","FQ1 2024","FQ1 2024","Currency=USD","Period=FQ","BEST_FPERIOD_OVERRIDE=FQ","FILING_STATUS=MR","SCALING_FORMAT=MLN","Sort=A","Dates=H","DateFormat=P","Fill=—","Direction=H","UseDPDF=Y")</f>
        <v>906.61199999999997</v>
      </c>
      <c r="Y155" s="13">
        <f>_xll.BDH("SRPT US Equity","ARDR_FV_ASTS_REC_TOT_TRADING_ACC","FQ2 2024","FQ2 2024","Currency=USD","Period=FQ","BEST_FPERIOD_OVERRIDE=FQ","FILING_STATUS=MR","SCALING_FORMAT=MLN","Sort=A","Dates=H","DateFormat=P","Fill=—","Direction=H","UseDPDF=Y")</f>
        <v>1042.6410000000001</v>
      </c>
      <c r="Z155" s="13">
        <f>_xll.BDH("SRPT US Equity","ARDR_FV_ASTS_REC_TOT_TRADING_ACC","FQ3 2024","FQ3 2024","Currency=USD","Period=FQ","BEST_FPERIOD_OVERRIDE=FQ","FILING_STATUS=MR","SCALING_FORMAT=MLN","Sort=A","Dates=H","DateFormat=P","Fill=—","Direction=H","UseDPDF=Y")</f>
        <v>1186.635</v>
      </c>
      <c r="AA155" s="13">
        <f>_xll.BDH("SRPT US Equity","ARDR_FV_ASTS_REC_TOT_TRADING_ACC","FQ4 2024","FQ4 2024","Currency=USD","Period=FQ","BEST_FPERIOD_OVERRIDE=FQ","FILING_STATUS=MR","SCALING_FORMAT=MLN","Sort=A","Dates=H","DateFormat=P","Fill=—","Direction=H","UseDPDF=Y")</f>
        <v>829.16099999999994</v>
      </c>
    </row>
    <row r="156" spans="1:27" x14ac:dyDescent="0.25">
      <c r="A156" s="10" t="s">
        <v>1111</v>
      </c>
      <c r="B156" s="10" t="s">
        <v>1112</v>
      </c>
      <c r="C156" s="13" t="str">
        <f>_xll.BDH("SRPT US Equity","ARDR_FV_ASSETS_REC_TOT_CP","FQ4 2018","FQ4 2018","Currency=USD","Period=FQ","BEST_FPERIOD_OVERRIDE=FQ","FILING_STATUS=MR","SCALING_FORMAT=MLN","Sort=A","Dates=H","DateFormat=P","Fill=—","Direction=H","UseDPDF=Y")</f>
        <v>—</v>
      </c>
      <c r="D156" s="13" t="str">
        <f>_xll.BDH("SRPT US Equity","ARDR_FV_ASSETS_REC_TOT_CP","FQ1 2019","FQ1 2019","Currency=USD","Period=FQ","BEST_FPERIOD_OVERRIDE=FQ","FILING_STATUS=MR","SCALING_FORMAT=MLN","Sort=A","Dates=H","DateFormat=P","Fill=—","Direction=H","UseDPDF=Y")</f>
        <v>—</v>
      </c>
      <c r="E156" s="13" t="str">
        <f>_xll.BDH("SRPT US Equity","ARDR_FV_ASSETS_REC_TOT_CP","FQ2 2019","FQ2 2019","Currency=USD","Period=FQ","BEST_FPERIOD_OVERRIDE=FQ","FILING_STATUS=MR","SCALING_FORMAT=MLN","Sort=A","Dates=H","DateFormat=P","Fill=—","Direction=H","UseDPDF=Y")</f>
        <v>—</v>
      </c>
      <c r="F156" s="13" t="str">
        <f>_xll.BDH("SRPT US Equity","ARDR_FV_ASSETS_REC_TOT_CP","FQ3 2019","FQ3 2019","Currency=USD","Period=FQ","BEST_FPERIOD_OVERRIDE=FQ","FILING_STATUS=MR","SCALING_FORMAT=MLN","Sort=A","Dates=H","DateFormat=P","Fill=—","Direction=H","UseDPDF=Y")</f>
        <v>—</v>
      </c>
      <c r="G156" s="13">
        <f>_xll.BDH("SRPT US Equity","ARDR_FV_ASSETS_REC_TOT_CP","FQ4 2019","FQ4 2019","Currency=USD","Period=FQ","BEST_FPERIOD_OVERRIDE=FQ","FILING_STATUS=MR","SCALING_FORMAT=MLN","Sort=A","Dates=H","DateFormat=P","Fill=—","Direction=H","UseDPDF=Y")</f>
        <v>203.41</v>
      </c>
      <c r="H156" s="13" t="str">
        <f>_xll.BDH("SRPT US Equity","ARDR_FV_ASSETS_REC_TOT_CP","FQ1 2020","FQ1 2020","Currency=USD","Period=FQ","BEST_FPERIOD_OVERRIDE=FQ","FILING_STATUS=MR","SCALING_FORMAT=MLN","Sort=A","Dates=H","DateFormat=P","Fill=—","Direction=H","UseDPDF=Y")</f>
        <v>—</v>
      </c>
      <c r="I156" s="13" t="str">
        <f>_xll.BDH("SRPT US Equity","ARDR_FV_ASSETS_REC_TOT_CP","FQ2 2020","FQ2 2020","Currency=USD","Period=FQ","BEST_FPERIOD_OVERRIDE=FQ","FILING_STATUS=MR","SCALING_FORMAT=MLN","Sort=A","Dates=H","DateFormat=P","Fill=—","Direction=H","UseDPDF=Y")</f>
        <v>—</v>
      </c>
      <c r="J156" s="13" t="str">
        <f>_xll.BDH("SRPT US Equity","ARDR_FV_ASSETS_REC_TOT_CP","FQ3 2020","FQ3 2020","Currency=USD","Period=FQ","BEST_FPERIOD_OVERRIDE=FQ","FILING_STATUS=MR","SCALING_FORMAT=MLN","Sort=A","Dates=H","DateFormat=P","Fill=—","Direction=H","UseDPDF=Y")</f>
        <v>—</v>
      </c>
      <c r="K156" s="13">
        <f>_xll.BDH("SRPT US Equity","ARDR_FV_ASSETS_REC_TOT_CP","FQ4 2020","FQ4 2020","Currency=USD","Period=FQ","BEST_FPERIOD_OVERRIDE=FQ","FILING_STATUS=MR","SCALING_FORMAT=MLN","Sort=A","Dates=H","DateFormat=P","Fill=—","Direction=H","UseDPDF=Y")</f>
        <v>629.44000000000005</v>
      </c>
      <c r="L156" s="13" t="str">
        <f>_xll.BDH("SRPT US Equity","ARDR_FV_ASSETS_REC_TOT_CP","FQ1 2021","FQ1 2021","Currency=USD","Period=FQ","BEST_FPERIOD_OVERRIDE=FQ","FILING_STATUS=MR","SCALING_FORMAT=MLN","Sort=A","Dates=H","DateFormat=P","Fill=—","Direction=H","UseDPDF=Y")</f>
        <v>—</v>
      </c>
      <c r="M156" s="13" t="str">
        <f>_xll.BDH("SRPT US Equity","ARDR_FV_ASSETS_REC_TOT_CP","FQ2 2021","FQ2 2021","Currency=USD","Period=FQ","BEST_FPERIOD_OVERRIDE=FQ","FILING_STATUS=MR","SCALING_FORMAT=MLN","Sort=A","Dates=H","DateFormat=P","Fill=—","Direction=H","UseDPDF=Y")</f>
        <v>—</v>
      </c>
      <c r="N156" s="13" t="str">
        <f>_xll.BDH("SRPT US Equity","ARDR_FV_ASSETS_REC_TOT_CP","FQ3 2021","FQ3 2021","Currency=USD","Period=FQ","BEST_FPERIOD_OVERRIDE=FQ","FILING_STATUS=MR","SCALING_FORMAT=MLN","Sort=A","Dates=H","DateFormat=P","Fill=—","Direction=H","UseDPDF=Y")</f>
        <v>—</v>
      </c>
      <c r="O156" s="13" t="str">
        <f>_xll.BDH("SRPT US Equity","ARDR_FV_ASSETS_REC_TOT_CP","FQ4 2021","FQ4 2021","Currency=USD","Period=FQ","BEST_FPERIOD_OVERRIDE=FQ","FILING_STATUS=MR","SCALING_FORMAT=MLN","Sort=A","Dates=H","DateFormat=P","Fill=—","Direction=H","UseDPDF=Y")</f>
        <v>—</v>
      </c>
      <c r="P156" s="13" t="str">
        <f>_xll.BDH("SRPT US Equity","ARDR_FV_ASSETS_REC_TOT_CP","FQ1 2022","FQ1 2022","Currency=USD","Period=FQ","BEST_FPERIOD_OVERRIDE=FQ","FILING_STATUS=MR","SCALING_FORMAT=MLN","Sort=A","Dates=H","DateFormat=P","Fill=—","Direction=H","UseDPDF=Y")</f>
        <v>—</v>
      </c>
      <c r="Q156" s="13" t="str">
        <f>_xll.BDH("SRPT US Equity","ARDR_FV_ASSETS_REC_TOT_CP","FQ2 2022","FQ2 2022","Currency=USD","Period=FQ","BEST_FPERIOD_OVERRIDE=FQ","FILING_STATUS=MR","SCALING_FORMAT=MLN","Sort=A","Dates=H","DateFormat=P","Fill=—","Direction=H","UseDPDF=Y")</f>
        <v>—</v>
      </c>
      <c r="R156" s="13" t="str">
        <f>_xll.BDH("SRPT US Equity","ARDR_FV_ASSETS_REC_TOT_CP","FQ3 2022","FQ3 2022","Currency=USD","Period=FQ","BEST_FPERIOD_OVERRIDE=FQ","FILING_STATUS=MR","SCALING_FORMAT=MLN","Sort=A","Dates=H","DateFormat=P","Fill=—","Direction=H","UseDPDF=Y")</f>
        <v>—</v>
      </c>
      <c r="S156" s="13">
        <f>_xll.BDH("SRPT US Equity","ARDR_FV_ASSETS_REC_TOT_CP","FQ4 2022","FQ4 2022","Currency=USD","Period=FQ","BEST_FPERIOD_OVERRIDE=FQ","FILING_STATUS=MR","SCALING_FORMAT=MLN","Sort=A","Dates=H","DateFormat=P","Fill=—","Direction=H","UseDPDF=Y")</f>
        <v>211.369</v>
      </c>
      <c r="T156" s="13">
        <f>_xll.BDH("SRPT US Equity","ARDR_FV_ASSETS_REC_TOT_CP","FQ1 2023","FQ1 2023","Currency=USD","Period=FQ","BEST_FPERIOD_OVERRIDE=FQ","FILING_STATUS=MR","SCALING_FORMAT=MLN","Sort=A","Dates=H","DateFormat=P","Fill=—","Direction=H","UseDPDF=Y")</f>
        <v>1069.498</v>
      </c>
      <c r="U156" s="13">
        <f>_xll.BDH("SRPT US Equity","ARDR_FV_ASSETS_REC_TOT_CP","FQ2 2023","FQ2 2023","Currency=USD","Period=FQ","BEST_FPERIOD_OVERRIDE=FQ","FILING_STATUS=MR","SCALING_FORMAT=MLN","Sort=A","Dates=H","DateFormat=P","Fill=—","Direction=H","UseDPDF=Y")</f>
        <v>1089.566</v>
      </c>
      <c r="V156" s="13" t="str">
        <f>_xll.BDH("SRPT US Equity","ARDR_FV_ASSETS_REC_TOT_CP","FQ3 2023","FQ3 2023","Currency=USD","Period=FQ","BEST_FPERIOD_OVERRIDE=FQ","FILING_STATUS=MR","SCALING_FORMAT=MLN","Sort=A","Dates=H","DateFormat=P","Fill=—","Direction=H","UseDPDF=Y")</f>
        <v>—</v>
      </c>
      <c r="W156" s="13">
        <f>_xll.BDH("SRPT US Equity","ARDR_FV_ASSETS_REC_TOT_CP","FQ4 2023","FQ4 2023","Currency=USD","Period=FQ","BEST_FPERIOD_OVERRIDE=FQ","FILING_STATUS=MR","SCALING_FORMAT=MLN","Sort=A","Dates=H","DateFormat=P","Fill=—","Direction=H","UseDPDF=Y")</f>
        <v>113.36199999999999</v>
      </c>
      <c r="X156" s="13">
        <f>_xll.BDH("SRPT US Equity","ARDR_FV_ASSETS_REC_TOT_CP","FQ1 2024","FQ1 2024","Currency=USD","Period=FQ","BEST_FPERIOD_OVERRIDE=FQ","FILING_STATUS=MR","SCALING_FORMAT=MLN","Sort=A","Dates=H","DateFormat=P","Fill=—","Direction=H","UseDPDF=Y")</f>
        <v>321.22399999999999</v>
      </c>
      <c r="Y156" s="13">
        <f>_xll.BDH("SRPT US Equity","ARDR_FV_ASSETS_REC_TOT_CP","FQ2 2024","FQ2 2024","Currency=USD","Period=FQ","BEST_FPERIOD_OVERRIDE=FQ","FILING_STATUS=MR","SCALING_FORMAT=MLN","Sort=A","Dates=H","DateFormat=P","Fill=—","Direction=H","UseDPDF=Y")</f>
        <v>127.72499999999999</v>
      </c>
      <c r="Z156" s="13">
        <f>_xll.BDH("SRPT US Equity","ARDR_FV_ASSETS_REC_TOT_CP","FQ3 2024","FQ3 2024","Currency=USD","Period=FQ","BEST_FPERIOD_OVERRIDE=FQ","FILING_STATUS=MR","SCALING_FORMAT=MLN","Sort=A","Dates=H","DateFormat=P","Fill=—","Direction=H","UseDPDF=Y")</f>
        <v>21.951000000000001</v>
      </c>
      <c r="AA156" s="13">
        <f>_xll.BDH("SRPT US Equity","ARDR_FV_ASSETS_REC_TOT_CP","FQ4 2024","FQ4 2024","Currency=USD","Period=FQ","BEST_FPERIOD_OVERRIDE=FQ","FILING_STATUS=MR","SCALING_FORMAT=MLN","Sort=A","Dates=H","DateFormat=P","Fill=—","Direction=H","UseDPDF=Y")</f>
        <v>0</v>
      </c>
    </row>
    <row r="157" spans="1:27" x14ac:dyDescent="0.25">
      <c r="A157" s="10" t="s">
        <v>1113</v>
      </c>
      <c r="B157" s="10" t="s">
        <v>1114</v>
      </c>
      <c r="C157" s="13" t="str">
        <f>_xll.BDH("SRPT US Equity","ARDR_FV_ASTS_REC_TOT_DERIVATIVES","FQ4 2018","FQ4 2018","Currency=USD","Period=FQ","BEST_FPERIOD_OVERRIDE=FQ","FILING_STATUS=MR","SCALING_FORMAT=MLN","Sort=A","Dates=H","DateFormat=P","Fill=—","Direction=H","UseDPDF=Y")</f>
        <v>—</v>
      </c>
      <c r="D157" s="13" t="str">
        <f>_xll.BDH("SRPT US Equity","ARDR_FV_ASTS_REC_TOT_DERIVATIVES","FQ1 2019","FQ1 2019","Currency=USD","Period=FQ","BEST_FPERIOD_OVERRIDE=FQ","FILING_STATUS=MR","SCALING_FORMAT=MLN","Sort=A","Dates=H","DateFormat=P","Fill=—","Direction=H","UseDPDF=Y")</f>
        <v>—</v>
      </c>
      <c r="E157" s="13" t="str">
        <f>_xll.BDH("SRPT US Equity","ARDR_FV_ASTS_REC_TOT_DERIVATIVES","FQ2 2019","FQ2 2019","Currency=USD","Period=FQ","BEST_FPERIOD_OVERRIDE=FQ","FILING_STATUS=MR","SCALING_FORMAT=MLN","Sort=A","Dates=H","DateFormat=P","Fill=—","Direction=H","UseDPDF=Y")</f>
        <v>—</v>
      </c>
      <c r="F157" s="13" t="str">
        <f>_xll.BDH("SRPT US Equity","ARDR_FV_ASTS_REC_TOT_DERIVATIVES","FQ3 2019","FQ3 2019","Currency=USD","Period=FQ","BEST_FPERIOD_OVERRIDE=FQ","FILING_STATUS=MR","SCALING_FORMAT=MLN","Sort=A","Dates=H","DateFormat=P","Fill=—","Direction=H","UseDPDF=Y")</f>
        <v>—</v>
      </c>
      <c r="G157" s="13" t="str">
        <f>_xll.BDH("SRPT US Equity","ARDR_FV_ASTS_REC_TOT_DERIVATIVES","FQ4 2019","FQ4 2019","Currency=USD","Period=FQ","BEST_FPERIOD_OVERRIDE=FQ","FILING_STATUS=MR","SCALING_FORMAT=MLN","Sort=A","Dates=H","DateFormat=P","Fill=—","Direction=H","UseDPDF=Y")</f>
        <v>—</v>
      </c>
      <c r="H157" s="13" t="str">
        <f>_xll.BDH("SRPT US Equity","ARDR_FV_ASTS_REC_TOT_DERIVATIVES","FQ1 2020","FQ1 2020","Currency=USD","Period=FQ","BEST_FPERIOD_OVERRIDE=FQ","FILING_STATUS=MR","SCALING_FORMAT=MLN","Sort=A","Dates=H","DateFormat=P","Fill=—","Direction=H","UseDPDF=Y")</f>
        <v>—</v>
      </c>
      <c r="I157" s="13" t="str">
        <f>_xll.BDH("SRPT US Equity","ARDR_FV_ASTS_REC_TOT_DERIVATIVES","FQ2 2020","FQ2 2020","Currency=USD","Period=FQ","BEST_FPERIOD_OVERRIDE=FQ","FILING_STATUS=MR","SCALING_FORMAT=MLN","Sort=A","Dates=H","DateFormat=P","Fill=—","Direction=H","UseDPDF=Y")</f>
        <v>—</v>
      </c>
      <c r="J157" s="13" t="str">
        <f>_xll.BDH("SRPT US Equity","ARDR_FV_ASTS_REC_TOT_DERIVATIVES","FQ3 2020","FQ3 2020","Currency=USD","Period=FQ","BEST_FPERIOD_OVERRIDE=FQ","FILING_STATUS=MR","SCALING_FORMAT=MLN","Sort=A","Dates=H","DateFormat=P","Fill=—","Direction=H","UseDPDF=Y")</f>
        <v>—</v>
      </c>
      <c r="K157" s="13" t="str">
        <f>_xll.BDH("SRPT US Equity","ARDR_FV_ASTS_REC_TOT_DERIVATIVES","FQ4 2020","FQ4 2020","Currency=USD","Period=FQ","BEST_FPERIOD_OVERRIDE=FQ","FILING_STATUS=MR","SCALING_FORMAT=MLN","Sort=A","Dates=H","DateFormat=P","Fill=—","Direction=H","UseDPDF=Y")</f>
        <v>—</v>
      </c>
      <c r="L157" s="13" t="str">
        <f>_xll.BDH("SRPT US Equity","ARDR_FV_ASTS_REC_TOT_DERIVATIVES","FQ1 2021","FQ1 2021","Currency=USD","Period=FQ","BEST_FPERIOD_OVERRIDE=FQ","FILING_STATUS=MR","SCALING_FORMAT=MLN","Sort=A","Dates=H","DateFormat=P","Fill=—","Direction=H","UseDPDF=Y")</f>
        <v>—</v>
      </c>
      <c r="M157" s="13" t="str">
        <f>_xll.BDH("SRPT US Equity","ARDR_FV_ASTS_REC_TOT_DERIVATIVES","FQ2 2021","FQ2 2021","Currency=USD","Period=FQ","BEST_FPERIOD_OVERRIDE=FQ","FILING_STATUS=MR","SCALING_FORMAT=MLN","Sort=A","Dates=H","DateFormat=P","Fill=—","Direction=H","UseDPDF=Y")</f>
        <v>—</v>
      </c>
      <c r="N157" s="13" t="str">
        <f>_xll.BDH("SRPT US Equity","ARDR_FV_ASTS_REC_TOT_DERIVATIVES","FQ3 2021","FQ3 2021","Currency=USD","Period=FQ","BEST_FPERIOD_OVERRIDE=FQ","FILING_STATUS=MR","SCALING_FORMAT=MLN","Sort=A","Dates=H","DateFormat=P","Fill=—","Direction=H","UseDPDF=Y")</f>
        <v>—</v>
      </c>
      <c r="O157" s="13" t="str">
        <f>_xll.BDH("SRPT US Equity","ARDR_FV_ASTS_REC_TOT_DERIVATIVES","FQ4 2021","FQ4 2021","Currency=USD","Period=FQ","BEST_FPERIOD_OVERRIDE=FQ","FILING_STATUS=MR","SCALING_FORMAT=MLN","Sort=A","Dates=H","DateFormat=P","Fill=—","Direction=H","UseDPDF=Y")</f>
        <v>—</v>
      </c>
      <c r="P157" s="13" t="str">
        <f>_xll.BDH("SRPT US Equity","ARDR_FV_ASTS_REC_TOT_DERIVATIVES","FQ1 2022","FQ1 2022","Currency=USD","Period=FQ","BEST_FPERIOD_OVERRIDE=FQ","FILING_STATUS=MR","SCALING_FORMAT=MLN","Sort=A","Dates=H","DateFormat=P","Fill=—","Direction=H","UseDPDF=Y")</f>
        <v>—</v>
      </c>
      <c r="Q157" s="13" t="str">
        <f>_xll.BDH("SRPT US Equity","ARDR_FV_ASTS_REC_TOT_DERIVATIVES","FQ2 2022","FQ2 2022","Currency=USD","Period=FQ","BEST_FPERIOD_OVERRIDE=FQ","FILING_STATUS=MR","SCALING_FORMAT=MLN","Sort=A","Dates=H","DateFormat=P","Fill=—","Direction=H","UseDPDF=Y")</f>
        <v>—</v>
      </c>
      <c r="R157" s="13" t="str">
        <f>_xll.BDH("SRPT US Equity","ARDR_FV_ASTS_REC_TOT_DERIVATIVES","FQ3 2022","FQ3 2022","Currency=USD","Period=FQ","BEST_FPERIOD_OVERRIDE=FQ","FILING_STATUS=MR","SCALING_FORMAT=MLN","Sort=A","Dates=H","DateFormat=P","Fill=—","Direction=H","UseDPDF=Y")</f>
        <v>—</v>
      </c>
      <c r="S157" s="13" t="str">
        <f>_xll.BDH("SRPT US Equity","ARDR_FV_ASTS_REC_TOT_DERIVATIVES","FQ4 2022","FQ4 2022","Currency=USD","Period=FQ","BEST_FPERIOD_OVERRIDE=FQ","FILING_STATUS=MR","SCALING_FORMAT=MLN","Sort=A","Dates=H","DateFormat=P","Fill=—","Direction=H","UseDPDF=Y")</f>
        <v>—</v>
      </c>
      <c r="T157" s="13" t="str">
        <f>_xll.BDH("SRPT US Equity","ARDR_FV_ASTS_REC_TOT_DERIVATIVES","FQ1 2023","FQ1 2023","Currency=USD","Period=FQ","BEST_FPERIOD_OVERRIDE=FQ","FILING_STATUS=MR","SCALING_FORMAT=MLN","Sort=A","Dates=H","DateFormat=P","Fill=—","Direction=H","UseDPDF=Y")</f>
        <v>—</v>
      </c>
      <c r="U157" s="13" t="str">
        <f>_xll.BDH("SRPT US Equity","ARDR_FV_ASTS_REC_TOT_DERIVATIVES","FQ2 2023","FQ2 2023","Currency=USD","Period=FQ","BEST_FPERIOD_OVERRIDE=FQ","FILING_STATUS=MR","SCALING_FORMAT=MLN","Sort=A","Dates=H","DateFormat=P","Fill=—","Direction=H","UseDPDF=Y")</f>
        <v>—</v>
      </c>
      <c r="V157" s="13" t="str">
        <f>_xll.BDH("SRPT US Equity","ARDR_FV_ASTS_REC_TOT_DERIVATIVES","FQ3 2023","FQ3 2023","Currency=USD","Period=FQ","BEST_FPERIOD_OVERRIDE=FQ","FILING_STATUS=MR","SCALING_FORMAT=MLN","Sort=A","Dates=H","DateFormat=P","Fill=—","Direction=H","UseDPDF=Y")</f>
        <v>—</v>
      </c>
      <c r="W157" s="13" t="str">
        <f>_xll.BDH("SRPT US Equity","ARDR_FV_ASTS_REC_TOT_DERIVATIVES","FQ4 2023","FQ4 2023","Currency=USD","Period=FQ","BEST_FPERIOD_OVERRIDE=FQ","FILING_STATUS=MR","SCALING_FORMAT=MLN","Sort=A","Dates=H","DateFormat=P","Fill=—","Direction=H","UseDPDF=Y")</f>
        <v>—</v>
      </c>
      <c r="X157" s="13" t="str">
        <f>_xll.BDH("SRPT US Equity","ARDR_FV_ASTS_REC_TOT_DERIVATIVES","FQ1 2024","FQ1 2024","Currency=USD","Period=FQ","BEST_FPERIOD_OVERRIDE=FQ","FILING_STATUS=MR","SCALING_FORMAT=MLN","Sort=A","Dates=H","DateFormat=P","Fill=—","Direction=H","UseDPDF=Y")</f>
        <v>—</v>
      </c>
      <c r="Y157" s="13" t="str">
        <f>_xll.BDH("SRPT US Equity","ARDR_FV_ASTS_REC_TOT_DERIVATIVES","FQ2 2024","FQ2 2024","Currency=USD","Period=FQ","BEST_FPERIOD_OVERRIDE=FQ","FILING_STATUS=MR","SCALING_FORMAT=MLN","Sort=A","Dates=H","DateFormat=P","Fill=—","Direction=H","UseDPDF=Y")</f>
        <v>—</v>
      </c>
      <c r="Z157" s="13">
        <f>_xll.BDH("SRPT US Equity","ARDR_FV_ASTS_REC_TOT_DERIVATIVES","FQ3 2024","FQ3 2024","Currency=USD","Period=FQ","BEST_FPERIOD_OVERRIDE=FQ","FILING_STATUS=MR","SCALING_FORMAT=MLN","Sort=A","Dates=H","DateFormat=P","Fill=—","Direction=H","UseDPDF=Y")</f>
        <v>44.622</v>
      </c>
      <c r="AA157" s="13" t="str">
        <f>_xll.BDH("SRPT US Equity","ARDR_FV_ASTS_REC_TOT_DERIVATIVES","FQ4 2024","FQ4 2024","Currency=USD","Period=FQ","BEST_FPERIOD_OVERRIDE=FQ","FILING_STATUS=MR","SCALING_FORMAT=MLN","Sort=A","Dates=H","DateFormat=P","Fill=—","Direction=H","UseDPDF=Y")</f>
        <v>—</v>
      </c>
    </row>
    <row r="158" spans="1:27" x14ac:dyDescent="0.25">
      <c r="A158" s="10" t="s">
        <v>1115</v>
      </c>
      <c r="B158" s="10" t="s">
        <v>1116</v>
      </c>
      <c r="C158" s="13" t="str">
        <f>_xll.BDH("SRPT US Equity","ARDR_FV_ASSETS_REC_TOT_OTHER","FQ4 2018","FQ4 2018","Currency=USD","Period=FQ","BEST_FPERIOD_OVERRIDE=FQ","FILING_STATUS=MR","SCALING_FORMAT=MLN","Sort=A","Dates=H","DateFormat=P","Fill=—","Direction=H","UseDPDF=Y")</f>
        <v>—</v>
      </c>
      <c r="D158" s="13" t="str">
        <f>_xll.BDH("SRPT US Equity","ARDR_FV_ASSETS_REC_TOT_OTHER","FQ1 2019","FQ1 2019","Currency=USD","Period=FQ","BEST_FPERIOD_OVERRIDE=FQ","FILING_STATUS=MR","SCALING_FORMAT=MLN","Sort=A","Dates=H","DateFormat=P","Fill=—","Direction=H","UseDPDF=Y")</f>
        <v>—</v>
      </c>
      <c r="E158" s="13">
        <f>_xll.BDH("SRPT US Equity","ARDR_FV_ASSETS_REC_TOT_OTHER","FQ2 2019","FQ2 2019","Currency=USD","Period=FQ","BEST_FPERIOD_OVERRIDE=FQ","FILING_STATUS=MR","SCALING_FORMAT=MLN","Sort=A","Dates=H","DateFormat=P","Fill=—","Direction=H","UseDPDF=Y")</f>
        <v>998.78899999999999</v>
      </c>
      <c r="F158" s="13" t="str">
        <f>_xll.BDH("SRPT US Equity","ARDR_FV_ASSETS_REC_TOT_OTHER","FQ3 2019","FQ3 2019","Currency=USD","Period=FQ","BEST_FPERIOD_OVERRIDE=FQ","FILING_STATUS=MR","SCALING_FORMAT=MLN","Sort=A","Dates=H","DateFormat=P","Fill=—","Direction=H","UseDPDF=Y")</f>
        <v>—</v>
      </c>
      <c r="G158" s="13">
        <f>_xll.BDH("SRPT US Equity","ARDR_FV_ASSETS_REC_TOT_OTHER","FQ4 2019","FQ4 2019","Currency=USD","Period=FQ","BEST_FPERIOD_OVERRIDE=FQ","FILING_STATUS=MR","SCALING_FORMAT=MLN","Sort=A","Dates=H","DateFormat=P","Fill=—","Direction=H","UseDPDF=Y")</f>
        <v>842.09699999999998</v>
      </c>
      <c r="H158" s="13">
        <f>_xll.BDH("SRPT US Equity","ARDR_FV_ASSETS_REC_TOT_OTHER","FQ1 2020","FQ1 2020","Currency=USD","Period=FQ","BEST_FPERIOD_OVERRIDE=FQ","FILING_STATUS=MR","SCALING_FORMAT=MLN","Sort=A","Dates=H","DateFormat=P","Fill=—","Direction=H","UseDPDF=Y")</f>
        <v>753.74400000000003</v>
      </c>
      <c r="I158" s="13">
        <f>_xll.BDH("SRPT US Equity","ARDR_FV_ASSETS_REC_TOT_OTHER","FQ2 2020","FQ2 2020","Currency=USD","Period=FQ","BEST_FPERIOD_OVERRIDE=FQ","FILING_STATUS=MR","SCALING_FORMAT=MLN","Sort=A","Dates=H","DateFormat=P","Fill=—","Direction=H","UseDPDF=Y")</f>
        <v>961.81600000000003</v>
      </c>
      <c r="J158" s="13">
        <f>_xll.BDH("SRPT US Equity","ARDR_FV_ASSETS_REC_TOT_OTHER","FQ3 2020","FQ3 2020","Currency=USD","Period=FQ","BEST_FPERIOD_OVERRIDE=FQ","FILING_STATUS=MR","SCALING_FORMAT=MLN","Sort=A","Dates=H","DateFormat=P","Fill=—","Direction=H","UseDPDF=Y")</f>
        <v>926.38400000000001</v>
      </c>
      <c r="K158" s="13">
        <f>_xll.BDH("SRPT US Equity","ARDR_FV_ASSETS_REC_TOT_OTHER","FQ4 2020","FQ4 2020","Currency=USD","Period=FQ","BEST_FPERIOD_OVERRIDE=FQ","FILING_STATUS=MR","SCALING_FORMAT=MLN","Sort=A","Dates=H","DateFormat=P","Fill=—","Direction=H","UseDPDF=Y")</f>
        <v>1077.03</v>
      </c>
      <c r="L158" s="13">
        <f>_xll.BDH("SRPT US Equity","ARDR_FV_ASSETS_REC_TOT_OTHER","FQ1 2021","FQ1 2021","Currency=USD","Period=FQ","BEST_FPERIOD_OVERRIDE=FQ","FILING_STATUS=MR","SCALING_FORMAT=MLN","Sort=A","Dates=H","DateFormat=P","Fill=—","Direction=H","UseDPDF=Y")</f>
        <v>399.91899999999998</v>
      </c>
      <c r="M158" s="13">
        <f>_xll.BDH("SRPT US Equity","ARDR_FV_ASSETS_REC_TOT_OTHER","FQ2 2021","FQ2 2021","Currency=USD","Period=FQ","BEST_FPERIOD_OVERRIDE=FQ","FILING_STATUS=MR","SCALING_FORMAT=MLN","Sort=A","Dates=H","DateFormat=P","Fill=—","Direction=H","UseDPDF=Y")</f>
        <v>1452.558</v>
      </c>
      <c r="N158" s="13">
        <f>_xll.BDH("SRPT US Equity","ARDR_FV_ASSETS_REC_TOT_OTHER","FQ3 2021","FQ3 2021","Currency=USD","Period=FQ","BEST_FPERIOD_OVERRIDE=FQ","FILING_STATUS=MR","SCALING_FORMAT=MLN","Sort=A","Dates=H","DateFormat=P","Fill=—","Direction=H","UseDPDF=Y")</f>
        <v>67.95</v>
      </c>
      <c r="O158" s="13">
        <f>_xll.BDH("SRPT US Equity","ARDR_FV_ASSETS_REC_TOT_OTHER","FQ4 2021","FQ4 2021","Currency=USD","Period=FQ","BEST_FPERIOD_OVERRIDE=FQ","FILING_STATUS=MR","SCALING_FORMAT=MLN","Sort=A","Dates=H","DateFormat=P","Fill=—","Direction=H","UseDPDF=Y")</f>
        <v>35.142000000000003</v>
      </c>
      <c r="P158" s="13" t="str">
        <f>_xll.BDH("SRPT US Equity","ARDR_FV_ASSETS_REC_TOT_OTHER","FQ1 2022","FQ1 2022","Currency=USD","Period=FQ","BEST_FPERIOD_OVERRIDE=FQ","FILING_STATUS=MR","SCALING_FORMAT=MLN","Sort=A","Dates=H","DateFormat=P","Fill=—","Direction=H","UseDPDF=Y")</f>
        <v>—</v>
      </c>
      <c r="Q158" s="13">
        <f>_xll.BDH("SRPT US Equity","ARDR_FV_ASSETS_REC_TOT_OTHER","FQ2 2022","FQ2 2022","Currency=USD","Period=FQ","BEST_FPERIOD_OVERRIDE=FQ","FILING_STATUS=MR","SCALING_FORMAT=MLN","Sort=A","Dates=H","DateFormat=P","Fill=—","Direction=H","UseDPDF=Y")</f>
        <v>1599.6849999999999</v>
      </c>
      <c r="R158" s="13" t="str">
        <f>_xll.BDH("SRPT US Equity","ARDR_FV_ASSETS_REC_TOT_OTHER","FQ3 2022","FQ3 2022","Currency=USD","Period=FQ","BEST_FPERIOD_OVERRIDE=FQ","FILING_STATUS=MR","SCALING_FORMAT=MLN","Sort=A","Dates=H","DateFormat=P","Fill=—","Direction=H","UseDPDF=Y")</f>
        <v>—</v>
      </c>
      <c r="S158" s="13">
        <f>_xll.BDH("SRPT US Equity","ARDR_FV_ASSETS_REC_TOT_OTHER","FQ4 2022","FQ4 2022","Currency=USD","Period=FQ","BEST_FPERIOD_OVERRIDE=FQ","FILING_STATUS=MR","SCALING_FORMAT=MLN","Sort=A","Dates=H","DateFormat=P","Fill=—","Direction=H","UseDPDF=Y")</f>
        <v>74.066000000000003</v>
      </c>
      <c r="T158" s="13">
        <f>_xll.BDH("SRPT US Equity","ARDR_FV_ASSETS_REC_TOT_OTHER","FQ1 2023","FQ1 2023","Currency=USD","Period=FQ","BEST_FPERIOD_OVERRIDE=FQ","FILING_STATUS=MR","SCALING_FORMAT=MLN","Sort=A","Dates=H","DateFormat=P","Fill=—","Direction=H","UseDPDF=Y")</f>
        <v>21.143000000000001</v>
      </c>
      <c r="U158" s="13" t="str">
        <f>_xll.BDH("SRPT US Equity","ARDR_FV_ASSETS_REC_TOT_OTHER","FQ2 2023","FQ2 2023","Currency=USD","Period=FQ","BEST_FPERIOD_OVERRIDE=FQ","FILING_STATUS=MR","SCALING_FORMAT=MLN","Sort=A","Dates=H","DateFormat=P","Fill=—","Direction=H","UseDPDF=Y")</f>
        <v>—</v>
      </c>
      <c r="V158" s="13" t="str">
        <f>_xll.BDH("SRPT US Equity","ARDR_FV_ASSETS_REC_TOT_OTHER","FQ3 2023","FQ3 2023","Currency=USD","Period=FQ","BEST_FPERIOD_OVERRIDE=FQ","FILING_STATUS=MR","SCALING_FORMAT=MLN","Sort=A","Dates=H","DateFormat=P","Fill=—","Direction=H","UseDPDF=Y")</f>
        <v>—</v>
      </c>
      <c r="W158" s="13">
        <f>_xll.BDH("SRPT US Equity","ARDR_FV_ASSETS_REC_TOT_OTHER","FQ4 2023","FQ4 2023","Currency=USD","Period=FQ","BEST_FPERIOD_OVERRIDE=FQ","FILING_STATUS=MR","SCALING_FORMAT=MLN","Sort=A","Dates=H","DateFormat=P","Fill=—","Direction=H","UseDPDF=Y")</f>
        <v>63.148000000000003</v>
      </c>
      <c r="X158" s="13">
        <f>_xll.BDH("SRPT US Equity","ARDR_FV_ASSETS_REC_TOT_OTHER","FQ1 2024","FQ1 2024","Currency=USD","Period=FQ","BEST_FPERIOD_OVERRIDE=FQ","FILING_STATUS=MR","SCALING_FORMAT=MLN","Sort=A","Dates=H","DateFormat=P","Fill=—","Direction=H","UseDPDF=Y")</f>
        <v>54.863</v>
      </c>
      <c r="Y158" s="13">
        <f>_xll.BDH("SRPT US Equity","ARDR_FV_ASSETS_REC_TOT_OTHER","FQ2 2024","FQ2 2024","Currency=USD","Period=FQ","BEST_FPERIOD_OVERRIDE=FQ","FILING_STATUS=MR","SCALING_FORMAT=MLN","Sort=A","Dates=H","DateFormat=P","Fill=—","Direction=H","UseDPDF=Y")</f>
        <v>53.13</v>
      </c>
      <c r="Z158" s="13">
        <f>_xll.BDH("SRPT US Equity","ARDR_FV_ASSETS_REC_TOT_OTHER","FQ3 2024","FQ3 2024","Currency=USD","Period=FQ","BEST_FPERIOD_OVERRIDE=FQ","FILING_STATUS=MR","SCALING_FORMAT=MLN","Sort=A","Dates=H","DateFormat=P","Fill=—","Direction=H","UseDPDF=Y")</f>
        <v>4.7229999999999999</v>
      </c>
      <c r="AA158" s="13">
        <f>_xll.BDH("SRPT US Equity","ARDR_FV_ASSETS_REC_TOT_OTHER","FQ4 2024","FQ4 2024","Currency=USD","Period=FQ","BEST_FPERIOD_OVERRIDE=FQ","FILING_STATUS=MR","SCALING_FORMAT=MLN","Sort=A","Dates=H","DateFormat=P","Fill=—","Direction=H","UseDPDF=Y")</f>
        <v>15.029</v>
      </c>
    </row>
    <row r="159" spans="1:27" x14ac:dyDescent="0.25">
      <c r="A159" s="10" t="s">
        <v>1117</v>
      </c>
      <c r="B159" s="10" t="s">
        <v>1118</v>
      </c>
      <c r="C159" s="13" t="str">
        <f>_xll.BDH("SRPT US Equity","ARDR_FV_LIABS_REC_L1_OTHER","FQ4 2018","FQ4 2018","Currency=USD","Period=FQ","BEST_FPERIOD_OVERRIDE=FQ","FILING_STATUS=MR","SCALING_FORMAT=MLN","Sort=A","Dates=H","DateFormat=P","Fill=—","Direction=H","UseDPDF=Y")</f>
        <v>—</v>
      </c>
      <c r="D159" s="13" t="str">
        <f>_xll.BDH("SRPT US Equity","ARDR_FV_LIABS_REC_L1_OTHER","FQ1 2019","FQ1 2019","Currency=USD","Period=FQ","BEST_FPERIOD_OVERRIDE=FQ","FILING_STATUS=MR","SCALING_FORMAT=MLN","Sort=A","Dates=H","DateFormat=P","Fill=—","Direction=H","UseDPDF=Y")</f>
        <v>—</v>
      </c>
      <c r="E159" s="13">
        <f>_xll.BDH("SRPT US Equity","ARDR_FV_LIABS_REC_L1_OTHER","FQ2 2019","FQ2 2019","Currency=USD","Period=FQ","BEST_FPERIOD_OVERRIDE=FQ","FILING_STATUS=MR","SCALING_FORMAT=MLN","Sort=A","Dates=H","DateFormat=P","Fill=—","Direction=H","UseDPDF=Y")</f>
        <v>0</v>
      </c>
      <c r="F159" s="13">
        <f>_xll.BDH("SRPT US Equity","ARDR_FV_LIABS_REC_L1_OTHER","FQ3 2019","FQ3 2019","Currency=USD","Period=FQ","BEST_FPERIOD_OVERRIDE=FQ","FILING_STATUS=MR","SCALING_FORMAT=MLN","Sort=A","Dates=H","DateFormat=P","Fill=—","Direction=H","UseDPDF=Y")</f>
        <v>0</v>
      </c>
      <c r="G159" s="13">
        <f>_xll.BDH("SRPT US Equity","ARDR_FV_LIABS_REC_L1_OTHER","FQ4 2019","FQ4 2019","Currency=USD","Period=FQ","BEST_FPERIOD_OVERRIDE=FQ","FILING_STATUS=MR","SCALING_FORMAT=MLN","Sort=A","Dates=H","DateFormat=P","Fill=—","Direction=H","UseDPDF=Y")</f>
        <v>0</v>
      </c>
      <c r="H159" s="13">
        <f>_xll.BDH("SRPT US Equity","ARDR_FV_LIABS_REC_L1_OTHER","FQ1 2020","FQ1 2020","Currency=USD","Period=FQ","BEST_FPERIOD_OVERRIDE=FQ","FILING_STATUS=MR","SCALING_FORMAT=MLN","Sort=A","Dates=H","DateFormat=P","Fill=—","Direction=H","UseDPDF=Y")</f>
        <v>0</v>
      </c>
      <c r="I159" s="13">
        <f>_xll.BDH("SRPT US Equity","ARDR_FV_LIABS_REC_L1_OTHER","FQ2 2020","FQ2 2020","Currency=USD","Period=FQ","BEST_FPERIOD_OVERRIDE=FQ","FILING_STATUS=MR","SCALING_FORMAT=MLN","Sort=A","Dates=H","DateFormat=P","Fill=—","Direction=H","UseDPDF=Y")</f>
        <v>0</v>
      </c>
      <c r="J159" s="13">
        <f>_xll.BDH("SRPT US Equity","ARDR_FV_LIABS_REC_L1_OTHER","FQ3 2020","FQ3 2020","Currency=USD","Period=FQ","BEST_FPERIOD_OVERRIDE=FQ","FILING_STATUS=MR","SCALING_FORMAT=MLN","Sort=A","Dates=H","DateFormat=P","Fill=—","Direction=H","UseDPDF=Y")</f>
        <v>0</v>
      </c>
      <c r="K159" s="13">
        <f>_xll.BDH("SRPT US Equity","ARDR_FV_LIABS_REC_L1_OTHER","FQ4 2020","FQ4 2020","Currency=USD","Period=FQ","BEST_FPERIOD_OVERRIDE=FQ","FILING_STATUS=MR","SCALING_FORMAT=MLN","Sort=A","Dates=H","DateFormat=P","Fill=—","Direction=H","UseDPDF=Y")</f>
        <v>0</v>
      </c>
      <c r="L159" s="13">
        <f>_xll.BDH("SRPT US Equity","ARDR_FV_LIABS_REC_L1_OTHER","FQ1 2021","FQ1 2021","Currency=USD","Period=FQ","BEST_FPERIOD_OVERRIDE=FQ","FILING_STATUS=MR","SCALING_FORMAT=MLN","Sort=A","Dates=H","DateFormat=P","Fill=—","Direction=H","UseDPDF=Y")</f>
        <v>0</v>
      </c>
      <c r="M159" s="13">
        <f>_xll.BDH("SRPT US Equity","ARDR_FV_LIABS_REC_L1_OTHER","FQ2 2021","FQ2 2021","Currency=USD","Period=FQ","BEST_FPERIOD_OVERRIDE=FQ","FILING_STATUS=MR","SCALING_FORMAT=MLN","Sort=A","Dates=H","DateFormat=P","Fill=—","Direction=H","UseDPDF=Y")</f>
        <v>0</v>
      </c>
      <c r="N159" s="13">
        <f>_xll.BDH("SRPT US Equity","ARDR_FV_LIABS_REC_L1_OTHER","FQ3 2021","FQ3 2021","Currency=USD","Period=FQ","BEST_FPERIOD_OVERRIDE=FQ","FILING_STATUS=MR","SCALING_FORMAT=MLN","Sort=A","Dates=H","DateFormat=P","Fill=—","Direction=H","UseDPDF=Y")</f>
        <v>0</v>
      </c>
      <c r="O159" s="13">
        <f>_xll.BDH("SRPT US Equity","ARDR_FV_LIABS_REC_L1_OTHER","FQ4 2021","FQ4 2021","Currency=USD","Period=FQ","BEST_FPERIOD_OVERRIDE=FQ","FILING_STATUS=MR","SCALING_FORMAT=MLN","Sort=A","Dates=H","DateFormat=P","Fill=—","Direction=H","UseDPDF=Y")</f>
        <v>0</v>
      </c>
      <c r="P159" s="13">
        <f>_xll.BDH("SRPT US Equity","ARDR_FV_LIABS_REC_L1_OTHER","FQ1 2022","FQ1 2022","Currency=USD","Period=FQ","BEST_FPERIOD_OVERRIDE=FQ","FILING_STATUS=MR","SCALING_FORMAT=MLN","Sort=A","Dates=H","DateFormat=P","Fill=—","Direction=H","UseDPDF=Y")</f>
        <v>0</v>
      </c>
      <c r="Q159" s="13">
        <f>_xll.BDH("SRPT US Equity","ARDR_FV_LIABS_REC_L1_OTHER","FQ2 2022","FQ2 2022","Currency=USD","Period=FQ","BEST_FPERIOD_OVERRIDE=FQ","FILING_STATUS=MR","SCALING_FORMAT=MLN","Sort=A","Dates=H","DateFormat=P","Fill=—","Direction=H","UseDPDF=Y")</f>
        <v>0</v>
      </c>
      <c r="R159" s="13">
        <f>_xll.BDH("SRPT US Equity","ARDR_FV_LIABS_REC_L1_OTHER","FQ3 2022","FQ3 2022","Currency=USD","Period=FQ","BEST_FPERIOD_OVERRIDE=FQ","FILING_STATUS=MR","SCALING_FORMAT=MLN","Sort=A","Dates=H","DateFormat=P","Fill=—","Direction=H","UseDPDF=Y")</f>
        <v>0</v>
      </c>
      <c r="S159" s="13">
        <f>_xll.BDH("SRPT US Equity","ARDR_FV_LIABS_REC_L1_OTHER","FQ4 2022","FQ4 2022","Currency=USD","Period=FQ","BEST_FPERIOD_OVERRIDE=FQ","FILING_STATUS=MR","SCALING_FORMAT=MLN","Sort=A","Dates=H","DateFormat=P","Fill=—","Direction=H","UseDPDF=Y")</f>
        <v>0</v>
      </c>
      <c r="T159" s="13">
        <f>_xll.BDH("SRPT US Equity","ARDR_FV_LIABS_REC_L1_OTHER","FQ1 2023","FQ1 2023","Currency=USD","Period=FQ","BEST_FPERIOD_OVERRIDE=FQ","FILING_STATUS=MR","SCALING_FORMAT=MLN","Sort=A","Dates=H","DateFormat=P","Fill=—","Direction=H","UseDPDF=Y")</f>
        <v>0</v>
      </c>
      <c r="U159" s="13">
        <f>_xll.BDH("SRPT US Equity","ARDR_FV_LIABS_REC_L1_OTHER","FQ2 2023","FQ2 2023","Currency=USD","Period=FQ","BEST_FPERIOD_OVERRIDE=FQ","FILING_STATUS=MR","SCALING_FORMAT=MLN","Sort=A","Dates=H","DateFormat=P","Fill=—","Direction=H","UseDPDF=Y")</f>
        <v>0</v>
      </c>
      <c r="V159" s="13">
        <f>_xll.BDH("SRPT US Equity","ARDR_FV_LIABS_REC_L1_OTHER","FQ3 2023","FQ3 2023","Currency=USD","Period=FQ","BEST_FPERIOD_OVERRIDE=FQ","FILING_STATUS=MR","SCALING_FORMAT=MLN","Sort=A","Dates=H","DateFormat=P","Fill=—","Direction=H","UseDPDF=Y")</f>
        <v>0</v>
      </c>
      <c r="W159" s="13">
        <f>_xll.BDH("SRPT US Equity","ARDR_FV_LIABS_REC_L1_OTHER","FQ4 2023","FQ4 2023","Currency=USD","Period=FQ","BEST_FPERIOD_OVERRIDE=FQ","FILING_STATUS=MR","SCALING_FORMAT=MLN","Sort=A","Dates=H","DateFormat=P","Fill=—","Direction=H","UseDPDF=Y")</f>
        <v>0</v>
      </c>
      <c r="X159" s="13">
        <f>_xll.BDH("SRPT US Equity","ARDR_FV_LIABS_REC_L1_OTHER","FQ1 2024","FQ1 2024","Currency=USD","Period=FQ","BEST_FPERIOD_OVERRIDE=FQ","FILING_STATUS=MR","SCALING_FORMAT=MLN","Sort=A","Dates=H","DateFormat=P","Fill=—","Direction=H","UseDPDF=Y")</f>
        <v>0</v>
      </c>
      <c r="Y159" s="13">
        <f>_xll.BDH("SRPT US Equity","ARDR_FV_LIABS_REC_L1_OTHER","FQ2 2024","FQ2 2024","Currency=USD","Period=FQ","BEST_FPERIOD_OVERRIDE=FQ","FILING_STATUS=MR","SCALING_FORMAT=MLN","Sort=A","Dates=H","DateFormat=P","Fill=—","Direction=H","UseDPDF=Y")</f>
        <v>0</v>
      </c>
      <c r="Z159" s="13">
        <f>_xll.BDH("SRPT US Equity","ARDR_FV_LIABS_REC_L1_OTHER","FQ3 2024","FQ3 2024","Currency=USD","Period=FQ","BEST_FPERIOD_OVERRIDE=FQ","FILING_STATUS=MR","SCALING_FORMAT=MLN","Sort=A","Dates=H","DateFormat=P","Fill=—","Direction=H","UseDPDF=Y")</f>
        <v>0</v>
      </c>
      <c r="AA159" s="13">
        <f>_xll.BDH("SRPT US Equity","ARDR_FV_LIABS_REC_L1_OTHER","FQ4 2024","FQ4 2024","Currency=USD","Period=FQ","BEST_FPERIOD_OVERRIDE=FQ","FILING_STATUS=MR","SCALING_FORMAT=MLN","Sort=A","Dates=H","DateFormat=P","Fill=—","Direction=H","UseDPDF=Y")</f>
        <v>0</v>
      </c>
    </row>
    <row r="160" spans="1:27" x14ac:dyDescent="0.25">
      <c r="A160" s="10" t="s">
        <v>1119</v>
      </c>
      <c r="B160" s="10" t="s">
        <v>1120</v>
      </c>
      <c r="C160" s="13" t="str">
        <f>_xll.BDH("SRPT US Equity","ARDR_FV_LIABS_REC_L2_OTHER","FQ4 2018","FQ4 2018","Currency=USD","Period=FQ","BEST_FPERIOD_OVERRIDE=FQ","FILING_STATUS=MR","SCALING_FORMAT=MLN","Sort=A","Dates=H","DateFormat=P","Fill=—","Direction=H","UseDPDF=Y")</f>
        <v>—</v>
      </c>
      <c r="D160" s="13" t="str">
        <f>_xll.BDH("SRPT US Equity","ARDR_FV_LIABS_REC_L2_OTHER","FQ1 2019","FQ1 2019","Currency=USD","Period=FQ","BEST_FPERIOD_OVERRIDE=FQ","FILING_STATUS=MR","SCALING_FORMAT=MLN","Sort=A","Dates=H","DateFormat=P","Fill=—","Direction=H","UseDPDF=Y")</f>
        <v>—</v>
      </c>
      <c r="E160" s="13">
        <f>_xll.BDH("SRPT US Equity","ARDR_FV_LIABS_REC_L2_OTHER","FQ2 2019","FQ2 2019","Currency=USD","Period=FQ","BEST_FPERIOD_OVERRIDE=FQ","FILING_STATUS=MR","SCALING_FORMAT=MLN","Sort=A","Dates=H","DateFormat=P","Fill=—","Direction=H","UseDPDF=Y")</f>
        <v>0</v>
      </c>
      <c r="F160" s="13">
        <f>_xll.BDH("SRPT US Equity","ARDR_FV_LIABS_REC_L2_OTHER","FQ3 2019","FQ3 2019","Currency=USD","Period=FQ","BEST_FPERIOD_OVERRIDE=FQ","FILING_STATUS=MR","SCALING_FORMAT=MLN","Sort=A","Dates=H","DateFormat=P","Fill=—","Direction=H","UseDPDF=Y")</f>
        <v>0</v>
      </c>
      <c r="G160" s="13">
        <f>_xll.BDH("SRPT US Equity","ARDR_FV_LIABS_REC_L2_OTHER","FQ4 2019","FQ4 2019","Currency=USD","Period=FQ","BEST_FPERIOD_OVERRIDE=FQ","FILING_STATUS=MR","SCALING_FORMAT=MLN","Sort=A","Dates=H","DateFormat=P","Fill=—","Direction=H","UseDPDF=Y")</f>
        <v>0</v>
      </c>
      <c r="H160" s="13">
        <f>_xll.BDH("SRPT US Equity","ARDR_FV_LIABS_REC_L2_OTHER","FQ1 2020","FQ1 2020","Currency=USD","Period=FQ","BEST_FPERIOD_OVERRIDE=FQ","FILING_STATUS=MR","SCALING_FORMAT=MLN","Sort=A","Dates=H","DateFormat=P","Fill=—","Direction=H","UseDPDF=Y")</f>
        <v>0</v>
      </c>
      <c r="I160" s="13">
        <f>_xll.BDH("SRPT US Equity","ARDR_FV_LIABS_REC_L2_OTHER","FQ2 2020","FQ2 2020","Currency=USD","Period=FQ","BEST_FPERIOD_OVERRIDE=FQ","FILING_STATUS=MR","SCALING_FORMAT=MLN","Sort=A","Dates=H","DateFormat=P","Fill=—","Direction=H","UseDPDF=Y")</f>
        <v>0</v>
      </c>
      <c r="J160" s="13">
        <f>_xll.BDH("SRPT US Equity","ARDR_FV_LIABS_REC_L2_OTHER","FQ3 2020","FQ3 2020","Currency=USD","Period=FQ","BEST_FPERIOD_OVERRIDE=FQ","FILING_STATUS=MR","SCALING_FORMAT=MLN","Sort=A","Dates=H","DateFormat=P","Fill=—","Direction=H","UseDPDF=Y")</f>
        <v>0</v>
      </c>
      <c r="K160" s="13">
        <f>_xll.BDH("SRPT US Equity","ARDR_FV_LIABS_REC_L2_OTHER","FQ4 2020","FQ4 2020","Currency=USD","Period=FQ","BEST_FPERIOD_OVERRIDE=FQ","FILING_STATUS=MR","SCALING_FORMAT=MLN","Sort=A","Dates=H","DateFormat=P","Fill=—","Direction=H","UseDPDF=Y")</f>
        <v>0</v>
      </c>
      <c r="L160" s="13">
        <f>_xll.BDH("SRPT US Equity","ARDR_FV_LIABS_REC_L2_OTHER","FQ1 2021","FQ1 2021","Currency=USD","Period=FQ","BEST_FPERIOD_OVERRIDE=FQ","FILING_STATUS=MR","SCALING_FORMAT=MLN","Sort=A","Dates=H","DateFormat=P","Fill=—","Direction=H","UseDPDF=Y")</f>
        <v>0</v>
      </c>
      <c r="M160" s="13">
        <f>_xll.BDH("SRPT US Equity","ARDR_FV_LIABS_REC_L2_OTHER","FQ2 2021","FQ2 2021","Currency=USD","Period=FQ","BEST_FPERIOD_OVERRIDE=FQ","FILING_STATUS=MR","SCALING_FORMAT=MLN","Sort=A","Dates=H","DateFormat=P","Fill=—","Direction=H","UseDPDF=Y")</f>
        <v>0</v>
      </c>
      <c r="N160" s="13">
        <f>_xll.BDH("SRPT US Equity","ARDR_FV_LIABS_REC_L2_OTHER","FQ3 2021","FQ3 2021","Currency=USD","Period=FQ","BEST_FPERIOD_OVERRIDE=FQ","FILING_STATUS=MR","SCALING_FORMAT=MLN","Sort=A","Dates=H","DateFormat=P","Fill=—","Direction=H","UseDPDF=Y")</f>
        <v>0</v>
      </c>
      <c r="O160" s="13">
        <f>_xll.BDH("SRPT US Equity","ARDR_FV_LIABS_REC_L2_OTHER","FQ4 2021","FQ4 2021","Currency=USD","Period=FQ","BEST_FPERIOD_OVERRIDE=FQ","FILING_STATUS=MR","SCALING_FORMAT=MLN","Sort=A","Dates=H","DateFormat=P","Fill=—","Direction=H","UseDPDF=Y")</f>
        <v>0</v>
      </c>
      <c r="P160" s="13">
        <f>_xll.BDH("SRPT US Equity","ARDR_FV_LIABS_REC_L2_OTHER","FQ1 2022","FQ1 2022","Currency=USD","Period=FQ","BEST_FPERIOD_OVERRIDE=FQ","FILING_STATUS=MR","SCALING_FORMAT=MLN","Sort=A","Dates=H","DateFormat=P","Fill=—","Direction=H","UseDPDF=Y")</f>
        <v>0</v>
      </c>
      <c r="Q160" s="13">
        <f>_xll.BDH("SRPT US Equity","ARDR_FV_LIABS_REC_L2_OTHER","FQ2 2022","FQ2 2022","Currency=USD","Period=FQ","BEST_FPERIOD_OVERRIDE=FQ","FILING_STATUS=MR","SCALING_FORMAT=MLN","Sort=A","Dates=H","DateFormat=P","Fill=—","Direction=H","UseDPDF=Y")</f>
        <v>0</v>
      </c>
      <c r="R160" s="13">
        <f>_xll.BDH("SRPT US Equity","ARDR_FV_LIABS_REC_L2_OTHER","FQ3 2022","FQ3 2022","Currency=USD","Period=FQ","BEST_FPERIOD_OVERRIDE=FQ","FILING_STATUS=MR","SCALING_FORMAT=MLN","Sort=A","Dates=H","DateFormat=P","Fill=—","Direction=H","UseDPDF=Y")</f>
        <v>0</v>
      </c>
      <c r="S160" s="13">
        <f>_xll.BDH("SRPT US Equity","ARDR_FV_LIABS_REC_L2_OTHER","FQ4 2022","FQ4 2022","Currency=USD","Period=FQ","BEST_FPERIOD_OVERRIDE=FQ","FILING_STATUS=MR","SCALING_FORMAT=MLN","Sort=A","Dates=H","DateFormat=P","Fill=—","Direction=H","UseDPDF=Y")</f>
        <v>0</v>
      </c>
      <c r="T160" s="13">
        <f>_xll.BDH("SRPT US Equity","ARDR_FV_LIABS_REC_L2_OTHER","FQ1 2023","FQ1 2023","Currency=USD","Period=FQ","BEST_FPERIOD_OVERRIDE=FQ","FILING_STATUS=MR","SCALING_FORMAT=MLN","Sort=A","Dates=H","DateFormat=P","Fill=—","Direction=H","UseDPDF=Y")</f>
        <v>0</v>
      </c>
      <c r="U160" s="13">
        <f>_xll.BDH("SRPT US Equity","ARDR_FV_LIABS_REC_L2_OTHER","FQ2 2023","FQ2 2023","Currency=USD","Period=FQ","BEST_FPERIOD_OVERRIDE=FQ","FILING_STATUS=MR","SCALING_FORMAT=MLN","Sort=A","Dates=H","DateFormat=P","Fill=—","Direction=H","UseDPDF=Y")</f>
        <v>0</v>
      </c>
      <c r="V160" s="13">
        <f>_xll.BDH("SRPT US Equity","ARDR_FV_LIABS_REC_L2_OTHER","FQ3 2023","FQ3 2023","Currency=USD","Period=FQ","BEST_FPERIOD_OVERRIDE=FQ","FILING_STATUS=MR","SCALING_FORMAT=MLN","Sort=A","Dates=H","DateFormat=P","Fill=—","Direction=H","UseDPDF=Y")</f>
        <v>0</v>
      </c>
      <c r="W160" s="13">
        <f>_xll.BDH("SRPT US Equity","ARDR_FV_LIABS_REC_L2_OTHER","FQ4 2023","FQ4 2023","Currency=USD","Period=FQ","BEST_FPERIOD_OVERRIDE=FQ","FILING_STATUS=MR","SCALING_FORMAT=MLN","Sort=A","Dates=H","DateFormat=P","Fill=—","Direction=H","UseDPDF=Y")</f>
        <v>0</v>
      </c>
      <c r="X160" s="13">
        <f>_xll.BDH("SRPT US Equity","ARDR_FV_LIABS_REC_L2_OTHER","FQ1 2024","FQ1 2024","Currency=USD","Period=FQ","BEST_FPERIOD_OVERRIDE=FQ","FILING_STATUS=MR","SCALING_FORMAT=MLN","Sort=A","Dates=H","DateFormat=P","Fill=—","Direction=H","UseDPDF=Y")</f>
        <v>0</v>
      </c>
      <c r="Y160" s="13">
        <f>_xll.BDH("SRPT US Equity","ARDR_FV_LIABS_REC_L2_OTHER","FQ2 2024","FQ2 2024","Currency=USD","Period=FQ","BEST_FPERIOD_OVERRIDE=FQ","FILING_STATUS=MR","SCALING_FORMAT=MLN","Sort=A","Dates=H","DateFormat=P","Fill=—","Direction=H","UseDPDF=Y")</f>
        <v>0</v>
      </c>
      <c r="Z160" s="13">
        <f>_xll.BDH("SRPT US Equity","ARDR_FV_LIABS_REC_L2_OTHER","FQ3 2024","FQ3 2024","Currency=USD","Period=FQ","BEST_FPERIOD_OVERRIDE=FQ","FILING_STATUS=MR","SCALING_FORMAT=MLN","Sort=A","Dates=H","DateFormat=P","Fill=—","Direction=H","UseDPDF=Y")</f>
        <v>0</v>
      </c>
      <c r="AA160" s="13">
        <f>_xll.BDH("SRPT US Equity","ARDR_FV_LIABS_REC_L2_OTHER","FQ4 2024","FQ4 2024","Currency=USD","Period=FQ","BEST_FPERIOD_OVERRIDE=FQ","FILING_STATUS=MR","SCALING_FORMAT=MLN","Sort=A","Dates=H","DateFormat=P","Fill=—","Direction=H","UseDPDF=Y")</f>
        <v>0</v>
      </c>
    </row>
    <row r="161" spans="1:27" x14ac:dyDescent="0.25">
      <c r="A161" s="10" t="s">
        <v>1121</v>
      </c>
      <c r="B161" s="10" t="s">
        <v>1122</v>
      </c>
      <c r="C161" s="13" t="str">
        <f>_xll.BDH("SRPT US Equity","ARDR_FV_LIABS_REC_L3_OTHER","FQ4 2018","FQ4 2018","Currency=USD","Period=FQ","BEST_FPERIOD_OVERRIDE=FQ","FILING_STATUS=MR","SCALING_FORMAT=MLN","Sort=A","Dates=H","DateFormat=P","Fill=—","Direction=H","UseDPDF=Y")</f>
        <v>—</v>
      </c>
      <c r="D161" s="13" t="str">
        <f>_xll.BDH("SRPT US Equity","ARDR_FV_LIABS_REC_L3_OTHER","FQ1 2019","FQ1 2019","Currency=USD","Period=FQ","BEST_FPERIOD_OVERRIDE=FQ","FILING_STATUS=MR","SCALING_FORMAT=MLN","Sort=A","Dates=H","DateFormat=P","Fill=—","Direction=H","UseDPDF=Y")</f>
        <v>—</v>
      </c>
      <c r="E161" s="13">
        <f>_xll.BDH("SRPT US Equity","ARDR_FV_LIABS_REC_L3_OTHER","FQ2 2019","FQ2 2019","Currency=USD","Period=FQ","BEST_FPERIOD_OVERRIDE=FQ","FILING_STATUS=MR","SCALING_FORMAT=MLN","Sort=A","Dates=H","DateFormat=P","Fill=—","Direction=H","UseDPDF=Y")</f>
        <v>5.2</v>
      </c>
      <c r="F161" s="13">
        <f>_xll.BDH("SRPT US Equity","ARDR_FV_LIABS_REC_L3_OTHER","FQ3 2019","FQ3 2019","Currency=USD","Period=FQ","BEST_FPERIOD_OVERRIDE=FQ","FILING_STATUS=MR","SCALING_FORMAT=MLN","Sort=A","Dates=H","DateFormat=P","Fill=—","Direction=H","UseDPDF=Y")</f>
        <v>5.2</v>
      </c>
      <c r="G161" s="13">
        <f>_xll.BDH("SRPT US Equity","ARDR_FV_LIABS_REC_L3_OTHER","FQ4 2019","FQ4 2019","Currency=USD","Period=FQ","BEST_FPERIOD_OVERRIDE=FQ","FILING_STATUS=MR","SCALING_FORMAT=MLN","Sort=A","Dates=H","DateFormat=P","Fill=—","Direction=H","UseDPDF=Y")</f>
        <v>5.2</v>
      </c>
      <c r="H161" s="13">
        <f>_xll.BDH("SRPT US Equity","ARDR_FV_LIABS_REC_L3_OTHER","FQ1 2020","FQ1 2020","Currency=USD","Period=FQ","BEST_FPERIOD_OVERRIDE=FQ","FILING_STATUS=MR","SCALING_FORMAT=MLN","Sort=A","Dates=H","DateFormat=P","Fill=—","Direction=H","UseDPDF=Y")</f>
        <v>5.2</v>
      </c>
      <c r="I161" s="13">
        <f>_xll.BDH("SRPT US Equity","ARDR_FV_LIABS_REC_L3_OTHER","FQ2 2020","FQ2 2020","Currency=USD","Period=FQ","BEST_FPERIOD_OVERRIDE=FQ","FILING_STATUS=MR","SCALING_FORMAT=MLN","Sort=A","Dates=H","DateFormat=P","Fill=—","Direction=H","UseDPDF=Y")</f>
        <v>5.2</v>
      </c>
      <c r="J161" s="13">
        <f>_xll.BDH("SRPT US Equity","ARDR_FV_LIABS_REC_L3_OTHER","FQ3 2020","FQ3 2020","Currency=USD","Period=FQ","BEST_FPERIOD_OVERRIDE=FQ","FILING_STATUS=MR","SCALING_FORMAT=MLN","Sort=A","Dates=H","DateFormat=P","Fill=—","Direction=H","UseDPDF=Y")</f>
        <v>50.5</v>
      </c>
      <c r="K161" s="13">
        <f>_xll.BDH("SRPT US Equity","ARDR_FV_LIABS_REC_L3_OTHER","FQ4 2020","FQ4 2020","Currency=USD","Period=FQ","BEST_FPERIOD_OVERRIDE=FQ","FILING_STATUS=MR","SCALING_FORMAT=MLN","Sort=A","Dates=H","DateFormat=P","Fill=—","Direction=H","UseDPDF=Y")</f>
        <v>50.8</v>
      </c>
      <c r="L161" s="13">
        <f>_xll.BDH("SRPT US Equity","ARDR_FV_LIABS_REC_L3_OTHER","FQ1 2021","FQ1 2021","Currency=USD","Period=FQ","BEST_FPERIOD_OVERRIDE=FQ","FILING_STATUS=MR","SCALING_FORMAT=MLN","Sort=A","Dates=H","DateFormat=P","Fill=—","Direction=H","UseDPDF=Y")</f>
        <v>50.8</v>
      </c>
      <c r="M161" s="13">
        <f>_xll.BDH("SRPT US Equity","ARDR_FV_LIABS_REC_L3_OTHER","FQ2 2021","FQ2 2021","Currency=USD","Period=FQ","BEST_FPERIOD_OVERRIDE=FQ","FILING_STATUS=MR","SCALING_FORMAT=MLN","Sort=A","Dates=H","DateFormat=P","Fill=—","Direction=H","UseDPDF=Y")</f>
        <v>50.8</v>
      </c>
      <c r="N161" s="13">
        <f>_xll.BDH("SRPT US Equity","ARDR_FV_LIABS_REC_L3_OTHER","FQ3 2021","FQ3 2021","Currency=USD","Period=FQ","BEST_FPERIOD_OVERRIDE=FQ","FILING_STATUS=MR","SCALING_FORMAT=MLN","Sort=A","Dates=H","DateFormat=P","Fill=—","Direction=H","UseDPDF=Y")</f>
        <v>43.6</v>
      </c>
      <c r="O161" s="13">
        <f>_xll.BDH("SRPT US Equity","ARDR_FV_LIABS_REC_L3_OTHER","FQ4 2021","FQ4 2021","Currency=USD","Period=FQ","BEST_FPERIOD_OVERRIDE=FQ","FILING_STATUS=MR","SCALING_FORMAT=MLN","Sort=A","Dates=H","DateFormat=P","Fill=—","Direction=H","UseDPDF=Y")</f>
        <v>43.6</v>
      </c>
      <c r="P161" s="13">
        <f>_xll.BDH("SRPT US Equity","ARDR_FV_LIABS_REC_L3_OTHER","FQ1 2022","FQ1 2022","Currency=USD","Period=FQ","BEST_FPERIOD_OVERRIDE=FQ","FILING_STATUS=MR","SCALING_FORMAT=MLN","Sort=A","Dates=H","DateFormat=P","Fill=—","Direction=H","UseDPDF=Y")</f>
        <v>43.6</v>
      </c>
      <c r="Q161" s="13">
        <f>_xll.BDH("SRPT US Equity","ARDR_FV_LIABS_REC_L3_OTHER","FQ2 2022","FQ2 2022","Currency=USD","Period=FQ","BEST_FPERIOD_OVERRIDE=FQ","FILING_STATUS=MR","SCALING_FORMAT=MLN","Sort=A","Dates=H","DateFormat=P","Fill=—","Direction=H","UseDPDF=Y")</f>
        <v>43.6</v>
      </c>
      <c r="R161" s="13">
        <f>_xll.BDH("SRPT US Equity","ARDR_FV_LIABS_REC_L3_OTHER","FQ3 2022","FQ3 2022","Currency=USD","Period=FQ","BEST_FPERIOD_OVERRIDE=FQ","FILING_STATUS=MR","SCALING_FORMAT=MLN","Sort=A","Dates=H","DateFormat=P","Fill=—","Direction=H","UseDPDF=Y")</f>
        <v>36.9</v>
      </c>
      <c r="S161" s="13">
        <f>_xll.BDH("SRPT US Equity","ARDR_FV_LIABS_REC_L3_OTHER","FQ4 2022","FQ4 2022","Currency=USD","Period=FQ","BEST_FPERIOD_OVERRIDE=FQ","FILING_STATUS=MR","SCALING_FORMAT=MLN","Sort=A","Dates=H","DateFormat=P","Fill=—","Direction=H","UseDPDF=Y")</f>
        <v>36.9</v>
      </c>
      <c r="T161" s="13">
        <f>_xll.BDH("SRPT US Equity","ARDR_FV_LIABS_REC_L3_OTHER","FQ1 2023","FQ1 2023","Currency=USD","Period=FQ","BEST_FPERIOD_OVERRIDE=FQ","FILING_STATUS=MR","SCALING_FORMAT=MLN","Sort=A","Dates=H","DateFormat=P","Fill=—","Direction=H","UseDPDF=Y")</f>
        <v>36.9</v>
      </c>
      <c r="U161" s="13">
        <f>_xll.BDH("SRPT US Equity","ARDR_FV_LIABS_REC_L3_OTHER","FQ2 2023","FQ2 2023","Currency=USD","Period=FQ","BEST_FPERIOD_OVERRIDE=FQ","FILING_STATUS=MR","SCALING_FORMAT=MLN","Sort=A","Dates=H","DateFormat=P","Fill=—","Direction=H","UseDPDF=Y")</f>
        <v>36.1</v>
      </c>
      <c r="V161" s="13">
        <f>_xll.BDH("SRPT US Equity","ARDR_FV_LIABS_REC_L3_OTHER","FQ3 2023","FQ3 2023","Currency=USD","Period=FQ","BEST_FPERIOD_OVERRIDE=FQ","FILING_STATUS=MR","SCALING_FORMAT=MLN","Sort=A","Dates=H","DateFormat=P","Fill=—","Direction=H","UseDPDF=Y")</f>
        <v>38.1</v>
      </c>
      <c r="W161" s="13">
        <f>_xll.BDH("SRPT US Equity","ARDR_FV_LIABS_REC_L3_OTHER","FQ4 2023","FQ4 2023","Currency=USD","Period=FQ","BEST_FPERIOD_OVERRIDE=FQ","FILING_STATUS=MR","SCALING_FORMAT=MLN","Sort=A","Dates=H","DateFormat=P","Fill=—","Direction=H","UseDPDF=Y")</f>
        <v>38.1</v>
      </c>
      <c r="X161" s="13">
        <f>_xll.BDH("SRPT US Equity","ARDR_FV_LIABS_REC_L3_OTHER","FQ1 2024","FQ1 2024","Currency=USD","Period=FQ","BEST_FPERIOD_OVERRIDE=FQ","FILING_STATUS=MR","SCALING_FORMAT=MLN","Sort=A","Dates=H","DateFormat=P","Fill=—","Direction=H","UseDPDF=Y")</f>
        <v>48.2</v>
      </c>
      <c r="Y161" s="13">
        <f>_xll.BDH("SRPT US Equity","ARDR_FV_LIABS_REC_L3_OTHER","FQ2 2024","FQ2 2024","Currency=USD","Period=FQ","BEST_FPERIOD_OVERRIDE=FQ","FILING_STATUS=MR","SCALING_FORMAT=MLN","Sort=A","Dates=H","DateFormat=P","Fill=—","Direction=H","UseDPDF=Y")</f>
        <v>48.2</v>
      </c>
      <c r="Z161" s="13">
        <f>_xll.BDH("SRPT US Equity","ARDR_FV_LIABS_REC_L3_OTHER","FQ3 2024","FQ3 2024","Currency=USD","Period=FQ","BEST_FPERIOD_OVERRIDE=FQ","FILING_STATUS=MR","SCALING_FORMAT=MLN","Sort=A","Dates=H","DateFormat=P","Fill=—","Direction=H","UseDPDF=Y")</f>
        <v>47.4</v>
      </c>
      <c r="AA161" s="13">
        <f>_xll.BDH("SRPT US Equity","ARDR_FV_LIABS_REC_L3_OTHER","FQ4 2024","FQ4 2024","Currency=USD","Period=FQ","BEST_FPERIOD_OVERRIDE=FQ","FILING_STATUS=MR","SCALING_FORMAT=MLN","Sort=A","Dates=H","DateFormat=P","Fill=—","Direction=H","UseDPDF=Y")</f>
        <v>47.4</v>
      </c>
    </row>
    <row r="162" spans="1:27" x14ac:dyDescent="0.25">
      <c r="A162" s="10" t="s">
        <v>1123</v>
      </c>
      <c r="B162" s="10" t="s">
        <v>1124</v>
      </c>
      <c r="C162" s="13" t="str">
        <f>_xll.BDH("SRPT US Equity","ARDR_FV_LIABS_REC_TOT_OTHER","FQ4 2018","FQ4 2018","Currency=USD","Period=FQ","BEST_FPERIOD_OVERRIDE=FQ","FILING_STATUS=MR","SCALING_FORMAT=MLN","Sort=A","Dates=H","DateFormat=P","Fill=—","Direction=H","UseDPDF=Y")</f>
        <v>—</v>
      </c>
      <c r="D162" s="13" t="str">
        <f>_xll.BDH("SRPT US Equity","ARDR_FV_LIABS_REC_TOT_OTHER","FQ1 2019","FQ1 2019","Currency=USD","Period=FQ","BEST_FPERIOD_OVERRIDE=FQ","FILING_STATUS=MR","SCALING_FORMAT=MLN","Sort=A","Dates=H","DateFormat=P","Fill=—","Direction=H","UseDPDF=Y")</f>
        <v>—</v>
      </c>
      <c r="E162" s="13">
        <f>_xll.BDH("SRPT US Equity","ARDR_FV_LIABS_REC_TOT_OTHER","FQ2 2019","FQ2 2019","Currency=USD","Period=FQ","BEST_FPERIOD_OVERRIDE=FQ","FILING_STATUS=MR","SCALING_FORMAT=MLN","Sort=A","Dates=H","DateFormat=P","Fill=—","Direction=H","UseDPDF=Y")</f>
        <v>5.2</v>
      </c>
      <c r="F162" s="13" t="str">
        <f>_xll.BDH("SRPT US Equity","ARDR_FV_LIABS_REC_TOT_OTHER","FQ3 2019","FQ3 2019","Currency=USD","Period=FQ","BEST_FPERIOD_OVERRIDE=FQ","FILING_STATUS=MR","SCALING_FORMAT=MLN","Sort=A","Dates=H","DateFormat=P","Fill=—","Direction=H","UseDPDF=Y")</f>
        <v>—</v>
      </c>
      <c r="G162" s="13">
        <f>_xll.BDH("SRPT US Equity","ARDR_FV_LIABS_REC_TOT_OTHER","FQ4 2019","FQ4 2019","Currency=USD","Period=FQ","BEST_FPERIOD_OVERRIDE=FQ","FILING_STATUS=MR","SCALING_FORMAT=MLN","Sort=A","Dates=H","DateFormat=P","Fill=—","Direction=H","UseDPDF=Y")</f>
        <v>5.2</v>
      </c>
      <c r="H162" s="13">
        <f>_xll.BDH("SRPT US Equity","ARDR_FV_LIABS_REC_TOT_OTHER","FQ1 2020","FQ1 2020","Currency=USD","Period=FQ","BEST_FPERIOD_OVERRIDE=FQ","FILING_STATUS=MR","SCALING_FORMAT=MLN","Sort=A","Dates=H","DateFormat=P","Fill=—","Direction=H","UseDPDF=Y")</f>
        <v>5.2</v>
      </c>
      <c r="I162" s="13">
        <f>_xll.BDH("SRPT US Equity","ARDR_FV_LIABS_REC_TOT_OTHER","FQ2 2020","FQ2 2020","Currency=USD","Period=FQ","BEST_FPERIOD_OVERRIDE=FQ","FILING_STATUS=MR","SCALING_FORMAT=MLN","Sort=A","Dates=H","DateFormat=P","Fill=—","Direction=H","UseDPDF=Y")</f>
        <v>5.2</v>
      </c>
      <c r="J162" s="13">
        <f>_xll.BDH("SRPT US Equity","ARDR_FV_LIABS_REC_TOT_OTHER","FQ3 2020","FQ3 2020","Currency=USD","Period=FQ","BEST_FPERIOD_OVERRIDE=FQ","FILING_STATUS=MR","SCALING_FORMAT=MLN","Sort=A","Dates=H","DateFormat=P","Fill=—","Direction=H","UseDPDF=Y")</f>
        <v>50.5</v>
      </c>
      <c r="K162" s="13">
        <f>_xll.BDH("SRPT US Equity","ARDR_FV_LIABS_REC_TOT_OTHER","FQ4 2020","FQ4 2020","Currency=USD","Period=FQ","BEST_FPERIOD_OVERRIDE=FQ","FILING_STATUS=MR","SCALING_FORMAT=MLN","Sort=A","Dates=H","DateFormat=P","Fill=—","Direction=H","UseDPDF=Y")</f>
        <v>50.8</v>
      </c>
      <c r="L162" s="13">
        <f>_xll.BDH("SRPT US Equity","ARDR_FV_LIABS_REC_TOT_OTHER","FQ1 2021","FQ1 2021","Currency=USD","Period=FQ","BEST_FPERIOD_OVERRIDE=FQ","FILING_STATUS=MR","SCALING_FORMAT=MLN","Sort=A","Dates=H","DateFormat=P","Fill=—","Direction=H","UseDPDF=Y")</f>
        <v>50.8</v>
      </c>
      <c r="M162" s="13">
        <f>_xll.BDH("SRPT US Equity","ARDR_FV_LIABS_REC_TOT_OTHER","FQ2 2021","FQ2 2021","Currency=USD","Period=FQ","BEST_FPERIOD_OVERRIDE=FQ","FILING_STATUS=MR","SCALING_FORMAT=MLN","Sort=A","Dates=H","DateFormat=P","Fill=—","Direction=H","UseDPDF=Y")</f>
        <v>50.8</v>
      </c>
      <c r="N162" s="13">
        <f>_xll.BDH("SRPT US Equity","ARDR_FV_LIABS_REC_TOT_OTHER","FQ3 2021","FQ3 2021","Currency=USD","Period=FQ","BEST_FPERIOD_OVERRIDE=FQ","FILING_STATUS=MR","SCALING_FORMAT=MLN","Sort=A","Dates=H","DateFormat=P","Fill=—","Direction=H","UseDPDF=Y")</f>
        <v>43.6</v>
      </c>
      <c r="O162" s="13">
        <f>_xll.BDH("SRPT US Equity","ARDR_FV_LIABS_REC_TOT_OTHER","FQ4 2021","FQ4 2021","Currency=USD","Period=FQ","BEST_FPERIOD_OVERRIDE=FQ","FILING_STATUS=MR","SCALING_FORMAT=MLN","Sort=A","Dates=H","DateFormat=P","Fill=—","Direction=H","UseDPDF=Y")</f>
        <v>43.6</v>
      </c>
      <c r="P162" s="13" t="str">
        <f>_xll.BDH("SRPT US Equity","ARDR_FV_LIABS_REC_TOT_OTHER","FQ1 2022","FQ1 2022","Currency=USD","Period=FQ","BEST_FPERIOD_OVERRIDE=FQ","FILING_STATUS=MR","SCALING_FORMAT=MLN","Sort=A","Dates=H","DateFormat=P","Fill=—","Direction=H","UseDPDF=Y")</f>
        <v>—</v>
      </c>
      <c r="Q162" s="13">
        <f>_xll.BDH("SRPT US Equity","ARDR_FV_LIABS_REC_TOT_OTHER","FQ2 2022","FQ2 2022","Currency=USD","Period=FQ","BEST_FPERIOD_OVERRIDE=FQ","FILING_STATUS=MR","SCALING_FORMAT=MLN","Sort=A","Dates=H","DateFormat=P","Fill=—","Direction=H","UseDPDF=Y")</f>
        <v>43.6</v>
      </c>
      <c r="R162" s="13">
        <f>_xll.BDH("SRPT US Equity","ARDR_FV_LIABS_REC_TOT_OTHER","FQ3 2022","FQ3 2022","Currency=USD","Period=FQ","BEST_FPERIOD_OVERRIDE=FQ","FILING_STATUS=MR","SCALING_FORMAT=MLN","Sort=A","Dates=H","DateFormat=P","Fill=—","Direction=H","UseDPDF=Y")</f>
        <v>36.9</v>
      </c>
      <c r="S162" s="13">
        <f>_xll.BDH("SRPT US Equity","ARDR_FV_LIABS_REC_TOT_OTHER","FQ4 2022","FQ4 2022","Currency=USD","Period=FQ","BEST_FPERIOD_OVERRIDE=FQ","FILING_STATUS=MR","SCALING_FORMAT=MLN","Sort=A","Dates=H","DateFormat=P","Fill=—","Direction=H","UseDPDF=Y")</f>
        <v>36.9</v>
      </c>
      <c r="T162" s="13">
        <f>_xll.BDH("SRPT US Equity","ARDR_FV_LIABS_REC_TOT_OTHER","FQ1 2023","FQ1 2023","Currency=USD","Period=FQ","BEST_FPERIOD_OVERRIDE=FQ","FILING_STATUS=MR","SCALING_FORMAT=MLN","Sort=A","Dates=H","DateFormat=P","Fill=—","Direction=H","UseDPDF=Y")</f>
        <v>36.9</v>
      </c>
      <c r="U162" s="13">
        <f>_xll.BDH("SRPT US Equity","ARDR_FV_LIABS_REC_TOT_OTHER","FQ2 2023","FQ2 2023","Currency=USD","Period=FQ","BEST_FPERIOD_OVERRIDE=FQ","FILING_STATUS=MR","SCALING_FORMAT=MLN","Sort=A","Dates=H","DateFormat=P","Fill=—","Direction=H","UseDPDF=Y")</f>
        <v>36.1</v>
      </c>
      <c r="V162" s="13">
        <f>_xll.BDH("SRPT US Equity","ARDR_FV_LIABS_REC_TOT_OTHER","FQ3 2023","FQ3 2023","Currency=USD","Period=FQ","BEST_FPERIOD_OVERRIDE=FQ","FILING_STATUS=MR","SCALING_FORMAT=MLN","Sort=A","Dates=H","DateFormat=P","Fill=—","Direction=H","UseDPDF=Y")</f>
        <v>38.1</v>
      </c>
      <c r="W162" s="13">
        <f>_xll.BDH("SRPT US Equity","ARDR_FV_LIABS_REC_TOT_OTHER","FQ4 2023","FQ4 2023","Currency=USD","Period=FQ","BEST_FPERIOD_OVERRIDE=FQ","FILING_STATUS=MR","SCALING_FORMAT=MLN","Sort=A","Dates=H","DateFormat=P","Fill=—","Direction=H","UseDPDF=Y")</f>
        <v>38.1</v>
      </c>
      <c r="X162" s="13">
        <f>_xll.BDH("SRPT US Equity","ARDR_FV_LIABS_REC_TOT_OTHER","FQ1 2024","FQ1 2024","Currency=USD","Period=FQ","BEST_FPERIOD_OVERRIDE=FQ","FILING_STATUS=MR","SCALING_FORMAT=MLN","Sort=A","Dates=H","DateFormat=P","Fill=—","Direction=H","UseDPDF=Y")</f>
        <v>48.2</v>
      </c>
      <c r="Y162" s="13">
        <f>_xll.BDH("SRPT US Equity","ARDR_FV_LIABS_REC_TOT_OTHER","FQ2 2024","FQ2 2024","Currency=USD","Period=FQ","BEST_FPERIOD_OVERRIDE=FQ","FILING_STATUS=MR","SCALING_FORMAT=MLN","Sort=A","Dates=H","DateFormat=P","Fill=—","Direction=H","UseDPDF=Y")</f>
        <v>48.2</v>
      </c>
      <c r="Z162" s="13">
        <f>_xll.BDH("SRPT US Equity","ARDR_FV_LIABS_REC_TOT_OTHER","FQ3 2024","FQ3 2024","Currency=USD","Period=FQ","BEST_FPERIOD_OVERRIDE=FQ","FILING_STATUS=MR","SCALING_FORMAT=MLN","Sort=A","Dates=H","DateFormat=P","Fill=—","Direction=H","UseDPDF=Y")</f>
        <v>47.4</v>
      </c>
      <c r="AA162" s="13">
        <f>_xll.BDH("SRPT US Equity","ARDR_FV_LIABS_REC_TOT_OTHER","FQ4 2024","FQ4 2024","Currency=USD","Period=FQ","BEST_FPERIOD_OVERRIDE=FQ","FILING_STATUS=MR","SCALING_FORMAT=MLN","Sort=A","Dates=H","DateFormat=P","Fill=—","Direction=H","UseDPDF=Y")</f>
        <v>47.4</v>
      </c>
    </row>
    <row r="163" spans="1:27" x14ac:dyDescent="0.25">
      <c r="A163" s="10" t="s">
        <v>1125</v>
      </c>
      <c r="B163" s="10" t="s">
        <v>1126</v>
      </c>
      <c r="C163" s="13" t="str">
        <f>_xll.BDH("SRPT US Equity","ARDR_CD_WR_NOTL_B_YR_5_H_INV","FQ4 2018","FQ4 2018","Currency=USD","Period=FQ","BEST_FPERIOD_OVERRIDE=FQ","FILING_STATUS=MR","SCALING_FORMAT=MLN","Sort=A","Dates=H","DateFormat=P","Fill=—","Direction=H","UseDPDF=Y")</f>
        <v>—</v>
      </c>
      <c r="D163" s="13" t="str">
        <f>_xll.BDH("SRPT US Equity","ARDR_CD_WR_NOTL_B_YR_5_H_INV","FQ1 2019","FQ1 2019","Currency=USD","Period=FQ","BEST_FPERIOD_OVERRIDE=FQ","FILING_STATUS=MR","SCALING_FORMAT=MLN","Sort=A","Dates=H","DateFormat=P","Fill=—","Direction=H","UseDPDF=Y")</f>
        <v>—</v>
      </c>
      <c r="E163" s="13" t="str">
        <f>_xll.BDH("SRPT US Equity","ARDR_CD_WR_NOTL_B_YR_5_H_INV","FQ2 2019","FQ2 2019","Currency=USD","Period=FQ","BEST_FPERIOD_OVERRIDE=FQ","FILING_STATUS=MR","SCALING_FORMAT=MLN","Sort=A","Dates=H","DateFormat=P","Fill=—","Direction=H","UseDPDF=Y")</f>
        <v>—</v>
      </c>
      <c r="F163" s="13" t="str">
        <f>_xll.BDH("SRPT US Equity","ARDR_CD_WR_NOTL_B_YR_5_H_INV","FQ3 2019","FQ3 2019","Currency=USD","Period=FQ","BEST_FPERIOD_OVERRIDE=FQ","FILING_STATUS=MR","SCALING_FORMAT=MLN","Sort=A","Dates=H","DateFormat=P","Fill=—","Direction=H","UseDPDF=Y")</f>
        <v>—</v>
      </c>
      <c r="G163" s="13" t="str">
        <f>_xll.BDH("SRPT US Equity","ARDR_CD_WR_NOTL_B_YR_5_H_INV","FQ4 2019","FQ4 2019","Currency=USD","Period=FQ","BEST_FPERIOD_OVERRIDE=FQ","FILING_STATUS=MR","SCALING_FORMAT=MLN","Sort=A","Dates=H","DateFormat=P","Fill=—","Direction=H","UseDPDF=Y")</f>
        <v>—</v>
      </c>
      <c r="H163" s="13" t="str">
        <f>_xll.BDH("SRPT US Equity","ARDR_CD_WR_NOTL_B_YR_5_H_INV","FQ1 2020","FQ1 2020","Currency=USD","Period=FQ","BEST_FPERIOD_OVERRIDE=FQ","FILING_STATUS=MR","SCALING_FORMAT=MLN","Sort=A","Dates=H","DateFormat=P","Fill=—","Direction=H","UseDPDF=Y")</f>
        <v>—</v>
      </c>
      <c r="I163" s="13" t="str">
        <f>_xll.BDH("SRPT US Equity","ARDR_CD_WR_NOTL_B_YR_5_H_INV","FQ2 2020","FQ2 2020","Currency=USD","Period=FQ","BEST_FPERIOD_OVERRIDE=FQ","FILING_STATUS=MR","SCALING_FORMAT=MLN","Sort=A","Dates=H","DateFormat=P","Fill=—","Direction=H","UseDPDF=Y")</f>
        <v>—</v>
      </c>
      <c r="J163" s="13" t="str">
        <f>_xll.BDH("SRPT US Equity","ARDR_CD_WR_NOTL_B_YR_5_H_INV","FQ3 2020","FQ3 2020","Currency=USD","Period=FQ","BEST_FPERIOD_OVERRIDE=FQ","FILING_STATUS=MR","SCALING_FORMAT=MLN","Sort=A","Dates=H","DateFormat=P","Fill=—","Direction=H","UseDPDF=Y")</f>
        <v>—</v>
      </c>
      <c r="K163" s="13" t="str">
        <f>_xll.BDH("SRPT US Equity","ARDR_CD_WR_NOTL_B_YR_5_H_INV","FQ4 2020","FQ4 2020","Currency=USD","Period=FQ","BEST_FPERIOD_OVERRIDE=FQ","FILING_STATUS=MR","SCALING_FORMAT=MLN","Sort=A","Dates=H","DateFormat=P","Fill=—","Direction=H","UseDPDF=Y")</f>
        <v>—</v>
      </c>
      <c r="L163" s="13" t="str">
        <f>_xll.BDH("SRPT US Equity","ARDR_CD_WR_NOTL_B_YR_5_H_INV","FQ1 2021","FQ1 2021","Currency=USD","Period=FQ","BEST_FPERIOD_OVERRIDE=FQ","FILING_STATUS=MR","SCALING_FORMAT=MLN","Sort=A","Dates=H","DateFormat=P","Fill=—","Direction=H","UseDPDF=Y")</f>
        <v>—</v>
      </c>
      <c r="M163" s="13" t="str">
        <f>_xll.BDH("SRPT US Equity","ARDR_CD_WR_NOTL_B_YR_5_H_INV","FQ2 2021","FQ2 2021","Currency=USD","Period=FQ","BEST_FPERIOD_OVERRIDE=FQ","FILING_STATUS=MR","SCALING_FORMAT=MLN","Sort=A","Dates=H","DateFormat=P","Fill=—","Direction=H","UseDPDF=Y")</f>
        <v>—</v>
      </c>
      <c r="N163" s="13" t="str">
        <f>_xll.BDH("SRPT US Equity","ARDR_CD_WR_NOTL_B_YR_5_H_INV","FQ3 2021","FQ3 2021","Currency=USD","Period=FQ","BEST_FPERIOD_OVERRIDE=FQ","FILING_STATUS=MR","SCALING_FORMAT=MLN","Sort=A","Dates=H","DateFormat=P","Fill=—","Direction=H","UseDPDF=Y")</f>
        <v>—</v>
      </c>
      <c r="O163" s="13" t="str">
        <f>_xll.BDH("SRPT US Equity","ARDR_CD_WR_NOTL_B_YR_5_H_INV","FQ4 2021","FQ4 2021","Currency=USD","Period=FQ","BEST_FPERIOD_OVERRIDE=FQ","FILING_STATUS=MR","SCALING_FORMAT=MLN","Sort=A","Dates=H","DateFormat=P","Fill=—","Direction=H","UseDPDF=Y")</f>
        <v>—</v>
      </c>
      <c r="P163" s="13" t="str">
        <f>_xll.BDH("SRPT US Equity","ARDR_CD_WR_NOTL_B_YR_5_H_INV","FQ1 2022","FQ1 2022","Currency=USD","Period=FQ","BEST_FPERIOD_OVERRIDE=FQ","FILING_STATUS=MR","SCALING_FORMAT=MLN","Sort=A","Dates=H","DateFormat=P","Fill=—","Direction=H","UseDPDF=Y")</f>
        <v>—</v>
      </c>
      <c r="Q163" s="13" t="str">
        <f>_xll.BDH("SRPT US Equity","ARDR_CD_WR_NOTL_B_YR_5_H_INV","FQ2 2022","FQ2 2022","Currency=USD","Period=FQ","BEST_FPERIOD_OVERRIDE=FQ","FILING_STATUS=MR","SCALING_FORMAT=MLN","Sort=A","Dates=H","DateFormat=P","Fill=—","Direction=H","UseDPDF=Y")</f>
        <v>—</v>
      </c>
      <c r="R163" s="13" t="str">
        <f>_xll.BDH("SRPT US Equity","ARDR_CD_WR_NOTL_B_YR_5_H_INV","FQ3 2022","FQ3 2022","Currency=USD","Period=FQ","BEST_FPERIOD_OVERRIDE=FQ","FILING_STATUS=MR","SCALING_FORMAT=MLN","Sort=A","Dates=H","DateFormat=P","Fill=—","Direction=H","UseDPDF=Y")</f>
        <v>—</v>
      </c>
      <c r="S163" s="13" t="str">
        <f>_xll.BDH("SRPT US Equity","ARDR_CD_WR_NOTL_B_YR_5_H_INV","FQ4 2022","FQ4 2022","Currency=USD","Period=FQ","BEST_FPERIOD_OVERRIDE=FQ","FILING_STATUS=MR","SCALING_FORMAT=MLN","Sort=A","Dates=H","DateFormat=P","Fill=—","Direction=H","UseDPDF=Y")</f>
        <v>—</v>
      </c>
      <c r="T163" s="13" t="str">
        <f>_xll.BDH("SRPT US Equity","ARDR_CD_WR_NOTL_B_YR_5_H_INV","FQ1 2023","FQ1 2023","Currency=USD","Period=FQ","BEST_FPERIOD_OVERRIDE=FQ","FILING_STATUS=MR","SCALING_FORMAT=MLN","Sort=A","Dates=H","DateFormat=P","Fill=—","Direction=H","UseDPDF=Y")</f>
        <v>—</v>
      </c>
      <c r="U163" s="13" t="str">
        <f>_xll.BDH("SRPT US Equity","ARDR_CD_WR_NOTL_B_YR_5_H_INV","FQ2 2023","FQ2 2023","Currency=USD","Period=FQ","BEST_FPERIOD_OVERRIDE=FQ","FILING_STATUS=MR","SCALING_FORMAT=MLN","Sort=A","Dates=H","DateFormat=P","Fill=—","Direction=H","UseDPDF=Y")</f>
        <v>—</v>
      </c>
      <c r="V163" s="13">
        <f>_xll.BDH("SRPT US Equity","ARDR_CD_WR_NOTL_B_YR_5_H_INV","FQ3 2023","FQ3 2023","Currency=USD","Period=FQ","BEST_FPERIOD_OVERRIDE=FQ","FILING_STATUS=MR","SCALING_FORMAT=MLN","Sort=A","Dates=H","DateFormat=P","Fill=—","Direction=H","UseDPDF=Y")</f>
        <v>0</v>
      </c>
      <c r="W163" s="13" t="str">
        <f>_xll.BDH("SRPT US Equity","ARDR_CD_WR_NOTL_B_YR_5_H_INV","FQ4 2023","FQ4 2023","Currency=USD","Period=FQ","BEST_FPERIOD_OVERRIDE=FQ","FILING_STATUS=MR","SCALING_FORMAT=MLN","Sort=A","Dates=H","DateFormat=P","Fill=—","Direction=H","UseDPDF=Y")</f>
        <v>—</v>
      </c>
      <c r="X163" s="13" t="str">
        <f>_xll.BDH("SRPT US Equity","ARDR_CD_WR_NOTL_B_YR_5_H_INV","FQ1 2024","FQ1 2024","Currency=USD","Period=FQ","BEST_FPERIOD_OVERRIDE=FQ","FILING_STATUS=MR","SCALING_FORMAT=MLN","Sort=A","Dates=H","DateFormat=P","Fill=—","Direction=H","UseDPDF=Y")</f>
        <v>—</v>
      </c>
      <c r="Y163" s="13" t="str">
        <f>_xll.BDH("SRPT US Equity","ARDR_CD_WR_NOTL_B_YR_5_H_INV","FQ2 2024","FQ2 2024","Currency=USD","Period=FQ","BEST_FPERIOD_OVERRIDE=FQ","FILING_STATUS=MR","SCALING_FORMAT=MLN","Sort=A","Dates=H","DateFormat=P","Fill=—","Direction=H","UseDPDF=Y")</f>
        <v>—</v>
      </c>
      <c r="Z163" s="13" t="str">
        <f>_xll.BDH("SRPT US Equity","ARDR_CD_WR_NOTL_B_YR_5_H_INV","FQ3 2024","FQ3 2024","Currency=USD","Period=FQ","BEST_FPERIOD_OVERRIDE=FQ","FILING_STATUS=MR","SCALING_FORMAT=MLN","Sort=A","Dates=H","DateFormat=P","Fill=—","Direction=H","UseDPDF=Y")</f>
        <v>—</v>
      </c>
      <c r="AA163" s="13" t="str">
        <f>_xll.BDH("SRPT US Equity","ARDR_CD_WR_NOTL_B_YR_5_H_INV","FQ4 2024","FQ4 2024","Currency=USD","Period=FQ","BEST_FPERIOD_OVERRIDE=FQ","FILING_STATUS=MR","SCALING_FORMAT=MLN","Sort=A","Dates=H","DateFormat=P","Fill=—","Direction=H","UseDPDF=Y")</f>
        <v>—</v>
      </c>
    </row>
    <row r="164" spans="1:27" x14ac:dyDescent="0.25">
      <c r="A164" s="10" t="s">
        <v>1127</v>
      </c>
      <c r="B164" s="10" t="s">
        <v>1128</v>
      </c>
      <c r="C164" s="13" t="str">
        <f>_xll.BDH("SRPT US Equity","ARDR_OPTIONS_BEGINNING_OF_PERIOD","FQ4 2018","FQ4 2018","Currency=USD","Period=FQ","BEST_FPERIOD_OVERRIDE=FQ","FILING_STATUS=MR","Sort=A","Dates=H","DateFormat=P","Fill=—","Direction=H","UseDPDF=Y")</f>
        <v>—</v>
      </c>
      <c r="D164" s="13" t="str">
        <f>_xll.BDH("SRPT US Equity","ARDR_OPTIONS_BEGINNING_OF_PERIOD","FQ1 2019","FQ1 2019","Currency=USD","Period=FQ","BEST_FPERIOD_OVERRIDE=FQ","FILING_STATUS=MR","Sort=A","Dates=H","DateFormat=P","Fill=—","Direction=H","UseDPDF=Y")</f>
        <v>—</v>
      </c>
      <c r="E164" s="13" t="str">
        <f>_xll.BDH("SRPT US Equity","ARDR_OPTIONS_BEGINNING_OF_PERIOD","FQ2 2019","FQ2 2019","Currency=USD","Period=FQ","BEST_FPERIOD_OVERRIDE=FQ","FILING_STATUS=MR","Sort=A","Dates=H","DateFormat=P","Fill=—","Direction=H","UseDPDF=Y")</f>
        <v>—</v>
      </c>
      <c r="F164" s="13" t="str">
        <f>_xll.BDH("SRPT US Equity","ARDR_OPTIONS_BEGINNING_OF_PERIOD","FQ3 2019","FQ3 2019","Currency=USD","Period=FQ","BEST_FPERIOD_OVERRIDE=FQ","FILING_STATUS=MR","Sort=A","Dates=H","DateFormat=P","Fill=—","Direction=H","UseDPDF=Y")</f>
        <v>—</v>
      </c>
      <c r="G164" s="13" t="str">
        <f>_xll.BDH("SRPT US Equity","ARDR_OPTIONS_BEGINNING_OF_PERIOD","FQ4 2019","FQ4 2019","Currency=USD","Period=FQ","BEST_FPERIOD_OVERRIDE=FQ","FILING_STATUS=MR","Sort=A","Dates=H","DateFormat=P","Fill=—","Direction=H","UseDPDF=Y")</f>
        <v>—</v>
      </c>
      <c r="H164" s="13" t="str">
        <f>_xll.BDH("SRPT US Equity","ARDR_OPTIONS_BEGINNING_OF_PERIOD","FQ1 2020","FQ1 2020","Currency=USD","Period=FQ","BEST_FPERIOD_OVERRIDE=FQ","FILING_STATUS=MR","Sort=A","Dates=H","DateFormat=P","Fill=—","Direction=H","UseDPDF=Y")</f>
        <v>—</v>
      </c>
      <c r="I164" s="13" t="str">
        <f>_xll.BDH("SRPT US Equity","ARDR_OPTIONS_BEGINNING_OF_PERIOD","FQ2 2020","FQ2 2020","Currency=USD","Period=FQ","BEST_FPERIOD_OVERRIDE=FQ","FILING_STATUS=MR","Sort=A","Dates=H","DateFormat=P","Fill=—","Direction=H","UseDPDF=Y")</f>
        <v>—</v>
      </c>
      <c r="J164" s="13" t="str">
        <f>_xll.BDH("SRPT US Equity","ARDR_OPTIONS_BEGINNING_OF_PERIOD","FQ3 2020","FQ3 2020","Currency=USD","Period=FQ","BEST_FPERIOD_OVERRIDE=FQ","FILING_STATUS=MR","Sort=A","Dates=H","DateFormat=P","Fill=—","Direction=H","UseDPDF=Y")</f>
        <v>—</v>
      </c>
      <c r="K164" s="13" t="str">
        <f>_xll.BDH("SRPT US Equity","ARDR_OPTIONS_BEGINNING_OF_PERIOD","FQ4 2020","FQ4 2020","Currency=USD","Period=FQ","BEST_FPERIOD_OVERRIDE=FQ","FILING_STATUS=MR","Sort=A","Dates=H","DateFormat=P","Fill=—","Direction=H","UseDPDF=Y")</f>
        <v>—</v>
      </c>
      <c r="L164" s="13" t="str">
        <f>_xll.BDH("SRPT US Equity","ARDR_OPTIONS_BEGINNING_OF_PERIOD","FQ1 2021","FQ1 2021","Currency=USD","Period=FQ","BEST_FPERIOD_OVERRIDE=FQ","FILING_STATUS=MR","Sort=A","Dates=H","DateFormat=P","Fill=—","Direction=H","UseDPDF=Y")</f>
        <v>—</v>
      </c>
      <c r="M164" s="13" t="str">
        <f>_xll.BDH("SRPT US Equity","ARDR_OPTIONS_BEGINNING_OF_PERIOD","FQ2 2021","FQ2 2021","Currency=USD","Period=FQ","BEST_FPERIOD_OVERRIDE=FQ","FILING_STATUS=MR","Sort=A","Dates=H","DateFormat=P","Fill=—","Direction=H","UseDPDF=Y")</f>
        <v>—</v>
      </c>
      <c r="N164" s="13" t="str">
        <f>_xll.BDH("SRPT US Equity","ARDR_OPTIONS_BEGINNING_OF_PERIOD","FQ3 2021","FQ3 2021","Currency=USD","Period=FQ","BEST_FPERIOD_OVERRIDE=FQ","FILING_STATUS=MR","Sort=A","Dates=H","DateFormat=P","Fill=—","Direction=H","UseDPDF=Y")</f>
        <v>—</v>
      </c>
      <c r="O164" s="13" t="str">
        <f>_xll.BDH("SRPT US Equity","ARDR_OPTIONS_BEGINNING_OF_PERIOD","FQ4 2021","FQ4 2021","Currency=USD","Period=FQ","BEST_FPERIOD_OVERRIDE=FQ","FILING_STATUS=MR","Sort=A","Dates=H","DateFormat=P","Fill=—","Direction=H","UseDPDF=Y")</f>
        <v>—</v>
      </c>
      <c r="P164" s="13" t="str">
        <f>_xll.BDH("SRPT US Equity","ARDR_OPTIONS_BEGINNING_OF_PERIOD","FQ1 2022","FQ1 2022","Currency=USD","Period=FQ","BEST_FPERIOD_OVERRIDE=FQ","FILING_STATUS=MR","Sort=A","Dates=H","DateFormat=P","Fill=—","Direction=H","UseDPDF=Y")</f>
        <v>—</v>
      </c>
      <c r="Q164" s="13" t="str">
        <f>_xll.BDH("SRPT US Equity","ARDR_OPTIONS_BEGINNING_OF_PERIOD","FQ2 2022","FQ2 2022","Currency=USD","Period=FQ","BEST_FPERIOD_OVERRIDE=FQ","FILING_STATUS=MR","Sort=A","Dates=H","DateFormat=P","Fill=—","Direction=H","UseDPDF=Y")</f>
        <v>—</v>
      </c>
      <c r="R164" s="13" t="str">
        <f>_xll.BDH("SRPT US Equity","ARDR_OPTIONS_BEGINNING_OF_PERIOD","FQ3 2022","FQ3 2022","Currency=USD","Period=FQ","BEST_FPERIOD_OVERRIDE=FQ","FILING_STATUS=MR","Sort=A","Dates=H","DateFormat=P","Fill=—","Direction=H","UseDPDF=Y")</f>
        <v>—</v>
      </c>
      <c r="S164" s="13" t="str">
        <f>_xll.BDH("SRPT US Equity","ARDR_OPTIONS_BEGINNING_OF_PERIOD","FQ4 2022","FQ4 2022","Currency=USD","Period=FQ","BEST_FPERIOD_OVERRIDE=FQ","FILING_STATUS=MR","Sort=A","Dates=H","DateFormat=P","Fill=—","Direction=H","UseDPDF=Y")</f>
        <v>—</v>
      </c>
      <c r="T164" s="13">
        <f>_xll.BDH("SRPT US Equity","ARDR_OPTIONS_BEGINNING_OF_PERIOD","FQ1 2023","FQ1 2023","Currency=USD","Period=FQ","BEST_FPERIOD_OVERRIDE=FQ","FILING_STATUS=MR","Sort=A","Dates=H","DateFormat=P","Fill=—","Direction=H","UseDPDF=Y")</f>
        <v>9.1301000000000005</v>
      </c>
      <c r="U164" s="13">
        <f>_xll.BDH("SRPT US Equity","ARDR_OPTIONS_BEGINNING_OF_PERIOD","FQ2 2023","FQ2 2023","Currency=USD","Period=FQ","BEST_FPERIOD_OVERRIDE=FQ","FILING_STATUS=MR","Sort=A","Dates=H","DateFormat=P","Fill=—","Direction=H","UseDPDF=Y")</f>
        <v>10.160500000000001</v>
      </c>
      <c r="V164" s="13">
        <f>_xll.BDH("SRPT US Equity","ARDR_OPTIONS_BEGINNING_OF_PERIOD","FQ3 2023","FQ3 2023","Currency=USD","Period=FQ","BEST_FPERIOD_OVERRIDE=FQ","FILING_STATUS=MR","Sort=A","Dates=H","DateFormat=P","Fill=—","Direction=H","UseDPDF=Y")</f>
        <v>10.2151</v>
      </c>
      <c r="W164" s="13">
        <f>_xll.BDH("SRPT US Equity","ARDR_OPTIONS_BEGINNING_OF_PERIOD","FQ4 2023","FQ4 2023","Currency=USD","Period=FQ","BEST_FPERIOD_OVERRIDE=FQ","FILING_STATUS=MR","Sort=A","Dates=H","DateFormat=P","Fill=—","Direction=H","UseDPDF=Y")</f>
        <v>10.2188</v>
      </c>
      <c r="X164" s="13">
        <f>_xll.BDH("SRPT US Equity","ARDR_OPTIONS_BEGINNING_OF_PERIOD","FQ1 2024","FQ1 2024","Currency=USD","Period=FQ","BEST_FPERIOD_OVERRIDE=FQ","FILING_STATUS=MR","Sort=A","Dates=H","DateFormat=P","Fill=—","Direction=H","UseDPDF=Y")</f>
        <v>9.5827000000000009</v>
      </c>
      <c r="Y164" s="13">
        <f>_xll.BDH("SRPT US Equity","ARDR_OPTIONS_BEGINNING_OF_PERIOD","FQ2 2024","FQ2 2024","Currency=USD","Period=FQ","BEST_FPERIOD_OVERRIDE=FQ","FILING_STATUS=MR","Sort=A","Dates=H","DateFormat=P","Fill=—","Direction=H","UseDPDF=Y")</f>
        <v>9.8991000000000007</v>
      </c>
      <c r="Z164" s="13">
        <f>_xll.BDH("SRPT US Equity","ARDR_OPTIONS_BEGINNING_OF_PERIOD","FQ3 2024","FQ3 2024","Currency=USD","Period=FQ","BEST_FPERIOD_OVERRIDE=FQ","FILING_STATUS=MR","Sort=A","Dates=H","DateFormat=P","Fill=—","Direction=H","UseDPDF=Y")</f>
        <v>9.9041999999999994</v>
      </c>
      <c r="AA164" s="13">
        <f>_xll.BDH("SRPT US Equity","ARDR_OPTIONS_BEGINNING_OF_PERIOD","FQ4 2024","FQ4 2024","Currency=USD","Period=FQ","BEST_FPERIOD_OVERRIDE=FQ","FILING_STATUS=MR","Sort=A","Dates=H","DateFormat=P","Fill=—","Direction=H","UseDPDF=Y")</f>
        <v>9.9106000000000005</v>
      </c>
    </row>
    <row r="165" spans="1:27" x14ac:dyDescent="0.25">
      <c r="A165" s="10" t="s">
        <v>1129</v>
      </c>
      <c r="B165" s="10" t="s">
        <v>1130</v>
      </c>
      <c r="C165" s="13" t="str">
        <f>_xll.BDH("SRPT US Equity","ARDR_OPTIONS_CANCEL_FORFEIT_EXP","FQ4 2018","FQ4 2018","Currency=USD","Period=FQ","BEST_FPERIOD_OVERRIDE=FQ","FILING_STATUS=MR","Sort=A","Dates=H","DateFormat=P","Fill=—","Direction=H","UseDPDF=Y")</f>
        <v>—</v>
      </c>
      <c r="D165" s="13" t="str">
        <f>_xll.BDH("SRPT US Equity","ARDR_OPTIONS_CANCEL_FORFEIT_EXP","FQ1 2019","FQ1 2019","Currency=USD","Period=FQ","BEST_FPERIOD_OVERRIDE=FQ","FILING_STATUS=MR","Sort=A","Dates=H","DateFormat=P","Fill=—","Direction=H","UseDPDF=Y")</f>
        <v>—</v>
      </c>
      <c r="E165" s="13" t="str">
        <f>_xll.BDH("SRPT US Equity","ARDR_OPTIONS_CANCEL_FORFEIT_EXP","FQ2 2019","FQ2 2019","Currency=USD","Period=FQ","BEST_FPERIOD_OVERRIDE=FQ","FILING_STATUS=MR","Sort=A","Dates=H","DateFormat=P","Fill=—","Direction=H","UseDPDF=Y")</f>
        <v>—</v>
      </c>
      <c r="F165" s="13" t="str">
        <f>_xll.BDH("SRPT US Equity","ARDR_OPTIONS_CANCEL_FORFEIT_EXP","FQ3 2019","FQ3 2019","Currency=USD","Period=FQ","BEST_FPERIOD_OVERRIDE=FQ","FILING_STATUS=MR","Sort=A","Dates=H","DateFormat=P","Fill=—","Direction=H","UseDPDF=Y")</f>
        <v>—</v>
      </c>
      <c r="G165" s="13" t="str">
        <f>_xll.BDH("SRPT US Equity","ARDR_OPTIONS_CANCEL_FORFEIT_EXP","FQ4 2019","FQ4 2019","Currency=USD","Period=FQ","BEST_FPERIOD_OVERRIDE=FQ","FILING_STATUS=MR","Sort=A","Dates=H","DateFormat=P","Fill=—","Direction=H","UseDPDF=Y")</f>
        <v>—</v>
      </c>
      <c r="H165" s="13" t="str">
        <f>_xll.BDH("SRPT US Equity","ARDR_OPTIONS_CANCEL_FORFEIT_EXP","FQ1 2020","FQ1 2020","Currency=USD","Period=FQ","BEST_FPERIOD_OVERRIDE=FQ","FILING_STATUS=MR","Sort=A","Dates=H","DateFormat=P","Fill=—","Direction=H","UseDPDF=Y")</f>
        <v>—</v>
      </c>
      <c r="I165" s="13" t="str">
        <f>_xll.BDH("SRPT US Equity","ARDR_OPTIONS_CANCEL_FORFEIT_EXP","FQ2 2020","FQ2 2020","Currency=USD","Period=FQ","BEST_FPERIOD_OVERRIDE=FQ","FILING_STATUS=MR","Sort=A","Dates=H","DateFormat=P","Fill=—","Direction=H","UseDPDF=Y")</f>
        <v>—</v>
      </c>
      <c r="J165" s="13" t="str">
        <f>_xll.BDH("SRPT US Equity","ARDR_OPTIONS_CANCEL_FORFEIT_EXP","FQ3 2020","FQ3 2020","Currency=USD","Period=FQ","BEST_FPERIOD_OVERRIDE=FQ","FILING_STATUS=MR","Sort=A","Dates=H","DateFormat=P","Fill=—","Direction=H","UseDPDF=Y")</f>
        <v>—</v>
      </c>
      <c r="K165" s="13" t="str">
        <f>_xll.BDH("SRPT US Equity","ARDR_OPTIONS_CANCEL_FORFEIT_EXP","FQ4 2020","FQ4 2020","Currency=USD","Period=FQ","BEST_FPERIOD_OVERRIDE=FQ","FILING_STATUS=MR","Sort=A","Dates=H","DateFormat=P","Fill=—","Direction=H","UseDPDF=Y")</f>
        <v>—</v>
      </c>
      <c r="L165" s="13" t="str">
        <f>_xll.BDH("SRPT US Equity","ARDR_OPTIONS_CANCEL_FORFEIT_EXP","FQ1 2021","FQ1 2021","Currency=USD","Period=FQ","BEST_FPERIOD_OVERRIDE=FQ","FILING_STATUS=MR","Sort=A","Dates=H","DateFormat=P","Fill=—","Direction=H","UseDPDF=Y")</f>
        <v>—</v>
      </c>
      <c r="M165" s="13" t="str">
        <f>_xll.BDH("SRPT US Equity","ARDR_OPTIONS_CANCEL_FORFEIT_EXP","FQ2 2021","FQ2 2021","Currency=USD","Period=FQ","BEST_FPERIOD_OVERRIDE=FQ","FILING_STATUS=MR","Sort=A","Dates=H","DateFormat=P","Fill=—","Direction=H","UseDPDF=Y")</f>
        <v>—</v>
      </c>
      <c r="N165" s="13" t="str">
        <f>_xll.BDH("SRPT US Equity","ARDR_OPTIONS_CANCEL_FORFEIT_EXP","FQ3 2021","FQ3 2021","Currency=USD","Period=FQ","BEST_FPERIOD_OVERRIDE=FQ","FILING_STATUS=MR","Sort=A","Dates=H","DateFormat=P","Fill=—","Direction=H","UseDPDF=Y")</f>
        <v>—</v>
      </c>
      <c r="O165" s="13" t="str">
        <f>_xll.BDH("SRPT US Equity","ARDR_OPTIONS_CANCEL_FORFEIT_EXP","FQ4 2021","FQ4 2021","Currency=USD","Period=FQ","BEST_FPERIOD_OVERRIDE=FQ","FILING_STATUS=MR","Sort=A","Dates=H","DateFormat=P","Fill=—","Direction=H","UseDPDF=Y")</f>
        <v>—</v>
      </c>
      <c r="P165" s="13" t="str">
        <f>_xll.BDH("SRPT US Equity","ARDR_OPTIONS_CANCEL_FORFEIT_EXP","FQ1 2022","FQ1 2022","Currency=USD","Period=FQ","BEST_FPERIOD_OVERRIDE=FQ","FILING_STATUS=MR","Sort=A","Dates=H","DateFormat=P","Fill=—","Direction=H","UseDPDF=Y")</f>
        <v>—</v>
      </c>
      <c r="Q165" s="13" t="str">
        <f>_xll.BDH("SRPT US Equity","ARDR_OPTIONS_CANCEL_FORFEIT_EXP","FQ2 2022","FQ2 2022","Currency=USD","Period=FQ","BEST_FPERIOD_OVERRIDE=FQ","FILING_STATUS=MR","Sort=A","Dates=H","DateFormat=P","Fill=—","Direction=H","UseDPDF=Y")</f>
        <v>—</v>
      </c>
      <c r="R165" s="13" t="str">
        <f>_xll.BDH("SRPT US Equity","ARDR_OPTIONS_CANCEL_FORFEIT_EXP","FQ3 2022","FQ3 2022","Currency=USD","Period=FQ","BEST_FPERIOD_OVERRIDE=FQ","FILING_STATUS=MR","Sort=A","Dates=H","DateFormat=P","Fill=—","Direction=H","UseDPDF=Y")</f>
        <v>—</v>
      </c>
      <c r="S165" s="13">
        <f>_xll.BDH("SRPT US Equity","ARDR_OPTIONS_CANCEL_FORFEIT_EXP","FQ4 2022","FQ4 2022","Currency=USD","Period=FQ","BEST_FPERIOD_OVERRIDE=FQ","FILING_STATUS=MR","Sort=A","Dates=H","DateFormat=P","Fill=—","Direction=H","UseDPDF=Y")</f>
        <v>0.52590000000000003</v>
      </c>
      <c r="T165" s="13" t="str">
        <f>_xll.BDH("SRPT US Equity","ARDR_OPTIONS_CANCEL_FORFEIT_EXP","FQ1 2023","FQ1 2023","Currency=USD","Period=FQ","BEST_FPERIOD_OVERRIDE=FQ","FILING_STATUS=MR","Sort=A","Dates=H","DateFormat=P","Fill=—","Direction=H","UseDPDF=Y")</f>
        <v>—</v>
      </c>
      <c r="U165" s="13" t="str">
        <f>_xll.BDH("SRPT US Equity","ARDR_OPTIONS_CANCEL_FORFEIT_EXP","FQ2 2023","FQ2 2023","Currency=USD","Period=FQ","BEST_FPERIOD_OVERRIDE=FQ","FILING_STATUS=MR","Sort=A","Dates=H","DateFormat=P","Fill=—","Direction=H","UseDPDF=Y")</f>
        <v>—</v>
      </c>
      <c r="V165" s="13" t="str">
        <f>_xll.BDH("SRPT US Equity","ARDR_OPTIONS_CANCEL_FORFEIT_EXP","FQ3 2023","FQ3 2023","Currency=USD","Period=FQ","BEST_FPERIOD_OVERRIDE=FQ","FILING_STATUS=MR","Sort=A","Dates=H","DateFormat=P","Fill=—","Direction=H","UseDPDF=Y")</f>
        <v>—</v>
      </c>
      <c r="W165" s="13">
        <f>_xll.BDH("SRPT US Equity","ARDR_OPTIONS_CANCEL_FORFEIT_EXP","FQ4 2023","FQ4 2023","Currency=USD","Period=FQ","BEST_FPERIOD_OVERRIDE=FQ","FILING_STATUS=MR","Sort=A","Dates=H","DateFormat=P","Fill=—","Direction=H","UseDPDF=Y")</f>
        <v>0.2049</v>
      </c>
      <c r="X165" s="13" t="str">
        <f>_xll.BDH("SRPT US Equity","ARDR_OPTIONS_CANCEL_FORFEIT_EXP","FQ1 2024","FQ1 2024","Currency=USD","Period=FQ","BEST_FPERIOD_OVERRIDE=FQ","FILING_STATUS=MR","Sort=A","Dates=H","DateFormat=P","Fill=—","Direction=H","UseDPDF=Y")</f>
        <v>—</v>
      </c>
      <c r="Y165" s="13" t="str">
        <f>_xll.BDH("SRPT US Equity","ARDR_OPTIONS_CANCEL_FORFEIT_EXP","FQ2 2024","FQ2 2024","Currency=USD","Period=FQ","BEST_FPERIOD_OVERRIDE=FQ","FILING_STATUS=MR","Sort=A","Dates=H","DateFormat=P","Fill=—","Direction=H","UseDPDF=Y")</f>
        <v>—</v>
      </c>
      <c r="Z165" s="13" t="str">
        <f>_xll.BDH("SRPT US Equity","ARDR_OPTIONS_CANCEL_FORFEIT_EXP","FQ3 2024","FQ3 2024","Currency=USD","Period=FQ","BEST_FPERIOD_OVERRIDE=FQ","FILING_STATUS=MR","Sort=A","Dates=H","DateFormat=P","Fill=—","Direction=H","UseDPDF=Y")</f>
        <v>—</v>
      </c>
      <c r="AA165" s="13">
        <f>_xll.BDH("SRPT US Equity","ARDR_OPTIONS_CANCEL_FORFEIT_EXP","FQ4 2024","FQ4 2024","Currency=USD","Period=FQ","BEST_FPERIOD_OVERRIDE=FQ","FILING_STATUS=MR","Sort=A","Dates=H","DateFormat=P","Fill=—","Direction=H","UseDPDF=Y")</f>
        <v>0.18</v>
      </c>
    </row>
    <row r="166" spans="1:27" x14ac:dyDescent="0.25">
      <c r="A166" s="10" t="s">
        <v>1131</v>
      </c>
      <c r="B166" s="10" t="s">
        <v>1132</v>
      </c>
      <c r="C166" s="13" t="str">
        <f>_xll.BDH("SRPT US Equity","ARDR_OPTIONS_ADJUSTMENT","FQ4 2018","FQ4 2018","Currency=USD","Period=FQ","BEST_FPERIOD_OVERRIDE=FQ","FILING_STATUS=MR","Sort=A","Dates=H","DateFormat=P","Fill=—","Direction=H","UseDPDF=Y")</f>
        <v>—</v>
      </c>
      <c r="D166" s="13" t="str">
        <f>_xll.BDH("SRPT US Equity","ARDR_OPTIONS_ADJUSTMENT","FQ1 2019","FQ1 2019","Currency=USD","Period=FQ","BEST_FPERIOD_OVERRIDE=FQ","FILING_STATUS=MR","Sort=A","Dates=H","DateFormat=P","Fill=—","Direction=H","UseDPDF=Y")</f>
        <v>—</v>
      </c>
      <c r="E166" s="13" t="str">
        <f>_xll.BDH("SRPT US Equity","ARDR_OPTIONS_ADJUSTMENT","FQ2 2019","FQ2 2019","Currency=USD","Period=FQ","BEST_FPERIOD_OVERRIDE=FQ","FILING_STATUS=MR","Sort=A","Dates=H","DateFormat=P","Fill=—","Direction=H","UseDPDF=Y")</f>
        <v>—</v>
      </c>
      <c r="F166" s="13" t="str">
        <f>_xll.BDH("SRPT US Equity","ARDR_OPTIONS_ADJUSTMENT","FQ3 2019","FQ3 2019","Currency=USD","Period=FQ","BEST_FPERIOD_OVERRIDE=FQ","FILING_STATUS=MR","Sort=A","Dates=H","DateFormat=P","Fill=—","Direction=H","UseDPDF=Y")</f>
        <v>—</v>
      </c>
      <c r="G166" s="13" t="str">
        <f>_xll.BDH("SRPT US Equity","ARDR_OPTIONS_ADJUSTMENT","FQ4 2019","FQ4 2019","Currency=USD","Period=FQ","BEST_FPERIOD_OVERRIDE=FQ","FILING_STATUS=MR","Sort=A","Dates=H","DateFormat=P","Fill=—","Direction=H","UseDPDF=Y")</f>
        <v>—</v>
      </c>
      <c r="H166" s="13" t="str">
        <f>_xll.BDH("SRPT US Equity","ARDR_OPTIONS_ADJUSTMENT","FQ1 2020","FQ1 2020","Currency=USD","Period=FQ","BEST_FPERIOD_OVERRIDE=FQ","FILING_STATUS=MR","Sort=A","Dates=H","DateFormat=P","Fill=—","Direction=H","UseDPDF=Y")</f>
        <v>—</v>
      </c>
      <c r="I166" s="13" t="str">
        <f>_xll.BDH("SRPT US Equity","ARDR_OPTIONS_ADJUSTMENT","FQ2 2020","FQ2 2020","Currency=USD","Period=FQ","BEST_FPERIOD_OVERRIDE=FQ","FILING_STATUS=MR","Sort=A","Dates=H","DateFormat=P","Fill=—","Direction=H","UseDPDF=Y")</f>
        <v>—</v>
      </c>
      <c r="J166" s="13" t="str">
        <f>_xll.BDH("SRPT US Equity","ARDR_OPTIONS_ADJUSTMENT","FQ3 2020","FQ3 2020","Currency=USD","Period=FQ","BEST_FPERIOD_OVERRIDE=FQ","FILING_STATUS=MR","Sort=A","Dates=H","DateFormat=P","Fill=—","Direction=H","UseDPDF=Y")</f>
        <v>—</v>
      </c>
      <c r="K166" s="13" t="str">
        <f>_xll.BDH("SRPT US Equity","ARDR_OPTIONS_ADJUSTMENT","FQ4 2020","FQ4 2020","Currency=USD","Period=FQ","BEST_FPERIOD_OVERRIDE=FQ","FILING_STATUS=MR","Sort=A","Dates=H","DateFormat=P","Fill=—","Direction=H","UseDPDF=Y")</f>
        <v>—</v>
      </c>
      <c r="L166" s="13" t="str">
        <f>_xll.BDH("SRPT US Equity","ARDR_OPTIONS_ADJUSTMENT","FQ1 2021","FQ1 2021","Currency=USD","Period=FQ","BEST_FPERIOD_OVERRIDE=FQ","FILING_STATUS=MR","Sort=A","Dates=H","DateFormat=P","Fill=—","Direction=H","UseDPDF=Y")</f>
        <v>—</v>
      </c>
      <c r="M166" s="13" t="str">
        <f>_xll.BDH("SRPT US Equity","ARDR_OPTIONS_ADJUSTMENT","FQ2 2021","FQ2 2021","Currency=USD","Period=FQ","BEST_FPERIOD_OVERRIDE=FQ","FILING_STATUS=MR","Sort=A","Dates=H","DateFormat=P","Fill=—","Direction=H","UseDPDF=Y")</f>
        <v>—</v>
      </c>
      <c r="N166" s="13" t="str">
        <f>_xll.BDH("SRPT US Equity","ARDR_OPTIONS_ADJUSTMENT","FQ3 2021","FQ3 2021","Currency=USD","Period=FQ","BEST_FPERIOD_OVERRIDE=FQ","FILING_STATUS=MR","Sort=A","Dates=H","DateFormat=P","Fill=—","Direction=H","UseDPDF=Y")</f>
        <v>—</v>
      </c>
      <c r="O166" s="13" t="str">
        <f>_xll.BDH("SRPT US Equity","ARDR_OPTIONS_ADJUSTMENT","FQ4 2021","FQ4 2021","Currency=USD","Period=FQ","BEST_FPERIOD_OVERRIDE=FQ","FILING_STATUS=MR","Sort=A","Dates=H","DateFormat=P","Fill=—","Direction=H","UseDPDF=Y")</f>
        <v>—</v>
      </c>
      <c r="P166" s="13" t="str">
        <f>_xll.BDH("SRPT US Equity","ARDR_OPTIONS_ADJUSTMENT","FQ1 2022","FQ1 2022","Currency=USD","Period=FQ","BEST_FPERIOD_OVERRIDE=FQ","FILING_STATUS=MR","Sort=A","Dates=H","DateFormat=P","Fill=—","Direction=H","UseDPDF=Y")</f>
        <v>—</v>
      </c>
      <c r="Q166" s="13" t="str">
        <f>_xll.BDH("SRPT US Equity","ARDR_OPTIONS_ADJUSTMENT","FQ2 2022","FQ2 2022","Currency=USD","Period=FQ","BEST_FPERIOD_OVERRIDE=FQ","FILING_STATUS=MR","Sort=A","Dates=H","DateFormat=P","Fill=—","Direction=H","UseDPDF=Y")</f>
        <v>—</v>
      </c>
      <c r="R166" s="13" t="str">
        <f>_xll.BDH("SRPT US Equity","ARDR_OPTIONS_ADJUSTMENT","FQ3 2022","FQ3 2022","Currency=USD","Period=FQ","BEST_FPERIOD_OVERRIDE=FQ","FILING_STATUS=MR","Sort=A","Dates=H","DateFormat=P","Fill=—","Direction=H","UseDPDF=Y")</f>
        <v>—</v>
      </c>
      <c r="S166" s="13" t="str">
        <f>_xll.BDH("SRPT US Equity","ARDR_OPTIONS_ADJUSTMENT","FQ4 2022","FQ4 2022","Currency=USD","Period=FQ","BEST_FPERIOD_OVERRIDE=FQ","FILING_STATUS=MR","Sort=A","Dates=H","DateFormat=P","Fill=—","Direction=H","UseDPDF=Y")</f>
        <v>—</v>
      </c>
      <c r="T166" s="13" t="str">
        <f>_xll.BDH("SRPT US Equity","ARDR_OPTIONS_ADJUSTMENT","FQ1 2023","FQ1 2023","Currency=USD","Period=FQ","BEST_FPERIOD_OVERRIDE=FQ","FILING_STATUS=MR","Sort=A","Dates=H","DateFormat=P","Fill=—","Direction=H","UseDPDF=Y")</f>
        <v>—</v>
      </c>
      <c r="U166" s="13" t="str">
        <f>_xll.BDH("SRPT US Equity","ARDR_OPTIONS_ADJUSTMENT","FQ2 2023","FQ2 2023","Currency=USD","Period=FQ","BEST_FPERIOD_OVERRIDE=FQ","FILING_STATUS=MR","Sort=A","Dates=H","DateFormat=P","Fill=—","Direction=H","UseDPDF=Y")</f>
        <v>—</v>
      </c>
      <c r="V166" s="13" t="str">
        <f>_xll.BDH("SRPT US Equity","ARDR_OPTIONS_ADJUSTMENT","FQ3 2023","FQ3 2023","Currency=USD","Period=FQ","BEST_FPERIOD_OVERRIDE=FQ","FILING_STATUS=MR","Sort=A","Dates=H","DateFormat=P","Fill=—","Direction=H","UseDPDF=Y")</f>
        <v>—</v>
      </c>
      <c r="W166" s="13">
        <f>_xll.BDH("SRPT US Equity","ARDR_OPTIONS_ADJUSTMENT","FQ4 2023","FQ4 2023","Currency=USD","Period=FQ","BEST_FPERIOD_OVERRIDE=FQ","FILING_STATUS=MR","Sort=A","Dates=H","DateFormat=P","Fill=—","Direction=H","UseDPDF=Y")</f>
        <v>4.7199999999999999E-2</v>
      </c>
      <c r="X166" s="13" t="str">
        <f>_xll.BDH("SRPT US Equity","ARDR_OPTIONS_ADJUSTMENT","FQ1 2024","FQ1 2024","Currency=USD","Period=FQ","BEST_FPERIOD_OVERRIDE=FQ","FILING_STATUS=MR","Sort=A","Dates=H","DateFormat=P","Fill=—","Direction=H","UseDPDF=Y")</f>
        <v>—</v>
      </c>
      <c r="Y166" s="13" t="str">
        <f>_xll.BDH("SRPT US Equity","ARDR_OPTIONS_ADJUSTMENT","FQ2 2024","FQ2 2024","Currency=USD","Period=FQ","BEST_FPERIOD_OVERRIDE=FQ","FILING_STATUS=MR","Sort=A","Dates=H","DateFormat=P","Fill=—","Direction=H","UseDPDF=Y")</f>
        <v>—</v>
      </c>
      <c r="Z166" s="13" t="str">
        <f>_xll.BDH("SRPT US Equity","ARDR_OPTIONS_ADJUSTMENT","FQ3 2024","FQ3 2024","Currency=USD","Period=FQ","BEST_FPERIOD_OVERRIDE=FQ","FILING_STATUS=MR","Sort=A","Dates=H","DateFormat=P","Fill=—","Direction=H","UseDPDF=Y")</f>
        <v>—</v>
      </c>
      <c r="AA166" s="13" t="str">
        <f>_xll.BDH("SRPT US Equity","ARDR_OPTIONS_ADJUSTMENT","FQ4 2024","FQ4 2024","Currency=USD","Period=FQ","BEST_FPERIOD_OVERRIDE=FQ","FILING_STATUS=MR","Sort=A","Dates=H","DateFormat=P","Fill=—","Direction=H","UseDPDF=Y")</f>
        <v>—</v>
      </c>
    </row>
    <row r="167" spans="1:27" x14ac:dyDescent="0.25">
      <c r="A167" s="10" t="s">
        <v>1133</v>
      </c>
      <c r="B167" s="10" t="s">
        <v>1134</v>
      </c>
      <c r="C167" s="13">
        <f>_xll.BDH("SRPT US Equity","ARDR_RESTRICTED_STOCK_UNITS","FQ4 2018","FQ4 2018","Currency=USD","Period=FQ","BEST_FPERIOD_OVERRIDE=FQ","FILING_STATUS=MR","Sort=A","Dates=H","DateFormat=P","Fill=—","Direction=H","UseDPDF=Y")</f>
        <v>0.25230000000000002</v>
      </c>
      <c r="D167" s="13">
        <f>_xll.BDH("SRPT US Equity","ARDR_RESTRICTED_STOCK_UNITS","FQ1 2019","FQ1 2019","Currency=USD","Period=FQ","BEST_FPERIOD_OVERRIDE=FQ","FILING_STATUS=MR","Sort=A","Dates=H","DateFormat=P","Fill=—","Direction=H","UseDPDF=Y")</f>
        <v>0.3246</v>
      </c>
      <c r="E167" s="13">
        <f>_xll.BDH("SRPT US Equity","ARDR_RESTRICTED_STOCK_UNITS","FQ2 2019","FQ2 2019","Currency=USD","Period=FQ","BEST_FPERIOD_OVERRIDE=FQ","FILING_STATUS=MR","Sort=A","Dates=H","DateFormat=P","Fill=—","Direction=H","UseDPDF=Y")</f>
        <v>8.1000000000000003E-2</v>
      </c>
      <c r="F167" s="13">
        <f>_xll.BDH("SRPT US Equity","ARDR_RESTRICTED_STOCK_UNITS","FQ3 2019","FQ3 2019","Currency=USD","Period=FQ","BEST_FPERIOD_OVERRIDE=FQ","FILING_STATUS=MR","Sort=A","Dates=H","DateFormat=P","Fill=—","Direction=H","UseDPDF=Y")</f>
        <v>7.8100000000000003E-2</v>
      </c>
      <c r="G167" s="13">
        <f>_xll.BDH("SRPT US Equity","ARDR_RESTRICTED_STOCK_UNITS","FQ4 2019","FQ4 2019","Currency=USD","Period=FQ","BEST_FPERIOD_OVERRIDE=FQ","FILING_STATUS=MR","Sort=A","Dates=H","DateFormat=P","Fill=—","Direction=H","UseDPDF=Y")</f>
        <v>0.1361</v>
      </c>
      <c r="H167" s="13">
        <f>_xll.BDH("SRPT US Equity","ARDR_RESTRICTED_STOCK_UNITS","FQ1 2020","FQ1 2020","Currency=USD","Period=FQ","BEST_FPERIOD_OVERRIDE=FQ","FILING_STATUS=MR","Sort=A","Dates=H","DateFormat=P","Fill=—","Direction=H","UseDPDF=Y")</f>
        <v>0.49890000000000001</v>
      </c>
      <c r="I167" s="13">
        <f>_xll.BDH("SRPT US Equity","ARDR_RESTRICTED_STOCK_UNITS","FQ2 2020","FQ2 2020","Currency=USD","Period=FQ","BEST_FPERIOD_OVERRIDE=FQ","FILING_STATUS=MR","Sort=A","Dates=H","DateFormat=P","Fill=—","Direction=H","UseDPDF=Y")</f>
        <v>4.4499999999999998E-2</v>
      </c>
      <c r="J167" s="13">
        <f>_xll.BDH("SRPT US Equity","ARDR_RESTRICTED_STOCK_UNITS","FQ3 2020","FQ3 2020","Currency=USD","Period=FQ","BEST_FPERIOD_OVERRIDE=FQ","FILING_STATUS=MR","Sort=A","Dates=H","DateFormat=P","Fill=—","Direction=H","UseDPDF=Y")</f>
        <v>4.9399999999999999E-2</v>
      </c>
      <c r="K167" s="13">
        <f>_xll.BDH("SRPT US Equity","ARDR_RESTRICTED_STOCK_UNITS","FQ4 2020","FQ4 2020","Currency=USD","Period=FQ","BEST_FPERIOD_OVERRIDE=FQ","FILING_STATUS=MR","Sort=A","Dates=H","DateFormat=P","Fill=—","Direction=H","UseDPDF=Y")</f>
        <v>4.8899999999999999E-2</v>
      </c>
      <c r="L167" s="13">
        <f>_xll.BDH("SRPT US Equity","ARDR_RESTRICTED_STOCK_UNITS","FQ1 2021","FQ1 2021","Currency=USD","Period=FQ","BEST_FPERIOD_OVERRIDE=FQ","FILING_STATUS=MR","Sort=A","Dates=H","DateFormat=P","Fill=—","Direction=H","UseDPDF=Y")</f>
        <v>0.68940000000000001</v>
      </c>
      <c r="M167" s="13">
        <f>_xll.BDH("SRPT US Equity","ARDR_RESTRICTED_STOCK_UNITS","FQ2 2021","FQ2 2021","Currency=USD","Period=FQ","BEST_FPERIOD_OVERRIDE=FQ","FILING_STATUS=MR","Sort=A","Dates=H","DateFormat=P","Fill=—","Direction=H","UseDPDF=Y")</f>
        <v>3.7199999999999997E-2</v>
      </c>
      <c r="N167" s="13">
        <f>_xll.BDH("SRPT US Equity","ARDR_RESTRICTED_STOCK_UNITS","FQ3 2021","FQ3 2021","Currency=USD","Period=FQ","BEST_FPERIOD_OVERRIDE=FQ","FILING_STATUS=MR","Sort=A","Dates=H","DateFormat=P","Fill=—","Direction=H","UseDPDF=Y")</f>
        <v>4.7600000000000003E-2</v>
      </c>
      <c r="O167" s="13">
        <f>_xll.BDH("SRPT US Equity","ARDR_RESTRICTED_STOCK_UNITS","FQ4 2021","FQ4 2021","Currency=USD","Period=FQ","BEST_FPERIOD_OVERRIDE=FQ","FILING_STATUS=MR","Sort=A","Dates=H","DateFormat=P","Fill=—","Direction=H","UseDPDF=Y")</f>
        <v>1.3202</v>
      </c>
      <c r="P167" s="13">
        <f>_xll.BDH("SRPT US Equity","ARDR_RESTRICTED_STOCK_UNITS","FQ1 2022","FQ1 2022","Currency=USD","Period=FQ","BEST_FPERIOD_OVERRIDE=FQ","FILING_STATUS=MR","Sort=A","Dates=H","DateFormat=P","Fill=—","Direction=H","UseDPDF=Y")</f>
        <v>0.71240000000000003</v>
      </c>
      <c r="Q167" s="13">
        <f>_xll.BDH("SRPT US Equity","ARDR_RESTRICTED_STOCK_UNITS","FQ2 2022","FQ2 2022","Currency=USD","Period=FQ","BEST_FPERIOD_OVERRIDE=FQ","FILING_STATUS=MR","Sort=A","Dates=H","DateFormat=P","Fill=—","Direction=H","UseDPDF=Y")</f>
        <v>0.14710000000000001</v>
      </c>
      <c r="R167" s="13">
        <f>_xll.BDH("SRPT US Equity","ARDR_RESTRICTED_STOCK_UNITS","FQ3 2022","FQ3 2022","Currency=USD","Period=FQ","BEST_FPERIOD_OVERRIDE=FQ","FILING_STATUS=MR","Sort=A","Dates=H","DateFormat=P","Fill=—","Direction=H","UseDPDF=Y")</f>
        <v>6.5699999999999995E-2</v>
      </c>
      <c r="S167" s="13">
        <f>_xll.BDH("SRPT US Equity","ARDR_RESTRICTED_STOCK_UNITS","FQ4 2022","FQ4 2022","Currency=USD","Period=FQ","BEST_FPERIOD_OVERRIDE=FQ","FILING_STATUS=MR","Sort=A","Dates=H","DateFormat=P","Fill=—","Direction=H","UseDPDF=Y")</f>
        <v>1.8295999999999999</v>
      </c>
      <c r="T167" s="13">
        <f>_xll.BDH("SRPT US Equity","ARDR_RESTRICTED_STOCK_UNITS","FQ1 2023","FQ1 2023","Currency=USD","Period=FQ","BEST_FPERIOD_OVERRIDE=FQ","FILING_STATUS=MR","Sort=A","Dates=H","DateFormat=P","Fill=—","Direction=H","UseDPDF=Y")</f>
        <v>1.0759000000000001</v>
      </c>
      <c r="U167" s="13">
        <f>_xll.BDH("SRPT US Equity","ARDR_RESTRICTED_STOCK_UNITS","FQ2 2023","FQ2 2023","Currency=USD","Period=FQ","BEST_FPERIOD_OVERRIDE=FQ","FILING_STATUS=MR","Sort=A","Dates=H","DateFormat=P","Fill=—","Direction=H","UseDPDF=Y")</f>
        <v>3.3799999999999997E-2</v>
      </c>
      <c r="V167" s="13">
        <f>_xll.BDH("SRPT US Equity","ARDR_RESTRICTED_STOCK_UNITS","FQ3 2023","FQ3 2023","Currency=USD","Period=FQ","BEST_FPERIOD_OVERRIDE=FQ","FILING_STATUS=MR","Sort=A","Dates=H","DateFormat=P","Fill=—","Direction=H","UseDPDF=Y")</f>
        <v>2.75E-2</v>
      </c>
      <c r="W167" s="13">
        <f>_xll.BDH("SRPT US Equity","ARDR_RESTRICTED_STOCK_UNITS","FQ4 2023","FQ4 2023","Currency=USD","Period=FQ","BEST_FPERIOD_OVERRIDE=FQ","FILING_STATUS=MR","Sort=A","Dates=H","DateFormat=P","Fill=—","Direction=H","UseDPDF=Y")</f>
        <v>2.2404999999999999</v>
      </c>
      <c r="X167" s="13">
        <f>_xll.BDH("SRPT US Equity","ARDR_RESTRICTED_STOCK_UNITS","FQ1 2024","FQ1 2024","Currency=USD","Period=FQ","BEST_FPERIOD_OVERRIDE=FQ","FILING_STATUS=MR","Sort=A","Dates=H","DateFormat=P","Fill=—","Direction=H","UseDPDF=Y")</f>
        <v>1.1619999999999999</v>
      </c>
      <c r="Y167" s="13">
        <f>_xll.BDH("SRPT US Equity","ARDR_RESTRICTED_STOCK_UNITS","FQ2 2024","FQ2 2024","Currency=USD","Period=FQ","BEST_FPERIOD_OVERRIDE=FQ","FILING_STATUS=MR","Sort=A","Dates=H","DateFormat=P","Fill=—","Direction=H","UseDPDF=Y")</f>
        <v>5.4899999999999997E-2</v>
      </c>
      <c r="Z167" s="13">
        <f>_xll.BDH("SRPT US Equity","ARDR_RESTRICTED_STOCK_UNITS","FQ3 2024","FQ3 2024","Currency=USD","Period=FQ","BEST_FPERIOD_OVERRIDE=FQ","FILING_STATUS=MR","Sort=A","Dates=H","DateFormat=P","Fill=—","Direction=H","UseDPDF=Y")</f>
        <v>0.1351</v>
      </c>
      <c r="AA167" s="13">
        <f>_xll.BDH("SRPT US Equity","ARDR_RESTRICTED_STOCK_UNITS","FQ4 2024","FQ4 2024","Currency=USD","Period=FQ","BEST_FPERIOD_OVERRIDE=FQ","FILING_STATUS=MR","Sort=A","Dates=H","DateFormat=P","Fill=—","Direction=H","UseDPDF=Y")</f>
        <v>2.7174</v>
      </c>
    </row>
    <row r="168" spans="1:27" x14ac:dyDescent="0.25">
      <c r="A168" s="10" t="s">
        <v>1135</v>
      </c>
      <c r="B168" s="10" t="s">
        <v>1136</v>
      </c>
      <c r="C168" s="14">
        <f>_xll.BDH("SRPT US Equity","ARDR_RSTR_STK_UNIT_WAVG_FV_PS","FQ4 2018","FQ4 2018","Currency=USD","Period=FQ","BEST_FPERIOD_OVERRIDE=FQ","FILING_STATUS=MR","Sort=A","Dates=H","DateFormat=P","Fill=—","Direction=H","UseDPDF=Y")</f>
        <v>42.37</v>
      </c>
      <c r="D168" s="14">
        <f>_xll.BDH("SRPT US Equity","ARDR_RSTR_STK_UNIT_WAVG_FV_PS","FQ1 2019","FQ1 2019","Currency=USD","Period=FQ","BEST_FPERIOD_OVERRIDE=FQ","FILING_STATUS=MR","Sort=A","Dates=H","DateFormat=P","Fill=—","Direction=H","UseDPDF=Y")</f>
        <v>143.13999999999999</v>
      </c>
      <c r="E168" s="14">
        <f>_xll.BDH("SRPT US Equity","ARDR_RSTR_STK_UNIT_WAVG_FV_PS","FQ2 2019","FQ2 2019","Currency=USD","Period=FQ","BEST_FPERIOD_OVERRIDE=FQ","FILING_STATUS=MR","Sort=A","Dates=H","DateFormat=P","Fill=—","Direction=H","UseDPDF=Y")</f>
        <v>121.34</v>
      </c>
      <c r="F168" s="14">
        <f>_xll.BDH("SRPT US Equity","ARDR_RSTR_STK_UNIT_WAVG_FV_PS","FQ3 2019","FQ3 2019","Currency=USD","Period=FQ","BEST_FPERIOD_OVERRIDE=FQ","FILING_STATUS=MR","Sort=A","Dates=H","DateFormat=P","Fill=—","Direction=H","UseDPDF=Y")</f>
        <v>99.52</v>
      </c>
      <c r="G168" s="14">
        <f>_xll.BDH("SRPT US Equity","ARDR_RSTR_STK_UNIT_WAVG_FV_PS","FQ4 2019","FQ4 2019","Currency=USD","Period=FQ","BEST_FPERIOD_OVERRIDE=FQ","FILING_STATUS=MR","Sort=A","Dates=H","DateFormat=P","Fill=—","Direction=H","UseDPDF=Y")</f>
        <v>42.98</v>
      </c>
      <c r="H168" s="14">
        <f>_xll.BDH("SRPT US Equity","ARDR_RSTR_STK_UNIT_WAVG_FV_PS","FQ1 2020","FQ1 2020","Currency=USD","Period=FQ","BEST_FPERIOD_OVERRIDE=FQ","FILING_STATUS=MR","Sort=A","Dates=H","DateFormat=P","Fill=—","Direction=H","UseDPDF=Y")</f>
        <v>114.28</v>
      </c>
      <c r="I168" s="14">
        <f>_xll.BDH("SRPT US Equity","ARDR_RSTR_STK_UNIT_WAVG_FV_PS","FQ2 2020","FQ2 2020","Currency=USD","Period=FQ","BEST_FPERIOD_OVERRIDE=FQ","FILING_STATUS=MR","Sort=A","Dates=H","DateFormat=P","Fill=—","Direction=H","UseDPDF=Y")</f>
        <v>143.84</v>
      </c>
      <c r="J168" s="14">
        <f>_xll.BDH("SRPT US Equity","ARDR_RSTR_STK_UNIT_WAVG_FV_PS","FQ3 2020","FQ3 2020","Currency=USD","Period=FQ","BEST_FPERIOD_OVERRIDE=FQ","FILING_STATUS=MR","Sort=A","Dates=H","DateFormat=P","Fill=—","Direction=H","UseDPDF=Y")</f>
        <v>148.63</v>
      </c>
      <c r="K168" s="14">
        <f>_xll.BDH("SRPT US Equity","ARDR_RSTR_STK_UNIT_WAVG_FV_PS","FQ4 2020","FQ4 2020","Currency=USD","Period=FQ","BEST_FPERIOD_OVERRIDE=FQ","FILING_STATUS=MR","Sort=A","Dates=H","DateFormat=P","Fill=—","Direction=H","UseDPDF=Y")</f>
        <v>50.11</v>
      </c>
      <c r="L168" s="14">
        <f>_xll.BDH("SRPT US Equity","ARDR_RSTR_STK_UNIT_WAVG_FV_PS","FQ1 2021","FQ1 2021","Currency=USD","Period=FQ","BEST_FPERIOD_OVERRIDE=FQ","FILING_STATUS=MR","Sort=A","Dates=H","DateFormat=P","Fill=—","Direction=H","UseDPDF=Y")</f>
        <v>87.14</v>
      </c>
      <c r="M168" s="14">
        <f>_xll.BDH("SRPT US Equity","ARDR_RSTR_STK_UNIT_WAVG_FV_PS","FQ2 2021","FQ2 2021","Currency=USD","Period=FQ","BEST_FPERIOD_OVERRIDE=FQ","FILING_STATUS=MR","Sort=A","Dates=H","DateFormat=P","Fill=—","Direction=H","UseDPDF=Y")</f>
        <v>75.3</v>
      </c>
      <c r="N168" s="14">
        <f>_xll.BDH("SRPT US Equity","ARDR_RSTR_STK_UNIT_WAVG_FV_PS","FQ3 2021","FQ3 2021","Currency=USD","Period=FQ","BEST_FPERIOD_OVERRIDE=FQ","FILING_STATUS=MR","Sort=A","Dates=H","DateFormat=P","Fill=—","Direction=H","UseDPDF=Y")</f>
        <v>83.37</v>
      </c>
      <c r="O168" s="14">
        <f>_xll.BDH("SRPT US Equity","ARDR_RSTR_STK_UNIT_WAVG_FV_PS","FQ4 2021","FQ4 2021","Currency=USD","Period=FQ","BEST_FPERIOD_OVERRIDE=FQ","FILING_STATUS=MR","Sort=A","Dates=H","DateFormat=P","Fill=—","Direction=H","UseDPDF=Y")</f>
        <v>98.69</v>
      </c>
      <c r="P168" s="14">
        <f>_xll.BDH("SRPT US Equity","ARDR_RSTR_STK_UNIT_WAVG_FV_PS","FQ1 2022","FQ1 2022","Currency=USD","Period=FQ","BEST_FPERIOD_OVERRIDE=FQ","FILING_STATUS=MR","Sort=A","Dates=H","DateFormat=P","Fill=—","Direction=H","UseDPDF=Y")</f>
        <v>79.98</v>
      </c>
      <c r="Q168" s="14">
        <f>_xll.BDH("SRPT US Equity","ARDR_RSTR_STK_UNIT_WAVG_FV_PS","FQ2 2022","FQ2 2022","Currency=USD","Period=FQ","BEST_FPERIOD_OVERRIDE=FQ","FILING_STATUS=MR","Sort=A","Dates=H","DateFormat=P","Fill=—","Direction=H","UseDPDF=Y")</f>
        <v>72.989999999999995</v>
      </c>
      <c r="R168" s="14">
        <f>_xll.BDH("SRPT US Equity","ARDR_RSTR_STK_UNIT_WAVG_FV_PS","FQ3 2022","FQ3 2022","Currency=USD","Period=FQ","BEST_FPERIOD_OVERRIDE=FQ","FILING_STATUS=MR","Sort=A","Dates=H","DateFormat=P","Fill=—","Direction=H","UseDPDF=Y")</f>
        <v>105.28</v>
      </c>
      <c r="S168" s="14">
        <f>_xll.BDH("SRPT US Equity","ARDR_RSTR_STK_UNIT_WAVG_FV_PS","FQ4 2022","FQ4 2022","Currency=USD","Period=FQ","BEST_FPERIOD_OVERRIDE=FQ","FILING_STATUS=MR","Sort=A","Dates=H","DateFormat=P","Fill=—","Direction=H","UseDPDF=Y")</f>
        <v>90.59</v>
      </c>
      <c r="T168" s="14">
        <f>_xll.BDH("SRPT US Equity","ARDR_RSTR_STK_UNIT_WAVG_FV_PS","FQ1 2023","FQ1 2023","Currency=USD","Period=FQ","BEST_FPERIOD_OVERRIDE=FQ","FILING_STATUS=MR","Sort=A","Dates=H","DateFormat=P","Fill=—","Direction=H","UseDPDF=Y")</f>
        <v>154.91</v>
      </c>
      <c r="U168" s="14">
        <f>_xll.BDH("SRPT US Equity","ARDR_RSTR_STK_UNIT_WAVG_FV_PS","FQ2 2023","FQ2 2023","Currency=USD","Period=FQ","BEST_FPERIOD_OVERRIDE=FQ","FILING_STATUS=MR","Sort=A","Dates=H","DateFormat=P","Fill=—","Direction=H","UseDPDF=Y")</f>
        <v>121.27</v>
      </c>
      <c r="V168" s="14">
        <f>_xll.BDH("SRPT US Equity","ARDR_RSTR_STK_UNIT_WAVG_FV_PS","FQ3 2023","FQ3 2023","Currency=USD","Period=FQ","BEST_FPERIOD_OVERRIDE=FQ","FILING_STATUS=MR","Sort=A","Dates=H","DateFormat=P","Fill=—","Direction=H","UseDPDF=Y")</f>
        <v>118.05</v>
      </c>
      <c r="W168" s="14">
        <f>_xll.BDH("SRPT US Equity","ARDR_RSTR_STK_UNIT_WAVG_FV_PS","FQ4 2023","FQ4 2023","Currency=USD","Period=FQ","BEST_FPERIOD_OVERRIDE=FQ","FILING_STATUS=MR","Sort=A","Dates=H","DateFormat=P","Fill=—","Direction=H","UseDPDF=Y")</f>
        <v>120.17</v>
      </c>
      <c r="X168" s="14">
        <f>_xll.BDH("SRPT US Equity","ARDR_RSTR_STK_UNIT_WAVG_FV_PS","FQ1 2024","FQ1 2024","Currency=USD","Period=FQ","BEST_FPERIOD_OVERRIDE=FQ","FILING_STATUS=MR","Sort=A","Dates=H","DateFormat=P","Fill=—","Direction=H","UseDPDF=Y")</f>
        <v>128.58000000000001</v>
      </c>
      <c r="Y168" s="14">
        <f>_xll.BDH("SRPT US Equity","ARDR_RSTR_STK_UNIT_WAVG_FV_PS","FQ2 2024","FQ2 2024","Currency=USD","Period=FQ","BEST_FPERIOD_OVERRIDE=FQ","FILING_STATUS=MR","Sort=A","Dates=H","DateFormat=P","Fill=—","Direction=H","UseDPDF=Y")</f>
        <v>138.91</v>
      </c>
      <c r="Z168" s="14">
        <f>_xll.BDH("SRPT US Equity","ARDR_RSTR_STK_UNIT_WAVG_FV_PS","FQ3 2024","FQ3 2024","Currency=USD","Period=FQ","BEST_FPERIOD_OVERRIDE=FQ","FILING_STATUS=MR","Sort=A","Dates=H","DateFormat=P","Fill=—","Direction=H","UseDPDF=Y")</f>
        <v>127.51</v>
      </c>
      <c r="AA168" s="14">
        <f>_xll.BDH("SRPT US Equity","ARDR_RSTR_STK_UNIT_WAVG_FV_PS","FQ4 2024","FQ4 2024","Currency=USD","Period=FQ","BEST_FPERIOD_OVERRIDE=FQ","FILING_STATUS=MR","Sort=A","Dates=H","DateFormat=P","Fill=—","Direction=H","UseDPDF=Y")</f>
        <v>127.78</v>
      </c>
    </row>
    <row r="169" spans="1:27" x14ac:dyDescent="0.25">
      <c r="A169" s="10" t="s">
        <v>1137</v>
      </c>
      <c r="B169" s="10" t="s">
        <v>1138</v>
      </c>
      <c r="C169" s="14">
        <f>_xll.BDH("SRPT US Equity","ARDR_STK_OPT_VALN_RFR_PCT_LO","FQ4 2018","FQ4 2018","Currency=USD","Period=FQ","BEST_FPERIOD_OVERRIDE=FQ","FILING_STATUS=MR","Sort=A","Dates=H","DateFormat=P","Fill=—","Direction=H","UseDPDF=Y")</f>
        <v>2.5</v>
      </c>
      <c r="D169" s="14" t="str">
        <f>_xll.BDH("SRPT US Equity","ARDR_STK_OPT_VALN_RFR_PCT_LO","FQ1 2019","FQ1 2019","Currency=USD","Period=FQ","BEST_FPERIOD_OVERRIDE=FQ","FILING_STATUS=MR","Sort=A","Dates=H","DateFormat=P","Fill=—","Direction=H","UseDPDF=Y")</f>
        <v>—</v>
      </c>
      <c r="E169" s="14" t="str">
        <f>_xll.BDH("SRPT US Equity","ARDR_STK_OPT_VALN_RFR_PCT_LO","FQ2 2019","FQ2 2019","Currency=USD","Period=FQ","BEST_FPERIOD_OVERRIDE=FQ","FILING_STATUS=MR","Sort=A","Dates=H","DateFormat=P","Fill=—","Direction=H","UseDPDF=Y")</f>
        <v>—</v>
      </c>
      <c r="F169" s="14" t="str">
        <f>_xll.BDH("SRPT US Equity","ARDR_STK_OPT_VALN_RFR_PCT_LO","FQ3 2019","FQ3 2019","Currency=USD","Period=FQ","BEST_FPERIOD_OVERRIDE=FQ","FILING_STATUS=MR","Sort=A","Dates=H","DateFormat=P","Fill=—","Direction=H","UseDPDF=Y")</f>
        <v>—</v>
      </c>
      <c r="G169" s="14">
        <f>_xll.BDH("SRPT US Equity","ARDR_STK_OPT_VALN_RFR_PCT_LO","FQ4 2019","FQ4 2019","Currency=USD","Period=FQ","BEST_FPERIOD_OVERRIDE=FQ","FILING_STATUS=MR","Sort=A","Dates=H","DateFormat=P","Fill=—","Direction=H","UseDPDF=Y")</f>
        <v>1.4</v>
      </c>
      <c r="H169" s="14" t="str">
        <f>_xll.BDH("SRPT US Equity","ARDR_STK_OPT_VALN_RFR_PCT_LO","FQ1 2020","FQ1 2020","Currency=USD","Period=FQ","BEST_FPERIOD_OVERRIDE=FQ","FILING_STATUS=MR","Sort=A","Dates=H","DateFormat=P","Fill=—","Direction=H","UseDPDF=Y")</f>
        <v>—</v>
      </c>
      <c r="I169" s="14" t="str">
        <f>_xll.BDH("SRPT US Equity","ARDR_STK_OPT_VALN_RFR_PCT_LO","FQ2 2020","FQ2 2020","Currency=USD","Period=FQ","BEST_FPERIOD_OVERRIDE=FQ","FILING_STATUS=MR","Sort=A","Dates=H","DateFormat=P","Fill=—","Direction=H","UseDPDF=Y")</f>
        <v>—</v>
      </c>
      <c r="J169" s="14" t="str">
        <f>_xll.BDH("SRPT US Equity","ARDR_STK_OPT_VALN_RFR_PCT_LO","FQ3 2020","FQ3 2020","Currency=USD","Period=FQ","BEST_FPERIOD_OVERRIDE=FQ","FILING_STATUS=MR","Sort=A","Dates=H","DateFormat=P","Fill=—","Direction=H","UseDPDF=Y")</f>
        <v>—</v>
      </c>
      <c r="K169" s="14">
        <f>_xll.BDH("SRPT US Equity","ARDR_STK_OPT_VALN_RFR_PCT_LO","FQ4 2020","FQ4 2020","Currency=USD","Period=FQ","BEST_FPERIOD_OVERRIDE=FQ","FILING_STATUS=MR","Sort=A","Dates=H","DateFormat=P","Fill=—","Direction=H","UseDPDF=Y")</f>
        <v>0.1</v>
      </c>
      <c r="L169" s="14" t="str">
        <f>_xll.BDH("SRPT US Equity","ARDR_STK_OPT_VALN_RFR_PCT_LO","FQ1 2021","FQ1 2021","Currency=USD","Period=FQ","BEST_FPERIOD_OVERRIDE=FQ","FILING_STATUS=MR","Sort=A","Dates=H","DateFormat=P","Fill=—","Direction=H","UseDPDF=Y")</f>
        <v>—</v>
      </c>
      <c r="M169" s="14" t="str">
        <f>_xll.BDH("SRPT US Equity","ARDR_STK_OPT_VALN_RFR_PCT_LO","FQ2 2021","FQ2 2021","Currency=USD","Period=FQ","BEST_FPERIOD_OVERRIDE=FQ","FILING_STATUS=MR","Sort=A","Dates=H","DateFormat=P","Fill=—","Direction=H","UseDPDF=Y")</f>
        <v>—</v>
      </c>
      <c r="N169" s="14" t="str">
        <f>_xll.BDH("SRPT US Equity","ARDR_STK_OPT_VALN_RFR_PCT_LO","FQ3 2021","FQ3 2021","Currency=USD","Period=FQ","BEST_FPERIOD_OVERRIDE=FQ","FILING_STATUS=MR","Sort=A","Dates=H","DateFormat=P","Fill=—","Direction=H","UseDPDF=Y")</f>
        <v>—</v>
      </c>
      <c r="O169" s="14">
        <f>_xll.BDH("SRPT US Equity","ARDR_STK_OPT_VALN_RFR_PCT_LO","FQ4 2021","FQ4 2021","Currency=USD","Period=FQ","BEST_FPERIOD_OVERRIDE=FQ","FILING_STATUS=MR","Sort=A","Dates=H","DateFormat=P","Fill=—","Direction=H","UseDPDF=Y")</f>
        <v>0.4</v>
      </c>
      <c r="P169" s="14" t="str">
        <f>_xll.BDH("SRPT US Equity","ARDR_STK_OPT_VALN_RFR_PCT_LO","FQ1 2022","FQ1 2022","Currency=USD","Period=FQ","BEST_FPERIOD_OVERRIDE=FQ","FILING_STATUS=MR","Sort=A","Dates=H","DateFormat=P","Fill=—","Direction=H","UseDPDF=Y")</f>
        <v>—</v>
      </c>
      <c r="Q169" s="14" t="str">
        <f>_xll.BDH("SRPT US Equity","ARDR_STK_OPT_VALN_RFR_PCT_LO","FQ2 2022","FQ2 2022","Currency=USD","Period=FQ","BEST_FPERIOD_OVERRIDE=FQ","FILING_STATUS=MR","Sort=A","Dates=H","DateFormat=P","Fill=—","Direction=H","UseDPDF=Y")</f>
        <v>—</v>
      </c>
      <c r="R169" s="14" t="str">
        <f>_xll.BDH("SRPT US Equity","ARDR_STK_OPT_VALN_RFR_PCT_LO","FQ3 2022","FQ3 2022","Currency=USD","Period=FQ","BEST_FPERIOD_OVERRIDE=FQ","FILING_STATUS=MR","Sort=A","Dates=H","DateFormat=P","Fill=—","Direction=H","UseDPDF=Y")</f>
        <v>—</v>
      </c>
      <c r="S169" s="14">
        <f>_xll.BDH("SRPT US Equity","ARDR_STK_OPT_VALN_RFR_PCT_LO","FQ4 2022","FQ4 2022","Currency=USD","Period=FQ","BEST_FPERIOD_OVERRIDE=FQ","FILING_STATUS=MR","Sort=A","Dates=H","DateFormat=P","Fill=—","Direction=H","UseDPDF=Y")</f>
        <v>1.6</v>
      </c>
      <c r="T169" s="14" t="str">
        <f>_xll.BDH("SRPT US Equity","ARDR_STK_OPT_VALN_RFR_PCT_LO","FQ1 2023","FQ1 2023","Currency=USD","Period=FQ","BEST_FPERIOD_OVERRIDE=FQ","FILING_STATUS=MR","Sort=A","Dates=H","DateFormat=P","Fill=—","Direction=H","UseDPDF=Y")</f>
        <v>—</v>
      </c>
      <c r="U169" s="14" t="str">
        <f>_xll.BDH("SRPT US Equity","ARDR_STK_OPT_VALN_RFR_PCT_LO","FQ2 2023","FQ2 2023","Currency=USD","Period=FQ","BEST_FPERIOD_OVERRIDE=FQ","FILING_STATUS=MR","Sort=A","Dates=H","DateFormat=P","Fill=—","Direction=H","UseDPDF=Y")</f>
        <v>—</v>
      </c>
      <c r="V169" s="14" t="str">
        <f>_xll.BDH("SRPT US Equity","ARDR_STK_OPT_VALN_RFR_PCT_LO","FQ3 2023","FQ3 2023","Currency=USD","Period=FQ","BEST_FPERIOD_OVERRIDE=FQ","FILING_STATUS=MR","Sort=A","Dates=H","DateFormat=P","Fill=—","Direction=H","UseDPDF=Y")</f>
        <v>—</v>
      </c>
      <c r="W169" s="14">
        <f>_xll.BDH("SRPT US Equity","ARDR_STK_OPT_VALN_RFR_PCT_LO","FQ4 2023","FQ4 2023","Currency=USD","Period=FQ","BEST_FPERIOD_OVERRIDE=FQ","FILING_STATUS=MR","Sort=A","Dates=H","DateFormat=P","Fill=—","Direction=H","UseDPDF=Y")</f>
        <v>3.5</v>
      </c>
      <c r="X169" s="14" t="str">
        <f>_xll.BDH("SRPT US Equity","ARDR_STK_OPT_VALN_RFR_PCT_LO","FQ1 2024","FQ1 2024","Currency=USD","Period=FQ","BEST_FPERIOD_OVERRIDE=FQ","FILING_STATUS=MR","Sort=A","Dates=H","DateFormat=P","Fill=—","Direction=H","UseDPDF=Y")</f>
        <v>—</v>
      </c>
      <c r="Y169" s="14" t="str">
        <f>_xll.BDH("SRPT US Equity","ARDR_STK_OPT_VALN_RFR_PCT_LO","FQ2 2024","FQ2 2024","Currency=USD","Period=FQ","BEST_FPERIOD_OVERRIDE=FQ","FILING_STATUS=MR","Sort=A","Dates=H","DateFormat=P","Fill=—","Direction=H","UseDPDF=Y")</f>
        <v>—</v>
      </c>
      <c r="Z169" s="14" t="str">
        <f>_xll.BDH("SRPT US Equity","ARDR_STK_OPT_VALN_RFR_PCT_LO","FQ3 2024","FQ3 2024","Currency=USD","Period=FQ","BEST_FPERIOD_OVERRIDE=FQ","FILING_STATUS=MR","Sort=A","Dates=H","DateFormat=P","Fill=—","Direction=H","UseDPDF=Y")</f>
        <v>—</v>
      </c>
      <c r="AA169" s="14">
        <f>_xll.BDH("SRPT US Equity","ARDR_STK_OPT_VALN_RFR_PCT_LO","FQ4 2024","FQ4 2024","Currency=USD","Period=FQ","BEST_FPERIOD_OVERRIDE=FQ","FILING_STATUS=MR","Sort=A","Dates=H","DateFormat=P","Fill=—","Direction=H","UseDPDF=Y")</f>
        <v>3.5</v>
      </c>
    </row>
    <row r="170" spans="1:27" x14ac:dyDescent="0.25">
      <c r="A170" s="10" t="s">
        <v>1139</v>
      </c>
      <c r="B170" s="10" t="s">
        <v>1140</v>
      </c>
      <c r="C170" s="14">
        <f>_xll.BDH("SRPT US Equity","ARDR_STK_OPT_VALN_RFR_PCT_HI","FQ4 2018","FQ4 2018","Currency=USD","Period=FQ","BEST_FPERIOD_OVERRIDE=FQ","FILING_STATUS=MR","Sort=A","Dates=H","DateFormat=P","Fill=—","Direction=H","UseDPDF=Y")</f>
        <v>3</v>
      </c>
      <c r="D170" s="14" t="str">
        <f>_xll.BDH("SRPT US Equity","ARDR_STK_OPT_VALN_RFR_PCT_HI","FQ1 2019","FQ1 2019","Currency=USD","Period=FQ","BEST_FPERIOD_OVERRIDE=FQ","FILING_STATUS=MR","Sort=A","Dates=H","DateFormat=P","Fill=—","Direction=H","UseDPDF=Y")</f>
        <v>—</v>
      </c>
      <c r="E170" s="14" t="str">
        <f>_xll.BDH("SRPT US Equity","ARDR_STK_OPT_VALN_RFR_PCT_HI","FQ2 2019","FQ2 2019","Currency=USD","Period=FQ","BEST_FPERIOD_OVERRIDE=FQ","FILING_STATUS=MR","Sort=A","Dates=H","DateFormat=P","Fill=—","Direction=H","UseDPDF=Y")</f>
        <v>—</v>
      </c>
      <c r="F170" s="14" t="str">
        <f>_xll.BDH("SRPT US Equity","ARDR_STK_OPT_VALN_RFR_PCT_HI","FQ3 2019","FQ3 2019","Currency=USD","Period=FQ","BEST_FPERIOD_OVERRIDE=FQ","FILING_STATUS=MR","Sort=A","Dates=H","DateFormat=P","Fill=—","Direction=H","UseDPDF=Y")</f>
        <v>—</v>
      </c>
      <c r="G170" s="14">
        <f>_xll.BDH("SRPT US Equity","ARDR_STK_OPT_VALN_RFR_PCT_HI","FQ4 2019","FQ4 2019","Currency=USD","Period=FQ","BEST_FPERIOD_OVERRIDE=FQ","FILING_STATUS=MR","Sort=A","Dates=H","DateFormat=P","Fill=—","Direction=H","UseDPDF=Y")</f>
        <v>2.5</v>
      </c>
      <c r="H170" s="14" t="str">
        <f>_xll.BDH("SRPT US Equity","ARDR_STK_OPT_VALN_RFR_PCT_HI","FQ1 2020","FQ1 2020","Currency=USD","Period=FQ","BEST_FPERIOD_OVERRIDE=FQ","FILING_STATUS=MR","Sort=A","Dates=H","DateFormat=P","Fill=—","Direction=H","UseDPDF=Y")</f>
        <v>—</v>
      </c>
      <c r="I170" s="14" t="str">
        <f>_xll.BDH("SRPT US Equity","ARDR_STK_OPT_VALN_RFR_PCT_HI","FQ2 2020","FQ2 2020","Currency=USD","Period=FQ","BEST_FPERIOD_OVERRIDE=FQ","FILING_STATUS=MR","Sort=A","Dates=H","DateFormat=P","Fill=—","Direction=H","UseDPDF=Y")</f>
        <v>—</v>
      </c>
      <c r="J170" s="14" t="str">
        <f>_xll.BDH("SRPT US Equity","ARDR_STK_OPT_VALN_RFR_PCT_HI","FQ3 2020","FQ3 2020","Currency=USD","Period=FQ","BEST_FPERIOD_OVERRIDE=FQ","FILING_STATUS=MR","Sort=A","Dates=H","DateFormat=P","Fill=—","Direction=H","UseDPDF=Y")</f>
        <v>—</v>
      </c>
      <c r="K170" s="14">
        <f>_xll.BDH("SRPT US Equity","ARDR_STK_OPT_VALN_RFR_PCT_HI","FQ4 2020","FQ4 2020","Currency=USD","Period=FQ","BEST_FPERIOD_OVERRIDE=FQ","FILING_STATUS=MR","Sort=A","Dates=H","DateFormat=P","Fill=—","Direction=H","UseDPDF=Y")</f>
        <v>1.3</v>
      </c>
      <c r="L170" s="14" t="str">
        <f>_xll.BDH("SRPT US Equity","ARDR_STK_OPT_VALN_RFR_PCT_HI","FQ1 2021","FQ1 2021","Currency=USD","Period=FQ","BEST_FPERIOD_OVERRIDE=FQ","FILING_STATUS=MR","Sort=A","Dates=H","DateFormat=P","Fill=—","Direction=H","UseDPDF=Y")</f>
        <v>—</v>
      </c>
      <c r="M170" s="14" t="str">
        <f>_xll.BDH("SRPT US Equity","ARDR_STK_OPT_VALN_RFR_PCT_HI","FQ2 2021","FQ2 2021","Currency=USD","Period=FQ","BEST_FPERIOD_OVERRIDE=FQ","FILING_STATUS=MR","Sort=A","Dates=H","DateFormat=P","Fill=—","Direction=H","UseDPDF=Y")</f>
        <v>—</v>
      </c>
      <c r="N170" s="14" t="str">
        <f>_xll.BDH("SRPT US Equity","ARDR_STK_OPT_VALN_RFR_PCT_HI","FQ3 2021","FQ3 2021","Currency=USD","Period=FQ","BEST_FPERIOD_OVERRIDE=FQ","FILING_STATUS=MR","Sort=A","Dates=H","DateFormat=P","Fill=—","Direction=H","UseDPDF=Y")</f>
        <v>—</v>
      </c>
      <c r="O170" s="14">
        <f>_xll.BDH("SRPT US Equity","ARDR_STK_OPT_VALN_RFR_PCT_HI","FQ4 2021","FQ4 2021","Currency=USD","Period=FQ","BEST_FPERIOD_OVERRIDE=FQ","FILING_STATUS=MR","Sort=A","Dates=H","DateFormat=P","Fill=—","Direction=H","UseDPDF=Y")</f>
        <v>1.3</v>
      </c>
      <c r="P170" s="14" t="str">
        <f>_xll.BDH("SRPT US Equity","ARDR_STK_OPT_VALN_RFR_PCT_HI","FQ1 2022","FQ1 2022","Currency=USD","Period=FQ","BEST_FPERIOD_OVERRIDE=FQ","FILING_STATUS=MR","Sort=A","Dates=H","DateFormat=P","Fill=—","Direction=H","UseDPDF=Y")</f>
        <v>—</v>
      </c>
      <c r="Q170" s="14" t="str">
        <f>_xll.BDH("SRPT US Equity","ARDR_STK_OPT_VALN_RFR_PCT_HI","FQ2 2022","FQ2 2022","Currency=USD","Period=FQ","BEST_FPERIOD_OVERRIDE=FQ","FILING_STATUS=MR","Sort=A","Dates=H","DateFormat=P","Fill=—","Direction=H","UseDPDF=Y")</f>
        <v>—</v>
      </c>
      <c r="R170" s="14" t="str">
        <f>_xll.BDH("SRPT US Equity","ARDR_STK_OPT_VALN_RFR_PCT_HI","FQ3 2022","FQ3 2022","Currency=USD","Period=FQ","BEST_FPERIOD_OVERRIDE=FQ","FILING_STATUS=MR","Sort=A","Dates=H","DateFormat=P","Fill=—","Direction=H","UseDPDF=Y")</f>
        <v>—</v>
      </c>
      <c r="S170" s="14">
        <f>_xll.BDH("SRPT US Equity","ARDR_STK_OPT_VALN_RFR_PCT_HI","FQ4 2022","FQ4 2022","Currency=USD","Period=FQ","BEST_FPERIOD_OVERRIDE=FQ","FILING_STATUS=MR","Sort=A","Dates=H","DateFormat=P","Fill=—","Direction=H","UseDPDF=Y")</f>
        <v>4.2</v>
      </c>
      <c r="T170" s="14" t="str">
        <f>_xll.BDH("SRPT US Equity","ARDR_STK_OPT_VALN_RFR_PCT_HI","FQ1 2023","FQ1 2023","Currency=USD","Period=FQ","BEST_FPERIOD_OVERRIDE=FQ","FILING_STATUS=MR","Sort=A","Dates=H","DateFormat=P","Fill=—","Direction=H","UseDPDF=Y")</f>
        <v>—</v>
      </c>
      <c r="U170" s="14" t="str">
        <f>_xll.BDH("SRPT US Equity","ARDR_STK_OPT_VALN_RFR_PCT_HI","FQ2 2023","FQ2 2023","Currency=USD","Period=FQ","BEST_FPERIOD_OVERRIDE=FQ","FILING_STATUS=MR","Sort=A","Dates=H","DateFormat=P","Fill=—","Direction=H","UseDPDF=Y")</f>
        <v>—</v>
      </c>
      <c r="V170" s="14" t="str">
        <f>_xll.BDH("SRPT US Equity","ARDR_STK_OPT_VALN_RFR_PCT_HI","FQ3 2023","FQ3 2023","Currency=USD","Period=FQ","BEST_FPERIOD_OVERRIDE=FQ","FILING_STATUS=MR","Sort=A","Dates=H","DateFormat=P","Fill=—","Direction=H","UseDPDF=Y")</f>
        <v>—</v>
      </c>
      <c r="W170" s="14">
        <f>_xll.BDH("SRPT US Equity","ARDR_STK_OPT_VALN_RFR_PCT_HI","FQ4 2023","FQ4 2023","Currency=USD","Period=FQ","BEST_FPERIOD_OVERRIDE=FQ","FILING_STATUS=MR","Sort=A","Dates=H","DateFormat=P","Fill=—","Direction=H","UseDPDF=Y")</f>
        <v>4.9000000000000004</v>
      </c>
      <c r="X170" s="14" t="str">
        <f>_xll.BDH("SRPT US Equity","ARDR_STK_OPT_VALN_RFR_PCT_HI","FQ1 2024","FQ1 2024","Currency=USD","Period=FQ","BEST_FPERIOD_OVERRIDE=FQ","FILING_STATUS=MR","Sort=A","Dates=H","DateFormat=P","Fill=—","Direction=H","UseDPDF=Y")</f>
        <v>—</v>
      </c>
      <c r="Y170" s="14" t="str">
        <f>_xll.BDH("SRPT US Equity","ARDR_STK_OPT_VALN_RFR_PCT_HI","FQ2 2024","FQ2 2024","Currency=USD","Period=FQ","BEST_FPERIOD_OVERRIDE=FQ","FILING_STATUS=MR","Sort=A","Dates=H","DateFormat=P","Fill=—","Direction=H","UseDPDF=Y")</f>
        <v>—</v>
      </c>
      <c r="Z170" s="14" t="str">
        <f>_xll.BDH("SRPT US Equity","ARDR_STK_OPT_VALN_RFR_PCT_HI","FQ3 2024","FQ3 2024","Currency=USD","Period=FQ","BEST_FPERIOD_OVERRIDE=FQ","FILING_STATUS=MR","Sort=A","Dates=H","DateFormat=P","Fill=—","Direction=H","UseDPDF=Y")</f>
        <v>—</v>
      </c>
      <c r="AA170" s="14">
        <f>_xll.BDH("SRPT US Equity","ARDR_STK_OPT_VALN_RFR_PCT_HI","FQ4 2024","FQ4 2024","Currency=USD","Period=FQ","BEST_FPERIOD_OVERRIDE=FQ","FILING_STATUS=MR","Sort=A","Dates=H","DateFormat=P","Fill=—","Direction=H","UseDPDF=Y")</f>
        <v>4.4000000000000004</v>
      </c>
    </row>
    <row r="171" spans="1:27" x14ac:dyDescent="0.25">
      <c r="A171" s="10" t="s">
        <v>1141</v>
      </c>
      <c r="B171" s="10" t="s">
        <v>1142</v>
      </c>
      <c r="C171" s="14">
        <f>_xll.BDH("SRPT US Equity","ARDR_STK_OPT_VALN_EXPCTD_LF_Y_LO","FQ4 2018","FQ4 2018","Currency=USD","Period=FQ","BEST_FPERIOD_OVERRIDE=FQ","FILING_STATUS=MR","Sort=A","Dates=H","DateFormat=P","Fill=—","Direction=H","UseDPDF=Y")</f>
        <v>5.0599999999999996</v>
      </c>
      <c r="D171" s="14" t="str">
        <f>_xll.BDH("SRPT US Equity","ARDR_STK_OPT_VALN_EXPCTD_LF_Y_LO","FQ1 2019","FQ1 2019","Currency=USD","Period=FQ","BEST_FPERIOD_OVERRIDE=FQ","FILING_STATUS=MR","Sort=A","Dates=H","DateFormat=P","Fill=—","Direction=H","UseDPDF=Y")</f>
        <v>—</v>
      </c>
      <c r="E171" s="14" t="str">
        <f>_xll.BDH("SRPT US Equity","ARDR_STK_OPT_VALN_EXPCTD_LF_Y_LO","FQ2 2019","FQ2 2019","Currency=USD","Period=FQ","BEST_FPERIOD_OVERRIDE=FQ","FILING_STATUS=MR","Sort=A","Dates=H","DateFormat=P","Fill=—","Direction=H","UseDPDF=Y")</f>
        <v>—</v>
      </c>
      <c r="F171" s="14" t="str">
        <f>_xll.BDH("SRPT US Equity","ARDR_STK_OPT_VALN_EXPCTD_LF_Y_LO","FQ3 2019","FQ3 2019","Currency=USD","Period=FQ","BEST_FPERIOD_OVERRIDE=FQ","FILING_STATUS=MR","Sort=A","Dates=H","DateFormat=P","Fill=—","Direction=H","UseDPDF=Y")</f>
        <v>—</v>
      </c>
      <c r="G171" s="14" t="str">
        <f>_xll.BDH("SRPT US Equity","ARDR_STK_OPT_VALN_EXPCTD_LF_Y_LO","FQ4 2019","FQ4 2019","Currency=USD","Period=FQ","BEST_FPERIOD_OVERRIDE=FQ","FILING_STATUS=MR","Sort=A","Dates=H","DateFormat=P","Fill=—","Direction=H","UseDPDF=Y")</f>
        <v>—</v>
      </c>
      <c r="H171" s="14" t="str">
        <f>_xll.BDH("SRPT US Equity","ARDR_STK_OPT_VALN_EXPCTD_LF_Y_LO","FQ1 2020","FQ1 2020","Currency=USD","Period=FQ","BEST_FPERIOD_OVERRIDE=FQ","FILING_STATUS=MR","Sort=A","Dates=H","DateFormat=P","Fill=—","Direction=H","UseDPDF=Y")</f>
        <v>—</v>
      </c>
      <c r="I171" s="14" t="str">
        <f>_xll.BDH("SRPT US Equity","ARDR_STK_OPT_VALN_EXPCTD_LF_Y_LO","FQ2 2020","FQ2 2020","Currency=USD","Period=FQ","BEST_FPERIOD_OVERRIDE=FQ","FILING_STATUS=MR","Sort=A","Dates=H","DateFormat=P","Fill=—","Direction=H","UseDPDF=Y")</f>
        <v>—</v>
      </c>
      <c r="J171" s="14" t="str">
        <f>_xll.BDH("SRPT US Equity","ARDR_STK_OPT_VALN_EXPCTD_LF_Y_LO","FQ3 2020","FQ3 2020","Currency=USD","Period=FQ","BEST_FPERIOD_OVERRIDE=FQ","FILING_STATUS=MR","Sort=A","Dates=H","DateFormat=P","Fill=—","Direction=H","UseDPDF=Y")</f>
        <v>—</v>
      </c>
      <c r="K171" s="14" t="str">
        <f>_xll.BDH("SRPT US Equity","ARDR_STK_OPT_VALN_EXPCTD_LF_Y_LO","FQ4 2020","FQ4 2020","Currency=USD","Period=FQ","BEST_FPERIOD_OVERRIDE=FQ","FILING_STATUS=MR","Sort=A","Dates=H","DateFormat=P","Fill=—","Direction=H","UseDPDF=Y")</f>
        <v>—</v>
      </c>
      <c r="L171" s="14" t="str">
        <f>_xll.BDH("SRPT US Equity","ARDR_STK_OPT_VALN_EXPCTD_LF_Y_LO","FQ1 2021","FQ1 2021","Currency=USD","Period=FQ","BEST_FPERIOD_OVERRIDE=FQ","FILING_STATUS=MR","Sort=A","Dates=H","DateFormat=P","Fill=—","Direction=H","UseDPDF=Y")</f>
        <v>—</v>
      </c>
      <c r="M171" s="14" t="str">
        <f>_xll.BDH("SRPT US Equity","ARDR_STK_OPT_VALN_EXPCTD_LF_Y_LO","FQ2 2021","FQ2 2021","Currency=USD","Period=FQ","BEST_FPERIOD_OVERRIDE=FQ","FILING_STATUS=MR","Sort=A","Dates=H","DateFormat=P","Fill=—","Direction=H","UseDPDF=Y")</f>
        <v>—</v>
      </c>
      <c r="N171" s="14" t="str">
        <f>_xll.BDH("SRPT US Equity","ARDR_STK_OPT_VALN_EXPCTD_LF_Y_LO","FQ3 2021","FQ3 2021","Currency=USD","Period=FQ","BEST_FPERIOD_OVERRIDE=FQ","FILING_STATUS=MR","Sort=A","Dates=H","DateFormat=P","Fill=—","Direction=H","UseDPDF=Y")</f>
        <v>—</v>
      </c>
      <c r="O171" s="14" t="str">
        <f>_xll.BDH("SRPT US Equity","ARDR_STK_OPT_VALN_EXPCTD_LF_Y_LO","FQ4 2021","FQ4 2021","Currency=USD","Period=FQ","BEST_FPERIOD_OVERRIDE=FQ","FILING_STATUS=MR","Sort=A","Dates=H","DateFormat=P","Fill=—","Direction=H","UseDPDF=Y")</f>
        <v>—</v>
      </c>
      <c r="P171" s="14" t="str">
        <f>_xll.BDH("SRPT US Equity","ARDR_STK_OPT_VALN_EXPCTD_LF_Y_LO","FQ1 2022","FQ1 2022","Currency=USD","Period=FQ","BEST_FPERIOD_OVERRIDE=FQ","FILING_STATUS=MR","Sort=A","Dates=H","DateFormat=P","Fill=—","Direction=H","UseDPDF=Y")</f>
        <v>—</v>
      </c>
      <c r="Q171" s="14" t="str">
        <f>_xll.BDH("SRPT US Equity","ARDR_STK_OPT_VALN_EXPCTD_LF_Y_LO","FQ2 2022","FQ2 2022","Currency=USD","Period=FQ","BEST_FPERIOD_OVERRIDE=FQ","FILING_STATUS=MR","Sort=A","Dates=H","DateFormat=P","Fill=—","Direction=H","UseDPDF=Y")</f>
        <v>—</v>
      </c>
      <c r="R171" s="14" t="str">
        <f>_xll.BDH("SRPT US Equity","ARDR_STK_OPT_VALN_EXPCTD_LF_Y_LO","FQ3 2022","FQ3 2022","Currency=USD","Period=FQ","BEST_FPERIOD_OVERRIDE=FQ","FILING_STATUS=MR","Sort=A","Dates=H","DateFormat=P","Fill=—","Direction=H","UseDPDF=Y")</f>
        <v>—</v>
      </c>
      <c r="S171" s="14" t="str">
        <f>_xll.BDH("SRPT US Equity","ARDR_STK_OPT_VALN_EXPCTD_LF_Y_LO","FQ4 2022","FQ4 2022","Currency=USD","Period=FQ","BEST_FPERIOD_OVERRIDE=FQ","FILING_STATUS=MR","Sort=A","Dates=H","DateFormat=P","Fill=—","Direction=H","UseDPDF=Y")</f>
        <v>—</v>
      </c>
      <c r="T171" s="14" t="str">
        <f>_xll.BDH("SRPT US Equity","ARDR_STK_OPT_VALN_EXPCTD_LF_Y_LO","FQ1 2023","FQ1 2023","Currency=USD","Period=FQ","BEST_FPERIOD_OVERRIDE=FQ","FILING_STATUS=MR","Sort=A","Dates=H","DateFormat=P","Fill=—","Direction=H","UseDPDF=Y")</f>
        <v>—</v>
      </c>
      <c r="U171" s="14" t="str">
        <f>_xll.BDH("SRPT US Equity","ARDR_STK_OPT_VALN_EXPCTD_LF_Y_LO","FQ2 2023","FQ2 2023","Currency=USD","Period=FQ","BEST_FPERIOD_OVERRIDE=FQ","FILING_STATUS=MR","Sort=A","Dates=H","DateFormat=P","Fill=—","Direction=H","UseDPDF=Y")</f>
        <v>—</v>
      </c>
      <c r="V171" s="14" t="str">
        <f>_xll.BDH("SRPT US Equity","ARDR_STK_OPT_VALN_EXPCTD_LF_Y_LO","FQ3 2023","FQ3 2023","Currency=USD","Period=FQ","BEST_FPERIOD_OVERRIDE=FQ","FILING_STATUS=MR","Sort=A","Dates=H","DateFormat=P","Fill=—","Direction=H","UseDPDF=Y")</f>
        <v>—</v>
      </c>
      <c r="W171" s="14" t="str">
        <f>_xll.BDH("SRPT US Equity","ARDR_STK_OPT_VALN_EXPCTD_LF_Y_LO","FQ4 2023","FQ4 2023","Currency=USD","Period=FQ","BEST_FPERIOD_OVERRIDE=FQ","FILING_STATUS=MR","Sort=A","Dates=H","DateFormat=P","Fill=—","Direction=H","UseDPDF=Y")</f>
        <v>—</v>
      </c>
      <c r="X171" s="14" t="str">
        <f>_xll.BDH("SRPT US Equity","ARDR_STK_OPT_VALN_EXPCTD_LF_Y_LO","FQ1 2024","FQ1 2024","Currency=USD","Period=FQ","BEST_FPERIOD_OVERRIDE=FQ","FILING_STATUS=MR","Sort=A","Dates=H","DateFormat=P","Fill=—","Direction=H","UseDPDF=Y")</f>
        <v>—</v>
      </c>
      <c r="Y171" s="14" t="str">
        <f>_xll.BDH("SRPT US Equity","ARDR_STK_OPT_VALN_EXPCTD_LF_Y_LO","FQ2 2024","FQ2 2024","Currency=USD","Period=FQ","BEST_FPERIOD_OVERRIDE=FQ","FILING_STATUS=MR","Sort=A","Dates=H","DateFormat=P","Fill=—","Direction=H","UseDPDF=Y")</f>
        <v>—</v>
      </c>
      <c r="Z171" s="14" t="str">
        <f>_xll.BDH("SRPT US Equity","ARDR_STK_OPT_VALN_EXPCTD_LF_Y_LO","FQ3 2024","FQ3 2024","Currency=USD","Period=FQ","BEST_FPERIOD_OVERRIDE=FQ","FILING_STATUS=MR","Sort=A","Dates=H","DateFormat=P","Fill=—","Direction=H","UseDPDF=Y")</f>
        <v>—</v>
      </c>
      <c r="AA171" s="14" t="str">
        <f>_xll.BDH("SRPT US Equity","ARDR_STK_OPT_VALN_EXPCTD_LF_Y_LO","FQ4 2024","FQ4 2024","Currency=USD","Period=FQ","BEST_FPERIOD_OVERRIDE=FQ","FILING_STATUS=MR","Sort=A","Dates=H","DateFormat=P","Fill=—","Direction=H","UseDPDF=Y")</f>
        <v>—</v>
      </c>
    </row>
    <row r="172" spans="1:27" x14ac:dyDescent="0.25">
      <c r="A172" s="10" t="s">
        <v>1143</v>
      </c>
      <c r="B172" s="10" t="s">
        <v>1144</v>
      </c>
      <c r="C172" s="14">
        <f>_xll.BDH("SRPT US Equity","ARDR_STK_OPT_VALN_EXP_VOL_PCT_LO","FQ4 2018","FQ4 2018","Currency=USD","Period=FQ","BEST_FPERIOD_OVERRIDE=FQ","FILING_STATUS=MR","Sort=A","Dates=H","DateFormat=P","Fill=—","Direction=H","UseDPDF=Y")</f>
        <v>52.4</v>
      </c>
      <c r="D172" s="14" t="str">
        <f>_xll.BDH("SRPT US Equity","ARDR_STK_OPT_VALN_EXP_VOL_PCT_LO","FQ1 2019","FQ1 2019","Currency=USD","Period=FQ","BEST_FPERIOD_OVERRIDE=FQ","FILING_STATUS=MR","Sort=A","Dates=H","DateFormat=P","Fill=—","Direction=H","UseDPDF=Y")</f>
        <v>—</v>
      </c>
      <c r="E172" s="14" t="str">
        <f>_xll.BDH("SRPT US Equity","ARDR_STK_OPT_VALN_EXP_VOL_PCT_LO","FQ2 2019","FQ2 2019","Currency=USD","Period=FQ","BEST_FPERIOD_OVERRIDE=FQ","FILING_STATUS=MR","Sort=A","Dates=H","DateFormat=P","Fill=—","Direction=H","UseDPDF=Y")</f>
        <v>—</v>
      </c>
      <c r="F172" s="14" t="str">
        <f>_xll.BDH("SRPT US Equity","ARDR_STK_OPT_VALN_EXP_VOL_PCT_LO","FQ3 2019","FQ3 2019","Currency=USD","Period=FQ","BEST_FPERIOD_OVERRIDE=FQ","FILING_STATUS=MR","Sort=A","Dates=H","DateFormat=P","Fill=—","Direction=H","UseDPDF=Y")</f>
        <v>—</v>
      </c>
      <c r="G172" s="14">
        <f>_xll.BDH("SRPT US Equity","ARDR_STK_OPT_VALN_EXP_VOL_PCT_LO","FQ4 2019","FQ4 2019","Currency=USD","Period=FQ","BEST_FPERIOD_OVERRIDE=FQ","FILING_STATUS=MR","Sort=A","Dates=H","DateFormat=P","Fill=—","Direction=H","UseDPDF=Y")</f>
        <v>52.5</v>
      </c>
      <c r="H172" s="14" t="str">
        <f>_xll.BDH("SRPT US Equity","ARDR_STK_OPT_VALN_EXP_VOL_PCT_LO","FQ1 2020","FQ1 2020","Currency=USD","Period=FQ","BEST_FPERIOD_OVERRIDE=FQ","FILING_STATUS=MR","Sort=A","Dates=H","DateFormat=P","Fill=—","Direction=H","UseDPDF=Y")</f>
        <v>—</v>
      </c>
      <c r="I172" s="14" t="str">
        <f>_xll.BDH("SRPT US Equity","ARDR_STK_OPT_VALN_EXP_VOL_PCT_LO","FQ2 2020","FQ2 2020","Currency=USD","Period=FQ","BEST_FPERIOD_OVERRIDE=FQ","FILING_STATUS=MR","Sort=A","Dates=H","DateFormat=P","Fill=—","Direction=H","UseDPDF=Y")</f>
        <v>—</v>
      </c>
      <c r="J172" s="14" t="str">
        <f>_xll.BDH("SRPT US Equity","ARDR_STK_OPT_VALN_EXP_VOL_PCT_LO","FQ3 2020","FQ3 2020","Currency=USD","Period=FQ","BEST_FPERIOD_OVERRIDE=FQ","FILING_STATUS=MR","Sort=A","Dates=H","DateFormat=P","Fill=—","Direction=H","UseDPDF=Y")</f>
        <v>—</v>
      </c>
      <c r="K172" s="14">
        <f>_xll.BDH("SRPT US Equity","ARDR_STK_OPT_VALN_EXP_VOL_PCT_LO","FQ4 2020","FQ4 2020","Currency=USD","Period=FQ","BEST_FPERIOD_OVERRIDE=FQ","FILING_STATUS=MR","Sort=A","Dates=H","DateFormat=P","Fill=—","Direction=H","UseDPDF=Y")</f>
        <v>57.3</v>
      </c>
      <c r="L172" s="14" t="str">
        <f>_xll.BDH("SRPT US Equity","ARDR_STK_OPT_VALN_EXP_VOL_PCT_LO","FQ1 2021","FQ1 2021","Currency=USD","Period=FQ","BEST_FPERIOD_OVERRIDE=FQ","FILING_STATUS=MR","Sort=A","Dates=H","DateFormat=P","Fill=—","Direction=H","UseDPDF=Y")</f>
        <v>—</v>
      </c>
      <c r="M172" s="14" t="str">
        <f>_xll.BDH("SRPT US Equity","ARDR_STK_OPT_VALN_EXP_VOL_PCT_LO","FQ2 2021","FQ2 2021","Currency=USD","Period=FQ","BEST_FPERIOD_OVERRIDE=FQ","FILING_STATUS=MR","Sort=A","Dates=H","DateFormat=P","Fill=—","Direction=H","UseDPDF=Y")</f>
        <v>—</v>
      </c>
      <c r="N172" s="14" t="str">
        <f>_xll.BDH("SRPT US Equity","ARDR_STK_OPT_VALN_EXP_VOL_PCT_LO","FQ3 2021","FQ3 2021","Currency=USD","Period=FQ","BEST_FPERIOD_OVERRIDE=FQ","FILING_STATUS=MR","Sort=A","Dates=H","DateFormat=P","Fill=—","Direction=H","UseDPDF=Y")</f>
        <v>—</v>
      </c>
      <c r="O172" s="14">
        <f>_xll.BDH("SRPT US Equity","ARDR_STK_OPT_VALN_EXP_VOL_PCT_LO","FQ4 2021","FQ4 2021","Currency=USD","Period=FQ","BEST_FPERIOD_OVERRIDE=FQ","FILING_STATUS=MR","Sort=A","Dates=H","DateFormat=P","Fill=—","Direction=H","UseDPDF=Y")</f>
        <v>60.1</v>
      </c>
      <c r="P172" s="14" t="str">
        <f>_xll.BDH("SRPT US Equity","ARDR_STK_OPT_VALN_EXP_VOL_PCT_LO","FQ1 2022","FQ1 2022","Currency=USD","Period=FQ","BEST_FPERIOD_OVERRIDE=FQ","FILING_STATUS=MR","Sort=A","Dates=H","DateFormat=P","Fill=—","Direction=H","UseDPDF=Y")</f>
        <v>—</v>
      </c>
      <c r="Q172" s="14" t="str">
        <f>_xll.BDH("SRPT US Equity","ARDR_STK_OPT_VALN_EXP_VOL_PCT_LO","FQ2 2022","FQ2 2022","Currency=USD","Period=FQ","BEST_FPERIOD_OVERRIDE=FQ","FILING_STATUS=MR","Sort=A","Dates=H","DateFormat=P","Fill=—","Direction=H","UseDPDF=Y")</f>
        <v>—</v>
      </c>
      <c r="R172" s="14" t="str">
        <f>_xll.BDH("SRPT US Equity","ARDR_STK_OPT_VALN_EXP_VOL_PCT_LO","FQ3 2022","FQ3 2022","Currency=USD","Period=FQ","BEST_FPERIOD_OVERRIDE=FQ","FILING_STATUS=MR","Sort=A","Dates=H","DateFormat=P","Fill=—","Direction=H","UseDPDF=Y")</f>
        <v>—</v>
      </c>
      <c r="S172" s="14">
        <f>_xll.BDH("SRPT US Equity","ARDR_STK_OPT_VALN_EXP_VOL_PCT_LO","FQ4 2022","FQ4 2022","Currency=USD","Period=FQ","BEST_FPERIOD_OVERRIDE=FQ","FILING_STATUS=MR","Sort=A","Dates=H","DateFormat=P","Fill=—","Direction=H","UseDPDF=Y")</f>
        <v>52.4</v>
      </c>
      <c r="T172" s="14" t="str">
        <f>_xll.BDH("SRPT US Equity","ARDR_STK_OPT_VALN_EXP_VOL_PCT_LO","FQ1 2023","FQ1 2023","Currency=USD","Period=FQ","BEST_FPERIOD_OVERRIDE=FQ","FILING_STATUS=MR","Sort=A","Dates=H","DateFormat=P","Fill=—","Direction=H","UseDPDF=Y")</f>
        <v>—</v>
      </c>
      <c r="U172" s="14" t="str">
        <f>_xll.BDH("SRPT US Equity","ARDR_STK_OPT_VALN_EXP_VOL_PCT_LO","FQ2 2023","FQ2 2023","Currency=USD","Period=FQ","BEST_FPERIOD_OVERRIDE=FQ","FILING_STATUS=MR","Sort=A","Dates=H","DateFormat=P","Fill=—","Direction=H","UseDPDF=Y")</f>
        <v>—</v>
      </c>
      <c r="V172" s="14" t="str">
        <f>_xll.BDH("SRPT US Equity","ARDR_STK_OPT_VALN_EXP_VOL_PCT_LO","FQ3 2023","FQ3 2023","Currency=USD","Period=FQ","BEST_FPERIOD_OVERRIDE=FQ","FILING_STATUS=MR","Sort=A","Dates=H","DateFormat=P","Fill=—","Direction=H","UseDPDF=Y")</f>
        <v>—</v>
      </c>
      <c r="W172" s="14">
        <f>_xll.BDH("SRPT US Equity","ARDR_STK_OPT_VALN_EXP_VOL_PCT_LO","FQ4 2023","FQ4 2023","Currency=USD","Period=FQ","BEST_FPERIOD_OVERRIDE=FQ","FILING_STATUS=MR","Sort=A","Dates=H","DateFormat=P","Fill=—","Direction=H","UseDPDF=Y")</f>
        <v>46.8</v>
      </c>
      <c r="X172" s="14" t="str">
        <f>_xll.BDH("SRPT US Equity","ARDR_STK_OPT_VALN_EXP_VOL_PCT_LO","FQ1 2024","FQ1 2024","Currency=USD","Period=FQ","BEST_FPERIOD_OVERRIDE=FQ","FILING_STATUS=MR","Sort=A","Dates=H","DateFormat=P","Fill=—","Direction=H","UseDPDF=Y")</f>
        <v>—</v>
      </c>
      <c r="Y172" s="14" t="str">
        <f>_xll.BDH("SRPT US Equity","ARDR_STK_OPT_VALN_EXP_VOL_PCT_LO","FQ2 2024","FQ2 2024","Currency=USD","Period=FQ","BEST_FPERIOD_OVERRIDE=FQ","FILING_STATUS=MR","Sort=A","Dates=H","DateFormat=P","Fill=—","Direction=H","UseDPDF=Y")</f>
        <v>—</v>
      </c>
      <c r="Z172" s="14" t="str">
        <f>_xll.BDH("SRPT US Equity","ARDR_STK_OPT_VALN_EXP_VOL_PCT_LO","FQ3 2024","FQ3 2024","Currency=USD","Period=FQ","BEST_FPERIOD_OVERRIDE=FQ","FILING_STATUS=MR","Sort=A","Dates=H","DateFormat=P","Fill=—","Direction=H","UseDPDF=Y")</f>
        <v>—</v>
      </c>
      <c r="AA172" s="14">
        <f>_xll.BDH("SRPT US Equity","ARDR_STK_OPT_VALN_EXP_VOL_PCT_LO","FQ4 2024","FQ4 2024","Currency=USD","Period=FQ","BEST_FPERIOD_OVERRIDE=FQ","FILING_STATUS=MR","Sort=A","Dates=H","DateFormat=P","Fill=—","Direction=H","UseDPDF=Y")</f>
        <v>40.799999999999997</v>
      </c>
    </row>
    <row r="173" spans="1:27" x14ac:dyDescent="0.25">
      <c r="A173" s="10" t="s">
        <v>1145</v>
      </c>
      <c r="B173" s="10" t="s">
        <v>1146</v>
      </c>
      <c r="C173" s="14">
        <f>_xll.BDH("SRPT US Equity","ARDR_STK_OPT_VALN_EXP_VOL_PCT_HI","FQ4 2018","FQ4 2018","Currency=USD","Period=FQ","BEST_FPERIOD_OVERRIDE=FQ","FILING_STATUS=MR","Sort=A","Dates=H","DateFormat=P","Fill=—","Direction=H","UseDPDF=Y")</f>
        <v>60.8</v>
      </c>
      <c r="D173" s="14" t="str">
        <f>_xll.BDH("SRPT US Equity","ARDR_STK_OPT_VALN_EXP_VOL_PCT_HI","FQ1 2019","FQ1 2019","Currency=USD","Period=FQ","BEST_FPERIOD_OVERRIDE=FQ","FILING_STATUS=MR","Sort=A","Dates=H","DateFormat=P","Fill=—","Direction=H","UseDPDF=Y")</f>
        <v>—</v>
      </c>
      <c r="E173" s="14" t="str">
        <f>_xll.BDH("SRPT US Equity","ARDR_STK_OPT_VALN_EXP_VOL_PCT_HI","FQ2 2019","FQ2 2019","Currency=USD","Period=FQ","BEST_FPERIOD_OVERRIDE=FQ","FILING_STATUS=MR","Sort=A","Dates=H","DateFormat=P","Fill=—","Direction=H","UseDPDF=Y")</f>
        <v>—</v>
      </c>
      <c r="F173" s="14" t="str">
        <f>_xll.BDH("SRPT US Equity","ARDR_STK_OPT_VALN_EXP_VOL_PCT_HI","FQ3 2019","FQ3 2019","Currency=USD","Period=FQ","BEST_FPERIOD_OVERRIDE=FQ","FILING_STATUS=MR","Sort=A","Dates=H","DateFormat=P","Fill=—","Direction=H","UseDPDF=Y")</f>
        <v>—</v>
      </c>
      <c r="G173" s="14">
        <f>_xll.BDH("SRPT US Equity","ARDR_STK_OPT_VALN_EXP_VOL_PCT_HI","FQ4 2019","FQ4 2019","Currency=USD","Period=FQ","BEST_FPERIOD_OVERRIDE=FQ","FILING_STATUS=MR","Sort=A","Dates=H","DateFormat=P","Fill=—","Direction=H","UseDPDF=Y")</f>
        <v>68.900000000000006</v>
      </c>
      <c r="H173" s="14" t="str">
        <f>_xll.BDH("SRPT US Equity","ARDR_STK_OPT_VALN_EXP_VOL_PCT_HI","FQ1 2020","FQ1 2020","Currency=USD","Period=FQ","BEST_FPERIOD_OVERRIDE=FQ","FILING_STATUS=MR","Sort=A","Dates=H","DateFormat=P","Fill=—","Direction=H","UseDPDF=Y")</f>
        <v>—</v>
      </c>
      <c r="I173" s="14" t="str">
        <f>_xll.BDH("SRPT US Equity","ARDR_STK_OPT_VALN_EXP_VOL_PCT_HI","FQ2 2020","FQ2 2020","Currency=USD","Period=FQ","BEST_FPERIOD_OVERRIDE=FQ","FILING_STATUS=MR","Sort=A","Dates=H","DateFormat=P","Fill=—","Direction=H","UseDPDF=Y")</f>
        <v>—</v>
      </c>
      <c r="J173" s="14" t="str">
        <f>_xll.BDH("SRPT US Equity","ARDR_STK_OPT_VALN_EXP_VOL_PCT_HI","FQ3 2020","FQ3 2020","Currency=USD","Period=FQ","BEST_FPERIOD_OVERRIDE=FQ","FILING_STATUS=MR","Sort=A","Dates=H","DateFormat=P","Fill=—","Direction=H","UseDPDF=Y")</f>
        <v>—</v>
      </c>
      <c r="K173" s="14">
        <f>_xll.BDH("SRPT US Equity","ARDR_STK_OPT_VALN_EXP_VOL_PCT_HI","FQ4 2020","FQ4 2020","Currency=USD","Period=FQ","BEST_FPERIOD_OVERRIDE=FQ","FILING_STATUS=MR","Sort=A","Dates=H","DateFormat=P","Fill=—","Direction=H","UseDPDF=Y")</f>
        <v>68.2</v>
      </c>
      <c r="L173" s="14" t="str">
        <f>_xll.BDH("SRPT US Equity","ARDR_STK_OPT_VALN_EXP_VOL_PCT_HI","FQ1 2021","FQ1 2021","Currency=USD","Period=FQ","BEST_FPERIOD_OVERRIDE=FQ","FILING_STATUS=MR","Sort=A","Dates=H","DateFormat=P","Fill=—","Direction=H","UseDPDF=Y")</f>
        <v>—</v>
      </c>
      <c r="M173" s="14" t="str">
        <f>_xll.BDH("SRPT US Equity","ARDR_STK_OPT_VALN_EXP_VOL_PCT_HI","FQ2 2021","FQ2 2021","Currency=USD","Period=FQ","BEST_FPERIOD_OVERRIDE=FQ","FILING_STATUS=MR","Sort=A","Dates=H","DateFormat=P","Fill=—","Direction=H","UseDPDF=Y")</f>
        <v>—</v>
      </c>
      <c r="N173" s="14" t="str">
        <f>_xll.BDH("SRPT US Equity","ARDR_STK_OPT_VALN_EXP_VOL_PCT_HI","FQ3 2021","FQ3 2021","Currency=USD","Period=FQ","BEST_FPERIOD_OVERRIDE=FQ","FILING_STATUS=MR","Sort=A","Dates=H","DateFormat=P","Fill=—","Direction=H","UseDPDF=Y")</f>
        <v>—</v>
      </c>
      <c r="O173" s="14">
        <f>_xll.BDH("SRPT US Equity","ARDR_STK_OPT_VALN_EXP_VOL_PCT_HI","FQ4 2021","FQ4 2021","Currency=USD","Period=FQ","BEST_FPERIOD_OVERRIDE=FQ","FILING_STATUS=MR","Sort=A","Dates=H","DateFormat=P","Fill=—","Direction=H","UseDPDF=Y")</f>
        <v>70.8</v>
      </c>
      <c r="P173" s="14" t="str">
        <f>_xll.BDH("SRPT US Equity","ARDR_STK_OPT_VALN_EXP_VOL_PCT_HI","FQ1 2022","FQ1 2022","Currency=USD","Period=FQ","BEST_FPERIOD_OVERRIDE=FQ","FILING_STATUS=MR","Sort=A","Dates=H","DateFormat=P","Fill=—","Direction=H","UseDPDF=Y")</f>
        <v>—</v>
      </c>
      <c r="Q173" s="14" t="str">
        <f>_xll.BDH("SRPT US Equity","ARDR_STK_OPT_VALN_EXP_VOL_PCT_HI","FQ2 2022","FQ2 2022","Currency=USD","Period=FQ","BEST_FPERIOD_OVERRIDE=FQ","FILING_STATUS=MR","Sort=A","Dates=H","DateFormat=P","Fill=—","Direction=H","UseDPDF=Y")</f>
        <v>—</v>
      </c>
      <c r="R173" s="14" t="str">
        <f>_xll.BDH("SRPT US Equity","ARDR_STK_OPT_VALN_EXP_VOL_PCT_HI","FQ3 2022","FQ3 2022","Currency=USD","Period=FQ","BEST_FPERIOD_OVERRIDE=FQ","FILING_STATUS=MR","Sort=A","Dates=H","DateFormat=P","Fill=—","Direction=H","UseDPDF=Y")</f>
        <v>—</v>
      </c>
      <c r="S173" s="14">
        <f>_xll.BDH("SRPT US Equity","ARDR_STK_OPT_VALN_EXP_VOL_PCT_HI","FQ4 2022","FQ4 2022","Currency=USD","Period=FQ","BEST_FPERIOD_OVERRIDE=FQ","FILING_STATUS=MR","Sort=A","Dates=H","DateFormat=P","Fill=—","Direction=H","UseDPDF=Y")</f>
        <v>72.900000000000006</v>
      </c>
      <c r="T173" s="14" t="str">
        <f>_xll.BDH("SRPT US Equity","ARDR_STK_OPT_VALN_EXP_VOL_PCT_HI","FQ1 2023","FQ1 2023","Currency=USD","Period=FQ","BEST_FPERIOD_OVERRIDE=FQ","FILING_STATUS=MR","Sort=A","Dates=H","DateFormat=P","Fill=—","Direction=H","UseDPDF=Y")</f>
        <v>—</v>
      </c>
      <c r="U173" s="14" t="str">
        <f>_xll.BDH("SRPT US Equity","ARDR_STK_OPT_VALN_EXP_VOL_PCT_HI","FQ2 2023","FQ2 2023","Currency=USD","Period=FQ","BEST_FPERIOD_OVERRIDE=FQ","FILING_STATUS=MR","Sort=A","Dates=H","DateFormat=P","Fill=—","Direction=H","UseDPDF=Y")</f>
        <v>—</v>
      </c>
      <c r="V173" s="14" t="str">
        <f>_xll.BDH("SRPT US Equity","ARDR_STK_OPT_VALN_EXP_VOL_PCT_HI","FQ3 2023","FQ3 2023","Currency=USD","Period=FQ","BEST_FPERIOD_OVERRIDE=FQ","FILING_STATUS=MR","Sort=A","Dates=H","DateFormat=P","Fill=—","Direction=H","UseDPDF=Y")</f>
        <v>—</v>
      </c>
      <c r="W173" s="14">
        <f>_xll.BDH("SRPT US Equity","ARDR_STK_OPT_VALN_EXP_VOL_PCT_HI","FQ4 2023","FQ4 2023","Currency=USD","Period=FQ","BEST_FPERIOD_OVERRIDE=FQ","FILING_STATUS=MR","Sort=A","Dates=H","DateFormat=P","Fill=—","Direction=H","UseDPDF=Y")</f>
        <v>63.2</v>
      </c>
      <c r="X173" s="14" t="str">
        <f>_xll.BDH("SRPT US Equity","ARDR_STK_OPT_VALN_EXP_VOL_PCT_HI","FQ1 2024","FQ1 2024","Currency=USD","Period=FQ","BEST_FPERIOD_OVERRIDE=FQ","FILING_STATUS=MR","Sort=A","Dates=H","DateFormat=P","Fill=—","Direction=H","UseDPDF=Y")</f>
        <v>—</v>
      </c>
      <c r="Y173" s="14" t="str">
        <f>_xll.BDH("SRPT US Equity","ARDR_STK_OPT_VALN_EXP_VOL_PCT_HI","FQ2 2024","FQ2 2024","Currency=USD","Period=FQ","BEST_FPERIOD_OVERRIDE=FQ","FILING_STATUS=MR","Sort=A","Dates=H","DateFormat=P","Fill=—","Direction=H","UseDPDF=Y")</f>
        <v>—</v>
      </c>
      <c r="Z173" s="14" t="str">
        <f>_xll.BDH("SRPT US Equity","ARDR_STK_OPT_VALN_EXP_VOL_PCT_HI","FQ3 2024","FQ3 2024","Currency=USD","Period=FQ","BEST_FPERIOD_OVERRIDE=FQ","FILING_STATUS=MR","Sort=A","Dates=H","DateFormat=P","Fill=—","Direction=H","UseDPDF=Y")</f>
        <v>—</v>
      </c>
      <c r="AA173" s="14">
        <f>_xll.BDH("SRPT US Equity","ARDR_STK_OPT_VALN_EXP_VOL_PCT_HI","FQ4 2024","FQ4 2024","Currency=USD","Period=FQ","BEST_FPERIOD_OVERRIDE=FQ","FILING_STATUS=MR","Sort=A","Dates=H","DateFormat=P","Fill=—","Direction=H","UseDPDF=Y")</f>
        <v>53.5</v>
      </c>
    </row>
    <row r="174" spans="1:27" x14ac:dyDescent="0.25">
      <c r="A174" s="10" t="s">
        <v>1147</v>
      </c>
      <c r="B174" s="10" t="s">
        <v>1148</v>
      </c>
      <c r="C174" s="13" t="str">
        <f>_xll.BDH("SRPT US Equity","ARDR_VAL_SHS_REPURCH_FR_REP_PROG","FQ4 2018","FQ4 2018","Currency=USD","Period=FQ","BEST_FPERIOD_OVERRIDE=FQ","FILING_STATUS=MR","SCALING_FORMAT=MLN","Sort=A","Dates=H","DateFormat=P","Fill=—","Direction=H","UseDPDF=Y")</f>
        <v>—</v>
      </c>
      <c r="D174" s="13" t="str">
        <f>_xll.BDH("SRPT US Equity","ARDR_VAL_SHS_REPURCH_FR_REP_PROG","FQ1 2019","FQ1 2019","Currency=USD","Period=FQ","BEST_FPERIOD_OVERRIDE=FQ","FILING_STATUS=MR","SCALING_FORMAT=MLN","Sort=A","Dates=H","DateFormat=P","Fill=—","Direction=H","UseDPDF=Y")</f>
        <v>—</v>
      </c>
      <c r="E174" s="13" t="str">
        <f>_xll.BDH("SRPT US Equity","ARDR_VAL_SHS_REPURCH_FR_REP_PROG","FQ2 2019","FQ2 2019","Currency=USD","Period=FQ","BEST_FPERIOD_OVERRIDE=FQ","FILING_STATUS=MR","SCALING_FORMAT=MLN","Sort=A","Dates=H","DateFormat=P","Fill=—","Direction=H","UseDPDF=Y")</f>
        <v>—</v>
      </c>
      <c r="F174" s="13" t="str">
        <f>_xll.BDH("SRPT US Equity","ARDR_VAL_SHS_REPURCH_FR_REP_PROG","FQ3 2019","FQ3 2019","Currency=USD","Period=FQ","BEST_FPERIOD_OVERRIDE=FQ","FILING_STATUS=MR","SCALING_FORMAT=MLN","Sort=A","Dates=H","DateFormat=P","Fill=—","Direction=H","UseDPDF=Y")</f>
        <v>—</v>
      </c>
      <c r="G174" s="13" t="str">
        <f>_xll.BDH("SRPT US Equity","ARDR_VAL_SHS_REPURCH_FR_REP_PROG","FQ4 2019","FQ4 2019","Currency=USD","Period=FQ","BEST_FPERIOD_OVERRIDE=FQ","FILING_STATUS=MR","SCALING_FORMAT=MLN","Sort=A","Dates=H","DateFormat=P","Fill=—","Direction=H","UseDPDF=Y")</f>
        <v>—</v>
      </c>
      <c r="H174" s="13" t="str">
        <f>_xll.BDH("SRPT US Equity","ARDR_VAL_SHS_REPURCH_FR_REP_PROG","FQ1 2020","FQ1 2020","Currency=USD","Period=FQ","BEST_FPERIOD_OVERRIDE=FQ","FILING_STATUS=MR","SCALING_FORMAT=MLN","Sort=A","Dates=H","DateFormat=P","Fill=—","Direction=H","UseDPDF=Y")</f>
        <v>—</v>
      </c>
      <c r="I174" s="13" t="str">
        <f>_xll.BDH("SRPT US Equity","ARDR_VAL_SHS_REPURCH_FR_REP_PROG","FQ2 2020","FQ2 2020","Currency=USD","Period=FQ","BEST_FPERIOD_OVERRIDE=FQ","FILING_STATUS=MR","SCALING_FORMAT=MLN","Sort=A","Dates=H","DateFormat=P","Fill=—","Direction=H","UseDPDF=Y")</f>
        <v>—</v>
      </c>
      <c r="J174" s="13" t="str">
        <f>_xll.BDH("SRPT US Equity","ARDR_VAL_SHS_REPURCH_FR_REP_PROG","FQ3 2020","FQ3 2020","Currency=USD","Period=FQ","BEST_FPERIOD_OVERRIDE=FQ","FILING_STATUS=MR","SCALING_FORMAT=MLN","Sort=A","Dates=H","DateFormat=P","Fill=—","Direction=H","UseDPDF=Y")</f>
        <v>—</v>
      </c>
      <c r="K174" s="13" t="str">
        <f>_xll.BDH("SRPT US Equity","ARDR_VAL_SHS_REPURCH_FR_REP_PROG","FQ4 2020","FQ4 2020","Currency=USD","Period=FQ","BEST_FPERIOD_OVERRIDE=FQ","FILING_STATUS=MR","SCALING_FORMAT=MLN","Sort=A","Dates=H","DateFormat=P","Fill=—","Direction=H","UseDPDF=Y")</f>
        <v>—</v>
      </c>
      <c r="L174" s="13" t="str">
        <f>_xll.BDH("SRPT US Equity","ARDR_VAL_SHS_REPURCH_FR_REP_PROG","FQ1 2021","FQ1 2021","Currency=USD","Period=FQ","BEST_FPERIOD_OVERRIDE=FQ","FILING_STATUS=MR","SCALING_FORMAT=MLN","Sort=A","Dates=H","DateFormat=P","Fill=—","Direction=H","UseDPDF=Y")</f>
        <v>—</v>
      </c>
      <c r="M174" s="13" t="str">
        <f>_xll.BDH("SRPT US Equity","ARDR_VAL_SHS_REPURCH_FR_REP_PROG","FQ2 2021","FQ2 2021","Currency=USD","Period=FQ","BEST_FPERIOD_OVERRIDE=FQ","FILING_STATUS=MR","SCALING_FORMAT=MLN","Sort=A","Dates=H","DateFormat=P","Fill=—","Direction=H","UseDPDF=Y")</f>
        <v>—</v>
      </c>
      <c r="N174" s="13" t="str">
        <f>_xll.BDH("SRPT US Equity","ARDR_VAL_SHS_REPURCH_FR_REP_PROG","FQ3 2021","FQ3 2021","Currency=USD","Period=FQ","BEST_FPERIOD_OVERRIDE=FQ","FILING_STATUS=MR","SCALING_FORMAT=MLN","Sort=A","Dates=H","DateFormat=P","Fill=—","Direction=H","UseDPDF=Y")</f>
        <v>—</v>
      </c>
      <c r="O174" s="13" t="str">
        <f>_xll.BDH("SRPT US Equity","ARDR_VAL_SHS_REPURCH_FR_REP_PROG","FQ4 2021","FQ4 2021","Currency=USD","Period=FQ","BEST_FPERIOD_OVERRIDE=FQ","FILING_STATUS=MR","SCALING_FORMAT=MLN","Sort=A","Dates=H","DateFormat=P","Fill=—","Direction=H","UseDPDF=Y")</f>
        <v>—</v>
      </c>
      <c r="P174" s="13" t="str">
        <f>_xll.BDH("SRPT US Equity","ARDR_VAL_SHS_REPURCH_FR_REP_PROG","FQ1 2022","FQ1 2022","Currency=USD","Period=FQ","BEST_FPERIOD_OVERRIDE=FQ","FILING_STATUS=MR","SCALING_FORMAT=MLN","Sort=A","Dates=H","DateFormat=P","Fill=—","Direction=H","UseDPDF=Y")</f>
        <v>—</v>
      </c>
      <c r="Q174" s="13" t="str">
        <f>_xll.BDH("SRPT US Equity","ARDR_VAL_SHS_REPURCH_FR_REP_PROG","FQ2 2022","FQ2 2022","Currency=USD","Period=FQ","BEST_FPERIOD_OVERRIDE=FQ","FILING_STATUS=MR","SCALING_FORMAT=MLN","Sort=A","Dates=H","DateFormat=P","Fill=—","Direction=H","UseDPDF=Y")</f>
        <v>—</v>
      </c>
      <c r="R174" s="13">
        <f>_xll.BDH("SRPT US Equity","ARDR_VAL_SHS_REPURCH_FR_REP_PROG","FQ3 2022","FQ3 2022","Currency=USD","Period=FQ","BEST_FPERIOD_OVERRIDE=FQ","FILING_STATUS=MR","SCALING_FORMAT=MLN","Sort=A","Dates=H","DateFormat=P","Fill=—","Direction=H","UseDPDF=Y")</f>
        <v>0</v>
      </c>
      <c r="S174" s="13" t="str">
        <f>_xll.BDH("SRPT US Equity","ARDR_VAL_SHS_REPURCH_FR_REP_PROG","FQ4 2022","FQ4 2022","Currency=USD","Period=FQ","BEST_FPERIOD_OVERRIDE=FQ","FILING_STATUS=MR","SCALING_FORMAT=MLN","Sort=A","Dates=H","DateFormat=P","Fill=—","Direction=H","UseDPDF=Y")</f>
        <v>—</v>
      </c>
      <c r="T174" s="13" t="str">
        <f>_xll.BDH("SRPT US Equity","ARDR_VAL_SHS_REPURCH_FR_REP_PROG","FQ1 2023","FQ1 2023","Currency=USD","Period=FQ","BEST_FPERIOD_OVERRIDE=FQ","FILING_STATUS=MR","SCALING_FORMAT=MLN","Sort=A","Dates=H","DateFormat=P","Fill=—","Direction=H","UseDPDF=Y")</f>
        <v>—</v>
      </c>
      <c r="U174" s="13" t="str">
        <f>_xll.BDH("SRPT US Equity","ARDR_VAL_SHS_REPURCH_FR_REP_PROG","FQ2 2023","FQ2 2023","Currency=USD","Period=FQ","BEST_FPERIOD_OVERRIDE=FQ","FILING_STATUS=MR","SCALING_FORMAT=MLN","Sort=A","Dates=H","DateFormat=P","Fill=—","Direction=H","UseDPDF=Y")</f>
        <v>—</v>
      </c>
      <c r="V174" s="13" t="str">
        <f>_xll.BDH("SRPT US Equity","ARDR_VAL_SHS_REPURCH_FR_REP_PROG","FQ3 2023","FQ3 2023","Currency=USD","Period=FQ","BEST_FPERIOD_OVERRIDE=FQ","FILING_STATUS=MR","SCALING_FORMAT=MLN","Sort=A","Dates=H","DateFormat=P","Fill=—","Direction=H","UseDPDF=Y")</f>
        <v>—</v>
      </c>
      <c r="W174" s="13" t="str">
        <f>_xll.BDH("SRPT US Equity","ARDR_VAL_SHS_REPURCH_FR_REP_PROG","FQ4 2023","FQ4 2023","Currency=USD","Period=FQ","BEST_FPERIOD_OVERRIDE=FQ","FILING_STATUS=MR","SCALING_FORMAT=MLN","Sort=A","Dates=H","DateFormat=P","Fill=—","Direction=H","UseDPDF=Y")</f>
        <v>—</v>
      </c>
      <c r="X174" s="13" t="str">
        <f>_xll.BDH("SRPT US Equity","ARDR_VAL_SHS_REPURCH_FR_REP_PROG","FQ1 2024","FQ1 2024","Currency=USD","Period=FQ","BEST_FPERIOD_OVERRIDE=FQ","FILING_STATUS=MR","SCALING_FORMAT=MLN","Sort=A","Dates=H","DateFormat=P","Fill=—","Direction=H","UseDPDF=Y")</f>
        <v>—</v>
      </c>
      <c r="Y174" s="13" t="str">
        <f>_xll.BDH("SRPT US Equity","ARDR_VAL_SHS_REPURCH_FR_REP_PROG","FQ2 2024","FQ2 2024","Currency=USD","Period=FQ","BEST_FPERIOD_OVERRIDE=FQ","FILING_STATUS=MR","SCALING_FORMAT=MLN","Sort=A","Dates=H","DateFormat=P","Fill=—","Direction=H","UseDPDF=Y")</f>
        <v>—</v>
      </c>
      <c r="Z174" s="13" t="str">
        <f>_xll.BDH("SRPT US Equity","ARDR_VAL_SHS_REPURCH_FR_REP_PROG","FQ3 2024","FQ3 2024","Currency=USD","Period=FQ","BEST_FPERIOD_OVERRIDE=FQ","FILING_STATUS=MR","SCALING_FORMAT=MLN","Sort=A","Dates=H","DateFormat=P","Fill=—","Direction=H","UseDPDF=Y")</f>
        <v>—</v>
      </c>
      <c r="AA174" s="13" t="str">
        <f>_xll.BDH("SRPT US Equity","ARDR_VAL_SHS_REPURCH_FR_REP_PROG","FQ4 2024","FQ4 2024","Currency=USD","Period=FQ","BEST_FPERIOD_OVERRIDE=FQ","FILING_STATUS=MR","SCALING_FORMAT=MLN","Sort=A","Dates=H","DateFormat=P","Fill=—","Direction=H","UseDPDF=Y")</f>
        <v>—</v>
      </c>
    </row>
    <row r="175" spans="1:27" x14ac:dyDescent="0.25">
      <c r="A175" s="10" t="s">
        <v>1149</v>
      </c>
      <c r="B175" s="10" t="s">
        <v>1150</v>
      </c>
      <c r="C175" s="13" t="str">
        <f>_xll.BDH("SRPT US Equity","ARDR_#_SHS_REPURCH_FR_REP_PROG","FQ4 2018","FQ4 2018","Currency=USD","Period=FQ","BEST_FPERIOD_OVERRIDE=FQ","FILING_STATUS=MR","Sort=A","Dates=H","DateFormat=P","Fill=—","Direction=H","UseDPDF=Y")</f>
        <v>—</v>
      </c>
      <c r="D175" s="13" t="str">
        <f>_xll.BDH("SRPT US Equity","ARDR_#_SHS_REPURCH_FR_REP_PROG","FQ1 2019","FQ1 2019","Currency=USD","Period=FQ","BEST_FPERIOD_OVERRIDE=FQ","FILING_STATUS=MR","Sort=A","Dates=H","DateFormat=P","Fill=—","Direction=H","UseDPDF=Y")</f>
        <v>—</v>
      </c>
      <c r="E175" s="13" t="str">
        <f>_xll.BDH("SRPT US Equity","ARDR_#_SHS_REPURCH_FR_REP_PROG","FQ2 2019","FQ2 2019","Currency=USD","Period=FQ","BEST_FPERIOD_OVERRIDE=FQ","FILING_STATUS=MR","Sort=A","Dates=H","DateFormat=P","Fill=—","Direction=H","UseDPDF=Y")</f>
        <v>—</v>
      </c>
      <c r="F175" s="13" t="str">
        <f>_xll.BDH("SRPT US Equity","ARDR_#_SHS_REPURCH_FR_REP_PROG","FQ3 2019","FQ3 2019","Currency=USD","Period=FQ","BEST_FPERIOD_OVERRIDE=FQ","FILING_STATUS=MR","Sort=A","Dates=H","DateFormat=P","Fill=—","Direction=H","UseDPDF=Y")</f>
        <v>—</v>
      </c>
      <c r="G175" s="13" t="str">
        <f>_xll.BDH("SRPT US Equity","ARDR_#_SHS_REPURCH_FR_REP_PROG","FQ4 2019","FQ4 2019","Currency=USD","Period=FQ","BEST_FPERIOD_OVERRIDE=FQ","FILING_STATUS=MR","Sort=A","Dates=H","DateFormat=P","Fill=—","Direction=H","UseDPDF=Y")</f>
        <v>—</v>
      </c>
      <c r="H175" s="13" t="str">
        <f>_xll.BDH("SRPT US Equity","ARDR_#_SHS_REPURCH_FR_REP_PROG","FQ1 2020","FQ1 2020","Currency=USD","Period=FQ","BEST_FPERIOD_OVERRIDE=FQ","FILING_STATUS=MR","Sort=A","Dates=H","DateFormat=P","Fill=—","Direction=H","UseDPDF=Y")</f>
        <v>—</v>
      </c>
      <c r="I175" s="13" t="str">
        <f>_xll.BDH("SRPT US Equity","ARDR_#_SHS_REPURCH_FR_REP_PROG","FQ2 2020","FQ2 2020","Currency=USD","Period=FQ","BEST_FPERIOD_OVERRIDE=FQ","FILING_STATUS=MR","Sort=A","Dates=H","DateFormat=P","Fill=—","Direction=H","UseDPDF=Y")</f>
        <v>—</v>
      </c>
      <c r="J175" s="13" t="str">
        <f>_xll.BDH("SRPT US Equity","ARDR_#_SHS_REPURCH_FR_REP_PROG","FQ3 2020","FQ3 2020","Currency=USD","Period=FQ","BEST_FPERIOD_OVERRIDE=FQ","FILING_STATUS=MR","Sort=A","Dates=H","DateFormat=P","Fill=—","Direction=H","UseDPDF=Y")</f>
        <v>—</v>
      </c>
      <c r="K175" s="13" t="str">
        <f>_xll.BDH("SRPT US Equity","ARDR_#_SHS_REPURCH_FR_REP_PROG","FQ4 2020","FQ4 2020","Currency=USD","Period=FQ","BEST_FPERIOD_OVERRIDE=FQ","FILING_STATUS=MR","Sort=A","Dates=H","DateFormat=P","Fill=—","Direction=H","UseDPDF=Y")</f>
        <v>—</v>
      </c>
      <c r="L175" s="13" t="str">
        <f>_xll.BDH("SRPT US Equity","ARDR_#_SHS_REPURCH_FR_REP_PROG","FQ1 2021","FQ1 2021","Currency=USD","Period=FQ","BEST_FPERIOD_OVERRIDE=FQ","FILING_STATUS=MR","Sort=A","Dates=H","DateFormat=P","Fill=—","Direction=H","UseDPDF=Y")</f>
        <v>—</v>
      </c>
      <c r="M175" s="13" t="str">
        <f>_xll.BDH("SRPT US Equity","ARDR_#_SHS_REPURCH_FR_REP_PROG","FQ2 2021","FQ2 2021","Currency=USD","Period=FQ","BEST_FPERIOD_OVERRIDE=FQ","FILING_STATUS=MR","Sort=A","Dates=H","DateFormat=P","Fill=—","Direction=H","UseDPDF=Y")</f>
        <v>—</v>
      </c>
      <c r="N175" s="13" t="str">
        <f>_xll.BDH("SRPT US Equity","ARDR_#_SHS_REPURCH_FR_REP_PROG","FQ3 2021","FQ3 2021","Currency=USD","Period=FQ","BEST_FPERIOD_OVERRIDE=FQ","FILING_STATUS=MR","Sort=A","Dates=H","DateFormat=P","Fill=—","Direction=H","UseDPDF=Y")</f>
        <v>—</v>
      </c>
      <c r="O175" s="13" t="str">
        <f>_xll.BDH("SRPT US Equity","ARDR_#_SHS_REPURCH_FR_REP_PROG","FQ4 2021","FQ4 2021","Currency=USD","Period=FQ","BEST_FPERIOD_OVERRIDE=FQ","FILING_STATUS=MR","Sort=A","Dates=H","DateFormat=P","Fill=—","Direction=H","UseDPDF=Y")</f>
        <v>—</v>
      </c>
      <c r="P175" s="13" t="str">
        <f>_xll.BDH("SRPT US Equity","ARDR_#_SHS_REPURCH_FR_REP_PROG","FQ1 2022","FQ1 2022","Currency=USD","Period=FQ","BEST_FPERIOD_OVERRIDE=FQ","FILING_STATUS=MR","Sort=A","Dates=H","DateFormat=P","Fill=—","Direction=H","UseDPDF=Y")</f>
        <v>—</v>
      </c>
      <c r="Q175" s="13" t="str">
        <f>_xll.BDH("SRPT US Equity","ARDR_#_SHS_REPURCH_FR_REP_PROG","FQ2 2022","FQ2 2022","Currency=USD","Period=FQ","BEST_FPERIOD_OVERRIDE=FQ","FILING_STATUS=MR","Sort=A","Dates=H","DateFormat=P","Fill=—","Direction=H","UseDPDF=Y")</f>
        <v>—</v>
      </c>
      <c r="R175" s="13">
        <f>_xll.BDH("SRPT US Equity","ARDR_#_SHS_REPURCH_FR_REP_PROG","FQ3 2022","FQ3 2022","Currency=USD","Period=FQ","BEST_FPERIOD_OVERRIDE=FQ","FILING_STATUS=MR","Sort=A","Dates=H","DateFormat=P","Fill=—","Direction=H","UseDPDF=Y")</f>
        <v>0</v>
      </c>
      <c r="S175" s="13" t="str">
        <f>_xll.BDH("SRPT US Equity","ARDR_#_SHS_REPURCH_FR_REP_PROG","FQ4 2022","FQ4 2022","Currency=USD","Period=FQ","BEST_FPERIOD_OVERRIDE=FQ","FILING_STATUS=MR","Sort=A","Dates=H","DateFormat=P","Fill=—","Direction=H","UseDPDF=Y")</f>
        <v>—</v>
      </c>
      <c r="T175" s="13" t="str">
        <f>_xll.BDH("SRPT US Equity","ARDR_#_SHS_REPURCH_FR_REP_PROG","FQ1 2023","FQ1 2023","Currency=USD","Period=FQ","BEST_FPERIOD_OVERRIDE=FQ","FILING_STATUS=MR","Sort=A","Dates=H","DateFormat=P","Fill=—","Direction=H","UseDPDF=Y")</f>
        <v>—</v>
      </c>
      <c r="U175" s="13" t="str">
        <f>_xll.BDH("SRPT US Equity","ARDR_#_SHS_REPURCH_FR_REP_PROG","FQ2 2023","FQ2 2023","Currency=USD","Period=FQ","BEST_FPERIOD_OVERRIDE=FQ","FILING_STATUS=MR","Sort=A","Dates=H","DateFormat=P","Fill=—","Direction=H","UseDPDF=Y")</f>
        <v>—</v>
      </c>
      <c r="V175" s="13" t="str">
        <f>_xll.BDH("SRPT US Equity","ARDR_#_SHS_REPURCH_FR_REP_PROG","FQ3 2023","FQ3 2023","Currency=USD","Period=FQ","BEST_FPERIOD_OVERRIDE=FQ","FILING_STATUS=MR","Sort=A","Dates=H","DateFormat=P","Fill=—","Direction=H","UseDPDF=Y")</f>
        <v>—</v>
      </c>
      <c r="W175" s="13" t="str">
        <f>_xll.BDH("SRPT US Equity","ARDR_#_SHS_REPURCH_FR_REP_PROG","FQ4 2023","FQ4 2023","Currency=USD","Period=FQ","BEST_FPERIOD_OVERRIDE=FQ","FILING_STATUS=MR","Sort=A","Dates=H","DateFormat=P","Fill=—","Direction=H","UseDPDF=Y")</f>
        <v>—</v>
      </c>
      <c r="X175" s="13" t="str">
        <f>_xll.BDH("SRPT US Equity","ARDR_#_SHS_REPURCH_FR_REP_PROG","FQ1 2024","FQ1 2024","Currency=USD","Period=FQ","BEST_FPERIOD_OVERRIDE=FQ","FILING_STATUS=MR","Sort=A","Dates=H","DateFormat=P","Fill=—","Direction=H","UseDPDF=Y")</f>
        <v>—</v>
      </c>
      <c r="Y175" s="13" t="str">
        <f>_xll.BDH("SRPT US Equity","ARDR_#_SHS_REPURCH_FR_REP_PROG","FQ2 2024","FQ2 2024","Currency=USD","Period=FQ","BEST_FPERIOD_OVERRIDE=FQ","FILING_STATUS=MR","Sort=A","Dates=H","DateFormat=P","Fill=—","Direction=H","UseDPDF=Y")</f>
        <v>—</v>
      </c>
      <c r="Z175" s="13" t="str">
        <f>_xll.BDH("SRPT US Equity","ARDR_#_SHS_REPURCH_FR_REP_PROG","FQ3 2024","FQ3 2024","Currency=USD","Period=FQ","BEST_FPERIOD_OVERRIDE=FQ","FILING_STATUS=MR","Sort=A","Dates=H","DateFormat=P","Fill=—","Direction=H","UseDPDF=Y")</f>
        <v>—</v>
      </c>
      <c r="AA175" s="13" t="str">
        <f>_xll.BDH("SRPT US Equity","ARDR_#_SHS_REPURCH_FR_REP_PROG","FQ4 2024","FQ4 2024","Currency=USD","Period=FQ","BEST_FPERIOD_OVERRIDE=FQ","FILING_STATUS=MR","Sort=A","Dates=H","DateFormat=P","Fill=—","Direction=H","UseDPDF=Y")</f>
        <v>—</v>
      </c>
    </row>
    <row r="176" spans="1:27" x14ac:dyDescent="0.25">
      <c r="A176" s="7" t="s">
        <v>90</v>
      </c>
      <c r="B176" s="7"/>
      <c r="C176" s="7" t="s">
        <v>5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98"/>
  <sheetViews>
    <sheetView topLeftCell="F1"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1151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112</v>
      </c>
      <c r="B6" s="6" t="s">
        <v>113</v>
      </c>
      <c r="C6" s="19">
        <f>_xll.BDH("SRPT US Equity","BS_TOT_ASSET","FQ4 2018","FQ4 2018","Currency=USD","Period=FQ","BEST_FPERIOD_OVERRIDE=FQ","FILING_STATUS=MR","SCALING_FORMAT=MLN","Sort=A","Dates=H","DateFormat=P","Fill=—","Direction=H","UseDPDF=Y")</f>
        <v>1642.075</v>
      </c>
      <c r="D6" s="19">
        <f>_xll.BDH("SRPT US Equity","BS_TOT_ASSET","FQ1 2019","FQ1 2019","Currency=USD","Period=FQ","BEST_FPERIOD_OVERRIDE=FQ","FILING_STATUS=MR","SCALING_FORMAT=MLN","Sort=A","Dates=H","DateFormat=P","Fill=—","Direction=H","UseDPDF=Y")</f>
        <v>1963.895</v>
      </c>
      <c r="E6" s="19">
        <f>_xll.BDH("SRPT US Equity","BS_TOT_ASSET","FQ2 2019","FQ2 2019","Currency=USD","Period=FQ","BEST_FPERIOD_OVERRIDE=FQ","FILING_STATUS=MR","SCALING_FORMAT=MLN","Sort=A","Dates=H","DateFormat=P","Fill=—","Direction=H","UseDPDF=Y")</f>
        <v>1747.7529999999999</v>
      </c>
      <c r="F6" s="19">
        <f>_xll.BDH("SRPT US Equity","BS_TOT_ASSET","FQ3 2019","FQ3 2019","Currency=USD","Period=FQ","BEST_FPERIOD_OVERRIDE=FQ","FILING_STATUS=MR","SCALING_FORMAT=MLN","Sort=A","Dates=H","DateFormat=P","Fill=—","Direction=H","UseDPDF=Y")</f>
        <v>1702.47</v>
      </c>
      <c r="G6" s="19">
        <f>_xll.BDH("SRPT US Equity","BS_TOT_ASSET","FQ4 2019","FQ4 2019","Currency=USD","Period=FQ","BEST_FPERIOD_OVERRIDE=FQ","FILING_STATUS=MR","SCALING_FORMAT=MLN","Sort=A","Dates=H","DateFormat=P","Fill=—","Direction=H","UseDPDF=Y")</f>
        <v>1822.8219999999999</v>
      </c>
      <c r="H6" s="19">
        <f>_xll.BDH("SRPT US Equity","BS_TOT_ASSET","FQ1 2020","FQ1 2020","Currency=USD","Period=FQ","BEST_FPERIOD_OVERRIDE=FQ","FILING_STATUS=MR","SCALING_FORMAT=MLN","Sort=A","Dates=H","DateFormat=P","Fill=—","Direction=H","UseDPDF=Y")</f>
        <v>2947.3879999999999</v>
      </c>
      <c r="I6" s="19">
        <f>_xll.BDH("SRPT US Equity","BS_TOT_ASSET","FQ2 2020","FQ2 2020","Currency=USD","Period=FQ","BEST_FPERIOD_OVERRIDE=FQ","FILING_STATUS=MR","SCALING_FORMAT=MLN","Sort=A","Dates=H","DateFormat=P","Fill=—","Direction=H","UseDPDF=Y")</f>
        <v>2883.0430000000001</v>
      </c>
      <c r="J6" s="19">
        <f>_xll.BDH("SRPT US Equity","BS_TOT_ASSET","FQ3 2020","FQ3 2020","Currency=USD","Period=FQ","BEST_FPERIOD_OVERRIDE=FQ","FILING_STATUS=MR","SCALING_FORMAT=MLN","Sort=A","Dates=H","DateFormat=P","Fill=—","Direction=H","UseDPDF=Y")</f>
        <v>2780.6640000000002</v>
      </c>
      <c r="K6" s="19">
        <f>_xll.BDH("SRPT US Equity","BS_TOT_ASSET","FQ4 2020","FQ4 2020","Currency=USD","Period=FQ","BEST_FPERIOD_OVERRIDE=FQ","FILING_STATUS=MR","SCALING_FORMAT=MLN","Sort=A","Dates=H","DateFormat=P","Fill=—","Direction=H","UseDPDF=Y")</f>
        <v>2984.7179999999998</v>
      </c>
      <c r="L6" s="19">
        <f>_xll.BDH("SRPT US Equity","BS_TOT_ASSET","FQ1 2021","FQ1 2021","Currency=USD","Period=FQ","BEST_FPERIOD_OVERRIDE=FQ","FILING_STATUS=MR","SCALING_FORMAT=MLN","Sort=A","Dates=H","DateFormat=P","Fill=—","Direction=H","UseDPDF=Y")</f>
        <v>2765.2330000000002</v>
      </c>
      <c r="M6" s="19">
        <f>_xll.BDH("SRPT US Equity","BS_TOT_ASSET","FQ2 2021","FQ2 2021","Currency=USD","Period=FQ","BEST_FPERIOD_OVERRIDE=FQ","FILING_STATUS=MR","SCALING_FORMAT=MLN","Sort=A","Dates=H","DateFormat=P","Fill=—","Direction=H","UseDPDF=Y")</f>
        <v>2759.0729999999999</v>
      </c>
      <c r="N6" s="19">
        <f>_xll.BDH("SRPT US Equity","BS_TOT_ASSET","FQ3 2021","FQ3 2021","Currency=USD","Period=FQ","BEST_FPERIOD_OVERRIDE=FQ","FILING_STATUS=MR","SCALING_FORMAT=MLN","Sort=A","Dates=H","DateFormat=P","Fill=—","Direction=H","UseDPDF=Y")</f>
        <v>2662.2179999999998</v>
      </c>
      <c r="O6" s="19">
        <f>_xll.BDH("SRPT US Equity","BS_TOT_ASSET","FQ4 2021","FQ4 2021","Currency=USD","Period=FQ","BEST_FPERIOD_OVERRIDE=FQ","FILING_STATUS=MR","SCALING_FORMAT=MLN","Sort=A","Dates=H","DateFormat=P","Fill=—","Direction=H","UseDPDF=Y")</f>
        <v>3147.9740000000002</v>
      </c>
      <c r="P6" s="19">
        <f>_xll.BDH("SRPT US Equity","BS_TOT_ASSET","FQ1 2022","FQ1 2022","Currency=USD","Period=FQ","BEST_FPERIOD_OVERRIDE=FQ","FILING_STATUS=MR","SCALING_FORMAT=MLN","Sort=A","Dates=H","DateFormat=P","Fill=—","Direction=H","UseDPDF=Y")</f>
        <v>3056.154</v>
      </c>
      <c r="Q6" s="19">
        <f>_xll.BDH("SRPT US Equity","BS_TOT_ASSET","FQ2 2022","FQ2 2022","Currency=USD","Period=FQ","BEST_FPERIOD_OVERRIDE=FQ","FILING_STATUS=MR","SCALING_FORMAT=MLN","Sort=A","Dates=H","DateFormat=P","Fill=—","Direction=H","UseDPDF=Y")</f>
        <v>2996.8530000000001</v>
      </c>
      <c r="R6" s="19">
        <f>_xll.BDH("SRPT US Equity","BS_TOT_ASSET","FQ3 2022","FQ3 2022","Currency=USD","Period=FQ","BEST_FPERIOD_OVERRIDE=FQ","FILING_STATUS=MR","SCALING_FORMAT=MLN","Sort=A","Dates=H","DateFormat=P","Fill=—","Direction=H","UseDPDF=Y")</f>
        <v>3156.1489999999999</v>
      </c>
      <c r="S6" s="19">
        <f>_xll.BDH("SRPT US Equity","BS_TOT_ASSET","FQ4 2022","FQ4 2022","Currency=USD","Period=FQ","BEST_FPERIOD_OVERRIDE=FQ","FILING_STATUS=MR","SCALING_FORMAT=MLN","Sort=A","Dates=H","DateFormat=P","Fill=—","Direction=H","UseDPDF=Y")</f>
        <v>3128.366</v>
      </c>
      <c r="T6" s="19">
        <f>_xll.BDH("SRPT US Equity","BS_TOT_ASSET","FQ1 2023","FQ1 2023","Currency=USD","Period=FQ","BEST_FPERIOD_OVERRIDE=FQ","FILING_STATUS=MR","SCALING_FORMAT=MLN","Sort=A","Dates=H","DateFormat=P","Fill=—","Direction=H","UseDPDF=Y")</f>
        <v>3059.7860000000001</v>
      </c>
      <c r="U6" s="19">
        <f>_xll.BDH("SRPT US Equity","BS_TOT_ASSET","FQ2 2023","FQ2 2023","Currency=USD","Period=FQ","BEST_FPERIOD_OVERRIDE=FQ","FILING_STATUS=MR","SCALING_FORMAT=MLN","Sort=A","Dates=H","DateFormat=P","Fill=—","Direction=H","UseDPDF=Y")</f>
        <v>3125.89</v>
      </c>
      <c r="V6" s="19">
        <f>_xll.BDH("SRPT US Equity","BS_TOT_ASSET","FQ3 2023","FQ3 2023","Currency=USD","Period=FQ","BEST_FPERIOD_OVERRIDE=FQ","FILING_STATUS=MR","SCALING_FORMAT=MLN","Sort=A","Dates=H","DateFormat=P","Fill=—","Direction=H","UseDPDF=Y")</f>
        <v>3109.7069999999999</v>
      </c>
      <c r="W6" s="19">
        <f>_xll.BDH("SRPT US Equity","BS_TOT_ASSET","FQ4 2023","FQ4 2023","Currency=USD","Period=FQ","BEST_FPERIOD_OVERRIDE=FQ","FILING_STATUS=MR","SCALING_FORMAT=MLN","Sort=A","Dates=H","DateFormat=P","Fill=—","Direction=H","UseDPDF=Y")</f>
        <v>3264.576</v>
      </c>
      <c r="X6" s="19">
        <f>_xll.BDH("SRPT US Equity","BS_TOT_ASSET","FQ1 2024","FQ1 2024","Currency=USD","Period=FQ","BEST_FPERIOD_OVERRIDE=FQ","FILING_STATUS=MR","SCALING_FORMAT=MLN","Sort=A","Dates=H","DateFormat=P","Fill=—","Direction=H","UseDPDF=Y")</f>
        <v>3224.3850000000002</v>
      </c>
      <c r="Y6" s="19">
        <f>_xll.BDH("SRPT US Equity","BS_TOT_ASSET","FQ2 2024","FQ2 2024","Currency=USD","Period=FQ","BEST_FPERIOD_OVERRIDE=FQ","FILING_STATUS=MR","SCALING_FORMAT=MLN","Sort=A","Dates=H","DateFormat=P","Fill=—","Direction=H","UseDPDF=Y")</f>
        <v>3424.2570000000001</v>
      </c>
      <c r="Z6" s="19">
        <f>_xll.BDH("SRPT US Equity","BS_TOT_ASSET","FQ3 2024","FQ3 2024","Currency=USD","Period=FQ","BEST_FPERIOD_OVERRIDE=FQ","FILING_STATUS=MR","SCALING_FORMAT=MLN","Sort=A","Dates=H","DateFormat=P","Fill=—","Direction=H","UseDPDF=Y")</f>
        <v>3599.9340000000002</v>
      </c>
      <c r="AA6" s="19">
        <f>_xll.BDH("SRPT US Equity","BS_TOT_ASSET","FQ4 2024","FQ4 2024","Currency=USD","Period=FQ","BEST_FPERIOD_OVERRIDE=FQ","FILING_STATUS=MR","SCALING_FORMAT=MLN","Sort=A","Dates=H","DateFormat=P","Fill=—","Direction=H","UseDPDF=Y")</f>
        <v>3963.1729999999998</v>
      </c>
    </row>
    <row r="7" spans="1:27" x14ac:dyDescent="0.25">
      <c r="A7" s="6" t="s">
        <v>112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x14ac:dyDescent="0.25">
      <c r="A8" s="10" t="s">
        <v>691</v>
      </c>
      <c r="B8" s="10" t="s">
        <v>692</v>
      </c>
      <c r="C8" s="13">
        <v>71.489548284944306</v>
      </c>
      <c r="D8" s="13">
        <v>68.446021808701602</v>
      </c>
      <c r="E8" s="13">
        <v>63.113552086593501</v>
      </c>
      <c r="F8" s="13">
        <v>61.610013685997401</v>
      </c>
      <c r="G8" s="13">
        <v>61.703666073812997</v>
      </c>
      <c r="H8" s="13">
        <v>73.663596377538397</v>
      </c>
      <c r="I8" s="13">
        <v>71.497650225820394</v>
      </c>
      <c r="J8" s="13">
        <v>65.311882341771593</v>
      </c>
      <c r="K8" s="13">
        <v>64.949888063126906</v>
      </c>
      <c r="L8" s="13">
        <v>62.845807206842998</v>
      </c>
      <c r="M8" s="13">
        <v>62.603454131151999</v>
      </c>
      <c r="N8" s="13">
        <v>60.066944179627697</v>
      </c>
      <c r="O8" s="13">
        <v>67.213674572915806</v>
      </c>
      <c r="P8" s="13">
        <v>65.8810059964256</v>
      </c>
      <c r="Q8" s="13">
        <v>64.334787191764207</v>
      </c>
      <c r="R8" s="13">
        <v>65.664960684682498</v>
      </c>
      <c r="S8" s="13">
        <v>63.591472353298798</v>
      </c>
      <c r="T8" s="13">
        <v>61.510739639961699</v>
      </c>
      <c r="U8" s="13">
        <v>59.5259270159858</v>
      </c>
      <c r="V8" s="13">
        <v>55.746152290231798</v>
      </c>
      <c r="W8" s="13">
        <v>51.346637358113298</v>
      </c>
      <c r="X8" s="13">
        <v>43.132039133044003</v>
      </c>
      <c r="Y8" s="13">
        <v>42.6508290703648</v>
      </c>
      <c r="Z8" s="13">
        <v>33.289193635216598</v>
      </c>
      <c r="AA8" s="13">
        <v>34.184528406910303</v>
      </c>
    </row>
    <row r="9" spans="1:27" x14ac:dyDescent="0.25">
      <c r="A9" s="10" t="s">
        <v>693</v>
      </c>
      <c r="B9" s="10" t="s">
        <v>694</v>
      </c>
      <c r="C9" s="13">
        <v>22.582951448624499</v>
      </c>
      <c r="D9" s="13">
        <v>37.282543109484003</v>
      </c>
      <c r="E9" s="13">
        <v>46.264603751216598</v>
      </c>
      <c r="F9" s="13">
        <v>42.575140824801601</v>
      </c>
      <c r="G9" s="13">
        <v>45.812481964777703</v>
      </c>
      <c r="H9" s="13">
        <v>59.856795237003098</v>
      </c>
      <c r="I9" s="13">
        <v>56.8829184996547</v>
      </c>
      <c r="J9" s="13">
        <v>53.031829807556797</v>
      </c>
      <c r="K9" s="13">
        <v>50.344722684019096</v>
      </c>
      <c r="L9" s="13">
        <v>53.588106318708</v>
      </c>
      <c r="M9" s="13">
        <v>61.516132411139502</v>
      </c>
      <c r="N9" s="13">
        <v>60.066944179627697</v>
      </c>
      <c r="O9" s="13">
        <v>67.213674572915806</v>
      </c>
      <c r="P9" s="13">
        <v>40.373521753157704</v>
      </c>
      <c r="Q9" s="13">
        <v>28.982569381948299</v>
      </c>
      <c r="R9" s="13">
        <v>32.907952064367102</v>
      </c>
      <c r="S9" s="13">
        <v>30.903577138991999</v>
      </c>
      <c r="T9" s="13">
        <v>28.487874642213502</v>
      </c>
      <c r="U9" s="13">
        <v>27.2539660704631</v>
      </c>
      <c r="V9" s="13">
        <v>17.427108084459402</v>
      </c>
      <c r="W9" s="13">
        <v>13.123603187672799</v>
      </c>
      <c r="X9" s="13">
        <v>13.251829418633299</v>
      </c>
      <c r="Y9" s="13">
        <v>11.203072666566801</v>
      </c>
      <c r="Z9" s="13">
        <v>5.49607298356025</v>
      </c>
      <c r="AA9" s="13">
        <v>27.831487547982402</v>
      </c>
    </row>
    <row r="10" spans="1:27" x14ac:dyDescent="0.25">
      <c r="A10" s="10" t="s">
        <v>695</v>
      </c>
      <c r="B10" s="10" t="s">
        <v>696</v>
      </c>
      <c r="C10" s="13">
        <v>48.906596836319899</v>
      </c>
      <c r="D10" s="13">
        <v>31.163478699217599</v>
      </c>
      <c r="E10" s="13">
        <v>16.8489483353769</v>
      </c>
      <c r="F10" s="13">
        <v>19.034872861195801</v>
      </c>
      <c r="G10" s="13">
        <v>15.891184109035301</v>
      </c>
      <c r="H10" s="13">
        <v>13.806801140535301</v>
      </c>
      <c r="I10" s="13">
        <v>14.614731726165701</v>
      </c>
      <c r="J10" s="13">
        <v>12.2800525342148</v>
      </c>
      <c r="K10" s="13">
        <v>14.605165379107801</v>
      </c>
      <c r="L10" s="13">
        <v>9.2577008881349201</v>
      </c>
      <c r="M10" s="13">
        <v>1.0873217200124801</v>
      </c>
      <c r="N10" s="13">
        <v>0</v>
      </c>
      <c r="O10" s="13">
        <v>0</v>
      </c>
      <c r="P10" s="13">
        <v>25.5074842432678</v>
      </c>
      <c r="Q10" s="13">
        <v>35.352217809815798</v>
      </c>
      <c r="R10" s="13">
        <v>32.757008620315503</v>
      </c>
      <c r="S10" s="13">
        <v>32.687895214306799</v>
      </c>
      <c r="T10" s="13">
        <v>33.022864997748201</v>
      </c>
      <c r="U10" s="13">
        <v>32.2719609455227</v>
      </c>
      <c r="V10" s="13">
        <v>38.3190442057724</v>
      </c>
      <c r="W10" s="13">
        <v>38.223034170440499</v>
      </c>
      <c r="X10" s="13">
        <v>29.8802097144107</v>
      </c>
      <c r="Y10" s="13">
        <v>31.447756403798</v>
      </c>
      <c r="Z10" s="13">
        <v>27.793120651656402</v>
      </c>
      <c r="AA10" s="13">
        <v>6.3530408589279403</v>
      </c>
    </row>
    <row r="11" spans="1:27" x14ac:dyDescent="0.25">
      <c r="A11" s="10" t="s">
        <v>697</v>
      </c>
      <c r="B11" s="10" t="s">
        <v>698</v>
      </c>
      <c r="C11" s="13">
        <v>2.9867088896670402</v>
      </c>
      <c r="D11" s="13">
        <v>2.57192976202903</v>
      </c>
      <c r="E11" s="13">
        <v>3.2602432952482401</v>
      </c>
      <c r="F11" s="13">
        <v>3.9960762891563402</v>
      </c>
      <c r="G11" s="13">
        <v>4.9856211961453196</v>
      </c>
      <c r="H11" s="13">
        <v>3.6260919838175401</v>
      </c>
      <c r="I11" s="13">
        <v>3.6082708443821301</v>
      </c>
      <c r="J11" s="13">
        <v>4.3812197374440096</v>
      </c>
      <c r="K11" s="13">
        <v>3.3952956359696298</v>
      </c>
      <c r="L11" s="13">
        <v>4.27461266374298</v>
      </c>
      <c r="M11" s="13">
        <v>4.6218421911997298</v>
      </c>
      <c r="N11" s="13">
        <v>5.6263987396974997</v>
      </c>
      <c r="O11" s="13">
        <v>4.85995119400605</v>
      </c>
      <c r="P11" s="13">
        <v>5.83066167477162</v>
      </c>
      <c r="Q11" s="13">
        <v>6.8022689134235099</v>
      </c>
      <c r="R11" s="13">
        <v>6.3846478730883698</v>
      </c>
      <c r="S11" s="13">
        <v>6.8607061961420097</v>
      </c>
      <c r="T11" s="13">
        <v>7.3154135616020204</v>
      </c>
      <c r="U11" s="13">
        <v>7.5756984410839801</v>
      </c>
      <c r="V11" s="13">
        <v>10.2535383558644</v>
      </c>
      <c r="W11" s="13">
        <v>12.262756327314801</v>
      </c>
      <c r="X11" s="13">
        <v>11.7481628279501</v>
      </c>
      <c r="Y11" s="13">
        <v>10.5131419750328</v>
      </c>
      <c r="Z11" s="13">
        <v>12.070332400538501</v>
      </c>
      <c r="AA11" s="13">
        <v>15.189546355912301</v>
      </c>
    </row>
    <row r="12" spans="1:27" x14ac:dyDescent="0.25">
      <c r="A12" s="10" t="s">
        <v>699</v>
      </c>
      <c r="B12" s="10" t="s">
        <v>700</v>
      </c>
      <c r="C12" s="13">
        <v>2.9867088896670402</v>
      </c>
      <c r="D12" s="13">
        <v>2.57192976202903</v>
      </c>
      <c r="E12" s="13">
        <v>3.2602432952482401</v>
      </c>
      <c r="F12" s="13">
        <v>3.9960762891563402</v>
      </c>
      <c r="G12" s="13">
        <v>4.9856211961453196</v>
      </c>
      <c r="H12" s="13">
        <v>3.6260919838175401</v>
      </c>
      <c r="I12" s="13">
        <v>3.6082708443821301</v>
      </c>
      <c r="J12" s="13">
        <v>4.3812197374440096</v>
      </c>
      <c r="K12" s="13">
        <v>3.3952956359696298</v>
      </c>
      <c r="L12" s="13">
        <v>4.27461266374298</v>
      </c>
      <c r="M12" s="13">
        <v>4.6218421911997298</v>
      </c>
      <c r="N12" s="13">
        <v>5.6263987396974997</v>
      </c>
      <c r="O12" s="13">
        <v>4.85995119400605</v>
      </c>
      <c r="P12" s="13">
        <v>5.83066167477162</v>
      </c>
      <c r="Q12" s="13">
        <v>6.8022689134235099</v>
      </c>
      <c r="R12" s="13">
        <v>6.3846478730883698</v>
      </c>
      <c r="S12" s="13">
        <v>6.8607061961420097</v>
      </c>
      <c r="T12" s="13">
        <v>7.3154135616020204</v>
      </c>
      <c r="U12" s="13">
        <v>7.5756984410839801</v>
      </c>
      <c r="V12" s="13">
        <v>10.2535383558644</v>
      </c>
      <c r="W12" s="13">
        <v>12.262756327314801</v>
      </c>
      <c r="X12" s="13">
        <v>11.7481628279501</v>
      </c>
      <c r="Y12" s="13">
        <v>10.5131419750328</v>
      </c>
      <c r="Z12" s="13">
        <v>12.070332400538501</v>
      </c>
      <c r="AA12" s="13">
        <v>15.189546355912301</v>
      </c>
    </row>
    <row r="13" spans="1:27" x14ac:dyDescent="0.25">
      <c r="A13" s="10" t="s">
        <v>701</v>
      </c>
      <c r="B13" s="10" t="s">
        <v>702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</row>
    <row r="14" spans="1:27" x14ac:dyDescent="0.25">
      <c r="A14" s="10" t="s">
        <v>703</v>
      </c>
      <c r="B14" s="10" t="s">
        <v>704</v>
      </c>
      <c r="C14" s="13">
        <v>7.6394196367400999</v>
      </c>
      <c r="D14" s="13">
        <v>7.1524699640255696</v>
      </c>
      <c r="E14" s="13">
        <v>8.9583024603590999</v>
      </c>
      <c r="F14" s="13">
        <v>9.7716846699207593</v>
      </c>
      <c r="G14" s="13">
        <v>9.4018505372439005</v>
      </c>
      <c r="H14" s="13">
        <v>5.8753038283388603</v>
      </c>
      <c r="I14" s="13">
        <v>6.23126328674251</v>
      </c>
      <c r="J14" s="13">
        <v>7.9160229355290701</v>
      </c>
      <c r="K14" s="13">
        <v>7.7716219756774398</v>
      </c>
      <c r="L14" s="13">
        <v>8.6912386768131302</v>
      </c>
      <c r="M14" s="13">
        <v>9.7408078727891603</v>
      </c>
      <c r="N14" s="13">
        <v>10.8356640966292</v>
      </c>
      <c r="O14" s="13">
        <v>5.9152966320560498</v>
      </c>
      <c r="P14" s="13">
        <v>6.5113538126678199</v>
      </c>
      <c r="Q14" s="13">
        <v>6.9437840294468902</v>
      </c>
      <c r="R14" s="13">
        <v>7.0082876315408402</v>
      </c>
      <c r="S14" s="13">
        <v>6.5199532279790802</v>
      </c>
      <c r="T14" s="13">
        <v>6.6238292481892502</v>
      </c>
      <c r="U14" s="13">
        <v>7.2579649315874804</v>
      </c>
      <c r="V14" s="13">
        <v>7.8467521216629104</v>
      </c>
      <c r="W14" s="13">
        <v>9.8897682271755993</v>
      </c>
      <c r="X14" s="13">
        <v>11.5845347252267</v>
      </c>
      <c r="Y14" s="13">
        <v>14.186873239946699</v>
      </c>
      <c r="Z14" s="13">
        <v>15.7203993184319</v>
      </c>
      <c r="AA14" s="13">
        <v>18.9232213683329</v>
      </c>
    </row>
    <row r="15" spans="1:27" x14ac:dyDescent="0.25">
      <c r="A15" s="10" t="s">
        <v>705</v>
      </c>
      <c r="B15" s="10" t="s">
        <v>706</v>
      </c>
      <c r="C15" s="13">
        <v>4.3428588828159498</v>
      </c>
      <c r="D15" s="13">
        <v>3.57814445273296</v>
      </c>
      <c r="E15" s="13">
        <v>4.1267845055908898</v>
      </c>
      <c r="F15" s="13">
        <v>4.3511486252327503</v>
      </c>
      <c r="G15" s="13">
        <v>4.5001651285753601</v>
      </c>
      <c r="H15" s="13">
        <v>2.7731672925315598</v>
      </c>
      <c r="I15" s="13">
        <v>2.6354445632618</v>
      </c>
      <c r="J15" s="13">
        <v>2.8818656263396099</v>
      </c>
      <c r="K15" s="13">
        <v>2.4028065633001199</v>
      </c>
      <c r="L15" s="13">
        <v>2.25094955831932</v>
      </c>
      <c r="M15" s="13">
        <v>1.7315235950625401</v>
      </c>
      <c r="N15" s="13">
        <v>1.5083663321335801</v>
      </c>
      <c r="O15" s="13" t="s">
        <v>141</v>
      </c>
      <c r="P15" s="13">
        <v>1.3504227862862901</v>
      </c>
      <c r="Q15" s="13">
        <v>1.4147507401931301</v>
      </c>
      <c r="R15" s="13">
        <v>1.83708056875642</v>
      </c>
      <c r="S15" s="13" t="s">
        <v>141</v>
      </c>
      <c r="T15" s="13">
        <v>2.7608139915667298</v>
      </c>
      <c r="U15" s="13">
        <v>3.2898790424487099</v>
      </c>
      <c r="V15" s="13">
        <v>3.6859421160900401</v>
      </c>
      <c r="W15" s="13" t="s">
        <v>141</v>
      </c>
      <c r="X15" s="13">
        <v>4.6523910761276897</v>
      </c>
      <c r="Y15" s="13">
        <v>4.8828402774674897</v>
      </c>
      <c r="Z15" s="13">
        <v>5.7867727575005503</v>
      </c>
      <c r="AA15" s="13">
        <v>7.0661815671432997</v>
      </c>
    </row>
    <row r="16" spans="1:27" x14ac:dyDescent="0.25">
      <c r="A16" s="10" t="s">
        <v>707</v>
      </c>
      <c r="B16" s="10" t="s">
        <v>708</v>
      </c>
      <c r="C16" s="13">
        <v>2.8792229343970299</v>
      </c>
      <c r="D16" s="13">
        <v>3.40568105728667</v>
      </c>
      <c r="E16" s="13">
        <v>4.4831277646211998</v>
      </c>
      <c r="F16" s="13">
        <v>5.3151597384976004</v>
      </c>
      <c r="G16" s="13">
        <v>4.8293799394565102</v>
      </c>
      <c r="H16" s="13">
        <v>2.86765773627361</v>
      </c>
      <c r="I16" s="13">
        <v>3.4701528905396102</v>
      </c>
      <c r="J16" s="13">
        <v>4.8704194393857003</v>
      </c>
      <c r="K16" s="13">
        <v>4.6806431964426798</v>
      </c>
      <c r="L16" s="13">
        <v>5.41766281539386</v>
      </c>
      <c r="M16" s="13">
        <v>6.9411356640436797</v>
      </c>
      <c r="N16" s="13">
        <v>8.3193412410253398</v>
      </c>
      <c r="O16" s="13" t="s">
        <v>141</v>
      </c>
      <c r="P16" s="13">
        <v>8.0255445242615409</v>
      </c>
      <c r="Q16" s="13">
        <v>8.44886285713714</v>
      </c>
      <c r="R16" s="13">
        <v>7.93343406790998</v>
      </c>
      <c r="S16" s="13" t="s">
        <v>141</v>
      </c>
      <c r="T16" s="13">
        <v>7.8324758659592497</v>
      </c>
      <c r="U16" s="13">
        <v>7.7757374699685498</v>
      </c>
      <c r="V16" s="13">
        <v>8.3048981785100704</v>
      </c>
      <c r="W16" s="13" t="s">
        <v>141</v>
      </c>
      <c r="X16" s="13">
        <v>12.1436490989755</v>
      </c>
      <c r="Y16" s="13">
        <v>13.736731793203599</v>
      </c>
      <c r="Z16" s="13">
        <v>13.393884443437001</v>
      </c>
      <c r="AA16" s="13">
        <v>15.4091683608059</v>
      </c>
    </row>
    <row r="17" spans="1:27" x14ac:dyDescent="0.25">
      <c r="A17" s="10" t="s">
        <v>709</v>
      </c>
      <c r="B17" s="10" t="s">
        <v>710</v>
      </c>
      <c r="C17" s="13">
        <v>0.41733781952712301</v>
      </c>
      <c r="D17" s="13">
        <v>0.168644454005942</v>
      </c>
      <c r="E17" s="13">
        <v>0.34839019014700601</v>
      </c>
      <c r="F17" s="13">
        <v>0.105376306190417</v>
      </c>
      <c r="G17" s="13">
        <v>7.2305469212024007E-2</v>
      </c>
      <c r="H17" s="13">
        <v>0.234478799533689</v>
      </c>
      <c r="I17" s="13">
        <v>0.12566583294109701</v>
      </c>
      <c r="J17" s="13">
        <v>0.16373786980375901</v>
      </c>
      <c r="K17" s="13">
        <v>0.68817221593463795</v>
      </c>
      <c r="L17" s="13">
        <v>1.0226263030999601</v>
      </c>
      <c r="M17" s="13">
        <v>1.0681486136829299</v>
      </c>
      <c r="N17" s="13">
        <v>1.0079565234702801</v>
      </c>
      <c r="O17" s="13" t="s">
        <v>141</v>
      </c>
      <c r="P17" s="13">
        <v>1.10845199554734</v>
      </c>
      <c r="Q17" s="13">
        <v>1.1845425851718501</v>
      </c>
      <c r="R17" s="13">
        <v>1.5607944998794401</v>
      </c>
      <c r="S17" s="13" t="s">
        <v>141</v>
      </c>
      <c r="T17" s="13">
        <v>1.3950975656467499</v>
      </c>
      <c r="U17" s="13">
        <v>1.5231502068211</v>
      </c>
      <c r="V17" s="13">
        <v>1.51921065232191</v>
      </c>
      <c r="W17" s="13" t="s">
        <v>141</v>
      </c>
      <c r="X17" s="13">
        <v>1.22513285479246</v>
      </c>
      <c r="Y17" s="13">
        <v>1.5449774943878301</v>
      </c>
      <c r="Z17" s="13">
        <v>2.1662341587373501</v>
      </c>
      <c r="AA17" s="13">
        <v>1.19119200701054</v>
      </c>
    </row>
    <row r="18" spans="1:27" x14ac:dyDescent="0.25">
      <c r="A18" s="10" t="s">
        <v>711</v>
      </c>
      <c r="B18" s="10" t="s">
        <v>712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 t="s">
        <v>141</v>
      </c>
      <c r="P18" s="13">
        <v>-3.9730654934273599</v>
      </c>
      <c r="Q18" s="13">
        <v>-4.1043721530552197</v>
      </c>
      <c r="R18" s="13">
        <v>-4.3230215050049896</v>
      </c>
      <c r="S18" s="13" t="s">
        <v>141</v>
      </c>
      <c r="T18" s="13">
        <v>-5.3645581749834799</v>
      </c>
      <c r="U18" s="13">
        <v>-5.3308017876508798</v>
      </c>
      <c r="V18" s="13">
        <v>-5.6632988252591003</v>
      </c>
      <c r="W18" s="13" t="s">
        <v>141</v>
      </c>
      <c r="X18" s="13">
        <v>-6.4366383046689499</v>
      </c>
      <c r="Y18" s="13">
        <v>-5.97767632511228</v>
      </c>
      <c r="Z18" s="13">
        <v>-5.6264920412429804</v>
      </c>
      <c r="AA18" s="13">
        <v>-4.7433205666267897</v>
      </c>
    </row>
    <row r="19" spans="1:27" x14ac:dyDescent="0.25">
      <c r="A19" s="10" t="s">
        <v>713</v>
      </c>
      <c r="B19" s="10" t="s">
        <v>714</v>
      </c>
      <c r="C19" s="13">
        <v>4.7368116559840399</v>
      </c>
      <c r="D19" s="13">
        <v>6.9371325860089303</v>
      </c>
      <c r="E19" s="13">
        <v>6.3395113611591603</v>
      </c>
      <c r="F19" s="13">
        <v>4.6411977890946696</v>
      </c>
      <c r="G19" s="13">
        <v>4.4934173495821303</v>
      </c>
      <c r="H19" s="13">
        <v>3.2623122574971499</v>
      </c>
      <c r="I19" s="13">
        <v>3.96924360822922</v>
      </c>
      <c r="J19" s="13">
        <v>5.9203125584392797</v>
      </c>
      <c r="K19" s="13">
        <v>7.1472078769250604</v>
      </c>
      <c r="L19" s="13">
        <v>6.3278935265129599</v>
      </c>
      <c r="M19" s="13">
        <v>5.1345506262429401</v>
      </c>
      <c r="N19" s="13">
        <v>5.5570580621121204</v>
      </c>
      <c r="O19" s="13">
        <v>4.7340924670915303</v>
      </c>
      <c r="P19" s="13">
        <v>4.5917515936696898</v>
      </c>
      <c r="Q19" s="13">
        <v>4.3155937244836498</v>
      </c>
      <c r="R19" s="13">
        <v>4.1425167189508496</v>
      </c>
      <c r="S19" s="13">
        <v>4.7913511398602298</v>
      </c>
      <c r="T19" s="13">
        <v>5.87521480260384</v>
      </c>
      <c r="U19" s="13">
        <v>4.7415296123664001</v>
      </c>
      <c r="V19" s="13">
        <v>4.9664164501671699</v>
      </c>
      <c r="W19" s="13">
        <v>5.5105165264953202</v>
      </c>
      <c r="X19" s="13">
        <v>9.9797635828227698</v>
      </c>
      <c r="Y19" s="13">
        <v>11.0204929127691</v>
      </c>
      <c r="Z19" s="13">
        <v>13.5150255532463</v>
      </c>
      <c r="AA19" s="13">
        <v>9.2532675207466308</v>
      </c>
    </row>
    <row r="20" spans="1:27" x14ac:dyDescent="0.25">
      <c r="A20" s="10" t="s">
        <v>715</v>
      </c>
      <c r="B20" s="10" t="s">
        <v>716</v>
      </c>
      <c r="C20" s="13">
        <v>0.22355860724997301</v>
      </c>
      <c r="D20" s="13">
        <v>0.96278059672232996</v>
      </c>
      <c r="E20" s="13">
        <v>1.00077070386948</v>
      </c>
      <c r="F20" s="13">
        <v>1.05405675283559</v>
      </c>
      <c r="G20" s="13">
        <v>0.91890486289939499</v>
      </c>
      <c r="H20" s="13">
        <v>0.81146425241603803</v>
      </c>
      <c r="I20" s="13">
        <v>0.82298460342076096</v>
      </c>
      <c r="J20" s="13">
        <v>1.0395718432719701</v>
      </c>
      <c r="K20" s="13">
        <v>1.1199718030313099</v>
      </c>
      <c r="L20" s="13">
        <v>1.2350496323456299</v>
      </c>
      <c r="M20" s="13">
        <v>0.92621688516396605</v>
      </c>
      <c r="N20" s="13">
        <v>0.94612837866771204</v>
      </c>
      <c r="O20" s="13">
        <v>0.80372328361034795</v>
      </c>
      <c r="P20" s="13">
        <v>0.91242129814138995</v>
      </c>
      <c r="Q20" s="13">
        <v>1.1449010011502101</v>
      </c>
      <c r="R20" s="13">
        <v>0.80452475469314</v>
      </c>
      <c r="S20" s="13">
        <v>0.76656631608961401</v>
      </c>
      <c r="T20" s="13">
        <v>3.45288853534201</v>
      </c>
      <c r="U20" s="13">
        <v>3.4040225343822099</v>
      </c>
      <c r="V20" s="13">
        <v>0.89455373126793003</v>
      </c>
      <c r="W20" s="13">
        <v>0.91702567194024598</v>
      </c>
      <c r="X20" s="13">
        <v>1.28979634876108</v>
      </c>
      <c r="Y20" s="13">
        <v>1.2456132819470001</v>
      </c>
      <c r="Z20" s="13">
        <v>1.1934107680863</v>
      </c>
      <c r="AA20" s="13">
        <v>0.84545892899452002</v>
      </c>
    </row>
    <row r="21" spans="1:27" x14ac:dyDescent="0.25">
      <c r="A21" s="10" t="s">
        <v>717</v>
      </c>
      <c r="B21" s="10" t="s">
        <v>718</v>
      </c>
      <c r="C21" s="13">
        <v>0</v>
      </c>
      <c r="D21" s="13" t="s">
        <v>141</v>
      </c>
      <c r="E21" s="13" t="s">
        <v>141</v>
      </c>
      <c r="F21" s="13" t="s">
        <v>141</v>
      </c>
      <c r="G21" s="13">
        <v>0</v>
      </c>
      <c r="H21" s="13" t="s">
        <v>141</v>
      </c>
      <c r="I21" s="13" t="s">
        <v>141</v>
      </c>
      <c r="J21" s="13" t="s">
        <v>141</v>
      </c>
      <c r="K21" s="13">
        <v>0</v>
      </c>
      <c r="L21" s="13" t="s">
        <v>141</v>
      </c>
      <c r="M21" s="13" t="s">
        <v>141</v>
      </c>
      <c r="N21" s="13" t="s">
        <v>141</v>
      </c>
      <c r="O21" s="13">
        <v>0</v>
      </c>
      <c r="P21" s="13" t="s">
        <v>141</v>
      </c>
      <c r="Q21" s="13" t="s">
        <v>141</v>
      </c>
      <c r="R21" s="13" t="s">
        <v>141</v>
      </c>
      <c r="S21" s="13">
        <v>0</v>
      </c>
      <c r="T21" s="13" t="s">
        <v>141</v>
      </c>
      <c r="U21" s="13" t="s">
        <v>141</v>
      </c>
      <c r="V21" s="13">
        <v>0</v>
      </c>
      <c r="W21" s="13">
        <v>0</v>
      </c>
      <c r="X21" s="13" t="s">
        <v>141</v>
      </c>
      <c r="Y21" s="13" t="s">
        <v>141</v>
      </c>
      <c r="Z21" s="13" t="s">
        <v>141</v>
      </c>
      <c r="AA21" s="13" t="s">
        <v>141</v>
      </c>
    </row>
    <row r="22" spans="1:27" x14ac:dyDescent="0.25">
      <c r="A22" s="10" t="s">
        <v>719</v>
      </c>
      <c r="B22" s="10" t="s">
        <v>720</v>
      </c>
      <c r="C22" s="13">
        <v>4.5132530487340698</v>
      </c>
      <c r="D22" s="13">
        <v>5.9743519892865997</v>
      </c>
      <c r="E22" s="13">
        <v>5.3387406572896703</v>
      </c>
      <c r="F22" s="13">
        <v>3.5871410362590801</v>
      </c>
      <c r="G22" s="13">
        <v>3.5745124866827398</v>
      </c>
      <c r="H22" s="13">
        <v>2.4508480050811099</v>
      </c>
      <c r="I22" s="13">
        <v>3.14625900480846</v>
      </c>
      <c r="J22" s="13">
        <v>4.8807407151673097</v>
      </c>
      <c r="K22" s="13">
        <v>6.02723607389375</v>
      </c>
      <c r="L22" s="13">
        <v>5.0928438941673297</v>
      </c>
      <c r="M22" s="13">
        <v>4.2083337410789801</v>
      </c>
      <c r="N22" s="13">
        <v>4.61092968344441</v>
      </c>
      <c r="O22" s="13">
        <v>3.9303691834811798</v>
      </c>
      <c r="P22" s="13">
        <v>3.6793302955282998</v>
      </c>
      <c r="Q22" s="13">
        <v>3.1706927233334401</v>
      </c>
      <c r="R22" s="13">
        <v>3.3379919642577098</v>
      </c>
      <c r="S22" s="13">
        <v>4.0247848237706201</v>
      </c>
      <c r="T22" s="13">
        <v>2.42232626726183</v>
      </c>
      <c r="U22" s="13">
        <v>1.33750707798419</v>
      </c>
      <c r="V22" s="13">
        <v>4.07186271889924</v>
      </c>
      <c r="W22" s="13">
        <v>4.5934908545550801</v>
      </c>
      <c r="X22" s="13">
        <v>8.6899672340616902</v>
      </c>
      <c r="Y22" s="13">
        <v>9.7748796308221007</v>
      </c>
      <c r="Z22" s="13">
        <v>12.3216147851599</v>
      </c>
      <c r="AA22" s="13">
        <v>8.4078085917521097</v>
      </c>
    </row>
    <row r="23" spans="1:27" x14ac:dyDescent="0.25">
      <c r="A23" s="6" t="s">
        <v>110</v>
      </c>
      <c r="B23" s="6" t="s">
        <v>111</v>
      </c>
      <c r="C23" s="19">
        <v>86.852488467335505</v>
      </c>
      <c r="D23" s="19">
        <v>85.107554120765101</v>
      </c>
      <c r="E23" s="19">
        <v>81.671609203360006</v>
      </c>
      <c r="F23" s="19">
        <v>80.0189724341692</v>
      </c>
      <c r="G23" s="19">
        <v>80.584555156784404</v>
      </c>
      <c r="H23" s="19">
        <v>86.427304447191901</v>
      </c>
      <c r="I23" s="19">
        <v>85.306427965174294</v>
      </c>
      <c r="J23" s="19">
        <v>83.529437573183898</v>
      </c>
      <c r="K23" s="19">
        <v>83.264013551698994</v>
      </c>
      <c r="L23" s="19">
        <v>82.139552073912</v>
      </c>
      <c r="M23" s="19">
        <v>82.100654821383898</v>
      </c>
      <c r="N23" s="19">
        <v>82.086065078066497</v>
      </c>
      <c r="O23" s="19">
        <v>82.723014866069406</v>
      </c>
      <c r="P23" s="19">
        <v>82.814773077534696</v>
      </c>
      <c r="Q23" s="19">
        <v>82.396433859118204</v>
      </c>
      <c r="R23" s="19">
        <v>83.200412908262606</v>
      </c>
      <c r="S23" s="19">
        <v>81.763482917280101</v>
      </c>
      <c r="T23" s="19">
        <v>81.325197252356901</v>
      </c>
      <c r="U23" s="19">
        <v>79.101120001023702</v>
      </c>
      <c r="V23" s="19">
        <v>78.812859217926302</v>
      </c>
      <c r="W23" s="19">
        <v>79.009678439099005</v>
      </c>
      <c r="X23" s="19">
        <v>76.444500269043502</v>
      </c>
      <c r="Y23" s="19">
        <v>78.371337198113295</v>
      </c>
      <c r="Z23" s="19">
        <v>74.594950907433301</v>
      </c>
      <c r="AA23" s="19">
        <v>77.550563651902195</v>
      </c>
    </row>
    <row r="24" spans="1:27" x14ac:dyDescent="0.25">
      <c r="A24" s="10" t="s">
        <v>721</v>
      </c>
      <c r="B24" s="10" t="s">
        <v>722</v>
      </c>
      <c r="C24" s="13">
        <v>5.9086217133809402</v>
      </c>
      <c r="D24" s="13">
        <v>7.5043726879491999</v>
      </c>
      <c r="E24" s="13">
        <v>8.9629369825141207</v>
      </c>
      <c r="F24" s="13">
        <v>9.3408400735402104</v>
      </c>
      <c r="G24" s="13">
        <v>9.1919562085601303</v>
      </c>
      <c r="H24" s="13">
        <v>6.7999869715151204</v>
      </c>
      <c r="I24" s="13">
        <v>7.8922513469275302</v>
      </c>
      <c r="J24" s="13">
        <v>8.7317273859768694</v>
      </c>
      <c r="K24" s="13">
        <v>9.4545280324640402</v>
      </c>
      <c r="L24" s="13">
        <v>9.6980977733160305</v>
      </c>
      <c r="M24" s="13">
        <v>10.010536147466899</v>
      </c>
      <c r="N24" s="13">
        <v>10.2137390702039</v>
      </c>
      <c r="O24" s="13">
        <v>7.5187088584594397</v>
      </c>
      <c r="P24" s="13">
        <v>7.6314871567335896</v>
      </c>
      <c r="Q24" s="13">
        <v>7.6844276312518502</v>
      </c>
      <c r="R24" s="13">
        <v>7.0984924982945996</v>
      </c>
      <c r="S24" s="13">
        <v>8.5852486569666109</v>
      </c>
      <c r="T24" s="13">
        <v>8.0031087141388308</v>
      </c>
      <c r="U24" s="13">
        <v>10.352315660499899</v>
      </c>
      <c r="V24" s="13">
        <v>11.1206940075062</v>
      </c>
      <c r="W24" s="13">
        <v>10.938817169519099</v>
      </c>
      <c r="X24" s="13">
        <v>11.6478336178837</v>
      </c>
      <c r="Y24" s="13">
        <v>11.687236092384399</v>
      </c>
      <c r="Z24" s="13">
        <v>12.408171927596401</v>
      </c>
      <c r="AA24" s="13">
        <v>12.3296661538621</v>
      </c>
    </row>
    <row r="25" spans="1:27" x14ac:dyDescent="0.25">
      <c r="A25" s="10" t="s">
        <v>723</v>
      </c>
      <c r="B25" s="10" t="s">
        <v>724</v>
      </c>
      <c r="C25" s="13">
        <v>7.62285522890246</v>
      </c>
      <c r="D25" s="13">
        <v>9.2408708204868404</v>
      </c>
      <c r="E25" s="13">
        <v>11.1599293492845</v>
      </c>
      <c r="F25" s="13">
        <v>11.9664957385446</v>
      </c>
      <c r="G25" s="13">
        <v>11.9895414911604</v>
      </c>
      <c r="H25" s="13" t="s">
        <v>141</v>
      </c>
      <c r="I25" s="13" t="s">
        <v>141</v>
      </c>
      <c r="J25" s="13" t="s">
        <v>141</v>
      </c>
      <c r="K25" s="13">
        <v>12.001736847501199</v>
      </c>
      <c r="L25" s="13" t="s">
        <v>141</v>
      </c>
      <c r="M25" s="13" t="s">
        <v>141</v>
      </c>
      <c r="N25" s="13" t="s">
        <v>141</v>
      </c>
      <c r="O25" s="13">
        <v>11.0966291335316</v>
      </c>
      <c r="P25" s="13" t="s">
        <v>141</v>
      </c>
      <c r="Q25" s="13" t="s">
        <v>141</v>
      </c>
      <c r="R25" s="13" t="s">
        <v>141</v>
      </c>
      <c r="S25" s="13">
        <v>13.3441547440421</v>
      </c>
      <c r="T25" s="13" t="s">
        <v>141</v>
      </c>
      <c r="U25" s="13" t="s">
        <v>141</v>
      </c>
      <c r="V25" s="13" t="s">
        <v>141</v>
      </c>
      <c r="W25" s="13">
        <v>16.788581426806999</v>
      </c>
      <c r="X25" s="13" t="s">
        <v>141</v>
      </c>
      <c r="Y25" s="13" t="s">
        <v>141</v>
      </c>
      <c r="Z25" s="13" t="s">
        <v>141</v>
      </c>
      <c r="AA25" s="13">
        <v>18.237684804574499</v>
      </c>
    </row>
    <row r="26" spans="1:27" x14ac:dyDescent="0.25">
      <c r="A26" s="10" t="s">
        <v>725</v>
      </c>
      <c r="B26" s="10" t="s">
        <v>726</v>
      </c>
      <c r="C26" s="13">
        <v>1.71423351552152</v>
      </c>
      <c r="D26" s="13">
        <v>1.7364981325376401</v>
      </c>
      <c r="E26" s="13">
        <v>2.1969923667703601</v>
      </c>
      <c r="F26" s="13">
        <v>2.6256556650043801</v>
      </c>
      <c r="G26" s="13">
        <v>2.7975852826002798</v>
      </c>
      <c r="H26" s="13" t="s">
        <v>141</v>
      </c>
      <c r="I26" s="13" t="s">
        <v>141</v>
      </c>
      <c r="J26" s="13" t="s">
        <v>141</v>
      </c>
      <c r="K26" s="13">
        <v>2.5472088150371301</v>
      </c>
      <c r="L26" s="13" t="s">
        <v>141</v>
      </c>
      <c r="M26" s="13" t="s">
        <v>141</v>
      </c>
      <c r="N26" s="13" t="s">
        <v>141</v>
      </c>
      <c r="O26" s="13">
        <v>3.5779202750721599</v>
      </c>
      <c r="P26" s="13" t="s">
        <v>141</v>
      </c>
      <c r="Q26" s="13" t="s">
        <v>141</v>
      </c>
      <c r="R26" s="13" t="s">
        <v>141</v>
      </c>
      <c r="S26" s="13">
        <v>4.7589060870754896</v>
      </c>
      <c r="T26" s="13" t="s">
        <v>141</v>
      </c>
      <c r="U26" s="13" t="s">
        <v>141</v>
      </c>
      <c r="V26" s="13" t="s">
        <v>141</v>
      </c>
      <c r="W26" s="13">
        <v>5.84976425728793</v>
      </c>
      <c r="X26" s="13" t="s">
        <v>141</v>
      </c>
      <c r="Y26" s="13" t="s">
        <v>141</v>
      </c>
      <c r="Z26" s="13" t="s">
        <v>141</v>
      </c>
      <c r="AA26" s="13">
        <v>5.9080186507124504</v>
      </c>
    </row>
    <row r="27" spans="1:27" x14ac:dyDescent="0.25">
      <c r="A27" s="10" t="s">
        <v>727</v>
      </c>
      <c r="B27" s="10" t="s">
        <v>728</v>
      </c>
      <c r="C27" s="13">
        <v>0</v>
      </c>
      <c r="D27" s="13">
        <v>0</v>
      </c>
      <c r="E27" s="13">
        <v>0</v>
      </c>
      <c r="F27" s="13">
        <v>1.8698714221102299</v>
      </c>
      <c r="G27" s="13">
        <v>1.75206355859212</v>
      </c>
      <c r="H27" s="13">
        <v>1.2252204324642699</v>
      </c>
      <c r="I27" s="13">
        <v>1.22721027747418</v>
      </c>
      <c r="J27" s="13">
        <v>1.2731131844768</v>
      </c>
      <c r="K27" s="13">
        <v>1.42284798764908</v>
      </c>
      <c r="L27" s="13">
        <v>1.5814942176662901</v>
      </c>
      <c r="M27" s="13">
        <v>1.57252091553939</v>
      </c>
      <c r="N27" s="13">
        <v>1.4558912906456201</v>
      </c>
      <c r="O27" s="13">
        <v>1.2310139791497601</v>
      </c>
      <c r="P27" s="13">
        <v>1.2148929667811199</v>
      </c>
      <c r="Q27" s="13">
        <v>1.22718731949815</v>
      </c>
      <c r="R27" s="13">
        <v>1.18701620234026</v>
      </c>
      <c r="S27" s="13">
        <v>1.17658867280874</v>
      </c>
      <c r="T27" s="13">
        <v>1.29319501429185</v>
      </c>
      <c r="U27" s="13">
        <v>1.2899366260489</v>
      </c>
      <c r="V27" s="13">
        <v>1.0553405835340799</v>
      </c>
      <c r="W27" s="13">
        <v>0.576522035327099</v>
      </c>
      <c r="X27" s="13">
        <v>1.4249228922724799</v>
      </c>
      <c r="Y27" s="13">
        <v>0.31393671678264801</v>
      </c>
      <c r="Z27" s="13">
        <v>5.1507333189997402</v>
      </c>
      <c r="AA27" s="13">
        <v>3.4456482217657398</v>
      </c>
    </row>
    <row r="28" spans="1:27" x14ac:dyDescent="0.25">
      <c r="A28" s="10" t="s">
        <v>729</v>
      </c>
      <c r="B28" s="10" t="s">
        <v>730</v>
      </c>
      <c r="C28" s="13" t="s">
        <v>141</v>
      </c>
      <c r="D28" s="13" t="s">
        <v>141</v>
      </c>
      <c r="E28" s="13" t="s">
        <v>141</v>
      </c>
      <c r="F28" s="13">
        <v>1.8698714221102299</v>
      </c>
      <c r="G28" s="13">
        <v>1.75206355859212</v>
      </c>
      <c r="H28" s="13">
        <v>0.81872491847018403</v>
      </c>
      <c r="I28" s="13">
        <v>0.82475356767138097</v>
      </c>
      <c r="J28" s="13">
        <v>0.83444098244160403</v>
      </c>
      <c r="K28" s="13">
        <v>0.98783201629098605</v>
      </c>
      <c r="L28" s="13">
        <v>1.1328159326899401</v>
      </c>
      <c r="M28" s="13">
        <v>1.11109782162342</v>
      </c>
      <c r="N28" s="13">
        <v>0.97561506984026103</v>
      </c>
      <c r="O28" s="13">
        <v>0.79378038065117396</v>
      </c>
      <c r="P28" s="13">
        <v>0.776793316043629</v>
      </c>
      <c r="Q28" s="13">
        <v>0.49168244154785001</v>
      </c>
      <c r="R28" s="13">
        <v>0.45054907103561997</v>
      </c>
      <c r="S28" s="13">
        <v>0.393080605018722</v>
      </c>
      <c r="T28" s="13">
        <v>0.39139992143241398</v>
      </c>
      <c r="U28" s="13">
        <v>0.38312288660189597</v>
      </c>
      <c r="V28" s="13">
        <v>0.37460120840966699</v>
      </c>
      <c r="W28" s="13">
        <v>0.27727949969613203</v>
      </c>
      <c r="X28" s="13">
        <v>0.80005954623904996</v>
      </c>
      <c r="Y28" s="13">
        <v>-0.232838831898423</v>
      </c>
      <c r="Z28" s="13">
        <v>4.9180623866993098</v>
      </c>
      <c r="AA28" s="13">
        <v>3.26639790894821</v>
      </c>
    </row>
    <row r="29" spans="1:27" x14ac:dyDescent="0.25">
      <c r="A29" s="10" t="s">
        <v>731</v>
      </c>
      <c r="B29" s="10" t="s">
        <v>732</v>
      </c>
      <c r="C29" s="13" t="s">
        <v>141</v>
      </c>
      <c r="D29" s="13" t="s">
        <v>141</v>
      </c>
      <c r="E29" s="13" t="s">
        <v>141</v>
      </c>
      <c r="F29" s="13" t="s">
        <v>141</v>
      </c>
      <c r="G29" s="13" t="s">
        <v>141</v>
      </c>
      <c r="H29" s="13">
        <v>0.32455855828957703</v>
      </c>
      <c r="I29" s="13">
        <v>0.33180219649863002</v>
      </c>
      <c r="J29" s="13">
        <v>0.34401855096480599</v>
      </c>
      <c r="K29" s="13">
        <v>0.31208978536665799</v>
      </c>
      <c r="L29" s="13">
        <v>0.33686130608162101</v>
      </c>
      <c r="M29" s="13">
        <v>0.33761339406387603</v>
      </c>
      <c r="N29" s="13">
        <v>0.349896214359605</v>
      </c>
      <c r="O29" s="13">
        <v>0.31461505082316399</v>
      </c>
      <c r="P29" s="13">
        <v>0.31588722296062299</v>
      </c>
      <c r="Q29" s="13">
        <v>0.61728086095647705</v>
      </c>
      <c r="R29" s="13">
        <v>0.60275988237564204</v>
      </c>
      <c r="S29" s="13">
        <v>0.60811298933692504</v>
      </c>
      <c r="T29" s="13">
        <v>0.62174282776638601</v>
      </c>
      <c r="U29" s="13">
        <v>0.60859467223734698</v>
      </c>
      <c r="V29" s="13">
        <v>0.24118027839921899</v>
      </c>
      <c r="W29" s="13">
        <v>0.19993408026034601</v>
      </c>
      <c r="X29" s="13">
        <v>0.48316190529356801</v>
      </c>
      <c r="Y29" s="13">
        <v>0.45496001030296501</v>
      </c>
      <c r="Z29" s="13">
        <v>0.13119684972002299</v>
      </c>
      <c r="AA29" s="13">
        <v>9.36118610012735E-2</v>
      </c>
    </row>
    <row r="30" spans="1:27" x14ac:dyDescent="0.25">
      <c r="A30" s="10" t="s">
        <v>733</v>
      </c>
      <c r="B30" s="10" t="s">
        <v>734</v>
      </c>
      <c r="C30" s="13" t="s">
        <v>141</v>
      </c>
      <c r="D30" s="13" t="s">
        <v>141</v>
      </c>
      <c r="E30" s="13" t="s">
        <v>141</v>
      </c>
      <c r="F30" s="13" t="s">
        <v>141</v>
      </c>
      <c r="G30" s="13" t="s">
        <v>141</v>
      </c>
      <c r="H30" s="13">
        <v>8.1936955704508499E-2</v>
      </c>
      <c r="I30" s="13">
        <v>7.0654513304171995E-2</v>
      </c>
      <c r="J30" s="13">
        <v>9.4653651070391795E-2</v>
      </c>
      <c r="K30" s="13">
        <v>0.12292618599144001</v>
      </c>
      <c r="L30" s="13">
        <v>0.111816978894726</v>
      </c>
      <c r="M30" s="13">
        <v>0.12380969985208801</v>
      </c>
      <c r="N30" s="13">
        <v>0.13038000644575301</v>
      </c>
      <c r="O30" s="13">
        <v>0.122618547675426</v>
      </c>
      <c r="P30" s="13">
        <v>0.122212427776872</v>
      </c>
      <c r="Q30" s="13">
        <v>0.11822401699382699</v>
      </c>
      <c r="R30" s="13">
        <v>0.13370724892899499</v>
      </c>
      <c r="S30" s="13">
        <v>0.17539507845309699</v>
      </c>
      <c r="T30" s="13">
        <v>0.28005226509304898</v>
      </c>
      <c r="U30" s="13">
        <v>0.29821906720965902</v>
      </c>
      <c r="V30" s="13">
        <v>0.43955909672519</v>
      </c>
      <c r="W30" s="13">
        <v>9.9308455370620899E-2</v>
      </c>
      <c r="X30" s="13">
        <v>0.14170144073986199</v>
      </c>
      <c r="Y30" s="13">
        <v>9.1815538378106604E-2</v>
      </c>
      <c r="Z30" s="13">
        <v>0.101474082580403</v>
      </c>
      <c r="AA30" s="13">
        <v>8.5638451816259398E-2</v>
      </c>
    </row>
    <row r="31" spans="1:27" x14ac:dyDescent="0.25">
      <c r="A31" s="10" t="s">
        <v>735</v>
      </c>
      <c r="B31" s="10" t="s">
        <v>736</v>
      </c>
      <c r="C31" s="13">
        <v>7.2388898192835303</v>
      </c>
      <c r="D31" s="13">
        <v>7.3880731912856898</v>
      </c>
      <c r="E31" s="13">
        <v>9.3654538141259103</v>
      </c>
      <c r="F31" s="13">
        <v>8.7703160701803906</v>
      </c>
      <c r="G31" s="13">
        <v>8.4714250760633796</v>
      </c>
      <c r="H31" s="13">
        <v>5.5474881488287302</v>
      </c>
      <c r="I31" s="13">
        <v>5.57411041042399</v>
      </c>
      <c r="J31" s="13">
        <v>6.4657218563623697</v>
      </c>
      <c r="K31" s="13">
        <v>5.8586104281878599</v>
      </c>
      <c r="L31" s="13">
        <v>6.5808559351056504</v>
      </c>
      <c r="M31" s="13">
        <v>6.31628811560984</v>
      </c>
      <c r="N31" s="13">
        <v>6.2443045610840304</v>
      </c>
      <c r="O31" s="13">
        <v>8.5272622963213802</v>
      </c>
      <c r="P31" s="13">
        <v>8.3388467989505806</v>
      </c>
      <c r="Q31" s="13">
        <v>8.6919511901317801</v>
      </c>
      <c r="R31" s="13">
        <v>8.5140783911025704</v>
      </c>
      <c r="S31" s="13">
        <v>8.4746797529445104</v>
      </c>
      <c r="T31" s="13">
        <v>9.37849901921245</v>
      </c>
      <c r="U31" s="13">
        <v>9.2566277124275</v>
      </c>
      <c r="V31" s="13">
        <v>9.0111061910334307</v>
      </c>
      <c r="W31" s="13">
        <v>9.4749823560548094</v>
      </c>
      <c r="X31" s="13">
        <v>10.4827432208002</v>
      </c>
      <c r="Y31" s="13">
        <v>9.6274899927195907</v>
      </c>
      <c r="Z31" s="13">
        <v>7.8461438459705102</v>
      </c>
      <c r="AA31" s="13">
        <v>6.67412197247004</v>
      </c>
    </row>
    <row r="32" spans="1:27" x14ac:dyDescent="0.25">
      <c r="A32" s="10" t="s">
        <v>737</v>
      </c>
      <c r="B32" s="10" t="s">
        <v>738</v>
      </c>
      <c r="C32" s="13">
        <v>0.70483991291506198</v>
      </c>
      <c r="D32" s="13">
        <v>0.59987932145048495</v>
      </c>
      <c r="E32" s="13">
        <v>0.67658301830979595</v>
      </c>
      <c r="F32" s="13">
        <v>0.70338978073035097</v>
      </c>
      <c r="G32" s="13">
        <v>0.68558531771067099</v>
      </c>
      <c r="H32" s="13">
        <v>0.43472389790553501</v>
      </c>
      <c r="I32" s="13">
        <v>0.45455444126223599</v>
      </c>
      <c r="J32" s="13">
        <v>0.47988537989487401</v>
      </c>
      <c r="K32" s="13">
        <v>0.45659254911184199</v>
      </c>
      <c r="L32" s="13">
        <v>0.51077070178173101</v>
      </c>
      <c r="M32" s="13">
        <v>0.51122242869253598</v>
      </c>
      <c r="N32" s="13">
        <v>0.53354007823551697</v>
      </c>
      <c r="O32" s="13">
        <v>0.45232266848455499</v>
      </c>
      <c r="P32" s="13">
        <v>0.43610367802146099</v>
      </c>
      <c r="Q32" s="13">
        <v>0.43585721421771401</v>
      </c>
      <c r="R32" s="13">
        <v>0.413700367124619</v>
      </c>
      <c r="S32" s="13">
        <v>0.44691062362907702</v>
      </c>
      <c r="T32" s="13">
        <v>0.23527789198329599</v>
      </c>
      <c r="U32" s="13">
        <v>0.57641183790856398</v>
      </c>
      <c r="V32" s="13">
        <v>0.627100881208423</v>
      </c>
      <c r="W32" s="13">
        <v>1.1598443411946899</v>
      </c>
      <c r="X32" s="13">
        <v>0.89722536235592198</v>
      </c>
      <c r="Y32" s="13">
        <v>0.82505489512031405</v>
      </c>
      <c r="Z32" s="13">
        <v>0.76584737386852098</v>
      </c>
      <c r="AA32" s="13">
        <v>0.95461389144506203</v>
      </c>
    </row>
    <row r="33" spans="1:27" x14ac:dyDescent="0.25">
      <c r="A33" s="11" t="s">
        <v>739</v>
      </c>
      <c r="B33" s="11" t="s">
        <v>740</v>
      </c>
      <c r="C33" s="25">
        <v>0</v>
      </c>
      <c r="D33" s="25" t="s">
        <v>141</v>
      </c>
      <c r="E33" s="25" t="s">
        <v>141</v>
      </c>
      <c r="F33" s="25" t="s">
        <v>141</v>
      </c>
      <c r="G33" s="25">
        <v>0</v>
      </c>
      <c r="H33" s="25" t="s">
        <v>141</v>
      </c>
      <c r="I33" s="25" t="s">
        <v>141</v>
      </c>
      <c r="J33" s="25" t="s">
        <v>141</v>
      </c>
      <c r="K33" s="25">
        <v>0</v>
      </c>
      <c r="L33" s="25" t="s">
        <v>141</v>
      </c>
      <c r="M33" s="25" t="s">
        <v>141</v>
      </c>
      <c r="N33" s="25" t="s">
        <v>141</v>
      </c>
      <c r="O33" s="25">
        <v>0</v>
      </c>
      <c r="P33" s="25" t="s">
        <v>141</v>
      </c>
      <c r="Q33" s="25" t="s">
        <v>141</v>
      </c>
      <c r="R33" s="25" t="s">
        <v>141</v>
      </c>
      <c r="S33" s="25">
        <v>0</v>
      </c>
      <c r="T33" s="25" t="s">
        <v>141</v>
      </c>
      <c r="U33" s="25" t="s">
        <v>141</v>
      </c>
      <c r="V33" s="25" t="s">
        <v>141</v>
      </c>
      <c r="W33" s="25">
        <v>0</v>
      </c>
      <c r="X33" s="25" t="s">
        <v>141</v>
      </c>
      <c r="Y33" s="25" t="s">
        <v>141</v>
      </c>
      <c r="Z33" s="25" t="s">
        <v>141</v>
      </c>
      <c r="AA33" s="25">
        <v>0</v>
      </c>
    </row>
    <row r="34" spans="1:27" x14ac:dyDescent="0.25">
      <c r="A34" s="11" t="s">
        <v>741</v>
      </c>
      <c r="B34" s="11" t="s">
        <v>742</v>
      </c>
      <c r="C34" s="25">
        <v>0.70483991291506198</v>
      </c>
      <c r="D34" s="25" t="s">
        <v>141</v>
      </c>
      <c r="E34" s="25" t="s">
        <v>141</v>
      </c>
      <c r="F34" s="25" t="s">
        <v>141</v>
      </c>
      <c r="G34" s="25">
        <v>0.68558531771067099</v>
      </c>
      <c r="H34" s="25" t="s">
        <v>141</v>
      </c>
      <c r="I34" s="25" t="s">
        <v>141</v>
      </c>
      <c r="J34" s="25" t="s">
        <v>141</v>
      </c>
      <c r="K34" s="25">
        <v>0.45659254911184199</v>
      </c>
      <c r="L34" s="25" t="s">
        <v>141</v>
      </c>
      <c r="M34" s="25" t="s">
        <v>141</v>
      </c>
      <c r="N34" s="25" t="s">
        <v>141</v>
      </c>
      <c r="O34" s="25">
        <v>0.45232266848455499</v>
      </c>
      <c r="P34" s="25" t="s">
        <v>141</v>
      </c>
      <c r="Q34" s="25" t="s">
        <v>141</v>
      </c>
      <c r="R34" s="25" t="s">
        <v>141</v>
      </c>
      <c r="S34" s="25">
        <v>0.44691062362907702</v>
      </c>
      <c r="T34" s="25">
        <v>0.23527789198329599</v>
      </c>
      <c r="U34" s="25">
        <v>0.57641183790856398</v>
      </c>
      <c r="V34" s="25">
        <v>0.627100881208423</v>
      </c>
      <c r="W34" s="25">
        <v>1.1598443411946899</v>
      </c>
      <c r="X34" s="25" t="s">
        <v>141</v>
      </c>
      <c r="Y34" s="25">
        <v>0.82505489512031405</v>
      </c>
      <c r="Z34" s="25">
        <v>0.76584737386852098</v>
      </c>
      <c r="AA34" s="25">
        <v>0.95461389144506203</v>
      </c>
    </row>
    <row r="35" spans="1:27" x14ac:dyDescent="0.25">
      <c r="A35" s="10" t="s">
        <v>743</v>
      </c>
      <c r="B35" s="10" t="s">
        <v>744</v>
      </c>
      <c r="C35" s="13" t="s">
        <v>141</v>
      </c>
      <c r="D35" s="13" t="s">
        <v>141</v>
      </c>
      <c r="E35" s="13" t="s">
        <v>141</v>
      </c>
      <c r="F35" s="13">
        <v>7.1842675641861504</v>
      </c>
      <c r="G35" s="13">
        <v>6.9538331224881</v>
      </c>
      <c r="H35" s="13">
        <v>4.7882056926336096</v>
      </c>
      <c r="I35" s="13">
        <v>4.7877537726631196</v>
      </c>
      <c r="J35" s="13">
        <v>5.6418179255026901</v>
      </c>
      <c r="K35" s="13">
        <v>5.0899280937093598</v>
      </c>
      <c r="L35" s="13">
        <v>5.7332239272422996</v>
      </c>
      <c r="M35" s="13">
        <v>5.4674522928534302</v>
      </c>
      <c r="N35" s="13">
        <v>5.3608682684889102</v>
      </c>
      <c r="O35" s="13">
        <v>3.6459005061668202</v>
      </c>
      <c r="P35" s="13">
        <v>3.1544876338037899</v>
      </c>
      <c r="Q35" s="13">
        <v>3.5344409619023698</v>
      </c>
      <c r="R35" s="13">
        <v>3.1745966365973199</v>
      </c>
      <c r="S35" s="13">
        <v>3.1824601085678599</v>
      </c>
      <c r="T35" s="13">
        <v>3.1569201244792899</v>
      </c>
      <c r="U35" s="13">
        <v>2.7408194146307099</v>
      </c>
      <c r="V35" s="13">
        <v>2.6067086063092102</v>
      </c>
      <c r="W35" s="13">
        <v>2.5057771667744899</v>
      </c>
      <c r="X35" s="13">
        <v>2.6657176484818002</v>
      </c>
      <c r="Y35" s="13">
        <v>2.36979876218403</v>
      </c>
      <c r="Z35" s="13">
        <v>1.3226075811389899</v>
      </c>
      <c r="AA35" s="13">
        <v>1.15876849181199</v>
      </c>
    </row>
    <row r="36" spans="1:27" x14ac:dyDescent="0.25">
      <c r="A36" s="10" t="s">
        <v>717</v>
      </c>
      <c r="B36" s="10" t="s">
        <v>745</v>
      </c>
      <c r="C36" s="13">
        <v>0</v>
      </c>
      <c r="D36" s="13" t="s">
        <v>141</v>
      </c>
      <c r="E36" s="13" t="s">
        <v>141</v>
      </c>
      <c r="F36" s="13" t="s">
        <v>141</v>
      </c>
      <c r="G36" s="13">
        <v>0</v>
      </c>
      <c r="H36" s="13" t="s">
        <v>141</v>
      </c>
      <c r="I36" s="13" t="s">
        <v>141</v>
      </c>
      <c r="J36" s="13" t="s">
        <v>141</v>
      </c>
      <c r="K36" s="13">
        <v>0</v>
      </c>
      <c r="L36" s="13" t="s">
        <v>141</v>
      </c>
      <c r="M36" s="13" t="s">
        <v>141</v>
      </c>
      <c r="N36" s="13" t="s">
        <v>141</v>
      </c>
      <c r="O36" s="13">
        <v>0</v>
      </c>
      <c r="P36" s="13" t="s">
        <v>141</v>
      </c>
      <c r="Q36" s="13" t="s">
        <v>141</v>
      </c>
      <c r="R36" s="13" t="s">
        <v>141</v>
      </c>
      <c r="S36" s="13">
        <v>0</v>
      </c>
      <c r="T36" s="13" t="s">
        <v>141</v>
      </c>
      <c r="U36" s="13" t="s">
        <v>141</v>
      </c>
      <c r="V36" s="13">
        <v>0</v>
      </c>
      <c r="W36" s="13">
        <v>0</v>
      </c>
      <c r="X36" s="13" t="s">
        <v>141</v>
      </c>
      <c r="Y36" s="13" t="s">
        <v>141</v>
      </c>
      <c r="Z36" s="13" t="s">
        <v>141</v>
      </c>
      <c r="AA36" s="13" t="s">
        <v>141</v>
      </c>
    </row>
    <row r="37" spans="1:27" x14ac:dyDescent="0.25">
      <c r="A37" s="10" t="s">
        <v>746</v>
      </c>
      <c r="B37" s="10" t="s">
        <v>747</v>
      </c>
      <c r="C37" s="13">
        <v>6.5340499063684696</v>
      </c>
      <c r="D37" s="13">
        <v>6.7881938698352</v>
      </c>
      <c r="E37" s="13">
        <v>8.6888707958161095</v>
      </c>
      <c r="F37" s="13">
        <v>0.88265872526388101</v>
      </c>
      <c r="G37" s="13">
        <v>0.83200663586460999</v>
      </c>
      <c r="H37" s="13">
        <v>0.32455855828957703</v>
      </c>
      <c r="I37" s="13">
        <v>0.33180219649863002</v>
      </c>
      <c r="J37" s="13">
        <v>0.34401855096480599</v>
      </c>
      <c r="K37" s="13">
        <v>0.31208978536665799</v>
      </c>
      <c r="L37" s="13">
        <v>0.33686130608162101</v>
      </c>
      <c r="M37" s="13">
        <v>0.33761339406387603</v>
      </c>
      <c r="N37" s="13">
        <v>0.349896214359605</v>
      </c>
      <c r="O37" s="13">
        <v>4.4290391216699998</v>
      </c>
      <c r="P37" s="13">
        <v>4.74825548712532</v>
      </c>
      <c r="Q37" s="13">
        <v>4.7216530140117001</v>
      </c>
      <c r="R37" s="13">
        <v>4.9257813873806304</v>
      </c>
      <c r="S37" s="13">
        <v>4.8453090207475702</v>
      </c>
      <c r="T37" s="13">
        <v>5.9863010027498698</v>
      </c>
      <c r="U37" s="13">
        <v>5.9393964598882203</v>
      </c>
      <c r="V37" s="13">
        <v>5.7772967035158</v>
      </c>
      <c r="W37" s="13">
        <v>5.80936084808563</v>
      </c>
      <c r="X37" s="13">
        <v>6.9198002099625198</v>
      </c>
      <c r="Y37" s="13">
        <v>6.4326363354152498</v>
      </c>
      <c r="Z37" s="13">
        <v>5.7576888909630002</v>
      </c>
      <c r="AA37" s="13">
        <v>4.5607395892129903</v>
      </c>
    </row>
    <row r="38" spans="1:27" x14ac:dyDescent="0.25">
      <c r="A38" s="6" t="s">
        <v>748</v>
      </c>
      <c r="B38" s="6" t="s">
        <v>749</v>
      </c>
      <c r="C38" s="19">
        <v>13.147511532664501</v>
      </c>
      <c r="D38" s="19">
        <v>14.8924458792349</v>
      </c>
      <c r="E38" s="19">
        <v>18.328390796640001</v>
      </c>
      <c r="F38" s="19">
        <v>19.9810275658308</v>
      </c>
      <c r="G38" s="19">
        <v>19.415444843215599</v>
      </c>
      <c r="H38" s="19">
        <v>13.572695552808099</v>
      </c>
      <c r="I38" s="19">
        <v>14.693572034825699</v>
      </c>
      <c r="J38" s="19">
        <v>16.470562426815999</v>
      </c>
      <c r="K38" s="19">
        <v>16.735986448300999</v>
      </c>
      <c r="L38" s="19">
        <v>17.860447926088</v>
      </c>
      <c r="M38" s="19">
        <v>17.899345178616201</v>
      </c>
      <c r="N38" s="19">
        <v>17.9139349219335</v>
      </c>
      <c r="O38" s="19">
        <v>17.276985133930602</v>
      </c>
      <c r="P38" s="19">
        <v>17.185226922465301</v>
      </c>
      <c r="Q38" s="19">
        <v>17.603566140881799</v>
      </c>
      <c r="R38" s="19">
        <v>16.799587091737401</v>
      </c>
      <c r="S38" s="19">
        <v>18.236517082719899</v>
      </c>
      <c r="T38" s="19">
        <v>18.674802747643099</v>
      </c>
      <c r="U38" s="19">
        <v>20.898879998976302</v>
      </c>
      <c r="V38" s="19">
        <v>21.187140782073701</v>
      </c>
      <c r="W38" s="19">
        <v>20.990321560900998</v>
      </c>
      <c r="X38" s="19">
        <v>23.555499730956399</v>
      </c>
      <c r="Y38" s="19">
        <v>21.628662801886701</v>
      </c>
      <c r="Z38" s="19">
        <v>25.405049092566699</v>
      </c>
      <c r="AA38" s="19">
        <v>22.449436348097901</v>
      </c>
    </row>
    <row r="39" spans="1:27" x14ac:dyDescent="0.25">
      <c r="A39" s="6" t="s">
        <v>112</v>
      </c>
      <c r="B39" s="6" t="s">
        <v>113</v>
      </c>
      <c r="C39" s="19">
        <v>100</v>
      </c>
      <c r="D39" s="19">
        <v>100</v>
      </c>
      <c r="E39" s="19">
        <v>100</v>
      </c>
      <c r="F39" s="19">
        <v>100</v>
      </c>
      <c r="G39" s="19">
        <v>100</v>
      </c>
      <c r="H39" s="19">
        <v>100</v>
      </c>
      <c r="I39" s="19">
        <v>100</v>
      </c>
      <c r="J39" s="19">
        <v>100</v>
      </c>
      <c r="K39" s="19">
        <v>100</v>
      </c>
      <c r="L39" s="19">
        <v>100</v>
      </c>
      <c r="M39" s="19">
        <v>100</v>
      </c>
      <c r="N39" s="19">
        <v>100</v>
      </c>
      <c r="O39" s="19">
        <v>100</v>
      </c>
      <c r="P39" s="19">
        <v>100</v>
      </c>
      <c r="Q39" s="19">
        <v>100</v>
      </c>
      <c r="R39" s="19">
        <v>100</v>
      </c>
      <c r="S39" s="19">
        <v>100</v>
      </c>
      <c r="T39" s="19">
        <v>100</v>
      </c>
      <c r="U39" s="19">
        <v>100</v>
      </c>
      <c r="V39" s="19">
        <v>100</v>
      </c>
      <c r="W39" s="19">
        <v>100</v>
      </c>
      <c r="X39" s="19">
        <v>100</v>
      </c>
      <c r="Y39" s="19">
        <v>100</v>
      </c>
      <c r="Z39" s="19">
        <v>100</v>
      </c>
      <c r="AA39" s="19">
        <v>100</v>
      </c>
    </row>
    <row r="40" spans="1:27" x14ac:dyDescent="0.25">
      <c r="A40" s="6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 x14ac:dyDescent="0.25">
      <c r="A41" s="6" t="s">
        <v>750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x14ac:dyDescent="0.25">
      <c r="A42" s="10" t="s">
        <v>751</v>
      </c>
      <c r="B42" s="10" t="s">
        <v>752</v>
      </c>
      <c r="C42" s="13">
        <v>10.226329491649301</v>
      </c>
      <c r="D42" s="13">
        <v>6.1029230177784504</v>
      </c>
      <c r="E42" s="13">
        <v>8.2512803582657295</v>
      </c>
      <c r="F42" s="13">
        <v>11.5134481077493</v>
      </c>
      <c r="G42" s="13">
        <v>13.4832144883044</v>
      </c>
      <c r="H42" s="13">
        <v>6.8838239145982802</v>
      </c>
      <c r="I42" s="13">
        <v>8.6973381944008494</v>
      </c>
      <c r="J42" s="13">
        <v>9.8390528305469491</v>
      </c>
      <c r="K42" s="13">
        <v>9.5055211246087605</v>
      </c>
      <c r="L42" s="13">
        <v>9.3043515682042006</v>
      </c>
      <c r="M42" s="13">
        <v>11.4829147325932</v>
      </c>
      <c r="N42" s="13">
        <v>9.9605667154230098</v>
      </c>
      <c r="O42" s="13">
        <v>10.590589375897</v>
      </c>
      <c r="P42" s="13">
        <v>11.3840794671996</v>
      </c>
      <c r="Q42" s="13">
        <v>14.6789315325109</v>
      </c>
      <c r="R42" s="13">
        <v>15.4447397762273</v>
      </c>
      <c r="S42" s="13">
        <v>15.963029901232799</v>
      </c>
      <c r="T42" s="13">
        <v>14.7809029781821</v>
      </c>
      <c r="U42" s="13">
        <v>13.9695574700325</v>
      </c>
      <c r="V42" s="13">
        <v>12.6168478252131</v>
      </c>
      <c r="W42" s="13">
        <v>14.1540585975024</v>
      </c>
      <c r="X42" s="13">
        <v>11.625565805572201</v>
      </c>
      <c r="Y42" s="13">
        <v>13.3699368943394</v>
      </c>
      <c r="Z42" s="13">
        <v>12.878124987847</v>
      </c>
      <c r="AA42" s="13">
        <v>14.4955065045104</v>
      </c>
    </row>
    <row r="43" spans="1:27" x14ac:dyDescent="0.25">
      <c r="A43" s="10" t="s">
        <v>753</v>
      </c>
      <c r="B43" s="10" t="s">
        <v>754</v>
      </c>
      <c r="C43" s="13">
        <v>2.0601373262488001</v>
      </c>
      <c r="D43" s="13">
        <v>1.3493083897051501</v>
      </c>
      <c r="E43" s="13">
        <v>2.5200929421949199</v>
      </c>
      <c r="F43" s="13">
        <v>4.8133594130880404</v>
      </c>
      <c r="G43" s="13">
        <v>3.7356362826430698</v>
      </c>
      <c r="H43" s="13">
        <v>0.90232436313101605</v>
      </c>
      <c r="I43" s="13">
        <v>3.1792796708200299</v>
      </c>
      <c r="J43" s="13">
        <v>2.6802231409476298</v>
      </c>
      <c r="K43" s="13">
        <v>3.72195966252088</v>
      </c>
      <c r="L43" s="13">
        <v>2.7719544790619799</v>
      </c>
      <c r="M43" s="13">
        <v>2.77923056040924</v>
      </c>
      <c r="N43" s="13">
        <v>1.65887992643728</v>
      </c>
      <c r="O43" s="13">
        <v>2.4377901469326</v>
      </c>
      <c r="P43" s="13">
        <v>1.76715571270296</v>
      </c>
      <c r="Q43" s="13">
        <v>1.8755341019395999</v>
      </c>
      <c r="R43" s="13">
        <v>3.7533399088572801</v>
      </c>
      <c r="S43" s="13">
        <v>3.0646989514654002</v>
      </c>
      <c r="T43" s="13">
        <v>3.4874987989356101</v>
      </c>
      <c r="U43" s="13">
        <v>3.5124716480746301</v>
      </c>
      <c r="V43" s="13">
        <v>2.8281764166205998</v>
      </c>
      <c r="W43" s="13">
        <v>5.0517433198063104</v>
      </c>
      <c r="X43" s="13">
        <v>2.8388669467200698</v>
      </c>
      <c r="Y43" s="13">
        <v>3.1369432843387601</v>
      </c>
      <c r="Z43" s="13">
        <v>3.29933826564598</v>
      </c>
      <c r="AA43" s="13">
        <v>5.4108664951038001</v>
      </c>
    </row>
    <row r="44" spans="1:27" x14ac:dyDescent="0.25">
      <c r="A44" s="10" t="s">
        <v>755</v>
      </c>
      <c r="B44" s="10" t="s">
        <v>756</v>
      </c>
      <c r="C44" s="13">
        <v>8.1661921654004797</v>
      </c>
      <c r="D44" s="13">
        <v>4.75361462807329</v>
      </c>
      <c r="E44" s="13">
        <v>5.7311874160708101</v>
      </c>
      <c r="F44" s="13">
        <v>6.7000886946612797</v>
      </c>
      <c r="G44" s="13">
        <v>9.7475782056613305</v>
      </c>
      <c r="H44" s="13">
        <v>5.9814995514672704</v>
      </c>
      <c r="I44" s="13">
        <v>5.5180585235808097</v>
      </c>
      <c r="J44" s="13">
        <v>7.1588296895993198</v>
      </c>
      <c r="K44" s="13">
        <v>5.7835614620878797</v>
      </c>
      <c r="L44" s="13">
        <v>6.5323970891422203</v>
      </c>
      <c r="M44" s="13">
        <v>8.7036841721839195</v>
      </c>
      <c r="N44" s="13">
        <v>8.3016867889857195</v>
      </c>
      <c r="O44" s="13">
        <v>8.15279922896441</v>
      </c>
      <c r="P44" s="13">
        <v>9.6169237544966606</v>
      </c>
      <c r="Q44" s="13">
        <v>12.8033974305713</v>
      </c>
      <c r="R44" s="13">
        <v>11.69139986737</v>
      </c>
      <c r="S44" s="13">
        <v>12.8983309497674</v>
      </c>
      <c r="T44" s="13">
        <v>11.293404179246499</v>
      </c>
      <c r="U44" s="13">
        <v>10.4570858219579</v>
      </c>
      <c r="V44" s="13">
        <v>9.7886714085925099</v>
      </c>
      <c r="W44" s="13">
        <v>9.1023152776960892</v>
      </c>
      <c r="X44" s="13">
        <v>8.7866988588521497</v>
      </c>
      <c r="Y44" s="13">
        <v>10.232993610000699</v>
      </c>
      <c r="Z44" s="13">
        <v>9.5787867222010199</v>
      </c>
      <c r="AA44" s="13">
        <v>9.0846400094066109</v>
      </c>
    </row>
    <row r="45" spans="1:27" x14ac:dyDescent="0.25">
      <c r="A45" s="10" t="s">
        <v>757</v>
      </c>
      <c r="B45" s="10" t="s">
        <v>758</v>
      </c>
      <c r="C45" s="13">
        <v>0</v>
      </c>
      <c r="D45" s="13">
        <v>0.344417598700542</v>
      </c>
      <c r="E45" s="13">
        <v>0.409726088297374</v>
      </c>
      <c r="F45" s="13">
        <v>0.44617526300022903</v>
      </c>
      <c r="G45" s="13">
        <v>0.43043149577962098</v>
      </c>
      <c r="H45" s="13">
        <v>0</v>
      </c>
      <c r="I45" s="13">
        <v>0</v>
      </c>
      <c r="J45" s="13">
        <v>0</v>
      </c>
      <c r="K45" s="13">
        <v>0.70123877699668802</v>
      </c>
      <c r="L45" s="13" t="s">
        <v>141</v>
      </c>
      <c r="M45" s="13">
        <v>0</v>
      </c>
      <c r="N45" s="13">
        <v>0</v>
      </c>
      <c r="O45" s="13">
        <v>0.47805350361851801</v>
      </c>
      <c r="P45" s="13" t="s">
        <v>141</v>
      </c>
      <c r="Q45" s="13">
        <v>0</v>
      </c>
      <c r="R45" s="13">
        <v>0</v>
      </c>
      <c r="S45" s="13">
        <v>0.49511470205212599</v>
      </c>
      <c r="T45" s="13">
        <v>0</v>
      </c>
      <c r="U45" s="13">
        <v>0</v>
      </c>
      <c r="V45" s="13">
        <v>0.57725695700591695</v>
      </c>
      <c r="W45" s="13">
        <v>3.7777647081887502</v>
      </c>
      <c r="X45" s="13">
        <v>3.2746089564366501</v>
      </c>
      <c r="Y45" s="13">
        <v>2.67225853666941</v>
      </c>
      <c r="Z45" s="13">
        <v>2.5443522020125902</v>
      </c>
      <c r="AA45" s="13">
        <v>0.33995487958764398</v>
      </c>
    </row>
    <row r="46" spans="1:27" x14ac:dyDescent="0.25">
      <c r="A46" s="10" t="s">
        <v>759</v>
      </c>
      <c r="B46" s="10" t="s">
        <v>760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 t="s">
        <v>141</v>
      </c>
      <c r="M46" s="13">
        <v>0</v>
      </c>
      <c r="N46" s="13">
        <v>0</v>
      </c>
      <c r="O46" s="13">
        <v>0</v>
      </c>
      <c r="P46" s="13" t="s">
        <v>141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</row>
    <row r="47" spans="1:27" x14ac:dyDescent="0.25">
      <c r="A47" s="10" t="s">
        <v>761</v>
      </c>
      <c r="B47" s="10" t="s">
        <v>762</v>
      </c>
      <c r="C47" s="13">
        <v>0</v>
      </c>
      <c r="D47" s="13">
        <v>0.344417598700542</v>
      </c>
      <c r="E47" s="13">
        <v>0.409726088297374</v>
      </c>
      <c r="F47" s="13">
        <v>0.44617526300022903</v>
      </c>
      <c r="G47" s="13">
        <v>0.43043149577962098</v>
      </c>
      <c r="H47" s="13" t="s">
        <v>141</v>
      </c>
      <c r="I47" s="13" t="s">
        <v>141</v>
      </c>
      <c r="J47" s="13" t="s">
        <v>141</v>
      </c>
      <c r="K47" s="13">
        <v>0.70123877699668802</v>
      </c>
      <c r="L47" s="13" t="s">
        <v>141</v>
      </c>
      <c r="M47" s="13" t="s">
        <v>141</v>
      </c>
      <c r="N47" s="13" t="s">
        <v>141</v>
      </c>
      <c r="O47" s="13">
        <v>0.47805350361851801</v>
      </c>
      <c r="P47" s="13" t="s">
        <v>141</v>
      </c>
      <c r="Q47" s="13" t="s">
        <v>141</v>
      </c>
      <c r="R47" s="13" t="s">
        <v>141</v>
      </c>
      <c r="S47" s="13">
        <v>0.49511470205212599</v>
      </c>
      <c r="T47" s="13" t="s">
        <v>141</v>
      </c>
      <c r="U47" s="13" t="s">
        <v>141</v>
      </c>
      <c r="V47" s="13">
        <v>0.57725695700591695</v>
      </c>
      <c r="W47" s="13">
        <v>0.54662535042835603</v>
      </c>
      <c r="X47" s="13" t="s">
        <v>141</v>
      </c>
      <c r="Y47" s="13" t="s">
        <v>141</v>
      </c>
      <c r="Z47" s="13" t="s">
        <v>141</v>
      </c>
      <c r="AA47" s="13">
        <v>0.33995487958764398</v>
      </c>
    </row>
    <row r="48" spans="1:27" x14ac:dyDescent="0.25">
      <c r="A48" s="11" t="s">
        <v>763</v>
      </c>
      <c r="B48" s="11" t="s">
        <v>764</v>
      </c>
      <c r="C48" s="25">
        <v>0</v>
      </c>
      <c r="D48" s="25" t="s">
        <v>141</v>
      </c>
      <c r="E48" s="25" t="s">
        <v>141</v>
      </c>
      <c r="F48" s="25" t="s">
        <v>141</v>
      </c>
      <c r="G48" s="25" t="s">
        <v>141</v>
      </c>
      <c r="H48" s="25" t="s">
        <v>141</v>
      </c>
      <c r="I48" s="25" t="s">
        <v>141</v>
      </c>
      <c r="J48" s="25" t="s">
        <v>141</v>
      </c>
      <c r="K48" s="25">
        <v>0</v>
      </c>
      <c r="L48" s="25" t="s">
        <v>141</v>
      </c>
      <c r="M48" s="25" t="s">
        <v>141</v>
      </c>
      <c r="N48" s="25" t="s">
        <v>141</v>
      </c>
      <c r="O48" s="25">
        <v>0</v>
      </c>
      <c r="P48" s="25" t="s">
        <v>141</v>
      </c>
      <c r="Q48" s="25" t="s">
        <v>141</v>
      </c>
      <c r="R48" s="25" t="s">
        <v>141</v>
      </c>
      <c r="S48" s="25">
        <v>0</v>
      </c>
      <c r="T48" s="25" t="s">
        <v>141</v>
      </c>
      <c r="U48" s="25" t="s">
        <v>141</v>
      </c>
      <c r="V48" s="25" t="s">
        <v>141</v>
      </c>
      <c r="W48" s="25">
        <v>0</v>
      </c>
      <c r="X48" s="25" t="s">
        <v>141</v>
      </c>
      <c r="Y48" s="25" t="s">
        <v>141</v>
      </c>
      <c r="Z48" s="25" t="s">
        <v>141</v>
      </c>
      <c r="AA48" s="25">
        <v>0</v>
      </c>
    </row>
    <row r="49" spans="1:27" x14ac:dyDescent="0.25">
      <c r="A49" s="11" t="s">
        <v>765</v>
      </c>
      <c r="B49" s="11" t="s">
        <v>766</v>
      </c>
      <c r="C49" s="25" t="s">
        <v>141</v>
      </c>
      <c r="D49" s="25">
        <v>0.344417598700542</v>
      </c>
      <c r="E49" s="25">
        <v>0.409726088297374</v>
      </c>
      <c r="F49" s="25">
        <v>0.44617526300022903</v>
      </c>
      <c r="G49" s="25">
        <v>0.43043149577962098</v>
      </c>
      <c r="H49" s="25" t="s">
        <v>141</v>
      </c>
      <c r="I49" s="25" t="s">
        <v>141</v>
      </c>
      <c r="J49" s="25" t="s">
        <v>141</v>
      </c>
      <c r="K49" s="25">
        <v>0.70123877699668802</v>
      </c>
      <c r="L49" s="25" t="s">
        <v>141</v>
      </c>
      <c r="M49" s="25" t="s">
        <v>141</v>
      </c>
      <c r="N49" s="25" t="s">
        <v>141</v>
      </c>
      <c r="O49" s="25">
        <v>0.47805350361851801</v>
      </c>
      <c r="P49" s="25" t="s">
        <v>141</v>
      </c>
      <c r="Q49" s="25" t="s">
        <v>141</v>
      </c>
      <c r="R49" s="25" t="s">
        <v>141</v>
      </c>
      <c r="S49" s="25">
        <v>0.49511470205212599</v>
      </c>
      <c r="T49" s="25" t="s">
        <v>141</v>
      </c>
      <c r="U49" s="25" t="s">
        <v>141</v>
      </c>
      <c r="V49" s="25">
        <v>0.57725695700591695</v>
      </c>
      <c r="W49" s="25">
        <v>0.54662535042835603</v>
      </c>
      <c r="X49" s="25" t="s">
        <v>141</v>
      </c>
      <c r="Y49" s="25" t="s">
        <v>141</v>
      </c>
      <c r="Z49" s="25" t="s">
        <v>141</v>
      </c>
      <c r="AA49" s="25">
        <v>0.33995487958764398</v>
      </c>
    </row>
    <row r="50" spans="1:27" x14ac:dyDescent="0.25">
      <c r="A50" s="10" t="s">
        <v>767</v>
      </c>
      <c r="B50" s="10" t="s">
        <v>768</v>
      </c>
      <c r="C50" s="13">
        <v>0</v>
      </c>
      <c r="D50" s="13" t="s">
        <v>141</v>
      </c>
      <c r="E50" s="13" t="s">
        <v>141</v>
      </c>
      <c r="F50" s="13" t="s">
        <v>141</v>
      </c>
      <c r="G50" s="13">
        <v>0</v>
      </c>
      <c r="H50" s="13" t="s">
        <v>141</v>
      </c>
      <c r="I50" s="13" t="s">
        <v>141</v>
      </c>
      <c r="J50" s="13" t="s">
        <v>141</v>
      </c>
      <c r="K50" s="13">
        <v>0</v>
      </c>
      <c r="L50" s="13" t="s">
        <v>141</v>
      </c>
      <c r="M50" s="13" t="s">
        <v>141</v>
      </c>
      <c r="N50" s="13" t="s">
        <v>141</v>
      </c>
      <c r="O50" s="13" t="s">
        <v>141</v>
      </c>
      <c r="P50" s="13" t="s">
        <v>141</v>
      </c>
      <c r="Q50" s="13" t="s">
        <v>141</v>
      </c>
      <c r="R50" s="13" t="s">
        <v>141</v>
      </c>
      <c r="S50" s="13" t="s">
        <v>141</v>
      </c>
      <c r="T50" s="13" t="s">
        <v>141</v>
      </c>
      <c r="U50" s="13" t="s">
        <v>141</v>
      </c>
      <c r="V50" s="13" t="s">
        <v>141</v>
      </c>
      <c r="W50" s="13">
        <v>3.2311393577604002</v>
      </c>
      <c r="X50" s="13">
        <v>3.2746089564366501</v>
      </c>
      <c r="Y50" s="13">
        <v>2.67225853666941</v>
      </c>
      <c r="Z50" s="13">
        <v>2.5443522020125902</v>
      </c>
      <c r="AA50" s="13" t="s">
        <v>141</v>
      </c>
    </row>
    <row r="51" spans="1:27" x14ac:dyDescent="0.25">
      <c r="A51" s="10" t="s">
        <v>769</v>
      </c>
      <c r="B51" s="10" t="s">
        <v>770</v>
      </c>
      <c r="C51" s="13">
        <v>0.35114108673477201</v>
      </c>
      <c r="D51" s="13">
        <v>0.54722884879283296</v>
      </c>
      <c r="E51" s="13">
        <v>0.61313011621207303</v>
      </c>
      <c r="F51" s="13">
        <v>0.71936656739913196</v>
      </c>
      <c r="G51" s="13">
        <v>0.61146946876875496</v>
      </c>
      <c r="H51" s="13">
        <v>3.51280523636522</v>
      </c>
      <c r="I51" s="13">
        <v>3.6124331132071199</v>
      </c>
      <c r="J51" s="13">
        <v>3.7687760908905199</v>
      </c>
      <c r="K51" s="13">
        <v>3.7317763353187798</v>
      </c>
      <c r="L51" s="13">
        <v>3.8857123432275</v>
      </c>
      <c r="M51" s="13">
        <v>3.9216070035116899</v>
      </c>
      <c r="N51" s="13">
        <v>4.0669471846407799</v>
      </c>
      <c r="O51" s="13">
        <v>3.3130832719711201</v>
      </c>
      <c r="P51" s="13">
        <v>3.5026703497271399</v>
      </c>
      <c r="Q51" s="13">
        <v>3.5256984576821102</v>
      </c>
      <c r="R51" s="13">
        <v>3.6581606254964498</v>
      </c>
      <c r="S51" s="13">
        <v>3.3478499638469401</v>
      </c>
      <c r="T51" s="13">
        <v>2.7655528850710498</v>
      </c>
      <c r="U51" s="13">
        <v>1.9828272907875799</v>
      </c>
      <c r="V51" s="13">
        <v>1.3006048479808501</v>
      </c>
      <c r="W51" s="13">
        <v>2.09096066380443</v>
      </c>
      <c r="X51" s="13">
        <v>3.97812295988227</v>
      </c>
      <c r="Y51" s="13">
        <v>4.0640641166828297</v>
      </c>
      <c r="Z51" s="13">
        <v>4.0081290379212504</v>
      </c>
      <c r="AA51" s="13">
        <v>3.6266143314965098</v>
      </c>
    </row>
    <row r="52" spans="1:27" x14ac:dyDescent="0.25">
      <c r="A52" s="10" t="s">
        <v>771</v>
      </c>
      <c r="B52" s="10" t="s">
        <v>772</v>
      </c>
      <c r="C52" s="13">
        <v>0.20114793782257201</v>
      </c>
      <c r="D52" s="13">
        <v>0.2029130885307</v>
      </c>
      <c r="E52" s="13">
        <v>0.18898551454353099</v>
      </c>
      <c r="F52" s="13">
        <v>0.194012229290384</v>
      </c>
      <c r="G52" s="13">
        <v>0</v>
      </c>
      <c r="H52" s="13">
        <v>3.08995625957628</v>
      </c>
      <c r="I52" s="13">
        <v>3.0978032585708899</v>
      </c>
      <c r="J52" s="13">
        <v>3.2094492538472799</v>
      </c>
      <c r="K52" s="13">
        <v>2.9900312190297398</v>
      </c>
      <c r="L52" s="13">
        <v>3.2273591411645999</v>
      </c>
      <c r="M52" s="13">
        <v>3.23456465269313</v>
      </c>
      <c r="N52" s="13">
        <v>3.3522423783476798</v>
      </c>
      <c r="O52" s="13">
        <v>2.8349662354263399</v>
      </c>
      <c r="P52" s="13">
        <v>2.9201408044228101</v>
      </c>
      <c r="Q52" s="13">
        <v>2.97792384211037</v>
      </c>
      <c r="R52" s="13">
        <v>2.8276231572083601</v>
      </c>
      <c r="S52" s="13">
        <v>2.8527352617948201</v>
      </c>
      <c r="T52" s="13">
        <v>2.1975066230121998</v>
      </c>
      <c r="U52" s="13">
        <v>1.4392381049877001</v>
      </c>
      <c r="V52" s="13">
        <v>0.72334789097493801</v>
      </c>
      <c r="W52" s="13">
        <v>1.54433531337607</v>
      </c>
      <c r="X52" s="13">
        <v>3.47353061126385</v>
      </c>
      <c r="Y52" s="13">
        <v>3.5638680157476501</v>
      </c>
      <c r="Z52" s="13">
        <v>3.5278702331764999</v>
      </c>
      <c r="AA52" s="13">
        <v>3.2866594519088599</v>
      </c>
    </row>
    <row r="53" spans="1:27" x14ac:dyDescent="0.25">
      <c r="A53" s="10" t="s">
        <v>773</v>
      </c>
      <c r="B53" s="10" t="s">
        <v>774</v>
      </c>
      <c r="C53" s="13">
        <v>0</v>
      </c>
      <c r="D53" s="13" t="s">
        <v>141</v>
      </c>
      <c r="E53" s="13" t="s">
        <v>141</v>
      </c>
      <c r="F53" s="13" t="s">
        <v>141</v>
      </c>
      <c r="G53" s="13">
        <v>0</v>
      </c>
      <c r="H53" s="13" t="s">
        <v>141</v>
      </c>
      <c r="I53" s="13" t="s">
        <v>141</v>
      </c>
      <c r="J53" s="13" t="s">
        <v>141</v>
      </c>
      <c r="K53" s="13">
        <v>0</v>
      </c>
      <c r="L53" s="13" t="s">
        <v>141</v>
      </c>
      <c r="M53" s="13" t="s">
        <v>141</v>
      </c>
      <c r="N53" s="13" t="s">
        <v>141</v>
      </c>
      <c r="O53" s="13">
        <v>0</v>
      </c>
      <c r="P53" s="13" t="s">
        <v>141</v>
      </c>
      <c r="Q53" s="13" t="s">
        <v>141</v>
      </c>
      <c r="R53" s="13" t="s">
        <v>141</v>
      </c>
      <c r="S53" s="13">
        <v>0</v>
      </c>
      <c r="T53" s="13" t="s">
        <v>141</v>
      </c>
      <c r="U53" s="13" t="s">
        <v>141</v>
      </c>
      <c r="V53" s="13">
        <v>0</v>
      </c>
      <c r="W53" s="13">
        <v>0</v>
      </c>
      <c r="X53" s="13" t="s">
        <v>141</v>
      </c>
      <c r="Y53" s="13" t="s">
        <v>141</v>
      </c>
      <c r="Z53" s="13" t="s">
        <v>141</v>
      </c>
      <c r="AA53" s="13" t="s">
        <v>141</v>
      </c>
    </row>
    <row r="54" spans="1:27" x14ac:dyDescent="0.25">
      <c r="A54" s="10" t="s">
        <v>775</v>
      </c>
      <c r="B54" s="10" t="s">
        <v>776</v>
      </c>
      <c r="C54" s="13">
        <v>0.1499931489122</v>
      </c>
      <c r="D54" s="13">
        <v>0.34431576026213201</v>
      </c>
      <c r="E54" s="13">
        <v>0.42414460166854201</v>
      </c>
      <c r="F54" s="13">
        <v>0.52535433810874799</v>
      </c>
      <c r="G54" s="13">
        <v>0.61146946876875496</v>
      </c>
      <c r="H54" s="13">
        <v>0.42284897678894001</v>
      </c>
      <c r="I54" s="13">
        <v>0.51462985463623001</v>
      </c>
      <c r="J54" s="13">
        <v>0.55932683704323904</v>
      </c>
      <c r="K54" s="13">
        <v>0.74174511628904305</v>
      </c>
      <c r="L54" s="13">
        <v>0.65835320206290004</v>
      </c>
      <c r="M54" s="13">
        <v>0.68704235081855403</v>
      </c>
      <c r="N54" s="13">
        <v>0.71470480629309896</v>
      </c>
      <c r="O54" s="13">
        <v>0.478117036544774</v>
      </c>
      <c r="P54" s="13">
        <v>0.58252954530432699</v>
      </c>
      <c r="Q54" s="13">
        <v>0.54777461557173501</v>
      </c>
      <c r="R54" s="13">
        <v>0.83053746828809405</v>
      </c>
      <c r="S54" s="13">
        <v>0.49511470205212599</v>
      </c>
      <c r="T54" s="13">
        <v>0.56804626205885</v>
      </c>
      <c r="U54" s="13">
        <v>0.54358918579988402</v>
      </c>
      <c r="V54" s="13">
        <v>0.57725695700591695</v>
      </c>
      <c r="W54" s="13">
        <v>0.54662535042835603</v>
      </c>
      <c r="X54" s="13">
        <v>0.50459234861841895</v>
      </c>
      <c r="Y54" s="13">
        <v>0.50019610093518097</v>
      </c>
      <c r="Z54" s="13">
        <v>0.48025880474475402</v>
      </c>
      <c r="AA54" s="13">
        <v>0.33995487958764398</v>
      </c>
    </row>
    <row r="55" spans="1:27" x14ac:dyDescent="0.25">
      <c r="A55" s="6" t="s">
        <v>114</v>
      </c>
      <c r="B55" s="6" t="s">
        <v>115</v>
      </c>
      <c r="C55" s="19">
        <v>10.5774705783841</v>
      </c>
      <c r="D55" s="19">
        <v>6.9945694652718204</v>
      </c>
      <c r="E55" s="19">
        <v>9.2741365627751708</v>
      </c>
      <c r="F55" s="19">
        <v>12.6789899381487</v>
      </c>
      <c r="G55" s="19">
        <v>14.5251154528528</v>
      </c>
      <c r="H55" s="19">
        <v>10.3966291509635</v>
      </c>
      <c r="I55" s="19">
        <v>12.309771307608001</v>
      </c>
      <c r="J55" s="19">
        <v>13.6078289214375</v>
      </c>
      <c r="K55" s="19">
        <v>13.9385362369242</v>
      </c>
      <c r="L55" s="19">
        <v>13.1900639114317</v>
      </c>
      <c r="M55" s="19">
        <v>15.404521736104799</v>
      </c>
      <c r="N55" s="19">
        <v>14.0275139000638</v>
      </c>
      <c r="O55" s="19">
        <v>14.3817261514866</v>
      </c>
      <c r="P55" s="19">
        <v>14.8867498169268</v>
      </c>
      <c r="Q55" s="19">
        <v>18.204629990192998</v>
      </c>
      <c r="R55" s="19">
        <v>19.102900401723701</v>
      </c>
      <c r="S55" s="19">
        <v>19.805994567131901</v>
      </c>
      <c r="T55" s="19">
        <v>17.5464558632532</v>
      </c>
      <c r="U55" s="19">
        <v>15.952384760820101</v>
      </c>
      <c r="V55" s="19">
        <v>14.4947096301999</v>
      </c>
      <c r="W55" s="19">
        <v>20.022783969495599</v>
      </c>
      <c r="X55" s="19">
        <v>18.878297721891101</v>
      </c>
      <c r="Y55" s="19">
        <v>20.1062595476917</v>
      </c>
      <c r="Z55" s="19">
        <v>19.4306062277808</v>
      </c>
      <c r="AA55" s="19">
        <v>18.462075715594601</v>
      </c>
    </row>
    <row r="56" spans="1:27" x14ac:dyDescent="0.25">
      <c r="A56" s="10" t="s">
        <v>777</v>
      </c>
      <c r="B56" s="10" t="s">
        <v>778</v>
      </c>
      <c r="C56" s="13">
        <v>25.611132256443799</v>
      </c>
      <c r="D56" s="13">
        <v>24.335160484649101</v>
      </c>
      <c r="E56" s="13">
        <v>27.535298180005999</v>
      </c>
      <c r="F56" s="13">
        <v>28.5562741193677</v>
      </c>
      <c r="G56" s="13">
        <v>40.026947227979498</v>
      </c>
      <c r="H56" s="13">
        <v>25.555373096450101</v>
      </c>
      <c r="I56" s="13">
        <v>26.588469197302999</v>
      </c>
      <c r="J56" s="13">
        <v>27.6444403207291</v>
      </c>
      <c r="K56" s="13">
        <v>35.9451043616181</v>
      </c>
      <c r="L56" s="13">
        <v>41.652367088053701</v>
      </c>
      <c r="M56" s="13">
        <v>41.980404287961903</v>
      </c>
      <c r="N56" s="13">
        <v>43.510336118229198</v>
      </c>
      <c r="O56" s="13">
        <v>36.162560427754499</v>
      </c>
      <c r="P56" s="13">
        <v>37.218903235897201</v>
      </c>
      <c r="Q56" s="13">
        <v>38.047945628297398</v>
      </c>
      <c r="R56" s="13">
        <v>49.997607844243099</v>
      </c>
      <c r="S56" s="13">
        <v>51.204686408176002</v>
      </c>
      <c r="T56" s="13">
        <v>42.101473763197802</v>
      </c>
      <c r="U56" s="13">
        <v>43.657550329666101</v>
      </c>
      <c r="V56" s="13">
        <v>44.104058678196999</v>
      </c>
      <c r="W56" s="13">
        <v>39.0090474230038</v>
      </c>
      <c r="X56" s="13">
        <v>39.504029450577399</v>
      </c>
      <c r="Y56" s="13">
        <v>37.333967631518298</v>
      </c>
      <c r="Z56" s="13">
        <v>36.2777206471008</v>
      </c>
      <c r="AA56" s="13">
        <v>33.5488004182507</v>
      </c>
    </row>
    <row r="57" spans="1:27" x14ac:dyDescent="0.25">
      <c r="A57" s="10" t="s">
        <v>779</v>
      </c>
      <c r="B57" s="10" t="s">
        <v>780</v>
      </c>
      <c r="C57" s="13">
        <v>25.611132256443799</v>
      </c>
      <c r="D57" s="13">
        <v>21.678959414836299</v>
      </c>
      <c r="E57" s="13">
        <v>24.662523823446399</v>
      </c>
      <c r="F57" s="13">
        <v>25.634577995500699</v>
      </c>
      <c r="G57" s="13">
        <v>37.409028418573001</v>
      </c>
      <c r="H57" s="13">
        <v>23.3411074483577</v>
      </c>
      <c r="I57" s="13">
        <v>24.077198987319999</v>
      </c>
      <c r="J57" s="13">
        <v>25.190745807476201</v>
      </c>
      <c r="K57" s="13">
        <v>33.252488174762199</v>
      </c>
      <c r="L57" s="13">
        <v>39.458157775493</v>
      </c>
      <c r="M57" s="13">
        <v>39.614211004928102</v>
      </c>
      <c r="N57" s="13">
        <v>41.127811471487298</v>
      </c>
      <c r="O57" s="13">
        <v>34.843871010370499</v>
      </c>
      <c r="P57" s="13">
        <v>35.9552234605979</v>
      </c>
      <c r="Q57" s="13">
        <v>36.734300948361501</v>
      </c>
      <c r="R57" s="13">
        <v>48.881405789143699</v>
      </c>
      <c r="S57" s="13">
        <v>49.364172862126701</v>
      </c>
      <c r="T57" s="13">
        <v>40.338899517809402</v>
      </c>
      <c r="U57" s="13">
        <v>39.525287198206001</v>
      </c>
      <c r="V57" s="13">
        <v>39.7707886948835</v>
      </c>
      <c r="W57" s="13">
        <v>34.691028789037198</v>
      </c>
      <c r="X57" s="13">
        <v>35.158952792548</v>
      </c>
      <c r="Y57" s="13">
        <v>33.140327960196899</v>
      </c>
      <c r="Z57" s="13">
        <v>31.555161844633801</v>
      </c>
      <c r="AA57" s="13">
        <v>28.692262487658201</v>
      </c>
    </row>
    <row r="58" spans="1:27" x14ac:dyDescent="0.25">
      <c r="A58" s="10" t="s">
        <v>781</v>
      </c>
      <c r="B58" s="10" t="s">
        <v>782</v>
      </c>
      <c r="C58" s="13">
        <v>0</v>
      </c>
      <c r="D58" s="13">
        <v>2.6562010698127998</v>
      </c>
      <c r="E58" s="13">
        <v>2.8727743565595398</v>
      </c>
      <c r="F58" s="13">
        <v>2.9216961238670902</v>
      </c>
      <c r="G58" s="13">
        <v>2.6179188094065098</v>
      </c>
      <c r="H58" s="13">
        <v>2.2142656480924798</v>
      </c>
      <c r="I58" s="13">
        <v>2.5112702099829902</v>
      </c>
      <c r="J58" s="13">
        <v>2.45369451325295</v>
      </c>
      <c r="K58" s="13">
        <v>2.6926161868558398</v>
      </c>
      <c r="L58" s="13">
        <v>2.1942093125606399</v>
      </c>
      <c r="M58" s="13">
        <v>2.3661932830338301</v>
      </c>
      <c r="N58" s="13">
        <v>2.3825246467419299</v>
      </c>
      <c r="O58" s="13">
        <v>1.31868941738401</v>
      </c>
      <c r="P58" s="13">
        <v>1.2636797752992801</v>
      </c>
      <c r="Q58" s="13">
        <v>1.31364467993592</v>
      </c>
      <c r="R58" s="13">
        <v>1.11620205509943</v>
      </c>
      <c r="S58" s="13">
        <v>1.8405135460492801</v>
      </c>
      <c r="T58" s="13">
        <v>1.7625742453883999</v>
      </c>
      <c r="U58" s="13">
        <v>4.1322631314601601</v>
      </c>
      <c r="V58" s="13">
        <v>4.3332699833135404</v>
      </c>
      <c r="W58" s="13">
        <v>4.3180186339665596</v>
      </c>
      <c r="X58" s="13">
        <v>4.3450766580293596</v>
      </c>
      <c r="Y58" s="13">
        <v>4.1936396713214004</v>
      </c>
      <c r="Z58" s="13">
        <v>4.7225588024669296</v>
      </c>
      <c r="AA58" s="13">
        <v>4.8565379305924798</v>
      </c>
    </row>
    <row r="59" spans="1:27" x14ac:dyDescent="0.25">
      <c r="A59" s="11" t="s">
        <v>783</v>
      </c>
      <c r="B59" s="11" t="s">
        <v>784</v>
      </c>
      <c r="C59" s="25">
        <v>0</v>
      </c>
      <c r="D59" s="25" t="s">
        <v>141</v>
      </c>
      <c r="E59" s="25" t="s">
        <v>141</v>
      </c>
      <c r="F59" s="25" t="s">
        <v>141</v>
      </c>
      <c r="G59" s="25" t="s">
        <v>141</v>
      </c>
      <c r="H59" s="25" t="s">
        <v>141</v>
      </c>
      <c r="I59" s="25" t="s">
        <v>141</v>
      </c>
      <c r="J59" s="25" t="s">
        <v>141</v>
      </c>
      <c r="K59" s="25">
        <v>0</v>
      </c>
      <c r="L59" s="25" t="s">
        <v>141</v>
      </c>
      <c r="M59" s="25" t="s">
        <v>141</v>
      </c>
      <c r="N59" s="25" t="s">
        <v>141</v>
      </c>
      <c r="O59" s="25">
        <v>0</v>
      </c>
      <c r="P59" s="25" t="s">
        <v>141</v>
      </c>
      <c r="Q59" s="25" t="s">
        <v>141</v>
      </c>
      <c r="R59" s="25" t="s">
        <v>141</v>
      </c>
      <c r="S59" s="25">
        <v>0</v>
      </c>
      <c r="T59" s="25" t="s">
        <v>141</v>
      </c>
      <c r="U59" s="25" t="s">
        <v>141</v>
      </c>
      <c r="V59" s="25" t="s">
        <v>141</v>
      </c>
      <c r="W59" s="25">
        <v>0</v>
      </c>
      <c r="X59" s="25" t="s">
        <v>141</v>
      </c>
      <c r="Y59" s="25" t="s">
        <v>141</v>
      </c>
      <c r="Z59" s="25" t="s">
        <v>141</v>
      </c>
      <c r="AA59" s="25">
        <v>0</v>
      </c>
    </row>
    <row r="60" spans="1:27" x14ac:dyDescent="0.25">
      <c r="A60" s="11" t="s">
        <v>785</v>
      </c>
      <c r="B60" s="11" t="s">
        <v>786</v>
      </c>
      <c r="C60" s="25" t="s">
        <v>141</v>
      </c>
      <c r="D60" s="25">
        <v>2.6562010698127998</v>
      </c>
      <c r="E60" s="25">
        <v>2.8727743565595398</v>
      </c>
      <c r="F60" s="25">
        <v>2.9216961238670902</v>
      </c>
      <c r="G60" s="25">
        <v>2.6179188094065098</v>
      </c>
      <c r="H60" s="25">
        <v>2.2142656480924798</v>
      </c>
      <c r="I60" s="25">
        <v>2.5112702099829902</v>
      </c>
      <c r="J60" s="25">
        <v>2.45369451325295</v>
      </c>
      <c r="K60" s="25">
        <v>2.6926161868558398</v>
      </c>
      <c r="L60" s="25">
        <v>2.1942093125606399</v>
      </c>
      <c r="M60" s="25">
        <v>2.3661932830338301</v>
      </c>
      <c r="N60" s="25">
        <v>2.3825246467419299</v>
      </c>
      <c r="O60" s="25">
        <v>1.31868941738401</v>
      </c>
      <c r="P60" s="25">
        <v>1.2636797752992801</v>
      </c>
      <c r="Q60" s="25">
        <v>1.31364467993592</v>
      </c>
      <c r="R60" s="25">
        <v>1.11620205509943</v>
      </c>
      <c r="S60" s="25">
        <v>1.8405135460492801</v>
      </c>
      <c r="T60" s="25">
        <v>1.7625742453883999</v>
      </c>
      <c r="U60" s="25">
        <v>4.1322631314601601</v>
      </c>
      <c r="V60" s="25">
        <v>4.3332699833135404</v>
      </c>
      <c r="W60" s="25">
        <v>4.3180186339665596</v>
      </c>
      <c r="X60" s="25">
        <v>4.3450766580293596</v>
      </c>
      <c r="Y60" s="25">
        <v>4.1936396713214004</v>
      </c>
      <c r="Z60" s="25">
        <v>4.7225588024669296</v>
      </c>
      <c r="AA60" s="25">
        <v>4.8565379305924798</v>
      </c>
    </row>
    <row r="61" spans="1:27" x14ac:dyDescent="0.25">
      <c r="A61" s="10" t="s">
        <v>787</v>
      </c>
      <c r="B61" s="10" t="s">
        <v>788</v>
      </c>
      <c r="C61" s="13">
        <v>0.94727707321529198</v>
      </c>
      <c r="D61" s="13">
        <v>2.4441225218252501E-3</v>
      </c>
      <c r="E61" s="13">
        <v>0.30027126258687598</v>
      </c>
      <c r="F61" s="13">
        <v>0.30825800160942601</v>
      </c>
      <c r="G61" s="13">
        <v>0.56220519611898501</v>
      </c>
      <c r="H61" s="13">
        <v>25.2058772038157</v>
      </c>
      <c r="I61" s="13">
        <v>24.9293541580892</v>
      </c>
      <c r="J61" s="13">
        <v>26.667371534280999</v>
      </c>
      <c r="K61" s="13">
        <v>24.5943837910315</v>
      </c>
      <c r="L61" s="13">
        <v>25.794101256566801</v>
      </c>
      <c r="M61" s="13">
        <v>25.032791810872698</v>
      </c>
      <c r="N61" s="13">
        <v>24.8254275194593</v>
      </c>
      <c r="O61" s="13">
        <v>19.976149739483201</v>
      </c>
      <c r="P61" s="13">
        <v>19.8562965086183</v>
      </c>
      <c r="Q61" s="13">
        <v>19.506762593961099</v>
      </c>
      <c r="R61" s="13">
        <v>17.248678690391401</v>
      </c>
      <c r="S61" s="13">
        <v>16.684173143423799</v>
      </c>
      <c r="T61" s="13">
        <v>17.057990330042699</v>
      </c>
      <c r="U61" s="13">
        <v>16.671667908979501</v>
      </c>
      <c r="V61" s="13">
        <v>16.8215204840842</v>
      </c>
      <c r="W61" s="13">
        <v>14.645087141484799</v>
      </c>
      <c r="X61" s="13">
        <v>11.8075850123357</v>
      </c>
      <c r="Y61" s="13">
        <v>11.1056792758254</v>
      </c>
      <c r="Z61" s="13">
        <v>10.372412383115901</v>
      </c>
      <c r="AA61" s="13">
        <v>9.4406678689020094</v>
      </c>
    </row>
    <row r="62" spans="1:27" x14ac:dyDescent="0.25">
      <c r="A62" s="10" t="s">
        <v>789</v>
      </c>
      <c r="B62" s="10" t="s">
        <v>790</v>
      </c>
      <c r="C62" s="13">
        <v>0</v>
      </c>
      <c r="D62" s="13" t="s">
        <v>141</v>
      </c>
      <c r="E62" s="13" t="s">
        <v>141</v>
      </c>
      <c r="F62" s="13" t="s">
        <v>141</v>
      </c>
      <c r="G62" s="13">
        <v>0</v>
      </c>
      <c r="H62" s="13" t="s">
        <v>141</v>
      </c>
      <c r="I62" s="13" t="s">
        <v>141</v>
      </c>
      <c r="J62" s="13" t="s">
        <v>141</v>
      </c>
      <c r="K62" s="13">
        <v>0</v>
      </c>
      <c r="L62" s="13" t="s">
        <v>141</v>
      </c>
      <c r="M62" s="13" t="s">
        <v>141</v>
      </c>
      <c r="N62" s="13" t="s">
        <v>141</v>
      </c>
      <c r="O62" s="13">
        <v>0</v>
      </c>
      <c r="P62" s="13" t="s">
        <v>141</v>
      </c>
      <c r="Q62" s="13" t="s">
        <v>141</v>
      </c>
      <c r="R62" s="13" t="s">
        <v>141</v>
      </c>
      <c r="S62" s="13">
        <v>0</v>
      </c>
      <c r="T62" s="13" t="s">
        <v>141</v>
      </c>
      <c r="U62" s="13" t="s">
        <v>141</v>
      </c>
      <c r="V62" s="13">
        <v>0</v>
      </c>
      <c r="W62" s="13">
        <v>0</v>
      </c>
      <c r="X62" s="13" t="s">
        <v>141</v>
      </c>
      <c r="Y62" s="13" t="s">
        <v>141</v>
      </c>
      <c r="Z62" s="13" t="s">
        <v>141</v>
      </c>
      <c r="AA62" s="13">
        <v>0</v>
      </c>
    </row>
    <row r="63" spans="1:27" x14ac:dyDescent="0.25">
      <c r="A63" s="10" t="s">
        <v>791</v>
      </c>
      <c r="B63" s="10" t="s">
        <v>792</v>
      </c>
      <c r="C63" s="13" t="s">
        <v>141</v>
      </c>
      <c r="D63" s="13" t="s">
        <v>141</v>
      </c>
      <c r="E63" s="13" t="s">
        <v>141</v>
      </c>
      <c r="F63" s="13" t="s">
        <v>141</v>
      </c>
      <c r="G63" s="13" t="s">
        <v>141</v>
      </c>
      <c r="H63" s="13" t="s">
        <v>141</v>
      </c>
      <c r="I63" s="13" t="s">
        <v>141</v>
      </c>
      <c r="J63" s="13" t="s">
        <v>141</v>
      </c>
      <c r="K63" s="13">
        <v>0</v>
      </c>
      <c r="L63" s="13" t="s">
        <v>141</v>
      </c>
      <c r="M63" s="13" t="s">
        <v>141</v>
      </c>
      <c r="N63" s="13" t="s">
        <v>141</v>
      </c>
      <c r="O63" s="13">
        <v>0</v>
      </c>
      <c r="P63" s="13" t="s">
        <v>141</v>
      </c>
      <c r="Q63" s="13" t="s">
        <v>141</v>
      </c>
      <c r="R63" s="13" t="s">
        <v>141</v>
      </c>
      <c r="S63" s="13">
        <v>0</v>
      </c>
      <c r="T63" s="13" t="s">
        <v>141</v>
      </c>
      <c r="U63" s="13" t="s">
        <v>141</v>
      </c>
      <c r="V63" s="13">
        <v>0</v>
      </c>
      <c r="W63" s="13">
        <v>0</v>
      </c>
      <c r="X63" s="13" t="s">
        <v>141</v>
      </c>
      <c r="Y63" s="13" t="s">
        <v>141</v>
      </c>
      <c r="Z63" s="13" t="s">
        <v>141</v>
      </c>
      <c r="AA63" s="13">
        <v>0</v>
      </c>
    </row>
    <row r="64" spans="1:27" x14ac:dyDescent="0.25">
      <c r="A64" s="11" t="s">
        <v>793</v>
      </c>
      <c r="B64" s="11" t="s">
        <v>794</v>
      </c>
      <c r="C64" s="25" t="s">
        <v>141</v>
      </c>
      <c r="D64" s="25" t="s">
        <v>141</v>
      </c>
      <c r="E64" s="25" t="s">
        <v>141</v>
      </c>
      <c r="F64" s="25" t="s">
        <v>141</v>
      </c>
      <c r="G64" s="25">
        <v>0</v>
      </c>
      <c r="H64" s="25" t="s">
        <v>141</v>
      </c>
      <c r="I64" s="25" t="s">
        <v>141</v>
      </c>
      <c r="J64" s="25" t="s">
        <v>141</v>
      </c>
      <c r="K64" s="25">
        <v>0</v>
      </c>
      <c r="L64" s="25" t="s">
        <v>141</v>
      </c>
      <c r="M64" s="25" t="s">
        <v>141</v>
      </c>
      <c r="N64" s="25" t="s">
        <v>141</v>
      </c>
      <c r="O64" s="25">
        <v>0</v>
      </c>
      <c r="P64" s="25" t="s">
        <v>141</v>
      </c>
      <c r="Q64" s="25" t="s">
        <v>141</v>
      </c>
      <c r="R64" s="25" t="s">
        <v>141</v>
      </c>
      <c r="S64" s="25">
        <v>0</v>
      </c>
      <c r="T64" s="25" t="s">
        <v>141</v>
      </c>
      <c r="U64" s="25" t="s">
        <v>141</v>
      </c>
      <c r="V64" s="25">
        <v>0</v>
      </c>
      <c r="W64" s="25">
        <v>0</v>
      </c>
      <c r="X64" s="25" t="s">
        <v>141</v>
      </c>
      <c r="Y64" s="25" t="s">
        <v>141</v>
      </c>
      <c r="Z64" s="25" t="s">
        <v>141</v>
      </c>
      <c r="AA64" s="25">
        <v>0</v>
      </c>
    </row>
    <row r="65" spans="1:27" x14ac:dyDescent="0.25">
      <c r="A65" s="11" t="s">
        <v>795</v>
      </c>
      <c r="B65" s="11" t="s">
        <v>796</v>
      </c>
      <c r="C65" s="25" t="s">
        <v>141</v>
      </c>
      <c r="D65" s="25" t="s">
        <v>141</v>
      </c>
      <c r="E65" s="25" t="s">
        <v>141</v>
      </c>
      <c r="F65" s="25" t="s">
        <v>141</v>
      </c>
      <c r="G65" s="25">
        <v>0</v>
      </c>
      <c r="H65" s="25" t="s">
        <v>141</v>
      </c>
      <c r="I65" s="25" t="s">
        <v>141</v>
      </c>
      <c r="J65" s="25" t="s">
        <v>141</v>
      </c>
      <c r="K65" s="25">
        <v>0</v>
      </c>
      <c r="L65" s="25" t="s">
        <v>141</v>
      </c>
      <c r="M65" s="25" t="s">
        <v>141</v>
      </c>
      <c r="N65" s="25" t="s">
        <v>141</v>
      </c>
      <c r="O65" s="25">
        <v>0</v>
      </c>
      <c r="P65" s="25" t="s">
        <v>141</v>
      </c>
      <c r="Q65" s="25" t="s">
        <v>141</v>
      </c>
      <c r="R65" s="25" t="s">
        <v>141</v>
      </c>
      <c r="S65" s="25">
        <v>0</v>
      </c>
      <c r="T65" s="25" t="s">
        <v>141</v>
      </c>
      <c r="U65" s="25" t="s">
        <v>141</v>
      </c>
      <c r="V65" s="25">
        <v>0</v>
      </c>
      <c r="W65" s="25">
        <v>0</v>
      </c>
      <c r="X65" s="25" t="s">
        <v>141</v>
      </c>
      <c r="Y65" s="25" t="s">
        <v>141</v>
      </c>
      <c r="Z65" s="25" t="s">
        <v>141</v>
      </c>
      <c r="AA65" s="25">
        <v>0</v>
      </c>
    </row>
    <row r="66" spans="1:27" x14ac:dyDescent="0.25">
      <c r="A66" s="10" t="s">
        <v>771</v>
      </c>
      <c r="B66" s="10" t="s">
        <v>797</v>
      </c>
      <c r="C66" s="13">
        <v>0</v>
      </c>
      <c r="D66" s="13" t="s">
        <v>141</v>
      </c>
      <c r="E66" s="13" t="s">
        <v>141</v>
      </c>
      <c r="F66" s="13" t="s">
        <v>141</v>
      </c>
      <c r="G66" s="13">
        <v>0</v>
      </c>
      <c r="H66" s="13">
        <v>24.858179513521801</v>
      </c>
      <c r="I66" s="13">
        <v>24.573896400435199</v>
      </c>
      <c r="J66" s="13">
        <v>24.669719174988401</v>
      </c>
      <c r="K66" s="13">
        <v>22.229503758814101</v>
      </c>
      <c r="L66" s="13">
        <v>23.198153645642201</v>
      </c>
      <c r="M66" s="13">
        <v>22.443516354949701</v>
      </c>
      <c r="N66" s="13">
        <v>22.415068938757098</v>
      </c>
      <c r="O66" s="13">
        <v>18.2417008526754</v>
      </c>
      <c r="P66" s="13">
        <v>18.0697373234464</v>
      </c>
      <c r="Q66" s="13">
        <v>17.6848514091282</v>
      </c>
      <c r="R66" s="13">
        <v>16.079532366817901</v>
      </c>
      <c r="S66" s="13">
        <v>15.503301084336</v>
      </c>
      <c r="T66" s="13">
        <v>15.8507817213361</v>
      </c>
      <c r="U66" s="13">
        <v>15.515581162484899</v>
      </c>
      <c r="V66" s="13">
        <v>15.5963246698162</v>
      </c>
      <c r="W66" s="13">
        <v>13.386118136015201</v>
      </c>
      <c r="X66" s="13">
        <v>10.079441505899601</v>
      </c>
      <c r="Y66" s="13">
        <v>9.4911100422661008</v>
      </c>
      <c r="Z66" s="13">
        <v>9.0279432900714305</v>
      </c>
      <c r="AA66" s="13">
        <v>8.2004999529417493</v>
      </c>
    </row>
    <row r="67" spans="1:27" x14ac:dyDescent="0.25">
      <c r="A67" s="10" t="s">
        <v>773</v>
      </c>
      <c r="B67" s="10" t="s">
        <v>798</v>
      </c>
      <c r="C67" s="13">
        <v>0</v>
      </c>
      <c r="D67" s="13" t="s">
        <v>141</v>
      </c>
      <c r="E67" s="13" t="s">
        <v>141</v>
      </c>
      <c r="F67" s="13" t="s">
        <v>141</v>
      </c>
      <c r="G67" s="13">
        <v>0</v>
      </c>
      <c r="H67" s="13" t="s">
        <v>141</v>
      </c>
      <c r="I67" s="13" t="s">
        <v>141</v>
      </c>
      <c r="J67" s="13" t="s">
        <v>141</v>
      </c>
      <c r="K67" s="13">
        <v>0</v>
      </c>
      <c r="L67" s="13" t="s">
        <v>141</v>
      </c>
      <c r="M67" s="13" t="s">
        <v>141</v>
      </c>
      <c r="N67" s="13" t="s">
        <v>141</v>
      </c>
      <c r="O67" s="13">
        <v>0</v>
      </c>
      <c r="P67" s="13" t="s">
        <v>141</v>
      </c>
      <c r="Q67" s="13" t="s">
        <v>141</v>
      </c>
      <c r="R67" s="13" t="s">
        <v>141</v>
      </c>
      <c r="S67" s="13">
        <v>0</v>
      </c>
      <c r="T67" s="13" t="s">
        <v>141</v>
      </c>
      <c r="U67" s="13" t="s">
        <v>141</v>
      </c>
      <c r="V67" s="13">
        <v>0</v>
      </c>
      <c r="W67" s="13">
        <v>0</v>
      </c>
      <c r="X67" s="13" t="s">
        <v>141</v>
      </c>
      <c r="Y67" s="13" t="s">
        <v>141</v>
      </c>
      <c r="Z67" s="13" t="s">
        <v>141</v>
      </c>
      <c r="AA67" s="13" t="s">
        <v>141</v>
      </c>
    </row>
    <row r="68" spans="1:27" x14ac:dyDescent="0.25">
      <c r="A68" s="10" t="s">
        <v>799</v>
      </c>
      <c r="B68" s="10" t="s">
        <v>800</v>
      </c>
      <c r="C68" s="13">
        <v>0.94727707321529198</v>
      </c>
      <c r="D68" s="13">
        <v>2.4441225218252501E-3</v>
      </c>
      <c r="E68" s="13">
        <v>0.30027126258687598</v>
      </c>
      <c r="F68" s="13">
        <v>0.30825800160942601</v>
      </c>
      <c r="G68" s="13">
        <v>0.56220519611898501</v>
      </c>
      <c r="H68" s="13">
        <v>0.34769769029391401</v>
      </c>
      <c r="I68" s="13">
        <v>0.35545775765397902</v>
      </c>
      <c r="J68" s="13">
        <v>1.9976523592926001</v>
      </c>
      <c r="K68" s="13">
        <v>2.3648800322174499</v>
      </c>
      <c r="L68" s="13">
        <v>2.5959476109246502</v>
      </c>
      <c r="M68" s="13">
        <v>2.58927545592306</v>
      </c>
      <c r="N68" s="13">
        <v>2.4103585807022601</v>
      </c>
      <c r="O68" s="13">
        <v>1.73444888680783</v>
      </c>
      <c r="P68" s="13">
        <v>1.78655918517195</v>
      </c>
      <c r="Q68" s="13">
        <v>1.8219111848328899</v>
      </c>
      <c r="R68" s="13">
        <v>1.1691463235734401</v>
      </c>
      <c r="S68" s="13">
        <v>1.18087205908772</v>
      </c>
      <c r="T68" s="13">
        <v>1.2072086087066201</v>
      </c>
      <c r="U68" s="13">
        <v>1.1560867464946001</v>
      </c>
      <c r="V68" s="13">
        <v>1.2251958142680299</v>
      </c>
      <c r="W68" s="13">
        <v>1.2589690054696201</v>
      </c>
      <c r="X68" s="13">
        <v>1.7281435064361099</v>
      </c>
      <c r="Y68" s="13">
        <v>1.6145692335592801</v>
      </c>
      <c r="Z68" s="13">
        <v>1.34446909304448</v>
      </c>
      <c r="AA68" s="13">
        <v>1.2401679159602701</v>
      </c>
    </row>
    <row r="69" spans="1:27" x14ac:dyDescent="0.25">
      <c r="A69" s="6" t="s">
        <v>801</v>
      </c>
      <c r="B69" s="6" t="s">
        <v>802</v>
      </c>
      <c r="C69" s="19">
        <v>26.558409329659099</v>
      </c>
      <c r="D69" s="19">
        <v>24.337604607170999</v>
      </c>
      <c r="E69" s="19">
        <v>27.835569442592899</v>
      </c>
      <c r="F69" s="19">
        <v>28.864532120977199</v>
      </c>
      <c r="G69" s="19">
        <v>40.589152424098501</v>
      </c>
      <c r="H69" s="19">
        <v>50.7612503002659</v>
      </c>
      <c r="I69" s="19">
        <v>51.517823355392203</v>
      </c>
      <c r="J69" s="19">
        <v>54.311811855010198</v>
      </c>
      <c r="K69" s="19">
        <v>60.539488152649596</v>
      </c>
      <c r="L69" s="19">
        <v>67.446468344620499</v>
      </c>
      <c r="M69" s="19">
        <v>67.013196098834698</v>
      </c>
      <c r="N69" s="19">
        <v>68.335763637688601</v>
      </c>
      <c r="O69" s="19">
        <v>56.138710167237697</v>
      </c>
      <c r="P69" s="19">
        <v>57.075199744515501</v>
      </c>
      <c r="Q69" s="19">
        <v>57.554708222258498</v>
      </c>
      <c r="R69" s="19">
        <v>67.246286534634507</v>
      </c>
      <c r="S69" s="19">
        <v>67.888859551599793</v>
      </c>
      <c r="T69" s="19">
        <v>59.159464093240501</v>
      </c>
      <c r="U69" s="19">
        <v>60.329218238645602</v>
      </c>
      <c r="V69" s="19">
        <v>60.925579162281203</v>
      </c>
      <c r="W69" s="19">
        <v>53.654134564488601</v>
      </c>
      <c r="X69" s="19">
        <v>51.311614462913099</v>
      </c>
      <c r="Y69" s="19">
        <v>48.4396469073437</v>
      </c>
      <c r="Z69" s="19">
        <v>46.650133030216701</v>
      </c>
      <c r="AA69" s="19">
        <v>42.989468287152697</v>
      </c>
    </row>
    <row r="70" spans="1:27" x14ac:dyDescent="0.25">
      <c r="A70" s="6" t="s">
        <v>116</v>
      </c>
      <c r="B70" s="6" t="s">
        <v>117</v>
      </c>
      <c r="C70" s="19">
        <v>37.135879908043201</v>
      </c>
      <c r="D70" s="19">
        <v>31.3321740724428</v>
      </c>
      <c r="E70" s="19">
        <v>37.109706005367997</v>
      </c>
      <c r="F70" s="19">
        <v>41.543522059125898</v>
      </c>
      <c r="G70" s="19">
        <v>55.114267876951203</v>
      </c>
      <c r="H70" s="19">
        <v>61.157879451229398</v>
      </c>
      <c r="I70" s="19">
        <v>63.827594663000198</v>
      </c>
      <c r="J70" s="19">
        <v>67.919640776447594</v>
      </c>
      <c r="K70" s="19">
        <v>74.478024389573804</v>
      </c>
      <c r="L70" s="19">
        <v>80.636532256052206</v>
      </c>
      <c r="M70" s="19">
        <v>82.417717834939495</v>
      </c>
      <c r="N70" s="19">
        <v>82.363277537752396</v>
      </c>
      <c r="O70" s="19">
        <v>70.520436318724407</v>
      </c>
      <c r="P70" s="19">
        <v>71.961949561442296</v>
      </c>
      <c r="Q70" s="19">
        <v>75.759338212451496</v>
      </c>
      <c r="R70" s="19">
        <v>86.349186936358194</v>
      </c>
      <c r="S70" s="19">
        <v>87.694854118731598</v>
      </c>
      <c r="T70" s="19">
        <v>76.705919956493702</v>
      </c>
      <c r="U70" s="19">
        <v>76.281602999465704</v>
      </c>
      <c r="V70" s="19">
        <v>75.420288792481102</v>
      </c>
      <c r="W70" s="19">
        <v>73.676918533984207</v>
      </c>
      <c r="X70" s="19">
        <v>70.1899121848042</v>
      </c>
      <c r="Y70" s="19">
        <v>68.545906455035393</v>
      </c>
      <c r="Z70" s="19">
        <v>66.080739257997493</v>
      </c>
      <c r="AA70" s="19">
        <v>61.451544002747298</v>
      </c>
    </row>
    <row r="71" spans="1:27" x14ac:dyDescent="0.25">
      <c r="A71" s="10" t="s">
        <v>803</v>
      </c>
      <c r="B71" s="10" t="s">
        <v>168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</row>
    <row r="72" spans="1:27" x14ac:dyDescent="0.25">
      <c r="A72" s="10" t="s">
        <v>804</v>
      </c>
      <c r="B72" s="10" t="s">
        <v>805</v>
      </c>
      <c r="C72" s="13">
        <v>159.024465995768</v>
      </c>
      <c r="D72" s="13">
        <v>152.96713928188601</v>
      </c>
      <c r="E72" s="13">
        <v>173.42593604473899</v>
      </c>
      <c r="F72" s="13">
        <v>179.35276392535599</v>
      </c>
      <c r="G72" s="13">
        <v>170.73186520680599</v>
      </c>
      <c r="H72" s="13">
        <v>117.24608365101599</v>
      </c>
      <c r="I72" s="13">
        <v>121.578935867415</v>
      </c>
      <c r="J72" s="13">
        <v>127.69845619607401</v>
      </c>
      <c r="K72" s="13">
        <v>120.945596870458</v>
      </c>
      <c r="L72" s="13">
        <v>126.23406418193299</v>
      </c>
      <c r="M72" s="13">
        <v>127.641747789928</v>
      </c>
      <c r="N72" s="13">
        <v>133.509539789754</v>
      </c>
      <c r="O72" s="13">
        <v>131.34724111444399</v>
      </c>
      <c r="P72" s="13">
        <v>136.412137608249</v>
      </c>
      <c r="Q72" s="13">
        <v>142.556074655647</v>
      </c>
      <c r="R72" s="13">
        <v>134.18368397689699</v>
      </c>
      <c r="S72" s="13">
        <v>137.35125621490599</v>
      </c>
      <c r="T72" s="13">
        <v>167.99080066383701</v>
      </c>
      <c r="U72" s="13">
        <v>166.141386933001</v>
      </c>
      <c r="V72" s="13">
        <v>169.04689091287401</v>
      </c>
      <c r="W72" s="13">
        <v>162.49068791781801</v>
      </c>
      <c r="X72" s="13">
        <v>166.604701361655</v>
      </c>
      <c r="Y72" s="13">
        <v>160.08532653945099</v>
      </c>
      <c r="Z72" s="13">
        <v>155.248651780838</v>
      </c>
      <c r="AA72" s="13">
        <v>144.806547682879</v>
      </c>
    </row>
    <row r="73" spans="1:27" x14ac:dyDescent="0.25">
      <c r="A73" s="10" t="s">
        <v>806</v>
      </c>
      <c r="B73" s="10" t="s">
        <v>807</v>
      </c>
      <c r="C73" s="13">
        <v>4.2628990758643802E-4</v>
      </c>
      <c r="D73" s="13">
        <v>3.5643453443284898E-4</v>
      </c>
      <c r="E73" s="13">
        <v>4.0051426031023803E-4</v>
      </c>
      <c r="F73" s="13">
        <v>4.1116730397598798E-4</v>
      </c>
      <c r="G73" s="13">
        <v>4.3887993451911399E-4</v>
      </c>
      <c r="H73" s="13">
        <v>2.7142676837932399E-4</v>
      </c>
      <c r="I73" s="13">
        <v>2.77484588332536E-4</v>
      </c>
      <c r="J73" s="13">
        <v>2.8770106708325802E-4</v>
      </c>
      <c r="K73" s="13">
        <v>2.6803202178564298E-4</v>
      </c>
      <c r="L73" s="13">
        <v>2.8930654306526802E-4</v>
      </c>
      <c r="M73" s="13">
        <v>2.89952458669995E-4</v>
      </c>
      <c r="N73" s="13">
        <v>3.0050131131259701E-4</v>
      </c>
      <c r="O73" s="13">
        <v>2.8589816815513698E-4</v>
      </c>
      <c r="P73" s="13">
        <v>2.94487777775596E-4</v>
      </c>
      <c r="Q73" s="13">
        <v>3.0031503046696001E-4</v>
      </c>
      <c r="R73" s="13">
        <v>2.8515763989596198E-4</v>
      </c>
      <c r="S73" s="13">
        <v>2.87690123214483E-4</v>
      </c>
      <c r="T73" s="13">
        <v>2.9413821750932901E-4</v>
      </c>
      <c r="U73" s="13">
        <v>2.8791800095332798E-4</v>
      </c>
      <c r="V73" s="13">
        <v>2.8941633407906299E-4</v>
      </c>
      <c r="W73" s="13">
        <v>2.7568664353349399E-4</v>
      </c>
      <c r="X73" s="13">
        <v>2.7912299554798799E-4</v>
      </c>
      <c r="Y73" s="13">
        <v>2.9203415514664899E-4</v>
      </c>
      <c r="Z73" s="13">
        <v>2.7778287046373599E-4</v>
      </c>
      <c r="AA73" s="13">
        <v>2.5232307547513102E-4</v>
      </c>
    </row>
    <row r="74" spans="1:27" x14ac:dyDescent="0.25">
      <c r="A74" s="10" t="s">
        <v>808</v>
      </c>
      <c r="B74" s="10" t="s">
        <v>809</v>
      </c>
      <c r="C74" s="13">
        <v>159.02403970585999</v>
      </c>
      <c r="D74" s="13">
        <v>152.96678284735199</v>
      </c>
      <c r="E74" s="13">
        <v>173.42553553047799</v>
      </c>
      <c r="F74" s="13">
        <v>179.35235275805201</v>
      </c>
      <c r="G74" s="13">
        <v>170.731426326871</v>
      </c>
      <c r="H74" s="13">
        <v>117.245812224247</v>
      </c>
      <c r="I74" s="13">
        <v>121.578658382827</v>
      </c>
      <c r="J74" s="13">
        <v>127.698168495007</v>
      </c>
      <c r="K74" s="13">
        <v>120.945328838436</v>
      </c>
      <c r="L74" s="13">
        <v>126.23377487539</v>
      </c>
      <c r="M74" s="13">
        <v>127.64145783746901</v>
      </c>
      <c r="N74" s="13">
        <v>133.50923928844301</v>
      </c>
      <c r="O74" s="13">
        <v>131.346955216276</v>
      </c>
      <c r="P74" s="13">
        <v>136.41184312047099</v>
      </c>
      <c r="Q74" s="13">
        <v>142.55577434061701</v>
      </c>
      <c r="R74" s="13">
        <v>134.18339881925701</v>
      </c>
      <c r="S74" s="13">
        <v>137.35096852478301</v>
      </c>
      <c r="T74" s="13">
        <v>167.99050652561999</v>
      </c>
      <c r="U74" s="13">
        <v>166.141099015001</v>
      </c>
      <c r="V74" s="13">
        <v>169.04660149654001</v>
      </c>
      <c r="W74" s="13">
        <v>162.49041223117499</v>
      </c>
      <c r="X74" s="13">
        <v>166.604422238659</v>
      </c>
      <c r="Y74" s="13">
        <v>160.08503450529599</v>
      </c>
      <c r="Z74" s="13">
        <v>155.248373997968</v>
      </c>
      <c r="AA74" s="13">
        <v>144.80629535980401</v>
      </c>
    </row>
    <row r="75" spans="1:27" x14ac:dyDescent="0.25">
      <c r="A75" s="10" t="s">
        <v>810</v>
      </c>
      <c r="B75" s="10" t="s">
        <v>811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</row>
    <row r="76" spans="1:27" x14ac:dyDescent="0.25">
      <c r="A76" s="10" t="s">
        <v>812</v>
      </c>
      <c r="B76" s="10" t="s">
        <v>813</v>
      </c>
      <c r="C76" s="13">
        <v>-96.154316946546302</v>
      </c>
      <c r="D76" s="13">
        <v>-84.300280819493906</v>
      </c>
      <c r="E76" s="13">
        <v>-110.540333788585</v>
      </c>
      <c r="F76" s="13">
        <v>-120.90069134845299</v>
      </c>
      <c r="G76" s="13">
        <v>-125.848876083348</v>
      </c>
      <c r="H76" s="13">
        <v>-78.425134390178698</v>
      </c>
      <c r="I76" s="13">
        <v>-85.406738643856499</v>
      </c>
      <c r="J76" s="13">
        <v>-95.617881196721299</v>
      </c>
      <c r="K76" s="13">
        <v>-95.423721772040096</v>
      </c>
      <c r="L76" s="13">
        <v>-106.87048794803199</v>
      </c>
      <c r="M76" s="13">
        <v>-110.059538112982</v>
      </c>
      <c r="N76" s="13">
        <v>-115.872066074228</v>
      </c>
      <c r="O76" s="13">
        <v>-101.867042103906</v>
      </c>
      <c r="P76" s="13">
        <v>-108.364074585247</v>
      </c>
      <c r="Q76" s="13">
        <v>-118.232492551353</v>
      </c>
      <c r="R76" s="13">
        <v>-120.43132310927</v>
      </c>
      <c r="S76" s="13">
        <v>-124.992919626412</v>
      </c>
      <c r="T76" s="13">
        <v>-144.68302685220499</v>
      </c>
      <c r="U76" s="13">
        <v>-142.389239544578</v>
      </c>
      <c r="V76" s="13">
        <v>-144.44666330300601</v>
      </c>
      <c r="W76" s="13">
        <v>-136.19572648944299</v>
      </c>
      <c r="X76" s="13">
        <v>-136.77318310313399</v>
      </c>
      <c r="Y76" s="13">
        <v>-128.601153476506</v>
      </c>
      <c r="Z76" s="13">
        <v>-121.39175329325499</v>
      </c>
      <c r="AA76" s="13">
        <v>-106.252591042581</v>
      </c>
    </row>
    <row r="77" spans="1:27" x14ac:dyDescent="0.25">
      <c r="A77" s="10" t="s">
        <v>814</v>
      </c>
      <c r="B77" s="10" t="s">
        <v>815</v>
      </c>
      <c r="C77" s="13">
        <v>-6.0289572644367604E-3</v>
      </c>
      <c r="D77" s="13">
        <v>9.6746516488916204E-4</v>
      </c>
      <c r="E77" s="13">
        <v>4.6917384779199397E-3</v>
      </c>
      <c r="F77" s="13">
        <v>4.4053639711713003E-3</v>
      </c>
      <c r="G77" s="13">
        <v>2.7429995907444602E-3</v>
      </c>
      <c r="H77" s="13">
        <v>2.1171287933587302E-2</v>
      </c>
      <c r="I77" s="13">
        <v>2.0811344124940201E-4</v>
      </c>
      <c r="J77" s="13">
        <v>-2.15775800312443E-4</v>
      </c>
      <c r="K77" s="13">
        <v>1.00512008169616E-4</v>
      </c>
      <c r="L77" s="13">
        <v>-1.0848995364947501E-4</v>
      </c>
      <c r="M77" s="13">
        <v>7.2488114667498805E-5</v>
      </c>
      <c r="N77" s="13">
        <v>-7.5125327828149302E-4</v>
      </c>
      <c r="O77" s="13">
        <v>-6.3532926256697198E-4</v>
      </c>
      <c r="P77" s="13">
        <v>-1.0012584444370301E-2</v>
      </c>
      <c r="Q77" s="13">
        <v>-8.2920316745599507E-2</v>
      </c>
      <c r="R77" s="13">
        <v>-0.101547803985173</v>
      </c>
      <c r="S77" s="13">
        <v>-5.3190707225433301E-2</v>
      </c>
      <c r="T77" s="13">
        <v>-1.36937681262677E-2</v>
      </c>
      <c r="U77" s="13">
        <v>-3.3750387889529103E-2</v>
      </c>
      <c r="V77" s="13">
        <v>-2.05164023491602E-2</v>
      </c>
      <c r="W77" s="13">
        <v>2.8120037640416401E-2</v>
      </c>
      <c r="X77" s="13">
        <v>-2.1430443324851101E-2</v>
      </c>
      <c r="Y77" s="13">
        <v>-3.00795179801049E-2</v>
      </c>
      <c r="Z77" s="13">
        <v>6.2362254419108802E-2</v>
      </c>
      <c r="AA77" s="13">
        <v>-5.5006430453578498E-3</v>
      </c>
    </row>
    <row r="78" spans="1:27" x14ac:dyDescent="0.25">
      <c r="A78" s="6" t="s">
        <v>816</v>
      </c>
      <c r="B78" s="6" t="s">
        <v>817</v>
      </c>
      <c r="C78" s="19">
        <v>62.864120091956799</v>
      </c>
      <c r="D78" s="19">
        <v>68.667825927557203</v>
      </c>
      <c r="E78" s="19">
        <v>62.890293994632003</v>
      </c>
      <c r="F78" s="19">
        <v>58.456477940874102</v>
      </c>
      <c r="G78" s="19">
        <v>44.885732123048797</v>
      </c>
      <c r="H78" s="19">
        <v>38.842120548770602</v>
      </c>
      <c r="I78" s="19">
        <v>36.172405336999802</v>
      </c>
      <c r="J78" s="19">
        <v>32.080359223552399</v>
      </c>
      <c r="K78" s="19">
        <v>25.5219756104262</v>
      </c>
      <c r="L78" s="19">
        <v>19.363467743947801</v>
      </c>
      <c r="M78" s="19">
        <v>17.582282165060501</v>
      </c>
      <c r="N78" s="19">
        <v>17.636722462247601</v>
      </c>
      <c r="O78" s="19">
        <v>29.4795636812756</v>
      </c>
      <c r="P78" s="19">
        <v>28.038050438557701</v>
      </c>
      <c r="Q78" s="19">
        <v>24.2406617875485</v>
      </c>
      <c r="R78" s="19">
        <v>13.650813063641801</v>
      </c>
      <c r="S78" s="19">
        <v>12.3051458812684</v>
      </c>
      <c r="T78" s="19">
        <v>23.294080043506298</v>
      </c>
      <c r="U78" s="19">
        <v>23.7183970005342</v>
      </c>
      <c r="V78" s="19">
        <v>24.579711207518901</v>
      </c>
      <c r="W78" s="19">
        <v>26.3230814660158</v>
      </c>
      <c r="X78" s="19">
        <v>29.8100878151958</v>
      </c>
      <c r="Y78" s="19">
        <v>31.4540935449646</v>
      </c>
      <c r="Z78" s="19">
        <v>33.9192607420025</v>
      </c>
      <c r="AA78" s="19">
        <v>38.548455997252702</v>
      </c>
    </row>
    <row r="79" spans="1:27" x14ac:dyDescent="0.25">
      <c r="A79" s="10" t="s">
        <v>818</v>
      </c>
      <c r="B79" s="10" t="s">
        <v>170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</row>
    <row r="80" spans="1:27" x14ac:dyDescent="0.25">
      <c r="A80" s="6" t="s">
        <v>118</v>
      </c>
      <c r="B80" s="6" t="s">
        <v>119</v>
      </c>
      <c r="C80" s="19">
        <v>62.864120091956799</v>
      </c>
      <c r="D80" s="19">
        <v>68.667825927557203</v>
      </c>
      <c r="E80" s="19">
        <v>62.890293994632003</v>
      </c>
      <c r="F80" s="19">
        <v>58.456477940874102</v>
      </c>
      <c r="G80" s="19">
        <v>44.885732123048797</v>
      </c>
      <c r="H80" s="19">
        <v>38.842120548770602</v>
      </c>
      <c r="I80" s="19">
        <v>36.172405336999802</v>
      </c>
      <c r="J80" s="19">
        <v>32.080359223552399</v>
      </c>
      <c r="K80" s="19">
        <v>25.5219756104262</v>
      </c>
      <c r="L80" s="19">
        <v>19.363467743947801</v>
      </c>
      <c r="M80" s="19">
        <v>17.582282165060501</v>
      </c>
      <c r="N80" s="19">
        <v>17.636722462247601</v>
      </c>
      <c r="O80" s="19">
        <v>29.4795636812756</v>
      </c>
      <c r="P80" s="19">
        <v>28.038050438557701</v>
      </c>
      <c r="Q80" s="19">
        <v>24.2406617875485</v>
      </c>
      <c r="R80" s="19">
        <v>13.650813063641801</v>
      </c>
      <c r="S80" s="19">
        <v>12.3051458812684</v>
      </c>
      <c r="T80" s="19">
        <v>23.294080043506298</v>
      </c>
      <c r="U80" s="19">
        <v>23.7183970005342</v>
      </c>
      <c r="V80" s="19">
        <v>24.579711207518901</v>
      </c>
      <c r="W80" s="19">
        <v>26.3230814660158</v>
      </c>
      <c r="X80" s="19">
        <v>29.8100878151958</v>
      </c>
      <c r="Y80" s="19">
        <v>31.4540935449646</v>
      </c>
      <c r="Z80" s="19">
        <v>33.9192607420025</v>
      </c>
      <c r="AA80" s="19">
        <v>38.548455997252702</v>
      </c>
    </row>
    <row r="81" spans="1:27" x14ac:dyDescent="0.25">
      <c r="A81" s="6" t="s">
        <v>819</v>
      </c>
      <c r="B81" s="6" t="s">
        <v>820</v>
      </c>
      <c r="C81" s="19">
        <v>100</v>
      </c>
      <c r="D81" s="19">
        <v>100</v>
      </c>
      <c r="E81" s="19">
        <v>100</v>
      </c>
      <c r="F81" s="19">
        <v>100</v>
      </c>
      <c r="G81" s="19">
        <v>100</v>
      </c>
      <c r="H81" s="19">
        <v>100</v>
      </c>
      <c r="I81" s="19">
        <v>100</v>
      </c>
      <c r="J81" s="19">
        <v>100</v>
      </c>
      <c r="K81" s="19">
        <v>100</v>
      </c>
      <c r="L81" s="19">
        <v>100</v>
      </c>
      <c r="M81" s="19">
        <v>100</v>
      </c>
      <c r="N81" s="19">
        <v>100</v>
      </c>
      <c r="O81" s="19">
        <v>100</v>
      </c>
      <c r="P81" s="19">
        <v>100</v>
      </c>
      <c r="Q81" s="19">
        <v>100</v>
      </c>
      <c r="R81" s="19">
        <v>100</v>
      </c>
      <c r="S81" s="19">
        <v>100</v>
      </c>
      <c r="T81" s="19">
        <v>100</v>
      </c>
      <c r="U81" s="19">
        <v>100</v>
      </c>
      <c r="V81" s="19">
        <v>100</v>
      </c>
      <c r="W81" s="19">
        <v>100</v>
      </c>
      <c r="X81" s="19">
        <v>100</v>
      </c>
      <c r="Y81" s="19">
        <v>100</v>
      </c>
      <c r="Z81" s="19">
        <v>100</v>
      </c>
      <c r="AA81" s="19">
        <v>100</v>
      </c>
    </row>
    <row r="82" spans="1:27" x14ac:dyDescent="0.25">
      <c r="A82" s="6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 x14ac:dyDescent="0.25">
      <c r="A83" s="6" t="s">
        <v>4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 x14ac:dyDescent="0.25">
      <c r="A84" s="10" t="s">
        <v>395</v>
      </c>
      <c r="B84" s="10" t="s">
        <v>396</v>
      </c>
      <c r="C84" s="12" t="s">
        <v>397</v>
      </c>
      <c r="D84" s="12" t="s">
        <v>397</v>
      </c>
      <c r="E84" s="12" t="s">
        <v>397</v>
      </c>
      <c r="F84" s="12" t="s">
        <v>397</v>
      </c>
      <c r="G84" s="12" t="s">
        <v>397</v>
      </c>
      <c r="H84" s="12" t="s">
        <v>397</v>
      </c>
      <c r="I84" s="12" t="s">
        <v>397</v>
      </c>
      <c r="J84" s="12" t="s">
        <v>397</v>
      </c>
      <c r="K84" s="12" t="s">
        <v>397</v>
      </c>
      <c r="L84" s="12" t="s">
        <v>397</v>
      </c>
      <c r="M84" s="12" t="s">
        <v>397</v>
      </c>
      <c r="N84" s="12" t="s">
        <v>397</v>
      </c>
      <c r="O84" s="12" t="s">
        <v>397</v>
      </c>
      <c r="P84" s="12" t="s">
        <v>397</v>
      </c>
      <c r="Q84" s="12" t="s">
        <v>397</v>
      </c>
      <c r="R84" s="12" t="s">
        <v>397</v>
      </c>
      <c r="S84" s="12" t="s">
        <v>397</v>
      </c>
      <c r="T84" s="12" t="s">
        <v>397</v>
      </c>
      <c r="U84" s="12" t="s">
        <v>397</v>
      </c>
      <c r="V84" s="12" t="s">
        <v>397</v>
      </c>
      <c r="W84" s="12" t="s">
        <v>397</v>
      </c>
      <c r="X84" s="12" t="s">
        <v>397</v>
      </c>
      <c r="Y84" s="12" t="s">
        <v>397</v>
      </c>
      <c r="Z84" s="12" t="s">
        <v>397</v>
      </c>
      <c r="AA84" s="12" t="s">
        <v>397</v>
      </c>
    </row>
    <row r="85" spans="1:27" x14ac:dyDescent="0.25">
      <c r="A85" s="10" t="s">
        <v>821</v>
      </c>
      <c r="B85" s="10" t="s">
        <v>121</v>
      </c>
      <c r="C85" s="13">
        <v>4.3281754487462498</v>
      </c>
      <c r="D85" s="13">
        <v>3.7748210062146899</v>
      </c>
      <c r="E85" s="13">
        <v>4.2527615172166797</v>
      </c>
      <c r="F85" s="13">
        <v>4.3762788771608303</v>
      </c>
      <c r="G85" s="13">
        <v>4.1246409687835701</v>
      </c>
      <c r="H85" s="13">
        <v>2.6449788762117499</v>
      </c>
      <c r="I85" s="13">
        <v>2.7204674366632799</v>
      </c>
      <c r="J85" s="13">
        <v>2.8334872534042201</v>
      </c>
      <c r="K85" s="13">
        <v>2.6593549876403699</v>
      </c>
      <c r="L85" s="13">
        <v>2.8839562163477699</v>
      </c>
      <c r="M85" s="13">
        <v>2.8933779932607799</v>
      </c>
      <c r="N85" s="13">
        <v>3.0034552767654601</v>
      </c>
      <c r="O85" s="13">
        <v>2.7677158070555898</v>
      </c>
      <c r="P85" s="13">
        <v>2.8629318745063199</v>
      </c>
      <c r="Q85" s="13">
        <v>2.9209073317910499</v>
      </c>
      <c r="R85" s="13">
        <v>2.7808002410532602</v>
      </c>
      <c r="S85" s="13">
        <v>2.8113755551620199</v>
      </c>
      <c r="T85" s="13">
        <v>3.0440081430531398</v>
      </c>
      <c r="U85" s="13">
        <v>2.9839034962842601</v>
      </c>
      <c r="V85" s="13">
        <v>3.0079153759502102</v>
      </c>
      <c r="W85" s="13">
        <v>2.8711793200709699</v>
      </c>
      <c r="X85" s="13">
        <v>2.9304861857377502</v>
      </c>
      <c r="Y85" s="13">
        <v>2.7825773591176102</v>
      </c>
      <c r="Z85" s="13">
        <v>2.6526321038107898</v>
      </c>
      <c r="AA85" s="13">
        <v>2.4450231165785601</v>
      </c>
    </row>
    <row r="86" spans="1:27" x14ac:dyDescent="0.25">
      <c r="A86" s="10" t="s">
        <v>822</v>
      </c>
      <c r="B86" s="10" t="s">
        <v>823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</row>
    <row r="87" spans="1:27" x14ac:dyDescent="0.25">
      <c r="A87" s="10" t="s">
        <v>824</v>
      </c>
      <c r="B87" s="10" t="s">
        <v>825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</row>
    <row r="88" spans="1:27" x14ac:dyDescent="0.25">
      <c r="A88" s="10" t="s">
        <v>826</v>
      </c>
      <c r="B88" s="10" t="s">
        <v>827</v>
      </c>
      <c r="C88" s="13">
        <v>4.7330359453739899</v>
      </c>
      <c r="D88" s="13">
        <v>3.7737251736981898</v>
      </c>
      <c r="E88" s="13">
        <v>4.0919969812668002</v>
      </c>
      <c r="F88" s="13">
        <v>4.1617767126586704</v>
      </c>
      <c r="G88" s="13">
        <v>3.73289328305232</v>
      </c>
      <c r="H88" s="13">
        <v>2.2025264403600699</v>
      </c>
      <c r="I88" s="13">
        <v>2.2270219348098501</v>
      </c>
      <c r="J88" s="13">
        <v>2.2041857628249901</v>
      </c>
      <c r="K88" s="13">
        <v>4.0018856052732596</v>
      </c>
      <c r="L88" s="13">
        <v>1.98930795343467</v>
      </c>
      <c r="M88" s="13">
        <v>1.9170206804966701</v>
      </c>
      <c r="N88" s="13">
        <v>1.8678034631273599</v>
      </c>
      <c r="O88" s="13">
        <v>2.0404552261232101</v>
      </c>
      <c r="P88" s="13" t="s">
        <v>141</v>
      </c>
      <c r="Q88" s="13" t="s">
        <v>141</v>
      </c>
      <c r="R88" s="13" t="s">
        <v>141</v>
      </c>
      <c r="S88" s="13">
        <v>3.2508344611851698</v>
      </c>
      <c r="T88" s="13" t="s">
        <v>141</v>
      </c>
      <c r="U88" s="13" t="s">
        <v>141</v>
      </c>
      <c r="V88" s="13" t="s">
        <v>141</v>
      </c>
      <c r="W88" s="13">
        <v>12.2111416612755</v>
      </c>
      <c r="X88" s="13" t="s">
        <v>141</v>
      </c>
      <c r="Y88" s="13" t="s">
        <v>141</v>
      </c>
      <c r="Z88" s="13" t="s">
        <v>141</v>
      </c>
      <c r="AA88" s="13">
        <v>9.6456046708029195</v>
      </c>
    </row>
    <row r="89" spans="1:27" x14ac:dyDescent="0.25">
      <c r="A89" s="10" t="s">
        <v>828</v>
      </c>
      <c r="B89" s="10" t="s">
        <v>829</v>
      </c>
      <c r="C89" s="13">
        <v>0</v>
      </c>
      <c r="D89" s="13" t="s">
        <v>141</v>
      </c>
      <c r="E89" s="13" t="s">
        <v>141</v>
      </c>
      <c r="F89" s="13" t="s">
        <v>141</v>
      </c>
      <c r="G89" s="13" t="s">
        <v>141</v>
      </c>
      <c r="H89" s="13" t="s">
        <v>141</v>
      </c>
      <c r="I89" s="13" t="s">
        <v>141</v>
      </c>
      <c r="J89" s="13" t="s">
        <v>141</v>
      </c>
      <c r="K89" s="13">
        <v>0</v>
      </c>
      <c r="L89" s="13" t="s">
        <v>141</v>
      </c>
      <c r="M89" s="13" t="s">
        <v>141</v>
      </c>
      <c r="N89" s="13" t="s">
        <v>141</v>
      </c>
      <c r="O89" s="13">
        <v>0</v>
      </c>
      <c r="P89" s="13" t="s">
        <v>141</v>
      </c>
      <c r="Q89" s="13" t="s">
        <v>141</v>
      </c>
      <c r="R89" s="13" t="s">
        <v>141</v>
      </c>
      <c r="S89" s="13">
        <v>0</v>
      </c>
      <c r="T89" s="13" t="s">
        <v>141</v>
      </c>
      <c r="U89" s="13" t="s">
        <v>141</v>
      </c>
      <c r="V89" s="13" t="s">
        <v>141</v>
      </c>
      <c r="W89" s="13">
        <v>0</v>
      </c>
      <c r="X89" s="13" t="s">
        <v>141</v>
      </c>
      <c r="Y89" s="13" t="s">
        <v>141</v>
      </c>
      <c r="Z89" s="13" t="s">
        <v>141</v>
      </c>
      <c r="AA89" s="13">
        <v>0</v>
      </c>
    </row>
    <row r="90" spans="1:27" x14ac:dyDescent="0.25">
      <c r="A90" s="10" t="s">
        <v>830</v>
      </c>
      <c r="B90" s="10" t="s">
        <v>831</v>
      </c>
      <c r="C90" s="13">
        <v>8.5608757212673001E-3</v>
      </c>
      <c r="D90" s="13">
        <v>5.0421942109939701E-2</v>
      </c>
      <c r="E90" s="13">
        <v>8.8836923752955901E-3</v>
      </c>
      <c r="F90" s="13">
        <v>8.9427713851051704E-3</v>
      </c>
      <c r="G90" s="13">
        <v>7.0078372984306803E-2</v>
      </c>
      <c r="H90" s="13">
        <v>3.6823451815641499E-2</v>
      </c>
      <c r="I90" s="13">
        <v>2.5491815418639298E-3</v>
      </c>
      <c r="J90" s="13">
        <v>3.497006470397E-3</v>
      </c>
      <c r="K90" s="13">
        <v>4.9031432785274897E-3</v>
      </c>
      <c r="L90" s="13">
        <v>4.9168985036703999E-2</v>
      </c>
      <c r="M90" s="13">
        <v>2.6135589743366701E-3</v>
      </c>
      <c r="N90" s="13">
        <v>3.4257149489636098E-3</v>
      </c>
      <c r="O90" s="13">
        <v>5.17516980762865E-3</v>
      </c>
      <c r="P90" s="13">
        <v>4.2260206782773403E-2</v>
      </c>
      <c r="Q90" s="13">
        <v>6.9266994410469903E-3</v>
      </c>
      <c r="R90" s="13">
        <v>4.0270595589751903E-3</v>
      </c>
      <c r="S90" s="13">
        <v>5.68131094635346E-2</v>
      </c>
      <c r="T90" s="13">
        <v>3.3673890919168899E-2</v>
      </c>
      <c r="U90" s="13">
        <v>1.7459027668919899E-3</v>
      </c>
      <c r="V90" s="13">
        <v>1.18982270676948E-4</v>
      </c>
      <c r="W90" s="13">
        <v>1.5499715736438701E-3</v>
      </c>
      <c r="X90" s="13">
        <v>9.8120416761646005E-3</v>
      </c>
      <c r="Y90" s="13">
        <v>1.48937419124791E-4</v>
      </c>
      <c r="Z90" s="13">
        <v>1.7894772515273901E-4</v>
      </c>
      <c r="AA90" s="13">
        <v>1.0092923019005201E-4</v>
      </c>
    </row>
    <row r="91" spans="1:27" x14ac:dyDescent="0.25">
      <c r="A91" s="10" t="s">
        <v>832</v>
      </c>
      <c r="B91" s="10" t="s">
        <v>833</v>
      </c>
      <c r="C91" s="13">
        <v>0.51101021573314298</v>
      </c>
      <c r="D91" s="13" t="s">
        <v>141</v>
      </c>
      <c r="E91" s="13" t="s">
        <v>141</v>
      </c>
      <c r="F91" s="13" t="s">
        <v>141</v>
      </c>
      <c r="G91" s="13">
        <v>0.45788058296421702</v>
      </c>
      <c r="H91" s="13" t="s">
        <v>141</v>
      </c>
      <c r="I91" s="13" t="s">
        <v>141</v>
      </c>
      <c r="J91" s="13" t="s">
        <v>141</v>
      </c>
      <c r="K91" s="13">
        <v>0.26283712565140199</v>
      </c>
      <c r="L91" s="13" t="s">
        <v>141</v>
      </c>
      <c r="M91" s="13" t="s">
        <v>141</v>
      </c>
      <c r="N91" s="13" t="s">
        <v>141</v>
      </c>
      <c r="O91" s="13">
        <v>0.26038718871248601</v>
      </c>
      <c r="P91" s="13" t="s">
        <v>141</v>
      </c>
      <c r="Q91" s="13" t="s">
        <v>141</v>
      </c>
      <c r="R91" s="13" t="s">
        <v>141</v>
      </c>
      <c r="S91" s="13">
        <v>0.29185012239616498</v>
      </c>
      <c r="T91" s="13">
        <v>0.33206534705368301</v>
      </c>
      <c r="U91" s="13">
        <v>0.32678897849892402</v>
      </c>
      <c r="V91" s="13">
        <v>0.32860857952212202</v>
      </c>
      <c r="W91" s="13">
        <v>0.29353566895057698</v>
      </c>
      <c r="X91" s="13">
        <v>0.30700654543424599</v>
      </c>
      <c r="Y91" s="13">
        <v>0.289235679448126</v>
      </c>
      <c r="Z91" s="13">
        <v>0.27529990827609602</v>
      </c>
      <c r="AA91" s="13">
        <v>0.47408086904104402</v>
      </c>
    </row>
    <row r="92" spans="1:27" x14ac:dyDescent="0.25">
      <c r="A92" s="10" t="s">
        <v>834</v>
      </c>
      <c r="B92" s="10" t="s">
        <v>835</v>
      </c>
      <c r="C92" s="13">
        <v>-45.878416028500503</v>
      </c>
      <c r="D92" s="13">
        <v>-43.766443725351898</v>
      </c>
      <c r="E92" s="13">
        <v>-35.168527818290102</v>
      </c>
      <c r="F92" s="13">
        <v>-32.607564303629403</v>
      </c>
      <c r="G92" s="13">
        <v>-21.246287350053901</v>
      </c>
      <c r="H92" s="13">
        <v>-48.432781839377803</v>
      </c>
      <c r="I92" s="13">
        <v>-45.240983225016102</v>
      </c>
      <c r="J92" s="13">
        <v>-38.011460572007302</v>
      </c>
      <c r="K92" s="13">
        <v>-28.615634709878801</v>
      </c>
      <c r="L92" s="13">
        <v>-21.530301424870899</v>
      </c>
      <c r="M92" s="13">
        <v>-20.960663237254</v>
      </c>
      <c r="N92" s="13">
        <v>-16.906504275758</v>
      </c>
      <c r="O92" s="13">
        <v>-30.887675692365899</v>
      </c>
      <c r="P92" s="13">
        <v>-28.977989983489</v>
      </c>
      <c r="Q92" s="13">
        <v>-26.9041224244232</v>
      </c>
      <c r="R92" s="13">
        <v>-16.270112722815099</v>
      </c>
      <c r="S92" s="13">
        <v>-12.499784232407601</v>
      </c>
      <c r="T92" s="13">
        <v>-20.031008704530301</v>
      </c>
      <c r="U92" s="13">
        <v>-16.476971358557101</v>
      </c>
      <c r="V92" s="13">
        <v>-11.306016933428101</v>
      </c>
      <c r="W92" s="13">
        <v>-8.7597593071810795</v>
      </c>
      <c r="X92" s="13">
        <v>-0.83656263132349296</v>
      </c>
      <c r="Y92" s="13">
        <v>-3.0995629124799899</v>
      </c>
      <c r="Z92" s="13">
        <v>5.40168236417668</v>
      </c>
      <c r="AA92" s="13">
        <v>-0.38938497007322198</v>
      </c>
    </row>
    <row r="93" spans="1:27" x14ac:dyDescent="0.25">
      <c r="A93" s="10" t="s">
        <v>836</v>
      </c>
      <c r="B93" s="10" t="s">
        <v>837</v>
      </c>
      <c r="C93" s="13">
        <v>-4.4443943181645196</v>
      </c>
      <c r="D93" s="13">
        <v>-3.2454109308287902</v>
      </c>
      <c r="E93" s="13">
        <v>-3.1995618373992198</v>
      </c>
      <c r="F93" s="13">
        <v>-3.2764703636481101</v>
      </c>
      <c r="G93" s="13">
        <v>-2.5967520141846001</v>
      </c>
      <c r="H93" s="13">
        <v>-4.2305727986949799</v>
      </c>
      <c r="I93" s="13">
        <v>-4.33813963232598</v>
      </c>
      <c r="J93" s="13">
        <v>-4.2611499987053403</v>
      </c>
      <c r="K93" s="13">
        <v>-3.7565207165299999</v>
      </c>
      <c r="L93" s="13">
        <v>-4.0210108153634803</v>
      </c>
      <c r="M93" s="13">
        <v>-4.3208240593851599</v>
      </c>
      <c r="N93" s="13">
        <v>-3.6007446422494298</v>
      </c>
      <c r="O93" s="13">
        <v>-3.3283810476198301</v>
      </c>
      <c r="P93" s="13">
        <v>-3.3817788959587798</v>
      </c>
      <c r="Q93" s="13">
        <v>-3.7034707408071101</v>
      </c>
      <c r="R93" s="13">
        <v>-3.7763700636440198</v>
      </c>
      <c r="S93" s="13">
        <v>-3.2471189112782799</v>
      </c>
      <c r="T93" s="13">
        <v>-2.81038749115134</v>
      </c>
      <c r="U93" s="13">
        <v>-2.2223802181138801</v>
      </c>
      <c r="V93" s="13">
        <v>-1.4791539846036901</v>
      </c>
      <c r="W93" s="13">
        <v>-1.0193625144582299</v>
      </c>
      <c r="X93" s="13">
        <v>-8.70338684741431E-2</v>
      </c>
      <c r="Y93" s="13">
        <v>-0.287777552911478</v>
      </c>
      <c r="Z93" s="13">
        <v>0.44237249905137099</v>
      </c>
      <c r="AA93" s="13">
        <v>-2.5487608035278799E-2</v>
      </c>
    </row>
    <row r="94" spans="1:27" x14ac:dyDescent="0.25">
      <c r="A94" s="10" t="s">
        <v>838</v>
      </c>
      <c r="B94" s="10" t="s">
        <v>839</v>
      </c>
      <c r="C94" s="13">
        <v>3.8122810468462198</v>
      </c>
      <c r="D94" s="13">
        <v>3.48688376924428</v>
      </c>
      <c r="E94" s="13">
        <v>3.5838877690383</v>
      </c>
      <c r="F94" s="13">
        <v>3.4163418444965301</v>
      </c>
      <c r="G94" s="13">
        <v>2.4415586381994498</v>
      </c>
      <c r="H94" s="13">
        <v>1.3087890701868901</v>
      </c>
      <c r="I94" s="13">
        <v>1.2445512952807201</v>
      </c>
      <c r="J94" s="13">
        <v>1.1419161394544599</v>
      </c>
      <c r="K94" s="13">
        <v>0.84364268249127705</v>
      </c>
      <c r="L94" s="13">
        <v>0.68527624977714297</v>
      </c>
      <c r="M94" s="13">
        <v>0.621903769853135</v>
      </c>
      <c r="N94" s="13">
        <v>0.64588715124005602</v>
      </c>
      <c r="O94" s="13">
        <v>0.926282555065576</v>
      </c>
      <c r="P94" s="13">
        <v>0.90711551184920702</v>
      </c>
      <c r="Q94" s="13">
        <v>0.79780402976055198</v>
      </c>
      <c r="R94" s="13">
        <v>0.42114938173070998</v>
      </c>
      <c r="S94" s="13">
        <v>0.38075688714172201</v>
      </c>
      <c r="T94" s="13">
        <v>0.75538557271652296</v>
      </c>
      <c r="U94" s="13">
        <v>0.74462479485842403</v>
      </c>
      <c r="V94" s="13">
        <v>0.77511370042257999</v>
      </c>
      <c r="W94" s="13">
        <v>0.77984142504263998</v>
      </c>
      <c r="X94" s="13">
        <v>0.90481208044324701</v>
      </c>
      <c r="Y94" s="13">
        <v>0.90191381663233805</v>
      </c>
      <c r="Z94" s="13">
        <v>0.92805248651780803</v>
      </c>
      <c r="AA94" s="13">
        <v>0.95772193139184203</v>
      </c>
    </row>
    <row r="95" spans="1:27" x14ac:dyDescent="0.25">
      <c r="A95" s="10" t="s">
        <v>840</v>
      </c>
      <c r="B95" s="10" t="s">
        <v>841</v>
      </c>
      <c r="C95" s="13">
        <v>0.50004311617922403</v>
      </c>
      <c r="D95" s="13">
        <v>0.61956784858660996</v>
      </c>
      <c r="E95" s="13">
        <v>0.50386891053827398</v>
      </c>
      <c r="F95" s="13">
        <v>0.37070532814087798</v>
      </c>
      <c r="G95" s="13">
        <v>0.304360272149447</v>
      </c>
      <c r="H95" s="13">
        <v>0.28204674783231798</v>
      </c>
      <c r="I95" s="13">
        <v>0.240370226874868</v>
      </c>
      <c r="J95" s="13">
        <v>0.22075076312708</v>
      </c>
      <c r="K95" s="13">
        <v>0.20014135338748901</v>
      </c>
      <c r="L95" s="13">
        <v>0.225202758682541</v>
      </c>
      <c r="M95" s="13">
        <v>0.19316799519258801</v>
      </c>
      <c r="N95" s="13">
        <v>0.21980882106574301</v>
      </c>
      <c r="O95" s="13">
        <v>0.18271920289049401</v>
      </c>
      <c r="P95" s="13">
        <v>0.18202567671655301</v>
      </c>
      <c r="Q95" s="13">
        <v>0.15102926303025199</v>
      </c>
      <c r="R95" s="13">
        <v>0.13799668520085701</v>
      </c>
      <c r="S95" s="13">
        <v>0.13196087030737499</v>
      </c>
      <c r="T95" s="13">
        <v>0.151476279713679</v>
      </c>
      <c r="U95" s="13">
        <v>0.15862925438834999</v>
      </c>
      <c r="V95" s="13">
        <v>0.17485097470597699</v>
      </c>
      <c r="W95" s="13">
        <v>0.120872940314454</v>
      </c>
      <c r="X95" s="13">
        <v>0.125584630867592</v>
      </c>
      <c r="Y95" s="13">
        <v>0.113830766791161</v>
      </c>
      <c r="Z95" s="13">
        <v>0.106642066215658</v>
      </c>
      <c r="AA95" s="13">
        <v>0.105989140519478</v>
      </c>
    </row>
    <row r="96" spans="1:27" x14ac:dyDescent="0.25">
      <c r="A96" s="10" t="s">
        <v>842</v>
      </c>
      <c r="B96" s="10" t="s">
        <v>843</v>
      </c>
      <c r="C96" s="13">
        <v>64.665037163345104</v>
      </c>
      <c r="D96" s="13">
        <v>52.405823376504301</v>
      </c>
      <c r="E96" s="13">
        <v>51.357889587373101</v>
      </c>
      <c r="F96" s="13">
        <v>48.800814170000102</v>
      </c>
      <c r="G96" s="13">
        <v>46.242927779015197</v>
      </c>
      <c r="H96" s="13">
        <v>32.805816200649502</v>
      </c>
      <c r="I96" s="13">
        <v>30.2871110142998</v>
      </c>
      <c r="J96" s="13">
        <v>38.1693420708147</v>
      </c>
      <c r="K96" s="13">
        <v>32.336612671615903</v>
      </c>
      <c r="L96" s="13">
        <v>35.062786137732303</v>
      </c>
      <c r="M96" s="13">
        <v>33.351218470841502</v>
      </c>
      <c r="N96" s="13">
        <v>37.4208461891551</v>
      </c>
      <c r="O96" s="13">
        <v>5.8542748447096402</v>
      </c>
      <c r="P96" s="13">
        <v>14.988342341387201</v>
      </c>
      <c r="Q96" s="13">
        <v>13.063346383689799</v>
      </c>
      <c r="R96" s="13">
        <v>10.4629304256548</v>
      </c>
      <c r="S96" s="13">
        <v>12.174722554841701</v>
      </c>
      <c r="T96" s="13">
        <v>12.6351682111102</v>
      </c>
      <c r="U96" s="13">
        <v>14.609228379757401</v>
      </c>
      <c r="V96" s="13">
        <v>15.1155839762396</v>
      </c>
      <c r="W96" s="13">
        <v>16.939316928140101</v>
      </c>
      <c r="X96" s="13">
        <v>18.8100053188437</v>
      </c>
      <c r="Y96" s="13">
        <v>21.054680767243799</v>
      </c>
      <c r="Z96" s="13">
        <v>18.2598446527075</v>
      </c>
      <c r="AA96" s="13">
        <v>15.6100623162299</v>
      </c>
    </row>
    <row r="97" spans="1:27" x14ac:dyDescent="0.25">
      <c r="A97" s="10" t="s">
        <v>844</v>
      </c>
      <c r="B97" s="10" t="s">
        <v>845</v>
      </c>
      <c r="C97" s="13">
        <v>499</v>
      </c>
      <c r="D97" s="13" t="s">
        <v>141</v>
      </c>
      <c r="E97" s="13" t="s">
        <v>141</v>
      </c>
      <c r="F97" s="13" t="s">
        <v>141</v>
      </c>
      <c r="G97" s="13">
        <v>743</v>
      </c>
      <c r="H97" s="13" t="s">
        <v>141</v>
      </c>
      <c r="I97" s="13" t="s">
        <v>141</v>
      </c>
      <c r="J97" s="13" t="s">
        <v>141</v>
      </c>
      <c r="K97" s="13">
        <v>866</v>
      </c>
      <c r="L97" s="13" t="s">
        <v>141</v>
      </c>
      <c r="M97" s="13" t="s">
        <v>141</v>
      </c>
      <c r="N97" s="13" t="s">
        <v>141</v>
      </c>
      <c r="O97" s="13">
        <v>840</v>
      </c>
      <c r="P97" s="13" t="s">
        <v>141</v>
      </c>
      <c r="Q97" s="13" t="s">
        <v>141</v>
      </c>
      <c r="R97" s="13" t="s">
        <v>141</v>
      </c>
      <c r="S97" s="13">
        <v>1162</v>
      </c>
      <c r="T97" s="13" t="s">
        <v>141</v>
      </c>
      <c r="U97" s="13" t="s">
        <v>141</v>
      </c>
      <c r="V97" s="13" t="s">
        <v>141</v>
      </c>
      <c r="W97" s="13">
        <v>1314</v>
      </c>
      <c r="X97" s="13" t="s">
        <v>141</v>
      </c>
      <c r="Y97" s="13" t="s">
        <v>141</v>
      </c>
      <c r="Z97" s="13" t="s">
        <v>141</v>
      </c>
      <c r="AA97" s="13">
        <v>1372</v>
      </c>
    </row>
    <row r="98" spans="1:27" x14ac:dyDescent="0.25">
      <c r="A98" s="7" t="s">
        <v>90</v>
      </c>
      <c r="B98" s="7"/>
      <c r="C98" s="7" t="s">
        <v>5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25"/>
  <sheetViews>
    <sheetView topLeftCell="F1"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1152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10" t="s">
        <v>1153</v>
      </c>
      <c r="B6" s="10" t="s">
        <v>1024</v>
      </c>
      <c r="C6" s="13">
        <f>_xll.BDH("SRPT US Equity","ARDR_FV_ASSETS_REC_LEVEL_1","FQ4 2018","FQ4 2018","Currency=USD","Period=FQ","BEST_FPERIOD_OVERRIDE=FQ","FILING_STATUS=MR","SCALING_FORMAT=MLN","Sort=A","Dates=H","DateFormat=P","Fill=—","Direction=H","UseDPDF=Y")</f>
        <v>849.36300000000006</v>
      </c>
      <c r="D6" s="13">
        <f>_xll.BDH("SRPT US Equity","ARDR_FV_ASSETS_REC_LEVEL_1","FQ1 2019","FQ1 2019","Currency=USD","Period=FQ","BEST_FPERIOD_OVERRIDE=FQ","FILING_STATUS=MR","SCALING_FORMAT=MLN","Sort=A","Dates=H","DateFormat=P","Fill=—","Direction=H","UseDPDF=Y")</f>
        <v>999.37300000000005</v>
      </c>
      <c r="E6" s="13">
        <f>_xll.BDH("SRPT US Equity","ARDR_FV_ASSETS_REC_LEVEL_1","FQ2 2019","FQ2 2019","Currency=USD","Period=FQ","BEST_FPERIOD_OVERRIDE=FQ","FILING_STATUS=MR","SCALING_FORMAT=MLN","Sort=A","Dates=H","DateFormat=P","Fill=—","Direction=H","UseDPDF=Y")</f>
        <v>881.41899999999998</v>
      </c>
      <c r="F6" s="13">
        <f>_xll.BDH("SRPT US Equity","ARDR_FV_ASSETS_REC_LEVEL_1","FQ3 2019","FQ3 2019","Currency=USD","Period=FQ","BEST_FPERIOD_OVERRIDE=FQ","FILING_STATUS=MR","SCALING_FORMAT=MLN","Sort=A","Dates=H","DateFormat=P","Fill=—","Direction=H","UseDPDF=Y")</f>
        <v>858.19100000000003</v>
      </c>
      <c r="G6" s="13">
        <f>_xll.BDH("SRPT US Equity","ARDR_FV_ASSETS_REC_LEVEL_1","FQ4 2019","FQ4 2019","Currency=USD","Period=FQ","BEST_FPERIOD_OVERRIDE=FQ","FILING_STATUS=MR","SCALING_FORMAT=MLN","Sort=A","Dates=H","DateFormat=P","Fill=—","Direction=H","UseDPDF=Y")</f>
        <v>1015.5069999999999</v>
      </c>
      <c r="H6" s="13">
        <f>_xll.BDH("SRPT US Equity","ARDR_FV_ASSETS_REC_LEVEL_1","FQ1 2020","FQ1 2020","Currency=USD","Period=FQ","BEST_FPERIOD_OVERRIDE=FQ","FILING_STATUS=MR","SCALING_FORMAT=MLN","Sort=A","Dates=H","DateFormat=P","Fill=—","Direction=H","UseDPDF=Y")</f>
        <v>1771.5060000000001</v>
      </c>
      <c r="I6" s="13">
        <f>_xll.BDH("SRPT US Equity","ARDR_FV_ASSETS_REC_LEVEL_1","FQ2 2020","FQ2 2020","Currency=USD","Period=FQ","BEST_FPERIOD_OVERRIDE=FQ","FILING_STATUS=MR","SCALING_FORMAT=MLN","Sort=A","Dates=H","DateFormat=P","Fill=—","Direction=H","UseDPDF=Y")</f>
        <v>1741.962</v>
      </c>
      <c r="J6" s="13">
        <f>_xll.BDH("SRPT US Equity","ARDR_FV_ASSETS_REC_LEVEL_1","FQ3 2020","FQ3 2020","Currency=USD","Period=FQ","BEST_FPERIOD_OVERRIDE=FQ","FILING_STATUS=MR","SCALING_FORMAT=MLN","Sort=A","Dates=H","DateFormat=P","Fill=—","Direction=H","UseDPDF=Y")</f>
        <v>1521.098</v>
      </c>
      <c r="K6" s="13">
        <f>_xll.BDH("SRPT US Equity","ARDR_FV_ASSETS_REC_LEVEL_1","FQ4 2020","FQ4 2020","Currency=USD","Period=FQ","BEST_FPERIOD_OVERRIDE=FQ","FILING_STATUS=MR","SCALING_FORMAT=MLN","Sort=A","Dates=H","DateFormat=P","Fill=—","Direction=H","UseDPDF=Y")</f>
        <v>1671.37</v>
      </c>
      <c r="L6" s="13">
        <f>_xll.BDH("SRPT US Equity","ARDR_FV_ASSETS_REC_LEVEL_1","FQ1 2021","FQ1 2021","Currency=USD","Period=FQ","BEST_FPERIOD_OVERRIDE=FQ","FILING_STATUS=MR","SCALING_FORMAT=MLN","Sort=A","Dates=H","DateFormat=P","Fill=—","Direction=H","UseDPDF=Y")</f>
        <v>1416.402</v>
      </c>
      <c r="M6" s="13">
        <f>_xll.BDH("SRPT US Equity","ARDR_FV_ASSETS_REC_LEVEL_1","FQ2 2021","FQ2 2021","Currency=USD","Period=FQ","BEST_FPERIOD_OVERRIDE=FQ","FILING_STATUS=MR","SCALING_FORMAT=MLN","Sort=A","Dates=H","DateFormat=P","Fill=—","Direction=H","UseDPDF=Y")</f>
        <v>1415.6579999999999</v>
      </c>
      <c r="N6" s="13">
        <f>_xll.BDH("SRPT US Equity","ARDR_FV_ASSETS_REC_LEVEL_1","FQ3 2021","FQ3 2021","Currency=USD","Period=FQ","BEST_FPERIOD_OVERRIDE=FQ","FILING_STATUS=MR","SCALING_FORMAT=MLN","Sort=A","Dates=H","DateFormat=P","Fill=—","Direction=H","UseDPDF=Y")</f>
        <v>1290.4179999999999</v>
      </c>
      <c r="O6" s="13">
        <f>_xll.BDH("SRPT US Equity","ARDR_FV_ASSETS_REC_LEVEL_1","FQ4 2021","FQ4 2021","Currency=USD","Period=FQ","BEST_FPERIOD_OVERRIDE=FQ","FILING_STATUS=MR","SCALING_FORMAT=MLN","Sort=A","Dates=H","DateFormat=P","Fill=—","Direction=H","UseDPDF=Y")</f>
        <v>1565.088</v>
      </c>
      <c r="P6" s="13">
        <f>_xll.BDH("SRPT US Equity","ARDR_FV_ASSETS_REC_LEVEL_1","FQ1 2022","FQ1 2022","Currency=USD","Period=FQ","BEST_FPERIOD_OVERRIDE=FQ","FILING_STATUS=MR","SCALING_FORMAT=MLN","Sort=A","Dates=H","DateFormat=P","Fill=—","Direction=H","UseDPDF=Y")</f>
        <v>662.33600000000001</v>
      </c>
      <c r="Q6" s="13">
        <f>_xll.BDH("SRPT US Equity","ARDR_FV_ASSETS_REC_LEVEL_1","FQ2 2022","FQ2 2022","Currency=USD","Period=FQ","BEST_FPERIOD_OVERRIDE=FQ","FILING_STATUS=MR","SCALING_FORMAT=MLN","Sort=A","Dates=H","DateFormat=P","Fill=—","Direction=H","UseDPDF=Y")</f>
        <v>464.88200000000001</v>
      </c>
      <c r="R6" s="13">
        <f>_xll.BDH("SRPT US Equity","ARDR_FV_ASSETS_REC_LEVEL_1","FQ3 2022","FQ3 2022","Currency=USD","Period=FQ","BEST_FPERIOD_OVERRIDE=FQ","FILING_STATUS=MR","SCALING_FORMAT=MLN","Sort=A","Dates=H","DateFormat=P","Fill=—","Direction=H","UseDPDF=Y")</f>
        <v>509.53300000000002</v>
      </c>
      <c r="S6" s="13">
        <f>_xll.BDH("SRPT US Equity","ARDR_FV_ASSETS_REC_LEVEL_1","FQ4 2022","FQ4 2022","Currency=USD","Period=FQ","BEST_FPERIOD_OVERRIDE=FQ","FILING_STATUS=MR","SCALING_FORMAT=MLN","Sort=A","Dates=H","DateFormat=P","Fill=—","Direction=H","UseDPDF=Y")</f>
        <v>467.87400000000002</v>
      </c>
      <c r="T6" s="13">
        <f>_xll.BDH("SRPT US Equity","ARDR_FV_ASSETS_REC_LEVEL_1","FQ1 2023","FQ1 2023","Currency=USD","Period=FQ","BEST_FPERIOD_OVERRIDE=FQ","FILING_STATUS=MR","SCALING_FORMAT=MLN","Sort=A","Dates=H","DateFormat=P","Fill=—","Direction=H","UseDPDF=Y")</f>
        <v>450.40699999999998</v>
      </c>
      <c r="U6" s="13">
        <f>_xll.BDH("SRPT US Equity","ARDR_FV_ASSETS_REC_LEVEL_1","FQ2 2023","FQ2 2023","Currency=USD","Period=FQ","BEST_FPERIOD_OVERRIDE=FQ","FILING_STATUS=MR","SCALING_FORMAT=MLN","Sort=A","Dates=H","DateFormat=P","Fill=—","Direction=H","UseDPDF=Y")</f>
        <v>404.863</v>
      </c>
      <c r="V6" s="13">
        <f>_xll.BDH("SRPT US Equity","ARDR_FV_ASSETS_REC_LEVEL_1","FQ3 2023","FQ3 2023","Currency=USD","Period=FQ","BEST_FPERIOD_OVERRIDE=FQ","FILING_STATUS=MR","SCALING_FORMAT=MLN","Sort=A","Dates=H","DateFormat=P","Fill=—","Direction=H","UseDPDF=Y")</f>
        <v>139.68199999999999</v>
      </c>
      <c r="W6" s="13">
        <f>_xll.BDH("SRPT US Equity","ARDR_FV_ASSETS_REC_LEVEL_1","FQ4 2023","FQ4 2023","Currency=USD","Period=FQ","BEST_FPERIOD_OVERRIDE=FQ","FILING_STATUS=MR","SCALING_FORMAT=MLN","Sort=A","Dates=H","DateFormat=P","Fill=—","Direction=H","UseDPDF=Y")</f>
        <v>69.445999999999998</v>
      </c>
      <c r="X6" s="13">
        <f>_xll.BDH("SRPT US Equity","ARDR_FV_ASSETS_REC_LEVEL_1","FQ1 2024","FQ1 2024","Currency=USD","Period=FQ","BEST_FPERIOD_OVERRIDE=FQ","FILING_STATUS=MR","SCALING_FORMAT=MLN","Sort=A","Dates=H","DateFormat=P","Fill=—","Direction=H","UseDPDF=Y")</f>
        <v>284.327</v>
      </c>
      <c r="Y6" s="13">
        <f>_xll.BDH("SRPT US Equity","ARDR_FV_ASSETS_REC_LEVEL_1","FQ2 2024","FQ2 2024","Currency=USD","Period=FQ","BEST_FPERIOD_OVERRIDE=FQ","FILING_STATUS=MR","SCALING_FORMAT=MLN","Sort=A","Dates=H","DateFormat=P","Fill=—","Direction=H","UseDPDF=Y")</f>
        <v>107.465</v>
      </c>
      <c r="Z6" s="13">
        <f>_xll.BDH("SRPT US Equity","ARDR_FV_ASSETS_REC_LEVEL_1","FQ3 2024","FQ3 2024","Currency=USD","Period=FQ","BEST_FPERIOD_OVERRIDE=FQ","FILING_STATUS=MR","SCALING_FORMAT=MLN","Sort=A","Dates=H","DateFormat=P","Fill=—","Direction=H","UseDPDF=Y")</f>
        <v>39.167999999999999</v>
      </c>
      <c r="AA6" s="13">
        <f>_xll.BDH("SRPT US Equity","ARDR_FV_ASSETS_REC_LEVEL_1","FQ4 2024","FQ4 2024","Currency=USD","Period=FQ","BEST_FPERIOD_OVERRIDE=FQ","FILING_STATUS=MR","SCALING_FORMAT=MLN","Sort=A","Dates=H","DateFormat=P","Fill=—","Direction=H","UseDPDF=Y")</f>
        <v>458.245</v>
      </c>
    </row>
    <row r="7" spans="1:27" x14ac:dyDescent="0.25">
      <c r="A7" s="10" t="s">
        <v>1154</v>
      </c>
      <c r="B7" s="10" t="s">
        <v>1026</v>
      </c>
      <c r="C7" s="13">
        <f>_xll.BDH("SRPT US Equity","ARDR_FV_ASSETS_REC_LEVEL_2","FQ4 2018","FQ4 2018","Currency=USD","Period=FQ","BEST_FPERIOD_OVERRIDE=FQ","FILING_STATUS=MR","SCALING_FORMAT=MLN","Sort=A","Dates=H","DateFormat=P","Fill=—","Direction=H","UseDPDF=Y")</f>
        <v>125.907</v>
      </c>
      <c r="D7" s="13">
        <f>_xll.BDH("SRPT US Equity","ARDR_FV_ASSETS_REC_LEVEL_2","FQ1 2019","FQ1 2019","Currency=USD","Period=FQ","BEST_FPERIOD_OVERRIDE=FQ","FILING_STATUS=MR","SCALING_FORMAT=MLN","Sort=A","Dates=H","DateFormat=P","Fill=—","Direction=H","UseDPDF=Y")</f>
        <v>65.778999999999996</v>
      </c>
      <c r="E7" s="13">
        <f>_xll.BDH("SRPT US Equity","ARDR_FV_ASSETS_REC_LEVEL_2","FQ2 2019","FQ2 2019","Currency=USD","Period=FQ","BEST_FPERIOD_OVERRIDE=FQ","FILING_STATUS=MR","SCALING_FORMAT=MLN","Sort=A","Dates=H","DateFormat=P","Fill=—","Direction=H","UseDPDF=Y")</f>
        <v>87.37</v>
      </c>
      <c r="F7" s="13">
        <f>_xll.BDH("SRPT US Equity","ARDR_FV_ASSETS_REC_LEVEL_2","FQ3 2019","FQ3 2019","Currency=USD","Period=FQ","BEST_FPERIOD_OVERRIDE=FQ","FILING_STATUS=MR","SCALING_FORMAT=MLN","Sort=A","Dates=H","DateFormat=P","Fill=—","Direction=H","UseDPDF=Y")</f>
        <v>9.984</v>
      </c>
      <c r="G7" s="13">
        <f>_xll.BDH("SRPT US Equity","ARDR_FV_ASSETS_REC_LEVEL_2","FQ4 2019","FQ4 2019","Currency=USD","Period=FQ","BEST_FPERIOD_OVERRIDE=FQ","FILING_STATUS=MR","SCALING_FORMAT=MLN","Sort=A","Dates=H","DateFormat=P","Fill=—","Direction=H","UseDPDF=Y")</f>
        <v>0</v>
      </c>
      <c r="H7" s="13">
        <f>_xll.BDH("SRPT US Equity","ARDR_FV_ASSETS_REC_LEVEL_2","FQ1 2020","FQ1 2020","Currency=USD","Period=FQ","BEST_FPERIOD_OVERRIDE=FQ","FILING_STATUS=MR","SCALING_FORMAT=MLN","Sort=A","Dates=H","DateFormat=P","Fill=—","Direction=H","UseDPDF=Y")</f>
        <v>0</v>
      </c>
      <c r="I7" s="13">
        <f>_xll.BDH("SRPT US Equity","ARDR_FV_ASSETS_REC_LEVEL_2","FQ2 2020","FQ2 2020","Currency=USD","Period=FQ","BEST_FPERIOD_OVERRIDE=FQ","FILING_STATUS=MR","SCALING_FORMAT=MLN","Sort=A","Dates=H","DateFormat=P","Fill=—","Direction=H","UseDPDF=Y")</f>
        <v>0</v>
      </c>
      <c r="J7" s="13">
        <f>_xll.BDH("SRPT US Equity","ARDR_FV_ASSETS_REC_LEVEL_2","FQ3 2020","FQ3 2020","Currency=USD","Period=FQ","BEST_FPERIOD_OVERRIDE=FQ","FILING_STATUS=MR","SCALING_FORMAT=MLN","Sort=A","Dates=H","DateFormat=P","Fill=—","Direction=H","UseDPDF=Y")</f>
        <v>0</v>
      </c>
      <c r="K7" s="13">
        <f>_xll.BDH("SRPT US Equity","ARDR_FV_ASSETS_REC_LEVEL_2","FQ4 2020","FQ4 2020","Currency=USD","Period=FQ","BEST_FPERIOD_OVERRIDE=FQ","FILING_STATUS=MR","SCALING_FORMAT=MLN","Sort=A","Dates=H","DateFormat=P","Fill=—","Direction=H","UseDPDF=Y")</f>
        <v>0</v>
      </c>
      <c r="L7" s="13">
        <f>_xll.BDH("SRPT US Equity","ARDR_FV_ASSETS_REC_LEVEL_2","FQ1 2021","FQ1 2021","Currency=USD","Period=FQ","BEST_FPERIOD_OVERRIDE=FQ","FILING_STATUS=MR","SCALING_FORMAT=MLN","Sort=A","Dates=H","DateFormat=P","Fill=—","Direction=H","UseDPDF=Y")</f>
        <v>0</v>
      </c>
      <c r="M7" s="13">
        <f>_xll.BDH("SRPT US Equity","ARDR_FV_ASSETS_REC_LEVEL_2","FQ2 2021","FQ2 2021","Currency=USD","Period=FQ","BEST_FPERIOD_OVERRIDE=FQ","FILING_STATUS=MR","SCALING_FORMAT=MLN","Sort=A","Dates=H","DateFormat=P","Fill=—","Direction=H","UseDPDF=Y")</f>
        <v>0</v>
      </c>
      <c r="N7" s="13">
        <f>_xll.BDH("SRPT US Equity","ARDR_FV_ASSETS_REC_LEVEL_2","FQ3 2021","FQ3 2021","Currency=USD","Period=FQ","BEST_FPERIOD_OVERRIDE=FQ","FILING_STATUS=MR","SCALING_FORMAT=MLN","Sort=A","Dates=H","DateFormat=P","Fill=—","Direction=H","UseDPDF=Y")</f>
        <v>0</v>
      </c>
      <c r="O7" s="13">
        <f>_xll.BDH("SRPT US Equity","ARDR_FV_ASSETS_REC_LEVEL_2","FQ4 2021","FQ4 2021","Currency=USD","Period=FQ","BEST_FPERIOD_OVERRIDE=FQ","FILING_STATUS=MR","SCALING_FORMAT=MLN","Sort=A","Dates=H","DateFormat=P","Fill=—","Direction=H","UseDPDF=Y")</f>
        <v>0</v>
      </c>
      <c r="P7" s="13">
        <f>_xll.BDH("SRPT US Equity","ARDR_FV_ASSETS_REC_LEVEL_2","FQ1 2022","FQ1 2022","Currency=USD","Period=FQ","BEST_FPERIOD_OVERRIDE=FQ","FILING_STATUS=MR","SCALING_FORMAT=MLN","Sort=A","Dates=H","DateFormat=P","Fill=—","Direction=H","UseDPDF=Y")</f>
        <v>904.38</v>
      </c>
      <c r="Q7" s="13">
        <f>_xll.BDH("SRPT US Equity","ARDR_FV_ASSETS_REC_LEVEL_2","FQ2 2022","FQ2 2022","Currency=USD","Period=FQ","BEST_FPERIOD_OVERRIDE=FQ","FILING_STATUS=MR","SCALING_FORMAT=MLN","Sort=A","Dates=H","DateFormat=P","Fill=—","Direction=H","UseDPDF=Y")</f>
        <v>1102.3910000000001</v>
      </c>
      <c r="R7" s="13">
        <f>_xll.BDH("SRPT US Equity","ARDR_FV_ASSETS_REC_LEVEL_2","FQ3 2022","FQ3 2022","Currency=USD","Period=FQ","BEST_FPERIOD_OVERRIDE=FQ","FILING_STATUS=MR","SCALING_FORMAT=MLN","Sort=A","Dates=H","DateFormat=P","Fill=—","Direction=H","UseDPDF=Y")</f>
        <v>1149.037</v>
      </c>
      <c r="S7" s="13">
        <f>_xll.BDH("SRPT US Equity","ARDR_FV_ASSETS_REC_LEVEL_2","FQ4 2022","FQ4 2022","Currency=USD","Period=FQ","BEST_FPERIOD_OVERRIDE=FQ","FILING_STATUS=MR","SCALING_FORMAT=MLN","Sort=A","Dates=H","DateFormat=P","Fill=—","Direction=H","UseDPDF=Y")</f>
        <v>1187.395</v>
      </c>
      <c r="T7" s="13">
        <f>_xll.BDH("SRPT US Equity","ARDR_FV_ASSETS_REC_LEVEL_2","FQ1 2023","FQ1 2023","Currency=USD","Period=FQ","BEST_FPERIOD_OVERRIDE=FQ","FILING_STATUS=MR","SCALING_FORMAT=MLN","Sort=A","Dates=H","DateFormat=P","Fill=—","Direction=H","UseDPDF=Y")</f>
        <v>1090.6410000000001</v>
      </c>
      <c r="U7" s="13">
        <f>_xll.BDH("SRPT US Equity","ARDR_FV_ASSETS_REC_LEVEL_2","FQ2 2023","FQ2 2023","Currency=USD","Period=FQ","BEST_FPERIOD_OVERRIDE=FQ","FILING_STATUS=MR","SCALING_FORMAT=MLN","Sort=A","Dates=H","DateFormat=P","Fill=—","Direction=H","UseDPDF=Y")</f>
        <v>1058.566</v>
      </c>
      <c r="V7" s="13">
        <f>_xll.BDH("SRPT US Equity","ARDR_FV_ASSETS_REC_LEVEL_2","FQ3 2023","FQ3 2023","Currency=USD","Period=FQ","BEST_FPERIOD_OVERRIDE=FQ","FILING_STATUS=MR","SCALING_FORMAT=MLN","Sort=A","Dates=H","DateFormat=P","Fill=—","Direction=H","UseDPDF=Y")</f>
        <v>1268.671</v>
      </c>
      <c r="W7" s="13">
        <f>_xll.BDH("SRPT US Equity","ARDR_FV_ASSETS_REC_LEVEL_2","FQ4 2023","FQ4 2023","Currency=USD","Period=FQ","BEST_FPERIOD_OVERRIDE=FQ","FILING_STATUS=MR","SCALING_FORMAT=MLN","Sort=A","Dates=H","DateFormat=P","Fill=—","Direction=H","UseDPDF=Y")</f>
        <v>1301.5</v>
      </c>
      <c r="X7" s="13">
        <f>_xll.BDH("SRPT US Equity","ARDR_FV_ASSETS_REC_LEVEL_2","FQ1 2024","FQ1 2024","Currency=USD","Period=FQ","BEST_FPERIOD_OVERRIDE=FQ","FILING_STATUS=MR","SCALING_FORMAT=MLN","Sort=A","Dates=H","DateFormat=P","Fill=—","Direction=H","UseDPDF=Y")</f>
        <v>997.37199999999996</v>
      </c>
      <c r="Y7" s="13">
        <f>_xll.BDH("SRPT US Equity","ARDR_FV_ASSETS_REC_LEVEL_2","FQ2 2024","FQ2 2024","Currency=USD","Period=FQ","BEST_FPERIOD_OVERRIDE=FQ","FILING_STATUS=MR","SCALING_FORMAT=MLN","Sort=A","Dates=H","DateFormat=P","Fill=—","Direction=H","UseDPDF=Y")</f>
        <v>1115.0309999999999</v>
      </c>
      <c r="Z7" s="13">
        <f>_xll.BDH("SRPT US Equity","ARDR_FV_ASSETS_REC_LEVEL_2","FQ3 2024","FQ3 2024","Currency=USD","Period=FQ","BEST_FPERIOD_OVERRIDE=FQ","FILING_STATUS=MR","SCALING_FORMAT=MLN","Sort=A","Dates=H","DateFormat=P","Fill=—","Direction=H","UseDPDF=Y")</f>
        <v>1217.7629999999999</v>
      </c>
      <c r="AA7" s="13">
        <f>_xll.BDH("SRPT US Equity","ARDR_FV_ASSETS_REC_LEVEL_2","FQ4 2024","FQ4 2024","Currency=USD","Period=FQ","BEST_FPERIOD_OVERRIDE=FQ","FILING_STATUS=MR","SCALING_FORMAT=MLN","Sort=A","Dates=H","DateFormat=P","Fill=—","Direction=H","UseDPDF=Y")</f>
        <v>384.94499999999999</v>
      </c>
    </row>
    <row r="8" spans="1:27" x14ac:dyDescent="0.25">
      <c r="A8" s="10" t="s">
        <v>1155</v>
      </c>
      <c r="B8" s="10" t="s">
        <v>1028</v>
      </c>
      <c r="C8" s="13">
        <f>_xll.BDH("SRPT US Equity","ARDR_FV_ASSETS_REC_LEVEL_3","FQ4 2018","FQ4 2018","Currency=USD","Period=FQ","BEST_FPERIOD_OVERRIDE=FQ","FILING_STATUS=MR","SCALING_FORMAT=MLN","Sort=A","Dates=H","DateFormat=P","Fill=—","Direction=H","UseDPDF=Y")</f>
        <v>30</v>
      </c>
      <c r="D8" s="13">
        <f>_xll.BDH("SRPT US Equity","ARDR_FV_ASSETS_REC_LEVEL_3","FQ1 2019","FQ1 2019","Currency=USD","Period=FQ","BEST_FPERIOD_OVERRIDE=FQ","FILING_STATUS=MR","SCALING_FORMAT=MLN","Sort=A","Dates=H","DateFormat=P","Fill=—","Direction=H","UseDPDF=Y")</f>
        <v>30</v>
      </c>
      <c r="E8" s="13">
        <f>_xll.BDH("SRPT US Equity","ARDR_FV_ASSETS_REC_LEVEL_3","FQ2 2019","FQ2 2019","Currency=USD","Period=FQ","BEST_FPERIOD_OVERRIDE=FQ","FILING_STATUS=MR","SCALING_FORMAT=MLN","Sort=A","Dates=H","DateFormat=P","Fill=—","Direction=H","UseDPDF=Y")</f>
        <v>30</v>
      </c>
      <c r="F8" s="13">
        <f>_xll.BDH("SRPT US Equity","ARDR_FV_ASSETS_REC_LEVEL_3","FQ3 2019","FQ3 2019","Currency=USD","Period=FQ","BEST_FPERIOD_OVERRIDE=FQ","FILING_STATUS=MR","SCALING_FORMAT=MLN","Sort=A","Dates=H","DateFormat=P","Fill=—","Direction=H","UseDPDF=Y")</f>
        <v>30</v>
      </c>
      <c r="G8" s="13">
        <f>_xll.BDH("SRPT US Equity","ARDR_FV_ASSETS_REC_LEVEL_3","FQ4 2019","FQ4 2019","Currency=USD","Period=FQ","BEST_FPERIOD_OVERRIDE=FQ","FILING_STATUS=MR","SCALING_FORMAT=MLN","Sort=A","Dates=H","DateFormat=P","Fill=—","Direction=H","UseDPDF=Y")</f>
        <v>30</v>
      </c>
      <c r="H8" s="13">
        <f>_xll.BDH("SRPT US Equity","ARDR_FV_ASSETS_REC_LEVEL_3","FQ1 2020","FQ1 2020","Currency=USD","Period=FQ","BEST_FPERIOD_OVERRIDE=FQ","FILING_STATUS=MR","SCALING_FORMAT=MLN","Sort=A","Dates=H","DateFormat=P","Fill=—","Direction=H","UseDPDF=Y")</f>
        <v>30</v>
      </c>
      <c r="I8" s="13">
        <f>_xll.BDH("SRPT US Equity","ARDR_FV_ASSETS_REC_LEVEL_3","FQ2 2020","FQ2 2020","Currency=USD","Period=FQ","BEST_FPERIOD_OVERRIDE=FQ","FILING_STATUS=MR","SCALING_FORMAT=MLN","Sort=A","Dates=H","DateFormat=P","Fill=—","Direction=H","UseDPDF=Y")</f>
        <v>30</v>
      </c>
      <c r="J8" s="13">
        <f>_xll.BDH("SRPT US Equity","ARDR_FV_ASSETS_REC_LEVEL_3","FQ3 2020","FQ3 2020","Currency=USD","Period=FQ","BEST_FPERIOD_OVERRIDE=FQ","FILING_STATUS=MR","SCALING_FORMAT=MLN","Sort=A","Dates=H","DateFormat=P","Fill=—","Direction=H","UseDPDF=Y")</f>
        <v>30</v>
      </c>
      <c r="K8" s="13">
        <f>_xll.BDH("SRPT US Equity","ARDR_FV_ASSETS_REC_LEVEL_3","FQ4 2020","FQ4 2020","Currency=USD","Period=FQ","BEST_FPERIOD_OVERRIDE=FQ","FILING_STATUS=MR","SCALING_FORMAT=MLN","Sort=A","Dates=H","DateFormat=P","Fill=—","Direction=H","UseDPDF=Y")</f>
        <v>35.1</v>
      </c>
      <c r="L8" s="13">
        <f>_xll.BDH("SRPT US Equity","ARDR_FV_ASSETS_REC_LEVEL_3","FQ1 2021","FQ1 2021","Currency=USD","Period=FQ","BEST_FPERIOD_OVERRIDE=FQ","FILING_STATUS=MR","SCALING_FORMAT=MLN","Sort=A","Dates=H","DateFormat=P","Fill=—","Direction=H","UseDPDF=Y")</f>
        <v>36.9</v>
      </c>
      <c r="M8" s="13">
        <f>_xll.BDH("SRPT US Equity","ARDR_FV_ASSETS_REC_LEVEL_3","FQ2 2021","FQ2 2021","Currency=USD","Period=FQ","BEST_FPERIOD_OVERRIDE=FQ","FILING_STATUS=MR","SCALING_FORMAT=MLN","Sort=A","Dates=H","DateFormat=P","Fill=—","Direction=H","UseDPDF=Y")</f>
        <v>36.9</v>
      </c>
      <c r="N8" s="13">
        <f>_xll.BDH("SRPT US Equity","ARDR_FV_ASSETS_REC_LEVEL_3","FQ3 2021","FQ3 2021","Currency=USD","Period=FQ","BEST_FPERIOD_OVERRIDE=FQ","FILING_STATUS=MR","SCALING_FORMAT=MLN","Sort=A","Dates=H","DateFormat=P","Fill=—","Direction=H","UseDPDF=Y")</f>
        <v>32.411999999999999</v>
      </c>
      <c r="O8" s="13">
        <f>_xll.BDH("SRPT US Equity","ARDR_FV_ASSETS_REC_LEVEL_3","FQ4 2021","FQ4 2021","Currency=USD","Period=FQ","BEST_FPERIOD_OVERRIDE=FQ","FILING_STATUS=MR","SCALING_FORMAT=MLN","Sort=A","Dates=H","DateFormat=P","Fill=—","Direction=H","UseDPDF=Y")</f>
        <v>32.411999999999999</v>
      </c>
      <c r="P8" s="13">
        <f>_xll.BDH("SRPT US Equity","ARDR_FV_ASSETS_REC_LEVEL_3","FQ1 2022","FQ1 2022","Currency=USD","Period=FQ","BEST_FPERIOD_OVERRIDE=FQ","FILING_STATUS=MR","SCALING_FORMAT=MLN","Sort=A","Dates=H","DateFormat=P","Fill=—","Direction=H","UseDPDF=Y")</f>
        <v>32.411999999999999</v>
      </c>
      <c r="Q8" s="13">
        <f>_xll.BDH("SRPT US Equity","ARDR_FV_ASSETS_REC_LEVEL_3","FQ2 2022","FQ2 2022","Currency=USD","Period=FQ","BEST_FPERIOD_OVERRIDE=FQ","FILING_STATUS=MR","SCALING_FORMAT=MLN","Sort=A","Dates=H","DateFormat=P","Fill=—","Direction=H","UseDPDF=Y")</f>
        <v>32.411999999999999</v>
      </c>
      <c r="R8" s="13">
        <f>_xll.BDH("SRPT US Equity","ARDR_FV_ASSETS_REC_LEVEL_3","FQ3 2022","FQ3 2022","Currency=USD","Period=FQ","BEST_FPERIOD_OVERRIDE=FQ","FILING_STATUS=MR","SCALING_FORMAT=MLN","Sort=A","Dates=H","DateFormat=P","Fill=—","Direction=H","UseDPDF=Y")</f>
        <v>32.575000000000003</v>
      </c>
      <c r="S8" s="13">
        <f>_xll.BDH("SRPT US Equity","ARDR_FV_ASSETS_REC_LEVEL_3","FQ4 2022","FQ4 2022","Currency=USD","Period=FQ","BEST_FPERIOD_OVERRIDE=FQ","FILING_STATUS=MR","SCALING_FORMAT=MLN","Sort=A","Dates=H","DateFormat=P","Fill=—","Direction=H","UseDPDF=Y")</f>
        <v>31</v>
      </c>
      <c r="T8" s="13">
        <f>_xll.BDH("SRPT US Equity","ARDR_FV_ASSETS_REC_LEVEL_3","FQ1 2023","FQ1 2023","Currency=USD","Period=FQ","BEST_FPERIOD_OVERRIDE=FQ","FILING_STATUS=MR","SCALING_FORMAT=MLN","Sort=A","Dates=H","DateFormat=P","Fill=—","Direction=H","UseDPDF=Y")</f>
        <v>31</v>
      </c>
      <c r="U8" s="13">
        <f>_xll.BDH("SRPT US Equity","ARDR_FV_ASSETS_REC_LEVEL_3","FQ2 2023","FQ2 2023","Currency=USD","Period=FQ","BEST_FPERIOD_OVERRIDE=FQ","FILING_STATUS=MR","SCALING_FORMAT=MLN","Sort=A","Dates=H","DateFormat=P","Fill=—","Direction=H","UseDPDF=Y")</f>
        <v>31</v>
      </c>
      <c r="V8" s="13">
        <f>_xll.BDH("SRPT US Equity","ARDR_FV_ASSETS_REC_LEVEL_3","FQ3 2023","FQ3 2023","Currency=USD","Period=FQ","BEST_FPERIOD_OVERRIDE=FQ","FILING_STATUS=MR","SCALING_FORMAT=MLN","Sort=A","Dates=H","DateFormat=P","Fill=—","Direction=H","UseDPDF=Y")</f>
        <v>7.5</v>
      </c>
      <c r="W8" s="13">
        <f>_xll.BDH("SRPT US Equity","ARDR_FV_ASSETS_REC_LEVEL_3","FQ4 2023","FQ4 2023","Currency=USD","Period=FQ","BEST_FPERIOD_OVERRIDE=FQ","FILING_STATUS=MR","SCALING_FORMAT=MLN","Sort=A","Dates=H","DateFormat=P","Fill=—","Direction=H","UseDPDF=Y")</f>
        <v>1</v>
      </c>
      <c r="X8" s="13">
        <f>_xll.BDH("SRPT US Equity","ARDR_FV_ASSETS_REC_LEVEL_3","FQ1 2024","FQ1 2024","Currency=USD","Period=FQ","BEST_FPERIOD_OVERRIDE=FQ","FILING_STATUS=MR","SCALING_FORMAT=MLN","Sort=A","Dates=H","DateFormat=P","Fill=—","Direction=H","UseDPDF=Y")</f>
        <v>1</v>
      </c>
      <c r="Y8" s="13">
        <f>_xll.BDH("SRPT US Equity","ARDR_FV_ASSETS_REC_LEVEL_3","FQ2 2024","FQ2 2024","Currency=USD","Period=FQ","BEST_FPERIOD_OVERRIDE=FQ","FILING_STATUS=MR","SCALING_FORMAT=MLN","Sort=A","Dates=H","DateFormat=P","Fill=—","Direction=H","UseDPDF=Y")</f>
        <v>1</v>
      </c>
      <c r="Z8" s="13">
        <f>_xll.BDH("SRPT US Equity","ARDR_FV_ASSETS_REC_LEVEL_3","FQ3 2024","FQ3 2024","Currency=USD","Period=FQ","BEST_FPERIOD_OVERRIDE=FQ","FILING_STATUS=MR","SCALING_FORMAT=MLN","Sort=A","Dates=H","DateFormat=P","Fill=—","Direction=H","UseDPDF=Y")</f>
        <v>1</v>
      </c>
      <c r="AA8" s="13">
        <f>_xll.BDH("SRPT US Equity","ARDR_FV_ASSETS_REC_LEVEL_3","FQ4 2024","FQ4 2024","Currency=USD","Period=FQ","BEST_FPERIOD_OVERRIDE=FQ","FILING_STATUS=MR","SCALING_FORMAT=MLN","Sort=A","Dates=H","DateFormat=P","Fill=—","Direction=H","UseDPDF=Y")</f>
        <v>1</v>
      </c>
    </row>
    <row r="9" spans="1:27" x14ac:dyDescent="0.25">
      <c r="A9" s="6" t="s">
        <v>1156</v>
      </c>
      <c r="B9" s="6" t="s">
        <v>1030</v>
      </c>
      <c r="C9" s="19">
        <f>_xll.BDH("SRPT US Equity","ARDR_FV_ASSETS_REC_TOTAL","FQ4 2018","FQ4 2018","Currency=USD","Period=FQ","BEST_FPERIOD_OVERRIDE=FQ","FILING_STATUS=MR","SCALING_FORMAT=MLN","Sort=A","Dates=H","DateFormat=P","Fill=—","Direction=H","UseDPDF=Y")</f>
        <v>1005.27</v>
      </c>
      <c r="D9" s="19">
        <f>_xll.BDH("SRPT US Equity","ARDR_FV_ASSETS_REC_TOTAL","FQ1 2019","FQ1 2019","Currency=USD","Period=FQ","BEST_FPERIOD_OVERRIDE=FQ","FILING_STATUS=MR","SCALING_FORMAT=MLN","Sort=A","Dates=H","DateFormat=P","Fill=—","Direction=H","UseDPDF=Y")</f>
        <v>1095.152</v>
      </c>
      <c r="E9" s="19">
        <f>_xll.BDH("SRPT US Equity","ARDR_FV_ASSETS_REC_TOTAL","FQ2 2019","FQ2 2019","Currency=USD","Period=FQ","BEST_FPERIOD_OVERRIDE=FQ","FILING_STATUS=MR","SCALING_FORMAT=MLN","Sort=A","Dates=H","DateFormat=P","Fill=—","Direction=H","UseDPDF=Y")</f>
        <v>998.78899999999999</v>
      </c>
      <c r="F9" s="19">
        <f>_xll.BDH("SRPT US Equity","ARDR_FV_ASSETS_REC_TOTAL","FQ3 2019","FQ3 2019","Currency=USD","Period=FQ","BEST_FPERIOD_OVERRIDE=FQ","FILING_STATUS=MR","SCALING_FORMAT=MLN","Sort=A","Dates=H","DateFormat=P","Fill=—","Direction=H","UseDPDF=Y")</f>
        <v>898.17499999999995</v>
      </c>
      <c r="G9" s="19">
        <f>_xll.BDH("SRPT US Equity","ARDR_FV_ASSETS_REC_TOTAL","FQ4 2019","FQ4 2019","Currency=USD","Period=FQ","BEST_FPERIOD_OVERRIDE=FQ","FILING_STATUS=MR","SCALING_FORMAT=MLN","Sort=A","Dates=H","DateFormat=P","Fill=—","Direction=H","UseDPDF=Y")</f>
        <v>1045.5070000000001</v>
      </c>
      <c r="H9" s="19">
        <f>_xll.BDH("SRPT US Equity","ARDR_FV_ASSETS_REC_TOTAL","FQ1 2020","FQ1 2020","Currency=USD","Period=FQ","BEST_FPERIOD_OVERRIDE=FQ","FILING_STATUS=MR","SCALING_FORMAT=MLN","Sort=A","Dates=H","DateFormat=P","Fill=—","Direction=H","UseDPDF=Y")</f>
        <v>1801.5060000000001</v>
      </c>
      <c r="I9" s="19">
        <f>_xll.BDH("SRPT US Equity","ARDR_FV_ASSETS_REC_TOTAL","FQ2 2020","FQ2 2020","Currency=USD","Period=FQ","BEST_FPERIOD_OVERRIDE=FQ","FILING_STATUS=MR","SCALING_FORMAT=MLN","Sort=A","Dates=H","DateFormat=P","Fill=—","Direction=H","UseDPDF=Y")</f>
        <v>1771.962</v>
      </c>
      <c r="J9" s="19">
        <f>_xll.BDH("SRPT US Equity","ARDR_FV_ASSETS_REC_TOTAL","FQ3 2020","FQ3 2020","Currency=USD","Period=FQ","BEST_FPERIOD_OVERRIDE=FQ","FILING_STATUS=MR","SCALING_FORMAT=MLN","Sort=A","Dates=H","DateFormat=P","Fill=—","Direction=H","UseDPDF=Y")</f>
        <v>1551.098</v>
      </c>
      <c r="K9" s="19">
        <f>_xll.BDH("SRPT US Equity","ARDR_FV_ASSETS_REC_TOTAL","FQ4 2020","FQ4 2020","Currency=USD","Period=FQ","BEST_FPERIOD_OVERRIDE=FQ","FILING_STATUS=MR","SCALING_FORMAT=MLN","Sort=A","Dates=H","DateFormat=P","Fill=—","Direction=H","UseDPDF=Y")</f>
        <v>1706.47</v>
      </c>
      <c r="L9" s="19">
        <f>_xll.BDH("SRPT US Equity","ARDR_FV_ASSETS_REC_TOTAL","FQ1 2021","FQ1 2021","Currency=USD","Period=FQ","BEST_FPERIOD_OVERRIDE=FQ","FILING_STATUS=MR","SCALING_FORMAT=MLN","Sort=A","Dates=H","DateFormat=P","Fill=—","Direction=H","UseDPDF=Y")</f>
        <v>1453.3019999999999</v>
      </c>
      <c r="M9" s="19">
        <f>_xll.BDH("SRPT US Equity","ARDR_FV_ASSETS_REC_TOTAL","FQ2 2021","FQ2 2021","Currency=USD","Period=FQ","BEST_FPERIOD_OVERRIDE=FQ","FILING_STATUS=MR","SCALING_FORMAT=MLN","Sort=A","Dates=H","DateFormat=P","Fill=—","Direction=H","UseDPDF=Y")</f>
        <v>1452.558</v>
      </c>
      <c r="N9" s="19">
        <f>_xll.BDH("SRPT US Equity","ARDR_FV_ASSETS_REC_TOTAL","FQ3 2021","FQ3 2021","Currency=USD","Period=FQ","BEST_FPERIOD_OVERRIDE=FQ","FILING_STATUS=MR","SCALING_FORMAT=MLN","Sort=A","Dates=H","DateFormat=P","Fill=—","Direction=H","UseDPDF=Y")</f>
        <v>1322.83</v>
      </c>
      <c r="O9" s="19">
        <f>_xll.BDH("SRPT US Equity","ARDR_FV_ASSETS_REC_TOTAL","FQ4 2021","FQ4 2021","Currency=USD","Period=FQ","BEST_FPERIOD_OVERRIDE=FQ","FILING_STATUS=MR","SCALING_FORMAT=MLN","Sort=A","Dates=H","DateFormat=P","Fill=—","Direction=H","UseDPDF=Y")</f>
        <v>1597.5</v>
      </c>
      <c r="P9" s="19">
        <f>_xll.BDH("SRPT US Equity","ARDR_FV_ASSETS_REC_TOTAL","FQ1 2022","FQ1 2022","Currency=USD","Period=FQ","BEST_FPERIOD_OVERRIDE=FQ","FILING_STATUS=MR","SCALING_FORMAT=MLN","Sort=A","Dates=H","DateFormat=P","Fill=—","Direction=H","UseDPDF=Y")</f>
        <v>1599.1279999999999</v>
      </c>
      <c r="Q9" s="19">
        <f>_xll.BDH("SRPT US Equity","ARDR_FV_ASSETS_REC_TOTAL","FQ2 2022","FQ2 2022","Currency=USD","Period=FQ","BEST_FPERIOD_OVERRIDE=FQ","FILING_STATUS=MR","SCALING_FORMAT=MLN","Sort=A","Dates=H","DateFormat=P","Fill=—","Direction=H","UseDPDF=Y")</f>
        <v>1599.6849999999999</v>
      </c>
      <c r="R9" s="19">
        <f>_xll.BDH("SRPT US Equity","ARDR_FV_ASSETS_REC_TOTAL","FQ3 2022","FQ3 2022","Currency=USD","Period=FQ","BEST_FPERIOD_OVERRIDE=FQ","FILING_STATUS=MR","SCALING_FORMAT=MLN","Sort=A","Dates=H","DateFormat=P","Fill=—","Direction=H","UseDPDF=Y")</f>
        <v>1691.145</v>
      </c>
      <c r="S9" s="19">
        <f>_xll.BDH("SRPT US Equity","ARDR_FV_ASSETS_REC_TOTAL","FQ4 2022","FQ4 2022","Currency=USD","Period=FQ","BEST_FPERIOD_OVERRIDE=FQ","FILING_STATUS=MR","SCALING_FORMAT=MLN","Sort=A","Dates=H","DateFormat=P","Fill=—","Direction=H","UseDPDF=Y")</f>
        <v>1686.269</v>
      </c>
      <c r="T9" s="19">
        <f>_xll.BDH("SRPT US Equity","ARDR_FV_ASSETS_REC_TOTAL","FQ1 2023","FQ1 2023","Currency=USD","Period=FQ","BEST_FPERIOD_OVERRIDE=FQ","FILING_STATUS=MR","SCALING_FORMAT=MLN","Sort=A","Dates=H","DateFormat=P","Fill=—","Direction=H","UseDPDF=Y")</f>
        <v>1572.048</v>
      </c>
      <c r="U9" s="19">
        <f>_xll.BDH("SRPT US Equity","ARDR_FV_ASSETS_REC_TOTAL","FQ2 2023","FQ2 2023","Currency=USD","Period=FQ","BEST_FPERIOD_OVERRIDE=FQ","FILING_STATUS=MR","SCALING_FORMAT=MLN","Sort=A","Dates=H","DateFormat=P","Fill=—","Direction=H","UseDPDF=Y")</f>
        <v>1494.4290000000001</v>
      </c>
      <c r="V9" s="19">
        <f>_xll.BDH("SRPT US Equity","ARDR_FV_ASSETS_REC_TOTAL","FQ3 2023","FQ3 2023","Currency=USD","Period=FQ","BEST_FPERIOD_OVERRIDE=FQ","FILING_STATUS=MR","SCALING_FORMAT=MLN","Sort=A","Dates=H","DateFormat=P","Fill=—","Direction=H","UseDPDF=Y")</f>
        <v>1415.8530000000001</v>
      </c>
      <c r="W9" s="19">
        <f>_xll.BDH("SRPT US Equity","ARDR_FV_ASSETS_REC_TOTAL","FQ4 2023","FQ4 2023","Currency=USD","Period=FQ","BEST_FPERIOD_OVERRIDE=FQ","FILING_STATUS=MR","SCALING_FORMAT=MLN","Sort=A","Dates=H","DateFormat=P","Fill=—","Direction=H","UseDPDF=Y")</f>
        <v>1371.9459999999999</v>
      </c>
      <c r="X9" s="19">
        <f>_xll.BDH("SRPT US Equity","ARDR_FV_ASSETS_REC_TOTAL","FQ1 2024","FQ1 2024","Currency=USD","Period=FQ","BEST_FPERIOD_OVERRIDE=FQ","FILING_STATUS=MR","SCALING_FORMAT=MLN","Sort=A","Dates=H","DateFormat=P","Fill=—","Direction=H","UseDPDF=Y")</f>
        <v>1282.6990000000001</v>
      </c>
      <c r="Y9" s="19">
        <f>_xll.BDH("SRPT US Equity","ARDR_FV_ASSETS_REC_TOTAL","FQ2 2024","FQ2 2024","Currency=USD","Period=FQ","BEST_FPERIOD_OVERRIDE=FQ","FILING_STATUS=MR","SCALING_FORMAT=MLN","Sort=A","Dates=H","DateFormat=P","Fill=—","Direction=H","UseDPDF=Y")</f>
        <v>1223.4960000000001</v>
      </c>
      <c r="Z9" s="19">
        <f>_xll.BDH("SRPT US Equity","ARDR_FV_ASSETS_REC_TOTAL","FQ3 2024","FQ3 2024","Currency=USD","Period=FQ","BEST_FPERIOD_OVERRIDE=FQ","FILING_STATUS=MR","SCALING_FORMAT=MLN","Sort=A","Dates=H","DateFormat=P","Fill=—","Direction=H","UseDPDF=Y")</f>
        <v>1257.931</v>
      </c>
      <c r="AA9" s="19">
        <f>_xll.BDH("SRPT US Equity","ARDR_FV_ASSETS_REC_TOTAL","FQ4 2024","FQ4 2024","Currency=USD","Period=FQ","BEST_FPERIOD_OVERRIDE=FQ","FILING_STATUS=MR","SCALING_FORMAT=MLN","Sort=A","Dates=H","DateFormat=P","Fill=—","Direction=H","UseDPDF=Y")</f>
        <v>844.19</v>
      </c>
    </row>
    <row r="10" spans="1:27" x14ac:dyDescent="0.25">
      <c r="A10" s="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x14ac:dyDescent="0.25">
      <c r="A11" s="10" t="s">
        <v>1157</v>
      </c>
      <c r="B11" s="10" t="s">
        <v>1032</v>
      </c>
      <c r="C11" s="13" t="str">
        <f>_xll.BDH("SRPT US Equity","ARDR_FV_LIAB_REC_LEVEL_1","FQ4 2018","FQ4 2018","Currency=USD","Period=FQ","BEST_FPERIOD_OVERRIDE=FQ","FILING_STATUS=MR","SCALING_FORMAT=MLN","Sort=A","Dates=H","DateFormat=P","Fill=—","Direction=H","UseDPDF=Y")</f>
        <v>—</v>
      </c>
      <c r="D11" s="13" t="str">
        <f>_xll.BDH("SRPT US Equity","ARDR_FV_LIAB_REC_LEVEL_1","FQ1 2019","FQ1 2019","Currency=USD","Period=FQ","BEST_FPERIOD_OVERRIDE=FQ","FILING_STATUS=MR","SCALING_FORMAT=MLN","Sort=A","Dates=H","DateFormat=P","Fill=—","Direction=H","UseDPDF=Y")</f>
        <v>—</v>
      </c>
      <c r="E11" s="13">
        <f>_xll.BDH("SRPT US Equity","ARDR_FV_LIAB_REC_LEVEL_1","FQ2 2019","FQ2 2019","Currency=USD","Period=FQ","BEST_FPERIOD_OVERRIDE=FQ","FILING_STATUS=MR","SCALING_FORMAT=MLN","Sort=A","Dates=H","DateFormat=P","Fill=—","Direction=H","UseDPDF=Y")</f>
        <v>0</v>
      </c>
      <c r="F11" s="13">
        <f>_xll.BDH("SRPT US Equity","ARDR_FV_LIAB_REC_LEVEL_1","FQ3 2019","FQ3 2019","Currency=USD","Period=FQ","BEST_FPERIOD_OVERRIDE=FQ","FILING_STATUS=MR","SCALING_FORMAT=MLN","Sort=A","Dates=H","DateFormat=P","Fill=—","Direction=H","UseDPDF=Y")</f>
        <v>0</v>
      </c>
      <c r="G11" s="13">
        <f>_xll.BDH("SRPT US Equity","ARDR_FV_LIAB_REC_LEVEL_1","FQ4 2019","FQ4 2019","Currency=USD","Period=FQ","BEST_FPERIOD_OVERRIDE=FQ","FILING_STATUS=MR","SCALING_FORMAT=MLN","Sort=A","Dates=H","DateFormat=P","Fill=—","Direction=H","UseDPDF=Y")</f>
        <v>0</v>
      </c>
      <c r="H11" s="13">
        <f>_xll.BDH("SRPT US Equity","ARDR_FV_LIAB_REC_LEVEL_1","FQ1 2020","FQ1 2020","Currency=USD","Period=FQ","BEST_FPERIOD_OVERRIDE=FQ","FILING_STATUS=MR","SCALING_FORMAT=MLN","Sort=A","Dates=H","DateFormat=P","Fill=—","Direction=H","UseDPDF=Y")</f>
        <v>0</v>
      </c>
      <c r="I11" s="13">
        <f>_xll.BDH("SRPT US Equity","ARDR_FV_LIAB_REC_LEVEL_1","FQ2 2020","FQ2 2020","Currency=USD","Period=FQ","BEST_FPERIOD_OVERRIDE=FQ","FILING_STATUS=MR","SCALING_FORMAT=MLN","Sort=A","Dates=H","DateFormat=P","Fill=—","Direction=H","UseDPDF=Y")</f>
        <v>0</v>
      </c>
      <c r="J11" s="13">
        <f>_xll.BDH("SRPT US Equity","ARDR_FV_LIAB_REC_LEVEL_1","FQ3 2020","FQ3 2020","Currency=USD","Period=FQ","BEST_FPERIOD_OVERRIDE=FQ","FILING_STATUS=MR","SCALING_FORMAT=MLN","Sort=A","Dates=H","DateFormat=P","Fill=—","Direction=H","UseDPDF=Y")</f>
        <v>0</v>
      </c>
      <c r="K11" s="13">
        <f>_xll.BDH("SRPT US Equity","ARDR_FV_LIAB_REC_LEVEL_1","FQ4 2020","FQ4 2020","Currency=USD","Period=FQ","BEST_FPERIOD_OVERRIDE=FQ","FILING_STATUS=MR","SCALING_FORMAT=MLN","Sort=A","Dates=H","DateFormat=P","Fill=—","Direction=H","UseDPDF=Y")</f>
        <v>0</v>
      </c>
      <c r="L11" s="13">
        <f>_xll.BDH("SRPT US Equity","ARDR_FV_LIAB_REC_LEVEL_1","FQ1 2021","FQ1 2021","Currency=USD","Period=FQ","BEST_FPERIOD_OVERRIDE=FQ","FILING_STATUS=MR","SCALING_FORMAT=MLN","Sort=A","Dates=H","DateFormat=P","Fill=—","Direction=H","UseDPDF=Y")</f>
        <v>0</v>
      </c>
      <c r="M11" s="13">
        <f>_xll.BDH("SRPT US Equity","ARDR_FV_LIAB_REC_LEVEL_1","FQ2 2021","FQ2 2021","Currency=USD","Period=FQ","BEST_FPERIOD_OVERRIDE=FQ","FILING_STATUS=MR","SCALING_FORMAT=MLN","Sort=A","Dates=H","DateFormat=P","Fill=—","Direction=H","UseDPDF=Y")</f>
        <v>0</v>
      </c>
      <c r="N11" s="13">
        <f>_xll.BDH("SRPT US Equity","ARDR_FV_LIAB_REC_LEVEL_1","FQ3 2021","FQ3 2021","Currency=USD","Period=FQ","BEST_FPERIOD_OVERRIDE=FQ","FILING_STATUS=MR","SCALING_FORMAT=MLN","Sort=A","Dates=H","DateFormat=P","Fill=—","Direction=H","UseDPDF=Y")</f>
        <v>0</v>
      </c>
      <c r="O11" s="13">
        <f>_xll.BDH("SRPT US Equity","ARDR_FV_LIAB_REC_LEVEL_1","FQ4 2021","FQ4 2021","Currency=USD","Period=FQ","BEST_FPERIOD_OVERRIDE=FQ","FILING_STATUS=MR","SCALING_FORMAT=MLN","Sort=A","Dates=H","DateFormat=P","Fill=—","Direction=H","UseDPDF=Y")</f>
        <v>0</v>
      </c>
      <c r="P11" s="13">
        <f>_xll.BDH("SRPT US Equity","ARDR_FV_LIAB_REC_LEVEL_1","FQ1 2022","FQ1 2022","Currency=USD","Period=FQ","BEST_FPERIOD_OVERRIDE=FQ","FILING_STATUS=MR","SCALING_FORMAT=MLN","Sort=A","Dates=H","DateFormat=P","Fill=—","Direction=H","UseDPDF=Y")</f>
        <v>0</v>
      </c>
      <c r="Q11" s="13">
        <f>_xll.BDH("SRPT US Equity","ARDR_FV_LIAB_REC_LEVEL_1","FQ2 2022","FQ2 2022","Currency=USD","Period=FQ","BEST_FPERIOD_OVERRIDE=FQ","FILING_STATUS=MR","SCALING_FORMAT=MLN","Sort=A","Dates=H","DateFormat=P","Fill=—","Direction=H","UseDPDF=Y")</f>
        <v>0</v>
      </c>
      <c r="R11" s="13">
        <f>_xll.BDH("SRPT US Equity","ARDR_FV_LIAB_REC_LEVEL_1","FQ3 2022","FQ3 2022","Currency=USD","Period=FQ","BEST_FPERIOD_OVERRIDE=FQ","FILING_STATUS=MR","SCALING_FORMAT=MLN","Sort=A","Dates=H","DateFormat=P","Fill=—","Direction=H","UseDPDF=Y")</f>
        <v>0</v>
      </c>
      <c r="S11" s="13">
        <f>_xll.BDH("SRPT US Equity","ARDR_FV_LIAB_REC_LEVEL_1","FQ4 2022","FQ4 2022","Currency=USD","Period=FQ","BEST_FPERIOD_OVERRIDE=FQ","FILING_STATUS=MR","SCALING_FORMAT=MLN","Sort=A","Dates=H","DateFormat=P","Fill=—","Direction=H","UseDPDF=Y")</f>
        <v>0</v>
      </c>
      <c r="T11" s="13">
        <f>_xll.BDH("SRPT US Equity","ARDR_FV_LIAB_REC_LEVEL_1","FQ1 2023","FQ1 2023","Currency=USD","Period=FQ","BEST_FPERIOD_OVERRIDE=FQ","FILING_STATUS=MR","SCALING_FORMAT=MLN","Sort=A","Dates=H","DateFormat=P","Fill=—","Direction=H","UseDPDF=Y")</f>
        <v>0</v>
      </c>
      <c r="U11" s="13">
        <f>_xll.BDH("SRPT US Equity","ARDR_FV_LIAB_REC_LEVEL_1","FQ2 2023","FQ2 2023","Currency=USD","Period=FQ","BEST_FPERIOD_OVERRIDE=FQ","FILING_STATUS=MR","SCALING_FORMAT=MLN","Sort=A","Dates=H","DateFormat=P","Fill=—","Direction=H","UseDPDF=Y")</f>
        <v>0</v>
      </c>
      <c r="V11" s="13">
        <f>_xll.BDH("SRPT US Equity","ARDR_FV_LIAB_REC_LEVEL_1","FQ3 2023","FQ3 2023","Currency=USD","Period=FQ","BEST_FPERIOD_OVERRIDE=FQ","FILING_STATUS=MR","SCALING_FORMAT=MLN","Sort=A","Dates=H","DateFormat=P","Fill=—","Direction=H","UseDPDF=Y")</f>
        <v>0</v>
      </c>
      <c r="W11" s="13">
        <f>_xll.BDH("SRPT US Equity","ARDR_FV_LIAB_REC_LEVEL_1","FQ4 2023","FQ4 2023","Currency=USD","Period=FQ","BEST_FPERIOD_OVERRIDE=FQ","FILING_STATUS=MR","SCALING_FORMAT=MLN","Sort=A","Dates=H","DateFormat=P","Fill=—","Direction=H","UseDPDF=Y")</f>
        <v>0</v>
      </c>
      <c r="X11" s="13">
        <f>_xll.BDH("SRPT US Equity","ARDR_FV_LIAB_REC_LEVEL_1","FQ1 2024","FQ1 2024","Currency=USD","Period=FQ","BEST_FPERIOD_OVERRIDE=FQ","FILING_STATUS=MR","SCALING_FORMAT=MLN","Sort=A","Dates=H","DateFormat=P","Fill=—","Direction=H","UseDPDF=Y")</f>
        <v>0</v>
      </c>
      <c r="Y11" s="13">
        <f>_xll.BDH("SRPT US Equity","ARDR_FV_LIAB_REC_LEVEL_1","FQ2 2024","FQ2 2024","Currency=USD","Period=FQ","BEST_FPERIOD_OVERRIDE=FQ","FILING_STATUS=MR","SCALING_FORMAT=MLN","Sort=A","Dates=H","DateFormat=P","Fill=—","Direction=H","UseDPDF=Y")</f>
        <v>0</v>
      </c>
      <c r="Z11" s="13">
        <f>_xll.BDH("SRPT US Equity","ARDR_FV_LIAB_REC_LEVEL_1","FQ3 2024","FQ3 2024","Currency=USD","Period=FQ","BEST_FPERIOD_OVERRIDE=FQ","FILING_STATUS=MR","SCALING_FORMAT=MLN","Sort=A","Dates=H","DateFormat=P","Fill=—","Direction=H","UseDPDF=Y")</f>
        <v>0</v>
      </c>
      <c r="AA11" s="13">
        <f>_xll.BDH("SRPT US Equity","ARDR_FV_LIAB_REC_LEVEL_1","FQ4 2024","FQ4 2024","Currency=USD","Period=FQ","BEST_FPERIOD_OVERRIDE=FQ","FILING_STATUS=MR","SCALING_FORMAT=MLN","Sort=A","Dates=H","DateFormat=P","Fill=—","Direction=H","UseDPDF=Y")</f>
        <v>0</v>
      </c>
    </row>
    <row r="12" spans="1:27" x14ac:dyDescent="0.25">
      <c r="A12" s="10" t="s">
        <v>1158</v>
      </c>
      <c r="B12" s="10" t="s">
        <v>1034</v>
      </c>
      <c r="C12" s="13" t="str">
        <f>_xll.BDH("SRPT US Equity","ARDR_FV_LIAB_REC_LEVEL_2","FQ4 2018","FQ4 2018","Currency=USD","Period=FQ","BEST_FPERIOD_OVERRIDE=FQ","FILING_STATUS=MR","SCALING_FORMAT=MLN","Sort=A","Dates=H","DateFormat=P","Fill=—","Direction=H","UseDPDF=Y")</f>
        <v>—</v>
      </c>
      <c r="D12" s="13" t="str">
        <f>_xll.BDH("SRPT US Equity","ARDR_FV_LIAB_REC_LEVEL_2","FQ1 2019","FQ1 2019","Currency=USD","Period=FQ","BEST_FPERIOD_OVERRIDE=FQ","FILING_STATUS=MR","SCALING_FORMAT=MLN","Sort=A","Dates=H","DateFormat=P","Fill=—","Direction=H","UseDPDF=Y")</f>
        <v>—</v>
      </c>
      <c r="E12" s="13">
        <f>_xll.BDH("SRPT US Equity","ARDR_FV_LIAB_REC_LEVEL_2","FQ2 2019","FQ2 2019","Currency=USD","Period=FQ","BEST_FPERIOD_OVERRIDE=FQ","FILING_STATUS=MR","SCALING_FORMAT=MLN","Sort=A","Dates=H","DateFormat=P","Fill=—","Direction=H","UseDPDF=Y")</f>
        <v>0</v>
      </c>
      <c r="F12" s="13">
        <f>_xll.BDH("SRPT US Equity","ARDR_FV_LIAB_REC_LEVEL_2","FQ3 2019","FQ3 2019","Currency=USD","Period=FQ","BEST_FPERIOD_OVERRIDE=FQ","FILING_STATUS=MR","SCALING_FORMAT=MLN","Sort=A","Dates=H","DateFormat=P","Fill=—","Direction=H","UseDPDF=Y")</f>
        <v>0</v>
      </c>
      <c r="G12" s="13">
        <f>_xll.BDH("SRPT US Equity","ARDR_FV_LIAB_REC_LEVEL_2","FQ4 2019","FQ4 2019","Currency=USD","Period=FQ","BEST_FPERIOD_OVERRIDE=FQ","FILING_STATUS=MR","SCALING_FORMAT=MLN","Sort=A","Dates=H","DateFormat=P","Fill=—","Direction=H","UseDPDF=Y")</f>
        <v>0</v>
      </c>
      <c r="H12" s="13">
        <f>_xll.BDH("SRPT US Equity","ARDR_FV_LIAB_REC_LEVEL_2","FQ1 2020","FQ1 2020","Currency=USD","Period=FQ","BEST_FPERIOD_OVERRIDE=FQ","FILING_STATUS=MR","SCALING_FORMAT=MLN","Sort=A","Dates=H","DateFormat=P","Fill=—","Direction=H","UseDPDF=Y")</f>
        <v>0</v>
      </c>
      <c r="I12" s="13">
        <f>_xll.BDH("SRPT US Equity","ARDR_FV_LIAB_REC_LEVEL_2","FQ2 2020","FQ2 2020","Currency=USD","Period=FQ","BEST_FPERIOD_OVERRIDE=FQ","FILING_STATUS=MR","SCALING_FORMAT=MLN","Sort=A","Dates=H","DateFormat=P","Fill=—","Direction=H","UseDPDF=Y")</f>
        <v>0</v>
      </c>
      <c r="J12" s="13">
        <f>_xll.BDH("SRPT US Equity","ARDR_FV_LIAB_REC_LEVEL_2","FQ3 2020","FQ3 2020","Currency=USD","Period=FQ","BEST_FPERIOD_OVERRIDE=FQ","FILING_STATUS=MR","SCALING_FORMAT=MLN","Sort=A","Dates=H","DateFormat=P","Fill=—","Direction=H","UseDPDF=Y")</f>
        <v>0</v>
      </c>
      <c r="K12" s="13">
        <f>_xll.BDH("SRPT US Equity","ARDR_FV_LIAB_REC_LEVEL_2","FQ4 2020","FQ4 2020","Currency=USD","Period=FQ","BEST_FPERIOD_OVERRIDE=FQ","FILING_STATUS=MR","SCALING_FORMAT=MLN","Sort=A","Dates=H","DateFormat=P","Fill=—","Direction=H","UseDPDF=Y")</f>
        <v>0</v>
      </c>
      <c r="L12" s="13">
        <f>_xll.BDH("SRPT US Equity","ARDR_FV_LIAB_REC_LEVEL_2","FQ1 2021","FQ1 2021","Currency=USD","Period=FQ","BEST_FPERIOD_OVERRIDE=FQ","FILING_STATUS=MR","SCALING_FORMAT=MLN","Sort=A","Dates=H","DateFormat=P","Fill=—","Direction=H","UseDPDF=Y")</f>
        <v>0</v>
      </c>
      <c r="M12" s="13">
        <f>_xll.BDH("SRPT US Equity","ARDR_FV_LIAB_REC_LEVEL_2","FQ2 2021","FQ2 2021","Currency=USD","Period=FQ","BEST_FPERIOD_OVERRIDE=FQ","FILING_STATUS=MR","SCALING_FORMAT=MLN","Sort=A","Dates=H","DateFormat=P","Fill=—","Direction=H","UseDPDF=Y")</f>
        <v>0</v>
      </c>
      <c r="N12" s="13">
        <f>_xll.BDH("SRPT US Equity","ARDR_FV_LIAB_REC_LEVEL_2","FQ3 2021","FQ3 2021","Currency=USD","Period=FQ","BEST_FPERIOD_OVERRIDE=FQ","FILING_STATUS=MR","SCALING_FORMAT=MLN","Sort=A","Dates=H","DateFormat=P","Fill=—","Direction=H","UseDPDF=Y")</f>
        <v>0</v>
      </c>
      <c r="O12" s="13">
        <f>_xll.BDH("SRPT US Equity","ARDR_FV_LIAB_REC_LEVEL_2","FQ4 2021","FQ4 2021","Currency=USD","Period=FQ","BEST_FPERIOD_OVERRIDE=FQ","FILING_STATUS=MR","SCALING_FORMAT=MLN","Sort=A","Dates=H","DateFormat=P","Fill=—","Direction=H","UseDPDF=Y")</f>
        <v>0</v>
      </c>
      <c r="P12" s="13">
        <f>_xll.BDH("SRPT US Equity","ARDR_FV_LIAB_REC_LEVEL_2","FQ1 2022","FQ1 2022","Currency=USD","Period=FQ","BEST_FPERIOD_OVERRIDE=FQ","FILING_STATUS=MR","SCALING_FORMAT=MLN","Sort=A","Dates=H","DateFormat=P","Fill=—","Direction=H","UseDPDF=Y")</f>
        <v>0</v>
      </c>
      <c r="Q12" s="13">
        <f>_xll.BDH("SRPT US Equity","ARDR_FV_LIAB_REC_LEVEL_2","FQ2 2022","FQ2 2022","Currency=USD","Period=FQ","BEST_FPERIOD_OVERRIDE=FQ","FILING_STATUS=MR","SCALING_FORMAT=MLN","Sort=A","Dates=H","DateFormat=P","Fill=—","Direction=H","UseDPDF=Y")</f>
        <v>0</v>
      </c>
      <c r="R12" s="13">
        <f>_xll.BDH("SRPT US Equity","ARDR_FV_LIAB_REC_LEVEL_2","FQ3 2022","FQ3 2022","Currency=USD","Period=FQ","BEST_FPERIOD_OVERRIDE=FQ","FILING_STATUS=MR","SCALING_FORMAT=MLN","Sort=A","Dates=H","DateFormat=P","Fill=—","Direction=H","UseDPDF=Y")</f>
        <v>0</v>
      </c>
      <c r="S12" s="13">
        <f>_xll.BDH("SRPT US Equity","ARDR_FV_LIAB_REC_LEVEL_2","FQ4 2022","FQ4 2022","Currency=USD","Period=FQ","BEST_FPERIOD_OVERRIDE=FQ","FILING_STATUS=MR","SCALING_FORMAT=MLN","Sort=A","Dates=H","DateFormat=P","Fill=—","Direction=H","UseDPDF=Y")</f>
        <v>0</v>
      </c>
      <c r="T12" s="13">
        <f>_xll.BDH("SRPT US Equity","ARDR_FV_LIAB_REC_LEVEL_2","FQ1 2023","FQ1 2023","Currency=USD","Period=FQ","BEST_FPERIOD_OVERRIDE=FQ","FILING_STATUS=MR","SCALING_FORMAT=MLN","Sort=A","Dates=H","DateFormat=P","Fill=—","Direction=H","UseDPDF=Y")</f>
        <v>0</v>
      </c>
      <c r="U12" s="13">
        <f>_xll.BDH("SRPT US Equity","ARDR_FV_LIAB_REC_LEVEL_2","FQ2 2023","FQ2 2023","Currency=USD","Period=FQ","BEST_FPERIOD_OVERRIDE=FQ","FILING_STATUS=MR","SCALING_FORMAT=MLN","Sort=A","Dates=H","DateFormat=P","Fill=—","Direction=H","UseDPDF=Y")</f>
        <v>0</v>
      </c>
      <c r="V12" s="13">
        <f>_xll.BDH("SRPT US Equity","ARDR_FV_LIAB_REC_LEVEL_2","FQ3 2023","FQ3 2023","Currency=USD","Period=FQ","BEST_FPERIOD_OVERRIDE=FQ","FILING_STATUS=MR","SCALING_FORMAT=MLN","Sort=A","Dates=H","DateFormat=P","Fill=—","Direction=H","UseDPDF=Y")</f>
        <v>0</v>
      </c>
      <c r="W12" s="13">
        <f>_xll.BDH("SRPT US Equity","ARDR_FV_LIAB_REC_LEVEL_2","FQ4 2023","FQ4 2023","Currency=USD","Period=FQ","BEST_FPERIOD_OVERRIDE=FQ","FILING_STATUS=MR","SCALING_FORMAT=MLN","Sort=A","Dates=H","DateFormat=P","Fill=—","Direction=H","UseDPDF=Y")</f>
        <v>0</v>
      </c>
      <c r="X12" s="13">
        <f>_xll.BDH("SRPT US Equity","ARDR_FV_LIAB_REC_LEVEL_2","FQ1 2024","FQ1 2024","Currency=USD","Period=FQ","BEST_FPERIOD_OVERRIDE=FQ","FILING_STATUS=MR","SCALING_FORMAT=MLN","Sort=A","Dates=H","DateFormat=P","Fill=—","Direction=H","UseDPDF=Y")</f>
        <v>0</v>
      </c>
      <c r="Y12" s="13">
        <f>_xll.BDH("SRPT US Equity","ARDR_FV_LIAB_REC_LEVEL_2","FQ2 2024","FQ2 2024","Currency=USD","Period=FQ","BEST_FPERIOD_OVERRIDE=FQ","FILING_STATUS=MR","SCALING_FORMAT=MLN","Sort=A","Dates=H","DateFormat=P","Fill=—","Direction=H","UseDPDF=Y")</f>
        <v>0</v>
      </c>
      <c r="Z12" s="13">
        <f>_xll.BDH("SRPT US Equity","ARDR_FV_LIAB_REC_LEVEL_2","FQ3 2024","FQ3 2024","Currency=USD","Period=FQ","BEST_FPERIOD_OVERRIDE=FQ","FILING_STATUS=MR","SCALING_FORMAT=MLN","Sort=A","Dates=H","DateFormat=P","Fill=—","Direction=H","UseDPDF=Y")</f>
        <v>0</v>
      </c>
      <c r="AA12" s="13">
        <f>_xll.BDH("SRPT US Equity","ARDR_FV_LIAB_REC_LEVEL_2","FQ4 2024","FQ4 2024","Currency=USD","Period=FQ","BEST_FPERIOD_OVERRIDE=FQ","FILING_STATUS=MR","SCALING_FORMAT=MLN","Sort=A","Dates=H","DateFormat=P","Fill=—","Direction=H","UseDPDF=Y")</f>
        <v>0</v>
      </c>
    </row>
    <row r="13" spans="1:27" x14ac:dyDescent="0.25">
      <c r="A13" s="10" t="s">
        <v>1159</v>
      </c>
      <c r="B13" s="10" t="s">
        <v>1036</v>
      </c>
      <c r="C13" s="13" t="str">
        <f>_xll.BDH("SRPT US Equity","ARDR_FV_LIAB_REC_LEVEL_3","FQ4 2018","FQ4 2018","Currency=USD","Period=FQ","BEST_FPERIOD_OVERRIDE=FQ","FILING_STATUS=MR","SCALING_FORMAT=MLN","Sort=A","Dates=H","DateFormat=P","Fill=—","Direction=H","UseDPDF=Y")</f>
        <v>—</v>
      </c>
      <c r="D13" s="13" t="str">
        <f>_xll.BDH("SRPT US Equity","ARDR_FV_LIAB_REC_LEVEL_3","FQ1 2019","FQ1 2019","Currency=USD","Period=FQ","BEST_FPERIOD_OVERRIDE=FQ","FILING_STATUS=MR","SCALING_FORMAT=MLN","Sort=A","Dates=H","DateFormat=P","Fill=—","Direction=H","UseDPDF=Y")</f>
        <v>—</v>
      </c>
      <c r="E13" s="13">
        <f>_xll.BDH("SRPT US Equity","ARDR_FV_LIAB_REC_LEVEL_3","FQ2 2019","FQ2 2019","Currency=USD","Period=FQ","BEST_FPERIOD_OVERRIDE=FQ","FILING_STATUS=MR","SCALING_FORMAT=MLN","Sort=A","Dates=H","DateFormat=P","Fill=—","Direction=H","UseDPDF=Y")</f>
        <v>5.2</v>
      </c>
      <c r="F13" s="13">
        <f>_xll.BDH("SRPT US Equity","ARDR_FV_LIAB_REC_LEVEL_3","FQ3 2019","FQ3 2019","Currency=USD","Period=FQ","BEST_FPERIOD_OVERRIDE=FQ","FILING_STATUS=MR","SCALING_FORMAT=MLN","Sort=A","Dates=H","DateFormat=P","Fill=—","Direction=H","UseDPDF=Y")</f>
        <v>5.2</v>
      </c>
      <c r="G13" s="13">
        <f>_xll.BDH("SRPT US Equity","ARDR_FV_LIAB_REC_LEVEL_3","FQ4 2019","FQ4 2019","Currency=USD","Period=FQ","BEST_FPERIOD_OVERRIDE=FQ","FILING_STATUS=MR","SCALING_FORMAT=MLN","Sort=A","Dates=H","DateFormat=P","Fill=—","Direction=H","UseDPDF=Y")</f>
        <v>5.2</v>
      </c>
      <c r="H13" s="13">
        <f>_xll.BDH("SRPT US Equity","ARDR_FV_LIAB_REC_LEVEL_3","FQ1 2020","FQ1 2020","Currency=USD","Period=FQ","BEST_FPERIOD_OVERRIDE=FQ","FILING_STATUS=MR","SCALING_FORMAT=MLN","Sort=A","Dates=H","DateFormat=P","Fill=—","Direction=H","UseDPDF=Y")</f>
        <v>5.2</v>
      </c>
      <c r="I13" s="13">
        <f>_xll.BDH("SRPT US Equity","ARDR_FV_LIAB_REC_LEVEL_3","FQ2 2020","FQ2 2020","Currency=USD","Period=FQ","BEST_FPERIOD_OVERRIDE=FQ","FILING_STATUS=MR","SCALING_FORMAT=MLN","Sort=A","Dates=H","DateFormat=P","Fill=—","Direction=H","UseDPDF=Y")</f>
        <v>5.2</v>
      </c>
      <c r="J13" s="13">
        <f>_xll.BDH("SRPT US Equity","ARDR_FV_LIAB_REC_LEVEL_3","FQ3 2020","FQ3 2020","Currency=USD","Period=FQ","BEST_FPERIOD_OVERRIDE=FQ","FILING_STATUS=MR","SCALING_FORMAT=MLN","Sort=A","Dates=H","DateFormat=P","Fill=—","Direction=H","UseDPDF=Y")</f>
        <v>50.5</v>
      </c>
      <c r="K13" s="13">
        <f>_xll.BDH("SRPT US Equity","ARDR_FV_LIAB_REC_LEVEL_3","FQ4 2020","FQ4 2020","Currency=USD","Period=FQ","BEST_FPERIOD_OVERRIDE=FQ","FILING_STATUS=MR","SCALING_FORMAT=MLN","Sort=A","Dates=H","DateFormat=P","Fill=—","Direction=H","UseDPDF=Y")</f>
        <v>50.8</v>
      </c>
      <c r="L13" s="13">
        <f>_xll.BDH("SRPT US Equity","ARDR_FV_LIAB_REC_LEVEL_3","FQ1 2021","FQ1 2021","Currency=USD","Period=FQ","BEST_FPERIOD_OVERRIDE=FQ","FILING_STATUS=MR","SCALING_FORMAT=MLN","Sort=A","Dates=H","DateFormat=P","Fill=—","Direction=H","UseDPDF=Y")</f>
        <v>50.8</v>
      </c>
      <c r="M13" s="13">
        <f>_xll.BDH("SRPT US Equity","ARDR_FV_LIAB_REC_LEVEL_3","FQ2 2021","FQ2 2021","Currency=USD","Period=FQ","BEST_FPERIOD_OVERRIDE=FQ","FILING_STATUS=MR","SCALING_FORMAT=MLN","Sort=A","Dates=H","DateFormat=P","Fill=—","Direction=H","UseDPDF=Y")</f>
        <v>50.8</v>
      </c>
      <c r="N13" s="13">
        <f>_xll.BDH("SRPT US Equity","ARDR_FV_LIAB_REC_LEVEL_3","FQ3 2021","FQ3 2021","Currency=USD","Period=FQ","BEST_FPERIOD_OVERRIDE=FQ","FILING_STATUS=MR","SCALING_FORMAT=MLN","Sort=A","Dates=H","DateFormat=P","Fill=—","Direction=H","UseDPDF=Y")</f>
        <v>43.6</v>
      </c>
      <c r="O13" s="13">
        <f>_xll.BDH("SRPT US Equity","ARDR_FV_LIAB_REC_LEVEL_3","FQ4 2021","FQ4 2021","Currency=USD","Period=FQ","BEST_FPERIOD_OVERRIDE=FQ","FILING_STATUS=MR","SCALING_FORMAT=MLN","Sort=A","Dates=H","DateFormat=P","Fill=—","Direction=H","UseDPDF=Y")</f>
        <v>43.6</v>
      </c>
      <c r="P13" s="13">
        <f>_xll.BDH("SRPT US Equity","ARDR_FV_LIAB_REC_LEVEL_3","FQ1 2022","FQ1 2022","Currency=USD","Period=FQ","BEST_FPERIOD_OVERRIDE=FQ","FILING_STATUS=MR","SCALING_FORMAT=MLN","Sort=A","Dates=H","DateFormat=P","Fill=—","Direction=H","UseDPDF=Y")</f>
        <v>43.6</v>
      </c>
      <c r="Q13" s="13">
        <f>_xll.BDH("SRPT US Equity","ARDR_FV_LIAB_REC_LEVEL_3","FQ2 2022","FQ2 2022","Currency=USD","Period=FQ","BEST_FPERIOD_OVERRIDE=FQ","FILING_STATUS=MR","SCALING_FORMAT=MLN","Sort=A","Dates=H","DateFormat=P","Fill=—","Direction=H","UseDPDF=Y")</f>
        <v>43.6</v>
      </c>
      <c r="R13" s="13">
        <f>_xll.BDH("SRPT US Equity","ARDR_FV_LIAB_REC_LEVEL_3","FQ3 2022","FQ3 2022","Currency=USD","Period=FQ","BEST_FPERIOD_OVERRIDE=FQ","FILING_STATUS=MR","SCALING_FORMAT=MLN","Sort=A","Dates=H","DateFormat=P","Fill=—","Direction=H","UseDPDF=Y")</f>
        <v>36.9</v>
      </c>
      <c r="S13" s="13">
        <f>_xll.BDH("SRPT US Equity","ARDR_FV_LIAB_REC_LEVEL_3","FQ4 2022","FQ4 2022","Currency=USD","Period=FQ","BEST_FPERIOD_OVERRIDE=FQ","FILING_STATUS=MR","SCALING_FORMAT=MLN","Sort=A","Dates=H","DateFormat=P","Fill=—","Direction=H","UseDPDF=Y")</f>
        <v>36.9</v>
      </c>
      <c r="T13" s="13">
        <f>_xll.BDH("SRPT US Equity","ARDR_FV_LIAB_REC_LEVEL_3","FQ1 2023","FQ1 2023","Currency=USD","Period=FQ","BEST_FPERIOD_OVERRIDE=FQ","FILING_STATUS=MR","SCALING_FORMAT=MLN","Sort=A","Dates=H","DateFormat=P","Fill=—","Direction=H","UseDPDF=Y")</f>
        <v>36.9</v>
      </c>
      <c r="U13" s="13">
        <f>_xll.BDH("SRPT US Equity","ARDR_FV_LIAB_REC_LEVEL_3","FQ2 2023","FQ2 2023","Currency=USD","Period=FQ","BEST_FPERIOD_OVERRIDE=FQ","FILING_STATUS=MR","SCALING_FORMAT=MLN","Sort=A","Dates=H","DateFormat=P","Fill=—","Direction=H","UseDPDF=Y")</f>
        <v>36.1</v>
      </c>
      <c r="V13" s="13">
        <f>_xll.BDH("SRPT US Equity","ARDR_FV_LIAB_REC_LEVEL_3","FQ3 2023","FQ3 2023","Currency=USD","Period=FQ","BEST_FPERIOD_OVERRIDE=FQ","FILING_STATUS=MR","SCALING_FORMAT=MLN","Sort=A","Dates=H","DateFormat=P","Fill=—","Direction=H","UseDPDF=Y")</f>
        <v>38.1</v>
      </c>
      <c r="W13" s="13">
        <f>_xll.BDH("SRPT US Equity","ARDR_FV_LIAB_REC_LEVEL_3","FQ4 2023","FQ4 2023","Currency=USD","Period=FQ","BEST_FPERIOD_OVERRIDE=FQ","FILING_STATUS=MR","SCALING_FORMAT=MLN","Sort=A","Dates=H","DateFormat=P","Fill=—","Direction=H","UseDPDF=Y")</f>
        <v>38.1</v>
      </c>
      <c r="X13" s="13">
        <f>_xll.BDH("SRPT US Equity","ARDR_FV_LIAB_REC_LEVEL_3","FQ1 2024","FQ1 2024","Currency=USD","Period=FQ","BEST_FPERIOD_OVERRIDE=FQ","FILING_STATUS=MR","SCALING_FORMAT=MLN","Sort=A","Dates=H","DateFormat=P","Fill=—","Direction=H","UseDPDF=Y")</f>
        <v>48.2</v>
      </c>
      <c r="Y13" s="13">
        <f>_xll.BDH("SRPT US Equity","ARDR_FV_LIAB_REC_LEVEL_3","FQ2 2024","FQ2 2024","Currency=USD","Period=FQ","BEST_FPERIOD_OVERRIDE=FQ","FILING_STATUS=MR","SCALING_FORMAT=MLN","Sort=A","Dates=H","DateFormat=P","Fill=—","Direction=H","UseDPDF=Y")</f>
        <v>48.2</v>
      </c>
      <c r="Z13" s="13">
        <f>_xll.BDH("SRPT US Equity","ARDR_FV_LIAB_REC_LEVEL_3","FQ3 2024","FQ3 2024","Currency=USD","Period=FQ","BEST_FPERIOD_OVERRIDE=FQ","FILING_STATUS=MR","SCALING_FORMAT=MLN","Sort=A","Dates=H","DateFormat=P","Fill=—","Direction=H","UseDPDF=Y")</f>
        <v>47.4</v>
      </c>
      <c r="AA13" s="13">
        <f>_xll.BDH("SRPT US Equity","ARDR_FV_LIAB_REC_LEVEL_3","FQ4 2024","FQ4 2024","Currency=USD","Period=FQ","BEST_FPERIOD_OVERRIDE=FQ","FILING_STATUS=MR","SCALING_FORMAT=MLN","Sort=A","Dates=H","DateFormat=P","Fill=—","Direction=H","UseDPDF=Y")</f>
        <v>47.4</v>
      </c>
    </row>
    <row r="14" spans="1:27" x14ac:dyDescent="0.25">
      <c r="A14" s="6" t="s">
        <v>1160</v>
      </c>
      <c r="B14" s="6" t="s">
        <v>1038</v>
      </c>
      <c r="C14" s="19" t="str">
        <f>_xll.BDH("SRPT US Equity","ARDR_FV_LIAB_REC_TOTAL","FQ4 2018","FQ4 2018","Currency=USD","Period=FQ","BEST_FPERIOD_OVERRIDE=FQ","FILING_STATUS=MR","SCALING_FORMAT=MLN","Sort=A","Dates=H","DateFormat=P","Fill=—","Direction=H","UseDPDF=Y")</f>
        <v>—</v>
      </c>
      <c r="D14" s="19" t="str">
        <f>_xll.BDH("SRPT US Equity","ARDR_FV_LIAB_REC_TOTAL","FQ1 2019","FQ1 2019","Currency=USD","Period=FQ","BEST_FPERIOD_OVERRIDE=FQ","FILING_STATUS=MR","SCALING_FORMAT=MLN","Sort=A","Dates=H","DateFormat=P","Fill=—","Direction=H","UseDPDF=Y")</f>
        <v>—</v>
      </c>
      <c r="E14" s="19">
        <f>_xll.BDH("SRPT US Equity","ARDR_FV_LIAB_REC_TOTAL","FQ2 2019","FQ2 2019","Currency=USD","Period=FQ","BEST_FPERIOD_OVERRIDE=FQ","FILING_STATUS=MR","SCALING_FORMAT=MLN","Sort=A","Dates=H","DateFormat=P","Fill=—","Direction=H","UseDPDF=Y")</f>
        <v>5.2</v>
      </c>
      <c r="F14" s="19">
        <f>_xll.BDH("SRPT US Equity","ARDR_FV_LIAB_REC_TOTAL","FQ3 2019","FQ3 2019","Currency=USD","Period=FQ","BEST_FPERIOD_OVERRIDE=FQ","FILING_STATUS=MR","SCALING_FORMAT=MLN","Sort=A","Dates=H","DateFormat=P","Fill=—","Direction=H","UseDPDF=Y")</f>
        <v>5.2</v>
      </c>
      <c r="G14" s="19">
        <f>_xll.BDH("SRPT US Equity","ARDR_FV_LIAB_REC_TOTAL","FQ4 2019","FQ4 2019","Currency=USD","Period=FQ","BEST_FPERIOD_OVERRIDE=FQ","FILING_STATUS=MR","SCALING_FORMAT=MLN","Sort=A","Dates=H","DateFormat=P","Fill=—","Direction=H","UseDPDF=Y")</f>
        <v>5.2</v>
      </c>
      <c r="H14" s="19">
        <f>_xll.BDH("SRPT US Equity","ARDR_FV_LIAB_REC_TOTAL","FQ1 2020","FQ1 2020","Currency=USD","Period=FQ","BEST_FPERIOD_OVERRIDE=FQ","FILING_STATUS=MR","SCALING_FORMAT=MLN","Sort=A","Dates=H","DateFormat=P","Fill=—","Direction=H","UseDPDF=Y")</f>
        <v>5.2</v>
      </c>
      <c r="I14" s="19">
        <f>_xll.BDH("SRPT US Equity","ARDR_FV_LIAB_REC_TOTAL","FQ2 2020","FQ2 2020","Currency=USD","Period=FQ","BEST_FPERIOD_OVERRIDE=FQ","FILING_STATUS=MR","SCALING_FORMAT=MLN","Sort=A","Dates=H","DateFormat=P","Fill=—","Direction=H","UseDPDF=Y")</f>
        <v>5.2</v>
      </c>
      <c r="J14" s="19">
        <f>_xll.BDH("SRPT US Equity","ARDR_FV_LIAB_REC_TOTAL","FQ3 2020","FQ3 2020","Currency=USD","Period=FQ","BEST_FPERIOD_OVERRIDE=FQ","FILING_STATUS=MR","SCALING_FORMAT=MLN","Sort=A","Dates=H","DateFormat=P","Fill=—","Direction=H","UseDPDF=Y")</f>
        <v>50.5</v>
      </c>
      <c r="K14" s="19">
        <f>_xll.BDH("SRPT US Equity","ARDR_FV_LIAB_REC_TOTAL","FQ4 2020","FQ4 2020","Currency=USD","Period=FQ","BEST_FPERIOD_OVERRIDE=FQ","FILING_STATUS=MR","SCALING_FORMAT=MLN","Sort=A","Dates=H","DateFormat=P","Fill=—","Direction=H","UseDPDF=Y")</f>
        <v>50.8</v>
      </c>
      <c r="L14" s="19">
        <f>_xll.BDH("SRPT US Equity","ARDR_FV_LIAB_REC_TOTAL","FQ1 2021","FQ1 2021","Currency=USD","Period=FQ","BEST_FPERIOD_OVERRIDE=FQ","FILING_STATUS=MR","SCALING_FORMAT=MLN","Sort=A","Dates=H","DateFormat=P","Fill=—","Direction=H","UseDPDF=Y")</f>
        <v>50.8</v>
      </c>
      <c r="M14" s="19">
        <f>_xll.BDH("SRPT US Equity","ARDR_FV_LIAB_REC_TOTAL","FQ2 2021","FQ2 2021","Currency=USD","Period=FQ","BEST_FPERIOD_OVERRIDE=FQ","FILING_STATUS=MR","SCALING_FORMAT=MLN","Sort=A","Dates=H","DateFormat=P","Fill=—","Direction=H","UseDPDF=Y")</f>
        <v>50.8</v>
      </c>
      <c r="N14" s="19">
        <f>_xll.BDH("SRPT US Equity","ARDR_FV_LIAB_REC_TOTAL","FQ3 2021","FQ3 2021","Currency=USD","Period=FQ","BEST_FPERIOD_OVERRIDE=FQ","FILING_STATUS=MR","SCALING_FORMAT=MLN","Sort=A","Dates=H","DateFormat=P","Fill=—","Direction=H","UseDPDF=Y")</f>
        <v>43.6</v>
      </c>
      <c r="O14" s="19">
        <f>_xll.BDH("SRPT US Equity","ARDR_FV_LIAB_REC_TOTAL","FQ4 2021","FQ4 2021","Currency=USD","Period=FQ","BEST_FPERIOD_OVERRIDE=FQ","FILING_STATUS=MR","SCALING_FORMAT=MLN","Sort=A","Dates=H","DateFormat=P","Fill=—","Direction=H","UseDPDF=Y")</f>
        <v>43.6</v>
      </c>
      <c r="P14" s="19">
        <f>_xll.BDH("SRPT US Equity","ARDR_FV_LIAB_REC_TOTAL","FQ1 2022","FQ1 2022","Currency=USD","Period=FQ","BEST_FPERIOD_OVERRIDE=FQ","FILING_STATUS=MR","SCALING_FORMAT=MLN","Sort=A","Dates=H","DateFormat=P","Fill=—","Direction=H","UseDPDF=Y")</f>
        <v>43.6</v>
      </c>
      <c r="Q14" s="19">
        <f>_xll.BDH("SRPT US Equity","ARDR_FV_LIAB_REC_TOTAL","FQ2 2022","FQ2 2022","Currency=USD","Period=FQ","BEST_FPERIOD_OVERRIDE=FQ","FILING_STATUS=MR","SCALING_FORMAT=MLN","Sort=A","Dates=H","DateFormat=P","Fill=—","Direction=H","UseDPDF=Y")</f>
        <v>43.6</v>
      </c>
      <c r="R14" s="19">
        <f>_xll.BDH("SRPT US Equity","ARDR_FV_LIAB_REC_TOTAL","FQ3 2022","FQ3 2022","Currency=USD","Period=FQ","BEST_FPERIOD_OVERRIDE=FQ","FILING_STATUS=MR","SCALING_FORMAT=MLN","Sort=A","Dates=H","DateFormat=P","Fill=—","Direction=H","UseDPDF=Y")</f>
        <v>36.9</v>
      </c>
      <c r="S14" s="19">
        <f>_xll.BDH("SRPT US Equity","ARDR_FV_LIAB_REC_TOTAL","FQ4 2022","FQ4 2022","Currency=USD","Period=FQ","BEST_FPERIOD_OVERRIDE=FQ","FILING_STATUS=MR","SCALING_FORMAT=MLN","Sort=A","Dates=H","DateFormat=P","Fill=—","Direction=H","UseDPDF=Y")</f>
        <v>36.9</v>
      </c>
      <c r="T14" s="19">
        <f>_xll.BDH("SRPT US Equity","ARDR_FV_LIAB_REC_TOTAL","FQ1 2023","FQ1 2023","Currency=USD","Period=FQ","BEST_FPERIOD_OVERRIDE=FQ","FILING_STATUS=MR","SCALING_FORMAT=MLN","Sort=A","Dates=H","DateFormat=P","Fill=—","Direction=H","UseDPDF=Y")</f>
        <v>36.9</v>
      </c>
      <c r="U14" s="19">
        <f>_xll.BDH("SRPT US Equity","ARDR_FV_LIAB_REC_TOTAL","FQ2 2023","FQ2 2023","Currency=USD","Period=FQ","BEST_FPERIOD_OVERRIDE=FQ","FILING_STATUS=MR","SCALING_FORMAT=MLN","Sort=A","Dates=H","DateFormat=P","Fill=—","Direction=H","UseDPDF=Y")</f>
        <v>36.1</v>
      </c>
      <c r="V14" s="19">
        <f>_xll.BDH("SRPT US Equity","ARDR_FV_LIAB_REC_TOTAL","FQ3 2023","FQ3 2023","Currency=USD","Period=FQ","BEST_FPERIOD_OVERRIDE=FQ","FILING_STATUS=MR","SCALING_FORMAT=MLN","Sort=A","Dates=H","DateFormat=P","Fill=—","Direction=H","UseDPDF=Y")</f>
        <v>38.1</v>
      </c>
      <c r="W14" s="19">
        <f>_xll.BDH("SRPT US Equity","ARDR_FV_LIAB_REC_TOTAL","FQ4 2023","FQ4 2023","Currency=USD","Period=FQ","BEST_FPERIOD_OVERRIDE=FQ","FILING_STATUS=MR","SCALING_FORMAT=MLN","Sort=A","Dates=H","DateFormat=P","Fill=—","Direction=H","UseDPDF=Y")</f>
        <v>38.1</v>
      </c>
      <c r="X14" s="19">
        <f>_xll.BDH("SRPT US Equity","ARDR_FV_LIAB_REC_TOTAL","FQ1 2024","FQ1 2024","Currency=USD","Period=FQ","BEST_FPERIOD_OVERRIDE=FQ","FILING_STATUS=MR","SCALING_FORMAT=MLN","Sort=A","Dates=H","DateFormat=P","Fill=—","Direction=H","UseDPDF=Y")</f>
        <v>48.2</v>
      </c>
      <c r="Y14" s="19">
        <f>_xll.BDH("SRPT US Equity","ARDR_FV_LIAB_REC_TOTAL","FQ2 2024","FQ2 2024","Currency=USD","Period=FQ","BEST_FPERIOD_OVERRIDE=FQ","FILING_STATUS=MR","SCALING_FORMAT=MLN","Sort=A","Dates=H","DateFormat=P","Fill=—","Direction=H","UseDPDF=Y")</f>
        <v>48.2</v>
      </c>
      <c r="Z14" s="19">
        <f>_xll.BDH("SRPT US Equity","ARDR_FV_LIAB_REC_TOTAL","FQ3 2024","FQ3 2024","Currency=USD","Period=FQ","BEST_FPERIOD_OVERRIDE=FQ","FILING_STATUS=MR","SCALING_FORMAT=MLN","Sort=A","Dates=H","DateFormat=P","Fill=—","Direction=H","UseDPDF=Y")</f>
        <v>47.4</v>
      </c>
      <c r="AA14" s="19">
        <f>_xll.BDH("SRPT US Equity","ARDR_FV_LIAB_REC_TOTAL","FQ4 2024","FQ4 2024","Currency=USD","Period=FQ","BEST_FPERIOD_OVERRIDE=FQ","FILING_STATUS=MR","SCALING_FORMAT=MLN","Sort=A","Dates=H","DateFormat=P","Fill=—","Direction=H","UseDPDF=Y")</f>
        <v>47.4</v>
      </c>
    </row>
    <row r="15" spans="1:27" x14ac:dyDescent="0.25">
      <c r="A15" s="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x14ac:dyDescent="0.25">
      <c r="A16" s="10" t="s">
        <v>1161</v>
      </c>
      <c r="B16" s="10" t="s">
        <v>1162</v>
      </c>
      <c r="C16" s="14">
        <f>_xll.BDH("SRPT US Equity","LEVEL_1_ASSETS_TO_TOTAL_EQUITY","FQ4 2018","FQ4 2018","Currency=USD","Period=FQ","BEST_FPERIOD_OVERRIDE=FQ","FILING_STATUS=MR","Sort=A","Dates=H","DateFormat=P","Fill=—","Direction=H","UseDPDF=Y")</f>
        <v>82.280600000000007</v>
      </c>
      <c r="D16" s="14">
        <f>_xll.BDH("SRPT US Equity","LEVEL_1_ASSETS_TO_TOTAL_EQUITY","FQ1 2019","FQ1 2019","Currency=USD","Period=FQ","BEST_FPERIOD_OVERRIDE=FQ","FILING_STATUS=MR","Sort=A","Dates=H","DateFormat=P","Fill=—","Direction=H","UseDPDF=Y")</f>
        <v>74.106499999999997</v>
      </c>
      <c r="E16" s="14">
        <f>_xll.BDH("SRPT US Equity","LEVEL_1_ASSETS_TO_TOTAL_EQUITY","FQ2 2019","FQ2 2019","Currency=USD","Period=FQ","BEST_FPERIOD_OVERRIDE=FQ","FILING_STATUS=MR","Sort=A","Dates=H","DateFormat=P","Fill=—","Direction=H","UseDPDF=Y")</f>
        <v>80.189700000000002</v>
      </c>
      <c r="F16" s="14">
        <f>_xll.BDH("SRPT US Equity","LEVEL_1_ASSETS_TO_TOTAL_EQUITY","FQ3 2019","FQ3 2019","Currency=USD","Period=FQ","BEST_FPERIOD_OVERRIDE=FQ","FILING_STATUS=MR","Sort=A","Dates=H","DateFormat=P","Fill=—","Direction=H","UseDPDF=Y")</f>
        <v>86.232699999999994</v>
      </c>
      <c r="G16" s="14">
        <f>_xll.BDH("SRPT US Equity","LEVEL_1_ASSETS_TO_TOTAL_EQUITY","FQ4 2019","FQ4 2019","Currency=USD","Period=FQ","BEST_FPERIOD_OVERRIDE=FQ","FILING_STATUS=MR","Sort=A","Dates=H","DateFormat=P","Fill=—","Direction=H","UseDPDF=Y")</f>
        <v>124.11669999999999</v>
      </c>
      <c r="H16" s="14">
        <f>_xll.BDH("SRPT US Equity","LEVEL_1_ASSETS_TO_TOTAL_EQUITY","FQ1 2020","FQ1 2020","Currency=USD","Period=FQ","BEST_FPERIOD_OVERRIDE=FQ","FILING_STATUS=MR","Sort=A","Dates=H","DateFormat=P","Fill=—","Direction=H","UseDPDF=Y")</f>
        <v>154.73990000000001</v>
      </c>
      <c r="I16" s="14">
        <f>_xll.BDH("SRPT US Equity","LEVEL_1_ASSETS_TO_TOTAL_EQUITY","FQ2 2020","FQ2 2020","Currency=USD","Period=FQ","BEST_FPERIOD_OVERRIDE=FQ","FILING_STATUS=MR","Sort=A","Dates=H","DateFormat=P","Fill=—","Direction=H","UseDPDF=Y")</f>
        <v>167.036</v>
      </c>
      <c r="J16" s="14">
        <f>_xll.BDH("SRPT US Equity","LEVEL_1_ASSETS_TO_TOTAL_EQUITY","FQ3 2020","FQ3 2020","Currency=USD","Period=FQ","BEST_FPERIOD_OVERRIDE=FQ","FILING_STATUS=MR","Sort=A","Dates=H","DateFormat=P","Fill=—","Direction=H","UseDPDF=Y")</f>
        <v>170.51769999999999</v>
      </c>
      <c r="K16" s="14">
        <f>_xll.BDH("SRPT US Equity","LEVEL_1_ASSETS_TO_TOTAL_EQUITY","FQ4 2020","FQ4 2020","Currency=USD","Period=FQ","BEST_FPERIOD_OVERRIDE=FQ","FILING_STATUS=MR","Sort=A","Dates=H","DateFormat=P","Fill=—","Direction=H","UseDPDF=Y")</f>
        <v>219.4093</v>
      </c>
      <c r="L16" s="14">
        <f>_xll.BDH("SRPT US Equity","LEVEL_1_ASSETS_TO_TOTAL_EQUITY","FQ1 2021","FQ1 2021","Currency=USD","Period=FQ","BEST_FPERIOD_OVERRIDE=FQ","FILING_STATUS=MR","Sort=A","Dates=H","DateFormat=P","Fill=—","Direction=H","UseDPDF=Y")</f>
        <v>264.52800000000002</v>
      </c>
      <c r="M16" s="14">
        <f>_xll.BDH("SRPT US Equity","LEVEL_1_ASSETS_TO_TOTAL_EQUITY","FQ2 2021","FQ2 2021","Currency=USD","Period=FQ","BEST_FPERIOD_OVERRIDE=FQ","FILING_STATUS=MR","Sort=A","Dates=H","DateFormat=P","Fill=—","Direction=H","UseDPDF=Y")</f>
        <v>291.82330000000002</v>
      </c>
      <c r="N16" s="14">
        <f>_xll.BDH("SRPT US Equity","LEVEL_1_ASSETS_TO_TOTAL_EQUITY","FQ3 2021","FQ3 2021","Currency=USD","Period=FQ","BEST_FPERIOD_OVERRIDE=FQ","FILING_STATUS=MR","Sort=A","Dates=H","DateFormat=P","Fill=—","Direction=H","UseDPDF=Y")</f>
        <v>274.83300000000003</v>
      </c>
      <c r="O16" s="14">
        <f>_xll.BDH("SRPT US Equity","LEVEL_1_ASSETS_TO_TOTAL_EQUITY","FQ4 2021","FQ4 2021","Currency=USD","Period=FQ","BEST_FPERIOD_OVERRIDE=FQ","FILING_STATUS=MR","Sort=A","Dates=H","DateFormat=P","Fill=—","Direction=H","UseDPDF=Y")</f>
        <v>168.65010000000001</v>
      </c>
      <c r="P16" s="14">
        <f>_xll.BDH("SRPT US Equity","LEVEL_1_ASSETS_TO_TOTAL_EQUITY","FQ1 2022","FQ1 2022","Currency=USD","Period=FQ","BEST_FPERIOD_OVERRIDE=FQ","FILING_STATUS=MR","Sort=A","Dates=H","DateFormat=P","Fill=—","Direction=H","UseDPDF=Y")</f>
        <v>77.295699999999997</v>
      </c>
      <c r="Q16" s="14">
        <f>_xll.BDH("SRPT US Equity","LEVEL_1_ASSETS_TO_TOTAL_EQUITY","FQ2 2022","FQ2 2022","Currency=USD","Period=FQ","BEST_FPERIOD_OVERRIDE=FQ","FILING_STATUS=MR","Sort=A","Dates=H","DateFormat=P","Fill=—","Direction=H","UseDPDF=Y")</f>
        <v>63.993099999999998</v>
      </c>
      <c r="R16" s="14">
        <f>_xll.BDH("SRPT US Equity","LEVEL_1_ASSETS_TO_TOTAL_EQUITY","FQ3 2022","FQ3 2022","Currency=USD","Period=FQ","BEST_FPERIOD_OVERRIDE=FQ","FILING_STATUS=MR","Sort=A","Dates=H","DateFormat=P","Fill=—","Direction=H","UseDPDF=Y")</f>
        <v>118.265</v>
      </c>
      <c r="S16" s="14">
        <f>_xll.BDH("SRPT US Equity","LEVEL_1_ASSETS_TO_TOTAL_EQUITY","FQ4 2022","FQ4 2022","Currency=USD","Period=FQ","BEST_FPERIOD_OVERRIDE=FQ","FILING_STATUS=MR","Sort=A","Dates=H","DateFormat=P","Fill=—","Direction=H","UseDPDF=Y")</f>
        <v>121.5415</v>
      </c>
      <c r="T16" s="14">
        <f>_xll.BDH("SRPT US Equity","LEVEL_1_ASSETS_TO_TOTAL_EQUITY","FQ1 2023","FQ1 2023","Currency=USD","Period=FQ","BEST_FPERIOD_OVERRIDE=FQ","FILING_STATUS=MR","Sort=A","Dates=H","DateFormat=P","Fill=—","Direction=H","UseDPDF=Y")</f>
        <v>63.192900000000002</v>
      </c>
      <c r="U16" s="14">
        <f>_xll.BDH("SRPT US Equity","LEVEL_1_ASSETS_TO_TOTAL_EQUITY","FQ2 2023","FQ2 2023","Currency=USD","Period=FQ","BEST_FPERIOD_OVERRIDE=FQ","FILING_STATUS=MR","Sort=A","Dates=H","DateFormat=P","Fill=—","Direction=H","UseDPDF=Y")</f>
        <v>54.607100000000003</v>
      </c>
      <c r="V16" s="14">
        <f>_xll.BDH("SRPT US Equity","LEVEL_1_ASSETS_TO_TOTAL_EQUITY","FQ3 2023","FQ3 2023","Currency=USD","Period=FQ","BEST_FPERIOD_OVERRIDE=FQ","FILING_STATUS=MR","Sort=A","Dates=H","DateFormat=P","Fill=—","Direction=H","UseDPDF=Y")</f>
        <v>18.2744</v>
      </c>
      <c r="W16" s="14">
        <f>_xll.BDH("SRPT US Equity","LEVEL_1_ASSETS_TO_TOTAL_EQUITY","FQ4 2023","FQ4 2023","Currency=USD","Period=FQ","BEST_FPERIOD_OVERRIDE=FQ","FILING_STATUS=MR","Sort=A","Dates=H","DateFormat=P","Fill=—","Direction=H","UseDPDF=Y")</f>
        <v>8.0813000000000006</v>
      </c>
      <c r="X16" s="14">
        <f>_xll.BDH("SRPT US Equity","LEVEL_1_ASSETS_TO_TOTAL_EQUITY","FQ1 2024","FQ1 2024","Currency=USD","Period=FQ","BEST_FPERIOD_OVERRIDE=FQ","FILING_STATUS=MR","Sort=A","Dates=H","DateFormat=P","Fill=—","Direction=H","UseDPDF=Y")</f>
        <v>29.5807</v>
      </c>
      <c r="Y16" s="14">
        <f>_xll.BDH("SRPT US Equity","LEVEL_1_ASSETS_TO_TOTAL_EQUITY","FQ2 2024","FQ2 2024","Currency=USD","Period=FQ","BEST_FPERIOD_OVERRIDE=FQ","FILING_STATUS=MR","Sort=A","Dates=H","DateFormat=P","Fill=—","Direction=H","UseDPDF=Y")</f>
        <v>9.9774999999999991</v>
      </c>
      <c r="Z16" s="14">
        <f>_xll.BDH("SRPT US Equity","LEVEL_1_ASSETS_TO_TOTAL_EQUITY","FQ3 2024","FQ3 2024","Currency=USD","Period=FQ","BEST_FPERIOD_OVERRIDE=FQ","FILING_STATUS=MR","Sort=A","Dates=H","DateFormat=P","Fill=—","Direction=H","UseDPDF=Y")</f>
        <v>3.2077</v>
      </c>
      <c r="AA16" s="14">
        <f>_xll.BDH("SRPT US Equity","LEVEL_1_ASSETS_TO_TOTAL_EQUITY","FQ4 2024","FQ4 2024","Currency=USD","Period=FQ","BEST_FPERIOD_OVERRIDE=FQ","FILING_STATUS=MR","Sort=A","Dates=H","DateFormat=P","Fill=—","Direction=H","UseDPDF=Y")</f>
        <v>29.994900000000001</v>
      </c>
    </row>
    <row r="17" spans="1:27" x14ac:dyDescent="0.25">
      <c r="A17" s="10" t="s">
        <v>1163</v>
      </c>
      <c r="B17" s="10" t="s">
        <v>1164</v>
      </c>
      <c r="C17" s="14">
        <f>_xll.BDH("SRPT US Equity","LEVEL_2_ASSETS_TO_TOTAL_EQUITY","FQ4 2018","FQ4 2018","Currency=USD","Period=FQ","BEST_FPERIOD_OVERRIDE=FQ","FILING_STATUS=MR","Sort=A","Dates=H","DateFormat=P","Fill=—","Direction=H","UseDPDF=Y")</f>
        <v>12.196999999999999</v>
      </c>
      <c r="D17" s="14">
        <f>_xll.BDH("SRPT US Equity","LEVEL_2_ASSETS_TO_TOTAL_EQUITY","FQ1 2019","FQ1 2019","Currency=USD","Period=FQ","BEST_FPERIOD_OVERRIDE=FQ","FILING_STATUS=MR","Sort=A","Dates=H","DateFormat=P","Fill=—","Direction=H","UseDPDF=Y")</f>
        <v>4.8776999999999999</v>
      </c>
      <c r="E17" s="14">
        <f>_xll.BDH("SRPT US Equity","LEVEL_2_ASSETS_TO_TOTAL_EQUITY","FQ2 2019","FQ2 2019","Currency=USD","Period=FQ","BEST_FPERIOD_OVERRIDE=FQ","FILING_STATUS=MR","Sort=A","Dates=H","DateFormat=P","Fill=—","Direction=H","UseDPDF=Y")</f>
        <v>7.9486999999999997</v>
      </c>
      <c r="F17" s="14">
        <f>_xll.BDH("SRPT US Equity","LEVEL_2_ASSETS_TO_TOTAL_EQUITY","FQ3 2019","FQ3 2019","Currency=USD","Period=FQ","BEST_FPERIOD_OVERRIDE=FQ","FILING_STATUS=MR","Sort=A","Dates=H","DateFormat=P","Fill=—","Direction=H","UseDPDF=Y")</f>
        <v>1.0032000000000001</v>
      </c>
      <c r="G17" s="14">
        <f>_xll.BDH("SRPT US Equity","LEVEL_2_ASSETS_TO_TOTAL_EQUITY","FQ4 2019","FQ4 2019","Currency=USD","Period=FQ","BEST_FPERIOD_OVERRIDE=FQ","FILING_STATUS=MR","Sort=A","Dates=H","DateFormat=P","Fill=—","Direction=H","UseDPDF=Y")</f>
        <v>0</v>
      </c>
      <c r="H17" s="14">
        <f>_xll.BDH("SRPT US Equity","LEVEL_2_ASSETS_TO_TOTAL_EQUITY","FQ1 2020","FQ1 2020","Currency=USD","Period=FQ","BEST_FPERIOD_OVERRIDE=FQ","FILING_STATUS=MR","Sort=A","Dates=H","DateFormat=P","Fill=—","Direction=H","UseDPDF=Y")</f>
        <v>0</v>
      </c>
      <c r="I17" s="14">
        <f>_xll.BDH("SRPT US Equity","LEVEL_2_ASSETS_TO_TOTAL_EQUITY","FQ2 2020","FQ2 2020","Currency=USD","Period=FQ","BEST_FPERIOD_OVERRIDE=FQ","FILING_STATUS=MR","Sort=A","Dates=H","DateFormat=P","Fill=—","Direction=H","UseDPDF=Y")</f>
        <v>0</v>
      </c>
      <c r="J17" s="14">
        <f>_xll.BDH("SRPT US Equity","LEVEL_2_ASSETS_TO_TOTAL_EQUITY","FQ3 2020","FQ3 2020","Currency=USD","Period=FQ","BEST_FPERIOD_OVERRIDE=FQ","FILING_STATUS=MR","Sort=A","Dates=H","DateFormat=P","Fill=—","Direction=H","UseDPDF=Y")</f>
        <v>0</v>
      </c>
      <c r="K17" s="14">
        <f>_xll.BDH("SRPT US Equity","LEVEL_2_ASSETS_TO_TOTAL_EQUITY","FQ4 2020","FQ4 2020","Currency=USD","Period=FQ","BEST_FPERIOD_OVERRIDE=FQ","FILING_STATUS=MR","Sort=A","Dates=H","DateFormat=P","Fill=—","Direction=H","UseDPDF=Y")</f>
        <v>0</v>
      </c>
      <c r="L17" s="14">
        <f>_xll.BDH("SRPT US Equity","LEVEL_2_ASSETS_TO_TOTAL_EQUITY","FQ1 2021","FQ1 2021","Currency=USD","Period=FQ","BEST_FPERIOD_OVERRIDE=FQ","FILING_STATUS=MR","Sort=A","Dates=H","DateFormat=P","Fill=—","Direction=H","UseDPDF=Y")</f>
        <v>0</v>
      </c>
      <c r="M17" s="14">
        <f>_xll.BDH("SRPT US Equity","LEVEL_2_ASSETS_TO_TOTAL_EQUITY","FQ2 2021","FQ2 2021","Currency=USD","Period=FQ","BEST_FPERIOD_OVERRIDE=FQ","FILING_STATUS=MR","Sort=A","Dates=H","DateFormat=P","Fill=—","Direction=H","UseDPDF=Y")</f>
        <v>0</v>
      </c>
      <c r="N17" s="14">
        <f>_xll.BDH("SRPT US Equity","LEVEL_2_ASSETS_TO_TOTAL_EQUITY","FQ3 2021","FQ3 2021","Currency=USD","Period=FQ","BEST_FPERIOD_OVERRIDE=FQ","FILING_STATUS=MR","Sort=A","Dates=H","DateFormat=P","Fill=—","Direction=H","UseDPDF=Y")</f>
        <v>0</v>
      </c>
      <c r="O17" s="14">
        <f>_xll.BDH("SRPT US Equity","LEVEL_2_ASSETS_TO_TOTAL_EQUITY","FQ4 2021","FQ4 2021","Currency=USD","Period=FQ","BEST_FPERIOD_OVERRIDE=FQ","FILING_STATUS=MR","Sort=A","Dates=H","DateFormat=P","Fill=—","Direction=H","UseDPDF=Y")</f>
        <v>0</v>
      </c>
      <c r="P17" s="14">
        <f>_xll.BDH("SRPT US Equity","LEVEL_2_ASSETS_TO_TOTAL_EQUITY","FQ1 2022","FQ1 2022","Currency=USD","Period=FQ","BEST_FPERIOD_OVERRIDE=FQ","FILING_STATUS=MR","Sort=A","Dates=H","DateFormat=P","Fill=—","Direction=H","UseDPDF=Y")</f>
        <v>105.54259999999999</v>
      </c>
      <c r="Q17" s="14">
        <f>_xll.BDH("SRPT US Equity","LEVEL_2_ASSETS_TO_TOTAL_EQUITY","FQ2 2022","FQ2 2022","Currency=USD","Period=FQ","BEST_FPERIOD_OVERRIDE=FQ","FILING_STATUS=MR","Sort=A","Dates=H","DateFormat=P","Fill=—","Direction=H","UseDPDF=Y")</f>
        <v>151.749</v>
      </c>
      <c r="R17" s="14">
        <f>_xll.BDH("SRPT US Equity","LEVEL_2_ASSETS_TO_TOTAL_EQUITY","FQ3 2022","FQ3 2022","Currency=USD","Period=FQ","BEST_FPERIOD_OVERRIDE=FQ","FILING_STATUS=MR","Sort=A","Dates=H","DateFormat=P","Fill=—","Direction=H","UseDPDF=Y")</f>
        <v>266.69690000000003</v>
      </c>
      <c r="S17" s="14">
        <f>_xll.BDH("SRPT US Equity","LEVEL_2_ASSETS_TO_TOTAL_EQUITY","FQ4 2022","FQ4 2022","Currency=USD","Period=FQ","BEST_FPERIOD_OVERRIDE=FQ","FILING_STATUS=MR","Sort=A","Dates=H","DateFormat=P","Fill=—","Direction=H","UseDPDF=Y")</f>
        <v>308.45429999999999</v>
      </c>
      <c r="T17" s="14">
        <f>_xll.BDH("SRPT US Equity","LEVEL_2_ASSETS_TO_TOTAL_EQUITY","FQ1 2023","FQ1 2023","Currency=USD","Period=FQ","BEST_FPERIOD_OVERRIDE=FQ","FILING_STATUS=MR","Sort=A","Dates=H","DateFormat=P","Fill=—","Direction=H","UseDPDF=Y")</f>
        <v>153.0189</v>
      </c>
      <c r="U17" s="14">
        <f>_xll.BDH("SRPT US Equity","LEVEL_2_ASSETS_TO_TOTAL_EQUITY","FQ2 2023","FQ2 2023","Currency=USD","Period=FQ","BEST_FPERIOD_OVERRIDE=FQ","FILING_STATUS=MR","Sort=A","Dates=H","DateFormat=P","Fill=—","Direction=H","UseDPDF=Y")</f>
        <v>142.77719999999999</v>
      </c>
      <c r="V17" s="14">
        <f>_xll.BDH("SRPT US Equity","LEVEL_2_ASSETS_TO_TOTAL_EQUITY","FQ3 2023","FQ3 2023","Currency=USD","Period=FQ","BEST_FPERIOD_OVERRIDE=FQ","FILING_STATUS=MR","Sort=A","Dates=H","DateFormat=P","Fill=—","Direction=H","UseDPDF=Y")</f>
        <v>165.97890000000001</v>
      </c>
      <c r="W17" s="14">
        <f>_xll.BDH("SRPT US Equity","LEVEL_2_ASSETS_TO_TOTAL_EQUITY","FQ4 2023","FQ4 2023","Currency=USD","Period=FQ","BEST_FPERIOD_OVERRIDE=FQ","FILING_STATUS=MR","Sort=A","Dates=H","DateFormat=P","Fill=—","Direction=H","UseDPDF=Y")</f>
        <v>151.45400000000001</v>
      </c>
      <c r="X17" s="14">
        <f>_xll.BDH("SRPT US Equity","LEVEL_2_ASSETS_TO_TOTAL_EQUITY","FQ1 2024","FQ1 2024","Currency=USD","Period=FQ","BEST_FPERIOD_OVERRIDE=FQ","FILING_STATUS=MR","Sort=A","Dates=H","DateFormat=P","Fill=—","Direction=H","UseDPDF=Y")</f>
        <v>103.7641</v>
      </c>
      <c r="Y17" s="14">
        <f>_xll.BDH("SRPT US Equity","LEVEL_2_ASSETS_TO_TOTAL_EQUITY","FQ2 2024","FQ2 2024","Currency=USD","Period=FQ","BEST_FPERIOD_OVERRIDE=FQ","FILING_STATUS=MR","Sort=A","Dates=H","DateFormat=P","Fill=—","Direction=H","UseDPDF=Y")</f>
        <v>103.52460000000001</v>
      </c>
      <c r="Z17" s="14">
        <f>_xll.BDH("SRPT US Equity","LEVEL_2_ASSETS_TO_TOTAL_EQUITY","FQ3 2024","FQ3 2024","Currency=USD","Period=FQ","BEST_FPERIOD_OVERRIDE=FQ","FILING_STATUS=MR","Sort=A","Dates=H","DateFormat=P","Fill=—","Direction=H","UseDPDF=Y")</f>
        <v>99.729100000000003</v>
      </c>
      <c r="AA17" s="14">
        <f>_xll.BDH("SRPT US Equity","LEVEL_2_ASSETS_TO_TOTAL_EQUITY","FQ4 2024","FQ4 2024","Currency=USD","Period=FQ","BEST_FPERIOD_OVERRIDE=FQ","FILING_STATUS=MR","Sort=A","Dates=H","DateFormat=P","Fill=—","Direction=H","UseDPDF=Y")</f>
        <v>25.196999999999999</v>
      </c>
    </row>
    <row r="18" spans="1:27" x14ac:dyDescent="0.25">
      <c r="A18" s="10" t="s">
        <v>1165</v>
      </c>
      <c r="B18" s="10" t="s">
        <v>1166</v>
      </c>
      <c r="C18" s="14">
        <f>_xll.BDH("SRPT US Equity","LEVEL_3_ASSETS_TO_TOTAL_EQUITY","FQ4 2018","FQ4 2018","Currency=USD","Period=FQ","BEST_FPERIOD_OVERRIDE=FQ","FILING_STATUS=MR","Sort=A","Dates=H","DateFormat=P","Fill=—","Direction=H","UseDPDF=Y")</f>
        <v>2.9062000000000001</v>
      </c>
      <c r="D18" s="14">
        <f>_xll.BDH("SRPT US Equity","LEVEL_3_ASSETS_TO_TOTAL_EQUITY","FQ1 2019","FQ1 2019","Currency=USD","Period=FQ","BEST_FPERIOD_OVERRIDE=FQ","FILING_STATUS=MR","Sort=A","Dates=H","DateFormat=P","Fill=—","Direction=H","UseDPDF=Y")</f>
        <v>2.2246000000000001</v>
      </c>
      <c r="E18" s="14">
        <f>_xll.BDH("SRPT US Equity","LEVEL_3_ASSETS_TO_TOTAL_EQUITY","FQ2 2019","FQ2 2019","Currency=USD","Period=FQ","BEST_FPERIOD_OVERRIDE=FQ","FILING_STATUS=MR","Sort=A","Dates=H","DateFormat=P","Fill=—","Direction=H","UseDPDF=Y")</f>
        <v>2.7292999999999998</v>
      </c>
      <c r="F18" s="14">
        <f>_xll.BDH("SRPT US Equity","LEVEL_3_ASSETS_TO_TOTAL_EQUITY","FQ3 2019","FQ3 2019","Currency=USD","Period=FQ","BEST_FPERIOD_OVERRIDE=FQ","FILING_STATUS=MR","Sort=A","Dates=H","DateFormat=P","Fill=—","Direction=H","UseDPDF=Y")</f>
        <v>3.0145</v>
      </c>
      <c r="G18" s="14">
        <f>_xll.BDH("SRPT US Equity","LEVEL_3_ASSETS_TO_TOTAL_EQUITY","FQ4 2019","FQ4 2019","Currency=USD","Period=FQ","BEST_FPERIOD_OVERRIDE=FQ","FILING_STATUS=MR","Sort=A","Dates=H","DateFormat=P","Fill=—","Direction=H","UseDPDF=Y")</f>
        <v>3.6665999999999999</v>
      </c>
      <c r="H18" s="14">
        <f>_xll.BDH("SRPT US Equity","LEVEL_3_ASSETS_TO_TOTAL_EQUITY","FQ1 2020","FQ1 2020","Currency=USD","Period=FQ","BEST_FPERIOD_OVERRIDE=FQ","FILING_STATUS=MR","Sort=A","Dates=H","DateFormat=P","Fill=—","Direction=H","UseDPDF=Y")</f>
        <v>2.6204999999999998</v>
      </c>
      <c r="I18" s="14">
        <f>_xll.BDH("SRPT US Equity","LEVEL_3_ASSETS_TO_TOTAL_EQUITY","FQ2 2020","FQ2 2020","Currency=USD","Period=FQ","BEST_FPERIOD_OVERRIDE=FQ","FILING_STATUS=MR","Sort=A","Dates=H","DateFormat=P","Fill=—","Direction=H","UseDPDF=Y")</f>
        <v>2.8767</v>
      </c>
      <c r="J18" s="14">
        <f>_xll.BDH("SRPT US Equity","LEVEL_3_ASSETS_TO_TOTAL_EQUITY","FQ3 2020","FQ3 2020","Currency=USD","Period=FQ","BEST_FPERIOD_OVERRIDE=FQ","FILING_STATUS=MR","Sort=A","Dates=H","DateFormat=P","Fill=—","Direction=H","UseDPDF=Y")</f>
        <v>3.3631000000000002</v>
      </c>
      <c r="K18" s="14">
        <f>_xll.BDH("SRPT US Equity","LEVEL_3_ASSETS_TO_TOTAL_EQUITY","FQ4 2020","FQ4 2020","Currency=USD","Period=FQ","BEST_FPERIOD_OVERRIDE=FQ","FILING_STATUS=MR","Sort=A","Dates=H","DateFormat=P","Fill=—","Direction=H","UseDPDF=Y")</f>
        <v>4.6078000000000001</v>
      </c>
      <c r="L18" s="14">
        <f>_xll.BDH("SRPT US Equity","LEVEL_3_ASSETS_TO_TOTAL_EQUITY","FQ1 2021","FQ1 2021","Currency=USD","Period=FQ","BEST_FPERIOD_OVERRIDE=FQ","FILING_STATUS=MR","Sort=A","Dates=H","DateFormat=P","Fill=—","Direction=H","UseDPDF=Y")</f>
        <v>6.8914999999999997</v>
      </c>
      <c r="M18" s="14">
        <f>_xll.BDH("SRPT US Equity","LEVEL_3_ASSETS_TO_TOTAL_EQUITY","FQ2 2021","FQ2 2021","Currency=USD","Period=FQ","BEST_FPERIOD_OVERRIDE=FQ","FILING_STATUS=MR","Sort=A","Dates=H","DateFormat=P","Fill=—","Direction=H","UseDPDF=Y")</f>
        <v>7.6066000000000003</v>
      </c>
      <c r="N18" s="14">
        <f>_xll.BDH("SRPT US Equity","LEVEL_3_ASSETS_TO_TOTAL_EQUITY","FQ3 2021","FQ3 2021","Currency=USD","Period=FQ","BEST_FPERIOD_OVERRIDE=FQ","FILING_STATUS=MR","Sort=A","Dates=H","DateFormat=P","Fill=—","Direction=H","UseDPDF=Y")</f>
        <v>6.9031000000000002</v>
      </c>
      <c r="O18" s="14">
        <f>_xll.BDH("SRPT US Equity","LEVEL_3_ASSETS_TO_TOTAL_EQUITY","FQ4 2021","FQ4 2021","Currency=USD","Period=FQ","BEST_FPERIOD_OVERRIDE=FQ","FILING_STATUS=MR","Sort=A","Dates=H","DateFormat=P","Fill=—","Direction=H","UseDPDF=Y")</f>
        <v>3.4925999999999999</v>
      </c>
      <c r="P18" s="14">
        <f>_xll.BDH("SRPT US Equity","LEVEL_3_ASSETS_TO_TOTAL_EQUITY","FQ1 2022","FQ1 2022","Currency=USD","Period=FQ","BEST_FPERIOD_OVERRIDE=FQ","FILING_STATUS=MR","Sort=A","Dates=H","DateFormat=P","Fill=—","Direction=H","UseDPDF=Y")</f>
        <v>3.7825000000000002</v>
      </c>
      <c r="Q18" s="14">
        <f>_xll.BDH("SRPT US Equity","LEVEL_3_ASSETS_TO_TOTAL_EQUITY","FQ2 2022","FQ2 2022","Currency=USD","Period=FQ","BEST_FPERIOD_OVERRIDE=FQ","FILING_STATUS=MR","Sort=A","Dates=H","DateFormat=P","Fill=—","Direction=H","UseDPDF=Y")</f>
        <v>4.4617000000000004</v>
      </c>
      <c r="R18" s="14">
        <f>_xll.BDH("SRPT US Equity","LEVEL_3_ASSETS_TO_TOTAL_EQUITY","FQ3 2022","FQ3 2022","Currency=USD","Period=FQ","BEST_FPERIOD_OVERRIDE=FQ","FILING_STATUS=MR","Sort=A","Dates=H","DateFormat=P","Fill=—","Direction=H","UseDPDF=Y")</f>
        <v>7.5608000000000004</v>
      </c>
      <c r="S18" s="14">
        <f>_xll.BDH("SRPT US Equity","LEVEL_3_ASSETS_TO_TOTAL_EQUITY","FQ4 2022","FQ4 2022","Currency=USD","Period=FQ","BEST_FPERIOD_OVERRIDE=FQ","FILING_STATUS=MR","Sort=A","Dates=H","DateFormat=P","Fill=—","Direction=H","UseDPDF=Y")</f>
        <v>8.0530000000000008</v>
      </c>
      <c r="T18" s="14">
        <f>_xll.BDH("SRPT US Equity","LEVEL_3_ASSETS_TO_TOTAL_EQUITY","FQ1 2023","FQ1 2023","Currency=USD","Period=FQ","BEST_FPERIOD_OVERRIDE=FQ","FILING_STATUS=MR","Sort=A","Dates=H","DateFormat=P","Fill=—","Direction=H","UseDPDF=Y")</f>
        <v>4.3494000000000002</v>
      </c>
      <c r="U18" s="14">
        <f>_xll.BDH("SRPT US Equity","LEVEL_3_ASSETS_TO_TOTAL_EQUITY","FQ2 2023","FQ2 2023","Currency=USD","Period=FQ","BEST_FPERIOD_OVERRIDE=FQ","FILING_STATUS=MR","Sort=A","Dates=H","DateFormat=P","Fill=—","Direction=H","UseDPDF=Y")</f>
        <v>4.1811999999999996</v>
      </c>
      <c r="V18" s="14">
        <f>_xll.BDH("SRPT US Equity","LEVEL_3_ASSETS_TO_TOTAL_EQUITY","FQ3 2023","FQ3 2023","Currency=USD","Period=FQ","BEST_FPERIOD_OVERRIDE=FQ","FILING_STATUS=MR","Sort=A","Dates=H","DateFormat=P","Fill=—","Direction=H","UseDPDF=Y")</f>
        <v>0.98119999999999996</v>
      </c>
      <c r="W18" s="14">
        <f>_xll.BDH("SRPT US Equity","LEVEL_3_ASSETS_TO_TOTAL_EQUITY","FQ4 2023","FQ4 2023","Currency=USD","Period=FQ","BEST_FPERIOD_OVERRIDE=FQ","FILING_STATUS=MR","Sort=A","Dates=H","DateFormat=P","Fill=—","Direction=H","UseDPDF=Y")</f>
        <v>0.1164</v>
      </c>
      <c r="X18" s="14">
        <f>_xll.BDH("SRPT US Equity","LEVEL_3_ASSETS_TO_TOTAL_EQUITY","FQ1 2024","FQ1 2024","Currency=USD","Period=FQ","BEST_FPERIOD_OVERRIDE=FQ","FILING_STATUS=MR","Sort=A","Dates=H","DateFormat=P","Fill=—","Direction=H","UseDPDF=Y")</f>
        <v>0.104</v>
      </c>
      <c r="Y18" s="14">
        <f>_xll.BDH("SRPT US Equity","LEVEL_3_ASSETS_TO_TOTAL_EQUITY","FQ2 2024","FQ2 2024","Currency=USD","Period=FQ","BEST_FPERIOD_OVERRIDE=FQ","FILING_STATUS=MR","Sort=A","Dates=H","DateFormat=P","Fill=—","Direction=H","UseDPDF=Y")</f>
        <v>9.2799999999999994E-2</v>
      </c>
      <c r="Z18" s="14">
        <f>_xll.BDH("SRPT US Equity","LEVEL_3_ASSETS_TO_TOTAL_EQUITY","FQ3 2024","FQ3 2024","Currency=USD","Period=FQ","BEST_FPERIOD_OVERRIDE=FQ","FILING_STATUS=MR","Sort=A","Dates=H","DateFormat=P","Fill=—","Direction=H","UseDPDF=Y")</f>
        <v>8.1900000000000001E-2</v>
      </c>
      <c r="AA18" s="14">
        <f>_xll.BDH("SRPT US Equity","LEVEL_3_ASSETS_TO_TOTAL_EQUITY","FQ4 2024","FQ4 2024","Currency=USD","Period=FQ","BEST_FPERIOD_OVERRIDE=FQ","FILING_STATUS=MR","Sort=A","Dates=H","DateFormat=P","Fill=—","Direction=H","UseDPDF=Y")</f>
        <v>6.5500000000000003E-2</v>
      </c>
    </row>
    <row r="19" spans="1:27" x14ac:dyDescent="0.25">
      <c r="A19" s="6" t="s">
        <v>1167</v>
      </c>
      <c r="B19" s="6" t="s">
        <v>1168</v>
      </c>
      <c r="C19" s="20">
        <f>_xll.BDH("SRPT US Equity","TOT_FAIR_VAL_ASSETS_TO_TOT_EQTY","FQ4 2018","FQ4 2018","Currency=USD","Period=FQ","BEST_FPERIOD_OVERRIDE=FQ","FILING_STATUS=MR","Sort=A","Dates=H","DateFormat=P","Fill=—","Direction=H","UseDPDF=Y")</f>
        <v>97.383799999999994</v>
      </c>
      <c r="D19" s="20">
        <f>_xll.BDH("SRPT US Equity","TOT_FAIR_VAL_ASSETS_TO_TOT_EQTY","FQ1 2019","FQ1 2019","Currency=USD","Period=FQ","BEST_FPERIOD_OVERRIDE=FQ","FILING_STATUS=MR","Sort=A","Dates=H","DateFormat=P","Fill=—","Direction=H","UseDPDF=Y")</f>
        <v>81.208799999999997</v>
      </c>
      <c r="E19" s="20">
        <f>_xll.BDH("SRPT US Equity","TOT_FAIR_VAL_ASSETS_TO_TOT_EQTY","FQ2 2019","FQ2 2019","Currency=USD","Period=FQ","BEST_FPERIOD_OVERRIDE=FQ","FILING_STATUS=MR","Sort=A","Dates=H","DateFormat=P","Fill=—","Direction=H","UseDPDF=Y")</f>
        <v>90.867800000000003</v>
      </c>
      <c r="F19" s="20">
        <f>_xll.BDH("SRPT US Equity","TOT_FAIR_VAL_ASSETS_TO_TOT_EQTY","FQ3 2019","FQ3 2019","Currency=USD","Period=FQ","BEST_FPERIOD_OVERRIDE=FQ","FILING_STATUS=MR","Sort=A","Dates=H","DateFormat=P","Fill=—","Direction=H","UseDPDF=Y")</f>
        <v>90.250299999999996</v>
      </c>
      <c r="G19" s="20">
        <f>_xll.BDH("SRPT US Equity","TOT_FAIR_VAL_ASSETS_TO_TOT_EQTY","FQ4 2019","FQ4 2019","Currency=USD","Period=FQ","BEST_FPERIOD_OVERRIDE=FQ","FILING_STATUS=MR","Sort=A","Dates=H","DateFormat=P","Fill=—","Direction=H","UseDPDF=Y")</f>
        <v>127.7834</v>
      </c>
      <c r="H19" s="20">
        <f>_xll.BDH("SRPT US Equity","TOT_FAIR_VAL_ASSETS_TO_TOT_EQTY","FQ1 2020","FQ1 2020","Currency=USD","Period=FQ","BEST_FPERIOD_OVERRIDE=FQ","FILING_STATUS=MR","Sort=A","Dates=H","DateFormat=P","Fill=—","Direction=H","UseDPDF=Y")</f>
        <v>157.3604</v>
      </c>
      <c r="I19" s="20">
        <f>_xll.BDH("SRPT US Equity","TOT_FAIR_VAL_ASSETS_TO_TOT_EQTY","FQ2 2020","FQ2 2020","Currency=USD","Period=FQ","BEST_FPERIOD_OVERRIDE=FQ","FILING_STATUS=MR","Sort=A","Dates=H","DateFormat=P","Fill=—","Direction=H","UseDPDF=Y")</f>
        <v>169.9127</v>
      </c>
      <c r="J19" s="20">
        <f>_xll.BDH("SRPT US Equity","TOT_FAIR_VAL_ASSETS_TO_TOT_EQTY","FQ3 2020","FQ3 2020","Currency=USD","Period=FQ","BEST_FPERIOD_OVERRIDE=FQ","FILING_STATUS=MR","Sort=A","Dates=H","DateFormat=P","Fill=—","Direction=H","UseDPDF=Y")</f>
        <v>173.88069999999999</v>
      </c>
      <c r="K19" s="20">
        <f>_xll.BDH("SRPT US Equity","TOT_FAIR_VAL_ASSETS_TO_TOT_EQTY","FQ4 2020","FQ4 2020","Currency=USD","Period=FQ","BEST_FPERIOD_OVERRIDE=FQ","FILING_STATUS=MR","Sort=A","Dates=H","DateFormat=P","Fill=—","Direction=H","UseDPDF=Y")</f>
        <v>224.017</v>
      </c>
      <c r="L19" s="20">
        <f>_xll.BDH("SRPT US Equity","TOT_FAIR_VAL_ASSETS_TO_TOT_EQTY","FQ1 2021","FQ1 2021","Currency=USD","Period=FQ","BEST_FPERIOD_OVERRIDE=FQ","FILING_STATUS=MR","Sort=A","Dates=H","DateFormat=P","Fill=—","Direction=H","UseDPDF=Y")</f>
        <v>271.41950000000003</v>
      </c>
      <c r="M19" s="20">
        <f>_xll.BDH("SRPT US Equity","TOT_FAIR_VAL_ASSETS_TO_TOT_EQTY","FQ2 2021","FQ2 2021","Currency=USD","Period=FQ","BEST_FPERIOD_OVERRIDE=FQ","FILING_STATUS=MR","Sort=A","Dates=H","DateFormat=P","Fill=—","Direction=H","UseDPDF=Y")</f>
        <v>299.4298</v>
      </c>
      <c r="N19" s="20">
        <f>_xll.BDH("SRPT US Equity","TOT_FAIR_VAL_ASSETS_TO_TOT_EQTY","FQ3 2021","FQ3 2021","Currency=USD","Period=FQ","BEST_FPERIOD_OVERRIDE=FQ","FILING_STATUS=MR","Sort=A","Dates=H","DateFormat=P","Fill=—","Direction=H","UseDPDF=Y")</f>
        <v>281.73610000000002</v>
      </c>
      <c r="O19" s="20">
        <f>_xll.BDH("SRPT US Equity","TOT_FAIR_VAL_ASSETS_TO_TOT_EQTY","FQ4 2021","FQ4 2021","Currency=USD","Period=FQ","BEST_FPERIOD_OVERRIDE=FQ","FILING_STATUS=MR","Sort=A","Dates=H","DateFormat=P","Fill=—","Direction=H","UseDPDF=Y")</f>
        <v>172.14269999999999</v>
      </c>
      <c r="P19" s="20">
        <f>_xll.BDH("SRPT US Equity","TOT_FAIR_VAL_ASSETS_TO_TOT_EQTY","FQ1 2022","FQ1 2022","Currency=USD","Period=FQ","BEST_FPERIOD_OVERRIDE=FQ","FILING_STATUS=MR","Sort=A","Dates=H","DateFormat=P","Fill=—","Direction=H","UseDPDF=Y")</f>
        <v>186.62090000000001</v>
      </c>
      <c r="Q19" s="20">
        <f>_xll.BDH("SRPT US Equity","TOT_FAIR_VAL_ASSETS_TO_TOT_EQTY","FQ2 2022","FQ2 2022","Currency=USD","Period=FQ","BEST_FPERIOD_OVERRIDE=FQ","FILING_STATUS=MR","Sort=A","Dates=H","DateFormat=P","Fill=—","Direction=H","UseDPDF=Y")</f>
        <v>220.2037</v>
      </c>
      <c r="R19" s="20">
        <f>_xll.BDH("SRPT US Equity","TOT_FAIR_VAL_ASSETS_TO_TOT_EQTY","FQ3 2022","FQ3 2022","Currency=USD","Period=FQ","BEST_FPERIOD_OVERRIDE=FQ","FILING_STATUS=MR","Sort=A","Dates=H","DateFormat=P","Fill=—","Direction=H","UseDPDF=Y")</f>
        <v>392.52269999999999</v>
      </c>
      <c r="S19" s="20">
        <f>_xll.BDH("SRPT US Equity","TOT_FAIR_VAL_ASSETS_TO_TOT_EQTY","FQ4 2022","FQ4 2022","Currency=USD","Period=FQ","BEST_FPERIOD_OVERRIDE=FQ","FILING_STATUS=MR","Sort=A","Dates=H","DateFormat=P","Fill=—","Direction=H","UseDPDF=Y")</f>
        <v>438.04880000000003</v>
      </c>
      <c r="T19" s="20">
        <f>_xll.BDH("SRPT US Equity","TOT_FAIR_VAL_ASSETS_TO_TOT_EQTY","FQ1 2023","FQ1 2023","Currency=USD","Period=FQ","BEST_FPERIOD_OVERRIDE=FQ","FILING_STATUS=MR","Sort=A","Dates=H","DateFormat=P","Fill=—","Direction=H","UseDPDF=Y")</f>
        <v>220.56120000000001</v>
      </c>
      <c r="U19" s="20">
        <f>_xll.BDH("SRPT US Equity","TOT_FAIR_VAL_ASSETS_TO_TOT_EQTY","FQ2 2023","FQ2 2023","Currency=USD","Period=FQ","BEST_FPERIOD_OVERRIDE=FQ","FILING_STATUS=MR","Sort=A","Dates=H","DateFormat=P","Fill=—","Direction=H","UseDPDF=Y")</f>
        <v>201.56549999999999</v>
      </c>
      <c r="V19" s="20">
        <f>_xll.BDH("SRPT US Equity","TOT_FAIR_VAL_ASSETS_TO_TOT_EQTY","FQ3 2023","FQ3 2023","Currency=USD","Period=FQ","BEST_FPERIOD_OVERRIDE=FQ","FILING_STATUS=MR","Sort=A","Dates=H","DateFormat=P","Fill=—","Direction=H","UseDPDF=Y")</f>
        <v>185.2345</v>
      </c>
      <c r="W19" s="20">
        <f>_xll.BDH("SRPT US Equity","TOT_FAIR_VAL_ASSETS_TO_TOT_EQTY","FQ4 2023","FQ4 2023","Currency=USD","Period=FQ","BEST_FPERIOD_OVERRIDE=FQ","FILING_STATUS=MR","Sort=A","Dates=H","DateFormat=P","Fill=—","Direction=H","UseDPDF=Y")</f>
        <v>159.65170000000001</v>
      </c>
      <c r="X19" s="20">
        <f>_xll.BDH("SRPT US Equity","TOT_FAIR_VAL_ASSETS_TO_TOT_EQTY","FQ1 2024","FQ1 2024","Currency=USD","Period=FQ","BEST_FPERIOD_OVERRIDE=FQ","FILING_STATUS=MR","Sort=A","Dates=H","DateFormat=P","Fill=—","Direction=H","UseDPDF=Y")</f>
        <v>133.44880000000001</v>
      </c>
      <c r="Y19" s="20">
        <f>_xll.BDH("SRPT US Equity","TOT_FAIR_VAL_ASSETS_TO_TOT_EQTY","FQ2 2024","FQ2 2024","Currency=USD","Period=FQ","BEST_FPERIOD_OVERRIDE=FQ","FILING_STATUS=MR","Sort=A","Dates=H","DateFormat=P","Fill=—","Direction=H","UseDPDF=Y")</f>
        <v>113.595</v>
      </c>
      <c r="Z19" s="20">
        <f>_xll.BDH("SRPT US Equity","TOT_FAIR_VAL_ASSETS_TO_TOT_EQTY","FQ3 2024","FQ3 2024","Currency=USD","Period=FQ","BEST_FPERIOD_OVERRIDE=FQ","FILING_STATUS=MR","Sort=A","Dates=H","DateFormat=P","Fill=—","Direction=H","UseDPDF=Y")</f>
        <v>103.0187</v>
      </c>
      <c r="AA19" s="20">
        <f>_xll.BDH("SRPT US Equity","TOT_FAIR_VAL_ASSETS_TO_TOT_EQTY","FQ4 2024","FQ4 2024","Currency=USD","Period=FQ","BEST_FPERIOD_OVERRIDE=FQ","FILING_STATUS=MR","Sort=A","Dates=H","DateFormat=P","Fill=—","Direction=H","UseDPDF=Y")</f>
        <v>55.257399999999997</v>
      </c>
    </row>
    <row r="20" spans="1:27" x14ac:dyDescent="0.25">
      <c r="A20" s="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x14ac:dyDescent="0.25">
      <c r="A21" s="10" t="s">
        <v>1169</v>
      </c>
      <c r="B21" s="10" t="s">
        <v>1170</v>
      </c>
      <c r="C21" s="14">
        <f>_xll.BDH("SRPT US Equity","LEVEL_1_ASSETS_TO_TOTAL_ASSETS","FQ4 2018","FQ4 2018","Currency=USD","Period=FQ","BEST_FPERIOD_OVERRIDE=FQ","FILING_STATUS=MR","Sort=A","Dates=H","DateFormat=P","Fill=—","Direction=H","UseDPDF=Y")</f>
        <v>51.725000000000001</v>
      </c>
      <c r="D21" s="14">
        <f>_xll.BDH("SRPT US Equity","LEVEL_1_ASSETS_TO_TOTAL_ASSETS","FQ1 2019","FQ1 2019","Currency=USD","Period=FQ","BEST_FPERIOD_OVERRIDE=FQ","FILING_STATUS=MR","Sort=A","Dates=H","DateFormat=P","Fill=—","Direction=H","UseDPDF=Y")</f>
        <v>50.887300000000003</v>
      </c>
      <c r="E21" s="14">
        <f>_xll.BDH("SRPT US Equity","LEVEL_1_ASSETS_TO_TOTAL_ASSETS","FQ2 2019","FQ2 2019","Currency=USD","Period=FQ","BEST_FPERIOD_OVERRIDE=FQ","FILING_STATUS=MR","Sort=A","Dates=H","DateFormat=P","Fill=—","Direction=H","UseDPDF=Y")</f>
        <v>50.431600000000003</v>
      </c>
      <c r="F21" s="14">
        <f>_xll.BDH("SRPT US Equity","LEVEL_1_ASSETS_TO_TOTAL_ASSETS","FQ3 2019","FQ3 2019","Currency=USD","Period=FQ","BEST_FPERIOD_OVERRIDE=FQ","FILING_STATUS=MR","Sort=A","Dates=H","DateFormat=P","Fill=—","Direction=H","UseDPDF=Y")</f>
        <v>50.4086</v>
      </c>
      <c r="G21" s="14">
        <f>_xll.BDH("SRPT US Equity","LEVEL_1_ASSETS_TO_TOTAL_ASSETS","FQ4 2019","FQ4 2019","Currency=USD","Period=FQ","BEST_FPERIOD_OVERRIDE=FQ","FILING_STATUS=MR","Sort=A","Dates=H","DateFormat=P","Fill=—","Direction=H","UseDPDF=Y")</f>
        <v>55.710700000000003</v>
      </c>
      <c r="H21" s="14">
        <f>_xll.BDH("SRPT US Equity","LEVEL_1_ASSETS_TO_TOTAL_ASSETS","FQ1 2020","FQ1 2020","Currency=USD","Period=FQ","BEST_FPERIOD_OVERRIDE=FQ","FILING_STATUS=MR","Sort=A","Dates=H","DateFormat=P","Fill=—","Direction=H","UseDPDF=Y")</f>
        <v>60.104300000000002</v>
      </c>
      <c r="I21" s="14">
        <f>_xll.BDH("SRPT US Equity","LEVEL_1_ASSETS_TO_TOTAL_ASSETS","FQ2 2020","FQ2 2020","Currency=USD","Period=FQ","BEST_FPERIOD_OVERRIDE=FQ","FILING_STATUS=MR","Sort=A","Dates=H","DateFormat=P","Fill=—","Direction=H","UseDPDF=Y")</f>
        <v>60.420999999999999</v>
      </c>
      <c r="J21" s="14">
        <f>_xll.BDH("SRPT US Equity","LEVEL_1_ASSETS_TO_TOTAL_ASSETS","FQ3 2020","FQ3 2020","Currency=USD","Period=FQ","BEST_FPERIOD_OVERRIDE=FQ","FILING_STATUS=MR","Sort=A","Dates=H","DateFormat=P","Fill=—","Direction=H","UseDPDF=Y")</f>
        <v>54.7027</v>
      </c>
      <c r="K21" s="14">
        <f>_xll.BDH("SRPT US Equity","LEVEL_1_ASSETS_TO_TOTAL_ASSETS","FQ4 2020","FQ4 2020","Currency=USD","Period=FQ","BEST_FPERIOD_OVERRIDE=FQ","FILING_STATUS=MR","Sort=A","Dates=H","DateFormat=P","Fill=—","Direction=H","UseDPDF=Y")</f>
        <v>55.997599999999998</v>
      </c>
      <c r="L21" s="14">
        <f>_xll.BDH("SRPT US Equity","LEVEL_1_ASSETS_TO_TOTAL_ASSETS","FQ1 2021","FQ1 2021","Currency=USD","Period=FQ","BEST_FPERIOD_OVERRIDE=FQ","FILING_STATUS=MR","Sort=A","Dates=H","DateFormat=P","Fill=—","Direction=H","UseDPDF=Y")</f>
        <v>51.221800000000002</v>
      </c>
      <c r="M21" s="14">
        <f>_xll.BDH("SRPT US Equity","LEVEL_1_ASSETS_TO_TOTAL_ASSETS","FQ2 2021","FQ2 2021","Currency=USD","Period=FQ","BEST_FPERIOD_OVERRIDE=FQ","FILING_STATUS=MR","Sort=A","Dates=H","DateFormat=P","Fill=—","Direction=H","UseDPDF=Y")</f>
        <v>51.309199999999997</v>
      </c>
      <c r="N21" s="14">
        <f>_xll.BDH("SRPT US Equity","LEVEL_1_ASSETS_TO_TOTAL_ASSETS","FQ3 2021","FQ3 2021","Currency=USD","Period=FQ","BEST_FPERIOD_OVERRIDE=FQ","FILING_STATUS=MR","Sort=A","Dates=H","DateFormat=P","Fill=—","Direction=H","UseDPDF=Y")</f>
        <v>48.471499999999999</v>
      </c>
      <c r="O21" s="14">
        <f>_xll.BDH("SRPT US Equity","LEVEL_1_ASSETS_TO_TOTAL_ASSETS","FQ4 2021","FQ4 2021","Currency=USD","Period=FQ","BEST_FPERIOD_OVERRIDE=FQ","FILING_STATUS=MR","Sort=A","Dates=H","DateFormat=P","Fill=—","Direction=H","UseDPDF=Y")</f>
        <v>49.717300000000002</v>
      </c>
      <c r="P21" s="14">
        <f>_xll.BDH("SRPT US Equity","LEVEL_1_ASSETS_TO_TOTAL_ASSETS","FQ1 2022","FQ1 2022","Currency=USD","Period=FQ","BEST_FPERIOD_OVERRIDE=FQ","FILING_STATUS=MR","Sort=A","Dates=H","DateFormat=P","Fill=—","Direction=H","UseDPDF=Y")</f>
        <v>21.6722</v>
      </c>
      <c r="Q21" s="14">
        <f>_xll.BDH("SRPT US Equity","LEVEL_1_ASSETS_TO_TOTAL_ASSETS","FQ2 2022","FQ2 2022","Currency=USD","Period=FQ","BEST_FPERIOD_OVERRIDE=FQ","FILING_STATUS=MR","Sort=A","Dates=H","DateFormat=P","Fill=—","Direction=H","UseDPDF=Y")</f>
        <v>15.5123</v>
      </c>
      <c r="R21" s="14">
        <f>_xll.BDH("SRPT US Equity","LEVEL_1_ASSETS_TO_TOTAL_ASSETS","FQ3 2022","FQ3 2022","Currency=USD","Period=FQ","BEST_FPERIOD_OVERRIDE=FQ","FILING_STATUS=MR","Sort=A","Dates=H","DateFormat=P","Fill=—","Direction=H","UseDPDF=Y")</f>
        <v>16.144100000000002</v>
      </c>
      <c r="S21" s="14">
        <f>_xll.BDH("SRPT US Equity","LEVEL_1_ASSETS_TO_TOTAL_ASSETS","FQ4 2022","FQ4 2022","Currency=USD","Period=FQ","BEST_FPERIOD_OVERRIDE=FQ","FILING_STATUS=MR","Sort=A","Dates=H","DateFormat=P","Fill=—","Direction=H","UseDPDF=Y")</f>
        <v>14.9559</v>
      </c>
      <c r="T21" s="14">
        <f>_xll.BDH("SRPT US Equity","LEVEL_1_ASSETS_TO_TOTAL_ASSETS","FQ1 2023","FQ1 2023","Currency=USD","Period=FQ","BEST_FPERIOD_OVERRIDE=FQ","FILING_STATUS=MR","Sort=A","Dates=H","DateFormat=P","Fill=—","Direction=H","UseDPDF=Y")</f>
        <v>14.7202</v>
      </c>
      <c r="U21" s="14">
        <f>_xll.BDH("SRPT US Equity","LEVEL_1_ASSETS_TO_TOTAL_ASSETS","FQ2 2023","FQ2 2023","Currency=USD","Period=FQ","BEST_FPERIOD_OVERRIDE=FQ","FILING_STATUS=MR","Sort=A","Dates=H","DateFormat=P","Fill=—","Direction=H","UseDPDF=Y")</f>
        <v>12.9519</v>
      </c>
      <c r="V21" s="14">
        <f>_xll.BDH("SRPT US Equity","LEVEL_1_ASSETS_TO_TOTAL_ASSETS","FQ3 2023","FQ3 2023","Currency=USD","Period=FQ","BEST_FPERIOD_OVERRIDE=FQ","FILING_STATUS=MR","Sort=A","Dates=H","DateFormat=P","Fill=—","Direction=H","UseDPDF=Y")</f>
        <v>4.4917999999999996</v>
      </c>
      <c r="W21" s="14">
        <f>_xll.BDH("SRPT US Equity","LEVEL_1_ASSETS_TO_TOTAL_ASSETS","FQ4 2023","FQ4 2023","Currency=USD","Period=FQ","BEST_FPERIOD_OVERRIDE=FQ","FILING_STATUS=MR","Sort=A","Dates=H","DateFormat=P","Fill=—","Direction=H","UseDPDF=Y")</f>
        <v>2.1273</v>
      </c>
      <c r="X21" s="14">
        <f>_xll.BDH("SRPT US Equity","LEVEL_1_ASSETS_TO_TOTAL_ASSETS","FQ1 2024","FQ1 2024","Currency=USD","Period=FQ","BEST_FPERIOD_OVERRIDE=FQ","FILING_STATUS=MR","Sort=A","Dates=H","DateFormat=P","Fill=—","Direction=H","UseDPDF=Y")</f>
        <v>8.8179999999999996</v>
      </c>
      <c r="Y21" s="14">
        <f>_xll.BDH("SRPT US Equity","LEVEL_1_ASSETS_TO_TOTAL_ASSETS","FQ2 2024","FQ2 2024","Currency=USD","Period=FQ","BEST_FPERIOD_OVERRIDE=FQ","FILING_STATUS=MR","Sort=A","Dates=H","DateFormat=P","Fill=—","Direction=H","UseDPDF=Y")</f>
        <v>3.1383000000000001</v>
      </c>
      <c r="Z21" s="14">
        <f>_xll.BDH("SRPT US Equity","LEVEL_1_ASSETS_TO_TOTAL_ASSETS","FQ3 2024","FQ3 2024","Currency=USD","Period=FQ","BEST_FPERIOD_OVERRIDE=FQ","FILING_STATUS=MR","Sort=A","Dates=H","DateFormat=P","Fill=—","Direction=H","UseDPDF=Y")</f>
        <v>1.0880000000000001</v>
      </c>
      <c r="AA21" s="14">
        <f>_xll.BDH("SRPT US Equity","LEVEL_1_ASSETS_TO_TOTAL_ASSETS","FQ4 2024","FQ4 2024","Currency=USD","Period=FQ","BEST_FPERIOD_OVERRIDE=FQ","FILING_STATUS=MR","Sort=A","Dates=H","DateFormat=P","Fill=—","Direction=H","UseDPDF=Y")</f>
        <v>11.5626</v>
      </c>
    </row>
    <row r="22" spans="1:27" x14ac:dyDescent="0.25">
      <c r="A22" s="10" t="s">
        <v>1171</v>
      </c>
      <c r="B22" s="10" t="s">
        <v>1172</v>
      </c>
      <c r="C22" s="14">
        <f>_xll.BDH("SRPT US Equity","LEVEL_2_ASSETS_TO_TOTAL_ASSETS","FQ4 2018","FQ4 2018","Currency=USD","Period=FQ","BEST_FPERIOD_OVERRIDE=FQ","FILING_STATUS=MR","Sort=A","Dates=H","DateFormat=P","Fill=—","Direction=H","UseDPDF=Y")</f>
        <v>7.6676000000000002</v>
      </c>
      <c r="D22" s="14">
        <f>_xll.BDH("SRPT US Equity","LEVEL_2_ASSETS_TO_TOTAL_ASSETS","FQ1 2019","FQ1 2019","Currency=USD","Period=FQ","BEST_FPERIOD_OVERRIDE=FQ","FILING_STATUS=MR","Sort=A","Dates=H","DateFormat=P","Fill=—","Direction=H","UseDPDF=Y")</f>
        <v>3.3494000000000002</v>
      </c>
      <c r="E22" s="14">
        <f>_xll.BDH("SRPT US Equity","LEVEL_2_ASSETS_TO_TOTAL_ASSETS","FQ2 2019","FQ2 2019","Currency=USD","Period=FQ","BEST_FPERIOD_OVERRIDE=FQ","FILING_STATUS=MR","Sort=A","Dates=H","DateFormat=P","Fill=—","Direction=H","UseDPDF=Y")</f>
        <v>4.9989999999999997</v>
      </c>
      <c r="F22" s="14">
        <f>_xll.BDH("SRPT US Equity","LEVEL_2_ASSETS_TO_TOTAL_ASSETS","FQ3 2019","FQ3 2019","Currency=USD","Period=FQ","BEST_FPERIOD_OVERRIDE=FQ","FILING_STATUS=MR","Sort=A","Dates=H","DateFormat=P","Fill=—","Direction=H","UseDPDF=Y")</f>
        <v>0.58640000000000003</v>
      </c>
      <c r="G22" s="14">
        <f>_xll.BDH("SRPT US Equity","LEVEL_2_ASSETS_TO_TOTAL_ASSETS","FQ4 2019","FQ4 2019","Currency=USD","Period=FQ","BEST_FPERIOD_OVERRIDE=FQ","FILING_STATUS=MR","Sort=A","Dates=H","DateFormat=P","Fill=—","Direction=H","UseDPDF=Y")</f>
        <v>0</v>
      </c>
      <c r="H22" s="14">
        <f>_xll.BDH("SRPT US Equity","LEVEL_2_ASSETS_TO_TOTAL_ASSETS","FQ1 2020","FQ1 2020","Currency=USD","Period=FQ","BEST_FPERIOD_OVERRIDE=FQ","FILING_STATUS=MR","Sort=A","Dates=H","DateFormat=P","Fill=—","Direction=H","UseDPDF=Y")</f>
        <v>0</v>
      </c>
      <c r="I22" s="14">
        <f>_xll.BDH("SRPT US Equity","LEVEL_2_ASSETS_TO_TOTAL_ASSETS","FQ2 2020","FQ2 2020","Currency=USD","Period=FQ","BEST_FPERIOD_OVERRIDE=FQ","FILING_STATUS=MR","Sort=A","Dates=H","DateFormat=P","Fill=—","Direction=H","UseDPDF=Y")</f>
        <v>0</v>
      </c>
      <c r="J22" s="14">
        <f>_xll.BDH("SRPT US Equity","LEVEL_2_ASSETS_TO_TOTAL_ASSETS","FQ3 2020","FQ3 2020","Currency=USD","Period=FQ","BEST_FPERIOD_OVERRIDE=FQ","FILING_STATUS=MR","Sort=A","Dates=H","DateFormat=P","Fill=—","Direction=H","UseDPDF=Y")</f>
        <v>0</v>
      </c>
      <c r="K22" s="14">
        <f>_xll.BDH("SRPT US Equity","LEVEL_2_ASSETS_TO_TOTAL_ASSETS","FQ4 2020","FQ4 2020","Currency=USD","Period=FQ","BEST_FPERIOD_OVERRIDE=FQ","FILING_STATUS=MR","Sort=A","Dates=H","DateFormat=P","Fill=—","Direction=H","UseDPDF=Y")</f>
        <v>0</v>
      </c>
      <c r="L22" s="14">
        <f>_xll.BDH("SRPT US Equity","LEVEL_2_ASSETS_TO_TOTAL_ASSETS","FQ1 2021","FQ1 2021","Currency=USD","Period=FQ","BEST_FPERIOD_OVERRIDE=FQ","FILING_STATUS=MR","Sort=A","Dates=H","DateFormat=P","Fill=—","Direction=H","UseDPDF=Y")</f>
        <v>0</v>
      </c>
      <c r="M22" s="14">
        <f>_xll.BDH("SRPT US Equity","LEVEL_2_ASSETS_TO_TOTAL_ASSETS","FQ2 2021","FQ2 2021","Currency=USD","Period=FQ","BEST_FPERIOD_OVERRIDE=FQ","FILING_STATUS=MR","Sort=A","Dates=H","DateFormat=P","Fill=—","Direction=H","UseDPDF=Y")</f>
        <v>0</v>
      </c>
      <c r="N22" s="14">
        <f>_xll.BDH("SRPT US Equity","LEVEL_2_ASSETS_TO_TOTAL_ASSETS","FQ3 2021","FQ3 2021","Currency=USD","Period=FQ","BEST_FPERIOD_OVERRIDE=FQ","FILING_STATUS=MR","Sort=A","Dates=H","DateFormat=P","Fill=—","Direction=H","UseDPDF=Y")</f>
        <v>0</v>
      </c>
      <c r="O22" s="14">
        <f>_xll.BDH("SRPT US Equity","LEVEL_2_ASSETS_TO_TOTAL_ASSETS","FQ4 2021","FQ4 2021","Currency=USD","Period=FQ","BEST_FPERIOD_OVERRIDE=FQ","FILING_STATUS=MR","Sort=A","Dates=H","DateFormat=P","Fill=—","Direction=H","UseDPDF=Y")</f>
        <v>0</v>
      </c>
      <c r="P22" s="14">
        <f>_xll.BDH("SRPT US Equity","LEVEL_2_ASSETS_TO_TOTAL_ASSETS","FQ1 2022","FQ1 2022","Currency=USD","Period=FQ","BEST_FPERIOD_OVERRIDE=FQ","FILING_STATUS=MR","Sort=A","Dates=H","DateFormat=P","Fill=—","Direction=H","UseDPDF=Y")</f>
        <v>29.592099999999999</v>
      </c>
      <c r="Q22" s="14">
        <f>_xll.BDH("SRPT US Equity","LEVEL_2_ASSETS_TO_TOTAL_ASSETS","FQ2 2022","FQ2 2022","Currency=USD","Period=FQ","BEST_FPERIOD_OVERRIDE=FQ","FILING_STATUS=MR","Sort=A","Dates=H","DateFormat=P","Fill=—","Direction=H","UseDPDF=Y")</f>
        <v>36.784999999999997</v>
      </c>
      <c r="R22" s="14">
        <f>_xll.BDH("SRPT US Equity","LEVEL_2_ASSETS_TO_TOTAL_ASSETS","FQ3 2022","FQ3 2022","Currency=USD","Period=FQ","BEST_FPERIOD_OVERRIDE=FQ","FILING_STATUS=MR","Sort=A","Dates=H","DateFormat=P","Fill=—","Direction=H","UseDPDF=Y")</f>
        <v>36.406300000000002</v>
      </c>
      <c r="S22" s="14">
        <f>_xll.BDH("SRPT US Equity","LEVEL_2_ASSETS_TO_TOTAL_ASSETS","FQ4 2022","FQ4 2022","Currency=USD","Period=FQ","BEST_FPERIOD_OVERRIDE=FQ","FILING_STATUS=MR","Sort=A","Dates=H","DateFormat=P","Fill=—","Direction=H","UseDPDF=Y")</f>
        <v>37.955800000000004</v>
      </c>
      <c r="T22" s="14">
        <f>_xll.BDH("SRPT US Equity","LEVEL_2_ASSETS_TO_TOTAL_ASSETS","FQ1 2023","FQ1 2023","Currency=USD","Period=FQ","BEST_FPERIOD_OVERRIDE=FQ","FILING_STATUS=MR","Sort=A","Dates=H","DateFormat=P","Fill=—","Direction=H","UseDPDF=Y")</f>
        <v>35.644399999999997</v>
      </c>
      <c r="U22" s="14">
        <f>_xll.BDH("SRPT US Equity","LEVEL_2_ASSETS_TO_TOTAL_ASSETS","FQ2 2023","FQ2 2023","Currency=USD","Period=FQ","BEST_FPERIOD_OVERRIDE=FQ","FILING_STATUS=MR","Sort=A","Dates=H","DateFormat=P","Fill=—","Direction=H","UseDPDF=Y")</f>
        <v>33.8645</v>
      </c>
      <c r="V22" s="14">
        <f>_xll.BDH("SRPT US Equity","LEVEL_2_ASSETS_TO_TOTAL_ASSETS","FQ3 2023","FQ3 2023","Currency=USD","Period=FQ","BEST_FPERIOD_OVERRIDE=FQ","FILING_STATUS=MR","Sort=A","Dates=H","DateFormat=P","Fill=—","Direction=H","UseDPDF=Y")</f>
        <v>40.7971</v>
      </c>
      <c r="W22" s="14">
        <f>_xll.BDH("SRPT US Equity","LEVEL_2_ASSETS_TO_TOTAL_ASSETS","FQ4 2023","FQ4 2023","Currency=USD","Period=FQ","BEST_FPERIOD_OVERRIDE=FQ","FILING_STATUS=MR","Sort=A","Dates=H","DateFormat=P","Fill=—","Direction=H","UseDPDF=Y")</f>
        <v>39.867400000000004</v>
      </c>
      <c r="X22" s="14">
        <f>_xll.BDH("SRPT US Equity","LEVEL_2_ASSETS_TO_TOTAL_ASSETS","FQ1 2024","FQ1 2024","Currency=USD","Period=FQ","BEST_FPERIOD_OVERRIDE=FQ","FILING_STATUS=MR","Sort=A","Dates=H","DateFormat=P","Fill=—","Direction=H","UseDPDF=Y")</f>
        <v>30.932200000000002</v>
      </c>
      <c r="Y22" s="14">
        <f>_xll.BDH("SRPT US Equity","LEVEL_2_ASSETS_TO_TOTAL_ASSETS","FQ2 2024","FQ2 2024","Currency=USD","Period=FQ","BEST_FPERIOD_OVERRIDE=FQ","FILING_STATUS=MR","Sort=A","Dates=H","DateFormat=P","Fill=—","Direction=H","UseDPDF=Y")</f>
        <v>32.5627</v>
      </c>
      <c r="Z22" s="14">
        <f>_xll.BDH("SRPT US Equity","LEVEL_2_ASSETS_TO_TOTAL_ASSETS","FQ3 2024","FQ3 2024","Currency=USD","Period=FQ","BEST_FPERIOD_OVERRIDE=FQ","FILING_STATUS=MR","Sort=A","Dates=H","DateFormat=P","Fill=—","Direction=H","UseDPDF=Y")</f>
        <v>33.827399999999997</v>
      </c>
      <c r="AA22" s="14">
        <f>_xll.BDH("SRPT US Equity","LEVEL_2_ASSETS_TO_TOTAL_ASSETS","FQ4 2024","FQ4 2024","Currency=USD","Period=FQ","BEST_FPERIOD_OVERRIDE=FQ","FILING_STATUS=MR","Sort=A","Dates=H","DateFormat=P","Fill=—","Direction=H","UseDPDF=Y")</f>
        <v>9.7131000000000007</v>
      </c>
    </row>
    <row r="23" spans="1:27" x14ac:dyDescent="0.25">
      <c r="A23" s="10" t="s">
        <v>1173</v>
      </c>
      <c r="B23" s="10" t="s">
        <v>1174</v>
      </c>
      <c r="C23" s="14">
        <f>_xll.BDH("SRPT US Equity","LEVEL_3_ASSETS_TO_TOTAL_ASSETS","FQ4 2018","FQ4 2018","Currency=USD","Period=FQ","BEST_FPERIOD_OVERRIDE=FQ","FILING_STATUS=MR","Sort=A","Dates=H","DateFormat=P","Fill=—","Direction=H","UseDPDF=Y")</f>
        <v>1.827</v>
      </c>
      <c r="D23" s="14">
        <f>_xll.BDH("SRPT US Equity","LEVEL_3_ASSETS_TO_TOTAL_ASSETS","FQ1 2019","FQ1 2019","Currency=USD","Period=FQ","BEST_FPERIOD_OVERRIDE=FQ","FILING_STATUS=MR","Sort=A","Dates=H","DateFormat=P","Fill=—","Direction=H","UseDPDF=Y")</f>
        <v>1.5276000000000001</v>
      </c>
      <c r="E23" s="14">
        <f>_xll.BDH("SRPT US Equity","LEVEL_3_ASSETS_TO_TOTAL_ASSETS","FQ2 2019","FQ2 2019","Currency=USD","Period=FQ","BEST_FPERIOD_OVERRIDE=FQ","FILING_STATUS=MR","Sort=A","Dates=H","DateFormat=P","Fill=—","Direction=H","UseDPDF=Y")</f>
        <v>1.7164999999999999</v>
      </c>
      <c r="F23" s="14">
        <f>_xll.BDH("SRPT US Equity","LEVEL_3_ASSETS_TO_TOTAL_ASSETS","FQ3 2019","FQ3 2019","Currency=USD","Period=FQ","BEST_FPERIOD_OVERRIDE=FQ","FILING_STATUS=MR","Sort=A","Dates=H","DateFormat=P","Fill=—","Direction=H","UseDPDF=Y")</f>
        <v>1.7621</v>
      </c>
      <c r="G23" s="14">
        <f>_xll.BDH("SRPT US Equity","LEVEL_3_ASSETS_TO_TOTAL_ASSETS","FQ4 2019","FQ4 2019","Currency=USD","Period=FQ","BEST_FPERIOD_OVERRIDE=FQ","FILING_STATUS=MR","Sort=A","Dates=H","DateFormat=P","Fill=—","Direction=H","UseDPDF=Y")</f>
        <v>1.6457999999999999</v>
      </c>
      <c r="H23" s="14">
        <f>_xll.BDH("SRPT US Equity","LEVEL_3_ASSETS_TO_TOTAL_ASSETS","FQ1 2020","FQ1 2020","Currency=USD","Period=FQ","BEST_FPERIOD_OVERRIDE=FQ","FILING_STATUS=MR","Sort=A","Dates=H","DateFormat=P","Fill=—","Direction=H","UseDPDF=Y")</f>
        <v>1.0179</v>
      </c>
      <c r="I23" s="14">
        <f>_xll.BDH("SRPT US Equity","LEVEL_3_ASSETS_TO_TOTAL_ASSETS","FQ2 2020","FQ2 2020","Currency=USD","Period=FQ","BEST_FPERIOD_OVERRIDE=FQ","FILING_STATUS=MR","Sort=A","Dates=H","DateFormat=P","Fill=—","Direction=H","UseDPDF=Y")</f>
        <v>1.0406</v>
      </c>
      <c r="J23" s="14">
        <f>_xll.BDH("SRPT US Equity","LEVEL_3_ASSETS_TO_TOTAL_ASSETS","FQ3 2020","FQ3 2020","Currency=USD","Period=FQ","BEST_FPERIOD_OVERRIDE=FQ","FILING_STATUS=MR","Sort=A","Dates=H","DateFormat=P","Fill=—","Direction=H","UseDPDF=Y")</f>
        <v>1.0789</v>
      </c>
      <c r="K23" s="14">
        <f>_xll.BDH("SRPT US Equity","LEVEL_3_ASSETS_TO_TOTAL_ASSETS","FQ4 2020","FQ4 2020","Currency=USD","Period=FQ","BEST_FPERIOD_OVERRIDE=FQ","FILING_STATUS=MR","Sort=A","Dates=H","DateFormat=P","Fill=—","Direction=H","UseDPDF=Y")</f>
        <v>1.1759999999999999</v>
      </c>
      <c r="L23" s="14">
        <f>_xll.BDH("SRPT US Equity","LEVEL_3_ASSETS_TO_TOTAL_ASSETS","FQ1 2021","FQ1 2021","Currency=USD","Period=FQ","BEST_FPERIOD_OVERRIDE=FQ","FILING_STATUS=MR","Sort=A","Dates=H","DateFormat=P","Fill=—","Direction=H","UseDPDF=Y")</f>
        <v>1.3344</v>
      </c>
      <c r="M23" s="14">
        <f>_xll.BDH("SRPT US Equity","LEVEL_3_ASSETS_TO_TOTAL_ASSETS","FQ2 2021","FQ2 2021","Currency=USD","Period=FQ","BEST_FPERIOD_OVERRIDE=FQ","FILING_STATUS=MR","Sort=A","Dates=H","DateFormat=P","Fill=—","Direction=H","UseDPDF=Y")</f>
        <v>1.3373999999999999</v>
      </c>
      <c r="N23" s="14">
        <f>_xll.BDH("SRPT US Equity","LEVEL_3_ASSETS_TO_TOTAL_ASSETS","FQ3 2021","FQ3 2021","Currency=USD","Period=FQ","BEST_FPERIOD_OVERRIDE=FQ","FILING_STATUS=MR","Sort=A","Dates=H","DateFormat=P","Fill=—","Direction=H","UseDPDF=Y")</f>
        <v>1.2175</v>
      </c>
      <c r="O23" s="14">
        <f>_xll.BDH("SRPT US Equity","LEVEL_3_ASSETS_TO_TOTAL_ASSETS","FQ4 2021","FQ4 2021","Currency=USD","Period=FQ","BEST_FPERIOD_OVERRIDE=FQ","FILING_STATUS=MR","Sort=A","Dates=H","DateFormat=P","Fill=—","Direction=H","UseDPDF=Y")</f>
        <v>1.0296000000000001</v>
      </c>
      <c r="P23" s="14">
        <f>_xll.BDH("SRPT US Equity","LEVEL_3_ASSETS_TO_TOTAL_ASSETS","FQ1 2022","FQ1 2022","Currency=USD","Period=FQ","BEST_FPERIOD_OVERRIDE=FQ","FILING_STATUS=MR","Sort=A","Dates=H","DateFormat=P","Fill=—","Direction=H","UseDPDF=Y")</f>
        <v>1.0605</v>
      </c>
      <c r="Q23" s="14">
        <f>_xll.BDH("SRPT US Equity","LEVEL_3_ASSETS_TO_TOTAL_ASSETS","FQ2 2022","FQ2 2022","Currency=USD","Period=FQ","BEST_FPERIOD_OVERRIDE=FQ","FILING_STATUS=MR","Sort=A","Dates=H","DateFormat=P","Fill=—","Direction=H","UseDPDF=Y")</f>
        <v>1.0814999999999999</v>
      </c>
      <c r="R23" s="14">
        <f>_xll.BDH("SRPT US Equity","LEVEL_3_ASSETS_TO_TOTAL_ASSETS","FQ3 2022","FQ3 2022","Currency=USD","Period=FQ","BEST_FPERIOD_OVERRIDE=FQ","FILING_STATUS=MR","Sort=A","Dates=H","DateFormat=P","Fill=—","Direction=H","UseDPDF=Y")</f>
        <v>1.0321</v>
      </c>
      <c r="S23" s="14">
        <f>_xll.BDH("SRPT US Equity","LEVEL_3_ASSETS_TO_TOTAL_ASSETS","FQ4 2022","FQ4 2022","Currency=USD","Period=FQ","BEST_FPERIOD_OVERRIDE=FQ","FILING_STATUS=MR","Sort=A","Dates=H","DateFormat=P","Fill=—","Direction=H","UseDPDF=Y")</f>
        <v>0.9909</v>
      </c>
      <c r="T23" s="14">
        <f>_xll.BDH("SRPT US Equity","LEVEL_3_ASSETS_TO_TOTAL_ASSETS","FQ1 2023","FQ1 2023","Currency=USD","Period=FQ","BEST_FPERIOD_OVERRIDE=FQ","FILING_STATUS=MR","Sort=A","Dates=H","DateFormat=P","Fill=—","Direction=H","UseDPDF=Y")</f>
        <v>1.0130999999999999</v>
      </c>
      <c r="U23" s="14">
        <f>_xll.BDH("SRPT US Equity","LEVEL_3_ASSETS_TO_TOTAL_ASSETS","FQ2 2023","FQ2 2023","Currency=USD","Period=FQ","BEST_FPERIOD_OVERRIDE=FQ","FILING_STATUS=MR","Sort=A","Dates=H","DateFormat=P","Fill=—","Direction=H","UseDPDF=Y")</f>
        <v>0.99170000000000003</v>
      </c>
      <c r="V23" s="14">
        <f>_xll.BDH("SRPT US Equity","LEVEL_3_ASSETS_TO_TOTAL_ASSETS","FQ3 2023","FQ3 2023","Currency=USD","Period=FQ","BEST_FPERIOD_OVERRIDE=FQ","FILING_STATUS=MR","Sort=A","Dates=H","DateFormat=P","Fill=—","Direction=H","UseDPDF=Y")</f>
        <v>0.2412</v>
      </c>
      <c r="W23" s="14">
        <f>_xll.BDH("SRPT US Equity","LEVEL_3_ASSETS_TO_TOTAL_ASSETS","FQ4 2023","FQ4 2023","Currency=USD","Period=FQ","BEST_FPERIOD_OVERRIDE=FQ","FILING_STATUS=MR","Sort=A","Dates=H","DateFormat=P","Fill=—","Direction=H","UseDPDF=Y")</f>
        <v>3.0599999999999999E-2</v>
      </c>
      <c r="X23" s="14">
        <f>_xll.BDH("SRPT US Equity","LEVEL_3_ASSETS_TO_TOTAL_ASSETS","FQ1 2024","FQ1 2024","Currency=USD","Period=FQ","BEST_FPERIOD_OVERRIDE=FQ","FILING_STATUS=MR","Sort=A","Dates=H","DateFormat=P","Fill=—","Direction=H","UseDPDF=Y")</f>
        <v>3.1E-2</v>
      </c>
      <c r="Y23" s="14">
        <f>_xll.BDH("SRPT US Equity","LEVEL_3_ASSETS_TO_TOTAL_ASSETS","FQ2 2024","FQ2 2024","Currency=USD","Period=FQ","BEST_FPERIOD_OVERRIDE=FQ","FILING_STATUS=MR","Sort=A","Dates=H","DateFormat=P","Fill=—","Direction=H","UseDPDF=Y")</f>
        <v>2.92E-2</v>
      </c>
      <c r="Z23" s="14">
        <f>_xll.BDH("SRPT US Equity","LEVEL_3_ASSETS_TO_TOTAL_ASSETS","FQ3 2024","FQ3 2024","Currency=USD","Period=FQ","BEST_FPERIOD_OVERRIDE=FQ","FILING_STATUS=MR","Sort=A","Dates=H","DateFormat=P","Fill=—","Direction=H","UseDPDF=Y")</f>
        <v>2.7799999999999998E-2</v>
      </c>
      <c r="AA23" s="14">
        <f>_xll.BDH("SRPT US Equity","LEVEL_3_ASSETS_TO_TOTAL_ASSETS","FQ4 2024","FQ4 2024","Currency=USD","Period=FQ","BEST_FPERIOD_OVERRIDE=FQ","FILING_STATUS=MR","Sort=A","Dates=H","DateFormat=P","Fill=—","Direction=H","UseDPDF=Y")</f>
        <v>2.52E-2</v>
      </c>
    </row>
    <row r="24" spans="1:27" x14ac:dyDescent="0.25">
      <c r="A24" s="6" t="s">
        <v>1175</v>
      </c>
      <c r="B24" s="6" t="s">
        <v>1176</v>
      </c>
      <c r="C24" s="20">
        <f>_xll.BDH("SRPT US Equity","TOT_FAIR_VAL_ASSET_TO_TOT_ASSETS","FQ4 2018","FQ4 2018","Currency=USD","Period=FQ","BEST_FPERIOD_OVERRIDE=FQ","FILING_STATUS=MR","Sort=A","Dates=H","DateFormat=P","Fill=—","Direction=H","UseDPDF=Y")</f>
        <v>61.219499999999996</v>
      </c>
      <c r="D24" s="20">
        <f>_xll.BDH("SRPT US Equity","TOT_FAIR_VAL_ASSET_TO_TOT_ASSETS","FQ1 2019","FQ1 2019","Currency=USD","Period=FQ","BEST_FPERIOD_OVERRIDE=FQ","FILING_STATUS=MR","Sort=A","Dates=H","DateFormat=P","Fill=—","Direction=H","UseDPDF=Y")</f>
        <v>55.764299999999999</v>
      </c>
      <c r="E24" s="20">
        <f>_xll.BDH("SRPT US Equity","TOT_FAIR_VAL_ASSET_TO_TOT_ASSETS","FQ2 2019","FQ2 2019","Currency=USD","Period=FQ","BEST_FPERIOD_OVERRIDE=FQ","FILING_STATUS=MR","Sort=A","Dates=H","DateFormat=P","Fill=—","Direction=H","UseDPDF=Y")</f>
        <v>57.146999999999998</v>
      </c>
      <c r="F24" s="20">
        <f>_xll.BDH("SRPT US Equity","TOT_FAIR_VAL_ASSET_TO_TOT_ASSETS","FQ3 2019","FQ3 2019","Currency=USD","Period=FQ","BEST_FPERIOD_OVERRIDE=FQ","FILING_STATUS=MR","Sort=A","Dates=H","DateFormat=P","Fill=—","Direction=H","UseDPDF=Y")</f>
        <v>52.757199999999997</v>
      </c>
      <c r="G24" s="20">
        <f>_xll.BDH("SRPT US Equity","TOT_FAIR_VAL_ASSET_TO_TOT_ASSETS","FQ4 2019","FQ4 2019","Currency=USD","Period=FQ","BEST_FPERIOD_OVERRIDE=FQ","FILING_STATUS=MR","Sort=A","Dates=H","DateFormat=P","Fill=—","Direction=H","UseDPDF=Y")</f>
        <v>57.356499999999997</v>
      </c>
      <c r="H24" s="20">
        <f>_xll.BDH("SRPT US Equity","TOT_FAIR_VAL_ASSET_TO_TOT_ASSETS","FQ1 2020","FQ1 2020","Currency=USD","Period=FQ","BEST_FPERIOD_OVERRIDE=FQ","FILING_STATUS=MR","Sort=A","Dates=H","DateFormat=P","Fill=—","Direction=H","UseDPDF=Y")</f>
        <v>61.122100000000003</v>
      </c>
      <c r="I24" s="20">
        <f>_xll.BDH("SRPT US Equity","TOT_FAIR_VAL_ASSET_TO_TOT_ASSETS","FQ2 2020","FQ2 2020","Currency=USD","Period=FQ","BEST_FPERIOD_OVERRIDE=FQ","FILING_STATUS=MR","Sort=A","Dates=H","DateFormat=P","Fill=—","Direction=H","UseDPDF=Y")</f>
        <v>61.461500000000001</v>
      </c>
      <c r="J24" s="20">
        <f>_xll.BDH("SRPT US Equity","TOT_FAIR_VAL_ASSET_TO_TOT_ASSETS","FQ3 2020","FQ3 2020","Currency=USD","Period=FQ","BEST_FPERIOD_OVERRIDE=FQ","FILING_STATUS=MR","Sort=A","Dates=H","DateFormat=P","Fill=—","Direction=H","UseDPDF=Y")</f>
        <v>55.781599999999997</v>
      </c>
      <c r="K24" s="20">
        <f>_xll.BDH("SRPT US Equity","TOT_FAIR_VAL_ASSET_TO_TOT_ASSETS","FQ4 2020","FQ4 2020","Currency=USD","Period=FQ","BEST_FPERIOD_OVERRIDE=FQ","FILING_STATUS=MR","Sort=A","Dates=H","DateFormat=P","Fill=—","Direction=H","UseDPDF=Y")</f>
        <v>57.1736</v>
      </c>
      <c r="L24" s="20">
        <f>_xll.BDH("SRPT US Equity","TOT_FAIR_VAL_ASSET_TO_TOT_ASSETS","FQ1 2021","FQ1 2021","Currency=USD","Period=FQ","BEST_FPERIOD_OVERRIDE=FQ","FILING_STATUS=MR","Sort=A","Dates=H","DateFormat=P","Fill=—","Direction=H","UseDPDF=Y")</f>
        <v>52.556199999999997</v>
      </c>
      <c r="M24" s="20">
        <f>_xll.BDH("SRPT US Equity","TOT_FAIR_VAL_ASSET_TO_TOT_ASSETS","FQ2 2021","FQ2 2021","Currency=USD","Period=FQ","BEST_FPERIOD_OVERRIDE=FQ","FILING_STATUS=MR","Sort=A","Dates=H","DateFormat=P","Fill=—","Direction=H","UseDPDF=Y")</f>
        <v>52.646599999999999</v>
      </c>
      <c r="N24" s="20">
        <f>_xll.BDH("SRPT US Equity","TOT_FAIR_VAL_ASSET_TO_TOT_ASSETS","FQ3 2021","FQ3 2021","Currency=USD","Period=FQ","BEST_FPERIOD_OVERRIDE=FQ","FILING_STATUS=MR","Sort=A","Dates=H","DateFormat=P","Fill=—","Direction=H","UseDPDF=Y")</f>
        <v>49.689</v>
      </c>
      <c r="O24" s="20">
        <f>_xll.BDH("SRPT US Equity","TOT_FAIR_VAL_ASSET_TO_TOT_ASSETS","FQ4 2021","FQ4 2021","Currency=USD","Period=FQ","BEST_FPERIOD_OVERRIDE=FQ","FILING_STATUS=MR","Sort=A","Dates=H","DateFormat=P","Fill=—","Direction=H","UseDPDF=Y")</f>
        <v>50.746899999999997</v>
      </c>
      <c r="P24" s="20">
        <f>_xll.BDH("SRPT US Equity","TOT_FAIR_VAL_ASSET_TO_TOT_ASSETS","FQ1 2022","FQ1 2022","Currency=USD","Period=FQ","BEST_FPERIOD_OVERRIDE=FQ","FILING_STATUS=MR","Sort=A","Dates=H","DateFormat=P","Fill=—","Direction=H","UseDPDF=Y")</f>
        <v>52.3249</v>
      </c>
      <c r="Q24" s="20">
        <f>_xll.BDH("SRPT US Equity","TOT_FAIR_VAL_ASSET_TO_TOT_ASSETS","FQ2 2022","FQ2 2022","Currency=USD","Period=FQ","BEST_FPERIOD_OVERRIDE=FQ","FILING_STATUS=MR","Sort=A","Dates=H","DateFormat=P","Fill=—","Direction=H","UseDPDF=Y")</f>
        <v>53.378799999999998</v>
      </c>
      <c r="R24" s="20">
        <f>_xll.BDH("SRPT US Equity","TOT_FAIR_VAL_ASSET_TO_TOT_ASSETS","FQ3 2022","FQ3 2022","Currency=USD","Period=FQ","BEST_FPERIOD_OVERRIDE=FQ","FILING_STATUS=MR","Sort=A","Dates=H","DateFormat=P","Fill=—","Direction=H","UseDPDF=Y")</f>
        <v>53.582500000000003</v>
      </c>
      <c r="S24" s="20">
        <f>_xll.BDH("SRPT US Equity","TOT_FAIR_VAL_ASSET_TO_TOT_ASSETS","FQ4 2022","FQ4 2022","Currency=USD","Period=FQ","BEST_FPERIOD_OVERRIDE=FQ","FILING_STATUS=MR","Sort=A","Dates=H","DateFormat=P","Fill=—","Direction=H","UseDPDF=Y")</f>
        <v>53.902500000000003</v>
      </c>
      <c r="T24" s="20">
        <f>_xll.BDH("SRPT US Equity","TOT_FAIR_VAL_ASSET_TO_TOT_ASSETS","FQ1 2023","FQ1 2023","Currency=USD","Period=FQ","BEST_FPERIOD_OVERRIDE=FQ","FILING_STATUS=MR","Sort=A","Dates=H","DateFormat=P","Fill=—","Direction=H","UseDPDF=Y")</f>
        <v>51.377699999999997</v>
      </c>
      <c r="U24" s="20">
        <f>_xll.BDH("SRPT US Equity","TOT_FAIR_VAL_ASSET_TO_TOT_ASSETS","FQ2 2023","FQ2 2023","Currency=USD","Period=FQ","BEST_FPERIOD_OVERRIDE=FQ","FILING_STATUS=MR","Sort=A","Dates=H","DateFormat=P","Fill=—","Direction=H","UseDPDF=Y")</f>
        <v>47.808100000000003</v>
      </c>
      <c r="V24" s="20">
        <f>_xll.BDH("SRPT US Equity","TOT_FAIR_VAL_ASSET_TO_TOT_ASSETS","FQ3 2023","FQ3 2023","Currency=USD","Period=FQ","BEST_FPERIOD_OVERRIDE=FQ","FILING_STATUS=MR","Sort=A","Dates=H","DateFormat=P","Fill=—","Direction=H","UseDPDF=Y")</f>
        <v>45.530099999999997</v>
      </c>
      <c r="W24" s="20">
        <f>_xll.BDH("SRPT US Equity","TOT_FAIR_VAL_ASSET_TO_TOT_ASSETS","FQ4 2023","FQ4 2023","Currency=USD","Period=FQ","BEST_FPERIOD_OVERRIDE=FQ","FILING_STATUS=MR","Sort=A","Dates=H","DateFormat=P","Fill=—","Direction=H","UseDPDF=Y")</f>
        <v>42.025199999999998</v>
      </c>
      <c r="X24" s="20">
        <f>_xll.BDH("SRPT US Equity","TOT_FAIR_VAL_ASSET_TO_TOT_ASSETS","FQ1 2024","FQ1 2024","Currency=USD","Period=FQ","BEST_FPERIOD_OVERRIDE=FQ","FILING_STATUS=MR","Sort=A","Dates=H","DateFormat=P","Fill=—","Direction=H","UseDPDF=Y")</f>
        <v>39.781199999999998</v>
      </c>
      <c r="Y24" s="20">
        <f>_xll.BDH("SRPT US Equity","TOT_FAIR_VAL_ASSET_TO_TOT_ASSETS","FQ2 2024","FQ2 2024","Currency=USD","Period=FQ","BEST_FPERIOD_OVERRIDE=FQ","FILING_STATUS=MR","Sort=A","Dates=H","DateFormat=P","Fill=—","Direction=H","UseDPDF=Y")</f>
        <v>35.7303</v>
      </c>
      <c r="Z24" s="20">
        <f>_xll.BDH("SRPT US Equity","TOT_FAIR_VAL_ASSET_TO_TOT_ASSETS","FQ3 2024","FQ3 2024","Currency=USD","Period=FQ","BEST_FPERIOD_OVERRIDE=FQ","FILING_STATUS=MR","Sort=A","Dates=H","DateFormat=P","Fill=—","Direction=H","UseDPDF=Y")</f>
        <v>34.943199999999997</v>
      </c>
      <c r="AA24" s="20">
        <f>_xll.BDH("SRPT US Equity","TOT_FAIR_VAL_ASSET_TO_TOT_ASSETS","FQ4 2024","FQ4 2024","Currency=USD","Period=FQ","BEST_FPERIOD_OVERRIDE=FQ","FILING_STATUS=MR","Sort=A","Dates=H","DateFormat=P","Fill=—","Direction=H","UseDPDF=Y")</f>
        <v>21.300899999999999</v>
      </c>
    </row>
    <row r="25" spans="1:27" x14ac:dyDescent="0.25">
      <c r="A25" s="7" t="s">
        <v>90</v>
      </c>
      <c r="B25" s="7"/>
      <c r="C25" s="7" t="s">
        <v>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"/>
  <sheetViews>
    <sheetView topLeftCell="F1"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91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10" t="s">
        <v>97</v>
      </c>
      <c r="B6" s="10" t="s">
        <v>71</v>
      </c>
      <c r="C6" s="13">
        <f>_xll.BDH("SRPT US Equity","SALES_REV_TURN","FQ4 2018","FQ4 2018","Currency=USD","Period=FQ","BEST_FPERIOD_OVERRIDE=FQ","FILING_STATUS=MR","SCALING_FORMAT=MLN","FA_ADJUSTED=GAAP","Sort=A","Dates=H","DateFormat=P","Fill=—","Direction=H","UseDPDF=Y")</f>
        <v>84.415000000000006</v>
      </c>
      <c r="D6" s="13">
        <f>_xll.BDH("SRPT US Equity","SALES_REV_TURN","FQ1 2019","FQ1 2019","Currency=USD","Period=FQ","BEST_FPERIOD_OVERRIDE=FQ","FILING_STATUS=MR","SCALING_FORMAT=MLN","FA_ADJUSTED=GAAP","Sort=A","Dates=H","DateFormat=P","Fill=—","Direction=H","UseDPDF=Y")</f>
        <v>87.010999999999996</v>
      </c>
      <c r="E6" s="13">
        <f>_xll.BDH("SRPT US Equity","SALES_REV_TURN","FQ2 2019","FQ2 2019","Currency=USD","Period=FQ","BEST_FPERIOD_OVERRIDE=FQ","FILING_STATUS=MR","SCALING_FORMAT=MLN","FA_ADJUSTED=GAAP","Sort=A","Dates=H","DateFormat=P","Fill=—","Direction=H","UseDPDF=Y")</f>
        <v>94.668000000000006</v>
      </c>
      <c r="F6" s="13">
        <f>_xll.BDH("SRPT US Equity","SALES_REV_TURN","FQ3 2019","FQ3 2019","Currency=USD","Period=FQ","BEST_FPERIOD_OVERRIDE=FQ","FILING_STATUS=MR","SCALING_FORMAT=MLN","FA_ADJUSTED=GAAP","Sort=A","Dates=H","DateFormat=P","Fill=—","Direction=H","UseDPDF=Y")</f>
        <v>99.040999999999997</v>
      </c>
      <c r="G6" s="13">
        <f>_xll.BDH("SRPT US Equity","SALES_REV_TURN","FQ4 2019","FQ4 2019","Currency=USD","Period=FQ","BEST_FPERIOD_OVERRIDE=FQ","FILING_STATUS=MR","SCALING_FORMAT=MLN","FA_ADJUSTED=GAAP","Sort=A","Dates=H","DateFormat=P","Fill=—","Direction=H","UseDPDF=Y")</f>
        <v>100.113</v>
      </c>
      <c r="H6" s="13">
        <f>_xll.BDH("SRPT US Equity","SALES_REV_TURN","FQ1 2020","FQ1 2020","Currency=USD","Period=FQ","BEST_FPERIOD_OVERRIDE=FQ","FILING_STATUS=MR","SCALING_FORMAT=MLN","FA_ADJUSTED=GAAP","Sort=A","Dates=H","DateFormat=P","Fill=—","Direction=H","UseDPDF=Y")</f>
        <v>113.67400000000001</v>
      </c>
      <c r="I6" s="13">
        <f>_xll.BDH("SRPT US Equity","SALES_REV_TURN","FQ2 2020","FQ2 2020","Currency=USD","Period=FQ","BEST_FPERIOD_OVERRIDE=FQ","FILING_STATUS=MR","SCALING_FORMAT=MLN","FA_ADJUSTED=GAAP","Sort=A","Dates=H","DateFormat=P","Fill=—","Direction=H","UseDPDF=Y")</f>
        <v>137.363</v>
      </c>
      <c r="J6" s="13">
        <f>_xll.BDH("SRPT US Equity","SALES_REV_TURN","FQ3 2020","FQ3 2020","Currency=USD","Period=FQ","BEST_FPERIOD_OVERRIDE=FQ","FILING_STATUS=MR","SCALING_FORMAT=MLN","FA_ADJUSTED=GAAP","Sort=A","Dates=H","DateFormat=P","Fill=—","Direction=H","UseDPDF=Y")</f>
        <v>143.92400000000001</v>
      </c>
      <c r="K6" s="13">
        <f>_xll.BDH("SRPT US Equity","SALES_REV_TURN","FQ4 2020","FQ4 2020","Currency=USD","Period=FQ","BEST_FPERIOD_OVERRIDE=FQ","FILING_STATUS=MR","SCALING_FORMAT=MLN","FA_ADJUSTED=GAAP","Sort=A","Dates=H","DateFormat=P","Fill=—","Direction=H","UseDPDF=Y")</f>
        <v>145.13800000000001</v>
      </c>
      <c r="L6" s="13">
        <f>_xll.BDH("SRPT US Equity","SALES_REV_TURN","FQ1 2021","FQ1 2021","Currency=USD","Period=FQ","BEST_FPERIOD_OVERRIDE=FQ","FILING_STATUS=MR","SCALING_FORMAT=MLN","FA_ADJUSTED=GAAP","Sort=A","Dates=H","DateFormat=P","Fill=—","Direction=H","UseDPDF=Y")</f>
        <v>146.93100000000001</v>
      </c>
      <c r="M6" s="13">
        <f>_xll.BDH("SRPT US Equity","SALES_REV_TURN","FQ2 2021","FQ2 2021","Currency=USD","Period=FQ","BEST_FPERIOD_OVERRIDE=FQ","FILING_STATUS=MR","SCALING_FORMAT=MLN","FA_ADJUSTED=GAAP","Sort=A","Dates=H","DateFormat=P","Fill=—","Direction=H","UseDPDF=Y")</f>
        <v>164.089</v>
      </c>
      <c r="N6" s="13">
        <f>_xll.BDH("SRPT US Equity","SALES_REV_TURN","FQ3 2021","FQ3 2021","Currency=USD","Period=FQ","BEST_FPERIOD_OVERRIDE=FQ","FILING_STATUS=MR","SCALING_FORMAT=MLN","FA_ADJUSTED=GAAP","Sort=A","Dates=H","DateFormat=P","Fill=—","Direction=H","UseDPDF=Y")</f>
        <v>189.40600000000001</v>
      </c>
      <c r="O6" s="13">
        <f>_xll.BDH("SRPT US Equity","SALES_REV_TURN","FQ4 2021","FQ4 2021","Currency=USD","Period=FQ","BEST_FPERIOD_OVERRIDE=FQ","FILING_STATUS=MR","SCALING_FORMAT=MLN","FA_ADJUSTED=GAAP","Sort=A","Dates=H","DateFormat=P","Fill=—","Direction=H","UseDPDF=Y")</f>
        <v>201.46100000000001</v>
      </c>
      <c r="P6" s="13">
        <f>_xll.BDH("SRPT US Equity","SALES_REV_TURN","FQ1 2022","FQ1 2022","Currency=USD","Period=FQ","BEST_FPERIOD_OVERRIDE=FQ","FILING_STATUS=MR","SCALING_FORMAT=MLN","FA_ADJUSTED=GAAP","Sort=A","Dates=H","DateFormat=P","Fill=—","Direction=H","UseDPDF=Y")</f>
        <v>210.83</v>
      </c>
      <c r="Q6" s="13">
        <f>_xll.BDH("SRPT US Equity","SALES_REV_TURN","FQ2 2022","FQ2 2022","Currency=USD","Period=FQ","BEST_FPERIOD_OVERRIDE=FQ","FILING_STATUS=MR","SCALING_FORMAT=MLN","FA_ADJUSTED=GAAP","Sort=A","Dates=H","DateFormat=P","Fill=—","Direction=H","UseDPDF=Y")</f>
        <v>233.48699999999999</v>
      </c>
      <c r="R6" s="13">
        <f>_xll.BDH("SRPT US Equity","SALES_REV_TURN","FQ3 2022","FQ3 2022","Currency=USD","Period=FQ","BEST_FPERIOD_OVERRIDE=FQ","FILING_STATUS=MR","SCALING_FORMAT=MLN","FA_ADJUSTED=GAAP","Sort=A","Dates=H","DateFormat=P","Fill=—","Direction=H","UseDPDF=Y")</f>
        <v>230.26900000000001</v>
      </c>
      <c r="S6" s="13">
        <f>_xll.BDH("SRPT US Equity","SALES_REV_TURN","FQ4 2022","FQ4 2022","Currency=USD","Period=FQ","BEST_FPERIOD_OVERRIDE=FQ","FILING_STATUS=MR","SCALING_FORMAT=MLN","FA_ADJUSTED=GAAP","Sort=A","Dates=H","DateFormat=P","Fill=—","Direction=H","UseDPDF=Y")</f>
        <v>258.42700000000002</v>
      </c>
      <c r="T6" s="13">
        <f>_xll.BDH("SRPT US Equity","SALES_REV_TURN","FQ1 2023","FQ1 2023","Currency=USD","Period=FQ","BEST_FPERIOD_OVERRIDE=FQ","FILING_STATUS=MR","SCALING_FORMAT=MLN","FA_ADJUSTED=GAAP","Sort=A","Dates=H","DateFormat=P","Fill=—","Direction=H","UseDPDF=Y")</f>
        <v>253.5</v>
      </c>
      <c r="U6" s="13">
        <f>_xll.BDH("SRPT US Equity","SALES_REV_TURN","FQ2 2023","FQ2 2023","Currency=USD","Period=FQ","BEST_FPERIOD_OVERRIDE=FQ","FILING_STATUS=MR","SCALING_FORMAT=MLN","FA_ADJUSTED=GAAP","Sort=A","Dates=H","DateFormat=P","Fill=—","Direction=H","UseDPDF=Y")</f>
        <v>261.238</v>
      </c>
      <c r="V6" s="13">
        <f>_xll.BDH("SRPT US Equity","SALES_REV_TURN","FQ3 2023","FQ3 2023","Currency=USD","Period=FQ","BEST_FPERIOD_OVERRIDE=FQ","FILING_STATUS=MR","SCALING_FORMAT=MLN","FA_ADJUSTED=GAAP","Sort=A","Dates=H","DateFormat=P","Fill=—","Direction=H","UseDPDF=Y")</f>
        <v>331.81700000000001</v>
      </c>
      <c r="W6" s="13">
        <f>_xll.BDH("SRPT US Equity","SALES_REV_TURN","FQ4 2023","FQ4 2023","Currency=USD","Period=FQ","BEST_FPERIOD_OVERRIDE=FQ","FILING_STATUS=MR","SCALING_FORMAT=MLN","FA_ADJUSTED=GAAP","Sort=A","Dates=H","DateFormat=P","Fill=—","Direction=H","UseDPDF=Y")</f>
        <v>396.78100000000001</v>
      </c>
      <c r="X6" s="13">
        <f>_xll.BDH("SRPT US Equity","SALES_REV_TURN","FQ1 2024","FQ1 2024","Currency=USD","Period=FQ","BEST_FPERIOD_OVERRIDE=FQ","FILING_STATUS=MR","SCALING_FORMAT=MLN","FA_ADJUSTED=GAAP","Sort=A","Dates=H","DateFormat=P","Fill=—","Direction=H","UseDPDF=Y")</f>
        <v>413.464</v>
      </c>
      <c r="Y6" s="13">
        <f>_xll.BDH("SRPT US Equity","SALES_REV_TURN","FQ2 2024","FQ2 2024","Currency=USD","Period=FQ","BEST_FPERIOD_OVERRIDE=FQ","FILING_STATUS=MR","SCALING_FORMAT=MLN","FA_ADJUSTED=GAAP","Sort=A","Dates=H","DateFormat=P","Fill=—","Direction=H","UseDPDF=Y")</f>
        <v>362.93099999999998</v>
      </c>
      <c r="Z6" s="13">
        <f>_xll.BDH("SRPT US Equity","SALES_REV_TURN","FQ3 2024","FQ3 2024","Currency=USD","Period=FQ","BEST_FPERIOD_OVERRIDE=FQ","FILING_STATUS=MR","SCALING_FORMAT=MLN","FA_ADJUSTED=GAAP","Sort=A","Dates=H","DateFormat=P","Fill=—","Direction=H","UseDPDF=Y")</f>
        <v>467.17200000000003</v>
      </c>
      <c r="AA6" s="13">
        <f>_xll.BDH("SRPT US Equity","SALES_REV_TURN","FQ4 2024","FQ4 2024","Currency=USD","Period=FQ","BEST_FPERIOD_OVERRIDE=FQ","FILING_STATUS=MR","SCALING_FORMAT=MLN","FA_ADJUSTED=GAAP","Sort=A","Dates=H","DateFormat=P","Fill=—","Direction=H","UseDPDF=Y")</f>
        <v>658.41200000000003</v>
      </c>
    </row>
    <row r="7" spans="1:27" x14ac:dyDescent="0.25">
      <c r="A7" s="10" t="s">
        <v>98</v>
      </c>
      <c r="B7" s="10" t="s">
        <v>99</v>
      </c>
      <c r="C7" s="13">
        <f>_xll.BDH("SRPT US Equity","IS_OPER_INC","FQ4 2018","FQ4 2018","Currency=USD","Period=FQ","BEST_FPERIOD_OVERRIDE=FQ","FILING_STATUS=MR","SCALING_FORMAT=MLN","FA_ADJUSTED=GAAP","Sort=A","Dates=H","DateFormat=P","Fill=—","Direction=H","UseDPDF=Y")</f>
        <v>-139.363</v>
      </c>
      <c r="D7" s="13">
        <f>_xll.BDH("SRPT US Equity","IS_OPER_INC","FQ1 2019","FQ1 2019","Currency=USD","Period=FQ","BEST_FPERIOD_OVERRIDE=FQ","FILING_STATUS=MR","SCALING_FORMAT=MLN","FA_ADJUSTED=GAAP","Sort=A","Dates=H","DateFormat=P","Fill=—","Direction=H","UseDPDF=Y")</f>
        <v>-76.387</v>
      </c>
      <c r="E7" s="13">
        <f>_xll.BDH("SRPT US Equity","IS_OPER_INC","FQ2 2019","FQ2 2019","Currency=USD","Period=FQ","BEST_FPERIOD_OVERRIDE=FQ","FILING_STATUS=MR","SCALING_FORMAT=MLN","FA_ADJUSTED=GAAP","Sort=A","Dates=H","DateFormat=P","Fill=—","Direction=H","UseDPDF=Y")</f>
        <v>-275.36700000000002</v>
      </c>
      <c r="F7" s="13">
        <f>_xll.BDH("SRPT US Equity","IS_OPER_INC","FQ3 2019","FQ3 2019","Currency=USD","Period=FQ","BEST_FPERIOD_OVERRIDE=FQ","FILING_STATUS=MR","SCALING_FORMAT=MLN","FA_ADJUSTED=GAAP","Sort=A","Dates=H","DateFormat=P","Fill=—","Direction=H","UseDPDF=Y")</f>
        <v>-123.59</v>
      </c>
      <c r="G7" s="13">
        <f>_xll.BDH("SRPT US Equity","IS_OPER_INC","FQ4 2019","FQ4 2019","Currency=USD","Period=FQ","BEST_FPERIOD_OVERRIDE=FQ","FILING_STATUS=MR","SCALING_FORMAT=MLN","FA_ADJUSTED=GAAP","Sort=A","Dates=H","DateFormat=P","Fill=—","Direction=H","UseDPDF=Y")</f>
        <v>-230.21899999999999</v>
      </c>
      <c r="H7" s="13">
        <f>_xll.BDH("SRPT US Equity","IS_OPER_INC","FQ1 2020","FQ1 2020","Currency=USD","Period=FQ","BEST_FPERIOD_OVERRIDE=FQ","FILING_STATUS=MR","SCALING_FORMAT=MLN","FA_ADJUSTED=GAAP","Sort=A","Dates=H","DateFormat=P","Fill=—","Direction=H","UseDPDF=Y")</f>
        <v>-118.026</v>
      </c>
      <c r="I7" s="13">
        <f>_xll.BDH("SRPT US Equity","IS_OPER_INC","FQ2 2020","FQ2 2020","Currency=USD","Period=FQ","BEST_FPERIOD_OVERRIDE=FQ","FILING_STATUS=MR","SCALING_FORMAT=MLN","FA_ADJUSTED=GAAP","Sort=A","Dates=H","DateFormat=P","Fill=—","Direction=H","UseDPDF=Y")</f>
        <v>-138.35300000000001</v>
      </c>
      <c r="J7" s="13">
        <f>_xll.BDH("SRPT US Equity","IS_OPER_INC","FQ3 2020","FQ3 2020","Currency=USD","Period=FQ","BEST_FPERIOD_OVERRIDE=FQ","FILING_STATUS=MR","SCALING_FORMAT=MLN","FA_ADJUSTED=GAAP","Sort=A","Dates=H","DateFormat=P","Fill=—","Direction=H","UseDPDF=Y")</f>
        <v>-137.06800000000001</v>
      </c>
      <c r="K7" s="13">
        <f>_xll.BDH("SRPT US Equity","IS_OPER_INC","FQ4 2020","FQ4 2020","Currency=USD","Period=FQ","BEST_FPERIOD_OVERRIDE=FQ","FILING_STATUS=MR","SCALING_FORMAT=MLN","FA_ADJUSTED=GAAP","Sort=A","Dates=H","DateFormat=P","Fill=—","Direction=H","UseDPDF=Y")</f>
        <v>-170.71600000000001</v>
      </c>
      <c r="L7" s="13">
        <f>_xll.BDH("SRPT US Equity","IS_OPER_INC","FQ1 2021","FQ1 2021","Currency=USD","Period=FQ","BEST_FPERIOD_OVERRIDE=FQ","FILING_STATUS=MR","SCALING_FORMAT=MLN","FA_ADJUSTED=GAAP","Sort=A","Dates=H","DateFormat=P","Fill=—","Direction=H","UseDPDF=Y")</f>
        <v>-151.86500000000001</v>
      </c>
      <c r="M7" s="13">
        <f>_xll.BDH("SRPT US Equity","IS_OPER_INC","FQ2 2021","FQ2 2021","Currency=USD","Period=FQ","BEST_FPERIOD_OVERRIDE=FQ","FILING_STATUS=MR","SCALING_FORMAT=MLN","FA_ADJUSTED=GAAP","Sort=A","Dates=H","DateFormat=P","Fill=—","Direction=H","UseDPDF=Y")</f>
        <v>-167.57400000000001</v>
      </c>
      <c r="N7" s="13">
        <f>_xll.BDH("SRPT US Equity","IS_OPER_INC","FQ3 2021","FQ3 2021","Currency=USD","Period=FQ","BEST_FPERIOD_OVERRIDE=FQ","FILING_STATUS=MR","SCALING_FORMAT=MLN","FA_ADJUSTED=GAAP","Sort=A","Dates=H","DateFormat=P","Fill=—","Direction=H","UseDPDF=Y")</f>
        <v>-34.457999999999998</v>
      </c>
      <c r="O7" s="13">
        <f>_xll.BDH("SRPT US Equity","IS_OPER_INC","FQ4 2021","FQ4 2021","Currency=USD","Period=FQ","BEST_FPERIOD_OVERRIDE=FQ","FILING_STATUS=MR","SCALING_FORMAT=MLN","FA_ADJUSTED=GAAP","Sort=A","Dates=H","DateFormat=P","Fill=—","Direction=H","UseDPDF=Y")</f>
        <v>-105.813</v>
      </c>
      <c r="P7" s="13">
        <f>_xll.BDH("SRPT US Equity","IS_OPER_INC","FQ1 2022","FQ1 2022","Currency=USD","Period=FQ","BEST_FPERIOD_OVERRIDE=FQ","FILING_STATUS=MR","SCALING_FORMAT=MLN","FA_ADJUSTED=GAAP","Sort=A","Dates=H","DateFormat=P","Fill=—","Direction=H","UseDPDF=Y")</f>
        <v>-86.881</v>
      </c>
      <c r="Q7" s="13">
        <f>_xll.BDH("SRPT US Equity","IS_OPER_INC","FQ2 2022","FQ2 2022","Currency=USD","Period=FQ","BEST_FPERIOD_OVERRIDE=FQ","FILING_STATUS=MR","SCALING_FORMAT=MLN","FA_ADJUSTED=GAAP","Sort=A","Dates=H","DateFormat=P","Fill=—","Direction=H","UseDPDF=Y")</f>
        <v>-211.13200000000001</v>
      </c>
      <c r="R7" s="13">
        <f>_xll.BDH("SRPT US Equity","IS_OPER_INC","FQ3 2022","FQ3 2022","Currency=USD","Period=FQ","BEST_FPERIOD_OVERRIDE=FQ","FILING_STATUS=MR","SCALING_FORMAT=MLN","FA_ADJUSTED=GAAP","Sort=A","Dates=H","DateFormat=P","Fill=—","Direction=H","UseDPDF=Y")</f>
        <v>-131.35499999999999</v>
      </c>
      <c r="S7" s="13">
        <f>_xll.BDH("SRPT US Equity","IS_OPER_INC","FQ4 2022","FQ4 2022","Currency=USD","Period=FQ","BEST_FPERIOD_OVERRIDE=FQ","FILING_STATUS=MR","SCALING_FORMAT=MLN","FA_ADJUSTED=GAAP","Sort=A","Dates=H","DateFormat=P","Fill=—","Direction=H","UseDPDF=Y")</f>
        <v>-106.833</v>
      </c>
      <c r="T7" s="13">
        <f>_xll.BDH("SRPT US Equity","IS_OPER_INC","FQ1 2023","FQ1 2023","Currency=USD","Period=FQ","BEST_FPERIOD_OVERRIDE=FQ","FILING_STATUS=MR","SCALING_FORMAT=MLN","FA_ADJUSTED=GAAP","Sort=A","Dates=H","DateFormat=P","Fill=—","Direction=H","UseDPDF=Y")</f>
        <v>-138.08799999999999</v>
      </c>
      <c r="U7" s="13">
        <f>_xll.BDH("SRPT US Equity","IS_OPER_INC","FQ2 2023","FQ2 2023","Currency=USD","Period=FQ","BEST_FPERIOD_OVERRIDE=FQ","FILING_STATUS=MR","SCALING_FORMAT=MLN","FA_ADJUSTED=GAAP","Sort=A","Dates=H","DateFormat=P","Fill=—","Direction=H","UseDPDF=Y")</f>
        <v>-133.51900000000001</v>
      </c>
      <c r="V7" s="13">
        <f>_xll.BDH("SRPT US Equity","IS_OPER_INC","FQ3 2023","FQ3 2023","Currency=USD","Period=FQ","BEST_FPERIOD_OVERRIDE=FQ","FILING_STATUS=MR","SCALING_FORMAT=MLN","FA_ADJUSTED=GAAP","Sort=A","Dates=H","DateFormat=P","Fill=—","Direction=H","UseDPDF=Y")</f>
        <v>-20.841999999999999</v>
      </c>
      <c r="W7" s="13">
        <f>_xll.BDH("SRPT US Equity","IS_OPER_INC","FQ4 2023","FQ4 2023","Currency=USD","Period=FQ","BEST_FPERIOD_OVERRIDE=FQ","FILING_STATUS=MR","SCALING_FORMAT=MLN","FA_ADJUSTED=GAAP","Sort=A","Dates=H","DateFormat=P","Fill=—","Direction=H","UseDPDF=Y")</f>
        <v>24.625</v>
      </c>
      <c r="X7" s="13">
        <f>_xll.BDH("SRPT US Equity","IS_OPER_INC","FQ1 2024","FQ1 2024","Currency=USD","Period=FQ","BEST_FPERIOD_OVERRIDE=FQ","FILING_STATUS=MR","SCALING_FORMAT=MLN","FA_ADJUSTED=GAAP","Sort=A","Dates=H","DateFormat=P","Fill=—","Direction=H","UseDPDF=Y")</f>
        <v>34.905000000000001</v>
      </c>
      <c r="Y7" s="13">
        <f>_xll.BDH("SRPT US Equity","IS_OPER_INC","FQ2 2024","FQ2 2024","Currency=USD","Period=FQ","BEST_FPERIOD_OVERRIDE=FQ","FILING_STATUS=MR","SCALING_FORMAT=MLN","FA_ADJUSTED=GAAP","Sort=A","Dates=H","DateFormat=P","Fill=—","Direction=H","UseDPDF=Y")</f>
        <v>-0.70099999999999996</v>
      </c>
      <c r="Z7" s="13">
        <f>_xll.BDH("SRPT US Equity","IS_OPER_INC","FQ3 2024","FQ3 2024","Currency=USD","Period=FQ","BEST_FPERIOD_OVERRIDE=FQ","FILING_STATUS=MR","SCALING_FORMAT=MLN","FA_ADJUSTED=GAAP","Sort=A","Dates=H","DateFormat=P","Fill=—","Direction=H","UseDPDF=Y")</f>
        <v>22.196000000000002</v>
      </c>
      <c r="AA7" s="13">
        <f>_xll.BDH("SRPT US Equity","IS_OPER_INC","FQ4 2024","FQ4 2024","Currency=USD","Period=FQ","BEST_FPERIOD_OVERRIDE=FQ","FILING_STATUS=MR","SCALING_FORMAT=MLN","FA_ADJUSTED=GAAP","Sort=A","Dates=H","DateFormat=P","Fill=—","Direction=H","UseDPDF=Y")</f>
        <v>161.68100000000001</v>
      </c>
    </row>
    <row r="8" spans="1:27" x14ac:dyDescent="0.25">
      <c r="A8" s="10" t="s">
        <v>100</v>
      </c>
      <c r="B8" s="10" t="s">
        <v>80</v>
      </c>
      <c r="C8" s="13">
        <f>_xll.BDH("SRPT US Equity","EARN_FOR_COMMON","FQ4 2018","FQ4 2018","Currency=USD","Period=FQ","BEST_FPERIOD_OVERRIDE=FQ","FILING_STATUS=MR","SCALING_FORMAT=MLN","FA_ADJUSTED=GAAP","Sort=A","Dates=H","DateFormat=P","Fill=—","Direction=H","UseDPDF=Y")</f>
        <v>-140.89500000000001</v>
      </c>
      <c r="D8" s="13">
        <f>_xll.BDH("SRPT US Equity","EARN_FOR_COMMON","FQ1 2019","FQ1 2019","Currency=USD","Period=FQ","BEST_FPERIOD_OVERRIDE=FQ","FILING_STATUS=MR","SCALING_FORMAT=MLN","FA_ADJUSTED=GAAP","Sort=A","Dates=H","DateFormat=P","Fill=—","Direction=H","UseDPDF=Y")</f>
        <v>-76.643000000000001</v>
      </c>
      <c r="E8" s="13">
        <f>_xll.BDH("SRPT US Equity","EARN_FOR_COMMON","FQ2 2019","FQ2 2019","Currency=USD","Period=FQ","BEST_FPERIOD_OVERRIDE=FQ","FILING_STATUS=MR","SCALING_FORMAT=MLN","FA_ADJUSTED=GAAP","Sort=A","Dates=H","DateFormat=P","Fill=—","Direction=H","UseDPDF=Y")</f>
        <v>-276.40300000000002</v>
      </c>
      <c r="F8" s="13">
        <f>_xll.BDH("SRPT US Equity","EARN_FOR_COMMON","FQ3 2019","FQ3 2019","Currency=USD","Period=FQ","BEST_FPERIOD_OVERRIDE=FQ","FILING_STATUS=MR","SCALING_FORMAT=MLN","FA_ADJUSTED=GAAP","Sort=A","Dates=H","DateFormat=P","Fill=—","Direction=H","UseDPDF=Y")</f>
        <v>-126.32599999999999</v>
      </c>
      <c r="G8" s="13">
        <f>_xll.BDH("SRPT US Equity","EARN_FOR_COMMON","FQ4 2019","FQ4 2019","Currency=USD","Period=FQ","BEST_FPERIOD_OVERRIDE=FQ","FILING_STATUS=MR","SCALING_FORMAT=MLN","FA_ADJUSTED=GAAP","Sort=A","Dates=H","DateFormat=P","Fill=—","Direction=H","UseDPDF=Y")</f>
        <v>-235.703</v>
      </c>
      <c r="H8" s="13">
        <f>_xll.BDH("SRPT US Equity","EARN_FOR_COMMON","FQ1 2020","FQ1 2020","Currency=USD","Period=FQ","BEST_FPERIOD_OVERRIDE=FQ","FILING_STATUS=MR","SCALING_FORMAT=MLN","FA_ADJUSTED=GAAP","Sort=A","Dates=H","DateFormat=P","Fill=—","Direction=H","UseDPDF=Y")</f>
        <v>-17.492000000000001</v>
      </c>
      <c r="I8" s="13">
        <f>_xll.BDH("SRPT US Equity","EARN_FOR_COMMON","FQ2 2020","FQ2 2020","Currency=USD","Period=FQ","BEST_FPERIOD_OVERRIDE=FQ","FILING_STATUS=MR","SCALING_FORMAT=MLN","FA_ADJUSTED=GAAP","Sort=A","Dates=H","DateFormat=P","Fill=—","Direction=H","UseDPDF=Y")</f>
        <v>-150.82</v>
      </c>
      <c r="J8" s="13">
        <f>_xll.BDH("SRPT US Equity","EARN_FOR_COMMON","FQ3 2020","FQ3 2020","Currency=USD","Period=FQ","BEST_FPERIOD_OVERRIDE=FQ","FILING_STATUS=MR","SCALING_FORMAT=MLN","FA_ADJUSTED=GAAP","Sort=A","Dates=H","DateFormat=P","Fill=—","Direction=H","UseDPDF=Y")</f>
        <v>-196.499</v>
      </c>
      <c r="K8" s="13">
        <f>_xll.BDH("SRPT US Equity","EARN_FOR_COMMON","FQ4 2020","FQ4 2020","Currency=USD","Period=FQ","BEST_FPERIOD_OVERRIDE=FQ","FILING_STATUS=MR","SCALING_FORMAT=MLN","FA_ADJUSTED=GAAP","Sort=A","Dates=H","DateFormat=P","Fill=—","Direction=H","UseDPDF=Y")</f>
        <v>-189.31700000000001</v>
      </c>
      <c r="L8" s="13">
        <f>_xll.BDH("SRPT US Equity","EARN_FOR_COMMON","FQ1 2021","FQ1 2021","Currency=USD","Period=FQ","BEST_FPERIOD_OVERRIDE=FQ","FILING_STATUS=MR","SCALING_FORMAT=MLN","FA_ADJUSTED=GAAP","Sort=A","Dates=H","DateFormat=P","Fill=—","Direction=H","UseDPDF=Y")</f>
        <v>-167.25</v>
      </c>
      <c r="M8" s="13">
        <f>_xll.BDH("SRPT US Equity","EARN_FOR_COMMON","FQ2 2021","FQ2 2021","Currency=USD","Period=FQ","BEST_FPERIOD_OVERRIDE=FQ","FILING_STATUS=MR","SCALING_FORMAT=MLN","FA_ADJUSTED=GAAP","Sort=A","Dates=H","DateFormat=P","Fill=—","Direction=H","UseDPDF=Y")</f>
        <v>-81.405000000000001</v>
      </c>
      <c r="N8" s="13">
        <f>_xll.BDH("SRPT US Equity","EARN_FOR_COMMON","FQ3 2021","FQ3 2021","Currency=USD","Period=FQ","BEST_FPERIOD_OVERRIDE=FQ","FILING_STATUS=MR","SCALING_FORMAT=MLN","FA_ADJUSTED=GAAP","Sort=A","Dates=H","DateFormat=P","Fill=—","Direction=H","UseDPDF=Y")</f>
        <v>-48.143999999999998</v>
      </c>
      <c r="O8" s="13">
        <f>_xll.BDH("SRPT US Equity","EARN_FOR_COMMON","FQ4 2021","FQ4 2021","Currency=USD","Period=FQ","BEST_FPERIOD_OVERRIDE=FQ","FILING_STATUS=MR","SCALING_FORMAT=MLN","FA_ADJUSTED=GAAP","Sort=A","Dates=H","DateFormat=P","Fill=—","Direction=H","UseDPDF=Y")</f>
        <v>-121.98099999999999</v>
      </c>
      <c r="P8" s="13">
        <f>_xll.BDH("SRPT US Equity","EARN_FOR_COMMON","FQ1 2022","FQ1 2022","Currency=USD","Period=FQ","BEST_FPERIOD_OVERRIDE=FQ","FILING_STATUS=MR","SCALING_FORMAT=MLN","FA_ADJUSTED=GAAP","Sort=A","Dates=H","DateFormat=P","Fill=—","Direction=H","UseDPDF=Y")</f>
        <v>-105.02500000000001</v>
      </c>
      <c r="Q8" s="13">
        <f>_xll.BDH("SRPT US Equity","EARN_FOR_COMMON","FQ2 2022","FQ2 2022","Currency=USD","Period=FQ","BEST_FPERIOD_OVERRIDE=FQ","FILING_STATUS=MR","SCALING_FORMAT=MLN","FA_ADJUSTED=GAAP","Sort=A","Dates=H","DateFormat=P","Fill=—","Direction=H","UseDPDF=Y")</f>
        <v>-231.48099999999999</v>
      </c>
      <c r="R8" s="13">
        <f>_xll.BDH("SRPT US Equity","EARN_FOR_COMMON","FQ3 2022","FQ3 2022","Currency=USD","Period=FQ","BEST_FPERIOD_OVERRIDE=FQ","FILING_STATUS=MR","SCALING_FORMAT=MLN","FA_ADJUSTED=GAAP","Sort=A","Dates=H","DateFormat=P","Fill=—","Direction=H","UseDPDF=Y")</f>
        <v>-257.738</v>
      </c>
      <c r="S8" s="13">
        <f>_xll.BDH("SRPT US Equity","EARN_FOR_COMMON","FQ4 2022","FQ4 2022","Currency=USD","Period=FQ","BEST_FPERIOD_OVERRIDE=FQ","FILING_STATUS=MR","SCALING_FORMAT=MLN","FA_ADJUSTED=GAAP","Sort=A","Dates=H","DateFormat=P","Fill=—","Direction=H","UseDPDF=Y")</f>
        <v>-109.244</v>
      </c>
      <c r="T8" s="13">
        <f>_xll.BDH("SRPT US Equity","EARN_FOR_COMMON","FQ1 2023","FQ1 2023","Currency=USD","Period=FQ","BEST_FPERIOD_OVERRIDE=FQ","FILING_STATUS=MR","SCALING_FORMAT=MLN","FA_ADJUSTED=GAAP","Sort=A","Dates=H","DateFormat=P","Fill=—","Direction=H","UseDPDF=Y")</f>
        <v>-516.755</v>
      </c>
      <c r="U8" s="13">
        <f>_xll.BDH("SRPT US Equity","EARN_FOR_COMMON","FQ2 2023","FQ2 2023","Currency=USD","Period=FQ","BEST_FPERIOD_OVERRIDE=FQ","FILING_STATUS=MR","SCALING_FORMAT=MLN","FA_ADJUSTED=GAAP","Sort=A","Dates=H","DateFormat=P","Fill=—","Direction=H","UseDPDF=Y")</f>
        <v>-23.94</v>
      </c>
      <c r="V8" s="13">
        <f>_xll.BDH("SRPT US Equity","EARN_FOR_COMMON","FQ3 2023","FQ3 2023","Currency=USD","Period=FQ","BEST_FPERIOD_OVERRIDE=FQ","FILING_STATUS=MR","SCALING_FORMAT=MLN","FA_ADJUSTED=GAAP","Sort=A","Dates=H","DateFormat=P","Fill=—","Direction=H","UseDPDF=Y")</f>
        <v>-40.936999999999998</v>
      </c>
      <c r="W8" s="13">
        <f>_xll.BDH("SRPT US Equity","EARN_FOR_COMMON","FQ4 2023","FQ4 2023","Currency=USD","Period=FQ","BEST_FPERIOD_OVERRIDE=FQ","FILING_STATUS=MR","SCALING_FORMAT=MLN","FA_ADJUSTED=GAAP","Sort=A","Dates=H","DateFormat=P","Fill=—","Direction=H","UseDPDF=Y")</f>
        <v>45.655000000000001</v>
      </c>
      <c r="X8" s="13">
        <f>_xll.BDH("SRPT US Equity","EARN_FOR_COMMON","FQ1 2024","FQ1 2024","Currency=USD","Period=FQ","BEST_FPERIOD_OVERRIDE=FQ","FILING_STATUS=MR","SCALING_FORMAT=MLN","FA_ADJUSTED=GAAP","Sort=A","Dates=H","DateFormat=P","Fill=—","Direction=H","UseDPDF=Y")</f>
        <v>36.119</v>
      </c>
      <c r="Y8" s="13">
        <f>_xll.BDH("SRPT US Equity","EARN_FOR_COMMON","FQ2 2024","FQ2 2024","Currency=USD","Period=FQ","BEST_FPERIOD_OVERRIDE=FQ","FILING_STATUS=MR","SCALING_FORMAT=MLN","FA_ADJUSTED=GAAP","Sort=A","Dates=H","DateFormat=P","Fill=—","Direction=H","UseDPDF=Y")</f>
        <v>6.46</v>
      </c>
      <c r="Z8" s="13">
        <f>_xll.BDH("SRPT US Equity","EARN_FOR_COMMON","FQ3 2024","FQ3 2024","Currency=USD","Period=FQ","BEST_FPERIOD_OVERRIDE=FQ","FILING_STATUS=MR","SCALING_FORMAT=MLN","FA_ADJUSTED=GAAP","Sort=A","Dates=H","DateFormat=P","Fill=—","Direction=H","UseDPDF=Y")</f>
        <v>33.610999999999997</v>
      </c>
      <c r="AA8" s="13">
        <f>_xll.BDH("SRPT US Equity","EARN_FOR_COMMON","FQ4 2024","FQ4 2024","Currency=USD","Period=FQ","BEST_FPERIOD_OVERRIDE=FQ","FILING_STATUS=MR","SCALING_FORMAT=MLN","FA_ADJUSTED=GAAP","Sort=A","Dates=H","DateFormat=P","Fill=—","Direction=H","UseDPDF=Y")</f>
        <v>159.04900000000001</v>
      </c>
    </row>
    <row r="9" spans="1:27" x14ac:dyDescent="0.25">
      <c r="A9" s="10" t="s">
        <v>101</v>
      </c>
      <c r="B9" s="10" t="s">
        <v>102</v>
      </c>
      <c r="C9" s="14">
        <f>_xll.BDH("SRPT US Equity","IS_EPS","FQ4 2018","FQ4 2018","Currency=USD","Period=FQ","BEST_FPERIOD_OVERRIDE=FQ","FILING_STATUS=MR","FA_ADJUSTED=GAAP","Sort=A","Dates=H","DateFormat=P","Fill=—","Direction=H","UseDPDF=Y")</f>
        <v>-2.0499999999999998</v>
      </c>
      <c r="D9" s="14">
        <f>_xll.BDH("SRPT US Equity","IS_EPS","FQ1 2019","FQ1 2019","Currency=USD","Period=FQ","BEST_FPERIOD_OVERRIDE=FQ","FILING_STATUS=MR","FA_ADJUSTED=GAAP","Sort=A","Dates=H","DateFormat=P","Fill=—","Direction=H","UseDPDF=Y")</f>
        <v>-1.07</v>
      </c>
      <c r="E9" s="14">
        <f>_xll.BDH("SRPT US Equity","IS_EPS","FQ2 2019","FQ2 2019","Currency=USD","Period=FQ","BEST_FPERIOD_OVERRIDE=FQ","FILING_STATUS=MR","FA_ADJUSTED=GAAP","Sort=A","Dates=H","DateFormat=P","Fill=—","Direction=H","UseDPDF=Y")</f>
        <v>-3.74</v>
      </c>
      <c r="F9" s="14">
        <f>_xll.BDH("SRPT US Equity","IS_EPS","FQ3 2019","FQ3 2019","Currency=USD","Period=FQ","BEST_FPERIOD_OVERRIDE=FQ","FILING_STATUS=MR","FA_ADJUSTED=GAAP","Sort=A","Dates=H","DateFormat=P","Fill=—","Direction=H","UseDPDF=Y")</f>
        <v>-1.7</v>
      </c>
      <c r="G9" s="14">
        <f>_xll.BDH("SRPT US Equity","IS_EPS","FQ4 2019","FQ4 2019","Currency=USD","Period=FQ","BEST_FPERIOD_OVERRIDE=FQ","FILING_STATUS=MR","FA_ADJUSTED=GAAP","Sort=A","Dates=H","DateFormat=P","Fill=—","Direction=H","UseDPDF=Y")</f>
        <v>-3.16</v>
      </c>
      <c r="H9" s="14">
        <f>_xll.BDH("SRPT US Equity","IS_EPS","FQ1 2020","FQ1 2020","Currency=USD","Period=FQ","BEST_FPERIOD_OVERRIDE=FQ","FILING_STATUS=MR","FA_ADJUSTED=GAAP","Sort=A","Dates=H","DateFormat=P","Fill=—","Direction=H","UseDPDF=Y")</f>
        <v>-0.23</v>
      </c>
      <c r="I9" s="14">
        <f>_xll.BDH("SRPT US Equity","IS_EPS","FQ2 2020","FQ2 2020","Currency=USD","Period=FQ","BEST_FPERIOD_OVERRIDE=FQ","FILING_STATUS=MR","FA_ADJUSTED=GAAP","Sort=A","Dates=H","DateFormat=P","Fill=—","Direction=H","UseDPDF=Y")</f>
        <v>-1.93</v>
      </c>
      <c r="J9" s="14">
        <f>_xll.BDH("SRPT US Equity","IS_EPS","FQ3 2020","FQ3 2020","Currency=USD","Period=FQ","BEST_FPERIOD_OVERRIDE=FQ","FILING_STATUS=MR","FA_ADJUSTED=GAAP","Sort=A","Dates=H","DateFormat=P","Fill=—","Direction=H","UseDPDF=Y")</f>
        <v>-2.5</v>
      </c>
      <c r="K9" s="14">
        <f>_xll.BDH("SRPT US Equity","IS_EPS","FQ4 2020","FQ4 2020","Currency=USD","Period=FQ","BEST_FPERIOD_OVERRIDE=FQ","FILING_STATUS=MR","FA_ADJUSTED=GAAP","Sort=A","Dates=H","DateFormat=P","Fill=—","Direction=H","UseDPDF=Y")</f>
        <v>-2.4</v>
      </c>
      <c r="L9" s="14">
        <f>_xll.BDH("SRPT US Equity","IS_EPS","FQ1 2021","FQ1 2021","Currency=USD","Period=FQ","BEST_FPERIOD_OVERRIDE=FQ","FILING_STATUS=MR","FA_ADJUSTED=GAAP","Sort=A","Dates=H","DateFormat=P","Fill=—","Direction=H","UseDPDF=Y")</f>
        <v>-2.1</v>
      </c>
      <c r="M9" s="14">
        <f>_xll.BDH("SRPT US Equity","IS_EPS","FQ2 2021","FQ2 2021","Currency=USD","Period=FQ","BEST_FPERIOD_OVERRIDE=FQ","FILING_STATUS=MR","FA_ADJUSTED=GAAP","Sort=A","Dates=H","DateFormat=P","Fill=—","Direction=H","UseDPDF=Y")</f>
        <v>-1.02</v>
      </c>
      <c r="N9" s="14">
        <f>_xll.BDH("SRPT US Equity","IS_EPS","FQ3 2021","FQ3 2021","Currency=USD","Period=FQ","BEST_FPERIOD_OVERRIDE=FQ","FILING_STATUS=MR","FA_ADJUSTED=GAAP","Sort=A","Dates=H","DateFormat=P","Fill=—","Direction=H","UseDPDF=Y")</f>
        <v>-0.6</v>
      </c>
      <c r="O9" s="14">
        <f>_xll.BDH("SRPT US Equity","IS_EPS","FQ4 2021","FQ4 2021","Currency=USD","Period=FQ","BEST_FPERIOD_OVERRIDE=FQ","FILING_STATUS=MR","FA_ADJUSTED=GAAP","Sort=A","Dates=H","DateFormat=P","Fill=—","Direction=H","UseDPDF=Y")</f>
        <v>-1.42</v>
      </c>
      <c r="P9" s="14">
        <f>_xll.BDH("SRPT US Equity","IS_EPS","FQ1 2022","FQ1 2022","Currency=USD","Period=FQ","BEST_FPERIOD_OVERRIDE=FQ","FILING_STATUS=MR","FA_ADJUSTED=GAAP","Sort=A","Dates=H","DateFormat=P","Fill=—","Direction=H","UseDPDF=Y")</f>
        <v>-1.2</v>
      </c>
      <c r="Q9" s="14">
        <f>_xll.BDH("SRPT US Equity","IS_EPS","FQ2 2022","FQ2 2022","Currency=USD","Period=FQ","BEST_FPERIOD_OVERRIDE=FQ","FILING_STATUS=MR","FA_ADJUSTED=GAAP","Sort=A","Dates=H","DateFormat=P","Fill=—","Direction=H","UseDPDF=Y")</f>
        <v>-2.65</v>
      </c>
      <c r="R9" s="14">
        <f>_xll.BDH("SRPT US Equity","IS_EPS","FQ3 2022","FQ3 2022","Currency=USD","Period=FQ","BEST_FPERIOD_OVERRIDE=FQ","FILING_STATUS=MR","FA_ADJUSTED=GAAP","Sort=A","Dates=H","DateFormat=P","Fill=—","Direction=H","UseDPDF=Y")</f>
        <v>-2.94</v>
      </c>
      <c r="S9" s="14">
        <f>_xll.BDH("SRPT US Equity","IS_EPS","FQ4 2022","FQ4 2022","Currency=USD","Period=FQ","BEST_FPERIOD_OVERRIDE=FQ","FILING_STATUS=MR","FA_ADJUSTED=GAAP","Sort=A","Dates=H","DateFormat=P","Fill=—","Direction=H","UseDPDF=Y")</f>
        <v>-1.24</v>
      </c>
      <c r="T9" s="14">
        <f>_xll.BDH("SRPT US Equity","IS_EPS","FQ1 2023","FQ1 2023","Currency=USD","Period=FQ","BEST_FPERIOD_OVERRIDE=FQ","FILING_STATUS=MR","FA_ADJUSTED=GAAP","Sort=A","Dates=H","DateFormat=P","Fill=—","Direction=H","UseDPDF=Y")</f>
        <v>-5.86</v>
      </c>
      <c r="U9" s="14">
        <f>_xll.BDH("SRPT US Equity","IS_EPS","FQ2 2023","FQ2 2023","Currency=USD","Period=FQ","BEST_FPERIOD_OVERRIDE=FQ","FILING_STATUS=MR","FA_ADJUSTED=GAAP","Sort=A","Dates=H","DateFormat=P","Fill=—","Direction=H","UseDPDF=Y")</f>
        <v>-0.27</v>
      </c>
      <c r="V9" s="14">
        <f>_xll.BDH("SRPT US Equity","IS_EPS","FQ3 2023","FQ3 2023","Currency=USD","Period=FQ","BEST_FPERIOD_OVERRIDE=FQ","FILING_STATUS=MR","FA_ADJUSTED=GAAP","Sort=A","Dates=H","DateFormat=P","Fill=—","Direction=H","UseDPDF=Y")</f>
        <v>-0.46</v>
      </c>
      <c r="W9" s="14">
        <f>_xll.BDH("SRPT US Equity","IS_EPS","FQ4 2023","FQ4 2023","Currency=USD","Period=FQ","BEST_FPERIOD_OVERRIDE=FQ","FILING_STATUS=MR","FA_ADJUSTED=GAAP","Sort=A","Dates=H","DateFormat=P","Fill=—","Direction=H","UseDPDF=Y")</f>
        <v>0.49</v>
      </c>
      <c r="X9" s="14">
        <f>_xll.BDH("SRPT US Equity","IS_EPS","FQ1 2024","FQ1 2024","Currency=USD","Period=FQ","BEST_FPERIOD_OVERRIDE=FQ","FILING_STATUS=MR","FA_ADJUSTED=GAAP","Sort=A","Dates=H","DateFormat=P","Fill=—","Direction=H","UseDPDF=Y")</f>
        <v>0.38</v>
      </c>
      <c r="Y9" s="14">
        <f>_xll.BDH("SRPT US Equity","IS_EPS","FQ2 2024","FQ2 2024","Currency=USD","Period=FQ","BEST_FPERIOD_OVERRIDE=FQ","FILING_STATUS=MR","FA_ADJUSTED=GAAP","Sort=A","Dates=H","DateFormat=P","Fill=—","Direction=H","UseDPDF=Y")</f>
        <v>7.0000000000000007E-2</v>
      </c>
      <c r="Z9" s="14">
        <f>_xll.BDH("SRPT US Equity","IS_EPS","FQ3 2024","FQ3 2024","Currency=USD","Period=FQ","BEST_FPERIOD_OVERRIDE=FQ","FILING_STATUS=MR","FA_ADJUSTED=GAAP","Sort=A","Dates=H","DateFormat=P","Fill=—","Direction=H","UseDPDF=Y")</f>
        <v>0.35</v>
      </c>
      <c r="AA9" s="14">
        <f>_xll.BDH("SRPT US Equity","IS_EPS","FQ4 2024","FQ4 2024","Currency=USD","Period=FQ","BEST_FPERIOD_OVERRIDE=FQ","FILING_STATUS=MR","FA_ADJUSTED=GAAP","Sort=A","Dates=H","DateFormat=P","Fill=—","Direction=H","UseDPDF=Y")</f>
        <v>1.65</v>
      </c>
    </row>
    <row r="10" spans="1:27" x14ac:dyDescent="0.25">
      <c r="A10" s="10" t="s">
        <v>103</v>
      </c>
      <c r="B10" s="10" t="s">
        <v>104</v>
      </c>
      <c r="C10" s="14">
        <f>_xll.BDH("SRPT US Equity","IS_DILUTED_EPS","FQ4 2018","FQ4 2018","Currency=USD","Period=FQ","BEST_FPERIOD_OVERRIDE=FQ","FILING_STATUS=MR","FA_ADJUSTED=GAAP","Sort=A","Dates=H","DateFormat=P","Fill=—","Direction=H","UseDPDF=Y")</f>
        <v>-2.0499999999999998</v>
      </c>
      <c r="D10" s="14">
        <f>_xll.BDH("SRPT US Equity","IS_DILUTED_EPS","FQ1 2019","FQ1 2019","Currency=USD","Period=FQ","BEST_FPERIOD_OVERRIDE=FQ","FILING_STATUS=MR","FA_ADJUSTED=GAAP","Sort=A","Dates=H","DateFormat=P","Fill=—","Direction=H","UseDPDF=Y")</f>
        <v>-1.07</v>
      </c>
      <c r="E10" s="14">
        <f>_xll.BDH("SRPT US Equity","IS_DILUTED_EPS","FQ2 2019","FQ2 2019","Currency=USD","Period=FQ","BEST_FPERIOD_OVERRIDE=FQ","FILING_STATUS=MR","FA_ADJUSTED=GAAP","Sort=A","Dates=H","DateFormat=P","Fill=—","Direction=H","UseDPDF=Y")</f>
        <v>-3.74</v>
      </c>
      <c r="F10" s="14">
        <f>_xll.BDH("SRPT US Equity","IS_DILUTED_EPS","FQ3 2019","FQ3 2019","Currency=USD","Period=FQ","BEST_FPERIOD_OVERRIDE=FQ","FILING_STATUS=MR","FA_ADJUSTED=GAAP","Sort=A","Dates=H","DateFormat=P","Fill=—","Direction=H","UseDPDF=Y")</f>
        <v>-1.7</v>
      </c>
      <c r="G10" s="14">
        <f>_xll.BDH("SRPT US Equity","IS_DILUTED_EPS","FQ4 2019","FQ4 2019","Currency=USD","Period=FQ","BEST_FPERIOD_OVERRIDE=FQ","FILING_STATUS=MR","FA_ADJUSTED=GAAP","Sort=A","Dates=H","DateFormat=P","Fill=—","Direction=H","UseDPDF=Y")</f>
        <v>-3.16</v>
      </c>
      <c r="H10" s="14">
        <f>_xll.BDH("SRPT US Equity","IS_DILUTED_EPS","FQ1 2020","FQ1 2020","Currency=USD","Period=FQ","BEST_FPERIOD_OVERRIDE=FQ","FILING_STATUS=MR","FA_ADJUSTED=GAAP","Sort=A","Dates=H","DateFormat=P","Fill=—","Direction=H","UseDPDF=Y")</f>
        <v>-0.23</v>
      </c>
      <c r="I10" s="14">
        <f>_xll.BDH("SRPT US Equity","IS_DILUTED_EPS","FQ2 2020","FQ2 2020","Currency=USD","Period=FQ","BEST_FPERIOD_OVERRIDE=FQ","FILING_STATUS=MR","FA_ADJUSTED=GAAP","Sort=A","Dates=H","DateFormat=P","Fill=—","Direction=H","UseDPDF=Y")</f>
        <v>-1.93</v>
      </c>
      <c r="J10" s="14">
        <f>_xll.BDH("SRPT US Equity","IS_DILUTED_EPS","FQ3 2020","FQ3 2020","Currency=USD","Period=FQ","BEST_FPERIOD_OVERRIDE=FQ","FILING_STATUS=MR","FA_ADJUSTED=GAAP","Sort=A","Dates=H","DateFormat=P","Fill=—","Direction=H","UseDPDF=Y")</f>
        <v>-2.5</v>
      </c>
      <c r="K10" s="14">
        <f>_xll.BDH("SRPT US Equity","IS_DILUTED_EPS","FQ4 2020","FQ4 2020","Currency=USD","Period=FQ","BEST_FPERIOD_OVERRIDE=FQ","FILING_STATUS=MR","FA_ADJUSTED=GAAP","Sort=A","Dates=H","DateFormat=P","Fill=—","Direction=H","UseDPDF=Y")</f>
        <v>-2.4</v>
      </c>
      <c r="L10" s="14">
        <f>_xll.BDH("SRPT US Equity","IS_DILUTED_EPS","FQ1 2021","FQ1 2021","Currency=USD","Period=FQ","BEST_FPERIOD_OVERRIDE=FQ","FILING_STATUS=MR","FA_ADJUSTED=GAAP","Sort=A","Dates=H","DateFormat=P","Fill=—","Direction=H","UseDPDF=Y")</f>
        <v>-2.1</v>
      </c>
      <c r="M10" s="14">
        <f>_xll.BDH("SRPT US Equity","IS_DILUTED_EPS","FQ2 2021","FQ2 2021","Currency=USD","Period=FQ","BEST_FPERIOD_OVERRIDE=FQ","FILING_STATUS=MR","FA_ADJUSTED=GAAP","Sort=A","Dates=H","DateFormat=P","Fill=—","Direction=H","UseDPDF=Y")</f>
        <v>-1.02</v>
      </c>
      <c r="N10" s="14">
        <f>_xll.BDH("SRPT US Equity","IS_DILUTED_EPS","FQ3 2021","FQ3 2021","Currency=USD","Period=FQ","BEST_FPERIOD_OVERRIDE=FQ","FILING_STATUS=MR","FA_ADJUSTED=GAAP","Sort=A","Dates=H","DateFormat=P","Fill=—","Direction=H","UseDPDF=Y")</f>
        <v>-0.6</v>
      </c>
      <c r="O10" s="14">
        <f>_xll.BDH("SRPT US Equity","IS_DILUTED_EPS","FQ4 2021","FQ4 2021","Currency=USD","Period=FQ","BEST_FPERIOD_OVERRIDE=FQ","FILING_STATUS=MR","FA_ADJUSTED=GAAP","Sort=A","Dates=H","DateFormat=P","Fill=—","Direction=H","UseDPDF=Y")</f>
        <v>-1.42</v>
      </c>
      <c r="P10" s="14">
        <f>_xll.BDH("SRPT US Equity","IS_DILUTED_EPS","FQ1 2022","FQ1 2022","Currency=USD","Period=FQ","BEST_FPERIOD_OVERRIDE=FQ","FILING_STATUS=MR","FA_ADJUSTED=GAAP","Sort=A","Dates=H","DateFormat=P","Fill=—","Direction=H","UseDPDF=Y")</f>
        <v>-1.2</v>
      </c>
      <c r="Q10" s="14">
        <f>_xll.BDH("SRPT US Equity","IS_DILUTED_EPS","FQ2 2022","FQ2 2022","Currency=USD","Period=FQ","BEST_FPERIOD_OVERRIDE=FQ","FILING_STATUS=MR","FA_ADJUSTED=GAAP","Sort=A","Dates=H","DateFormat=P","Fill=—","Direction=H","UseDPDF=Y")</f>
        <v>-2.65</v>
      </c>
      <c r="R10" s="14">
        <f>_xll.BDH("SRPT US Equity","IS_DILUTED_EPS","FQ3 2022","FQ3 2022","Currency=USD","Period=FQ","BEST_FPERIOD_OVERRIDE=FQ","FILING_STATUS=MR","FA_ADJUSTED=GAAP","Sort=A","Dates=H","DateFormat=P","Fill=—","Direction=H","UseDPDF=Y")</f>
        <v>-2.94</v>
      </c>
      <c r="S10" s="14">
        <f>_xll.BDH("SRPT US Equity","IS_DILUTED_EPS","FQ4 2022","FQ4 2022","Currency=USD","Period=FQ","BEST_FPERIOD_OVERRIDE=FQ","FILING_STATUS=MR","FA_ADJUSTED=GAAP","Sort=A","Dates=H","DateFormat=P","Fill=—","Direction=H","UseDPDF=Y")</f>
        <v>-1.24</v>
      </c>
      <c r="T10" s="14">
        <f>_xll.BDH("SRPT US Equity","IS_DILUTED_EPS","FQ1 2023","FQ1 2023","Currency=USD","Period=FQ","BEST_FPERIOD_OVERRIDE=FQ","FILING_STATUS=MR","FA_ADJUSTED=GAAP","Sort=A","Dates=H","DateFormat=P","Fill=—","Direction=H","UseDPDF=Y")</f>
        <v>-5.86</v>
      </c>
      <c r="U10" s="14">
        <f>_xll.BDH("SRPT US Equity","IS_DILUTED_EPS","FQ2 2023","FQ2 2023","Currency=USD","Period=FQ","BEST_FPERIOD_OVERRIDE=FQ","FILING_STATUS=MR","FA_ADJUSTED=GAAP","Sort=A","Dates=H","DateFormat=P","Fill=—","Direction=H","UseDPDF=Y")</f>
        <v>-0.27</v>
      </c>
      <c r="V10" s="14">
        <f>_xll.BDH("SRPT US Equity","IS_DILUTED_EPS","FQ3 2023","FQ3 2023","Currency=USD","Period=FQ","BEST_FPERIOD_OVERRIDE=FQ","FILING_STATUS=MR","FA_ADJUSTED=GAAP","Sort=A","Dates=H","DateFormat=P","Fill=—","Direction=H","UseDPDF=Y")</f>
        <v>-0.46</v>
      </c>
      <c r="W10" s="14">
        <f>_xll.BDH("SRPT US Equity","IS_DILUTED_EPS","FQ4 2023","FQ4 2023","Currency=USD","Period=FQ","BEST_FPERIOD_OVERRIDE=FQ","FILING_STATUS=MR","FA_ADJUSTED=GAAP","Sort=A","Dates=H","DateFormat=P","Fill=—","Direction=H","UseDPDF=Y")</f>
        <v>0.47</v>
      </c>
      <c r="X10" s="14">
        <f>_xll.BDH("SRPT US Equity","IS_DILUTED_EPS","FQ1 2024","FQ1 2024","Currency=USD","Period=FQ","BEST_FPERIOD_OVERRIDE=FQ","FILING_STATUS=MR","FA_ADJUSTED=GAAP","Sort=A","Dates=H","DateFormat=P","Fill=—","Direction=H","UseDPDF=Y")</f>
        <v>0.37</v>
      </c>
      <c r="Y10" s="14">
        <f>_xll.BDH("SRPT US Equity","IS_DILUTED_EPS","FQ2 2024","FQ2 2024","Currency=USD","Period=FQ","BEST_FPERIOD_OVERRIDE=FQ","FILING_STATUS=MR","FA_ADJUSTED=GAAP","Sort=A","Dates=H","DateFormat=P","Fill=—","Direction=H","UseDPDF=Y")</f>
        <v>7.0000000000000007E-2</v>
      </c>
      <c r="Z10" s="14">
        <f>_xll.BDH("SRPT US Equity","IS_DILUTED_EPS","FQ3 2024","FQ3 2024","Currency=USD","Period=FQ","BEST_FPERIOD_OVERRIDE=FQ","FILING_STATUS=MR","FA_ADJUSTED=GAAP","Sort=A","Dates=H","DateFormat=P","Fill=—","Direction=H","UseDPDF=Y")</f>
        <v>0.34</v>
      </c>
      <c r="AA10" s="14">
        <f>_xll.BDH("SRPT US Equity","IS_DILUTED_EPS","FQ4 2024","FQ4 2024","Currency=USD","Period=FQ","BEST_FPERIOD_OVERRIDE=FQ","FILING_STATUS=MR","FA_ADJUSTED=GAAP","Sort=A","Dates=H","DateFormat=P","Fill=—","Direction=H","UseDPDF=Y")</f>
        <v>1.5</v>
      </c>
    </row>
    <row r="11" spans="1:27" x14ac:dyDescent="0.25">
      <c r="A11" s="10" t="s">
        <v>105</v>
      </c>
      <c r="B11" s="10" t="s">
        <v>106</v>
      </c>
      <c r="C11" s="13">
        <f>_xll.BDH("SRPT US Equity","IS_AVG_NUM_SH_FOR_EPS","FQ4 2018","FQ4 2018","Currency=USD","Period=FQ","BEST_FPERIOD_OVERRIDE=FQ","FILING_STATUS=MR","Sort=A","Dates=H","DateFormat=P","Fill=—","Direction=H","UseDPDF=Y")</f>
        <v>68.653000000000006</v>
      </c>
      <c r="D11" s="13">
        <f>_xll.BDH("SRPT US Equity","IS_AVG_NUM_SH_FOR_EPS","FQ1 2019","FQ1 2019","Currency=USD","Period=FQ","BEST_FPERIOD_OVERRIDE=FQ","FILING_STATUS=MR","Sort=A","Dates=H","DateFormat=P","Fill=—","Direction=H","UseDPDF=Y")</f>
        <v>71.730999999999995</v>
      </c>
      <c r="E11" s="13">
        <f>_xll.BDH("SRPT US Equity","IS_AVG_NUM_SH_FOR_EPS","FQ2 2019","FQ2 2019","Currency=USD","Period=FQ","BEST_FPERIOD_OVERRIDE=FQ","FILING_STATUS=MR","Sort=A","Dates=H","DateFormat=P","Fill=—","Direction=H","UseDPDF=Y")</f>
        <v>73.957999999999998</v>
      </c>
      <c r="F11" s="13">
        <f>_xll.BDH("SRPT US Equity","IS_AVG_NUM_SH_FOR_EPS","FQ3 2019","FQ3 2019","Currency=USD","Period=FQ","BEST_FPERIOD_OVERRIDE=FQ","FILING_STATUS=MR","Sort=A","Dates=H","DateFormat=P","Fill=—","Direction=H","UseDPDF=Y")</f>
        <v>74.177000000000007</v>
      </c>
      <c r="G11" s="13">
        <f>_xll.BDH("SRPT US Equity","IS_AVG_NUM_SH_FOR_EPS","FQ4 2019","FQ4 2019","Currency=USD","Period=FQ","BEST_FPERIOD_OVERRIDE=FQ","FILING_STATUS=MR","Sort=A","Dates=H","DateFormat=P","Fill=—","Direction=H","UseDPDF=Y")</f>
        <v>74.557000000000002</v>
      </c>
      <c r="H11" s="13">
        <f>_xll.BDH("SRPT US Equity","IS_AVG_NUM_SH_FOR_EPS","FQ1 2020","FQ1 2020","Currency=USD","Period=FQ","BEST_FPERIOD_OVERRIDE=FQ","FILING_STATUS=MR","Sort=A","Dates=H","DateFormat=P","Fill=—","Direction=H","UseDPDF=Y")</f>
        <v>76.432000000000002</v>
      </c>
      <c r="I11" s="13">
        <f>_xll.BDH("SRPT US Equity","IS_AVG_NUM_SH_FOR_EPS","FQ2 2020","FQ2 2020","Currency=USD","Period=FQ","BEST_FPERIOD_OVERRIDE=FQ","FILING_STATUS=MR","Sort=A","Dates=H","DateFormat=P","Fill=—","Direction=H","UseDPDF=Y")</f>
        <v>77.968000000000004</v>
      </c>
      <c r="J11" s="13">
        <f>_xll.BDH("SRPT US Equity","IS_AVG_NUM_SH_FOR_EPS","FQ3 2020","FQ3 2020","Currency=USD","Period=FQ","BEST_FPERIOD_OVERRIDE=FQ","FILING_STATUS=MR","Sort=A","Dates=H","DateFormat=P","Fill=—","Direction=H","UseDPDF=Y")</f>
        <v>78.501000000000005</v>
      </c>
      <c r="K11" s="13">
        <f>_xll.BDH("SRPT US Equity","IS_AVG_NUM_SH_FOR_EPS","FQ4 2020","FQ4 2020","Currency=USD","Period=FQ","BEST_FPERIOD_OVERRIDE=FQ","FILING_STATUS=MR","Sort=A","Dates=H","DateFormat=P","Fill=—","Direction=H","UseDPDF=Y")</f>
        <v>78.905000000000001</v>
      </c>
      <c r="L11" s="13">
        <f>_xll.BDH("SRPT US Equity","IS_AVG_NUM_SH_FOR_EPS","FQ1 2021","FQ1 2021","Currency=USD","Period=FQ","BEST_FPERIOD_OVERRIDE=FQ","FILING_STATUS=MR","Sort=A","Dates=H","DateFormat=P","Fill=—","Direction=H","UseDPDF=Y")</f>
        <v>79.453999999999994</v>
      </c>
      <c r="M11" s="13">
        <f>_xll.BDH("SRPT US Equity","IS_AVG_NUM_SH_FOR_EPS","FQ2 2021","FQ2 2021","Currency=USD","Period=FQ","BEST_FPERIOD_OVERRIDE=FQ","FILING_STATUS=MR","Sort=A","Dates=H","DateFormat=P","Fill=—","Direction=H","UseDPDF=Y")</f>
        <v>79.745999999999995</v>
      </c>
      <c r="N11" s="13">
        <f>_xll.BDH("SRPT US Equity","IS_AVG_NUM_SH_FOR_EPS","FQ3 2021","FQ3 2021","Currency=USD","Period=FQ","BEST_FPERIOD_OVERRIDE=FQ","FILING_STATUS=MR","Sort=A","Dates=H","DateFormat=P","Fill=—","Direction=H","UseDPDF=Y")</f>
        <v>79.88</v>
      </c>
      <c r="O11" s="13">
        <f>_xll.BDH("SRPT US Equity","IS_AVG_NUM_SH_FOR_EPS","FQ4 2021","FQ4 2021","Currency=USD","Period=FQ","BEST_FPERIOD_OVERRIDE=FQ","FILING_STATUS=MR","Sort=A","Dates=H","DateFormat=P","Fill=—","Direction=H","UseDPDF=Y")</f>
        <v>85.950999999999993</v>
      </c>
      <c r="P11" s="13">
        <f>_xll.BDH("SRPT US Equity","IS_AVG_NUM_SH_FOR_EPS","FQ1 2022","FQ1 2022","Currency=USD","Period=FQ","BEST_FPERIOD_OVERRIDE=FQ","FILING_STATUS=MR","Sort=A","Dates=H","DateFormat=P","Fill=—","Direction=H","UseDPDF=Y")</f>
        <v>87.253</v>
      </c>
      <c r="Q11" s="13">
        <f>_xll.BDH("SRPT US Equity","IS_AVG_NUM_SH_FOR_EPS","FQ2 2022","FQ2 2022","Currency=USD","Period=FQ","BEST_FPERIOD_OVERRIDE=FQ","FILING_STATUS=MR","Sort=A","Dates=H","DateFormat=P","Fill=—","Direction=H","UseDPDF=Y")</f>
        <v>87.510999999999996</v>
      </c>
      <c r="R11" s="13">
        <f>_xll.BDH("SRPT US Equity","IS_AVG_NUM_SH_FOR_EPS","FQ3 2022","FQ3 2022","Currency=USD","Period=FQ","BEST_FPERIOD_OVERRIDE=FQ","FILING_STATUS=MR","Sort=A","Dates=H","DateFormat=P","Fill=—","Direction=H","UseDPDF=Y")</f>
        <v>87.628</v>
      </c>
      <c r="S11" s="13">
        <f>_xll.BDH("SRPT US Equity","IS_AVG_NUM_SH_FOR_EPS","FQ4 2022","FQ4 2022","Currency=USD","Period=FQ","BEST_FPERIOD_OVERRIDE=FQ","FILING_STATUS=MR","Sort=A","Dates=H","DateFormat=P","Fill=—","Direction=H","UseDPDF=Y")</f>
        <v>87.837999999999994</v>
      </c>
      <c r="T11" s="13">
        <f>_xll.BDH("SRPT US Equity","IS_AVG_NUM_SH_FOR_EPS","FQ1 2023","FQ1 2023","Currency=USD","Period=FQ","BEST_FPERIOD_OVERRIDE=FQ","FILING_STATUS=MR","Sort=A","Dates=H","DateFormat=P","Fill=—","Direction=H","UseDPDF=Y")</f>
        <v>88.186000000000007</v>
      </c>
      <c r="U11" s="13">
        <f>_xll.BDH("SRPT US Equity","IS_AVG_NUM_SH_FOR_EPS","FQ2 2023","FQ2 2023","Currency=USD","Period=FQ","BEST_FPERIOD_OVERRIDE=FQ","FILING_STATUS=MR","Sort=A","Dates=H","DateFormat=P","Fill=—","Direction=H","UseDPDF=Y")</f>
        <v>88.742999999999995</v>
      </c>
      <c r="V11" s="13">
        <f>_xll.BDH("SRPT US Equity","IS_AVG_NUM_SH_FOR_EPS","FQ3 2023","FQ3 2023","Currency=USD","Period=FQ","BEST_FPERIOD_OVERRIDE=FQ","FILING_STATUS=MR","Sort=A","Dates=H","DateFormat=P","Fill=—","Direction=H","UseDPDF=Y")</f>
        <v>88.888999999999996</v>
      </c>
      <c r="W11" s="13">
        <f>_xll.BDH("SRPT US Equity","IS_AVG_NUM_SH_FOR_EPS","FQ4 2023","FQ4 2023","Currency=USD","Period=FQ","BEST_FPERIOD_OVERRIDE=FQ","FILING_STATUS=MR","Sort=A","Dates=H","DateFormat=P","Fill=—","Direction=H","UseDPDF=Y")</f>
        <v>93.617000000000004</v>
      </c>
      <c r="X11" s="13">
        <f>_xll.BDH("SRPT US Equity","IS_AVG_NUM_SH_FOR_EPS","FQ1 2024","FQ1 2024","Currency=USD","Period=FQ","BEST_FPERIOD_OVERRIDE=FQ","FILING_STATUS=MR","Sort=A","Dates=H","DateFormat=P","Fill=—","Direction=H","UseDPDF=Y")</f>
        <v>93.991</v>
      </c>
      <c r="Y11" s="13">
        <f>_xll.BDH("SRPT US Equity","IS_AVG_NUM_SH_FOR_EPS","FQ2 2024","FQ2 2024","Currency=USD","Period=FQ","BEST_FPERIOD_OVERRIDE=FQ","FILING_STATUS=MR","Sort=A","Dates=H","DateFormat=P","Fill=—","Direction=H","UseDPDF=Y")</f>
        <v>94.617999999999995</v>
      </c>
      <c r="Z11" s="13">
        <f>_xll.BDH("SRPT US Equity","IS_AVG_NUM_SH_FOR_EPS","FQ3 2024","FQ3 2024","Currency=USD","Period=FQ","BEST_FPERIOD_OVERRIDE=FQ","FILING_STATUS=MR","Sort=A","Dates=H","DateFormat=P","Fill=—","Direction=H","UseDPDF=Y")</f>
        <v>95.39</v>
      </c>
      <c r="AA11" s="13">
        <f>_xll.BDH("SRPT US Equity","IS_AVG_NUM_SH_FOR_EPS","FQ4 2024","FQ4 2024","Currency=USD","Period=FQ","BEST_FPERIOD_OVERRIDE=FQ","FILING_STATUS=MR","Sort=A","Dates=H","DateFormat=P","Fill=—","Direction=H","UseDPDF=Y")</f>
        <v>96.283000000000001</v>
      </c>
    </row>
    <row r="12" spans="1:27" x14ac:dyDescent="0.25">
      <c r="A12" s="10" t="s">
        <v>107</v>
      </c>
      <c r="B12" s="10" t="s">
        <v>108</v>
      </c>
      <c r="C12" s="13">
        <f>_xll.BDH("SRPT US Equity","IS_SH_FOR_DILUTED_EPS","FQ4 2018","FQ4 2018","Currency=USD","Period=FQ","BEST_FPERIOD_OVERRIDE=FQ","FILING_STATUS=MR","Sort=A","Dates=H","DateFormat=P","Fill=—","Direction=H","UseDPDF=Y")</f>
        <v>68.653000000000006</v>
      </c>
      <c r="D12" s="13">
        <f>_xll.BDH("SRPT US Equity","IS_SH_FOR_DILUTED_EPS","FQ1 2019","FQ1 2019","Currency=USD","Period=FQ","BEST_FPERIOD_OVERRIDE=FQ","FILING_STATUS=MR","Sort=A","Dates=H","DateFormat=P","Fill=—","Direction=H","UseDPDF=Y")</f>
        <v>71.730999999999995</v>
      </c>
      <c r="E12" s="13">
        <f>_xll.BDH("SRPT US Equity","IS_SH_FOR_DILUTED_EPS","FQ2 2019","FQ2 2019","Currency=USD","Period=FQ","BEST_FPERIOD_OVERRIDE=FQ","FILING_STATUS=MR","Sort=A","Dates=H","DateFormat=P","Fill=—","Direction=H","UseDPDF=Y")</f>
        <v>73.957999999999998</v>
      </c>
      <c r="F12" s="13">
        <f>_xll.BDH("SRPT US Equity","IS_SH_FOR_DILUTED_EPS","FQ3 2019","FQ3 2019","Currency=USD","Period=FQ","BEST_FPERIOD_OVERRIDE=FQ","FILING_STATUS=MR","Sort=A","Dates=H","DateFormat=P","Fill=—","Direction=H","UseDPDF=Y")</f>
        <v>74.177000000000007</v>
      </c>
      <c r="G12" s="13">
        <f>_xll.BDH("SRPT US Equity","IS_SH_FOR_DILUTED_EPS","FQ4 2019","FQ4 2019","Currency=USD","Period=FQ","BEST_FPERIOD_OVERRIDE=FQ","FILING_STATUS=MR","Sort=A","Dates=H","DateFormat=P","Fill=—","Direction=H","UseDPDF=Y")</f>
        <v>74.557000000000002</v>
      </c>
      <c r="H12" s="13">
        <f>_xll.BDH("SRPT US Equity","IS_SH_FOR_DILUTED_EPS","FQ1 2020","FQ1 2020","Currency=USD","Period=FQ","BEST_FPERIOD_OVERRIDE=FQ","FILING_STATUS=MR","Sort=A","Dates=H","DateFormat=P","Fill=—","Direction=H","UseDPDF=Y")</f>
        <v>76.432000000000002</v>
      </c>
      <c r="I12" s="13">
        <f>_xll.BDH("SRPT US Equity","IS_SH_FOR_DILUTED_EPS","FQ2 2020","FQ2 2020","Currency=USD","Period=FQ","BEST_FPERIOD_OVERRIDE=FQ","FILING_STATUS=MR","Sort=A","Dates=H","DateFormat=P","Fill=—","Direction=H","UseDPDF=Y")</f>
        <v>77.968000000000004</v>
      </c>
      <c r="J12" s="13">
        <f>_xll.BDH("SRPT US Equity","IS_SH_FOR_DILUTED_EPS","FQ3 2020","FQ3 2020","Currency=USD","Period=FQ","BEST_FPERIOD_OVERRIDE=FQ","FILING_STATUS=MR","Sort=A","Dates=H","DateFormat=P","Fill=—","Direction=H","UseDPDF=Y")</f>
        <v>78.501000000000005</v>
      </c>
      <c r="K12" s="13">
        <f>_xll.BDH("SRPT US Equity","IS_SH_FOR_DILUTED_EPS","FQ4 2020","FQ4 2020","Currency=USD","Period=FQ","BEST_FPERIOD_OVERRIDE=FQ","FILING_STATUS=MR","Sort=A","Dates=H","DateFormat=P","Fill=—","Direction=H","UseDPDF=Y")</f>
        <v>78.905000000000001</v>
      </c>
      <c r="L12" s="13">
        <f>_xll.BDH("SRPT US Equity","IS_SH_FOR_DILUTED_EPS","FQ1 2021","FQ1 2021","Currency=USD","Period=FQ","BEST_FPERIOD_OVERRIDE=FQ","FILING_STATUS=MR","Sort=A","Dates=H","DateFormat=P","Fill=—","Direction=H","UseDPDF=Y")</f>
        <v>79.453999999999994</v>
      </c>
      <c r="M12" s="13">
        <f>_xll.BDH("SRPT US Equity","IS_SH_FOR_DILUTED_EPS","FQ2 2021","FQ2 2021","Currency=USD","Period=FQ","BEST_FPERIOD_OVERRIDE=FQ","FILING_STATUS=MR","Sort=A","Dates=H","DateFormat=P","Fill=—","Direction=H","UseDPDF=Y")</f>
        <v>79.745999999999995</v>
      </c>
      <c r="N12" s="13">
        <f>_xll.BDH("SRPT US Equity","IS_SH_FOR_DILUTED_EPS","FQ3 2021","FQ3 2021","Currency=USD","Period=FQ","BEST_FPERIOD_OVERRIDE=FQ","FILING_STATUS=MR","Sort=A","Dates=H","DateFormat=P","Fill=—","Direction=H","UseDPDF=Y")</f>
        <v>79.88</v>
      </c>
      <c r="O12" s="13">
        <f>_xll.BDH("SRPT US Equity","IS_SH_FOR_DILUTED_EPS","FQ4 2021","FQ4 2021","Currency=USD","Period=FQ","BEST_FPERIOD_OVERRIDE=FQ","FILING_STATUS=MR","Sort=A","Dates=H","DateFormat=P","Fill=—","Direction=H","UseDPDF=Y")</f>
        <v>85.950999999999993</v>
      </c>
      <c r="P12" s="13">
        <f>_xll.BDH("SRPT US Equity","IS_SH_FOR_DILUTED_EPS","FQ1 2022","FQ1 2022","Currency=USD","Period=FQ","BEST_FPERIOD_OVERRIDE=FQ","FILING_STATUS=MR","Sort=A","Dates=H","DateFormat=P","Fill=—","Direction=H","UseDPDF=Y")</f>
        <v>87.253</v>
      </c>
      <c r="Q12" s="13">
        <f>_xll.BDH("SRPT US Equity","IS_SH_FOR_DILUTED_EPS","FQ2 2022","FQ2 2022","Currency=USD","Period=FQ","BEST_FPERIOD_OVERRIDE=FQ","FILING_STATUS=MR","Sort=A","Dates=H","DateFormat=P","Fill=—","Direction=H","UseDPDF=Y")</f>
        <v>87.510999999999996</v>
      </c>
      <c r="R12" s="13">
        <f>_xll.BDH("SRPT US Equity","IS_SH_FOR_DILUTED_EPS","FQ3 2022","FQ3 2022","Currency=USD","Period=FQ","BEST_FPERIOD_OVERRIDE=FQ","FILING_STATUS=MR","Sort=A","Dates=H","DateFormat=P","Fill=—","Direction=H","UseDPDF=Y")</f>
        <v>87.628</v>
      </c>
      <c r="S12" s="13">
        <f>_xll.BDH("SRPT US Equity","IS_SH_FOR_DILUTED_EPS","FQ4 2022","FQ4 2022","Currency=USD","Period=FQ","BEST_FPERIOD_OVERRIDE=FQ","FILING_STATUS=MR","Sort=A","Dates=H","DateFormat=P","Fill=—","Direction=H","UseDPDF=Y")</f>
        <v>87.837999999999994</v>
      </c>
      <c r="T12" s="13">
        <f>_xll.BDH("SRPT US Equity","IS_SH_FOR_DILUTED_EPS","FQ1 2023","FQ1 2023","Currency=USD","Period=FQ","BEST_FPERIOD_OVERRIDE=FQ","FILING_STATUS=MR","Sort=A","Dates=H","DateFormat=P","Fill=—","Direction=H","UseDPDF=Y")</f>
        <v>88.186000000000007</v>
      </c>
      <c r="U12" s="13">
        <f>_xll.BDH("SRPT US Equity","IS_SH_FOR_DILUTED_EPS","FQ2 2023","FQ2 2023","Currency=USD","Period=FQ","BEST_FPERIOD_OVERRIDE=FQ","FILING_STATUS=MR","Sort=A","Dates=H","DateFormat=P","Fill=—","Direction=H","UseDPDF=Y")</f>
        <v>88.742999999999995</v>
      </c>
      <c r="V12" s="13">
        <f>_xll.BDH("SRPT US Equity","IS_SH_FOR_DILUTED_EPS","FQ3 2023","FQ3 2023","Currency=USD","Period=FQ","BEST_FPERIOD_OVERRIDE=FQ","FILING_STATUS=MR","Sort=A","Dates=H","DateFormat=P","Fill=—","Direction=H","UseDPDF=Y")</f>
        <v>88.888999999999996</v>
      </c>
      <c r="W12" s="13">
        <f>_xll.BDH("SRPT US Equity","IS_SH_FOR_DILUTED_EPS","FQ4 2023","FQ4 2023","Currency=USD","Period=FQ","BEST_FPERIOD_OVERRIDE=FQ","FILING_STATUS=MR","Sort=A","Dates=H","DateFormat=P","Fill=—","Direction=H","UseDPDF=Y")</f>
        <v>105.59399999999999</v>
      </c>
      <c r="X12" s="13">
        <f>_xll.BDH("SRPT US Equity","IS_SH_FOR_DILUTED_EPS","FQ1 2024","FQ1 2024","Currency=USD","Period=FQ","BEST_FPERIOD_OVERRIDE=FQ","FILING_STATUS=MR","Sort=A","Dates=H","DateFormat=P","Fill=—","Direction=H","UseDPDF=Y")</f>
        <v>99.114000000000004</v>
      </c>
      <c r="Y12" s="13">
        <f>_xll.BDH("SRPT US Equity","IS_SH_FOR_DILUTED_EPS","FQ2 2024","FQ2 2024","Currency=USD","Period=FQ","BEST_FPERIOD_OVERRIDE=FQ","FILING_STATUS=MR","Sort=A","Dates=H","DateFormat=P","Fill=—","Direction=H","UseDPDF=Y")</f>
        <v>99.144000000000005</v>
      </c>
      <c r="Z12" s="13">
        <f>_xll.BDH("SRPT US Equity","IS_SH_FOR_DILUTED_EPS","FQ3 2024","FQ3 2024","Currency=USD","Period=FQ","BEST_FPERIOD_OVERRIDE=FQ","FILING_STATUS=MR","Sort=A","Dates=H","DateFormat=P","Fill=—","Direction=H","UseDPDF=Y")</f>
        <v>100.44799999999999</v>
      </c>
      <c r="AA12" s="13">
        <f>_xll.BDH("SRPT US Equity","IS_SH_FOR_DILUTED_EPS","FQ4 2024","FQ4 2024","Currency=USD","Period=FQ","BEST_FPERIOD_OVERRIDE=FQ","FILING_STATUS=MR","Sort=A","Dates=H","DateFormat=P","Fill=—","Direction=H","UseDPDF=Y")</f>
        <v>108.474</v>
      </c>
    </row>
    <row r="13" spans="1:27" x14ac:dyDescent="0.25">
      <c r="A13" s="10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5">
      <c r="A14" s="10" t="s">
        <v>109</v>
      </c>
      <c r="B14" s="10" t="s">
        <v>63</v>
      </c>
      <c r="C14" s="13">
        <f>_xll.BDH("SRPT US Equity","CASH_AND_MARKETABLE_SECURITIES","FQ4 2018","FQ4 2018","Currency=USD","Period=FQ","BEST_FPERIOD_OVERRIDE=FQ","FILING_STATUS=MR","SCALING_FORMAT=MLN","Sort=A","Dates=H","DateFormat=P","Fill=—","Direction=H","UseDPDF=Y")</f>
        <v>1173.912</v>
      </c>
      <c r="D14" s="13">
        <f>_xll.BDH("SRPT US Equity","CASH_AND_MARKETABLE_SECURITIES","FQ1 2019","FQ1 2019","Currency=USD","Period=FQ","BEST_FPERIOD_OVERRIDE=FQ","FILING_STATUS=MR","SCALING_FORMAT=MLN","Sort=A","Dates=H","DateFormat=P","Fill=—","Direction=H","UseDPDF=Y")</f>
        <v>1344.2080000000001</v>
      </c>
      <c r="E14" s="13">
        <f>_xll.BDH("SRPT US Equity","CASH_AND_MARKETABLE_SECURITIES","FQ2 2019","FQ2 2019","Currency=USD","Period=FQ","BEST_FPERIOD_OVERRIDE=FQ","FILING_STATUS=MR","SCALING_FORMAT=MLN","Sort=A","Dates=H","DateFormat=P","Fill=—","Direction=H","UseDPDF=Y")</f>
        <v>1103.069</v>
      </c>
      <c r="F14" s="13">
        <f>_xll.BDH("SRPT US Equity","CASH_AND_MARKETABLE_SECURITIES","FQ3 2019","FQ3 2019","Currency=USD","Period=FQ","BEST_FPERIOD_OVERRIDE=FQ","FILING_STATUS=MR","SCALING_FORMAT=MLN","Sort=A","Dates=H","DateFormat=P","Fill=—","Direction=H","UseDPDF=Y")</f>
        <v>1048.8920000000001</v>
      </c>
      <c r="G14" s="13">
        <f>_xll.BDH("SRPT US Equity","CASH_AND_MARKETABLE_SECURITIES","FQ4 2019","FQ4 2019","Currency=USD","Period=FQ","BEST_FPERIOD_OVERRIDE=FQ","FILING_STATUS=MR","SCALING_FORMAT=MLN","Sort=A","Dates=H","DateFormat=P","Fill=—","Direction=H","UseDPDF=Y")</f>
        <v>1124.748</v>
      </c>
      <c r="H14" s="13">
        <f>_xll.BDH("SRPT US Equity","CASH_AND_MARKETABLE_SECURITIES","FQ1 2020","FQ1 2020","Currency=USD","Period=FQ","BEST_FPERIOD_OVERRIDE=FQ","FILING_STATUS=MR","SCALING_FORMAT=MLN","Sort=A","Dates=H","DateFormat=P","Fill=—","Direction=H","UseDPDF=Y")</f>
        <v>2180.7179999999998</v>
      </c>
      <c r="I14" s="13">
        <f>_xll.BDH("SRPT US Equity","CASH_AND_MARKETABLE_SECURITIES","FQ2 2020","FQ2 2020","Currency=USD","Period=FQ","BEST_FPERIOD_OVERRIDE=FQ","FILING_STATUS=MR","SCALING_FORMAT=MLN","Sort=A","Dates=H","DateFormat=P","Fill=—","Direction=H","UseDPDF=Y")</f>
        <v>2070.8739999999998</v>
      </c>
      <c r="J14" s="13">
        <f>_xll.BDH("SRPT US Equity","CASH_AND_MARKETABLE_SECURITIES","FQ3 2020","FQ3 2020","Currency=USD","Period=FQ","BEST_FPERIOD_OVERRIDE=FQ","FILING_STATUS=MR","SCALING_FORMAT=MLN","Sort=A","Dates=H","DateFormat=P","Fill=—","Direction=H","UseDPDF=Y")</f>
        <v>1825.67</v>
      </c>
      <c r="K14" s="13">
        <f>_xll.BDH("SRPT US Equity","CASH_AND_MARKETABLE_SECURITIES","FQ4 2020","FQ4 2020","Currency=USD","Period=FQ","BEST_FPERIOD_OVERRIDE=FQ","FILING_STATUS=MR","SCALING_FORMAT=MLN","Sort=A","Dates=H","DateFormat=P","Fill=—","Direction=H","UseDPDF=Y")</f>
        <v>1947.886</v>
      </c>
      <c r="L14" s="13">
        <f>_xll.BDH("SRPT US Equity","CASH_AND_MARKETABLE_SECURITIES","FQ1 2021","FQ1 2021","Currency=USD","Period=FQ","BEST_FPERIOD_OVERRIDE=FQ","FILING_STATUS=MR","SCALING_FORMAT=MLN","Sort=A","Dates=H","DateFormat=P","Fill=—","Direction=H","UseDPDF=Y")</f>
        <v>1747.1479999999999</v>
      </c>
      <c r="M14" s="13">
        <f>_xll.BDH("SRPT US Equity","CASH_AND_MARKETABLE_SECURITIES","FQ2 2021","FQ2 2021","Currency=USD","Period=FQ","BEST_FPERIOD_OVERRIDE=FQ","FILING_STATUS=MR","SCALING_FORMAT=MLN","Sort=A","Dates=H","DateFormat=P","Fill=—","Direction=H","UseDPDF=Y")</f>
        <v>1736.59</v>
      </c>
      <c r="N14" s="13">
        <f>_xll.BDH("SRPT US Equity","CASH_AND_MARKETABLE_SECURITIES","FQ3 2021","FQ3 2021","Currency=USD","Period=FQ","BEST_FPERIOD_OVERRIDE=FQ","FILING_STATUS=MR","SCALING_FORMAT=MLN","Sort=A","Dates=H","DateFormat=P","Fill=—","Direction=H","UseDPDF=Y")</f>
        <v>1608.4280000000001</v>
      </c>
      <c r="O14" s="13">
        <f>_xll.BDH("SRPT US Equity","CASH_AND_MARKETABLE_SECURITIES","FQ4 2021","FQ4 2021","Currency=USD","Period=FQ","BEST_FPERIOD_OVERRIDE=FQ","FILING_STATUS=MR","SCALING_FORMAT=MLN","Sort=A","Dates=H","DateFormat=P","Fill=—","Direction=H","UseDPDF=Y")</f>
        <v>2125.7730000000001</v>
      </c>
      <c r="P14" s="13">
        <f>_xll.BDH("SRPT US Equity","CASH_AND_MARKETABLE_SECURITIES","FQ1 2022","FQ1 2022","Currency=USD","Period=FQ","BEST_FPERIOD_OVERRIDE=FQ","FILING_STATUS=MR","SCALING_FORMAT=MLN","Sort=A","Dates=H","DateFormat=P","Fill=—","Direction=H","UseDPDF=Y")</f>
        <v>2023.079</v>
      </c>
      <c r="Q14" s="13">
        <f>_xll.BDH("SRPT US Equity","CASH_AND_MARKETABLE_SECURITIES","FQ2 2022","FQ2 2022","Currency=USD","Period=FQ","BEST_FPERIOD_OVERRIDE=FQ","FILING_STATUS=MR","SCALING_FORMAT=MLN","Sort=A","Dates=H","DateFormat=P","Fill=—","Direction=H","UseDPDF=Y")</f>
        <v>1946.518</v>
      </c>
      <c r="R14" s="13">
        <f>_xll.BDH("SRPT US Equity","CASH_AND_MARKETABLE_SECURITIES","FQ3 2022","FQ3 2022","Currency=USD","Period=FQ","BEST_FPERIOD_OVERRIDE=FQ","FILING_STATUS=MR","SCALING_FORMAT=MLN","Sort=A","Dates=H","DateFormat=P","Fill=—","Direction=H","UseDPDF=Y")</f>
        <v>2091.5079999999998</v>
      </c>
      <c r="S14" s="13">
        <f>_xll.BDH("SRPT US Equity","CASH_AND_MARKETABLE_SECURITIES","FQ4 2022","FQ4 2022","Currency=USD","Period=FQ","BEST_FPERIOD_OVERRIDE=FQ","FILING_STATUS=MR","SCALING_FORMAT=MLN","Sort=A","Dates=H","DateFormat=P","Fill=—","Direction=H","UseDPDF=Y")</f>
        <v>2008.3979999999999</v>
      </c>
      <c r="T14" s="13">
        <f>_xll.BDH("SRPT US Equity","CASH_AND_MARKETABLE_SECURITIES","FQ1 2023","FQ1 2023","Currency=USD","Period=FQ","BEST_FPERIOD_OVERRIDE=FQ","FILING_STATUS=MR","SCALING_FORMAT=MLN","Sort=A","Dates=H","DateFormat=P","Fill=—","Direction=H","UseDPDF=Y")</f>
        <v>1901.1210000000001</v>
      </c>
      <c r="U14" s="13">
        <f>_xll.BDH("SRPT US Equity","CASH_AND_MARKETABLE_SECURITIES","FQ2 2023","FQ2 2023","Currency=USD","Period=FQ","BEST_FPERIOD_OVERRIDE=FQ","FILING_STATUS=MR","SCALING_FORMAT=MLN","Sort=A","Dates=H","DateFormat=P","Fill=—","Direction=H","UseDPDF=Y")</f>
        <v>1879.739</v>
      </c>
      <c r="V14" s="13">
        <f>_xll.BDH("SRPT US Equity","CASH_AND_MARKETABLE_SECURITIES","FQ3 2023","FQ3 2023","Currency=USD","Period=FQ","BEST_FPERIOD_OVERRIDE=FQ","FILING_STATUS=MR","SCALING_FORMAT=MLN","Sort=A","Dates=H","DateFormat=P","Fill=—","Direction=H","UseDPDF=Y")</f>
        <v>1741.0419999999999</v>
      </c>
      <c r="W14" s="13">
        <f>_xll.BDH("SRPT US Equity","CASH_AND_MARKETABLE_SECURITIES","FQ4 2023","FQ4 2023","Currency=USD","Period=FQ","BEST_FPERIOD_OVERRIDE=FQ","FILING_STATUS=MR","SCALING_FORMAT=MLN","Sort=A","Dates=H","DateFormat=P","Fill=—","Direction=H","UseDPDF=Y")</f>
        <v>1682.777</v>
      </c>
      <c r="X14" s="13">
        <f>_xll.BDH("SRPT US Equity","CASH_AND_MARKETABLE_SECURITIES","FQ1 2024","FQ1 2024","Currency=USD","Period=FQ","BEST_FPERIOD_OVERRIDE=FQ","FILING_STATUS=MR","SCALING_FORMAT=MLN","Sort=A","Dates=H","DateFormat=P","Fill=—","Direction=H","UseDPDF=Y")</f>
        <v>1406.3219999999999</v>
      </c>
      <c r="Y14" s="13">
        <f>_xll.BDH("SRPT US Equity","CASH_AND_MARKETABLE_SECURITIES","FQ2 2024","FQ2 2024","Currency=USD","Period=FQ","BEST_FPERIOD_OVERRIDE=FQ","FILING_STATUS=MR","SCALING_FORMAT=MLN","Sort=A","Dates=H","DateFormat=P","Fill=—","Direction=H","UseDPDF=Y")</f>
        <v>1476.0530000000001</v>
      </c>
      <c r="Z14" s="13">
        <f>_xll.BDH("SRPT US Equity","CASH_AND_MARKETABLE_SECURITIES","FQ3 2024","FQ3 2024","Currency=USD","Period=FQ","BEST_FPERIOD_OVERRIDE=FQ","FILING_STATUS=MR","SCALING_FORMAT=MLN","Sort=A","Dates=H","DateFormat=P","Fill=—","Direction=H","UseDPDF=Y")</f>
        <v>1203.1120000000001</v>
      </c>
      <c r="AA14" s="13">
        <f>_xll.BDH("SRPT US Equity","CASH_AND_MARKETABLE_SECURITIES","FQ4 2024","FQ4 2024","Currency=USD","Period=FQ","BEST_FPERIOD_OVERRIDE=FQ","FILING_STATUS=MR","SCALING_FORMAT=MLN","Sort=A","Dates=H","DateFormat=P","Fill=—","Direction=H","UseDPDF=Y")</f>
        <v>1358.502</v>
      </c>
    </row>
    <row r="15" spans="1:27" x14ac:dyDescent="0.25">
      <c r="A15" s="10" t="s">
        <v>110</v>
      </c>
      <c r="B15" s="10" t="s">
        <v>111</v>
      </c>
      <c r="C15" s="13">
        <f>_xll.BDH("SRPT US Equity","BS_CUR_ASSET_REPORT","FQ4 2018","FQ4 2018","Currency=USD","Period=FQ","BEST_FPERIOD_OVERRIDE=FQ","FILING_STATUS=MR","SCALING_FORMAT=MLN","Sort=A","Dates=H","DateFormat=P","Fill=—","Direction=H","UseDPDF=Y")</f>
        <v>1426.183</v>
      </c>
      <c r="D15" s="13">
        <f>_xll.BDH("SRPT US Equity","BS_CUR_ASSET_REPORT","FQ1 2019","FQ1 2019","Currency=USD","Period=FQ","BEST_FPERIOD_OVERRIDE=FQ","FILING_STATUS=MR","SCALING_FORMAT=MLN","Sort=A","Dates=H","DateFormat=P","Fill=—","Direction=H","UseDPDF=Y")</f>
        <v>1671.423</v>
      </c>
      <c r="E15" s="13">
        <f>_xll.BDH("SRPT US Equity","BS_CUR_ASSET_REPORT","FQ2 2019","FQ2 2019","Currency=USD","Period=FQ","BEST_FPERIOD_OVERRIDE=FQ","FILING_STATUS=MR","SCALING_FORMAT=MLN","Sort=A","Dates=H","DateFormat=P","Fill=—","Direction=H","UseDPDF=Y")</f>
        <v>1427.4179999999999</v>
      </c>
      <c r="F15" s="13">
        <f>_xll.BDH("SRPT US Equity","BS_CUR_ASSET_REPORT","FQ3 2019","FQ3 2019","Currency=USD","Period=FQ","BEST_FPERIOD_OVERRIDE=FQ","FILING_STATUS=MR","SCALING_FORMAT=MLN","Sort=A","Dates=H","DateFormat=P","Fill=—","Direction=H","UseDPDF=Y")</f>
        <v>1362.299</v>
      </c>
      <c r="G15" s="13">
        <f>_xll.BDH("SRPT US Equity","BS_CUR_ASSET_REPORT","FQ4 2019","FQ4 2019","Currency=USD","Period=FQ","BEST_FPERIOD_OVERRIDE=FQ","FILING_STATUS=MR","SCALING_FORMAT=MLN","Sort=A","Dates=H","DateFormat=P","Fill=—","Direction=H","UseDPDF=Y")</f>
        <v>1468.913</v>
      </c>
      <c r="H15" s="13">
        <f>_xll.BDH("SRPT US Equity","BS_CUR_ASSET_REPORT","FQ1 2020","FQ1 2020","Currency=USD","Period=FQ","BEST_FPERIOD_OVERRIDE=FQ","FILING_STATUS=MR","SCALING_FORMAT=MLN","Sort=A","Dates=H","DateFormat=P","Fill=—","Direction=H","UseDPDF=Y")</f>
        <v>2547.348</v>
      </c>
      <c r="I15" s="13">
        <f>_xll.BDH("SRPT US Equity","BS_CUR_ASSET_REPORT","FQ2 2020","FQ2 2020","Currency=USD","Period=FQ","BEST_FPERIOD_OVERRIDE=FQ","FILING_STATUS=MR","SCALING_FORMAT=MLN","Sort=A","Dates=H","DateFormat=P","Fill=—","Direction=H","UseDPDF=Y")</f>
        <v>2459.4209999999998</v>
      </c>
      <c r="J15" s="13">
        <f>_xll.BDH("SRPT US Equity","BS_CUR_ASSET_REPORT","FQ3 2020","FQ3 2020","Currency=USD","Period=FQ","BEST_FPERIOD_OVERRIDE=FQ","FILING_STATUS=MR","SCALING_FORMAT=MLN","Sort=A","Dates=H","DateFormat=P","Fill=—","Direction=H","UseDPDF=Y")</f>
        <v>2322.6729999999998</v>
      </c>
      <c r="K15" s="13">
        <f>_xll.BDH("SRPT US Equity","BS_CUR_ASSET_REPORT","FQ4 2020","FQ4 2020","Currency=USD","Period=FQ","BEST_FPERIOD_OVERRIDE=FQ","FILING_STATUS=MR","SCALING_FORMAT=MLN","Sort=A","Dates=H","DateFormat=P","Fill=—","Direction=H","UseDPDF=Y")</f>
        <v>2485.1959999999999</v>
      </c>
      <c r="L15" s="13">
        <f>_xll.BDH("SRPT US Equity","BS_CUR_ASSET_REPORT","FQ1 2021","FQ1 2021","Currency=USD","Period=FQ","BEST_FPERIOD_OVERRIDE=FQ","FILING_STATUS=MR","SCALING_FORMAT=MLN","Sort=A","Dates=H","DateFormat=P","Fill=—","Direction=H","UseDPDF=Y")</f>
        <v>2271.35</v>
      </c>
      <c r="M15" s="13">
        <f>_xll.BDH("SRPT US Equity","BS_CUR_ASSET_REPORT","FQ2 2021","FQ2 2021","Currency=USD","Period=FQ","BEST_FPERIOD_OVERRIDE=FQ","FILING_STATUS=MR","SCALING_FORMAT=MLN","Sort=A","Dates=H","DateFormat=P","Fill=—","Direction=H","UseDPDF=Y")</f>
        <v>2265.2170000000001</v>
      </c>
      <c r="N15" s="13">
        <f>_xll.BDH("SRPT US Equity","BS_CUR_ASSET_REPORT","FQ3 2021","FQ3 2021","Currency=USD","Period=FQ","BEST_FPERIOD_OVERRIDE=FQ","FILING_STATUS=MR","SCALING_FORMAT=MLN","Sort=A","Dates=H","DateFormat=P","Fill=—","Direction=H","UseDPDF=Y")</f>
        <v>2185.31</v>
      </c>
      <c r="O15" s="13">
        <f>_xll.BDH("SRPT US Equity","BS_CUR_ASSET_REPORT","FQ4 2021","FQ4 2021","Currency=USD","Period=FQ","BEST_FPERIOD_OVERRIDE=FQ","FILING_STATUS=MR","SCALING_FORMAT=MLN","Sort=A","Dates=H","DateFormat=P","Fill=—","Direction=H","UseDPDF=Y")</f>
        <v>2604.0990000000002</v>
      </c>
      <c r="P15" s="13">
        <f>_xll.BDH("SRPT US Equity","BS_CUR_ASSET_REPORT","FQ1 2022","FQ1 2022","Currency=USD","Period=FQ","BEST_FPERIOD_OVERRIDE=FQ","FILING_STATUS=MR","SCALING_FORMAT=MLN","Sort=A","Dates=H","DateFormat=P","Fill=—","Direction=H","UseDPDF=Y")</f>
        <v>2530.9470000000001</v>
      </c>
      <c r="Q15" s="13">
        <f>_xll.BDH("SRPT US Equity","BS_CUR_ASSET_REPORT","FQ2 2022","FQ2 2022","Currency=USD","Period=FQ","BEST_FPERIOD_OVERRIDE=FQ","FILING_STATUS=MR","SCALING_FORMAT=MLN","Sort=A","Dates=H","DateFormat=P","Fill=—","Direction=H","UseDPDF=Y")</f>
        <v>2469.3000000000002</v>
      </c>
      <c r="R15" s="13">
        <f>_xll.BDH("SRPT US Equity","BS_CUR_ASSET_REPORT","FQ3 2022","FQ3 2022","Currency=USD","Period=FQ","BEST_FPERIOD_OVERRIDE=FQ","FILING_STATUS=MR","SCALING_FORMAT=MLN","Sort=A","Dates=H","DateFormat=P","Fill=—","Direction=H","UseDPDF=Y")</f>
        <v>2625.9290000000001</v>
      </c>
      <c r="S15" s="13">
        <f>_xll.BDH("SRPT US Equity","BS_CUR_ASSET_REPORT","FQ4 2022","FQ4 2022","Currency=USD","Period=FQ","BEST_FPERIOD_OVERRIDE=FQ","FILING_STATUS=MR","SCALING_FORMAT=MLN","Sort=A","Dates=H","DateFormat=P","Fill=—","Direction=H","UseDPDF=Y")</f>
        <v>2557.8609999999999</v>
      </c>
      <c r="T15" s="13">
        <f>_xll.BDH("SRPT US Equity","BS_CUR_ASSET_REPORT","FQ1 2023","FQ1 2023","Currency=USD","Period=FQ","BEST_FPERIOD_OVERRIDE=FQ","FILING_STATUS=MR","SCALING_FORMAT=MLN","Sort=A","Dates=H","DateFormat=P","Fill=—","Direction=H","UseDPDF=Y")</f>
        <v>2488.377</v>
      </c>
      <c r="U15" s="13">
        <f>_xll.BDH("SRPT US Equity","BS_CUR_ASSET_REPORT","FQ2 2023","FQ2 2023","Currency=USD","Period=FQ","BEST_FPERIOD_OVERRIDE=FQ","FILING_STATUS=MR","SCALING_FORMAT=MLN","Sort=A","Dates=H","DateFormat=P","Fill=—","Direction=H","UseDPDF=Y")</f>
        <v>2472.614</v>
      </c>
      <c r="V15" s="13">
        <f>_xll.BDH("SRPT US Equity","BS_CUR_ASSET_REPORT","FQ3 2023","FQ3 2023","Currency=USD","Period=FQ","BEST_FPERIOD_OVERRIDE=FQ","FILING_STATUS=MR","SCALING_FORMAT=MLN","Sort=A","Dates=H","DateFormat=P","Fill=—","Direction=H","UseDPDF=Y")</f>
        <v>2450.8490000000002</v>
      </c>
      <c r="W15" s="13">
        <f>_xll.BDH("SRPT US Equity","BS_CUR_ASSET_REPORT","FQ4 2023","FQ4 2023","Currency=USD","Period=FQ","BEST_FPERIOD_OVERRIDE=FQ","FILING_STATUS=MR","SCALING_FORMAT=MLN","Sort=A","Dates=H","DateFormat=P","Fill=—","Direction=H","UseDPDF=Y")</f>
        <v>2579.3310000000001</v>
      </c>
      <c r="X15" s="13">
        <f>_xll.BDH("SRPT US Equity","BS_CUR_ASSET_REPORT","FQ1 2024","FQ1 2024","Currency=USD","Period=FQ","BEST_FPERIOD_OVERRIDE=FQ","FILING_STATUS=MR","SCALING_FORMAT=MLN","Sort=A","Dates=H","DateFormat=P","Fill=—","Direction=H","UseDPDF=Y")</f>
        <v>2464.8649999999998</v>
      </c>
      <c r="Y15" s="13">
        <f>_xll.BDH("SRPT US Equity","BS_CUR_ASSET_REPORT","FQ2 2024","FQ2 2024","Currency=USD","Period=FQ","BEST_FPERIOD_OVERRIDE=FQ","FILING_STATUS=MR","SCALING_FORMAT=MLN","Sort=A","Dates=H","DateFormat=P","Fill=—","Direction=H","UseDPDF=Y")</f>
        <v>2683.636</v>
      </c>
      <c r="Z15" s="13">
        <f>_xll.BDH("SRPT US Equity","BS_CUR_ASSET_REPORT","FQ3 2024","FQ3 2024","Currency=USD","Period=FQ","BEST_FPERIOD_OVERRIDE=FQ","FILING_STATUS=MR","SCALING_FORMAT=MLN","Sort=A","Dates=H","DateFormat=P","Fill=—","Direction=H","UseDPDF=Y")</f>
        <v>2685.3690000000001</v>
      </c>
      <c r="AA15" s="13">
        <f>_xll.BDH("SRPT US Equity","BS_CUR_ASSET_REPORT","FQ4 2024","FQ4 2024","Currency=USD","Period=FQ","BEST_FPERIOD_OVERRIDE=FQ","FILING_STATUS=MR","SCALING_FORMAT=MLN","Sort=A","Dates=H","DateFormat=P","Fill=—","Direction=H","UseDPDF=Y")</f>
        <v>3073.4630000000002</v>
      </c>
    </row>
    <row r="16" spans="1:27" x14ac:dyDescent="0.25">
      <c r="A16" s="10" t="s">
        <v>112</v>
      </c>
      <c r="B16" s="10" t="s">
        <v>113</v>
      </c>
      <c r="C16" s="13">
        <f>_xll.BDH("SRPT US Equity","BS_TOT_ASSET","FQ4 2018","FQ4 2018","Currency=USD","Period=FQ","BEST_FPERIOD_OVERRIDE=FQ","FILING_STATUS=MR","SCALING_FORMAT=MLN","Sort=A","Dates=H","DateFormat=P","Fill=—","Direction=H","UseDPDF=Y")</f>
        <v>1642.075</v>
      </c>
      <c r="D16" s="13">
        <f>_xll.BDH("SRPT US Equity","BS_TOT_ASSET","FQ1 2019","FQ1 2019","Currency=USD","Period=FQ","BEST_FPERIOD_OVERRIDE=FQ","FILING_STATUS=MR","SCALING_FORMAT=MLN","Sort=A","Dates=H","DateFormat=P","Fill=—","Direction=H","UseDPDF=Y")</f>
        <v>1963.895</v>
      </c>
      <c r="E16" s="13">
        <f>_xll.BDH("SRPT US Equity","BS_TOT_ASSET","FQ2 2019","FQ2 2019","Currency=USD","Period=FQ","BEST_FPERIOD_OVERRIDE=FQ","FILING_STATUS=MR","SCALING_FORMAT=MLN","Sort=A","Dates=H","DateFormat=P","Fill=—","Direction=H","UseDPDF=Y")</f>
        <v>1747.7529999999999</v>
      </c>
      <c r="F16" s="13">
        <f>_xll.BDH("SRPT US Equity","BS_TOT_ASSET","FQ3 2019","FQ3 2019","Currency=USD","Period=FQ","BEST_FPERIOD_OVERRIDE=FQ","FILING_STATUS=MR","SCALING_FORMAT=MLN","Sort=A","Dates=H","DateFormat=P","Fill=—","Direction=H","UseDPDF=Y")</f>
        <v>1702.47</v>
      </c>
      <c r="G16" s="13">
        <f>_xll.BDH("SRPT US Equity","BS_TOT_ASSET","FQ4 2019","FQ4 2019","Currency=USD","Period=FQ","BEST_FPERIOD_OVERRIDE=FQ","FILING_STATUS=MR","SCALING_FORMAT=MLN","Sort=A","Dates=H","DateFormat=P","Fill=—","Direction=H","UseDPDF=Y")</f>
        <v>1822.8219999999999</v>
      </c>
      <c r="H16" s="13">
        <f>_xll.BDH("SRPT US Equity","BS_TOT_ASSET","FQ1 2020","FQ1 2020","Currency=USD","Period=FQ","BEST_FPERIOD_OVERRIDE=FQ","FILING_STATUS=MR","SCALING_FORMAT=MLN","Sort=A","Dates=H","DateFormat=P","Fill=—","Direction=H","UseDPDF=Y")</f>
        <v>2947.3879999999999</v>
      </c>
      <c r="I16" s="13">
        <f>_xll.BDH("SRPT US Equity","BS_TOT_ASSET","FQ2 2020","FQ2 2020","Currency=USD","Period=FQ","BEST_FPERIOD_OVERRIDE=FQ","FILING_STATUS=MR","SCALING_FORMAT=MLN","Sort=A","Dates=H","DateFormat=P","Fill=—","Direction=H","UseDPDF=Y")</f>
        <v>2883.0430000000001</v>
      </c>
      <c r="J16" s="13">
        <f>_xll.BDH("SRPT US Equity","BS_TOT_ASSET","FQ3 2020","FQ3 2020","Currency=USD","Period=FQ","BEST_FPERIOD_OVERRIDE=FQ","FILING_STATUS=MR","SCALING_FORMAT=MLN","Sort=A","Dates=H","DateFormat=P","Fill=—","Direction=H","UseDPDF=Y")</f>
        <v>2780.6640000000002</v>
      </c>
      <c r="K16" s="13">
        <f>_xll.BDH("SRPT US Equity","BS_TOT_ASSET","FQ4 2020","FQ4 2020","Currency=USD","Period=FQ","BEST_FPERIOD_OVERRIDE=FQ","FILING_STATUS=MR","SCALING_FORMAT=MLN","Sort=A","Dates=H","DateFormat=P","Fill=—","Direction=H","UseDPDF=Y")</f>
        <v>2984.7179999999998</v>
      </c>
      <c r="L16" s="13">
        <f>_xll.BDH("SRPT US Equity","BS_TOT_ASSET","FQ1 2021","FQ1 2021","Currency=USD","Period=FQ","BEST_FPERIOD_OVERRIDE=FQ","FILING_STATUS=MR","SCALING_FORMAT=MLN","Sort=A","Dates=H","DateFormat=P","Fill=—","Direction=H","UseDPDF=Y")</f>
        <v>2765.2330000000002</v>
      </c>
      <c r="M16" s="13">
        <f>_xll.BDH("SRPT US Equity","BS_TOT_ASSET","FQ2 2021","FQ2 2021","Currency=USD","Period=FQ","BEST_FPERIOD_OVERRIDE=FQ","FILING_STATUS=MR","SCALING_FORMAT=MLN","Sort=A","Dates=H","DateFormat=P","Fill=—","Direction=H","UseDPDF=Y")</f>
        <v>2759.0729999999999</v>
      </c>
      <c r="N16" s="13">
        <f>_xll.BDH("SRPT US Equity","BS_TOT_ASSET","FQ3 2021","FQ3 2021","Currency=USD","Period=FQ","BEST_FPERIOD_OVERRIDE=FQ","FILING_STATUS=MR","SCALING_FORMAT=MLN","Sort=A","Dates=H","DateFormat=P","Fill=—","Direction=H","UseDPDF=Y")</f>
        <v>2662.2179999999998</v>
      </c>
      <c r="O16" s="13">
        <f>_xll.BDH("SRPT US Equity","BS_TOT_ASSET","FQ4 2021","FQ4 2021","Currency=USD","Period=FQ","BEST_FPERIOD_OVERRIDE=FQ","FILING_STATUS=MR","SCALING_FORMAT=MLN","Sort=A","Dates=H","DateFormat=P","Fill=—","Direction=H","UseDPDF=Y")</f>
        <v>3147.9740000000002</v>
      </c>
      <c r="P16" s="13">
        <f>_xll.BDH("SRPT US Equity","BS_TOT_ASSET","FQ1 2022","FQ1 2022","Currency=USD","Period=FQ","BEST_FPERIOD_OVERRIDE=FQ","FILING_STATUS=MR","SCALING_FORMAT=MLN","Sort=A","Dates=H","DateFormat=P","Fill=—","Direction=H","UseDPDF=Y")</f>
        <v>3056.154</v>
      </c>
      <c r="Q16" s="13">
        <f>_xll.BDH("SRPT US Equity","BS_TOT_ASSET","FQ2 2022","FQ2 2022","Currency=USD","Period=FQ","BEST_FPERIOD_OVERRIDE=FQ","FILING_STATUS=MR","SCALING_FORMAT=MLN","Sort=A","Dates=H","DateFormat=P","Fill=—","Direction=H","UseDPDF=Y")</f>
        <v>2996.8530000000001</v>
      </c>
      <c r="R16" s="13">
        <f>_xll.BDH("SRPT US Equity","BS_TOT_ASSET","FQ3 2022","FQ3 2022","Currency=USD","Period=FQ","BEST_FPERIOD_OVERRIDE=FQ","FILING_STATUS=MR","SCALING_FORMAT=MLN","Sort=A","Dates=H","DateFormat=P","Fill=—","Direction=H","UseDPDF=Y")</f>
        <v>3156.1489999999999</v>
      </c>
      <c r="S16" s="13">
        <f>_xll.BDH("SRPT US Equity","BS_TOT_ASSET","FQ4 2022","FQ4 2022","Currency=USD","Period=FQ","BEST_FPERIOD_OVERRIDE=FQ","FILING_STATUS=MR","SCALING_FORMAT=MLN","Sort=A","Dates=H","DateFormat=P","Fill=—","Direction=H","UseDPDF=Y")</f>
        <v>3128.366</v>
      </c>
      <c r="T16" s="13">
        <f>_xll.BDH("SRPT US Equity","BS_TOT_ASSET","FQ1 2023","FQ1 2023","Currency=USD","Period=FQ","BEST_FPERIOD_OVERRIDE=FQ","FILING_STATUS=MR","SCALING_FORMAT=MLN","Sort=A","Dates=H","DateFormat=P","Fill=—","Direction=H","UseDPDF=Y")</f>
        <v>3059.7860000000001</v>
      </c>
      <c r="U16" s="13">
        <f>_xll.BDH("SRPT US Equity","BS_TOT_ASSET","FQ2 2023","FQ2 2023","Currency=USD","Period=FQ","BEST_FPERIOD_OVERRIDE=FQ","FILING_STATUS=MR","SCALING_FORMAT=MLN","Sort=A","Dates=H","DateFormat=P","Fill=—","Direction=H","UseDPDF=Y")</f>
        <v>3125.89</v>
      </c>
      <c r="V16" s="13">
        <f>_xll.BDH("SRPT US Equity","BS_TOT_ASSET","FQ3 2023","FQ3 2023","Currency=USD","Period=FQ","BEST_FPERIOD_OVERRIDE=FQ","FILING_STATUS=MR","SCALING_FORMAT=MLN","Sort=A","Dates=H","DateFormat=P","Fill=—","Direction=H","UseDPDF=Y")</f>
        <v>3109.7069999999999</v>
      </c>
      <c r="W16" s="13">
        <f>_xll.BDH("SRPT US Equity","BS_TOT_ASSET","FQ4 2023","FQ4 2023","Currency=USD","Period=FQ","BEST_FPERIOD_OVERRIDE=FQ","FILING_STATUS=MR","SCALING_FORMAT=MLN","Sort=A","Dates=H","DateFormat=P","Fill=—","Direction=H","UseDPDF=Y")</f>
        <v>3264.576</v>
      </c>
      <c r="X16" s="13">
        <f>_xll.BDH("SRPT US Equity","BS_TOT_ASSET","FQ1 2024","FQ1 2024","Currency=USD","Period=FQ","BEST_FPERIOD_OVERRIDE=FQ","FILING_STATUS=MR","SCALING_FORMAT=MLN","Sort=A","Dates=H","DateFormat=P","Fill=—","Direction=H","UseDPDF=Y")</f>
        <v>3224.3850000000002</v>
      </c>
      <c r="Y16" s="13">
        <f>_xll.BDH("SRPT US Equity","BS_TOT_ASSET","FQ2 2024","FQ2 2024","Currency=USD","Period=FQ","BEST_FPERIOD_OVERRIDE=FQ","FILING_STATUS=MR","SCALING_FORMAT=MLN","Sort=A","Dates=H","DateFormat=P","Fill=—","Direction=H","UseDPDF=Y")</f>
        <v>3424.2570000000001</v>
      </c>
      <c r="Z16" s="13">
        <f>_xll.BDH("SRPT US Equity","BS_TOT_ASSET","FQ3 2024","FQ3 2024","Currency=USD","Period=FQ","BEST_FPERIOD_OVERRIDE=FQ","FILING_STATUS=MR","SCALING_FORMAT=MLN","Sort=A","Dates=H","DateFormat=P","Fill=—","Direction=H","UseDPDF=Y")</f>
        <v>3599.9340000000002</v>
      </c>
      <c r="AA16" s="13">
        <f>_xll.BDH("SRPT US Equity","BS_TOT_ASSET","FQ4 2024","FQ4 2024","Currency=USD","Period=FQ","BEST_FPERIOD_OVERRIDE=FQ","FILING_STATUS=MR","SCALING_FORMAT=MLN","Sort=A","Dates=H","DateFormat=P","Fill=—","Direction=H","UseDPDF=Y")</f>
        <v>3963.1729999999998</v>
      </c>
    </row>
    <row r="17" spans="1:27" x14ac:dyDescent="0.25">
      <c r="A17" s="10" t="s">
        <v>114</v>
      </c>
      <c r="B17" s="10" t="s">
        <v>115</v>
      </c>
      <c r="C17" s="13">
        <f>_xll.BDH("SRPT US Equity","BS_CUR_LIAB","FQ4 2018","FQ4 2018","Currency=USD","Period=FQ","BEST_FPERIOD_OVERRIDE=FQ","FILING_STATUS=MR","SCALING_FORMAT=MLN","Sort=A","Dates=H","DateFormat=P","Fill=—","Direction=H","UseDPDF=Y")</f>
        <v>173.69</v>
      </c>
      <c r="D17" s="13">
        <f>_xll.BDH("SRPT US Equity","BS_CUR_LIAB","FQ1 2019","FQ1 2019","Currency=USD","Period=FQ","BEST_FPERIOD_OVERRIDE=FQ","FILING_STATUS=MR","SCALING_FORMAT=MLN","Sort=A","Dates=H","DateFormat=P","Fill=—","Direction=H","UseDPDF=Y")</f>
        <v>137.36600000000001</v>
      </c>
      <c r="E17" s="13">
        <f>_xll.BDH("SRPT US Equity","BS_CUR_LIAB","FQ2 2019","FQ2 2019","Currency=USD","Period=FQ","BEST_FPERIOD_OVERRIDE=FQ","FILING_STATUS=MR","SCALING_FORMAT=MLN","Sort=A","Dates=H","DateFormat=P","Fill=—","Direction=H","UseDPDF=Y")</f>
        <v>162.089</v>
      </c>
      <c r="F17" s="13">
        <f>_xll.BDH("SRPT US Equity","BS_CUR_LIAB","FQ3 2019","FQ3 2019","Currency=USD","Period=FQ","BEST_FPERIOD_OVERRIDE=FQ","FILING_STATUS=MR","SCALING_FORMAT=MLN","Sort=A","Dates=H","DateFormat=P","Fill=—","Direction=H","UseDPDF=Y")</f>
        <v>215.85599999999999</v>
      </c>
      <c r="G17" s="13">
        <f>_xll.BDH("SRPT US Equity","BS_CUR_LIAB","FQ4 2019","FQ4 2019","Currency=USD","Period=FQ","BEST_FPERIOD_OVERRIDE=FQ","FILING_STATUS=MR","SCALING_FORMAT=MLN","Sort=A","Dates=H","DateFormat=P","Fill=—","Direction=H","UseDPDF=Y")</f>
        <v>264.767</v>
      </c>
      <c r="H17" s="13">
        <f>_xll.BDH("SRPT US Equity","BS_CUR_LIAB","FQ1 2020","FQ1 2020","Currency=USD","Period=FQ","BEST_FPERIOD_OVERRIDE=FQ","FILING_STATUS=MR","SCALING_FORMAT=MLN","Sort=A","Dates=H","DateFormat=P","Fill=—","Direction=H","UseDPDF=Y")</f>
        <v>306.42899999999997</v>
      </c>
      <c r="I17" s="13">
        <f>_xll.BDH("SRPT US Equity","BS_CUR_LIAB","FQ2 2020","FQ2 2020","Currency=USD","Period=FQ","BEST_FPERIOD_OVERRIDE=FQ","FILING_STATUS=MR","SCALING_FORMAT=MLN","Sort=A","Dates=H","DateFormat=P","Fill=—","Direction=H","UseDPDF=Y")</f>
        <v>354.89600000000002</v>
      </c>
      <c r="J17" s="13">
        <f>_xll.BDH("SRPT US Equity","BS_CUR_LIAB","FQ3 2020","FQ3 2020","Currency=USD","Period=FQ","BEST_FPERIOD_OVERRIDE=FQ","FILING_STATUS=MR","SCALING_FORMAT=MLN","Sort=A","Dates=H","DateFormat=P","Fill=—","Direction=H","UseDPDF=Y")</f>
        <v>378.38799999999998</v>
      </c>
      <c r="K17" s="13">
        <f>_xll.BDH("SRPT US Equity","BS_CUR_LIAB","FQ4 2020","FQ4 2020","Currency=USD","Period=FQ","BEST_FPERIOD_OVERRIDE=FQ","FILING_STATUS=MR","SCALING_FORMAT=MLN","Sort=A","Dates=H","DateFormat=P","Fill=—","Direction=H","UseDPDF=Y")</f>
        <v>416.02600000000001</v>
      </c>
      <c r="L17" s="13">
        <f>_xll.BDH("SRPT US Equity","BS_CUR_LIAB","FQ1 2021","FQ1 2021","Currency=USD","Period=FQ","BEST_FPERIOD_OVERRIDE=FQ","FILING_STATUS=MR","SCALING_FORMAT=MLN","Sort=A","Dates=H","DateFormat=P","Fill=—","Direction=H","UseDPDF=Y")</f>
        <v>364.73599999999999</v>
      </c>
      <c r="M17" s="13">
        <f>_xll.BDH("SRPT US Equity","BS_CUR_LIAB","FQ2 2021","FQ2 2021","Currency=USD","Period=FQ","BEST_FPERIOD_OVERRIDE=FQ","FILING_STATUS=MR","SCALING_FORMAT=MLN","Sort=A","Dates=H","DateFormat=P","Fill=—","Direction=H","UseDPDF=Y")</f>
        <v>425.02199999999999</v>
      </c>
      <c r="N17" s="13">
        <f>_xll.BDH("SRPT US Equity","BS_CUR_LIAB","FQ3 2021","FQ3 2021","Currency=USD","Period=FQ","BEST_FPERIOD_OVERRIDE=FQ","FILING_STATUS=MR","SCALING_FORMAT=MLN","Sort=A","Dates=H","DateFormat=P","Fill=—","Direction=H","UseDPDF=Y")</f>
        <v>373.44299999999998</v>
      </c>
      <c r="O17" s="13">
        <f>_xll.BDH("SRPT US Equity","BS_CUR_LIAB","FQ4 2021","FQ4 2021","Currency=USD","Period=FQ","BEST_FPERIOD_OVERRIDE=FQ","FILING_STATUS=MR","SCALING_FORMAT=MLN","Sort=A","Dates=H","DateFormat=P","Fill=—","Direction=H","UseDPDF=Y")</f>
        <v>452.733</v>
      </c>
      <c r="P17" s="13">
        <f>_xll.BDH("SRPT US Equity","BS_CUR_LIAB","FQ1 2022","FQ1 2022","Currency=USD","Period=FQ","BEST_FPERIOD_OVERRIDE=FQ","FILING_STATUS=MR","SCALING_FORMAT=MLN","Sort=A","Dates=H","DateFormat=P","Fill=—","Direction=H","UseDPDF=Y")</f>
        <v>454.96199999999999</v>
      </c>
      <c r="Q17" s="13">
        <f>_xll.BDH("SRPT US Equity","BS_CUR_LIAB","FQ2 2022","FQ2 2022","Currency=USD","Period=FQ","BEST_FPERIOD_OVERRIDE=FQ","FILING_STATUS=MR","SCALING_FORMAT=MLN","Sort=A","Dates=H","DateFormat=P","Fill=—","Direction=H","UseDPDF=Y")</f>
        <v>545.56600000000003</v>
      </c>
      <c r="R17" s="13">
        <f>_xll.BDH("SRPT US Equity","BS_CUR_LIAB","FQ3 2022","FQ3 2022","Currency=USD","Period=FQ","BEST_FPERIOD_OVERRIDE=FQ","FILING_STATUS=MR","SCALING_FORMAT=MLN","Sort=A","Dates=H","DateFormat=P","Fill=—","Direction=H","UseDPDF=Y")</f>
        <v>602.91600000000005</v>
      </c>
      <c r="S17" s="13">
        <f>_xll.BDH("SRPT US Equity","BS_CUR_LIAB","FQ4 2022","FQ4 2022","Currency=USD","Period=FQ","BEST_FPERIOD_OVERRIDE=FQ","FILING_STATUS=MR","SCALING_FORMAT=MLN","Sort=A","Dates=H","DateFormat=P","Fill=—","Direction=H","UseDPDF=Y")</f>
        <v>619.60400000000004</v>
      </c>
      <c r="T17" s="13">
        <f>_xll.BDH("SRPT US Equity","BS_CUR_LIAB","FQ1 2023","FQ1 2023","Currency=USD","Period=FQ","BEST_FPERIOD_OVERRIDE=FQ","FILING_STATUS=MR","SCALING_FORMAT=MLN","Sort=A","Dates=H","DateFormat=P","Fill=—","Direction=H","UseDPDF=Y")</f>
        <v>536.88400000000001</v>
      </c>
      <c r="U17" s="13">
        <f>_xll.BDH("SRPT US Equity","BS_CUR_LIAB","FQ2 2023","FQ2 2023","Currency=USD","Period=FQ","BEST_FPERIOD_OVERRIDE=FQ","FILING_STATUS=MR","SCALING_FORMAT=MLN","Sort=A","Dates=H","DateFormat=P","Fill=—","Direction=H","UseDPDF=Y")</f>
        <v>498.654</v>
      </c>
      <c r="V17" s="13">
        <f>_xll.BDH("SRPT US Equity","BS_CUR_LIAB","FQ3 2023","FQ3 2023","Currency=USD","Period=FQ","BEST_FPERIOD_OVERRIDE=FQ","FILING_STATUS=MR","SCALING_FORMAT=MLN","Sort=A","Dates=H","DateFormat=P","Fill=—","Direction=H","UseDPDF=Y")</f>
        <v>450.74299999999999</v>
      </c>
      <c r="W17" s="13">
        <f>_xll.BDH("SRPT US Equity","BS_CUR_LIAB","FQ4 2023","FQ4 2023","Currency=USD","Period=FQ","BEST_FPERIOD_OVERRIDE=FQ","FILING_STATUS=MR","SCALING_FORMAT=MLN","Sort=A","Dates=H","DateFormat=P","Fill=—","Direction=H","UseDPDF=Y")</f>
        <v>653.65899999999999</v>
      </c>
      <c r="X17" s="13">
        <f>_xll.BDH("SRPT US Equity","BS_CUR_LIAB","FQ1 2024","FQ1 2024","Currency=USD","Period=FQ","BEST_FPERIOD_OVERRIDE=FQ","FILING_STATUS=MR","SCALING_FORMAT=MLN","Sort=A","Dates=H","DateFormat=P","Fill=—","Direction=H","UseDPDF=Y")</f>
        <v>608.70899999999995</v>
      </c>
      <c r="Y17" s="13">
        <f>_xll.BDH("SRPT US Equity","BS_CUR_LIAB","FQ2 2024","FQ2 2024","Currency=USD","Period=FQ","BEST_FPERIOD_OVERRIDE=FQ","FILING_STATUS=MR","SCALING_FORMAT=MLN","Sort=A","Dates=H","DateFormat=P","Fill=—","Direction=H","UseDPDF=Y")</f>
        <v>688.49</v>
      </c>
      <c r="Z17" s="13">
        <f>_xll.BDH("SRPT US Equity","BS_CUR_LIAB","FQ3 2024","FQ3 2024","Currency=USD","Period=FQ","BEST_FPERIOD_OVERRIDE=FQ","FILING_STATUS=MR","SCALING_FORMAT=MLN","Sort=A","Dates=H","DateFormat=P","Fill=—","Direction=H","UseDPDF=Y")</f>
        <v>699.48900000000003</v>
      </c>
      <c r="AA17" s="13">
        <f>_xll.BDH("SRPT US Equity","BS_CUR_LIAB","FQ4 2024","FQ4 2024","Currency=USD","Period=FQ","BEST_FPERIOD_OVERRIDE=FQ","FILING_STATUS=MR","SCALING_FORMAT=MLN","Sort=A","Dates=H","DateFormat=P","Fill=—","Direction=H","UseDPDF=Y")</f>
        <v>731.68399999999997</v>
      </c>
    </row>
    <row r="18" spans="1:27" x14ac:dyDescent="0.25">
      <c r="A18" s="10" t="s">
        <v>116</v>
      </c>
      <c r="B18" s="10" t="s">
        <v>117</v>
      </c>
      <c r="C18" s="13">
        <f>_xll.BDH("SRPT US Equity","BS_TOT_LIAB2","FQ4 2018","FQ4 2018","Currency=USD","Period=FQ","BEST_FPERIOD_OVERRIDE=FQ","FILING_STATUS=MR","SCALING_FORMAT=MLN","Sort=A","Dates=H","DateFormat=P","Fill=—","Direction=H","UseDPDF=Y")</f>
        <v>609.79899999999998</v>
      </c>
      <c r="D18" s="13">
        <f>_xll.BDH("SRPT US Equity","BS_TOT_LIAB2","FQ1 2019","FQ1 2019","Currency=USD","Period=FQ","BEST_FPERIOD_OVERRIDE=FQ","FILING_STATUS=MR","SCALING_FORMAT=MLN","Sort=A","Dates=H","DateFormat=P","Fill=—","Direction=H","UseDPDF=Y")</f>
        <v>615.33100000000002</v>
      </c>
      <c r="E18" s="13">
        <f>_xll.BDH("SRPT US Equity","BS_TOT_LIAB2","FQ2 2019","FQ2 2019","Currency=USD","Period=FQ","BEST_FPERIOD_OVERRIDE=FQ","FILING_STATUS=MR","SCALING_FORMAT=MLN","Sort=A","Dates=H","DateFormat=P","Fill=—","Direction=H","UseDPDF=Y")</f>
        <v>648.58600000000001</v>
      </c>
      <c r="F18" s="13">
        <f>_xll.BDH("SRPT US Equity","BS_TOT_LIAB2","FQ3 2019","FQ3 2019","Currency=USD","Period=FQ","BEST_FPERIOD_OVERRIDE=FQ","FILING_STATUS=MR","SCALING_FORMAT=MLN","Sort=A","Dates=H","DateFormat=P","Fill=—","Direction=H","UseDPDF=Y")</f>
        <v>707.26599999999996</v>
      </c>
      <c r="G18" s="13">
        <f>_xll.BDH("SRPT US Equity","BS_TOT_LIAB2","FQ4 2019","FQ4 2019","Currency=USD","Period=FQ","BEST_FPERIOD_OVERRIDE=FQ","FILING_STATUS=MR","SCALING_FORMAT=MLN","Sort=A","Dates=H","DateFormat=P","Fill=—","Direction=H","UseDPDF=Y")</f>
        <v>1004.635</v>
      </c>
      <c r="H18" s="13">
        <f>_xll.BDH("SRPT US Equity","BS_TOT_LIAB2","FQ1 2020","FQ1 2020","Currency=USD","Period=FQ","BEST_FPERIOD_OVERRIDE=FQ","FILING_STATUS=MR","SCALING_FORMAT=MLN","Sort=A","Dates=H","DateFormat=P","Fill=—","Direction=H","UseDPDF=Y")</f>
        <v>1802.56</v>
      </c>
      <c r="I18" s="13">
        <f>_xll.BDH("SRPT US Equity","BS_TOT_LIAB2","FQ2 2020","FQ2 2020","Currency=USD","Period=FQ","BEST_FPERIOD_OVERRIDE=FQ","FILING_STATUS=MR","SCALING_FORMAT=MLN","Sort=A","Dates=H","DateFormat=P","Fill=—","Direction=H","UseDPDF=Y")</f>
        <v>1840.1769999999999</v>
      </c>
      <c r="J18" s="13">
        <f>_xll.BDH("SRPT US Equity","BS_TOT_LIAB2","FQ3 2020","FQ3 2020","Currency=USD","Period=FQ","BEST_FPERIOD_OVERRIDE=FQ","FILING_STATUS=MR","SCALING_FORMAT=MLN","Sort=A","Dates=H","DateFormat=P","Fill=—","Direction=H","UseDPDF=Y")</f>
        <v>1888.617</v>
      </c>
      <c r="K18" s="13">
        <f>_xll.BDH("SRPT US Equity","BS_TOT_LIAB2","FQ4 2020","FQ4 2020","Currency=USD","Period=FQ","BEST_FPERIOD_OVERRIDE=FQ","FILING_STATUS=MR","SCALING_FORMAT=MLN","Sort=A","Dates=H","DateFormat=P","Fill=—","Direction=H","UseDPDF=Y")</f>
        <v>2222.9589999999998</v>
      </c>
      <c r="L18" s="13">
        <f>_xll.BDH("SRPT US Equity","BS_TOT_LIAB2","FQ1 2021","FQ1 2021","Currency=USD","Period=FQ","BEST_FPERIOD_OVERRIDE=FQ","FILING_STATUS=MR","SCALING_FORMAT=MLN","Sort=A","Dates=H","DateFormat=P","Fill=—","Direction=H","UseDPDF=Y")</f>
        <v>2229.788</v>
      </c>
      <c r="M18" s="13">
        <f>_xll.BDH("SRPT US Equity","BS_TOT_LIAB2","FQ2 2021","FQ2 2021","Currency=USD","Period=FQ","BEST_FPERIOD_OVERRIDE=FQ","FILING_STATUS=MR","SCALING_FORMAT=MLN","Sort=A","Dates=H","DateFormat=P","Fill=—","Direction=H","UseDPDF=Y")</f>
        <v>2273.9650000000001</v>
      </c>
      <c r="N18" s="13">
        <f>_xll.BDH("SRPT US Equity","BS_TOT_LIAB2","FQ3 2021","FQ3 2021","Currency=USD","Period=FQ","BEST_FPERIOD_OVERRIDE=FQ","FILING_STATUS=MR","SCALING_FORMAT=MLN","Sort=A","Dates=H","DateFormat=P","Fill=—","Direction=H","UseDPDF=Y")</f>
        <v>2192.69</v>
      </c>
      <c r="O18" s="13">
        <f>_xll.BDH("SRPT US Equity","BS_TOT_LIAB2","FQ4 2021","FQ4 2021","Currency=USD","Period=FQ","BEST_FPERIOD_OVERRIDE=FQ","FILING_STATUS=MR","SCALING_FORMAT=MLN","Sort=A","Dates=H","DateFormat=P","Fill=—","Direction=H","UseDPDF=Y")</f>
        <v>2219.9650000000001</v>
      </c>
      <c r="P18" s="13">
        <f>_xll.BDH("SRPT US Equity","BS_TOT_LIAB2","FQ1 2022","FQ1 2022","Currency=USD","Period=FQ","BEST_FPERIOD_OVERRIDE=FQ","FILING_STATUS=MR","SCALING_FORMAT=MLN","Sort=A","Dates=H","DateFormat=P","Fill=—","Direction=H","UseDPDF=Y")</f>
        <v>2199.268</v>
      </c>
      <c r="Q18" s="13">
        <f>_xll.BDH("SRPT US Equity","BS_TOT_LIAB2","FQ2 2022","FQ2 2022","Currency=USD","Period=FQ","BEST_FPERIOD_OVERRIDE=FQ","FILING_STATUS=MR","SCALING_FORMAT=MLN","Sort=A","Dates=H","DateFormat=P","Fill=—","Direction=H","UseDPDF=Y")</f>
        <v>2270.3960000000002</v>
      </c>
      <c r="R18" s="13">
        <f>_xll.BDH("SRPT US Equity","BS_TOT_LIAB2","FQ3 2022","FQ3 2022","Currency=USD","Period=FQ","BEST_FPERIOD_OVERRIDE=FQ","FILING_STATUS=MR","SCALING_FORMAT=MLN","Sort=A","Dates=H","DateFormat=P","Fill=—","Direction=H","UseDPDF=Y")</f>
        <v>2725.3090000000002</v>
      </c>
      <c r="S18" s="13">
        <f>_xll.BDH("SRPT US Equity","BS_TOT_LIAB2","FQ4 2022","FQ4 2022","Currency=USD","Period=FQ","BEST_FPERIOD_OVERRIDE=FQ","FILING_STATUS=MR","SCALING_FORMAT=MLN","Sort=A","Dates=H","DateFormat=P","Fill=—","Direction=H","UseDPDF=Y")</f>
        <v>2743.4160000000002</v>
      </c>
      <c r="T18" s="13">
        <f>_xll.BDH("SRPT US Equity","BS_TOT_LIAB2","FQ1 2023","FQ1 2023","Currency=USD","Period=FQ","BEST_FPERIOD_OVERRIDE=FQ","FILING_STATUS=MR","SCALING_FORMAT=MLN","Sort=A","Dates=H","DateFormat=P","Fill=—","Direction=H","UseDPDF=Y")</f>
        <v>2347.0369999999998</v>
      </c>
      <c r="U18" s="13">
        <f>_xll.BDH("SRPT US Equity","BS_TOT_LIAB2","FQ2 2023","FQ2 2023","Currency=USD","Period=FQ","BEST_FPERIOD_OVERRIDE=FQ","FILING_STATUS=MR","SCALING_FORMAT=MLN","Sort=A","Dates=H","DateFormat=P","Fill=—","Direction=H","UseDPDF=Y")</f>
        <v>2384.4789999999998</v>
      </c>
      <c r="V18" s="13">
        <f>_xll.BDH("SRPT US Equity","BS_TOT_LIAB2","FQ3 2023","FQ3 2023","Currency=USD","Period=FQ","BEST_FPERIOD_OVERRIDE=FQ","FILING_STATUS=MR","SCALING_FORMAT=MLN","Sort=A","Dates=H","DateFormat=P","Fill=—","Direction=H","UseDPDF=Y")</f>
        <v>2345.35</v>
      </c>
      <c r="W18" s="13">
        <f>_xll.BDH("SRPT US Equity","BS_TOT_LIAB2","FQ4 2023","FQ4 2023","Currency=USD","Period=FQ","BEST_FPERIOD_OVERRIDE=FQ","FILING_STATUS=MR","SCALING_FORMAT=MLN","Sort=A","Dates=H","DateFormat=P","Fill=—","Direction=H","UseDPDF=Y")</f>
        <v>2405.239</v>
      </c>
      <c r="X18" s="13">
        <f>_xll.BDH("SRPT US Equity","BS_TOT_LIAB2","FQ1 2024","FQ1 2024","Currency=USD","Period=FQ","BEST_FPERIOD_OVERRIDE=FQ","FILING_STATUS=MR","SCALING_FORMAT=MLN","Sort=A","Dates=H","DateFormat=P","Fill=—","Direction=H","UseDPDF=Y")</f>
        <v>2263.1930000000002</v>
      </c>
      <c r="Y18" s="13">
        <f>_xll.BDH("SRPT US Equity","BS_TOT_LIAB2","FQ2 2024","FQ2 2024","Currency=USD","Period=FQ","BEST_FPERIOD_OVERRIDE=FQ","FILING_STATUS=MR","SCALING_FORMAT=MLN","Sort=A","Dates=H","DateFormat=P","Fill=—","Direction=H","UseDPDF=Y")</f>
        <v>2347.1880000000001</v>
      </c>
      <c r="Z18" s="13">
        <f>_xll.BDH("SRPT US Equity","BS_TOT_LIAB2","FQ3 2024","FQ3 2024","Currency=USD","Period=FQ","BEST_FPERIOD_OVERRIDE=FQ","FILING_STATUS=MR","SCALING_FORMAT=MLN","Sort=A","Dates=H","DateFormat=P","Fill=—","Direction=H","UseDPDF=Y")</f>
        <v>2378.8629999999998</v>
      </c>
      <c r="AA18" s="13">
        <f>_xll.BDH("SRPT US Equity","BS_TOT_LIAB2","FQ4 2024","FQ4 2024","Currency=USD","Period=FQ","BEST_FPERIOD_OVERRIDE=FQ","FILING_STATUS=MR","SCALING_FORMAT=MLN","Sort=A","Dates=H","DateFormat=P","Fill=—","Direction=H","UseDPDF=Y")</f>
        <v>2435.431</v>
      </c>
    </row>
    <row r="19" spans="1:27" x14ac:dyDescent="0.25">
      <c r="A19" s="10" t="s">
        <v>118</v>
      </c>
      <c r="B19" s="10" t="s">
        <v>119</v>
      </c>
      <c r="C19" s="13">
        <f>_xll.BDH("SRPT US Equity","TOTAL_EQUITY","FQ4 2018","FQ4 2018","Currency=USD","Period=FQ","BEST_FPERIOD_OVERRIDE=FQ","FILING_STATUS=MR","SCALING_FORMAT=MLN","Sort=A","Dates=H","DateFormat=P","Fill=—","Direction=H","UseDPDF=Y")</f>
        <v>1032.2760000000001</v>
      </c>
      <c r="D19" s="13">
        <f>_xll.BDH("SRPT US Equity","TOTAL_EQUITY","FQ1 2019","FQ1 2019","Currency=USD","Period=FQ","BEST_FPERIOD_OVERRIDE=FQ","FILING_STATUS=MR","SCALING_FORMAT=MLN","Sort=A","Dates=H","DateFormat=P","Fill=—","Direction=H","UseDPDF=Y")</f>
        <v>1348.5640000000001</v>
      </c>
      <c r="E19" s="13">
        <f>_xll.BDH("SRPT US Equity","TOTAL_EQUITY","FQ2 2019","FQ2 2019","Currency=USD","Period=FQ","BEST_FPERIOD_OVERRIDE=FQ","FILING_STATUS=MR","SCALING_FORMAT=MLN","Sort=A","Dates=H","DateFormat=P","Fill=—","Direction=H","UseDPDF=Y")</f>
        <v>1099.1669999999999</v>
      </c>
      <c r="F19" s="13">
        <f>_xll.BDH("SRPT US Equity","TOTAL_EQUITY","FQ3 2019","FQ3 2019","Currency=USD","Period=FQ","BEST_FPERIOD_OVERRIDE=FQ","FILING_STATUS=MR","SCALING_FORMAT=MLN","Sort=A","Dates=H","DateFormat=P","Fill=—","Direction=H","UseDPDF=Y")</f>
        <v>995.20399999999995</v>
      </c>
      <c r="G19" s="13">
        <f>_xll.BDH("SRPT US Equity","TOTAL_EQUITY","FQ4 2019","FQ4 2019","Currency=USD","Period=FQ","BEST_FPERIOD_OVERRIDE=FQ","FILING_STATUS=MR","SCALING_FORMAT=MLN","Sort=A","Dates=H","DateFormat=P","Fill=—","Direction=H","UseDPDF=Y")</f>
        <v>818.18700000000001</v>
      </c>
      <c r="H19" s="13">
        <f>_xll.BDH("SRPT US Equity","TOTAL_EQUITY","FQ1 2020","FQ1 2020","Currency=USD","Period=FQ","BEST_FPERIOD_OVERRIDE=FQ","FILING_STATUS=MR","SCALING_FORMAT=MLN","Sort=A","Dates=H","DateFormat=P","Fill=—","Direction=H","UseDPDF=Y")</f>
        <v>1144.828</v>
      </c>
      <c r="I19" s="13">
        <f>_xll.BDH("SRPT US Equity","TOTAL_EQUITY","FQ2 2020","FQ2 2020","Currency=USD","Period=FQ","BEST_FPERIOD_OVERRIDE=FQ","FILING_STATUS=MR","SCALING_FORMAT=MLN","Sort=A","Dates=H","DateFormat=P","Fill=—","Direction=H","UseDPDF=Y")</f>
        <v>1042.866</v>
      </c>
      <c r="J19" s="13">
        <f>_xll.BDH("SRPT US Equity","TOTAL_EQUITY","FQ3 2020","FQ3 2020","Currency=USD","Period=FQ","BEST_FPERIOD_OVERRIDE=FQ","FILING_STATUS=MR","SCALING_FORMAT=MLN","Sort=A","Dates=H","DateFormat=P","Fill=—","Direction=H","UseDPDF=Y")</f>
        <v>892.04700000000003</v>
      </c>
      <c r="K19" s="13">
        <f>_xll.BDH("SRPT US Equity","TOTAL_EQUITY","FQ4 2020","FQ4 2020","Currency=USD","Period=FQ","BEST_FPERIOD_OVERRIDE=FQ","FILING_STATUS=MR","SCALING_FORMAT=MLN","Sort=A","Dates=H","DateFormat=P","Fill=—","Direction=H","UseDPDF=Y")</f>
        <v>761.75900000000001</v>
      </c>
      <c r="L19" s="13">
        <f>_xll.BDH("SRPT US Equity","TOTAL_EQUITY","FQ1 2021","FQ1 2021","Currency=USD","Period=FQ","BEST_FPERIOD_OVERRIDE=FQ","FILING_STATUS=MR","SCALING_FORMAT=MLN","Sort=A","Dates=H","DateFormat=P","Fill=—","Direction=H","UseDPDF=Y")</f>
        <v>535.44500000000005</v>
      </c>
      <c r="M19" s="13">
        <f>_xll.BDH("SRPT US Equity","TOTAL_EQUITY","FQ2 2021","FQ2 2021","Currency=USD","Period=FQ","BEST_FPERIOD_OVERRIDE=FQ","FILING_STATUS=MR","SCALING_FORMAT=MLN","Sort=A","Dates=H","DateFormat=P","Fill=—","Direction=H","UseDPDF=Y")</f>
        <v>485.108</v>
      </c>
      <c r="N19" s="13">
        <f>_xll.BDH("SRPT US Equity","TOTAL_EQUITY","FQ3 2021","FQ3 2021","Currency=USD","Period=FQ","BEST_FPERIOD_OVERRIDE=FQ","FILING_STATUS=MR","SCALING_FORMAT=MLN","Sort=A","Dates=H","DateFormat=P","Fill=—","Direction=H","UseDPDF=Y")</f>
        <v>469.52800000000002</v>
      </c>
      <c r="O19" s="13">
        <f>_xll.BDH("SRPT US Equity","TOTAL_EQUITY","FQ4 2021","FQ4 2021","Currency=USD","Period=FQ","BEST_FPERIOD_OVERRIDE=FQ","FILING_STATUS=MR","SCALING_FORMAT=MLN","Sort=A","Dates=H","DateFormat=P","Fill=—","Direction=H","UseDPDF=Y")</f>
        <v>928.00900000000001</v>
      </c>
      <c r="P19" s="13">
        <f>_xll.BDH("SRPT US Equity","TOTAL_EQUITY","FQ1 2022","FQ1 2022","Currency=USD","Period=FQ","BEST_FPERIOD_OVERRIDE=FQ","FILING_STATUS=MR","SCALING_FORMAT=MLN","Sort=A","Dates=H","DateFormat=P","Fill=—","Direction=H","UseDPDF=Y")</f>
        <v>856.88599999999997</v>
      </c>
      <c r="Q19" s="13">
        <f>_xll.BDH("SRPT US Equity","TOTAL_EQUITY","FQ2 2022","FQ2 2022","Currency=USD","Period=FQ","BEST_FPERIOD_OVERRIDE=FQ","FILING_STATUS=MR","SCALING_FORMAT=MLN","Sort=A","Dates=H","DateFormat=P","Fill=—","Direction=H","UseDPDF=Y")</f>
        <v>726.45699999999999</v>
      </c>
      <c r="R19" s="13">
        <f>_xll.BDH("SRPT US Equity","TOTAL_EQUITY","FQ3 2022","FQ3 2022","Currency=USD","Period=FQ","BEST_FPERIOD_OVERRIDE=FQ","FILING_STATUS=MR","SCALING_FORMAT=MLN","Sort=A","Dates=H","DateFormat=P","Fill=—","Direction=H","UseDPDF=Y")</f>
        <v>430.84</v>
      </c>
      <c r="S19" s="13">
        <f>_xll.BDH("SRPT US Equity","TOTAL_EQUITY","FQ4 2022","FQ4 2022","Currency=USD","Period=FQ","BEST_FPERIOD_OVERRIDE=FQ","FILING_STATUS=MR","SCALING_FORMAT=MLN","Sort=A","Dates=H","DateFormat=P","Fill=—","Direction=H","UseDPDF=Y")</f>
        <v>384.95</v>
      </c>
      <c r="T19" s="13">
        <f>_xll.BDH("SRPT US Equity","TOTAL_EQUITY","FQ1 2023","FQ1 2023","Currency=USD","Period=FQ","BEST_FPERIOD_OVERRIDE=FQ","FILING_STATUS=MR","SCALING_FORMAT=MLN","Sort=A","Dates=H","DateFormat=P","Fill=—","Direction=H","UseDPDF=Y")</f>
        <v>712.74900000000002</v>
      </c>
      <c r="U19" s="13">
        <f>_xll.BDH("SRPT US Equity","TOTAL_EQUITY","FQ2 2023","FQ2 2023","Currency=USD","Period=FQ","BEST_FPERIOD_OVERRIDE=FQ","FILING_STATUS=MR","SCALING_FORMAT=MLN","Sort=A","Dates=H","DateFormat=P","Fill=—","Direction=H","UseDPDF=Y")</f>
        <v>741.41099999999994</v>
      </c>
      <c r="V19" s="13">
        <f>_xll.BDH("SRPT US Equity","TOTAL_EQUITY","FQ3 2023","FQ3 2023","Currency=USD","Period=FQ","BEST_FPERIOD_OVERRIDE=FQ","FILING_STATUS=MR","SCALING_FORMAT=MLN","Sort=A","Dates=H","DateFormat=P","Fill=—","Direction=H","UseDPDF=Y")</f>
        <v>764.35699999999997</v>
      </c>
      <c r="W19" s="13">
        <f>_xll.BDH("SRPT US Equity","TOTAL_EQUITY","FQ4 2023","FQ4 2023","Currency=USD","Period=FQ","BEST_FPERIOD_OVERRIDE=FQ","FILING_STATUS=MR","SCALING_FORMAT=MLN","Sort=A","Dates=H","DateFormat=P","Fill=—","Direction=H","UseDPDF=Y")</f>
        <v>859.33699999999999</v>
      </c>
      <c r="X19" s="13">
        <f>_xll.BDH("SRPT US Equity","TOTAL_EQUITY","FQ1 2024","FQ1 2024","Currency=USD","Period=FQ","BEST_FPERIOD_OVERRIDE=FQ","FILING_STATUS=MR","SCALING_FORMAT=MLN","Sort=A","Dates=H","DateFormat=P","Fill=—","Direction=H","UseDPDF=Y")</f>
        <v>961.19200000000001</v>
      </c>
      <c r="Y19" s="13">
        <f>_xll.BDH("SRPT US Equity","TOTAL_EQUITY","FQ2 2024","FQ2 2024","Currency=USD","Period=FQ","BEST_FPERIOD_OVERRIDE=FQ","FILING_STATUS=MR","SCALING_FORMAT=MLN","Sort=A","Dates=H","DateFormat=P","Fill=—","Direction=H","UseDPDF=Y")</f>
        <v>1077.069</v>
      </c>
      <c r="Z19" s="13">
        <f>_xll.BDH("SRPT US Equity","TOTAL_EQUITY","FQ3 2024","FQ3 2024","Currency=USD","Period=FQ","BEST_FPERIOD_OVERRIDE=FQ","FILING_STATUS=MR","SCALING_FORMAT=MLN","Sort=A","Dates=H","DateFormat=P","Fill=—","Direction=H","UseDPDF=Y")</f>
        <v>1221.0709999999999</v>
      </c>
      <c r="AA19" s="13">
        <f>_xll.BDH("SRPT US Equity","TOTAL_EQUITY","FQ4 2024","FQ4 2024","Currency=USD","Period=FQ","BEST_FPERIOD_OVERRIDE=FQ","FILING_STATUS=MR","SCALING_FORMAT=MLN","Sort=A","Dates=H","DateFormat=P","Fill=—","Direction=H","UseDPDF=Y")</f>
        <v>1527.742</v>
      </c>
    </row>
    <row r="20" spans="1:27" x14ac:dyDescent="0.25">
      <c r="A20" s="10" t="s">
        <v>120</v>
      </c>
      <c r="B20" s="10" t="s">
        <v>121</v>
      </c>
      <c r="C20" s="13">
        <f>_xll.BDH("SRPT US Equity","BS_SH_OUT","FQ4 2018","FQ4 2018","Currency=USD","Period=FQ","BEST_FPERIOD_OVERRIDE=FQ","FILING_STATUS=MR","Sort=A","Dates=H","DateFormat=P","Fill=—","Direction=H","UseDPDF=Y")</f>
        <v>71.071899999999999</v>
      </c>
      <c r="D20" s="13">
        <f>_xll.BDH("SRPT US Equity","BS_SH_OUT","FQ1 2019","FQ1 2019","Currency=USD","Period=FQ","BEST_FPERIOD_OVERRIDE=FQ","FILING_STATUS=MR","Sort=A","Dates=H","DateFormat=P","Fill=—","Direction=H","UseDPDF=Y")</f>
        <v>74.133499999999998</v>
      </c>
      <c r="E20" s="13">
        <f>_xll.BDH("SRPT US Equity","BS_SH_OUT","FQ2 2019","FQ2 2019","Currency=USD","Period=FQ","BEST_FPERIOD_OVERRIDE=FQ","FILING_STATUS=MR","Sort=A","Dates=H","DateFormat=P","Fill=—","Direction=H","UseDPDF=Y")</f>
        <v>74.327799999999996</v>
      </c>
      <c r="F20" s="13">
        <f>_xll.BDH("SRPT US Equity","BS_SH_OUT","FQ3 2019","FQ3 2019","Currency=USD","Period=FQ","BEST_FPERIOD_OVERRIDE=FQ","FILING_STATUS=MR","Sort=A","Dates=H","DateFormat=P","Fill=—","Direction=H","UseDPDF=Y")</f>
        <v>74.504800000000003</v>
      </c>
      <c r="G20" s="13">
        <f>_xll.BDH("SRPT US Equity","BS_SH_OUT","FQ4 2019","FQ4 2019","Currency=USD","Period=FQ","BEST_FPERIOD_OVERRIDE=FQ","FILING_STATUS=MR","Sort=A","Dates=H","DateFormat=P","Fill=—","Direction=H","UseDPDF=Y")</f>
        <v>75.184899999999999</v>
      </c>
      <c r="H20" s="13">
        <f>_xll.BDH("SRPT US Equity","BS_SH_OUT","FQ1 2020","FQ1 2020","Currency=USD","Period=FQ","BEST_FPERIOD_OVERRIDE=FQ","FILING_STATUS=MR","Sort=A","Dates=H","DateFormat=P","Fill=—","Direction=H","UseDPDF=Y")</f>
        <v>77.957800000000006</v>
      </c>
      <c r="I20" s="13">
        <f>_xll.BDH("SRPT US Equity","BS_SH_OUT","FQ2 2020","FQ2 2020","Currency=USD","Period=FQ","BEST_FPERIOD_OVERRIDE=FQ","FILING_STATUS=MR","Sort=A","Dates=H","DateFormat=P","Fill=—","Direction=H","UseDPDF=Y")</f>
        <v>78.432199999999995</v>
      </c>
      <c r="J20" s="13">
        <f>_xll.BDH("SRPT US Equity","BS_SH_OUT","FQ3 2020","FQ3 2020","Currency=USD","Period=FQ","BEST_FPERIOD_OVERRIDE=FQ","FILING_STATUS=MR","Sort=A","Dates=H","DateFormat=P","Fill=—","Direction=H","UseDPDF=Y")</f>
        <v>78.7898</v>
      </c>
      <c r="K20" s="13">
        <f>_xll.BDH("SRPT US Equity","BS_SH_OUT","FQ4 2020","FQ4 2020","Currency=USD","Period=FQ","BEST_FPERIOD_OVERRIDE=FQ","FILING_STATUS=MR","Sort=A","Dates=H","DateFormat=P","Fill=—","Direction=H","UseDPDF=Y")</f>
        <v>79.374200000000002</v>
      </c>
      <c r="L20" s="13">
        <f>_xll.BDH("SRPT US Equity","BS_SH_OUT","FQ1 2021","FQ1 2021","Currency=USD","Period=FQ","BEST_FPERIOD_OVERRIDE=FQ","FILING_STATUS=MR","Sort=A","Dates=H","DateFormat=P","Fill=—","Direction=H","UseDPDF=Y")</f>
        <v>79.748099999999994</v>
      </c>
      <c r="M20" s="13">
        <f>_xll.BDH("SRPT US Equity","BS_SH_OUT","FQ2 2021","FQ2 2021","Currency=USD","Period=FQ","BEST_FPERIOD_OVERRIDE=FQ","FILING_STATUS=MR","Sort=A","Dates=H","DateFormat=P","Fill=—","Direction=H","UseDPDF=Y")</f>
        <v>79.830399999999997</v>
      </c>
      <c r="N20" s="13">
        <f>_xll.BDH("SRPT US Equity","BS_SH_OUT","FQ3 2021","FQ3 2021","Currency=USD","Period=FQ","BEST_FPERIOD_OVERRIDE=FQ","FILING_STATUS=MR","Sort=A","Dates=H","DateFormat=P","Fill=—","Direction=H","UseDPDF=Y")</f>
        <v>79.958500000000001</v>
      </c>
      <c r="O20" s="13">
        <f>_xll.BDH("SRPT US Equity","BS_SH_OUT","FQ4 2021","FQ4 2021","Currency=USD","Period=FQ","BEST_FPERIOD_OVERRIDE=FQ","FILING_STATUS=MR","Sort=A","Dates=H","DateFormat=P","Fill=—","Direction=H","UseDPDF=Y")</f>
        <v>87.126999999999995</v>
      </c>
      <c r="P20" s="13">
        <f>_xll.BDH("SRPT US Equity","BS_SH_OUT","FQ1 2022","FQ1 2022","Currency=USD","Period=FQ","BEST_FPERIOD_OVERRIDE=FQ","FILING_STATUS=MR","Sort=A","Dates=H","DateFormat=P","Fill=—","Direction=H","UseDPDF=Y")</f>
        <v>87.495599999999996</v>
      </c>
      <c r="Q20" s="13">
        <f>_xll.BDH("SRPT US Equity","BS_SH_OUT","FQ2 2022","FQ2 2022","Currency=USD","Period=FQ","BEST_FPERIOD_OVERRIDE=FQ","FILING_STATUS=MR","Sort=A","Dates=H","DateFormat=P","Fill=—","Direction=H","UseDPDF=Y")</f>
        <v>87.535300000000007</v>
      </c>
      <c r="R20" s="13">
        <f>_xll.BDH("SRPT US Equity","BS_SH_OUT","FQ3 2022","FQ3 2022","Currency=USD","Period=FQ","BEST_FPERIOD_OVERRIDE=FQ","FILING_STATUS=MR","Sort=A","Dates=H","DateFormat=P","Fill=—","Direction=H","UseDPDF=Y")</f>
        <v>87.766199999999998</v>
      </c>
      <c r="S20" s="13">
        <f>_xll.BDH("SRPT US Equity","BS_SH_OUT","FQ4 2022","FQ4 2022","Currency=USD","Period=FQ","BEST_FPERIOD_OVERRIDE=FQ","FILING_STATUS=MR","Sort=A","Dates=H","DateFormat=P","Fill=—","Direction=H","UseDPDF=Y")</f>
        <v>87.950100000000006</v>
      </c>
      <c r="T20" s="13">
        <f>_xll.BDH("SRPT US Equity","BS_SH_OUT","FQ1 2023","FQ1 2023","Currency=USD","Period=FQ","BEST_FPERIOD_OVERRIDE=FQ","FILING_STATUS=MR","Sort=A","Dates=H","DateFormat=P","Fill=—","Direction=H","UseDPDF=Y")</f>
        <v>93.140100000000004</v>
      </c>
      <c r="U20" s="13">
        <f>_xll.BDH("SRPT US Equity","BS_SH_OUT","FQ2 2023","FQ2 2023","Currency=USD","Period=FQ","BEST_FPERIOD_OVERRIDE=FQ","FILING_STATUS=MR","Sort=A","Dates=H","DateFormat=P","Fill=—","Direction=H","UseDPDF=Y")</f>
        <v>93.273499999999999</v>
      </c>
      <c r="V20" s="13">
        <f>_xll.BDH("SRPT US Equity","BS_SH_OUT","FQ3 2023","FQ3 2023","Currency=USD","Period=FQ","BEST_FPERIOD_OVERRIDE=FQ","FILING_STATUS=MR","Sort=A","Dates=H","DateFormat=P","Fill=—","Direction=H","UseDPDF=Y")</f>
        <v>93.537400000000005</v>
      </c>
      <c r="W20" s="13">
        <f>_xll.BDH("SRPT US Equity","BS_SH_OUT","FQ4 2023","FQ4 2023","Currency=USD","Period=FQ","BEST_FPERIOD_OVERRIDE=FQ","FILING_STATUS=MR","Sort=A","Dates=H","DateFormat=P","Fill=—","Direction=H","UseDPDF=Y")</f>
        <v>93.731800000000007</v>
      </c>
      <c r="X20" s="13">
        <f>_xll.BDH("SRPT US Equity","BS_SH_OUT","FQ1 2024","FQ1 2024","Currency=USD","Period=FQ","BEST_FPERIOD_OVERRIDE=FQ","FILING_STATUS=MR","Sort=A","Dates=H","DateFormat=P","Fill=—","Direction=H","UseDPDF=Y")</f>
        <v>94.490200000000002</v>
      </c>
      <c r="Y20" s="13">
        <f>_xll.BDH("SRPT US Equity","BS_SH_OUT","FQ2 2024","FQ2 2024","Currency=USD","Period=FQ","BEST_FPERIOD_OVERRIDE=FQ","FILING_STATUS=MR","Sort=A","Dates=H","DateFormat=P","Fill=—","Direction=H","UseDPDF=Y")</f>
        <v>95.282600000000002</v>
      </c>
      <c r="Z20" s="13">
        <f>_xll.BDH("SRPT US Equity","BS_SH_OUT","FQ3 2024","FQ3 2024","Currency=USD","Period=FQ","BEST_FPERIOD_OVERRIDE=FQ","FILING_STATUS=MR","Sort=A","Dates=H","DateFormat=P","Fill=—","Direction=H","UseDPDF=Y")</f>
        <v>95.492999999999995</v>
      </c>
      <c r="AA20" s="13">
        <f>_xll.BDH("SRPT US Equity","BS_SH_OUT","FQ4 2024","FQ4 2024","Currency=USD","Period=FQ","BEST_FPERIOD_OVERRIDE=FQ","FILING_STATUS=MR","Sort=A","Dates=H","DateFormat=P","Fill=—","Direction=H","UseDPDF=Y")</f>
        <v>96.900499999999994</v>
      </c>
    </row>
    <row r="21" spans="1:27" x14ac:dyDescent="0.25">
      <c r="A21" s="10" t="s">
        <v>122</v>
      </c>
      <c r="B21" s="10" t="s">
        <v>123</v>
      </c>
      <c r="C21" s="13">
        <f>_xll.BDH("SRPT US Equity","ARD_SHARE_OUT_FROM_FRONT_COVER","FQ4 2018","FQ4 2018","Currency=USD","Period=FQ","BEST_FPERIOD_OVERRIDE=FQ","FILING_STATUS=MR","Sort=A","Dates=H","DateFormat=P","Fill=—","Direction=H","UseDPDF=Y")</f>
        <v>71.292100000000005</v>
      </c>
      <c r="D21" s="13">
        <f>_xll.BDH("SRPT US Equity","ARD_SHARE_OUT_FROM_FRONT_COVER","FQ1 2019","FQ1 2019","Currency=USD","Period=FQ","BEST_FPERIOD_OVERRIDE=FQ","FILING_STATUS=MR","Sort=A","Dates=H","DateFormat=P","Fill=—","Direction=H","UseDPDF=Y")</f>
        <v>74.153899999999993</v>
      </c>
      <c r="E21" s="13">
        <f>_xll.BDH("SRPT US Equity","ARD_SHARE_OUT_FROM_FRONT_COVER","FQ2 2019","FQ2 2019","Currency=USD","Period=FQ","BEST_FPERIOD_OVERRIDE=FQ","FILING_STATUS=MR","Sort=A","Dates=H","DateFormat=P","Fill=—","Direction=H","UseDPDF=Y")</f>
        <v>74.340400000000002</v>
      </c>
      <c r="F21" s="13" t="str">
        <f>_xll.BDH("SRPT US Equity","ARD_SHARE_OUT_FROM_FRONT_COVER","FQ3 2019","FQ3 2019","Currency=USD","Period=FQ","BEST_FPERIOD_OVERRIDE=FQ","FILING_STATUS=MR","Sort=A","Dates=H","DateFormat=P","Fill=—","Direction=H","UseDPDF=Y")</f>
        <v>—</v>
      </c>
      <c r="G21" s="13">
        <f>_xll.BDH("SRPT US Equity","ARD_SHARE_OUT_FROM_FRONT_COVER","FQ4 2019","FQ4 2019","Currency=USD","Period=FQ","BEST_FPERIOD_OVERRIDE=FQ","FILING_STATUS=MR","Sort=A","Dates=H","DateFormat=P","Fill=—","Direction=H","UseDPDF=Y")</f>
        <v>77.776799999999994</v>
      </c>
      <c r="H21" s="13">
        <f>_xll.BDH("SRPT US Equity","ARD_SHARE_OUT_FROM_FRONT_COVER","FQ1 2020","FQ1 2020","Currency=USD","Period=FQ","BEST_FPERIOD_OVERRIDE=FQ","FILING_STATUS=MR","Sort=A","Dates=H","DateFormat=P","Fill=—","Direction=H","UseDPDF=Y")</f>
        <v>77.988699999999994</v>
      </c>
      <c r="I21" s="13">
        <f>_xll.BDH("SRPT US Equity","ARD_SHARE_OUT_FROM_FRONT_COVER","FQ2 2020","FQ2 2020","Currency=USD","Period=FQ","BEST_FPERIOD_OVERRIDE=FQ","FILING_STATUS=MR","Sort=A","Dates=H","DateFormat=P","Fill=—","Direction=H","UseDPDF=Y")</f>
        <v>78.505399999999995</v>
      </c>
      <c r="J21" s="13">
        <f>_xll.BDH("SRPT US Equity","ARD_SHARE_OUT_FROM_FRONT_COVER","FQ3 2020","FQ3 2020","Currency=USD","Period=FQ","BEST_FPERIOD_OVERRIDE=FQ","FILING_STATUS=MR","Sort=A","Dates=H","DateFormat=P","Fill=—","Direction=H","UseDPDF=Y")</f>
        <v>78.912999999999997</v>
      </c>
      <c r="K21" s="13">
        <f>_xll.BDH("SRPT US Equity","ARD_SHARE_OUT_FROM_FRONT_COVER","FQ4 2020","FQ4 2020","Currency=USD","Period=FQ","BEST_FPERIOD_OVERRIDE=FQ","FILING_STATUS=MR","Sort=A","Dates=H","DateFormat=P","Fill=—","Direction=H","UseDPDF=Y")</f>
        <v>79.420599999999993</v>
      </c>
      <c r="L21" s="13">
        <f>_xll.BDH("SRPT US Equity","ARD_SHARE_OUT_FROM_FRONT_COVER","FQ1 2021","FQ1 2021","Currency=USD","Period=FQ","BEST_FPERIOD_OVERRIDE=FQ","FILING_STATUS=MR","Sort=A","Dates=H","DateFormat=P","Fill=—","Direction=H","UseDPDF=Y")</f>
        <v>79.774600000000007</v>
      </c>
      <c r="M21" s="13">
        <f>_xll.BDH("SRPT US Equity","ARD_SHARE_OUT_FROM_FRONT_COVER","FQ2 2021","FQ2 2021","Currency=USD","Period=FQ","BEST_FPERIOD_OVERRIDE=FQ","FILING_STATUS=MR","Sort=A","Dates=H","DateFormat=P","Fill=—","Direction=H","UseDPDF=Y")</f>
        <v>79.844700000000003</v>
      </c>
      <c r="N21" s="13">
        <f>_xll.BDH("SRPT US Equity","ARD_SHARE_OUT_FROM_FRONT_COVER","FQ3 2021","FQ3 2021","Currency=USD","Period=FQ","BEST_FPERIOD_OVERRIDE=FQ","FILING_STATUS=MR","Sort=A","Dates=H","DateFormat=P","Fill=—","Direction=H","UseDPDF=Y")</f>
        <v>87.076899999999995</v>
      </c>
      <c r="O21" s="13">
        <f>_xll.BDH("SRPT US Equity","ARD_SHARE_OUT_FROM_FRONT_COVER","FQ4 2021","FQ4 2021","Currency=USD","Period=FQ","BEST_FPERIOD_OVERRIDE=FQ","FILING_STATUS=MR","Sort=A","Dates=H","DateFormat=P","Fill=—","Direction=H","UseDPDF=Y")</f>
        <v>87.149600000000007</v>
      </c>
      <c r="P21" s="13">
        <f>_xll.BDH("SRPT US Equity","ARD_SHARE_OUT_FROM_FRONT_COVER","FQ1 2022","FQ1 2022","Currency=USD","Period=FQ","BEST_FPERIOD_OVERRIDE=FQ","FILING_STATUS=MR","Sort=A","Dates=H","DateFormat=P","Fill=—","Direction=H","UseDPDF=Y")</f>
        <v>87.501000000000005</v>
      </c>
      <c r="Q21" s="13">
        <f>_xll.BDH("SRPT US Equity","ARD_SHARE_OUT_FROM_FRONT_COVER","FQ2 2022","FQ2 2022","Currency=USD","Period=FQ","BEST_FPERIOD_OVERRIDE=FQ","FILING_STATUS=MR","Sort=A","Dates=H","DateFormat=P","Fill=—","Direction=H","UseDPDF=Y")</f>
        <v>87.567899999999995</v>
      </c>
      <c r="R21" s="13">
        <f>_xll.BDH("SRPT US Equity","ARD_SHARE_OUT_FROM_FRONT_COVER","FQ3 2022","FQ3 2022","Currency=USD","Period=FQ","BEST_FPERIOD_OVERRIDE=FQ","FILING_STATUS=MR","Sort=A","Dates=H","DateFormat=P","Fill=—","Direction=H","UseDPDF=Y")</f>
        <v>87.782600000000002</v>
      </c>
      <c r="S21" s="13">
        <f>_xll.BDH("SRPT US Equity","ARD_SHARE_OUT_FROM_FRONT_COVER","FQ4 2022","FQ4 2022","Currency=USD","Period=FQ","BEST_FPERIOD_OVERRIDE=FQ","FILING_STATUS=MR","Sort=A","Dates=H","DateFormat=P","Fill=—","Direction=H","UseDPDF=Y")</f>
        <v>87.981899999999996</v>
      </c>
      <c r="T21" s="13">
        <f>_xll.BDH("SRPT US Equity","ARD_SHARE_OUT_FROM_FRONT_COVER","FQ1 2023","FQ1 2023","Currency=USD","Period=FQ","BEST_FPERIOD_OVERRIDE=FQ","FILING_STATUS=MR","Sort=A","Dates=H","DateFormat=P","Fill=—","Direction=H","UseDPDF=Y")</f>
        <v>93.148700000000005</v>
      </c>
      <c r="U21" s="13">
        <f>_xll.BDH("SRPT US Equity","ARD_SHARE_OUT_FROM_FRONT_COVER","FQ2 2023","FQ2 2023","Currency=USD","Period=FQ","BEST_FPERIOD_OVERRIDE=FQ","FILING_STATUS=MR","Sort=A","Dates=H","DateFormat=P","Fill=—","Direction=H","UseDPDF=Y")</f>
        <v>93.278899999999993</v>
      </c>
      <c r="V21" s="13">
        <f>_xll.BDH("SRPT US Equity","ARD_SHARE_OUT_FROM_FRONT_COVER","FQ3 2023","FQ3 2023","Currency=USD","Period=FQ","BEST_FPERIOD_OVERRIDE=FQ","FILING_STATUS=MR","Sort=A","Dates=H","DateFormat=P","Fill=—","Direction=H","UseDPDF=Y")</f>
        <v>93.546700000000001</v>
      </c>
      <c r="W21" s="13">
        <f>_xll.BDH("SRPT US Equity","ARD_SHARE_OUT_FROM_FRONT_COVER","FQ4 2023","FQ4 2023","Currency=USD","Period=FQ","BEST_FPERIOD_OVERRIDE=FQ","FILING_STATUS=MR","Sort=A","Dates=H","DateFormat=P","Fill=—","Direction=H","UseDPDF=Y")</f>
        <v>93.855400000000003</v>
      </c>
      <c r="X21" s="13">
        <f>_xll.BDH("SRPT US Equity","ARD_SHARE_OUT_FROM_FRONT_COVER","FQ1 2024","FQ1 2024","Currency=USD","Period=FQ","BEST_FPERIOD_OVERRIDE=FQ","FILING_STATUS=MR","Sort=A","Dates=H","DateFormat=P","Fill=—","Direction=H","UseDPDF=Y")</f>
        <v>94.523799999999994</v>
      </c>
      <c r="Y21" s="13">
        <f>_xll.BDH("SRPT US Equity","ARD_SHARE_OUT_FROM_FRONT_COVER","FQ2 2024","FQ2 2024","Currency=USD","Period=FQ","BEST_FPERIOD_OVERRIDE=FQ","FILING_STATUS=MR","Sort=A","Dates=H","DateFormat=P","Fill=—","Direction=H","UseDPDF=Y")</f>
        <v>95.366299999999995</v>
      </c>
      <c r="Z21" s="13">
        <f>_xll.BDH("SRPT US Equity","ARD_SHARE_OUT_FROM_FRONT_COVER","FQ3 2024","FQ3 2024","Currency=USD","Period=FQ","BEST_FPERIOD_OVERRIDE=FQ","FILING_STATUS=MR","Sort=A","Dates=H","DateFormat=P","Fill=—","Direction=H","UseDPDF=Y")</f>
        <v>95.5197</v>
      </c>
      <c r="AA21" s="13">
        <f>_xll.BDH("SRPT US Equity","ARD_SHARE_OUT_FROM_FRONT_COVER","FQ4 2024","FQ4 2024","Currency=USD","Period=FQ","BEST_FPERIOD_OVERRIDE=FQ","FILING_STATUS=MR","Sort=A","Dates=H","DateFormat=P","Fill=—","Direction=H","UseDPDF=Y")</f>
        <v>97.0321</v>
      </c>
    </row>
    <row r="22" spans="1:27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5">
      <c r="A23" s="10" t="s">
        <v>124</v>
      </c>
      <c r="B23" s="10" t="s">
        <v>85</v>
      </c>
      <c r="C23" s="13">
        <f>_xll.BDH("SRPT US Equity","CF_CASH_FROM_OPER","FQ4 2018","FQ4 2018","Currency=USD","Period=FQ","BEST_FPERIOD_OVERRIDE=FQ","FILING_STATUS=MR","SCALING_FORMAT=MLN","Sort=A","Dates=H","DateFormat=P","Fill=—","Direction=H","UseDPDF=Y")</f>
        <v>-122.42</v>
      </c>
      <c r="D23" s="13">
        <f>_xll.BDH("SRPT US Equity","CF_CASH_FROM_OPER","FQ1 2019","FQ1 2019","Currency=USD","Period=FQ","BEST_FPERIOD_OVERRIDE=FQ","FILING_STATUS=MR","SCALING_FORMAT=MLN","Sort=A","Dates=H","DateFormat=P","Fill=—","Direction=H","UseDPDF=Y")</f>
        <v>-146.233</v>
      </c>
      <c r="E23" s="13">
        <f>_xll.BDH("SRPT US Equity","CF_CASH_FROM_OPER","FQ2 2019","FQ2 2019","Currency=USD","Period=FQ","BEST_FPERIOD_OVERRIDE=FQ","FILING_STATUS=MR","SCALING_FORMAT=MLN","Sort=A","Dates=H","DateFormat=P","Fill=—","Direction=H","UseDPDF=Y")</f>
        <v>-79.004000000000005</v>
      </c>
      <c r="F23" s="13">
        <f>_xll.BDH("SRPT US Equity","CF_CASH_FROM_OPER","FQ3 2019","FQ3 2019","Currency=USD","Period=FQ","BEST_FPERIOD_OVERRIDE=FQ","FILING_STATUS=MR","SCALING_FORMAT=MLN","Sort=A","Dates=H","DateFormat=P","Fill=—","Direction=H","UseDPDF=Y")</f>
        <v>-67.430999999999997</v>
      </c>
      <c r="G23" s="13">
        <f>_xll.BDH("SRPT US Equity","CF_CASH_FROM_OPER","FQ4 2019","FQ4 2019","Currency=USD","Period=FQ","BEST_FPERIOD_OVERRIDE=FQ","FILING_STATUS=MR","SCALING_FORMAT=MLN","Sort=A","Dates=H","DateFormat=P","Fill=—","Direction=H","UseDPDF=Y")</f>
        <v>-163.79499999999999</v>
      </c>
      <c r="H23" s="13">
        <f>_xll.BDH("SRPT US Equity","CF_CASH_FROM_OPER","FQ1 2020","FQ1 2020","Currency=USD","Period=FQ","BEST_FPERIOD_OVERRIDE=FQ","FILING_STATUS=MR","SCALING_FORMAT=MLN","Sort=A","Dates=H","DateFormat=P","Fill=—","Direction=H","UseDPDF=Y")</f>
        <v>627.79</v>
      </c>
      <c r="I23" s="13">
        <f>_xll.BDH("SRPT US Equity","CF_CASH_FROM_OPER","FQ2 2020","FQ2 2020","Currency=USD","Period=FQ","BEST_FPERIOD_OVERRIDE=FQ","FILING_STATUS=MR","SCALING_FORMAT=MLN","Sort=A","Dates=H","DateFormat=P","Fill=—","Direction=H","UseDPDF=Y")</f>
        <v>-107.60299999999999</v>
      </c>
      <c r="J23" s="13">
        <f>_xll.BDH("SRPT US Equity","CF_CASH_FROM_OPER","FQ3 2020","FQ3 2020","Currency=USD","Period=FQ","BEST_FPERIOD_OVERRIDE=FQ","FILING_STATUS=MR","SCALING_FORMAT=MLN","Sort=A","Dates=H","DateFormat=P","Fill=—","Direction=H","UseDPDF=Y")</f>
        <v>-238.18600000000001</v>
      </c>
      <c r="K23" s="13">
        <f>_xll.BDH("SRPT US Equity","CF_CASH_FROM_OPER","FQ4 2020","FQ4 2020","Currency=USD","Period=FQ","BEST_FPERIOD_OVERRIDE=FQ","FILING_STATUS=MR","SCALING_FORMAT=MLN","Sort=A","Dates=H","DateFormat=P","Fill=—","Direction=H","UseDPDF=Y")</f>
        <v>-174.535</v>
      </c>
      <c r="L23" s="13">
        <f>_xll.BDH("SRPT US Equity","CF_CASH_FROM_OPER","FQ1 2021","FQ1 2021","Currency=USD","Period=FQ","BEST_FPERIOD_OVERRIDE=FQ","FILING_STATUS=MR","SCALING_FORMAT=MLN","Sort=A","Dates=H","DateFormat=P","Fill=—","Direction=H","UseDPDF=Y")</f>
        <v>-180.37100000000001</v>
      </c>
      <c r="M23" s="13">
        <f>_xll.BDH("SRPT US Equity","CF_CASH_FROM_OPER","FQ2 2021","FQ2 2021","Currency=USD","Period=FQ","BEST_FPERIOD_OVERRIDE=FQ","FILING_STATUS=MR","SCALING_FORMAT=MLN","Sort=A","Dates=H","DateFormat=P","Fill=—","Direction=H","UseDPDF=Y")</f>
        <v>-109.146</v>
      </c>
      <c r="N23" s="13">
        <f>_xll.BDH("SRPT US Equity","CF_CASH_FROM_OPER","FQ3 2021","FQ3 2021","Currency=USD","Period=FQ","BEST_FPERIOD_OVERRIDE=FQ","FILING_STATUS=MR","SCALING_FORMAT=MLN","Sort=A","Dates=H","DateFormat=P","Fill=—","Direction=H","UseDPDF=Y")</f>
        <v>-124.32899999999999</v>
      </c>
      <c r="O23" s="13">
        <f>_xll.BDH("SRPT US Equity","CF_CASH_FROM_OPER","FQ4 2021","FQ4 2021","Currency=USD","Period=FQ","BEST_FPERIOD_OVERRIDE=FQ","FILING_STATUS=MR","SCALING_FORMAT=MLN","Sort=A","Dates=H","DateFormat=P","Fill=—","Direction=H","UseDPDF=Y")</f>
        <v>-29.326000000000001</v>
      </c>
      <c r="P23" s="13">
        <f>_xll.BDH("SRPT US Equity","CF_CASH_FROM_OPER","FQ1 2022","FQ1 2022","Currency=USD","Period=FQ","BEST_FPERIOD_OVERRIDE=FQ","FILING_STATUS=MR","SCALING_FORMAT=MLN","Sort=A","Dates=H","DateFormat=P","Fill=—","Direction=H","UseDPDF=Y")</f>
        <v>-101.175</v>
      </c>
      <c r="Q23" s="13">
        <f>_xll.BDH("SRPT US Equity","CF_CASH_FROM_OPER","FQ2 2022","FQ2 2022","Currency=USD","Period=FQ","BEST_FPERIOD_OVERRIDE=FQ","FILING_STATUS=MR","SCALING_FORMAT=MLN","Sort=A","Dates=H","DateFormat=P","Fill=—","Direction=H","UseDPDF=Y")</f>
        <v>-66.814999999999998</v>
      </c>
      <c r="R23" s="13">
        <f>_xll.BDH("SRPT US Equity","CF_CASH_FROM_OPER","FQ3 2022","FQ3 2022","Currency=USD","Period=FQ","BEST_FPERIOD_OVERRIDE=FQ","FILING_STATUS=MR","SCALING_FORMAT=MLN","Sort=A","Dates=H","DateFormat=P","Fill=—","Direction=H","UseDPDF=Y")</f>
        <v>-64.963999999999999</v>
      </c>
      <c r="S23" s="13">
        <f>_xll.BDH("SRPT US Equity","CF_CASH_FROM_OPER","FQ4 2022","FQ4 2022","Currency=USD","Period=FQ","BEST_FPERIOD_OVERRIDE=FQ","FILING_STATUS=MR","SCALING_FORMAT=MLN","Sort=A","Dates=H","DateFormat=P","Fill=—","Direction=H","UseDPDF=Y")</f>
        <v>-92.391999999999996</v>
      </c>
      <c r="T23" s="13">
        <f>_xll.BDH("SRPT US Equity","CF_CASH_FROM_OPER","FQ1 2023","FQ1 2023","Currency=USD","Period=FQ","BEST_FPERIOD_OVERRIDE=FQ","FILING_STATUS=MR","SCALING_FORMAT=MLN","Sort=A","Dates=H","DateFormat=P","Fill=—","Direction=H","UseDPDF=Y")</f>
        <v>-209.39599999999999</v>
      </c>
      <c r="U23" s="13">
        <f>_xll.BDH("SRPT US Equity","CF_CASH_FROM_OPER","FQ2 2023","FQ2 2023","Currency=USD","Period=FQ","BEST_FPERIOD_OVERRIDE=FQ","FILING_STATUS=MR","SCALING_FORMAT=MLN","Sort=A","Dates=H","DateFormat=P","Fill=—","Direction=H","UseDPDF=Y")</f>
        <v>-122.23399999999999</v>
      </c>
      <c r="V23" s="13">
        <f>_xll.BDH("SRPT US Equity","CF_CASH_FROM_OPER","FQ3 2023","FQ3 2023","Currency=USD","Period=FQ","BEST_FPERIOD_OVERRIDE=FQ","FILING_STATUS=MR","SCALING_FORMAT=MLN","Sort=A","Dates=H","DateFormat=P","Fill=—","Direction=H","UseDPDF=Y")</f>
        <v>-114.706</v>
      </c>
      <c r="W23" s="13">
        <f>_xll.BDH("SRPT US Equity","CF_CASH_FROM_OPER","FQ4 2023","FQ4 2023","Currency=USD","Period=FQ","BEST_FPERIOD_OVERRIDE=FQ","FILING_STATUS=MR","SCALING_FORMAT=MLN","Sort=A","Dates=H","DateFormat=P","Fill=—","Direction=H","UseDPDF=Y")</f>
        <v>-54.656999999999996</v>
      </c>
      <c r="X23" s="13">
        <f>_xll.BDH("SRPT US Equity","CF_CASH_FROM_OPER","FQ1 2024","FQ1 2024","Currency=USD","Period=FQ","BEST_FPERIOD_OVERRIDE=FQ","FILING_STATUS=MR","SCALING_FORMAT=MLN","Sort=A","Dates=H","DateFormat=P","Fill=—","Direction=H","UseDPDF=Y")</f>
        <v>-242.07599999999999</v>
      </c>
      <c r="Y23" s="13">
        <f>_xll.BDH("SRPT US Equity","CF_CASH_FROM_OPER","FQ2 2024","FQ2 2024","Currency=USD","Period=FQ","BEST_FPERIOD_OVERRIDE=FQ","FILING_STATUS=MR","SCALING_FORMAT=MLN","Sort=A","Dates=H","DateFormat=P","Fill=—","Direction=H","UseDPDF=Y")</f>
        <v>14.942</v>
      </c>
      <c r="Z23" s="13">
        <f>_xll.BDH("SRPT US Equity","CF_CASH_FROM_OPER","FQ3 2024","FQ3 2024","Currency=USD","Period=FQ","BEST_FPERIOD_OVERRIDE=FQ","FILING_STATUS=MR","SCALING_FORMAT=MLN","Sort=A","Dates=H","DateFormat=P","Fill=—","Direction=H","UseDPDF=Y")</f>
        <v>-70.698999999999998</v>
      </c>
      <c r="AA23" s="13">
        <f>_xll.BDH("SRPT US Equity","CF_CASH_FROM_OPER","FQ4 2024","FQ4 2024","Currency=USD","Period=FQ","BEST_FPERIOD_OVERRIDE=FQ","FILING_STATUS=MR","SCALING_FORMAT=MLN","Sort=A","Dates=H","DateFormat=P","Fill=—","Direction=H","UseDPDF=Y")</f>
        <v>92.046000000000006</v>
      </c>
    </row>
    <row r="24" spans="1:27" x14ac:dyDescent="0.25">
      <c r="A24" s="10" t="s">
        <v>125</v>
      </c>
      <c r="B24" s="10" t="s">
        <v>126</v>
      </c>
      <c r="C24" s="13">
        <f>_xll.BDH("SRPT US Equity","CF_CASH_FROM_INV_ACT","FQ4 2018","FQ4 2018","Currency=USD","Period=FQ","BEST_FPERIOD_OVERRIDE=FQ","FILING_STATUS=MR","SCALING_FORMAT=MLN","Sort=A","Dates=H","DateFormat=P","Fill=—","Direction=H","UseDPDF=Y")</f>
        <v>-237.73599999999999</v>
      </c>
      <c r="D24" s="13">
        <f>_xll.BDH("SRPT US Equity","CF_CASH_FROM_INV_ACT","FQ1 2019","FQ1 2019","Currency=USD","Period=FQ","BEST_FPERIOD_OVERRIDE=FQ","FILING_STATUS=MR","SCALING_FORMAT=MLN","Sort=A","Dates=H","DateFormat=P","Fill=—","Direction=H","UseDPDF=Y")</f>
        <v>135.23099999999999</v>
      </c>
      <c r="E24" s="13">
        <f>_xll.BDH("SRPT US Equity","CF_CASH_FROM_INV_ACT","FQ2 2019","FQ2 2019","Currency=USD","Period=FQ","BEST_FPERIOD_OVERRIDE=FQ","FILING_STATUS=MR","SCALING_FORMAT=MLN","Sort=A","Dates=H","DateFormat=P","Fill=—","Direction=H","UseDPDF=Y")</f>
        <v>152.37299999999999</v>
      </c>
      <c r="F24" s="13">
        <f>_xll.BDH("SRPT US Equity","CF_CASH_FROM_INV_ACT","FQ3 2019","FQ3 2019","Currency=USD","Period=FQ","BEST_FPERIOD_OVERRIDE=FQ","FILING_STATUS=MR","SCALING_FORMAT=MLN","Sort=A","Dates=H","DateFormat=P","Fill=—","Direction=H","UseDPDF=Y")</f>
        <v>-17.959</v>
      </c>
      <c r="G24" s="13">
        <f>_xll.BDH("SRPT US Equity","CF_CASH_FROM_INV_ACT","FQ4 2019","FQ4 2019","Currency=USD","Period=FQ","BEST_FPERIOD_OVERRIDE=FQ","FILING_STATUS=MR","SCALING_FORMAT=MLN","Sort=A","Dates=H","DateFormat=P","Fill=—","Direction=H","UseDPDF=Y")</f>
        <v>17.079999999999998</v>
      </c>
      <c r="H24" s="13">
        <f>_xll.BDH("SRPT US Equity","CF_CASH_FROM_INV_ACT","FQ1 2020","FQ1 2020","Currency=USD","Period=FQ","BEST_FPERIOD_OVERRIDE=FQ","FILING_STATUS=MR","SCALING_FORMAT=MLN","Sort=A","Dates=H","DateFormat=P","Fill=—","Direction=H","UseDPDF=Y")</f>
        <v>-17.68</v>
      </c>
      <c r="I24" s="13">
        <f>_xll.BDH("SRPT US Equity","CF_CASH_FROM_INV_ACT","FQ2 2020","FQ2 2020","Currency=USD","Period=FQ","BEST_FPERIOD_OVERRIDE=FQ","FILING_STATUS=MR","SCALING_FORMAT=MLN","Sort=A","Dates=H","DateFormat=P","Fill=—","Direction=H","UseDPDF=Y")</f>
        <v>-34.225000000000001</v>
      </c>
      <c r="J24" s="13">
        <f>_xll.BDH("SRPT US Equity","CF_CASH_FROM_INV_ACT","FQ3 2020","FQ3 2020","Currency=USD","Period=FQ","BEST_FPERIOD_OVERRIDE=FQ","FILING_STATUS=MR","SCALING_FORMAT=MLN","Sort=A","Dates=H","DateFormat=P","Fill=—","Direction=H","UseDPDF=Y")</f>
        <v>54.075000000000003</v>
      </c>
      <c r="K24" s="13">
        <f>_xll.BDH("SRPT US Equity","CF_CASH_FROM_INV_ACT","FQ4 2020","FQ4 2020","Currency=USD","Period=FQ","BEST_FPERIOD_OVERRIDE=FQ","FILING_STATUS=MR","SCALING_FORMAT=MLN","Sort=A","Dates=H","DateFormat=P","Fill=—","Direction=H","UseDPDF=Y")</f>
        <v>-123.89100000000001</v>
      </c>
      <c r="L24" s="13">
        <f>_xll.BDH("SRPT US Equity","CF_CASH_FROM_INV_ACT","FQ1 2021","FQ1 2021","Currency=USD","Period=FQ","BEST_FPERIOD_OVERRIDE=FQ","FILING_STATUS=MR","SCALING_FORMAT=MLN","Sort=A","Dates=H","DateFormat=P","Fill=—","Direction=H","UseDPDF=Y")</f>
        <v>156.666</v>
      </c>
      <c r="M24" s="13">
        <f>_xll.BDH("SRPT US Equity","CF_CASH_FROM_INV_ACT","FQ2 2021","FQ2 2021","Currency=USD","Period=FQ","BEST_FPERIOD_OVERRIDE=FQ","FILING_STATUS=MR","SCALING_FORMAT=MLN","Sort=A","Dates=H","DateFormat=P","Fill=—","Direction=H","UseDPDF=Y")</f>
        <v>321.05900000000003</v>
      </c>
      <c r="N24" s="13">
        <f>_xll.BDH("SRPT US Equity","CF_CASH_FROM_INV_ACT","FQ3 2021","FQ3 2021","Currency=USD","Period=FQ","BEST_FPERIOD_OVERRIDE=FQ","FILING_STATUS=MR","SCALING_FORMAT=MLN","Sort=A","Dates=H","DateFormat=P","Fill=—","Direction=H","UseDPDF=Y")</f>
        <v>20.265000000000001</v>
      </c>
      <c r="O24" s="13">
        <f>_xll.BDH("SRPT US Equity","CF_CASH_FROM_INV_ACT","FQ4 2021","FQ4 2021","Currency=USD","Period=FQ","BEST_FPERIOD_OVERRIDE=FQ","FILING_STATUS=MR","SCALING_FORMAT=MLN","Sort=A","Dates=H","DateFormat=P","Fill=—","Direction=H","UseDPDF=Y")</f>
        <v>-2.577</v>
      </c>
      <c r="P24" s="13">
        <f>_xll.BDH("SRPT US Equity","CF_CASH_FROM_INV_ACT","FQ1 2022","FQ1 2022","Currency=USD","Period=FQ","BEST_FPERIOD_OVERRIDE=FQ","FILING_STATUS=MR","SCALING_FORMAT=MLN","Sort=A","Dates=H","DateFormat=P","Fill=—","Direction=H","UseDPDF=Y")</f>
        <v>-785.80700000000002</v>
      </c>
      <c r="Q24" s="13">
        <f>_xll.BDH("SRPT US Equity","CF_CASH_FROM_INV_ACT","FQ2 2022","FQ2 2022","Currency=USD","Period=FQ","BEST_FPERIOD_OVERRIDE=FQ","FILING_STATUS=MR","SCALING_FORMAT=MLN","Sort=A","Dates=H","DateFormat=P","Fill=—","Direction=H","UseDPDF=Y")</f>
        <v>-289.99099999999999</v>
      </c>
      <c r="R24" s="13">
        <f>_xll.BDH("SRPT US Equity","CF_CASH_FROM_INV_ACT","FQ3 2022","FQ3 2022","Currency=USD","Period=FQ","BEST_FPERIOD_OVERRIDE=FQ","FILING_STATUS=MR","SCALING_FORMAT=MLN","Sort=A","Dates=H","DateFormat=P","Fill=—","Direction=H","UseDPDF=Y")</f>
        <v>19.119</v>
      </c>
      <c r="S24" s="13">
        <f>_xll.BDH("SRPT US Equity","CF_CASH_FROM_INV_ACT","FQ4 2022","FQ4 2022","Currency=USD","Period=FQ","BEST_FPERIOD_OVERRIDE=FQ","FILING_STATUS=MR","SCALING_FORMAT=MLN","Sort=A","Dates=H","DateFormat=P","Fill=—","Direction=H","UseDPDF=Y")</f>
        <v>9.7959999999999994</v>
      </c>
      <c r="T24" s="13">
        <f>_xll.BDH("SRPT US Equity","CF_CASH_FROM_INV_ACT","FQ1 2023","FQ1 2023","Currency=USD","Period=FQ","BEST_FPERIOD_OVERRIDE=FQ","FILING_STATUS=MR","SCALING_FORMAT=MLN","Sort=A","Dates=H","DateFormat=P","Fill=—","Direction=H","UseDPDF=Y")</f>
        <v>12.492000000000001</v>
      </c>
      <c r="U24" s="13">
        <f>_xll.BDH("SRPT US Equity","CF_CASH_FROM_INV_ACT","FQ2 2023","FQ2 2023","Currency=USD","Period=FQ","BEST_FPERIOD_OVERRIDE=FQ","FILING_STATUS=MR","SCALING_FORMAT=MLN","Sort=A","Dates=H","DateFormat=P","Fill=—","Direction=H","UseDPDF=Y")</f>
        <v>96.634</v>
      </c>
      <c r="V24" s="13">
        <f>_xll.BDH("SRPT US Equity","CF_CASH_FROM_INV_ACT","FQ3 2023","FQ3 2023","Currency=USD","Period=FQ","BEST_FPERIOD_OVERRIDE=FQ","FILING_STATUS=MR","SCALING_FORMAT=MLN","Sort=A","Dates=H","DateFormat=P","Fill=—","Direction=H","UseDPDF=Y")</f>
        <v>-210.571</v>
      </c>
      <c r="W24" s="13">
        <f>_xll.BDH("SRPT US Equity","CF_CASH_FROM_INV_ACT","FQ4 2023","FQ4 2023","Currency=USD","Period=FQ","BEST_FPERIOD_OVERRIDE=FQ","FILING_STATUS=MR","SCALING_FORMAT=MLN","Sort=A","Dates=H","DateFormat=P","Fill=—","Direction=H","UseDPDF=Y")</f>
        <v>-64.358000000000004</v>
      </c>
      <c r="X24" s="13">
        <f>_xll.BDH("SRPT US Equity","CF_CASH_FROM_INV_ACT","FQ1 2024","FQ1 2024","Currency=USD","Period=FQ","BEST_FPERIOD_OVERRIDE=FQ","FILING_STATUS=MR","SCALING_FORMAT=MLN","Sort=A","Dates=H","DateFormat=P","Fill=—","Direction=H","UseDPDF=Y")</f>
        <v>218.79599999999999</v>
      </c>
      <c r="Y24" s="13">
        <f>_xll.BDH("SRPT US Equity","CF_CASH_FROM_INV_ACT","FQ2 2024","FQ2 2024","Currency=USD","Period=FQ","BEST_FPERIOD_OVERRIDE=FQ","FILING_STATUS=MR","SCALING_FORMAT=MLN","Sort=A","Dates=H","DateFormat=P","Fill=—","Direction=H","UseDPDF=Y")</f>
        <v>-98.528000000000006</v>
      </c>
      <c r="Z24" s="13">
        <f>_xll.BDH("SRPT US Equity","CF_CASH_FROM_INV_ACT","FQ3 2024","FQ3 2024","Currency=USD","Period=FQ","BEST_FPERIOD_OVERRIDE=FQ","FILING_STATUS=MR","SCALING_FORMAT=MLN","Sort=A","Dates=H","DateFormat=P","Fill=—","Direction=H","UseDPDF=Y")</f>
        <v>-128.82499999999999</v>
      </c>
      <c r="AA24" s="13">
        <f>_xll.BDH("SRPT US Equity","CF_CASH_FROM_INV_ACT","FQ4 2024","FQ4 2024","Currency=USD","Period=FQ","BEST_FPERIOD_OVERRIDE=FQ","FILING_STATUS=MR","SCALING_FORMAT=MLN","Sort=A","Dates=H","DateFormat=P","Fill=—","Direction=H","UseDPDF=Y")</f>
        <v>764.11800000000005</v>
      </c>
    </row>
    <row r="25" spans="1:27" x14ac:dyDescent="0.25">
      <c r="A25" s="10" t="s">
        <v>127</v>
      </c>
      <c r="B25" s="10" t="s">
        <v>128</v>
      </c>
      <c r="C25" s="13">
        <f>_xll.BDH("SRPT US Equity","CF_CASH_FROM_FNC_ACT","FQ4 2018","FQ4 2018","Currency=USD","Period=FQ","BEST_FPERIOD_OVERRIDE=FQ","FILING_STATUS=MR","SCALING_FORMAT=MLN","Sort=A","Dates=H","DateFormat=P","Fill=—","Direction=H","UseDPDF=Y")</f>
        <v>521.28300000000002</v>
      </c>
      <c r="D25" s="13">
        <f>_xll.BDH("SRPT US Equity","CF_CASH_FROM_FNC_ACT","FQ1 2019","FQ1 2019","Currency=USD","Period=FQ","BEST_FPERIOD_OVERRIDE=FQ","FILING_STATUS=MR","SCALING_FORMAT=MLN","Sort=A","Dates=H","DateFormat=P","Fill=—","Direction=H","UseDPDF=Y")</f>
        <v>377.56299999999999</v>
      </c>
      <c r="E25" s="13">
        <f>_xll.BDH("SRPT US Equity","CF_CASH_FROM_FNC_ACT","FQ2 2019","FQ2 2019","Currency=USD","Period=FQ","BEST_FPERIOD_OVERRIDE=FQ","FILING_STATUS=MR","SCALING_FORMAT=MLN","Sort=A","Dates=H","DateFormat=P","Fill=—","Direction=H","UseDPDF=Y")</f>
        <v>6.2919999999999998</v>
      </c>
      <c r="F25" s="13">
        <f>_xll.BDH("SRPT US Equity","CF_CASH_FROM_FNC_ACT","FQ3 2019","FQ3 2019","Currency=USD","Period=FQ","BEST_FPERIOD_OVERRIDE=FQ","FILING_STATUS=MR","SCALING_FORMAT=MLN","Sort=A","Dates=H","DateFormat=P","Fill=—","Direction=H","UseDPDF=Y")</f>
        <v>1.7330000000000001</v>
      </c>
      <c r="G25" s="13">
        <f>_xll.BDH("SRPT US Equity","CF_CASH_FROM_FNC_ACT","FQ4 2019","FQ4 2019","Currency=USD","Period=FQ","BEST_FPERIOD_OVERRIDE=FQ","FILING_STATUS=MR","SCALING_FORMAT=MLN","Sort=A","Dates=H","DateFormat=P","Fill=—","Direction=H","UseDPDF=Y")</f>
        <v>256.96600000000001</v>
      </c>
      <c r="H25" s="13">
        <f>_xll.BDH("SRPT US Equity","CF_CASH_FROM_FNC_ACT","FQ1 2020","FQ1 2020","Currency=USD","Period=FQ","BEST_FPERIOD_OVERRIDE=FQ","FILING_STATUS=MR","SCALING_FORMAT=MLN","Sort=A","Dates=H","DateFormat=P","Fill=—","Direction=H","UseDPDF=Y")</f>
        <v>319.02199999999999</v>
      </c>
      <c r="I25" s="13">
        <f>_xll.BDH("SRPT US Equity","CF_CASH_FROM_FNC_ACT","FQ2 2020","FQ2 2020","Currency=USD","Period=FQ","BEST_FPERIOD_OVERRIDE=FQ","FILING_STATUS=MR","SCALING_FORMAT=MLN","Sort=A","Dates=H","DateFormat=P","Fill=—","Direction=H","UseDPDF=Y")</f>
        <v>17.574999999999999</v>
      </c>
      <c r="J25" s="13">
        <f>_xll.BDH("SRPT US Equity","CF_CASH_FROM_FNC_ACT","FQ3 2020","FQ3 2020","Currency=USD","Period=FQ","BEST_FPERIOD_OVERRIDE=FQ","FILING_STATUS=MR","SCALING_FORMAT=MLN","Sort=A","Dates=H","DateFormat=P","Fill=—","Direction=H","UseDPDF=Y")</f>
        <v>18.789000000000001</v>
      </c>
      <c r="K25" s="13">
        <f>_xll.BDH("SRPT US Equity","CF_CASH_FROM_FNC_ACT","FQ4 2020","FQ4 2020","Currency=USD","Period=FQ","BEST_FPERIOD_OVERRIDE=FQ","FILING_STATUS=MR","SCALING_FORMAT=MLN","Sort=A","Dates=H","DateFormat=P","Fill=—","Direction=H","UseDPDF=Y")</f>
        <v>326.93700000000001</v>
      </c>
      <c r="L25" s="13">
        <f>_xll.BDH("SRPT US Equity","CF_CASH_FROM_FNC_ACT","FQ1 2021","FQ1 2021","Currency=USD","Period=FQ","BEST_FPERIOD_OVERRIDE=FQ","FILING_STATUS=MR","SCALING_FORMAT=MLN","Sort=A","Dates=H","DateFormat=P","Fill=—","Direction=H","UseDPDF=Y")</f>
        <v>2.8929999999999998</v>
      </c>
      <c r="M25" s="13">
        <f>_xll.BDH("SRPT US Equity","CF_CASH_FROM_FNC_ACT","FQ2 2021","FQ2 2021","Currency=USD","Period=FQ","BEST_FPERIOD_OVERRIDE=FQ","FILING_STATUS=MR","SCALING_FORMAT=MLN","Sort=A","Dates=H","DateFormat=P","Fill=—","Direction=H","UseDPDF=Y")</f>
        <v>3.5259999999999998</v>
      </c>
      <c r="N25" s="13">
        <f>_xll.BDH("SRPT US Equity","CF_CASH_FROM_FNC_ACT","FQ3 2021","FQ3 2021","Currency=USD","Period=FQ","BEST_FPERIOD_OVERRIDE=FQ","FILING_STATUS=MR","SCALING_FORMAT=MLN","Sort=A","Dates=H","DateFormat=P","Fill=—","Direction=H","UseDPDF=Y")</f>
        <v>5.9020000000000001</v>
      </c>
      <c r="O25" s="13">
        <f>_xll.BDH("SRPT US Equity","CF_CASH_FROM_FNC_ACT","FQ4 2021","FQ4 2021","Currency=USD","Period=FQ","BEST_FPERIOD_OVERRIDE=FQ","FILING_STATUS=MR","SCALING_FORMAT=MLN","Sort=A","Dates=H","DateFormat=P","Fill=—","Direction=H","UseDPDF=Y")</f>
        <v>549.24800000000005</v>
      </c>
      <c r="P25" s="13">
        <f>_xll.BDH("SRPT US Equity","CF_CASH_FROM_FNC_ACT","FQ1 2022","FQ1 2022","Currency=USD","Period=FQ","BEST_FPERIOD_OVERRIDE=FQ","FILING_STATUS=MR","SCALING_FORMAT=MLN","Sort=A","Dates=H","DateFormat=P","Fill=—","Direction=H","UseDPDF=Y")</f>
        <v>4.99</v>
      </c>
      <c r="Q25" s="13">
        <f>_xll.BDH("SRPT US Equity","CF_CASH_FROM_FNC_ACT","FQ2 2022","FQ2 2022","Currency=USD","Period=FQ","BEST_FPERIOD_OVERRIDE=FQ","FILING_STATUS=MR","SCALING_FORMAT=MLN","Sort=A","Dates=H","DateFormat=P","Fill=—","Direction=H","UseDPDF=Y")</f>
        <v>0.33900000000000002</v>
      </c>
      <c r="R25" s="13">
        <f>_xll.BDH("SRPT US Equity","CF_CASH_FROM_FNC_ACT","FQ3 2022","FQ3 2022","Currency=USD","Period=FQ","BEST_FPERIOD_OVERRIDE=FQ","FILING_STATUS=MR","SCALING_FORMAT=MLN","Sort=A","Dates=H","DateFormat=P","Fill=—","Direction=H","UseDPDF=Y")</f>
        <v>216.429</v>
      </c>
      <c r="S25" s="13">
        <f>_xll.BDH("SRPT US Equity","CF_CASH_FROM_FNC_ACT","FQ4 2022","FQ4 2022","Currency=USD","Period=FQ","BEST_FPERIOD_OVERRIDE=FQ","FILING_STATUS=MR","SCALING_FORMAT=MLN","Sort=A","Dates=H","DateFormat=P","Fill=—","Direction=H","UseDPDF=Y")</f>
        <v>10.749000000000001</v>
      </c>
      <c r="T25" s="13">
        <f>_xll.BDH("SRPT US Equity","CF_CASH_FROM_FNC_ACT","FQ1 2023","FQ1 2023","Currency=USD","Period=FQ","BEST_FPERIOD_OVERRIDE=FQ","FILING_STATUS=MR","SCALING_FORMAT=MLN","Sort=A","Dates=H","DateFormat=P","Fill=—","Direction=H","UseDPDF=Y")</f>
        <v>101.795</v>
      </c>
      <c r="U25" s="13">
        <f>_xll.BDH("SRPT US Equity","CF_CASH_FROM_FNC_ACT","FQ2 2023","FQ2 2023","Currency=USD","Period=FQ","BEST_FPERIOD_OVERRIDE=FQ","FILING_STATUS=MR","SCALING_FORMAT=MLN","Sort=A","Dates=H","DateFormat=P","Fill=—","Direction=H","UseDPDF=Y")</f>
        <v>5.8609999999999998</v>
      </c>
      <c r="V25" s="13">
        <f>_xll.BDH("SRPT US Equity","CF_CASH_FROM_FNC_ACT","FQ3 2023","FQ3 2023","Currency=USD","Period=FQ","BEST_FPERIOD_OVERRIDE=FQ","FILING_STATUS=MR","SCALING_FORMAT=MLN","Sort=A","Dates=H","DateFormat=P","Fill=—","Direction=H","UseDPDF=Y")</f>
        <v>15.404999999999999</v>
      </c>
      <c r="W25" s="13">
        <f>_xll.BDH("SRPT US Equity","CF_CASH_FROM_FNC_ACT","FQ4 2023","FQ4 2023","Currency=USD","Period=FQ","BEST_FPERIOD_OVERRIDE=FQ","FILING_STATUS=MR","SCALING_FORMAT=MLN","Sort=A","Dates=H","DateFormat=P","Fill=—","Direction=H","UseDPDF=Y")</f>
        <v>1.9430000000000001</v>
      </c>
      <c r="X25" s="13">
        <f>_xll.BDH("SRPT US Equity","CF_CASH_FROM_FNC_ACT","FQ1 2024","FQ1 2024","Currency=USD","Period=FQ","BEST_FPERIOD_OVERRIDE=FQ","FILING_STATUS=MR","SCALING_FORMAT=MLN","Sort=A","Dates=H","DateFormat=P","Fill=—","Direction=H","UseDPDF=Y")</f>
        <v>22.14</v>
      </c>
      <c r="Y25" s="13">
        <f>_xll.BDH("SRPT US Equity","CF_CASH_FROM_FNC_ACT","FQ2 2024","FQ2 2024","Currency=USD","Period=FQ","BEST_FPERIOD_OVERRIDE=FQ","FILING_STATUS=MR","SCALING_FORMAT=MLN","Sort=A","Dates=H","DateFormat=P","Fill=—","Direction=H","UseDPDF=Y")</f>
        <v>39.917999999999999</v>
      </c>
      <c r="Z25" s="13">
        <f>_xll.BDH("SRPT US Equity","CF_CASH_FROM_FNC_ACT","FQ3 2024","FQ3 2024","Currency=USD","Period=FQ","BEST_FPERIOD_OVERRIDE=FQ","FILING_STATUS=MR","SCALING_FORMAT=MLN","Sort=A","Dates=H","DateFormat=P","Fill=—","Direction=H","UseDPDF=Y")</f>
        <v>13.757</v>
      </c>
      <c r="AA25" s="13">
        <f>_xll.BDH("SRPT US Equity","CF_CASH_FROM_FNC_ACT","FQ4 2024","FQ4 2024","Currency=USD","Period=FQ","BEST_FPERIOD_OVERRIDE=FQ","FILING_STATUS=MR","SCALING_FORMAT=MLN","Sort=A","Dates=H","DateFormat=P","Fill=—","Direction=H","UseDPDF=Y")</f>
        <v>48.991</v>
      </c>
    </row>
    <row r="26" spans="1:27" x14ac:dyDescent="0.25">
      <c r="A26" s="7" t="s">
        <v>90</v>
      </c>
      <c r="B26" s="7"/>
      <c r="C26" s="7" t="s">
        <v>5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7"/>
  <sheetViews>
    <sheetView workbookViewId="0">
      <selection activeCell="M18" sqref="M18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690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1177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1178</v>
      </c>
      <c r="B7" s="10" t="s">
        <v>1179</v>
      </c>
      <c r="C7" s="13">
        <f>_xll.BDH("SRPT US Equity","CF_NET_INC","FQ4 2018","FQ4 2018","Currency=USD","Period=FQ","BEST_FPERIOD_OVERRIDE=FQ","FILING_STATUS=MR","SCALING_FORMAT=MLN","Sort=A","Dates=H","DateFormat=P","Fill=—","Direction=H","UseDPDF=Y")</f>
        <v>-140.89500000000001</v>
      </c>
      <c r="D7" s="13">
        <f>_xll.BDH("SRPT US Equity","CF_NET_INC","FQ1 2019","FQ1 2019","Currency=USD","Period=FQ","BEST_FPERIOD_OVERRIDE=FQ","FILING_STATUS=MR","SCALING_FORMAT=MLN","Sort=A","Dates=H","DateFormat=P","Fill=—","Direction=H","UseDPDF=Y")</f>
        <v>-76.643000000000001</v>
      </c>
      <c r="E7" s="13">
        <f>_xll.BDH("SRPT US Equity","CF_NET_INC","FQ2 2019","FQ2 2019","Currency=USD","Period=FQ","BEST_FPERIOD_OVERRIDE=FQ","FILING_STATUS=MR","SCALING_FORMAT=MLN","Sort=A","Dates=H","DateFormat=P","Fill=—","Direction=H","UseDPDF=Y")</f>
        <v>-276.40300000000002</v>
      </c>
      <c r="F7" s="13">
        <f>_xll.BDH("SRPT US Equity","CF_NET_INC","FQ3 2019","FQ3 2019","Currency=USD","Period=FQ","BEST_FPERIOD_OVERRIDE=FQ","FILING_STATUS=MR","SCALING_FORMAT=MLN","Sort=A","Dates=H","DateFormat=P","Fill=—","Direction=H","UseDPDF=Y")</f>
        <v>-126.32599999999999</v>
      </c>
      <c r="G7" s="13">
        <f>_xll.BDH("SRPT US Equity","CF_NET_INC","FQ4 2019","FQ4 2019","Currency=USD","Period=FQ","BEST_FPERIOD_OVERRIDE=FQ","FILING_STATUS=MR","SCALING_FORMAT=MLN","Sort=A","Dates=H","DateFormat=P","Fill=—","Direction=H","UseDPDF=Y")</f>
        <v>-235.703</v>
      </c>
      <c r="H7" s="13">
        <f>_xll.BDH("SRPT US Equity","CF_NET_INC","FQ1 2020","FQ1 2020","Currency=USD","Period=FQ","BEST_FPERIOD_OVERRIDE=FQ","FILING_STATUS=MR","SCALING_FORMAT=MLN","Sort=A","Dates=H","DateFormat=P","Fill=—","Direction=H","UseDPDF=Y")</f>
        <v>-17.492000000000001</v>
      </c>
      <c r="I7" s="13">
        <f>_xll.BDH("SRPT US Equity","CF_NET_INC","FQ2 2020","FQ2 2020","Currency=USD","Period=FQ","BEST_FPERIOD_OVERRIDE=FQ","FILING_STATUS=MR","SCALING_FORMAT=MLN","Sort=A","Dates=H","DateFormat=P","Fill=—","Direction=H","UseDPDF=Y")</f>
        <v>-150.82</v>
      </c>
      <c r="J7" s="13">
        <f>_xll.BDH("SRPT US Equity","CF_NET_INC","FQ3 2020","FQ3 2020","Currency=USD","Period=FQ","BEST_FPERIOD_OVERRIDE=FQ","FILING_STATUS=MR","SCALING_FORMAT=MLN","Sort=A","Dates=H","DateFormat=P","Fill=—","Direction=H","UseDPDF=Y")</f>
        <v>-196.499</v>
      </c>
      <c r="K7" s="13">
        <f>_xll.BDH("SRPT US Equity","CF_NET_INC","FQ4 2020","FQ4 2020","Currency=USD","Period=FQ","BEST_FPERIOD_OVERRIDE=FQ","FILING_STATUS=MR","SCALING_FORMAT=MLN","Sort=A","Dates=H","DateFormat=P","Fill=—","Direction=H","UseDPDF=Y")</f>
        <v>-189.31700000000001</v>
      </c>
      <c r="L7" s="13">
        <f>_xll.BDH("SRPT US Equity","CF_NET_INC","FQ1 2021","FQ1 2021","Currency=USD","Period=FQ","BEST_FPERIOD_OVERRIDE=FQ","FILING_STATUS=MR","SCALING_FORMAT=MLN","Sort=A","Dates=H","DateFormat=P","Fill=—","Direction=H","UseDPDF=Y")</f>
        <v>-167.25</v>
      </c>
      <c r="M7" s="13">
        <f>_xll.BDH("SRPT US Equity","CF_NET_INC","FQ2 2021","FQ2 2021","Currency=USD","Period=FQ","BEST_FPERIOD_OVERRIDE=FQ","FILING_STATUS=MR","SCALING_FORMAT=MLN","Sort=A","Dates=H","DateFormat=P","Fill=—","Direction=H","UseDPDF=Y")</f>
        <v>-81.405000000000001</v>
      </c>
      <c r="N7" s="13">
        <f>_xll.BDH("SRPT US Equity","CF_NET_INC","FQ3 2021","FQ3 2021","Currency=USD","Period=FQ","BEST_FPERIOD_OVERRIDE=FQ","FILING_STATUS=MR","SCALING_FORMAT=MLN","Sort=A","Dates=H","DateFormat=P","Fill=—","Direction=H","UseDPDF=Y")</f>
        <v>-48.143999999999998</v>
      </c>
      <c r="O7" s="13">
        <f>_xll.BDH("SRPT US Equity","CF_NET_INC","FQ4 2021","FQ4 2021","Currency=USD","Period=FQ","BEST_FPERIOD_OVERRIDE=FQ","FILING_STATUS=MR","SCALING_FORMAT=MLN","Sort=A","Dates=H","DateFormat=P","Fill=—","Direction=H","UseDPDF=Y")</f>
        <v>-121.98099999999999</v>
      </c>
      <c r="P7" s="13">
        <f>_xll.BDH("SRPT US Equity","CF_NET_INC","FQ1 2022","FQ1 2022","Currency=USD","Period=FQ","BEST_FPERIOD_OVERRIDE=FQ","FILING_STATUS=MR","SCALING_FORMAT=MLN","Sort=A","Dates=H","DateFormat=P","Fill=—","Direction=H","UseDPDF=Y")</f>
        <v>-105.02500000000001</v>
      </c>
      <c r="Q7" s="13">
        <f>_xll.BDH("SRPT US Equity","CF_NET_INC","FQ2 2022","FQ2 2022","Currency=USD","Period=FQ","BEST_FPERIOD_OVERRIDE=FQ","FILING_STATUS=MR","SCALING_FORMAT=MLN","Sort=A","Dates=H","DateFormat=P","Fill=—","Direction=H","UseDPDF=Y")</f>
        <v>-231.48099999999999</v>
      </c>
      <c r="R7" s="13">
        <f>_xll.BDH("SRPT US Equity","CF_NET_INC","FQ3 2022","FQ3 2022","Currency=USD","Period=FQ","BEST_FPERIOD_OVERRIDE=FQ","FILING_STATUS=MR","SCALING_FORMAT=MLN","Sort=A","Dates=H","DateFormat=P","Fill=—","Direction=H","UseDPDF=Y")</f>
        <v>-257.738</v>
      </c>
      <c r="S7" s="13">
        <f>_xll.BDH("SRPT US Equity","CF_NET_INC","FQ4 2022","FQ4 2022","Currency=USD","Period=FQ","BEST_FPERIOD_OVERRIDE=FQ","FILING_STATUS=MR","SCALING_FORMAT=MLN","Sort=A","Dates=H","DateFormat=P","Fill=—","Direction=H","UseDPDF=Y")</f>
        <v>-109.244</v>
      </c>
      <c r="T7" s="13">
        <f>_xll.BDH("SRPT US Equity","CF_NET_INC","FQ1 2023","FQ1 2023","Currency=USD","Period=FQ","BEST_FPERIOD_OVERRIDE=FQ","FILING_STATUS=MR","SCALING_FORMAT=MLN","Sort=A","Dates=H","DateFormat=P","Fill=—","Direction=H","UseDPDF=Y")</f>
        <v>-516.755</v>
      </c>
      <c r="U7" s="13">
        <f>_xll.BDH("SRPT US Equity","CF_NET_INC","FQ2 2023","FQ2 2023","Currency=USD","Period=FQ","BEST_FPERIOD_OVERRIDE=FQ","FILING_STATUS=MR","SCALING_FORMAT=MLN","Sort=A","Dates=H","DateFormat=P","Fill=—","Direction=H","UseDPDF=Y")</f>
        <v>-23.94</v>
      </c>
      <c r="V7" s="13">
        <f>_xll.BDH("SRPT US Equity","CF_NET_INC","FQ3 2023","FQ3 2023","Currency=USD","Period=FQ","BEST_FPERIOD_OVERRIDE=FQ","FILING_STATUS=MR","SCALING_FORMAT=MLN","Sort=A","Dates=H","DateFormat=P","Fill=—","Direction=H","UseDPDF=Y")</f>
        <v>-40.936999999999998</v>
      </c>
      <c r="W7" s="13">
        <f>_xll.BDH("SRPT US Equity","CF_NET_INC","FQ4 2023","FQ4 2023","Currency=USD","Period=FQ","BEST_FPERIOD_OVERRIDE=FQ","FILING_STATUS=MR","SCALING_FORMAT=MLN","Sort=A","Dates=H","DateFormat=P","Fill=—","Direction=H","UseDPDF=Y")</f>
        <v>45.655000000000001</v>
      </c>
      <c r="X7" s="13">
        <f>_xll.BDH("SRPT US Equity","CF_NET_INC","FQ1 2024","FQ1 2024","Currency=USD","Period=FQ","BEST_FPERIOD_OVERRIDE=FQ","FILING_STATUS=MR","SCALING_FORMAT=MLN","Sort=A","Dates=H","DateFormat=P","Fill=—","Direction=H","UseDPDF=Y")</f>
        <v>36.119</v>
      </c>
      <c r="Y7" s="13">
        <f>_xll.BDH("SRPT US Equity","CF_NET_INC","FQ2 2024","FQ2 2024","Currency=USD","Period=FQ","BEST_FPERIOD_OVERRIDE=FQ","FILING_STATUS=MR","SCALING_FORMAT=MLN","Sort=A","Dates=H","DateFormat=P","Fill=—","Direction=H","UseDPDF=Y")</f>
        <v>6.46</v>
      </c>
      <c r="Z7" s="13">
        <f>_xll.BDH("SRPT US Equity","CF_NET_INC","FQ3 2024","FQ3 2024","Currency=USD","Period=FQ","BEST_FPERIOD_OVERRIDE=FQ","FILING_STATUS=MR","SCALING_FORMAT=MLN","Sort=A","Dates=H","DateFormat=P","Fill=—","Direction=H","UseDPDF=Y")</f>
        <v>33.610999999999997</v>
      </c>
      <c r="AA7" s="13">
        <f>_xll.BDH("SRPT US Equity","CF_NET_INC","FQ4 2024","FQ4 2024","Currency=USD","Period=FQ","BEST_FPERIOD_OVERRIDE=FQ","FILING_STATUS=MR","SCALING_FORMAT=MLN","Sort=A","Dates=H","DateFormat=P","Fill=—","Direction=H","UseDPDF=Y")</f>
        <v>159.04900000000001</v>
      </c>
    </row>
    <row r="8" spans="1:27" x14ac:dyDescent="0.25">
      <c r="A8" s="10" t="s">
        <v>604</v>
      </c>
      <c r="B8" s="10" t="s">
        <v>1180</v>
      </c>
      <c r="C8" s="13">
        <f>_xll.BDH("SRPT US Equity","CF_DEPR_AMORT","FQ4 2018","FQ4 2018","Currency=USD","Period=FQ","BEST_FPERIOD_OVERRIDE=FQ","FILING_STATUS=MR","SCALING_FORMAT=MLN","Sort=A","Dates=H","DateFormat=P","Fill=—","Direction=H","UseDPDF=Y")</f>
        <v>3.5270000000000001</v>
      </c>
      <c r="D8" s="13">
        <f>_xll.BDH("SRPT US Equity","CF_DEPR_AMORT","FQ1 2019","FQ1 2019","Currency=USD","Period=FQ","BEST_FPERIOD_OVERRIDE=FQ","FILING_STATUS=MR","SCALING_FORMAT=MLN","Sort=A","Dates=H","DateFormat=P","Fill=—","Direction=H","UseDPDF=Y")</f>
        <v>6.37</v>
      </c>
      <c r="E8" s="13">
        <f>_xll.BDH("SRPT US Equity","CF_DEPR_AMORT","FQ2 2019","FQ2 2019","Currency=USD","Period=FQ","BEST_FPERIOD_OVERRIDE=FQ","FILING_STATUS=MR","SCALING_FORMAT=MLN","Sort=A","Dates=H","DateFormat=P","Fill=—","Direction=H","UseDPDF=Y")</f>
        <v>7.694</v>
      </c>
      <c r="F8" s="13">
        <f>_xll.BDH("SRPT US Equity","CF_DEPR_AMORT","FQ3 2019","FQ3 2019","Currency=USD","Period=FQ","BEST_FPERIOD_OVERRIDE=FQ","FILING_STATUS=MR","SCALING_FORMAT=MLN","Sort=A","Dates=H","DateFormat=P","Fill=—","Direction=H","UseDPDF=Y")</f>
        <v>8.2769999999999992</v>
      </c>
      <c r="G8" s="13">
        <f>_xll.BDH("SRPT US Equity","CF_DEPR_AMORT","FQ4 2019","FQ4 2019","Currency=USD","Period=FQ","BEST_FPERIOD_OVERRIDE=FQ","FILING_STATUS=MR","SCALING_FORMAT=MLN","Sort=A","Dates=H","DateFormat=P","Fill=—","Direction=H","UseDPDF=Y")</f>
        <v>8.2059999999999995</v>
      </c>
      <c r="H8" s="13">
        <f>_xll.BDH("SRPT US Equity","CF_DEPR_AMORT","FQ1 2020","FQ1 2020","Currency=USD","Period=FQ","BEST_FPERIOD_OVERRIDE=FQ","FILING_STATUS=MR","SCALING_FORMAT=MLN","Sort=A","Dates=H","DateFormat=P","Fill=—","Direction=H","UseDPDF=Y")</f>
        <v>6.5289999999999999</v>
      </c>
      <c r="I8" s="13">
        <f>_xll.BDH("SRPT US Equity","CF_DEPR_AMORT","FQ2 2020","FQ2 2020","Currency=USD","Period=FQ","BEST_FPERIOD_OVERRIDE=FQ","FILING_STATUS=MR","SCALING_FORMAT=MLN","Sort=A","Dates=H","DateFormat=P","Fill=—","Direction=H","UseDPDF=Y")</f>
        <v>6.4749999999999996</v>
      </c>
      <c r="J8" s="13">
        <f>_xll.BDH("SRPT US Equity","CF_DEPR_AMORT","FQ3 2020","FQ3 2020","Currency=USD","Period=FQ","BEST_FPERIOD_OVERRIDE=FQ","FILING_STATUS=MR","SCALING_FORMAT=MLN","Sort=A","Dates=H","DateFormat=P","Fill=—","Direction=H","UseDPDF=Y")</f>
        <v>6.6189999999999998</v>
      </c>
      <c r="K8" s="13">
        <f>_xll.BDH("SRPT US Equity","CF_DEPR_AMORT","FQ4 2020","FQ4 2020","Currency=USD","Period=FQ","BEST_FPERIOD_OVERRIDE=FQ","FILING_STATUS=MR","SCALING_FORMAT=MLN","Sort=A","Dates=H","DateFormat=P","Fill=—","Direction=H","UseDPDF=Y")</f>
        <v>7.2880000000000003</v>
      </c>
      <c r="L8" s="13">
        <f>_xll.BDH("SRPT US Equity","CF_DEPR_AMORT","FQ1 2021","FQ1 2021","Currency=USD","Period=FQ","BEST_FPERIOD_OVERRIDE=FQ","FILING_STATUS=MR","SCALING_FORMAT=MLN","Sort=A","Dates=H","DateFormat=P","Fill=—","Direction=H","UseDPDF=Y")</f>
        <v>8.93</v>
      </c>
      <c r="M8" s="13">
        <f>_xll.BDH("SRPT US Equity","CF_DEPR_AMORT","FQ2 2021","FQ2 2021","Currency=USD","Period=FQ","BEST_FPERIOD_OVERRIDE=FQ","FILING_STATUS=MR","SCALING_FORMAT=MLN","Sort=A","Dates=H","DateFormat=P","Fill=—","Direction=H","UseDPDF=Y")</f>
        <v>8.4469999999999992</v>
      </c>
      <c r="N8" s="13">
        <f>_xll.BDH("SRPT US Equity","CF_DEPR_AMORT","FQ3 2021","FQ3 2021","Currency=USD","Period=FQ","BEST_FPERIOD_OVERRIDE=FQ","FILING_STATUS=MR","SCALING_FORMAT=MLN","Sort=A","Dates=H","DateFormat=P","Fill=—","Direction=H","UseDPDF=Y")</f>
        <v>10.494999999999999</v>
      </c>
      <c r="O8" s="13">
        <f>_xll.BDH("SRPT US Equity","CF_DEPR_AMORT","FQ4 2021","FQ4 2021","Currency=USD","Period=FQ","BEST_FPERIOD_OVERRIDE=FQ","FILING_STATUS=MR","SCALING_FORMAT=MLN","Sort=A","Dates=H","DateFormat=P","Fill=—","Direction=H","UseDPDF=Y")</f>
        <v>10.145</v>
      </c>
      <c r="P8" s="13">
        <f>_xll.BDH("SRPT US Equity","CF_DEPR_AMORT","FQ1 2022","FQ1 2022","Currency=USD","Period=FQ","BEST_FPERIOD_OVERRIDE=FQ","FILING_STATUS=MR","SCALING_FORMAT=MLN","Sort=A","Dates=H","DateFormat=P","Fill=—","Direction=H","UseDPDF=Y")</f>
        <v>10.718999999999999</v>
      </c>
      <c r="Q8" s="13">
        <f>_xll.BDH("SRPT US Equity","CF_DEPR_AMORT","FQ2 2022","FQ2 2022","Currency=USD","Period=FQ","BEST_FPERIOD_OVERRIDE=FQ","FILING_STATUS=MR","SCALING_FORMAT=MLN","Sort=A","Dates=H","DateFormat=P","Fill=—","Direction=H","UseDPDF=Y")</f>
        <v>9.8889999999999993</v>
      </c>
      <c r="R8" s="13">
        <f>_xll.BDH("SRPT US Equity","CF_DEPR_AMORT","FQ3 2022","FQ3 2022","Currency=USD","Period=FQ","BEST_FPERIOD_OVERRIDE=FQ","FILING_STATUS=MR","SCALING_FORMAT=MLN","Sort=A","Dates=H","DateFormat=P","Fill=—","Direction=H","UseDPDF=Y")</f>
        <v>10.702999999999999</v>
      </c>
      <c r="S8" s="13">
        <f>_xll.BDH("SRPT US Equity","CF_DEPR_AMORT","FQ4 2022","FQ4 2022","Currency=USD","Period=FQ","BEST_FPERIOD_OVERRIDE=FQ","FILING_STATUS=MR","SCALING_FORMAT=MLN","Sort=A","Dates=H","DateFormat=P","Fill=—","Direction=H","UseDPDF=Y")</f>
        <v>10.553000000000001</v>
      </c>
      <c r="T8" s="13">
        <f>_xll.BDH("SRPT US Equity","CF_DEPR_AMORT","FQ1 2023","FQ1 2023","Currency=USD","Period=FQ","BEST_FPERIOD_OVERRIDE=FQ","FILING_STATUS=MR","SCALING_FORMAT=MLN","Sort=A","Dates=H","DateFormat=P","Fill=—","Direction=H","UseDPDF=Y")</f>
        <v>11.305</v>
      </c>
      <c r="U8" s="13">
        <f>_xll.BDH("SRPT US Equity","CF_DEPR_AMORT","FQ2 2023","FQ2 2023","Currency=USD","Period=FQ","BEST_FPERIOD_OVERRIDE=FQ","FILING_STATUS=MR","SCALING_FORMAT=MLN","Sort=A","Dates=H","DateFormat=P","Fill=—","Direction=H","UseDPDF=Y")</f>
        <v>10.792</v>
      </c>
      <c r="V8" s="13">
        <f>_xll.BDH("SRPT US Equity","CF_DEPR_AMORT","FQ3 2023","FQ3 2023","Currency=USD","Period=FQ","BEST_FPERIOD_OVERRIDE=FQ","FILING_STATUS=MR","SCALING_FORMAT=MLN","Sort=A","Dates=H","DateFormat=P","Fill=—","Direction=H","UseDPDF=Y")</f>
        <v>10.928000000000001</v>
      </c>
      <c r="W8" s="13">
        <f>_xll.BDH("SRPT US Equity","CF_DEPR_AMORT","FQ4 2023","FQ4 2023","Currency=USD","Period=FQ","BEST_FPERIOD_OVERRIDE=FQ","FILING_STATUS=MR","SCALING_FORMAT=MLN","Sort=A","Dates=H","DateFormat=P","Fill=—","Direction=H","UseDPDF=Y")</f>
        <v>11.372</v>
      </c>
      <c r="X8" s="13">
        <f>_xll.BDH("SRPT US Equity","CF_DEPR_AMORT","FQ1 2024","FQ1 2024","Currency=USD","Period=FQ","BEST_FPERIOD_OVERRIDE=FQ","FILING_STATUS=MR","SCALING_FORMAT=MLN","Sort=A","Dates=H","DateFormat=P","Fill=—","Direction=H","UseDPDF=Y")</f>
        <v>8.7439999999999998</v>
      </c>
      <c r="Y8" s="13">
        <f>_xll.BDH("SRPT US Equity","CF_DEPR_AMORT","FQ2 2024","FQ2 2024","Currency=USD","Period=FQ","BEST_FPERIOD_OVERRIDE=FQ","FILING_STATUS=MR","SCALING_FORMAT=MLN","Sort=A","Dates=H","DateFormat=P","Fill=—","Direction=H","UseDPDF=Y")</f>
        <v>8.7189999999999994</v>
      </c>
      <c r="Z8" s="13">
        <f>_xll.BDH("SRPT US Equity","CF_DEPR_AMORT","FQ3 2024","FQ3 2024","Currency=USD","Period=FQ","BEST_FPERIOD_OVERRIDE=FQ","FILING_STATUS=MR","SCALING_FORMAT=MLN","Sort=A","Dates=H","DateFormat=P","Fill=—","Direction=H","UseDPDF=Y")</f>
        <v>9.8059999999999992</v>
      </c>
      <c r="AA8" s="13">
        <f>_xll.BDH("SRPT US Equity","CF_DEPR_AMORT","FQ4 2024","FQ4 2024","Currency=USD","Period=FQ","BEST_FPERIOD_OVERRIDE=FQ","FILING_STATUS=MR","SCALING_FORMAT=MLN","Sort=A","Dates=H","DateFormat=P","Fill=—","Direction=H","UseDPDF=Y")</f>
        <v>10.455</v>
      </c>
    </row>
    <row r="9" spans="1:27" x14ac:dyDescent="0.25">
      <c r="A9" s="10" t="s">
        <v>1181</v>
      </c>
      <c r="B9" s="10" t="s">
        <v>1182</v>
      </c>
      <c r="C9" s="13">
        <f>_xll.BDH("SRPT US Equity","NON_CASH_ITEMS_DETAILED","FQ4 2018","FQ4 2018","Currency=USD","Period=FQ","BEST_FPERIOD_OVERRIDE=FQ","FILING_STATUS=MR","SCALING_FORMAT=MLN","Sort=A","Dates=H","DateFormat=P","Fill=—","Direction=H","UseDPDF=Y")</f>
        <v>18.736000000000001</v>
      </c>
      <c r="D9" s="13">
        <f>_xll.BDH("SRPT US Equity","NON_CASH_ITEMS_DETAILED","FQ1 2019","FQ1 2019","Currency=USD","Period=FQ","BEST_FPERIOD_OVERRIDE=FQ","FILING_STATUS=MR","SCALING_FORMAT=MLN","Sort=A","Dates=H","DateFormat=P","Fill=—","Direction=H","UseDPDF=Y")</f>
        <v>17.959</v>
      </c>
      <c r="E9" s="13">
        <f>_xll.BDH("SRPT US Equity","NON_CASH_ITEMS_DETAILED","FQ2 2019","FQ2 2019","Currency=USD","Period=FQ","BEST_FPERIOD_OVERRIDE=FQ","FILING_STATUS=MR","SCALING_FORMAT=MLN","Sort=A","Dates=H","DateFormat=P","Fill=—","Direction=H","UseDPDF=Y")</f>
        <v>196.78700000000001</v>
      </c>
      <c r="F9" s="13">
        <f>_xll.BDH("SRPT US Equity","NON_CASH_ITEMS_DETAILED","FQ3 2019","FQ3 2019","Currency=USD","Period=FQ","BEST_FPERIOD_OVERRIDE=FQ","FILING_STATUS=MR","SCALING_FORMAT=MLN","Sort=A","Dates=H","DateFormat=P","Fill=—","Direction=H","UseDPDF=Y")</f>
        <v>112.07</v>
      </c>
      <c r="G9" s="13">
        <f>_xll.BDH("SRPT US Equity","NON_CASH_ITEMS_DETAILED","FQ4 2019","FQ4 2019","Currency=USD","Period=FQ","BEST_FPERIOD_OVERRIDE=FQ","FILING_STATUS=MR","SCALING_FORMAT=MLN","Sort=A","Dates=H","DateFormat=P","Fill=—","Direction=H","UseDPDF=Y")</f>
        <v>150.548</v>
      </c>
      <c r="H9" s="13">
        <f>_xll.BDH("SRPT US Equity","NON_CASH_ITEMS_DETAILED","FQ1 2020","FQ1 2020","Currency=USD","Period=FQ","BEST_FPERIOD_OVERRIDE=FQ","FILING_STATUS=MR","SCALING_FORMAT=MLN","Sort=A","Dates=H","DateFormat=P","Fill=—","Direction=H","UseDPDF=Y")</f>
        <v>-78.215000000000003</v>
      </c>
      <c r="I9" s="13">
        <f>_xll.BDH("SRPT US Equity","NON_CASH_ITEMS_DETAILED","FQ2 2020","FQ2 2020","Currency=USD","Period=FQ","BEST_FPERIOD_OVERRIDE=FQ","FILING_STATUS=MR","SCALING_FORMAT=MLN","Sort=A","Dates=H","DateFormat=P","Fill=—","Direction=H","UseDPDF=Y")</f>
        <v>36.664000000000001</v>
      </c>
      <c r="J9" s="13">
        <f>_xll.BDH("SRPT US Equity","NON_CASH_ITEMS_DETAILED","FQ3 2020","FQ3 2020","Currency=USD","Period=FQ","BEST_FPERIOD_OVERRIDE=FQ","FILING_STATUS=MR","SCALING_FORMAT=MLN","Sort=A","Dates=H","DateFormat=P","Fill=—","Direction=H","UseDPDF=Y")</f>
        <v>82.275000000000006</v>
      </c>
      <c r="K9" s="13">
        <f>_xll.BDH("SRPT US Equity","NON_CASH_ITEMS_DETAILED","FQ4 2020","FQ4 2020","Currency=USD","Period=FQ","BEST_FPERIOD_OVERRIDE=FQ","FILING_STATUS=MR","SCALING_FORMAT=MLN","Sort=A","Dates=H","DateFormat=P","Fill=—","Direction=H","UseDPDF=Y")</f>
        <v>39.902999999999999</v>
      </c>
      <c r="L9" s="13">
        <f>_xll.BDH("SRPT US Equity","NON_CASH_ITEMS_DETAILED","FQ1 2021","FQ1 2021","Currency=USD","Period=FQ","BEST_FPERIOD_OVERRIDE=FQ","FILING_STATUS=MR","SCALING_FORMAT=MLN","Sort=A","Dates=H","DateFormat=P","Fill=—","Direction=H","UseDPDF=Y")</f>
        <v>35.235999999999997</v>
      </c>
      <c r="M9" s="13">
        <f>_xll.BDH("SRPT US Equity","NON_CASH_ITEMS_DETAILED","FQ2 2021","FQ2 2021","Currency=USD","Period=FQ","BEST_FPERIOD_OVERRIDE=FQ","FILING_STATUS=MR","SCALING_FORMAT=MLN","Sort=A","Dates=H","DateFormat=P","Fill=—","Direction=H","UseDPDF=Y")</f>
        <v>-66.36</v>
      </c>
      <c r="N9" s="13">
        <f>_xll.BDH("SRPT US Equity","NON_CASH_ITEMS_DETAILED","FQ3 2021","FQ3 2021","Currency=USD","Period=FQ","BEST_FPERIOD_OVERRIDE=FQ","FILING_STATUS=MR","SCALING_FORMAT=MLN","Sort=A","Dates=H","DateFormat=P","Fill=—","Direction=H","UseDPDF=Y")</f>
        <v>30.265999999999998</v>
      </c>
      <c r="O9" s="13">
        <f>_xll.BDH("SRPT US Equity","NON_CASH_ITEMS_DETAILED","FQ4 2021","FQ4 2021","Currency=USD","Period=FQ","BEST_FPERIOD_OVERRIDE=FQ","FILING_STATUS=MR","SCALING_FORMAT=MLN","Sort=A","Dates=H","DateFormat=P","Fill=—","Direction=H","UseDPDF=Y")</f>
        <v>36.615000000000002</v>
      </c>
      <c r="P9" s="13">
        <f>_xll.BDH("SRPT US Equity","NON_CASH_ITEMS_DETAILED","FQ1 2022","FQ1 2022","Currency=USD","Period=FQ","BEST_FPERIOD_OVERRIDE=FQ","FILING_STATUS=MR","SCALING_FORMAT=MLN","Sort=A","Dates=H","DateFormat=P","Fill=—","Direction=H","UseDPDF=Y")</f>
        <v>36.648000000000003</v>
      </c>
      <c r="Q9" s="13">
        <f>_xll.BDH("SRPT US Equity","NON_CASH_ITEMS_DETAILED","FQ2 2022","FQ2 2022","Currency=USD","Period=FQ","BEST_FPERIOD_OVERRIDE=FQ","FILING_STATUS=MR","SCALING_FORMAT=MLN","Sort=A","Dates=H","DateFormat=P","Fill=—","Direction=H","UseDPDF=Y")</f>
        <v>109.32299999999999</v>
      </c>
      <c r="R9" s="13">
        <f>_xll.BDH("SRPT US Equity","NON_CASH_ITEMS_DETAILED","FQ3 2022","FQ3 2022","Currency=USD","Period=FQ","BEST_FPERIOD_OVERRIDE=FQ","FILING_STATUS=MR","SCALING_FORMAT=MLN","Sort=A","Dates=H","DateFormat=P","Fill=—","Direction=H","UseDPDF=Y")</f>
        <v>172.08500000000001</v>
      </c>
      <c r="S9" s="13">
        <f>_xll.BDH("SRPT US Equity","NON_CASH_ITEMS_DETAILED","FQ4 2022","FQ4 2022","Currency=USD","Period=FQ","BEST_FPERIOD_OVERRIDE=FQ","FILING_STATUS=MR","SCALING_FORMAT=MLN","Sort=A","Dates=H","DateFormat=P","Fill=—","Direction=H","UseDPDF=Y")</f>
        <v>57.692</v>
      </c>
      <c r="T9" s="13">
        <f>_xll.BDH("SRPT US Equity","NON_CASH_ITEMS_DETAILED","FQ1 2023","FQ1 2023","Currency=USD","Period=FQ","BEST_FPERIOD_OVERRIDE=FQ","FILING_STATUS=MR","SCALING_FORMAT=MLN","Sort=A","Dates=H","DateFormat=P","Fill=—","Direction=H","UseDPDF=Y")</f>
        <v>395.11399999999998</v>
      </c>
      <c r="U9" s="13">
        <f>_xll.BDH("SRPT US Equity","NON_CASH_ITEMS_DETAILED","FQ2 2023","FQ2 2023","Currency=USD","Period=FQ","BEST_FPERIOD_OVERRIDE=FQ","FILING_STATUS=MR","SCALING_FORMAT=MLN","Sort=A","Dates=H","DateFormat=P","Fill=—","Direction=H","UseDPDF=Y")</f>
        <v>-21.044</v>
      </c>
      <c r="V9" s="13">
        <f>_xll.BDH("SRPT US Equity","NON_CASH_ITEMS_DETAILED","FQ3 2023","FQ3 2023","Currency=USD","Period=FQ","BEST_FPERIOD_OVERRIDE=FQ","FILING_STATUS=MR","SCALING_FORMAT=MLN","Sort=A","Dates=H","DateFormat=P","Fill=—","Direction=H","UseDPDF=Y")</f>
        <v>64.010999999999996</v>
      </c>
      <c r="W9" s="13">
        <f>_xll.BDH("SRPT US Equity","NON_CASH_ITEMS_DETAILED","FQ4 2023","FQ4 2023","Currency=USD","Period=FQ","BEST_FPERIOD_OVERRIDE=FQ","FILING_STATUS=MR","SCALING_FORMAT=MLN","Sort=A","Dates=H","DateFormat=P","Fill=—","Direction=H","UseDPDF=Y")</f>
        <v>33.594999999999999</v>
      </c>
      <c r="X9" s="13">
        <f>_xll.BDH("SRPT US Equity","NON_CASH_ITEMS_DETAILED","FQ1 2024","FQ1 2024","Currency=USD","Period=FQ","BEST_FPERIOD_OVERRIDE=FQ","FILING_STATUS=MR","SCALING_FORMAT=MLN","Sort=A","Dates=H","DateFormat=P","Fill=—","Direction=H","UseDPDF=Y")</f>
        <v>40.356999999999999</v>
      </c>
      <c r="Y9" s="13">
        <f>_xll.BDH("SRPT US Equity","NON_CASH_ITEMS_DETAILED","FQ2 2024","FQ2 2024","Currency=USD","Period=FQ","BEST_FPERIOD_OVERRIDE=FQ","FILING_STATUS=MR","SCALING_FORMAT=MLN","Sort=A","Dates=H","DateFormat=P","Fill=—","Direction=H","UseDPDF=Y")</f>
        <v>-149.261</v>
      </c>
      <c r="Z9" s="13">
        <f>_xll.BDH("SRPT US Equity","NON_CASH_ITEMS_DETAILED","FQ3 2024","FQ3 2024","Currency=USD","Period=FQ","BEST_FPERIOD_OVERRIDE=FQ","FILING_STATUS=MR","SCALING_FORMAT=MLN","Sort=A","Dates=H","DateFormat=P","Fill=—","Direction=H","UseDPDF=Y")</f>
        <v>24.3</v>
      </c>
      <c r="AA9" s="13">
        <f>_xll.BDH("SRPT US Equity","NON_CASH_ITEMS_DETAILED","FQ4 2024","FQ4 2024","Currency=USD","Period=FQ","BEST_FPERIOD_OVERRIDE=FQ","FILING_STATUS=MR","SCALING_FORMAT=MLN","Sort=A","Dates=H","DateFormat=P","Fill=—","Direction=H","UseDPDF=Y")</f>
        <v>124.196</v>
      </c>
    </row>
    <row r="10" spans="1:27" x14ac:dyDescent="0.25">
      <c r="A10" s="10" t="s">
        <v>1183</v>
      </c>
      <c r="B10" s="10" t="s">
        <v>1184</v>
      </c>
      <c r="C10" s="13">
        <f>_xll.BDH("SRPT US Equity","CF_STOCK_BASED_COMPENSATION","FQ4 2018","FQ4 2018","Currency=USD","Period=FQ","BEST_FPERIOD_OVERRIDE=FQ","FILING_STATUS=MR","SCALING_FORMAT=MLN","Sort=A","Dates=H","DateFormat=P","Fill=—","Direction=H","UseDPDF=Y")</f>
        <v>12.837999999999999</v>
      </c>
      <c r="D10" s="13">
        <f>_xll.BDH("SRPT US Equity","CF_STOCK_BASED_COMPENSATION","FQ1 2019","FQ1 2019","Currency=USD","Period=FQ","BEST_FPERIOD_OVERRIDE=FQ","FILING_STATUS=MR","SCALING_FORMAT=MLN","Sort=A","Dates=H","DateFormat=P","Fill=—","Direction=H","UseDPDF=Y")</f>
        <v>16.138999999999999</v>
      </c>
      <c r="E10" s="13">
        <f>_xll.BDH("SRPT US Equity","CF_STOCK_BASED_COMPENSATION","FQ2 2019","FQ2 2019","Currency=USD","Period=FQ","BEST_FPERIOD_OVERRIDE=FQ","FILING_STATUS=MR","SCALING_FORMAT=MLN","Sort=A","Dates=H","DateFormat=P","Fill=—","Direction=H","UseDPDF=Y")</f>
        <v>19.762</v>
      </c>
      <c r="F10" s="13">
        <f>_xll.BDH("SRPT US Equity","CF_STOCK_BASED_COMPENSATION","FQ3 2019","FQ3 2019","Currency=USD","Period=FQ","BEST_FPERIOD_OVERRIDE=FQ","FILING_STATUS=MR","SCALING_FORMAT=MLN","Sort=A","Dates=H","DateFormat=P","Fill=—","Direction=H","UseDPDF=Y")</f>
        <v>20.637</v>
      </c>
      <c r="G10" s="13">
        <f>_xll.BDH("SRPT US Equity","CF_STOCK_BASED_COMPENSATION","FQ4 2019","FQ4 2019","Currency=USD","Period=FQ","BEST_FPERIOD_OVERRIDE=FQ","FILING_STATUS=MR","SCALING_FORMAT=MLN","Sort=A","Dates=H","DateFormat=P","Fill=—","Direction=H","UseDPDF=Y")</f>
        <v>22.064</v>
      </c>
      <c r="H10" s="13">
        <f>_xll.BDH("SRPT US Equity","CF_STOCK_BASED_COMPENSATION","FQ1 2020","FQ1 2020","Currency=USD","Period=FQ","BEST_FPERIOD_OVERRIDE=FQ","FILING_STATUS=MR","SCALING_FORMAT=MLN","Sort=A","Dates=H","DateFormat=P","Fill=—","Direction=H","UseDPDF=Y")</f>
        <v>24.024000000000001</v>
      </c>
      <c r="I10" s="13">
        <f>_xll.BDH("SRPT US Equity","CF_STOCK_BASED_COMPENSATION","FQ2 2020","FQ2 2020","Currency=USD","Period=FQ","BEST_FPERIOD_OVERRIDE=FQ","FILING_STATUS=MR","SCALING_FORMAT=MLN","Sort=A","Dates=H","DateFormat=P","Fill=—","Direction=H","UseDPDF=Y")</f>
        <v>27.616</v>
      </c>
      <c r="J10" s="13">
        <f>_xll.BDH("SRPT US Equity","CF_STOCK_BASED_COMPENSATION","FQ3 2020","FQ3 2020","Currency=USD","Period=FQ","BEST_FPERIOD_OVERRIDE=FQ","FILING_STATUS=MR","SCALING_FORMAT=MLN","Sort=A","Dates=H","DateFormat=P","Fill=—","Direction=H","UseDPDF=Y")</f>
        <v>26.902999999999999</v>
      </c>
      <c r="K10" s="13">
        <f>_xll.BDH("SRPT US Equity","CF_STOCK_BASED_COMPENSATION","FQ4 2020","FQ4 2020","Currency=USD","Period=FQ","BEST_FPERIOD_OVERRIDE=FQ","FILING_STATUS=MR","SCALING_FORMAT=MLN","Sort=A","Dates=H","DateFormat=P","Fill=—","Direction=H","UseDPDF=Y")</f>
        <v>29.527000000000001</v>
      </c>
      <c r="L10" s="13">
        <f>_xll.BDH("SRPT US Equity","CF_STOCK_BASED_COMPENSATION","FQ1 2021","FQ1 2021","Currency=USD","Period=FQ","BEST_FPERIOD_OVERRIDE=FQ","FILING_STATUS=MR","SCALING_FORMAT=MLN","Sort=A","Dates=H","DateFormat=P","Fill=—","Direction=H","UseDPDF=Y")</f>
        <v>28.507999999999999</v>
      </c>
      <c r="M10" s="13">
        <f>_xll.BDH("SRPT US Equity","CF_STOCK_BASED_COMPENSATION","FQ2 2021","FQ2 2021","Currency=USD","Period=FQ","BEST_FPERIOD_OVERRIDE=FQ","FILING_STATUS=MR","SCALING_FORMAT=MLN","Sort=A","Dates=H","DateFormat=P","Fill=—","Direction=H","UseDPDF=Y")</f>
        <v>28.969000000000001</v>
      </c>
      <c r="N10" s="13">
        <f>_xll.BDH("SRPT US Equity","CF_STOCK_BASED_COMPENSATION","FQ3 2021","FQ3 2021","Currency=USD","Period=FQ","BEST_FPERIOD_OVERRIDE=FQ","FILING_STATUS=MR","SCALING_FORMAT=MLN","Sort=A","Dates=H","DateFormat=P","Fill=—","Direction=H","UseDPDF=Y")</f>
        <v>26.684000000000001</v>
      </c>
      <c r="O10" s="13">
        <f>_xll.BDH("SRPT US Equity","CF_STOCK_BASED_COMPENSATION","FQ4 2021","FQ4 2021","Currency=USD","Period=FQ","BEST_FPERIOD_OVERRIDE=FQ","FILING_STATUS=MR","SCALING_FORMAT=MLN","Sort=A","Dates=H","DateFormat=P","Fill=—","Direction=H","UseDPDF=Y")</f>
        <v>29.782</v>
      </c>
      <c r="P10" s="13">
        <f>_xll.BDH("SRPT US Equity","CF_STOCK_BASED_COMPENSATION","FQ1 2022","FQ1 2022","Currency=USD","Period=FQ","BEST_FPERIOD_OVERRIDE=FQ","FILING_STATUS=MR","SCALING_FORMAT=MLN","Sort=A","Dates=H","DateFormat=P","Fill=—","Direction=H","UseDPDF=Y")</f>
        <v>29.198</v>
      </c>
      <c r="Q10" s="13">
        <f>_xll.BDH("SRPT US Equity","CF_STOCK_BASED_COMPENSATION","FQ2 2022","FQ2 2022","Currency=USD","Period=FQ","BEST_FPERIOD_OVERRIDE=FQ","FILING_STATUS=MR","SCALING_FORMAT=MLN","Sort=A","Dates=H","DateFormat=P","Fill=—","Direction=H","UseDPDF=Y")</f>
        <v>102.892</v>
      </c>
      <c r="R10" s="13">
        <f>_xll.BDH("SRPT US Equity","CF_STOCK_BASED_COMPENSATION","FQ3 2022","FQ3 2022","Currency=USD","Period=FQ","BEST_FPERIOD_OVERRIDE=FQ","FILING_STATUS=MR","SCALING_FORMAT=MLN","Sort=A","Dates=H","DateFormat=P","Fill=—","Direction=H","UseDPDF=Y")</f>
        <v>50.417999999999999</v>
      </c>
      <c r="S10" s="13">
        <f>_xll.BDH("SRPT US Equity","CF_STOCK_BASED_COMPENSATION","FQ4 2022","FQ4 2022","Currency=USD","Period=FQ","BEST_FPERIOD_OVERRIDE=FQ","FILING_STATUS=MR","SCALING_FORMAT=MLN","Sort=A","Dates=H","DateFormat=P","Fill=—","Direction=H","UseDPDF=Y")</f>
        <v>50.51</v>
      </c>
      <c r="T10" s="13">
        <f>_xll.BDH("SRPT US Equity","CF_STOCK_BASED_COMPENSATION","FQ1 2023","FQ1 2023","Currency=USD","Period=FQ","BEST_FPERIOD_OVERRIDE=FQ","FILING_STATUS=MR","SCALING_FORMAT=MLN","Sort=A","Dates=H","DateFormat=P","Fill=—","Direction=H","UseDPDF=Y")</f>
        <v>41.25</v>
      </c>
      <c r="U10" s="13">
        <f>_xll.BDH("SRPT US Equity","CF_STOCK_BASED_COMPENSATION","FQ2 2023","FQ2 2023","Currency=USD","Period=FQ","BEST_FPERIOD_OVERRIDE=FQ","FILING_STATUS=MR","SCALING_FORMAT=MLN","Sort=A","Dates=H","DateFormat=P","Fill=—","Direction=H","UseDPDF=Y")</f>
        <v>47.377000000000002</v>
      </c>
      <c r="V10" s="13">
        <f>_xll.BDH("SRPT US Equity","CF_STOCK_BASED_COMPENSATION","FQ3 2023","FQ3 2023","Currency=USD","Period=FQ","BEST_FPERIOD_OVERRIDE=FQ","FILING_STATUS=MR","SCALING_FORMAT=MLN","Sort=A","Dates=H","DateFormat=P","Fill=—","Direction=H","UseDPDF=Y")</f>
        <v>48.061</v>
      </c>
      <c r="W10" s="13">
        <f>_xll.BDH("SRPT US Equity","CF_STOCK_BASED_COMPENSATION","FQ4 2023","FQ4 2023","Currency=USD","Period=FQ","BEST_FPERIOD_OVERRIDE=FQ","FILING_STATUS=MR","SCALING_FORMAT=MLN","Sort=A","Dates=H","DateFormat=P","Fill=—","Direction=H","UseDPDF=Y")</f>
        <v>45.826000000000001</v>
      </c>
      <c r="X10" s="13">
        <f>_xll.BDH("SRPT US Equity","CF_STOCK_BASED_COMPENSATION","FQ1 2024","FQ1 2024","Currency=USD","Period=FQ","BEST_FPERIOD_OVERRIDE=FQ","FILING_STATUS=MR","SCALING_FORMAT=MLN","Sort=A","Dates=H","DateFormat=P","Fill=—","Direction=H","UseDPDF=Y")</f>
        <v>40.692</v>
      </c>
      <c r="Y10" s="13">
        <f>_xll.BDH("SRPT US Equity","CF_STOCK_BASED_COMPENSATION","FQ2 2024","FQ2 2024","Currency=USD","Period=FQ","BEST_FPERIOD_OVERRIDE=FQ","FILING_STATUS=MR","SCALING_FORMAT=MLN","Sort=A","Dates=H","DateFormat=P","Fill=—","Direction=H","UseDPDF=Y")</f>
        <v>50.481999999999999</v>
      </c>
      <c r="Z10" s="13">
        <f>_xll.BDH("SRPT US Equity","CF_STOCK_BASED_COMPENSATION","FQ3 2024","FQ3 2024","Currency=USD","Period=FQ","BEST_FPERIOD_OVERRIDE=FQ","FILING_STATUS=MR","SCALING_FORMAT=MLN","Sort=A","Dates=H","DateFormat=P","Fill=—","Direction=H","UseDPDF=Y")</f>
        <v>43.45</v>
      </c>
      <c r="AA10" s="13">
        <f>_xll.BDH("SRPT US Equity","CF_STOCK_BASED_COMPENSATION","FQ4 2024","FQ4 2024","Currency=USD","Period=FQ","BEST_FPERIOD_OVERRIDE=FQ","FILING_STATUS=MR","SCALING_FORMAT=MLN","Sort=A","Dates=H","DateFormat=P","Fill=—","Direction=H","UseDPDF=Y")</f>
        <v>49.676000000000002</v>
      </c>
    </row>
    <row r="11" spans="1:27" x14ac:dyDescent="0.25">
      <c r="A11" s="10" t="s">
        <v>1185</v>
      </c>
      <c r="B11" s="10" t="s">
        <v>1186</v>
      </c>
      <c r="C11" s="13">
        <f>_xll.BDH("SRPT US Equity","OTHER_NON_CASH_ADJ_LESS_DETAILED","FQ4 2018","FQ4 2018","Currency=USD","Period=FQ","BEST_FPERIOD_OVERRIDE=FQ","FILING_STATUS=MR","SCALING_FORMAT=MLN","Sort=A","Dates=H","DateFormat=P","Fill=—","Direction=H","UseDPDF=Y")</f>
        <v>5.8979999999999997</v>
      </c>
      <c r="D11" s="13">
        <f>_xll.BDH("SRPT US Equity","OTHER_NON_CASH_ADJ_LESS_DETAILED","FQ1 2019","FQ1 2019","Currency=USD","Period=FQ","BEST_FPERIOD_OVERRIDE=FQ","FILING_STATUS=MR","SCALING_FORMAT=MLN","Sort=A","Dates=H","DateFormat=P","Fill=—","Direction=H","UseDPDF=Y")</f>
        <v>1.82</v>
      </c>
      <c r="E11" s="13">
        <f>_xll.BDH("SRPT US Equity","OTHER_NON_CASH_ADJ_LESS_DETAILED","FQ2 2019","FQ2 2019","Currency=USD","Period=FQ","BEST_FPERIOD_OVERRIDE=FQ","FILING_STATUS=MR","SCALING_FORMAT=MLN","Sort=A","Dates=H","DateFormat=P","Fill=—","Direction=H","UseDPDF=Y")</f>
        <v>177.02500000000001</v>
      </c>
      <c r="F11" s="13">
        <f>_xll.BDH("SRPT US Equity","OTHER_NON_CASH_ADJ_LESS_DETAILED","FQ3 2019","FQ3 2019","Currency=USD","Period=FQ","BEST_FPERIOD_OVERRIDE=FQ","FILING_STATUS=MR","SCALING_FORMAT=MLN","Sort=A","Dates=H","DateFormat=P","Fill=—","Direction=H","UseDPDF=Y")</f>
        <v>91.433000000000007</v>
      </c>
      <c r="G11" s="13">
        <f>_xll.BDH("SRPT US Equity","OTHER_NON_CASH_ADJ_LESS_DETAILED","FQ4 2019","FQ4 2019","Currency=USD","Period=FQ","BEST_FPERIOD_OVERRIDE=FQ","FILING_STATUS=MR","SCALING_FORMAT=MLN","Sort=A","Dates=H","DateFormat=P","Fill=—","Direction=H","UseDPDF=Y")</f>
        <v>128.48400000000001</v>
      </c>
      <c r="H11" s="13">
        <f>_xll.BDH("SRPT US Equity","OTHER_NON_CASH_ADJ_LESS_DETAILED","FQ1 2020","FQ1 2020","Currency=USD","Period=FQ","BEST_FPERIOD_OVERRIDE=FQ","FILING_STATUS=MR","SCALING_FORMAT=MLN","Sort=A","Dates=H","DateFormat=P","Fill=—","Direction=H","UseDPDF=Y")</f>
        <v>-102.239</v>
      </c>
      <c r="I11" s="13">
        <f>_xll.BDH("SRPT US Equity","OTHER_NON_CASH_ADJ_LESS_DETAILED","FQ2 2020","FQ2 2020","Currency=USD","Period=FQ","BEST_FPERIOD_OVERRIDE=FQ","FILING_STATUS=MR","SCALING_FORMAT=MLN","Sort=A","Dates=H","DateFormat=P","Fill=—","Direction=H","UseDPDF=Y")</f>
        <v>9.048</v>
      </c>
      <c r="J11" s="13">
        <f>_xll.BDH("SRPT US Equity","OTHER_NON_CASH_ADJ_LESS_DETAILED","FQ3 2020","FQ3 2020","Currency=USD","Period=FQ","BEST_FPERIOD_OVERRIDE=FQ","FILING_STATUS=MR","SCALING_FORMAT=MLN","Sort=A","Dates=H","DateFormat=P","Fill=—","Direction=H","UseDPDF=Y")</f>
        <v>55.372</v>
      </c>
      <c r="K11" s="13">
        <f>_xll.BDH("SRPT US Equity","OTHER_NON_CASH_ADJ_LESS_DETAILED","FQ4 2020","FQ4 2020","Currency=USD","Period=FQ","BEST_FPERIOD_OVERRIDE=FQ","FILING_STATUS=MR","SCALING_FORMAT=MLN","Sort=A","Dates=H","DateFormat=P","Fill=—","Direction=H","UseDPDF=Y")</f>
        <v>10.375999999999999</v>
      </c>
      <c r="L11" s="13">
        <f>_xll.BDH("SRPT US Equity","OTHER_NON_CASH_ADJ_LESS_DETAILED","FQ1 2021","FQ1 2021","Currency=USD","Period=FQ","BEST_FPERIOD_OVERRIDE=FQ","FILING_STATUS=MR","SCALING_FORMAT=MLN","Sort=A","Dates=H","DateFormat=P","Fill=—","Direction=H","UseDPDF=Y")</f>
        <v>6.7279999999999998</v>
      </c>
      <c r="M11" s="13">
        <f>_xll.BDH("SRPT US Equity","OTHER_NON_CASH_ADJ_LESS_DETAILED","FQ2 2021","FQ2 2021","Currency=USD","Period=FQ","BEST_FPERIOD_OVERRIDE=FQ","FILING_STATUS=MR","SCALING_FORMAT=MLN","Sort=A","Dates=H","DateFormat=P","Fill=—","Direction=H","UseDPDF=Y")</f>
        <v>-95.328999999999994</v>
      </c>
      <c r="N11" s="13">
        <f>_xll.BDH("SRPT US Equity","OTHER_NON_CASH_ADJ_LESS_DETAILED","FQ3 2021","FQ3 2021","Currency=USD","Period=FQ","BEST_FPERIOD_OVERRIDE=FQ","FILING_STATUS=MR","SCALING_FORMAT=MLN","Sort=A","Dates=H","DateFormat=P","Fill=—","Direction=H","UseDPDF=Y")</f>
        <v>3.5819999999999999</v>
      </c>
      <c r="O11" s="13">
        <f>_xll.BDH("SRPT US Equity","OTHER_NON_CASH_ADJ_LESS_DETAILED","FQ4 2021","FQ4 2021","Currency=USD","Period=FQ","BEST_FPERIOD_OVERRIDE=FQ","FILING_STATUS=MR","SCALING_FORMAT=MLN","Sort=A","Dates=H","DateFormat=P","Fill=—","Direction=H","UseDPDF=Y")</f>
        <v>6.8330000000000002</v>
      </c>
      <c r="P11" s="13">
        <f>_xll.BDH("SRPT US Equity","OTHER_NON_CASH_ADJ_LESS_DETAILED","FQ1 2022","FQ1 2022","Currency=USD","Period=FQ","BEST_FPERIOD_OVERRIDE=FQ","FILING_STATUS=MR","SCALING_FORMAT=MLN","Sort=A","Dates=H","DateFormat=P","Fill=—","Direction=H","UseDPDF=Y")</f>
        <v>7.45</v>
      </c>
      <c r="Q11" s="13">
        <f>_xll.BDH("SRPT US Equity","OTHER_NON_CASH_ADJ_LESS_DETAILED","FQ2 2022","FQ2 2022","Currency=USD","Period=FQ","BEST_FPERIOD_OVERRIDE=FQ","FILING_STATUS=MR","SCALING_FORMAT=MLN","Sort=A","Dates=H","DateFormat=P","Fill=—","Direction=H","UseDPDF=Y")</f>
        <v>6.431</v>
      </c>
      <c r="R11" s="13">
        <f>_xll.BDH("SRPT US Equity","OTHER_NON_CASH_ADJ_LESS_DETAILED","FQ3 2022","FQ3 2022","Currency=USD","Period=FQ","BEST_FPERIOD_OVERRIDE=FQ","FILING_STATUS=MR","SCALING_FORMAT=MLN","Sort=A","Dates=H","DateFormat=P","Fill=—","Direction=H","UseDPDF=Y")</f>
        <v>121.667</v>
      </c>
      <c r="S11" s="13">
        <f>_xll.BDH("SRPT US Equity","OTHER_NON_CASH_ADJ_LESS_DETAILED","FQ4 2022","FQ4 2022","Currency=USD","Period=FQ","BEST_FPERIOD_OVERRIDE=FQ","FILING_STATUS=MR","SCALING_FORMAT=MLN","Sort=A","Dates=H","DateFormat=P","Fill=—","Direction=H","UseDPDF=Y")</f>
        <v>7.1820000000000004</v>
      </c>
      <c r="T11" s="13">
        <f>_xll.BDH("SRPT US Equity","OTHER_NON_CASH_ADJ_LESS_DETAILED","FQ1 2023","FQ1 2023","Currency=USD","Period=FQ","BEST_FPERIOD_OVERRIDE=FQ","FILING_STATUS=MR","SCALING_FORMAT=MLN","Sort=A","Dates=H","DateFormat=P","Fill=—","Direction=H","UseDPDF=Y")</f>
        <v>353.86399999999998</v>
      </c>
      <c r="U11" s="13">
        <f>_xll.BDH("SRPT US Equity","OTHER_NON_CASH_ADJ_LESS_DETAILED","FQ2 2023","FQ2 2023","Currency=USD","Period=FQ","BEST_FPERIOD_OVERRIDE=FQ","FILING_STATUS=MR","SCALING_FORMAT=MLN","Sort=A","Dates=H","DateFormat=P","Fill=—","Direction=H","UseDPDF=Y")</f>
        <v>-68.421000000000006</v>
      </c>
      <c r="V11" s="13">
        <f>_xll.BDH("SRPT US Equity","OTHER_NON_CASH_ADJ_LESS_DETAILED","FQ3 2023","FQ3 2023","Currency=USD","Period=FQ","BEST_FPERIOD_OVERRIDE=FQ","FILING_STATUS=MR","SCALING_FORMAT=MLN","Sort=A","Dates=H","DateFormat=P","Fill=—","Direction=H","UseDPDF=Y")</f>
        <v>15.95</v>
      </c>
      <c r="W11" s="13">
        <f>_xll.BDH("SRPT US Equity","OTHER_NON_CASH_ADJ_LESS_DETAILED","FQ4 2023","FQ4 2023","Currency=USD","Period=FQ","BEST_FPERIOD_OVERRIDE=FQ","FILING_STATUS=MR","SCALING_FORMAT=MLN","Sort=A","Dates=H","DateFormat=P","Fill=—","Direction=H","UseDPDF=Y")</f>
        <v>-12.231</v>
      </c>
      <c r="X11" s="13">
        <f>_xll.BDH("SRPT US Equity","OTHER_NON_CASH_ADJ_LESS_DETAILED","FQ1 2024","FQ1 2024","Currency=USD","Period=FQ","BEST_FPERIOD_OVERRIDE=FQ","FILING_STATUS=MR","SCALING_FORMAT=MLN","Sort=A","Dates=H","DateFormat=P","Fill=—","Direction=H","UseDPDF=Y")</f>
        <v>-0.33500000000000002</v>
      </c>
      <c r="Y11" s="13">
        <f>_xll.BDH("SRPT US Equity","OTHER_NON_CASH_ADJ_LESS_DETAILED","FQ2 2024","FQ2 2024","Currency=USD","Period=FQ","BEST_FPERIOD_OVERRIDE=FQ","FILING_STATUS=MR","SCALING_FORMAT=MLN","Sort=A","Dates=H","DateFormat=P","Fill=—","Direction=H","UseDPDF=Y")</f>
        <v>-199.74299999999999</v>
      </c>
      <c r="Z11" s="13">
        <f>_xll.BDH("SRPT US Equity","OTHER_NON_CASH_ADJ_LESS_DETAILED","FQ3 2024","FQ3 2024","Currency=USD","Period=FQ","BEST_FPERIOD_OVERRIDE=FQ","FILING_STATUS=MR","SCALING_FORMAT=MLN","Sort=A","Dates=H","DateFormat=P","Fill=—","Direction=H","UseDPDF=Y")</f>
        <v>-19.149999999999999</v>
      </c>
      <c r="AA11" s="13">
        <f>_xll.BDH("SRPT US Equity","OTHER_NON_CASH_ADJ_LESS_DETAILED","FQ4 2024","FQ4 2024","Currency=USD","Period=FQ","BEST_FPERIOD_OVERRIDE=FQ","FILING_STATUS=MR","SCALING_FORMAT=MLN","Sort=A","Dates=H","DateFormat=P","Fill=—","Direction=H","UseDPDF=Y")</f>
        <v>74.52</v>
      </c>
    </row>
    <row r="12" spans="1:27" x14ac:dyDescent="0.25">
      <c r="A12" s="10" t="s">
        <v>1187</v>
      </c>
      <c r="B12" s="10" t="s">
        <v>1188</v>
      </c>
      <c r="C12" s="13">
        <f>_xll.BDH("SRPT US Equity","CF_CHNG_NON_CASH_WORK_CAP","FQ4 2018","FQ4 2018","Currency=USD","Period=FQ","BEST_FPERIOD_OVERRIDE=FQ","FILING_STATUS=MR","SCALING_FORMAT=MLN","Sort=A","Dates=H","DateFormat=P","Fill=—","Direction=H","UseDPDF=Y")</f>
        <v>-3.7879999999999998</v>
      </c>
      <c r="D12" s="13">
        <f>_xll.BDH("SRPT US Equity","CF_CHNG_NON_CASH_WORK_CAP","FQ1 2019","FQ1 2019","Currency=USD","Period=FQ","BEST_FPERIOD_OVERRIDE=FQ","FILING_STATUS=MR","SCALING_FORMAT=MLN","Sort=A","Dates=H","DateFormat=P","Fill=—","Direction=H","UseDPDF=Y")</f>
        <v>-93.918999999999997</v>
      </c>
      <c r="E12" s="13">
        <f>_xll.BDH("SRPT US Equity","CF_CHNG_NON_CASH_WORK_CAP","FQ2 2019","FQ2 2019","Currency=USD","Period=FQ","BEST_FPERIOD_OVERRIDE=FQ","FILING_STATUS=MR","SCALING_FORMAT=MLN","Sort=A","Dates=H","DateFormat=P","Fill=—","Direction=H","UseDPDF=Y")</f>
        <v>-7.0819999999999999</v>
      </c>
      <c r="F12" s="13">
        <f>_xll.BDH("SRPT US Equity","CF_CHNG_NON_CASH_WORK_CAP","FQ3 2019","FQ3 2019","Currency=USD","Period=FQ","BEST_FPERIOD_OVERRIDE=FQ","FILING_STATUS=MR","SCALING_FORMAT=MLN","Sort=A","Dates=H","DateFormat=P","Fill=—","Direction=H","UseDPDF=Y")</f>
        <v>-61.451999999999998</v>
      </c>
      <c r="G12" s="13">
        <f>_xll.BDH("SRPT US Equity","CF_CHNG_NON_CASH_WORK_CAP","FQ4 2019","FQ4 2019","Currency=USD","Period=FQ","BEST_FPERIOD_OVERRIDE=FQ","FILING_STATUS=MR","SCALING_FORMAT=MLN","Sort=A","Dates=H","DateFormat=P","Fill=—","Direction=H","UseDPDF=Y")</f>
        <v>-86.846000000000004</v>
      </c>
      <c r="H12" s="13">
        <f>_xll.BDH("SRPT US Equity","CF_CHNG_NON_CASH_WORK_CAP","FQ1 2020","FQ1 2020","Currency=USD","Period=FQ","BEST_FPERIOD_OVERRIDE=FQ","FILING_STATUS=MR","SCALING_FORMAT=MLN","Sort=A","Dates=H","DateFormat=P","Fill=—","Direction=H","UseDPDF=Y")</f>
        <v>716.96799999999996</v>
      </c>
      <c r="I12" s="13">
        <f>_xll.BDH("SRPT US Equity","CF_CHNG_NON_CASH_WORK_CAP","FQ2 2020","FQ2 2020","Currency=USD","Period=FQ","BEST_FPERIOD_OVERRIDE=FQ","FILING_STATUS=MR","SCALING_FORMAT=MLN","Sort=A","Dates=H","DateFormat=P","Fill=—","Direction=H","UseDPDF=Y")</f>
        <v>7.8E-2</v>
      </c>
      <c r="J12" s="13">
        <f>_xll.BDH("SRPT US Equity","CF_CHNG_NON_CASH_WORK_CAP","FQ3 2020","FQ3 2020","Currency=USD","Period=FQ","BEST_FPERIOD_OVERRIDE=FQ","FILING_STATUS=MR","SCALING_FORMAT=MLN","Sort=A","Dates=H","DateFormat=P","Fill=—","Direction=H","UseDPDF=Y")</f>
        <v>-130.58099999999999</v>
      </c>
      <c r="K12" s="13">
        <f>_xll.BDH("SRPT US Equity","CF_CHNG_NON_CASH_WORK_CAP","FQ4 2020","FQ4 2020","Currency=USD","Period=FQ","BEST_FPERIOD_OVERRIDE=FQ","FILING_STATUS=MR","SCALING_FORMAT=MLN","Sort=A","Dates=H","DateFormat=P","Fill=—","Direction=H","UseDPDF=Y")</f>
        <v>-32.408999999999999</v>
      </c>
      <c r="L12" s="13">
        <f>_xll.BDH("SRPT US Equity","CF_CHNG_NON_CASH_WORK_CAP","FQ1 2021","FQ1 2021","Currency=USD","Period=FQ","BEST_FPERIOD_OVERRIDE=FQ","FILING_STATUS=MR","SCALING_FORMAT=MLN","Sort=A","Dates=H","DateFormat=P","Fill=—","Direction=H","UseDPDF=Y")</f>
        <v>-57.286999999999999</v>
      </c>
      <c r="M12" s="13">
        <f>_xll.BDH("SRPT US Equity","CF_CHNG_NON_CASH_WORK_CAP","FQ2 2021","FQ2 2021","Currency=USD","Period=FQ","BEST_FPERIOD_OVERRIDE=FQ","FILING_STATUS=MR","SCALING_FORMAT=MLN","Sort=A","Dates=H","DateFormat=P","Fill=—","Direction=H","UseDPDF=Y")</f>
        <v>30.172000000000001</v>
      </c>
      <c r="N12" s="13">
        <f>_xll.BDH("SRPT US Equity","CF_CHNG_NON_CASH_WORK_CAP","FQ3 2021","FQ3 2021","Currency=USD","Period=FQ","BEST_FPERIOD_OVERRIDE=FQ","FILING_STATUS=MR","SCALING_FORMAT=MLN","Sort=A","Dates=H","DateFormat=P","Fill=—","Direction=H","UseDPDF=Y")</f>
        <v>-116.946</v>
      </c>
      <c r="O12" s="13">
        <f>_xll.BDH("SRPT US Equity","CF_CHNG_NON_CASH_WORK_CAP","FQ4 2021","FQ4 2021","Currency=USD","Period=FQ","BEST_FPERIOD_OVERRIDE=FQ","FILING_STATUS=MR","SCALING_FORMAT=MLN","Sort=A","Dates=H","DateFormat=P","Fill=—","Direction=H","UseDPDF=Y")</f>
        <v>45.895000000000003</v>
      </c>
      <c r="P12" s="13">
        <f>_xll.BDH("SRPT US Equity","CF_CHNG_NON_CASH_WORK_CAP","FQ1 2022","FQ1 2022","Currency=USD","Period=FQ","BEST_FPERIOD_OVERRIDE=FQ","FILING_STATUS=MR","SCALING_FORMAT=MLN","Sort=A","Dates=H","DateFormat=P","Fill=—","Direction=H","UseDPDF=Y")</f>
        <v>-43.517000000000003</v>
      </c>
      <c r="Q12" s="13">
        <f>_xll.BDH("SRPT US Equity","CF_CHNG_NON_CASH_WORK_CAP","FQ2 2022","FQ2 2022","Currency=USD","Period=FQ","BEST_FPERIOD_OVERRIDE=FQ","FILING_STATUS=MR","SCALING_FORMAT=MLN","Sort=A","Dates=H","DateFormat=P","Fill=—","Direction=H","UseDPDF=Y")</f>
        <v>45.454000000000001</v>
      </c>
      <c r="R12" s="13">
        <f>_xll.BDH("SRPT US Equity","CF_CHNG_NON_CASH_WORK_CAP","FQ3 2022","FQ3 2022","Currency=USD","Period=FQ","BEST_FPERIOD_OVERRIDE=FQ","FILING_STATUS=MR","SCALING_FORMAT=MLN","Sort=A","Dates=H","DateFormat=P","Fill=—","Direction=H","UseDPDF=Y")</f>
        <v>9.9860000000000007</v>
      </c>
      <c r="S12" s="13">
        <f>_xll.BDH("SRPT US Equity","CF_CHNG_NON_CASH_WORK_CAP","FQ4 2022","FQ4 2022","Currency=USD","Period=FQ","BEST_FPERIOD_OVERRIDE=FQ","FILING_STATUS=MR","SCALING_FORMAT=MLN","Sort=A","Dates=H","DateFormat=P","Fill=—","Direction=H","UseDPDF=Y")</f>
        <v>-51.393000000000001</v>
      </c>
      <c r="T12" s="13">
        <f>_xll.BDH("SRPT US Equity","CF_CHNG_NON_CASH_WORK_CAP","FQ1 2023","FQ1 2023","Currency=USD","Period=FQ","BEST_FPERIOD_OVERRIDE=FQ","FILING_STATUS=MR","SCALING_FORMAT=MLN","Sort=A","Dates=H","DateFormat=P","Fill=—","Direction=H","UseDPDF=Y")</f>
        <v>-99.06</v>
      </c>
      <c r="U12" s="13">
        <f>_xll.BDH("SRPT US Equity","CF_CHNG_NON_CASH_WORK_CAP","FQ2 2023","FQ2 2023","Currency=USD","Period=FQ","BEST_FPERIOD_OVERRIDE=FQ","FILING_STATUS=MR","SCALING_FORMAT=MLN","Sort=A","Dates=H","DateFormat=P","Fill=—","Direction=H","UseDPDF=Y")</f>
        <v>-88.042000000000002</v>
      </c>
      <c r="V12" s="13">
        <f>_xll.BDH("SRPT US Equity","CF_CHNG_NON_CASH_WORK_CAP","FQ3 2023","FQ3 2023","Currency=USD","Period=FQ","BEST_FPERIOD_OVERRIDE=FQ","FILING_STATUS=MR","SCALING_FORMAT=MLN","Sort=A","Dates=H","DateFormat=P","Fill=—","Direction=H","UseDPDF=Y")</f>
        <v>-148.708</v>
      </c>
      <c r="W12" s="13">
        <f>_xll.BDH("SRPT US Equity","CF_CHNG_NON_CASH_WORK_CAP","FQ4 2023","FQ4 2023","Currency=USD","Period=FQ","BEST_FPERIOD_OVERRIDE=FQ","FILING_STATUS=MR","SCALING_FORMAT=MLN","Sort=A","Dates=H","DateFormat=P","Fill=—","Direction=H","UseDPDF=Y")</f>
        <v>-145.279</v>
      </c>
      <c r="X12" s="13">
        <f>_xll.BDH("SRPT US Equity","CF_CHNG_NON_CASH_WORK_CAP","FQ1 2024","FQ1 2024","Currency=USD","Period=FQ","BEST_FPERIOD_OVERRIDE=FQ","FILING_STATUS=MR","SCALING_FORMAT=MLN","Sort=A","Dates=H","DateFormat=P","Fill=—","Direction=H","UseDPDF=Y")</f>
        <v>-327.29599999999999</v>
      </c>
      <c r="Y12" s="13">
        <f>_xll.BDH("SRPT US Equity","CF_CHNG_NON_CASH_WORK_CAP","FQ2 2024","FQ2 2024","Currency=USD","Period=FQ","BEST_FPERIOD_OVERRIDE=FQ","FILING_STATUS=MR","SCALING_FORMAT=MLN","Sort=A","Dates=H","DateFormat=P","Fill=—","Direction=H","UseDPDF=Y")</f>
        <v>149.024</v>
      </c>
      <c r="Z12" s="13">
        <f>_xll.BDH("SRPT US Equity","CF_CHNG_NON_CASH_WORK_CAP","FQ3 2024","FQ3 2024","Currency=USD","Period=FQ","BEST_FPERIOD_OVERRIDE=FQ","FILING_STATUS=MR","SCALING_FORMAT=MLN","Sort=A","Dates=H","DateFormat=P","Fill=—","Direction=H","UseDPDF=Y")</f>
        <v>-138.416</v>
      </c>
      <c r="AA12" s="13">
        <f>_xll.BDH("SRPT US Equity","CF_CHNG_NON_CASH_WORK_CAP","FQ4 2024","FQ4 2024","Currency=USD","Period=FQ","BEST_FPERIOD_OVERRIDE=FQ","FILING_STATUS=MR","SCALING_FORMAT=MLN","Sort=A","Dates=H","DateFormat=P","Fill=—","Direction=H","UseDPDF=Y")</f>
        <v>-201.654</v>
      </c>
    </row>
    <row r="13" spans="1:27" x14ac:dyDescent="0.25">
      <c r="A13" s="10" t="s">
        <v>1189</v>
      </c>
      <c r="B13" s="10" t="s">
        <v>1190</v>
      </c>
      <c r="C13" s="13">
        <f>_xll.BDH("SRPT US Equity","CF_ACCT_RCV_UNBILLED_REV","FQ4 2018","FQ4 2018","Currency=USD","Period=FQ","BEST_FPERIOD_OVERRIDE=FQ","FILING_STATUS=MR","SCALING_FORMAT=MLN","Sort=A","Dates=H","DateFormat=P","Fill=—","Direction=H","UseDPDF=Y")</f>
        <v>-0.443</v>
      </c>
      <c r="D13" s="13">
        <f>_xll.BDH("SRPT US Equity","CF_ACCT_RCV_UNBILLED_REV","FQ1 2019","FQ1 2019","Currency=USD","Period=FQ","BEST_FPERIOD_OVERRIDE=FQ","FILING_STATUS=MR","SCALING_FORMAT=MLN","Sort=A","Dates=H","DateFormat=P","Fill=—","Direction=H","UseDPDF=Y")</f>
        <v>-1.466</v>
      </c>
      <c r="E13" s="13">
        <f>_xll.BDH("SRPT US Equity","CF_ACCT_RCV_UNBILLED_REV","FQ2 2019","FQ2 2019","Currency=USD","Period=FQ","BEST_FPERIOD_OVERRIDE=FQ","FILING_STATUS=MR","SCALING_FORMAT=MLN","Sort=A","Dates=H","DateFormat=P","Fill=—","Direction=H","UseDPDF=Y")</f>
        <v>-6.4710000000000001</v>
      </c>
      <c r="F13" s="13">
        <f>_xll.BDH("SRPT US Equity","CF_ACCT_RCV_UNBILLED_REV","FQ3 2019","FQ3 2019","Currency=USD","Period=FQ","BEST_FPERIOD_OVERRIDE=FQ","FILING_STATUS=MR","SCALING_FORMAT=MLN","Sort=A","Dates=H","DateFormat=P","Fill=—","Direction=H","UseDPDF=Y")</f>
        <v>-11.051</v>
      </c>
      <c r="G13" s="13">
        <f>_xll.BDH("SRPT US Equity","CF_ACCT_RCV_UNBILLED_REV","FQ4 2019","FQ4 2019","Currency=USD","Period=FQ","BEST_FPERIOD_OVERRIDE=FQ","FILING_STATUS=MR","SCALING_FORMAT=MLN","Sort=A","Dates=H","DateFormat=P","Fill=—","Direction=H","UseDPDF=Y")</f>
        <v>-22.847000000000001</v>
      </c>
      <c r="H13" s="13">
        <f>_xll.BDH("SRPT US Equity","CF_ACCT_RCV_UNBILLED_REV","FQ1 2020","FQ1 2020","Currency=USD","Period=FQ","BEST_FPERIOD_OVERRIDE=FQ","FILING_STATUS=MR","SCALING_FORMAT=MLN","Sort=A","Dates=H","DateFormat=P","Fill=—","Direction=H","UseDPDF=Y")</f>
        <v>-15.996</v>
      </c>
      <c r="I13" s="13">
        <f>_xll.BDH("SRPT US Equity","CF_ACCT_RCV_UNBILLED_REV","FQ2 2020","FQ2 2020","Currency=USD","Period=FQ","BEST_FPERIOD_OVERRIDE=FQ","FILING_STATUS=MR","SCALING_FORMAT=MLN","Sort=A","Dates=H","DateFormat=P","Fill=—","Direction=H","UseDPDF=Y")</f>
        <v>2.847</v>
      </c>
      <c r="J13" s="13">
        <f>_xll.BDH("SRPT US Equity","CF_ACCT_RCV_UNBILLED_REV","FQ3 2020","FQ3 2020","Currency=USD","Period=FQ","BEST_FPERIOD_OVERRIDE=FQ","FILING_STATUS=MR","SCALING_FORMAT=MLN","Sort=A","Dates=H","DateFormat=P","Fill=—","Direction=H","UseDPDF=Y")</f>
        <v>-17.798999999999999</v>
      </c>
      <c r="K13" s="13">
        <f>_xll.BDH("SRPT US Equity","CF_ACCT_RCV_UNBILLED_REV","FQ4 2020","FQ4 2020","Currency=USD","Period=FQ","BEST_FPERIOD_OVERRIDE=FQ","FILING_STATUS=MR","SCALING_FORMAT=MLN","Sort=A","Dates=H","DateFormat=P","Fill=—","Direction=H","UseDPDF=Y")</f>
        <v>20.486999999999998</v>
      </c>
      <c r="L13" s="13">
        <f>_xll.BDH("SRPT US Equity","CF_ACCT_RCV_UNBILLED_REV","FQ1 2021","FQ1 2021","Currency=USD","Period=FQ","BEST_FPERIOD_OVERRIDE=FQ","FILING_STATUS=MR","SCALING_FORMAT=MLN","Sort=A","Dates=H","DateFormat=P","Fill=—","Direction=H","UseDPDF=Y")</f>
        <v>-16.863</v>
      </c>
      <c r="M13" s="13">
        <f>_xll.BDH("SRPT US Equity","CF_ACCT_RCV_UNBILLED_REV","FQ2 2021","FQ2 2021","Currency=USD","Period=FQ","BEST_FPERIOD_OVERRIDE=FQ","FILING_STATUS=MR","SCALING_FORMAT=MLN","Sort=A","Dates=H","DateFormat=P","Fill=—","Direction=H","UseDPDF=Y")</f>
        <v>-9.3170000000000002</v>
      </c>
      <c r="N13" s="13">
        <f>_xll.BDH("SRPT US Equity","CF_ACCT_RCV_UNBILLED_REV","FQ3 2021","FQ3 2021","Currency=USD","Period=FQ","BEST_FPERIOD_OVERRIDE=FQ","FILING_STATUS=MR","SCALING_FORMAT=MLN","Sort=A","Dates=H","DateFormat=P","Fill=—","Direction=H","UseDPDF=Y")</f>
        <v>-22.266999999999999</v>
      </c>
      <c r="O13" s="13">
        <f>_xll.BDH("SRPT US Equity","CF_ACCT_RCV_UNBILLED_REV","FQ4 2021","FQ4 2021","Currency=USD","Period=FQ","BEST_FPERIOD_OVERRIDE=FQ","FILING_STATUS=MR","SCALING_FORMAT=MLN","Sort=A","Dates=H","DateFormat=P","Fill=—","Direction=H","UseDPDF=Y")</f>
        <v>-3.2029999999999998</v>
      </c>
      <c r="P13" s="13">
        <f>_xll.BDH("SRPT US Equity","CF_ACCT_RCV_UNBILLED_REV","FQ1 2022","FQ1 2022","Currency=USD","Period=FQ","BEST_FPERIOD_OVERRIDE=FQ","FILING_STATUS=MR","SCALING_FORMAT=MLN","Sort=A","Dates=H","DateFormat=P","Fill=—","Direction=H","UseDPDF=Y")</f>
        <v>-25.204000000000001</v>
      </c>
      <c r="Q13" s="13">
        <f>_xll.BDH("SRPT US Equity","CF_ACCT_RCV_UNBILLED_REV","FQ2 2022","FQ2 2022","Currency=USD","Period=FQ","BEST_FPERIOD_OVERRIDE=FQ","FILING_STATUS=MR","SCALING_FORMAT=MLN","Sort=A","Dates=H","DateFormat=P","Fill=—","Direction=H","UseDPDF=Y")</f>
        <v>-25.66</v>
      </c>
      <c r="R13" s="13">
        <f>_xll.BDH("SRPT US Equity","CF_ACCT_RCV_UNBILLED_REV","FQ3 2022","FQ3 2022","Currency=USD","Period=FQ","BEST_FPERIOD_OVERRIDE=FQ","FILING_STATUS=MR","SCALING_FORMAT=MLN","Sort=A","Dates=H","DateFormat=P","Fill=—","Direction=H","UseDPDF=Y")</f>
        <v>2.3450000000000002</v>
      </c>
      <c r="S13" s="13">
        <f>_xll.BDH("SRPT US Equity","CF_ACCT_RCV_UNBILLED_REV","FQ4 2022","FQ4 2022","Currency=USD","Period=FQ","BEST_FPERIOD_OVERRIDE=FQ","FILING_STATUS=MR","SCALING_FORMAT=MLN","Sort=A","Dates=H","DateFormat=P","Fill=—","Direction=H","UseDPDF=Y")</f>
        <v>-13.119</v>
      </c>
      <c r="T13" s="13">
        <f>_xll.BDH("SRPT US Equity","CF_ACCT_RCV_UNBILLED_REV","FQ1 2023","FQ1 2023","Currency=USD","Period=FQ","BEST_FPERIOD_OVERRIDE=FQ","FILING_STATUS=MR","SCALING_FORMAT=MLN","Sort=A","Dates=H","DateFormat=P","Fill=—","Direction=H","UseDPDF=Y")</f>
        <v>-9.2080000000000002</v>
      </c>
      <c r="U13" s="13">
        <f>_xll.BDH("SRPT US Equity","CF_ACCT_RCV_UNBILLED_REV","FQ2 2023","FQ2 2023","Currency=USD","Period=FQ","BEST_FPERIOD_OVERRIDE=FQ","FILING_STATUS=MR","SCALING_FORMAT=MLN","Sort=A","Dates=H","DateFormat=P","Fill=—","Direction=H","UseDPDF=Y")</f>
        <v>-12.972</v>
      </c>
      <c r="V13" s="13">
        <f>_xll.BDH("SRPT US Equity","CF_ACCT_RCV_UNBILLED_REV","FQ3 2023","FQ3 2023","Currency=USD","Period=FQ","BEST_FPERIOD_OVERRIDE=FQ","FILING_STATUS=MR","SCALING_FORMAT=MLN","Sort=A","Dates=H","DateFormat=P","Fill=—","Direction=H","UseDPDF=Y")</f>
        <v>-82.046999999999997</v>
      </c>
      <c r="W13" s="13">
        <f>_xll.BDH("SRPT US Equity","CF_ACCT_RCV_UNBILLED_REV","FQ4 2023","FQ4 2023","Currency=USD","Period=FQ","BEST_FPERIOD_OVERRIDE=FQ","FILING_STATUS=MR","SCALING_FORMAT=MLN","Sort=A","Dates=H","DateFormat=P","Fill=—","Direction=H","UseDPDF=Y")</f>
        <v>-81.471999999999994</v>
      </c>
      <c r="X13" s="13">
        <f>_xll.BDH("SRPT US Equity","CF_ACCT_RCV_UNBILLED_REV","FQ1 2024","FQ1 2024","Currency=USD","Period=FQ","BEST_FPERIOD_OVERRIDE=FQ","FILING_STATUS=MR","SCALING_FORMAT=MLN","Sort=A","Dates=H","DateFormat=P","Fill=—","Direction=H","UseDPDF=Y")</f>
        <v>21.521000000000001</v>
      </c>
      <c r="Y13" s="13">
        <f>_xll.BDH("SRPT US Equity","CF_ACCT_RCV_UNBILLED_REV","FQ2 2024","FQ2 2024","Currency=USD","Period=FQ","BEST_FPERIOD_OVERRIDE=FQ","FILING_STATUS=MR","SCALING_FORMAT=MLN","Sort=A","Dates=H","DateFormat=P","Fill=—","Direction=H","UseDPDF=Y")</f>
        <v>18.809000000000001</v>
      </c>
      <c r="Z13" s="13">
        <f>_xll.BDH("SRPT US Equity","CF_ACCT_RCV_UNBILLED_REV","FQ3 2024","FQ3 2024","Currency=USD","Period=FQ","BEST_FPERIOD_OVERRIDE=FQ","FILING_STATUS=MR","SCALING_FORMAT=MLN","Sort=A","Dates=H","DateFormat=P","Fill=—","Direction=H","UseDPDF=Y")</f>
        <v>-74.527000000000001</v>
      </c>
      <c r="AA13" s="13">
        <f>_xll.BDH("SRPT US Equity","CF_ACCT_RCV_UNBILLED_REV","FQ4 2024","FQ4 2024","Currency=USD","Period=FQ","BEST_FPERIOD_OVERRIDE=FQ","FILING_STATUS=MR","SCALING_FORMAT=MLN","Sort=A","Dates=H","DateFormat=P","Fill=—","Direction=H","UseDPDF=Y")</f>
        <v>-167.464</v>
      </c>
    </row>
    <row r="14" spans="1:27" x14ac:dyDescent="0.25">
      <c r="A14" s="10" t="s">
        <v>1191</v>
      </c>
      <c r="B14" s="10" t="s">
        <v>1192</v>
      </c>
      <c r="C14" s="13">
        <f>_xll.BDH("SRPT US Equity","CF_CHANGE_IN_INVENTORIES","FQ4 2018","FQ4 2018","Currency=USD","Period=FQ","BEST_FPERIOD_OVERRIDE=FQ","FILING_STATUS=MR","SCALING_FORMAT=MLN","Sort=A","Dates=H","DateFormat=P","Fill=—","Direction=H","UseDPDF=Y")</f>
        <v>-9.6289999999999996</v>
      </c>
      <c r="D14" s="13">
        <f>_xll.BDH("SRPT US Equity","CF_CHANGE_IN_INVENTORIES","FQ1 2019","FQ1 2019","Currency=USD","Period=FQ","BEST_FPERIOD_OVERRIDE=FQ","FILING_STATUS=MR","SCALING_FORMAT=MLN","Sort=A","Dates=H","DateFormat=P","Fill=—","Direction=H","UseDPDF=Y")</f>
        <v>-15.022</v>
      </c>
      <c r="E14" s="13">
        <f>_xll.BDH("SRPT US Equity","CF_CHANGE_IN_INVENTORIES","FQ2 2019","FQ2 2019","Currency=USD","Period=FQ","BEST_FPERIOD_OVERRIDE=FQ","FILING_STATUS=MR","SCALING_FORMAT=MLN","Sort=A","Dates=H","DateFormat=P","Fill=—","Direction=H","UseDPDF=Y")</f>
        <v>-16.102</v>
      </c>
      <c r="F14" s="13">
        <f>_xll.BDH("SRPT US Equity","CF_CHANGE_IN_INVENTORIES","FQ3 2019","FQ3 2019","Currency=USD","Period=FQ","BEST_FPERIOD_OVERRIDE=FQ","FILING_STATUS=MR","SCALING_FORMAT=MLN","Sort=A","Dates=H","DateFormat=P","Fill=—","Direction=H","UseDPDF=Y")</f>
        <v>-9.7910000000000004</v>
      </c>
      <c r="G14" s="13">
        <f>_xll.BDH("SRPT US Equity","CF_CHANGE_IN_INVENTORIES","FQ4 2019","FQ4 2019","Currency=USD","Period=FQ","BEST_FPERIOD_OVERRIDE=FQ","FILING_STATUS=MR","SCALING_FORMAT=MLN","Sort=A","Dates=H","DateFormat=P","Fill=—","Direction=H","UseDPDF=Y")</f>
        <v>-5.0190000000000001</v>
      </c>
      <c r="H14" s="13">
        <f>_xll.BDH("SRPT US Equity","CF_CHANGE_IN_INVENTORIES","FQ1 2020","FQ1 2020","Currency=USD","Period=FQ","BEST_FPERIOD_OVERRIDE=FQ","FILING_STATUS=MR","SCALING_FORMAT=MLN","Sort=A","Dates=H","DateFormat=P","Fill=—","Direction=H","UseDPDF=Y")</f>
        <v>-1.7889999999999999</v>
      </c>
      <c r="I14" s="13">
        <f>_xll.BDH("SRPT US Equity","CF_CHANGE_IN_INVENTORIES","FQ2 2020","FQ2 2020","Currency=USD","Period=FQ","BEST_FPERIOD_OVERRIDE=FQ","FILING_STATUS=MR","SCALING_FORMAT=MLN","Sort=A","Dates=H","DateFormat=P","Fill=—","Direction=H","UseDPDF=Y")</f>
        <v>-6.4820000000000002</v>
      </c>
      <c r="J14" s="13">
        <f>_xll.BDH("SRPT US Equity","CF_CHANGE_IN_INVENTORIES","FQ3 2020","FQ3 2020","Currency=USD","Period=FQ","BEST_FPERIOD_OVERRIDE=FQ","FILING_STATUS=MR","SCALING_FORMAT=MLN","Sort=A","Dates=H","DateFormat=P","Fill=—","Direction=H","UseDPDF=Y")</f>
        <v>-40.468000000000004</v>
      </c>
      <c r="K14" s="13">
        <f>_xll.BDH("SRPT US Equity","CF_CHANGE_IN_INVENTORIES","FQ4 2020","FQ4 2020","Currency=USD","Period=FQ","BEST_FPERIOD_OVERRIDE=FQ","FILING_STATUS=MR","SCALING_FORMAT=MLN","Sort=A","Dates=H","DateFormat=P","Fill=—","Direction=H","UseDPDF=Y")</f>
        <v>-11.843</v>
      </c>
      <c r="L14" s="13">
        <f>_xll.BDH("SRPT US Equity","CF_CHANGE_IN_INVENTORIES","FQ1 2021","FQ1 2021","Currency=USD","Period=FQ","BEST_FPERIOD_OVERRIDE=FQ","FILING_STATUS=MR","SCALING_FORMAT=MLN","Sort=A","Dates=H","DateFormat=P","Fill=—","Direction=H","UseDPDF=Y")</f>
        <v>-8.3719999999999999</v>
      </c>
      <c r="M14" s="13">
        <f>_xll.BDH("SRPT US Equity","CF_CHANGE_IN_INVENTORIES","FQ2 2021","FQ2 2021","Currency=USD","Period=FQ","BEST_FPERIOD_OVERRIDE=FQ","FILING_STATUS=MR","SCALING_FORMAT=MLN","Sort=A","Dates=H","DateFormat=P","Fill=—","Direction=H","UseDPDF=Y")</f>
        <v>-28.422999999999998</v>
      </c>
      <c r="N14" s="13">
        <f>_xll.BDH("SRPT US Equity","CF_CHANGE_IN_INVENTORIES","FQ3 2021","FQ3 2021","Currency=USD","Period=FQ","BEST_FPERIOD_OVERRIDE=FQ","FILING_STATUS=MR","SCALING_FORMAT=MLN","Sort=A","Dates=H","DateFormat=P","Fill=—","Direction=H","UseDPDF=Y")</f>
        <v>-19.713000000000001</v>
      </c>
      <c r="O14" s="13">
        <f>_xll.BDH("SRPT US Equity","CF_CHANGE_IN_INVENTORIES","FQ4 2021","FQ4 2021","Currency=USD","Period=FQ","BEST_FPERIOD_OVERRIDE=FQ","FILING_STATUS=MR","SCALING_FORMAT=MLN","Sort=A","Dates=H","DateFormat=P","Fill=—","Direction=H","UseDPDF=Y")</f>
        <v>-27.263999999999999</v>
      </c>
      <c r="P14" s="13">
        <f>_xll.BDH("SRPT US Equity","CF_CHANGE_IN_INVENTORIES","FQ1 2022","FQ1 2022","Currency=USD","Period=FQ","BEST_FPERIOD_OVERRIDE=FQ","FILING_STATUS=MR","SCALING_FORMAT=MLN","Sort=A","Dates=H","DateFormat=P","Fill=—","Direction=H","UseDPDF=Y")</f>
        <v>-4.6870000000000003</v>
      </c>
      <c r="Q14" s="13">
        <f>_xll.BDH("SRPT US Equity","CF_CHANGE_IN_INVENTORIES","FQ2 2022","FQ2 2022","Currency=USD","Period=FQ","BEST_FPERIOD_OVERRIDE=FQ","FILING_STATUS=MR","SCALING_FORMAT=MLN","Sort=A","Dates=H","DateFormat=P","Fill=—","Direction=H","UseDPDF=Y")</f>
        <v>-10.677</v>
      </c>
      <c r="R14" s="13">
        <f>_xll.BDH("SRPT US Equity","CF_CHANGE_IN_INVENTORIES","FQ3 2022","FQ3 2022","Currency=USD","Period=FQ","BEST_FPERIOD_OVERRIDE=FQ","FILING_STATUS=MR","SCALING_FORMAT=MLN","Sort=A","Dates=H","DateFormat=P","Fill=—","Direction=H","UseDPDF=Y")</f>
        <v>-26.536000000000001</v>
      </c>
      <c r="S14" s="13">
        <f>_xll.BDH("SRPT US Equity","CF_CHANGE_IN_INVENTORIES","FQ4 2022","FQ4 2022","Currency=USD","Period=FQ","BEST_FPERIOD_OVERRIDE=FQ","FILING_STATUS=MR","SCALING_FORMAT=MLN","Sort=A","Dates=H","DateFormat=P","Fill=—","Direction=H","UseDPDF=Y")</f>
        <v>-8.8800000000000008</v>
      </c>
      <c r="T14" s="13">
        <f>_xll.BDH("SRPT US Equity","CF_CHANGE_IN_INVENTORIES","FQ1 2023","FQ1 2023","Currency=USD","Period=FQ","BEST_FPERIOD_OVERRIDE=FQ","FILING_STATUS=MR","SCALING_FORMAT=MLN","Sort=A","Dates=H","DateFormat=P","Fill=—","Direction=H","UseDPDF=Y")</f>
        <v>-0.30599999999999999</v>
      </c>
      <c r="U14" s="13">
        <f>_xll.BDH("SRPT US Equity","CF_CHANGE_IN_INVENTORIES","FQ2 2023","FQ2 2023","Currency=USD","Period=FQ","BEST_FPERIOD_OVERRIDE=FQ","FILING_STATUS=MR","SCALING_FORMAT=MLN","Sort=A","Dates=H","DateFormat=P","Fill=—","Direction=H","UseDPDF=Y")</f>
        <v>-26.692</v>
      </c>
      <c r="V14" s="13">
        <f>_xll.BDH("SRPT US Equity","CF_CHANGE_IN_INVENTORIES","FQ3 2023","FQ3 2023","Currency=USD","Period=FQ","BEST_FPERIOD_OVERRIDE=FQ","FILING_STATUS=MR","SCALING_FORMAT=MLN","Sort=A","Dates=H","DateFormat=P","Fill=—","Direction=H","UseDPDF=Y")</f>
        <v>-26.611999999999998</v>
      </c>
      <c r="W14" s="13">
        <f>_xll.BDH("SRPT US Equity","CF_CHANGE_IN_INVENTORIES","FQ4 2023","FQ4 2023","Currency=USD","Period=FQ","BEST_FPERIOD_OVERRIDE=FQ","FILING_STATUS=MR","SCALING_FORMAT=MLN","Sort=A","Dates=H","DateFormat=P","Fill=—","Direction=H","UseDPDF=Y")</f>
        <v>-94.103999999999999</v>
      </c>
      <c r="X14" s="13">
        <f>_xll.BDH("SRPT US Equity","CF_CHANGE_IN_INVENTORIES","FQ1 2024","FQ1 2024","Currency=USD","Period=FQ","BEST_FPERIOD_OVERRIDE=FQ","FILING_STATUS=MR","SCALING_FORMAT=MLN","Sort=A","Dates=H","DateFormat=P","Fill=—","Direction=H","UseDPDF=Y")</f>
        <v>-60.512</v>
      </c>
      <c r="Y14" s="13">
        <f>_xll.BDH("SRPT US Equity","CF_CHANGE_IN_INVENTORIES","FQ2 2024","FQ2 2024","Currency=USD","Period=FQ","BEST_FPERIOD_OVERRIDE=FQ","FILING_STATUS=MR","SCALING_FORMAT=MLN","Sort=A","Dates=H","DateFormat=P","Fill=—","Direction=H","UseDPDF=Y")</f>
        <v>-102.46</v>
      </c>
      <c r="Z14" s="13">
        <f>_xll.BDH("SRPT US Equity","CF_CHANGE_IN_INVENTORIES","FQ3 2024","FQ3 2024","Currency=USD","Period=FQ","BEST_FPERIOD_OVERRIDE=FQ","FILING_STATUS=MR","SCALING_FORMAT=MLN","Sort=A","Dates=H","DateFormat=P","Fill=—","Direction=H","UseDPDF=Y")</f>
        <v>-70.539000000000001</v>
      </c>
      <c r="AA14" s="13">
        <f>_xll.BDH("SRPT US Equity","CF_CHANGE_IN_INVENTORIES","FQ4 2024","FQ4 2024","Currency=USD","Period=FQ","BEST_FPERIOD_OVERRIDE=FQ","FILING_STATUS=MR","SCALING_FORMAT=MLN","Sort=A","Dates=H","DateFormat=P","Fill=—","Direction=H","UseDPDF=Y")</f>
        <v>-161.65899999999999</v>
      </c>
    </row>
    <row r="15" spans="1:27" x14ac:dyDescent="0.25">
      <c r="A15" s="10" t="s">
        <v>1193</v>
      </c>
      <c r="B15" s="10" t="s">
        <v>1194</v>
      </c>
      <c r="C15" s="13">
        <f>_xll.BDH("SRPT US Equity","INC_DEC_IN_OT_OP_AST_LIAB_DETAIL","FQ4 2018","FQ4 2018","Currency=USD","Period=FQ","BEST_FPERIOD_OVERRIDE=FQ","FILING_STATUS=MR","SCALING_FORMAT=MLN","Sort=A","Dates=H","DateFormat=P","Fill=—","Direction=H","UseDPDF=Y")</f>
        <v>6.2839999999999998</v>
      </c>
      <c r="D15" s="13">
        <f>_xll.BDH("SRPT US Equity","INC_DEC_IN_OT_OP_AST_LIAB_DETAIL","FQ1 2019","FQ1 2019","Currency=USD","Period=FQ","BEST_FPERIOD_OVERRIDE=FQ","FILING_STATUS=MR","SCALING_FORMAT=MLN","Sort=A","Dates=H","DateFormat=P","Fill=—","Direction=H","UseDPDF=Y")</f>
        <v>-77.430999999999997</v>
      </c>
      <c r="E15" s="13">
        <f>_xll.BDH("SRPT US Equity","INC_DEC_IN_OT_OP_AST_LIAB_DETAIL","FQ2 2019","FQ2 2019","Currency=USD","Period=FQ","BEST_FPERIOD_OVERRIDE=FQ","FILING_STATUS=MR","SCALING_FORMAT=MLN","Sort=A","Dates=H","DateFormat=P","Fill=—","Direction=H","UseDPDF=Y")</f>
        <v>15.491</v>
      </c>
      <c r="F15" s="13">
        <f>_xll.BDH("SRPT US Equity","INC_DEC_IN_OT_OP_AST_LIAB_DETAIL","FQ3 2019","FQ3 2019","Currency=USD","Period=FQ","BEST_FPERIOD_OVERRIDE=FQ","FILING_STATUS=MR","SCALING_FORMAT=MLN","Sort=A","Dates=H","DateFormat=P","Fill=—","Direction=H","UseDPDF=Y")</f>
        <v>-40.61</v>
      </c>
      <c r="G15" s="13">
        <f>_xll.BDH("SRPT US Equity","INC_DEC_IN_OT_OP_AST_LIAB_DETAIL","FQ4 2019","FQ4 2019","Currency=USD","Period=FQ","BEST_FPERIOD_OVERRIDE=FQ","FILING_STATUS=MR","SCALING_FORMAT=MLN","Sort=A","Dates=H","DateFormat=P","Fill=—","Direction=H","UseDPDF=Y")</f>
        <v>-58.98</v>
      </c>
      <c r="H15" s="13">
        <f>_xll.BDH("SRPT US Equity","INC_DEC_IN_OT_OP_AST_LIAB_DETAIL","FQ1 2020","FQ1 2020","Currency=USD","Period=FQ","BEST_FPERIOD_OVERRIDE=FQ","FILING_STATUS=MR","SCALING_FORMAT=MLN","Sort=A","Dates=H","DateFormat=P","Fill=—","Direction=H","UseDPDF=Y")</f>
        <v>734.75300000000004</v>
      </c>
      <c r="I15" s="13">
        <f>_xll.BDH("SRPT US Equity","INC_DEC_IN_OT_OP_AST_LIAB_DETAIL","FQ2 2020","FQ2 2020","Currency=USD","Period=FQ","BEST_FPERIOD_OVERRIDE=FQ","FILING_STATUS=MR","SCALING_FORMAT=MLN","Sort=A","Dates=H","DateFormat=P","Fill=—","Direction=H","UseDPDF=Y")</f>
        <v>3.7130000000000001</v>
      </c>
      <c r="J15" s="13">
        <f>_xll.BDH("SRPT US Equity","INC_DEC_IN_OT_OP_AST_LIAB_DETAIL","FQ3 2020","FQ3 2020","Currency=USD","Period=FQ","BEST_FPERIOD_OVERRIDE=FQ","FILING_STATUS=MR","SCALING_FORMAT=MLN","Sort=A","Dates=H","DateFormat=P","Fill=—","Direction=H","UseDPDF=Y")</f>
        <v>-72.313999999999993</v>
      </c>
      <c r="K15" s="13">
        <f>_xll.BDH("SRPT US Equity","INC_DEC_IN_OT_OP_AST_LIAB_DETAIL","FQ4 2020","FQ4 2020","Currency=USD","Period=FQ","BEST_FPERIOD_OVERRIDE=FQ","FILING_STATUS=MR","SCALING_FORMAT=MLN","Sort=A","Dates=H","DateFormat=P","Fill=—","Direction=H","UseDPDF=Y")</f>
        <v>-41.052999999999997</v>
      </c>
      <c r="L15" s="13">
        <f>_xll.BDH("SRPT US Equity","INC_DEC_IN_OT_OP_AST_LIAB_DETAIL","FQ1 2021","FQ1 2021","Currency=USD","Period=FQ","BEST_FPERIOD_OVERRIDE=FQ","FILING_STATUS=MR","SCALING_FORMAT=MLN","Sort=A","Dates=H","DateFormat=P","Fill=—","Direction=H","UseDPDF=Y")</f>
        <v>-32.052</v>
      </c>
      <c r="M15" s="13">
        <f>_xll.BDH("SRPT US Equity","INC_DEC_IN_OT_OP_AST_LIAB_DETAIL","FQ2 2021","FQ2 2021","Currency=USD","Period=FQ","BEST_FPERIOD_OVERRIDE=FQ","FILING_STATUS=MR","SCALING_FORMAT=MLN","Sort=A","Dates=H","DateFormat=P","Fill=—","Direction=H","UseDPDF=Y")</f>
        <v>67.912000000000006</v>
      </c>
      <c r="N15" s="13">
        <f>_xll.BDH("SRPT US Equity","INC_DEC_IN_OT_OP_AST_LIAB_DETAIL","FQ3 2021","FQ3 2021","Currency=USD","Period=FQ","BEST_FPERIOD_OVERRIDE=FQ","FILING_STATUS=MR","SCALING_FORMAT=MLN","Sort=A","Dates=H","DateFormat=P","Fill=—","Direction=H","UseDPDF=Y")</f>
        <v>-74.965999999999994</v>
      </c>
      <c r="O15" s="13">
        <f>_xll.BDH("SRPT US Equity","INC_DEC_IN_OT_OP_AST_LIAB_DETAIL","FQ4 2021","FQ4 2021","Currency=USD","Period=FQ","BEST_FPERIOD_OVERRIDE=FQ","FILING_STATUS=MR","SCALING_FORMAT=MLN","Sort=A","Dates=H","DateFormat=P","Fill=—","Direction=H","UseDPDF=Y")</f>
        <v>76.361999999999995</v>
      </c>
      <c r="P15" s="13">
        <f>_xll.BDH("SRPT US Equity","INC_DEC_IN_OT_OP_AST_LIAB_DETAIL","FQ1 2022","FQ1 2022","Currency=USD","Period=FQ","BEST_FPERIOD_OVERRIDE=FQ","FILING_STATUS=MR","SCALING_FORMAT=MLN","Sort=A","Dates=H","DateFormat=P","Fill=—","Direction=H","UseDPDF=Y")</f>
        <v>-13.625999999999999</v>
      </c>
      <c r="Q15" s="13">
        <f>_xll.BDH("SRPT US Equity","INC_DEC_IN_OT_OP_AST_LIAB_DETAIL","FQ2 2022","FQ2 2022","Currency=USD","Period=FQ","BEST_FPERIOD_OVERRIDE=FQ","FILING_STATUS=MR","SCALING_FORMAT=MLN","Sort=A","Dates=H","DateFormat=P","Fill=—","Direction=H","UseDPDF=Y")</f>
        <v>81.790999999999997</v>
      </c>
      <c r="R15" s="13">
        <f>_xll.BDH("SRPT US Equity","INC_DEC_IN_OT_OP_AST_LIAB_DETAIL","FQ3 2022","FQ3 2022","Currency=USD","Period=FQ","BEST_FPERIOD_OVERRIDE=FQ","FILING_STATUS=MR","SCALING_FORMAT=MLN","Sort=A","Dates=H","DateFormat=P","Fill=—","Direction=H","UseDPDF=Y")</f>
        <v>34.177</v>
      </c>
      <c r="S15" s="13">
        <f>_xll.BDH("SRPT US Equity","INC_DEC_IN_OT_OP_AST_LIAB_DETAIL","FQ4 2022","FQ4 2022","Currency=USD","Period=FQ","BEST_FPERIOD_OVERRIDE=FQ","FILING_STATUS=MR","SCALING_FORMAT=MLN","Sort=A","Dates=H","DateFormat=P","Fill=—","Direction=H","UseDPDF=Y")</f>
        <v>-29.393999999999998</v>
      </c>
      <c r="T15" s="13">
        <f>_xll.BDH("SRPT US Equity","INC_DEC_IN_OT_OP_AST_LIAB_DETAIL","FQ1 2023","FQ1 2023","Currency=USD","Period=FQ","BEST_FPERIOD_OVERRIDE=FQ","FILING_STATUS=MR","SCALING_FORMAT=MLN","Sort=A","Dates=H","DateFormat=P","Fill=—","Direction=H","UseDPDF=Y")</f>
        <v>-89.546000000000006</v>
      </c>
      <c r="U15" s="13">
        <f>_xll.BDH("SRPT US Equity","INC_DEC_IN_OT_OP_AST_LIAB_DETAIL","FQ2 2023","FQ2 2023","Currency=USD","Period=FQ","BEST_FPERIOD_OVERRIDE=FQ","FILING_STATUS=MR","SCALING_FORMAT=MLN","Sort=A","Dates=H","DateFormat=P","Fill=—","Direction=H","UseDPDF=Y")</f>
        <v>-48.378</v>
      </c>
      <c r="V15" s="13">
        <f>_xll.BDH("SRPT US Equity","INC_DEC_IN_OT_OP_AST_LIAB_DETAIL","FQ3 2023","FQ3 2023","Currency=USD","Period=FQ","BEST_FPERIOD_OVERRIDE=FQ","FILING_STATUS=MR","SCALING_FORMAT=MLN","Sort=A","Dates=H","DateFormat=P","Fill=—","Direction=H","UseDPDF=Y")</f>
        <v>-40.048999999999999</v>
      </c>
      <c r="W15" s="13">
        <f>_xll.BDH("SRPT US Equity","INC_DEC_IN_OT_OP_AST_LIAB_DETAIL","FQ4 2023","FQ4 2023","Currency=USD","Period=FQ","BEST_FPERIOD_OVERRIDE=FQ","FILING_STATUS=MR","SCALING_FORMAT=MLN","Sort=A","Dates=H","DateFormat=P","Fill=—","Direction=H","UseDPDF=Y")</f>
        <v>30.297000000000001</v>
      </c>
      <c r="X15" s="13">
        <f>_xll.BDH("SRPT US Equity","INC_DEC_IN_OT_OP_AST_LIAB_DETAIL","FQ1 2024","FQ1 2024","Currency=USD","Period=FQ","BEST_FPERIOD_OVERRIDE=FQ","FILING_STATUS=MR","SCALING_FORMAT=MLN","Sort=A","Dates=H","DateFormat=P","Fill=—","Direction=H","UseDPDF=Y")</f>
        <v>-288.30500000000001</v>
      </c>
      <c r="Y15" s="13">
        <f>_xll.BDH("SRPT US Equity","INC_DEC_IN_OT_OP_AST_LIAB_DETAIL","FQ2 2024","FQ2 2024","Currency=USD","Period=FQ","BEST_FPERIOD_OVERRIDE=FQ","FILING_STATUS=MR","SCALING_FORMAT=MLN","Sort=A","Dates=H","DateFormat=P","Fill=—","Direction=H","UseDPDF=Y")</f>
        <v>232.67500000000001</v>
      </c>
      <c r="Z15" s="13">
        <f>_xll.BDH("SRPT US Equity","INC_DEC_IN_OT_OP_AST_LIAB_DETAIL","FQ3 2024","FQ3 2024","Currency=USD","Period=FQ","BEST_FPERIOD_OVERRIDE=FQ","FILING_STATUS=MR","SCALING_FORMAT=MLN","Sort=A","Dates=H","DateFormat=P","Fill=—","Direction=H","UseDPDF=Y")</f>
        <v>6.65</v>
      </c>
      <c r="AA15" s="13">
        <f>_xll.BDH("SRPT US Equity","INC_DEC_IN_OT_OP_AST_LIAB_DETAIL","FQ4 2024","FQ4 2024","Currency=USD","Period=FQ","BEST_FPERIOD_OVERRIDE=FQ","FILING_STATUS=MR","SCALING_FORMAT=MLN","Sort=A","Dates=H","DateFormat=P","Fill=—","Direction=H","UseDPDF=Y")</f>
        <v>127.46899999999999</v>
      </c>
    </row>
    <row r="16" spans="1:27" x14ac:dyDescent="0.25">
      <c r="A16" s="10" t="s">
        <v>1195</v>
      </c>
      <c r="B16" s="10" t="s">
        <v>1196</v>
      </c>
      <c r="C16" s="13">
        <f>_xll.BDH("SRPT US Equity","CF_NET_CASH_DISCONT_OPS_OPER","FQ4 2018","FQ4 2018","Currency=USD","Period=FQ","BEST_FPERIOD_OVERRIDE=FQ","FILING_STATUS=MR","SCALING_FORMAT=MLN","Sort=A","Dates=H","DateFormat=P","Fill=—","Direction=H","UseDPDF=Y")</f>
        <v>0</v>
      </c>
      <c r="D16" s="13">
        <f>_xll.BDH("SRPT US Equity","CF_NET_CASH_DISCONT_OPS_OPER","FQ1 2019","FQ1 2019","Currency=USD","Period=FQ","BEST_FPERIOD_OVERRIDE=FQ","FILING_STATUS=MR","SCALING_FORMAT=MLN","Sort=A","Dates=H","DateFormat=P","Fill=—","Direction=H","UseDPDF=Y")</f>
        <v>0</v>
      </c>
      <c r="E16" s="13">
        <f>_xll.BDH("SRPT US Equity","CF_NET_CASH_DISCONT_OPS_OPER","FQ2 2019","FQ2 2019","Currency=USD","Period=FQ","BEST_FPERIOD_OVERRIDE=FQ","FILING_STATUS=MR","SCALING_FORMAT=MLN","Sort=A","Dates=H","DateFormat=P","Fill=—","Direction=H","UseDPDF=Y")</f>
        <v>0</v>
      </c>
      <c r="F16" s="13">
        <f>_xll.BDH("SRPT US Equity","CF_NET_CASH_DISCONT_OPS_OPER","FQ3 2019","FQ3 2019","Currency=USD","Period=FQ","BEST_FPERIOD_OVERRIDE=FQ","FILING_STATUS=MR","SCALING_FORMAT=MLN","Sort=A","Dates=H","DateFormat=P","Fill=—","Direction=H","UseDPDF=Y")</f>
        <v>0</v>
      </c>
      <c r="G16" s="13">
        <f>_xll.BDH("SRPT US Equity","CF_NET_CASH_DISCONT_OPS_OPER","FQ4 2019","FQ4 2019","Currency=USD","Period=FQ","BEST_FPERIOD_OVERRIDE=FQ","FILING_STATUS=MR","SCALING_FORMAT=MLN","Sort=A","Dates=H","DateFormat=P","Fill=—","Direction=H","UseDPDF=Y")</f>
        <v>0</v>
      </c>
      <c r="H16" s="13">
        <f>_xll.BDH("SRPT US Equity","CF_NET_CASH_DISCONT_OPS_OPER","FQ1 2020","FQ1 2020","Currency=USD","Period=FQ","BEST_FPERIOD_OVERRIDE=FQ","FILING_STATUS=MR","SCALING_FORMAT=MLN","Sort=A","Dates=H","DateFormat=P","Fill=—","Direction=H","UseDPDF=Y")</f>
        <v>0</v>
      </c>
      <c r="I16" s="13">
        <f>_xll.BDH("SRPT US Equity","CF_NET_CASH_DISCONT_OPS_OPER","FQ2 2020","FQ2 2020","Currency=USD","Period=FQ","BEST_FPERIOD_OVERRIDE=FQ","FILING_STATUS=MR","SCALING_FORMAT=MLN","Sort=A","Dates=H","DateFormat=P","Fill=—","Direction=H","UseDPDF=Y")</f>
        <v>0</v>
      </c>
      <c r="J16" s="13">
        <f>_xll.BDH("SRPT US Equity","CF_NET_CASH_DISCONT_OPS_OPER","FQ3 2020","FQ3 2020","Currency=USD","Period=FQ","BEST_FPERIOD_OVERRIDE=FQ","FILING_STATUS=MR","SCALING_FORMAT=MLN","Sort=A","Dates=H","DateFormat=P","Fill=—","Direction=H","UseDPDF=Y")</f>
        <v>0</v>
      </c>
      <c r="K16" s="13">
        <f>_xll.BDH("SRPT US Equity","CF_NET_CASH_DISCONT_OPS_OPER","FQ4 2020","FQ4 2020","Currency=USD","Period=FQ","BEST_FPERIOD_OVERRIDE=FQ","FILING_STATUS=MR","SCALING_FORMAT=MLN","Sort=A","Dates=H","DateFormat=P","Fill=—","Direction=H","UseDPDF=Y")</f>
        <v>0</v>
      </c>
      <c r="L16" s="13">
        <f>_xll.BDH("SRPT US Equity","CF_NET_CASH_DISCONT_OPS_OPER","FQ1 2021","FQ1 2021","Currency=USD","Period=FQ","BEST_FPERIOD_OVERRIDE=FQ","FILING_STATUS=MR","SCALING_FORMAT=MLN","Sort=A","Dates=H","DateFormat=P","Fill=—","Direction=H","UseDPDF=Y")</f>
        <v>0</v>
      </c>
      <c r="M16" s="13">
        <f>_xll.BDH("SRPT US Equity","CF_NET_CASH_DISCONT_OPS_OPER","FQ2 2021","FQ2 2021","Currency=USD","Period=FQ","BEST_FPERIOD_OVERRIDE=FQ","FILING_STATUS=MR","SCALING_FORMAT=MLN","Sort=A","Dates=H","DateFormat=P","Fill=—","Direction=H","UseDPDF=Y")</f>
        <v>0</v>
      </c>
      <c r="N16" s="13">
        <f>_xll.BDH("SRPT US Equity","CF_NET_CASH_DISCONT_OPS_OPER","FQ3 2021","FQ3 2021","Currency=USD","Period=FQ","BEST_FPERIOD_OVERRIDE=FQ","FILING_STATUS=MR","SCALING_FORMAT=MLN","Sort=A","Dates=H","DateFormat=P","Fill=—","Direction=H","UseDPDF=Y")</f>
        <v>0</v>
      </c>
      <c r="O16" s="13">
        <f>_xll.BDH("SRPT US Equity","CF_NET_CASH_DISCONT_OPS_OPER","FQ4 2021","FQ4 2021","Currency=USD","Period=FQ","BEST_FPERIOD_OVERRIDE=FQ","FILING_STATUS=MR","SCALING_FORMAT=MLN","Sort=A","Dates=H","DateFormat=P","Fill=—","Direction=H","UseDPDF=Y")</f>
        <v>0</v>
      </c>
      <c r="P16" s="13">
        <f>_xll.BDH("SRPT US Equity","CF_NET_CASH_DISCONT_OPS_OPER","FQ1 2022","FQ1 2022","Currency=USD","Period=FQ","BEST_FPERIOD_OVERRIDE=FQ","FILING_STATUS=MR","SCALING_FORMAT=MLN","Sort=A","Dates=H","DateFormat=P","Fill=—","Direction=H","UseDPDF=Y")</f>
        <v>0</v>
      </c>
      <c r="Q16" s="13">
        <f>_xll.BDH("SRPT US Equity","CF_NET_CASH_DISCONT_OPS_OPER","FQ2 2022","FQ2 2022","Currency=USD","Period=FQ","BEST_FPERIOD_OVERRIDE=FQ","FILING_STATUS=MR","SCALING_FORMAT=MLN","Sort=A","Dates=H","DateFormat=P","Fill=—","Direction=H","UseDPDF=Y")</f>
        <v>0</v>
      </c>
      <c r="R16" s="13">
        <f>_xll.BDH("SRPT US Equity","CF_NET_CASH_DISCONT_OPS_OPER","FQ3 2022","FQ3 2022","Currency=USD","Period=FQ","BEST_FPERIOD_OVERRIDE=FQ","FILING_STATUS=MR","SCALING_FORMAT=MLN","Sort=A","Dates=H","DateFormat=P","Fill=—","Direction=H","UseDPDF=Y")</f>
        <v>0</v>
      </c>
      <c r="S16" s="13">
        <f>_xll.BDH("SRPT US Equity","CF_NET_CASH_DISCONT_OPS_OPER","FQ4 2022","FQ4 2022","Currency=USD","Period=FQ","BEST_FPERIOD_OVERRIDE=FQ","FILING_STATUS=MR","SCALING_FORMAT=MLN","Sort=A","Dates=H","DateFormat=P","Fill=—","Direction=H","UseDPDF=Y")</f>
        <v>0</v>
      </c>
      <c r="T16" s="13">
        <f>_xll.BDH("SRPT US Equity","CF_NET_CASH_DISCONT_OPS_OPER","FQ1 2023","FQ1 2023","Currency=USD","Period=FQ","BEST_FPERIOD_OVERRIDE=FQ","FILING_STATUS=MR","SCALING_FORMAT=MLN","Sort=A","Dates=H","DateFormat=P","Fill=—","Direction=H","UseDPDF=Y")</f>
        <v>0</v>
      </c>
      <c r="U16" s="13">
        <f>_xll.BDH("SRPT US Equity","CF_NET_CASH_DISCONT_OPS_OPER","FQ2 2023","FQ2 2023","Currency=USD","Period=FQ","BEST_FPERIOD_OVERRIDE=FQ","FILING_STATUS=MR","SCALING_FORMAT=MLN","Sort=A","Dates=H","DateFormat=P","Fill=—","Direction=H","UseDPDF=Y")</f>
        <v>0</v>
      </c>
      <c r="V16" s="13">
        <f>_xll.BDH("SRPT US Equity","CF_NET_CASH_DISCONT_OPS_OPER","FQ3 2023","FQ3 2023","Currency=USD","Period=FQ","BEST_FPERIOD_OVERRIDE=FQ","FILING_STATUS=MR","SCALING_FORMAT=MLN","Sort=A","Dates=H","DateFormat=P","Fill=—","Direction=H","UseDPDF=Y")</f>
        <v>0</v>
      </c>
      <c r="W16" s="13">
        <f>_xll.BDH("SRPT US Equity","CF_NET_CASH_DISCONT_OPS_OPER","FQ4 2023","FQ4 2023","Currency=USD","Period=FQ","BEST_FPERIOD_OVERRIDE=FQ","FILING_STATUS=MR","SCALING_FORMAT=MLN","Sort=A","Dates=H","DateFormat=P","Fill=—","Direction=H","UseDPDF=Y")</f>
        <v>0</v>
      </c>
      <c r="X16" s="13">
        <f>_xll.BDH("SRPT US Equity","CF_NET_CASH_DISCONT_OPS_OPER","FQ1 2024","FQ1 2024","Currency=USD","Period=FQ","BEST_FPERIOD_OVERRIDE=FQ","FILING_STATUS=MR","SCALING_FORMAT=MLN","Sort=A","Dates=H","DateFormat=P","Fill=—","Direction=H","UseDPDF=Y")</f>
        <v>0</v>
      </c>
      <c r="Y16" s="13">
        <f>_xll.BDH("SRPT US Equity","CF_NET_CASH_DISCONT_OPS_OPER","FQ2 2024","FQ2 2024","Currency=USD","Period=FQ","BEST_FPERIOD_OVERRIDE=FQ","FILING_STATUS=MR","SCALING_FORMAT=MLN","Sort=A","Dates=H","DateFormat=P","Fill=—","Direction=H","UseDPDF=Y")</f>
        <v>0</v>
      </c>
      <c r="Z16" s="13">
        <f>_xll.BDH("SRPT US Equity","CF_NET_CASH_DISCONT_OPS_OPER","FQ3 2024","FQ3 2024","Currency=USD","Period=FQ","BEST_FPERIOD_OVERRIDE=FQ","FILING_STATUS=MR","SCALING_FORMAT=MLN","Sort=A","Dates=H","DateFormat=P","Fill=—","Direction=H","UseDPDF=Y")</f>
        <v>0</v>
      </c>
      <c r="AA16" s="13">
        <f>_xll.BDH("SRPT US Equity","CF_NET_CASH_DISCONT_OPS_OPER","FQ4 2024","FQ4 2024","Currency=USD","Period=FQ","BEST_FPERIOD_OVERRIDE=FQ","FILING_STATUS=MR","SCALING_FORMAT=MLN","Sort=A","Dates=H","DateFormat=P","Fill=—","Direction=H","UseDPDF=Y")</f>
        <v>0</v>
      </c>
    </row>
    <row r="17" spans="1:27" x14ac:dyDescent="0.25">
      <c r="A17" s="6" t="s">
        <v>1177</v>
      </c>
      <c r="B17" s="6" t="s">
        <v>85</v>
      </c>
      <c r="C17" s="19">
        <f>_xll.BDH("SRPT US Equity","CF_CASH_FROM_OPER","FQ4 2018","FQ4 2018","Currency=USD","Period=FQ","BEST_FPERIOD_OVERRIDE=FQ","FILING_STATUS=MR","SCALING_FORMAT=MLN","Sort=A","Dates=H","DateFormat=P","Fill=—","Direction=H","UseDPDF=Y")</f>
        <v>-122.42</v>
      </c>
      <c r="D17" s="19">
        <f>_xll.BDH("SRPT US Equity","CF_CASH_FROM_OPER","FQ1 2019","FQ1 2019","Currency=USD","Period=FQ","BEST_FPERIOD_OVERRIDE=FQ","FILING_STATUS=MR","SCALING_FORMAT=MLN","Sort=A","Dates=H","DateFormat=P","Fill=—","Direction=H","UseDPDF=Y")</f>
        <v>-146.233</v>
      </c>
      <c r="E17" s="19">
        <f>_xll.BDH("SRPT US Equity","CF_CASH_FROM_OPER","FQ2 2019","FQ2 2019","Currency=USD","Period=FQ","BEST_FPERIOD_OVERRIDE=FQ","FILING_STATUS=MR","SCALING_FORMAT=MLN","Sort=A","Dates=H","DateFormat=P","Fill=—","Direction=H","UseDPDF=Y")</f>
        <v>-79.004000000000005</v>
      </c>
      <c r="F17" s="19">
        <f>_xll.BDH("SRPT US Equity","CF_CASH_FROM_OPER","FQ3 2019","FQ3 2019","Currency=USD","Period=FQ","BEST_FPERIOD_OVERRIDE=FQ","FILING_STATUS=MR","SCALING_FORMAT=MLN","Sort=A","Dates=H","DateFormat=P","Fill=—","Direction=H","UseDPDF=Y")</f>
        <v>-67.430999999999997</v>
      </c>
      <c r="G17" s="19">
        <f>_xll.BDH("SRPT US Equity","CF_CASH_FROM_OPER","FQ4 2019","FQ4 2019","Currency=USD","Period=FQ","BEST_FPERIOD_OVERRIDE=FQ","FILING_STATUS=MR","SCALING_FORMAT=MLN","Sort=A","Dates=H","DateFormat=P","Fill=—","Direction=H","UseDPDF=Y")</f>
        <v>-163.79499999999999</v>
      </c>
      <c r="H17" s="19">
        <f>_xll.BDH("SRPT US Equity","CF_CASH_FROM_OPER","FQ1 2020","FQ1 2020","Currency=USD","Period=FQ","BEST_FPERIOD_OVERRIDE=FQ","FILING_STATUS=MR","SCALING_FORMAT=MLN","Sort=A","Dates=H","DateFormat=P","Fill=—","Direction=H","UseDPDF=Y")</f>
        <v>627.79</v>
      </c>
      <c r="I17" s="19">
        <f>_xll.BDH("SRPT US Equity","CF_CASH_FROM_OPER","FQ2 2020","FQ2 2020","Currency=USD","Period=FQ","BEST_FPERIOD_OVERRIDE=FQ","FILING_STATUS=MR","SCALING_FORMAT=MLN","Sort=A","Dates=H","DateFormat=P","Fill=—","Direction=H","UseDPDF=Y")</f>
        <v>-107.60299999999999</v>
      </c>
      <c r="J17" s="19">
        <f>_xll.BDH("SRPT US Equity","CF_CASH_FROM_OPER","FQ3 2020","FQ3 2020","Currency=USD","Period=FQ","BEST_FPERIOD_OVERRIDE=FQ","FILING_STATUS=MR","SCALING_FORMAT=MLN","Sort=A","Dates=H","DateFormat=P","Fill=—","Direction=H","UseDPDF=Y")</f>
        <v>-238.18600000000001</v>
      </c>
      <c r="K17" s="19">
        <f>_xll.BDH("SRPT US Equity","CF_CASH_FROM_OPER","FQ4 2020","FQ4 2020","Currency=USD","Period=FQ","BEST_FPERIOD_OVERRIDE=FQ","FILING_STATUS=MR","SCALING_FORMAT=MLN","Sort=A","Dates=H","DateFormat=P","Fill=—","Direction=H","UseDPDF=Y")</f>
        <v>-174.535</v>
      </c>
      <c r="L17" s="19">
        <f>_xll.BDH("SRPT US Equity","CF_CASH_FROM_OPER","FQ1 2021","FQ1 2021","Currency=USD","Period=FQ","BEST_FPERIOD_OVERRIDE=FQ","FILING_STATUS=MR","SCALING_FORMAT=MLN","Sort=A","Dates=H","DateFormat=P","Fill=—","Direction=H","UseDPDF=Y")</f>
        <v>-180.37100000000001</v>
      </c>
      <c r="M17" s="19">
        <f>_xll.BDH("SRPT US Equity","CF_CASH_FROM_OPER","FQ2 2021","FQ2 2021","Currency=USD","Period=FQ","BEST_FPERIOD_OVERRIDE=FQ","FILING_STATUS=MR","SCALING_FORMAT=MLN","Sort=A","Dates=H","DateFormat=P","Fill=—","Direction=H","UseDPDF=Y")</f>
        <v>-109.146</v>
      </c>
      <c r="N17" s="19">
        <f>_xll.BDH("SRPT US Equity","CF_CASH_FROM_OPER","FQ3 2021","FQ3 2021","Currency=USD","Period=FQ","BEST_FPERIOD_OVERRIDE=FQ","FILING_STATUS=MR","SCALING_FORMAT=MLN","Sort=A","Dates=H","DateFormat=P","Fill=—","Direction=H","UseDPDF=Y")</f>
        <v>-124.32899999999999</v>
      </c>
      <c r="O17" s="19">
        <f>_xll.BDH("SRPT US Equity","CF_CASH_FROM_OPER","FQ4 2021","FQ4 2021","Currency=USD","Period=FQ","BEST_FPERIOD_OVERRIDE=FQ","FILING_STATUS=MR","SCALING_FORMAT=MLN","Sort=A","Dates=H","DateFormat=P","Fill=—","Direction=H","UseDPDF=Y")</f>
        <v>-29.326000000000001</v>
      </c>
      <c r="P17" s="19">
        <f>_xll.BDH("SRPT US Equity","CF_CASH_FROM_OPER","FQ1 2022","FQ1 2022","Currency=USD","Period=FQ","BEST_FPERIOD_OVERRIDE=FQ","FILING_STATUS=MR","SCALING_FORMAT=MLN","Sort=A","Dates=H","DateFormat=P","Fill=—","Direction=H","UseDPDF=Y")</f>
        <v>-101.175</v>
      </c>
      <c r="Q17" s="19">
        <f>_xll.BDH("SRPT US Equity","CF_CASH_FROM_OPER","FQ2 2022","FQ2 2022","Currency=USD","Period=FQ","BEST_FPERIOD_OVERRIDE=FQ","FILING_STATUS=MR","SCALING_FORMAT=MLN","Sort=A","Dates=H","DateFormat=P","Fill=—","Direction=H","UseDPDF=Y")</f>
        <v>-66.814999999999998</v>
      </c>
      <c r="R17" s="19">
        <f>_xll.BDH("SRPT US Equity","CF_CASH_FROM_OPER","FQ3 2022","FQ3 2022","Currency=USD","Period=FQ","BEST_FPERIOD_OVERRIDE=FQ","FILING_STATUS=MR","SCALING_FORMAT=MLN","Sort=A","Dates=H","DateFormat=P","Fill=—","Direction=H","UseDPDF=Y")</f>
        <v>-64.963999999999999</v>
      </c>
      <c r="S17" s="19">
        <f>_xll.BDH("SRPT US Equity","CF_CASH_FROM_OPER","FQ4 2022","FQ4 2022","Currency=USD","Period=FQ","BEST_FPERIOD_OVERRIDE=FQ","FILING_STATUS=MR","SCALING_FORMAT=MLN","Sort=A","Dates=H","DateFormat=P","Fill=—","Direction=H","UseDPDF=Y")</f>
        <v>-92.391999999999996</v>
      </c>
      <c r="T17" s="19">
        <f>_xll.BDH("SRPT US Equity","CF_CASH_FROM_OPER","FQ1 2023","FQ1 2023","Currency=USD","Period=FQ","BEST_FPERIOD_OVERRIDE=FQ","FILING_STATUS=MR","SCALING_FORMAT=MLN","Sort=A","Dates=H","DateFormat=P","Fill=—","Direction=H","UseDPDF=Y")</f>
        <v>-209.39599999999999</v>
      </c>
      <c r="U17" s="19">
        <f>_xll.BDH("SRPT US Equity","CF_CASH_FROM_OPER","FQ2 2023","FQ2 2023","Currency=USD","Period=FQ","BEST_FPERIOD_OVERRIDE=FQ","FILING_STATUS=MR","SCALING_FORMAT=MLN","Sort=A","Dates=H","DateFormat=P","Fill=—","Direction=H","UseDPDF=Y")</f>
        <v>-122.23399999999999</v>
      </c>
      <c r="V17" s="19">
        <f>_xll.BDH("SRPT US Equity","CF_CASH_FROM_OPER","FQ3 2023","FQ3 2023","Currency=USD","Period=FQ","BEST_FPERIOD_OVERRIDE=FQ","FILING_STATUS=MR","SCALING_FORMAT=MLN","Sort=A","Dates=H","DateFormat=P","Fill=—","Direction=H","UseDPDF=Y")</f>
        <v>-114.706</v>
      </c>
      <c r="W17" s="19">
        <f>_xll.BDH("SRPT US Equity","CF_CASH_FROM_OPER","FQ4 2023","FQ4 2023","Currency=USD","Period=FQ","BEST_FPERIOD_OVERRIDE=FQ","FILING_STATUS=MR","SCALING_FORMAT=MLN","Sort=A","Dates=H","DateFormat=P","Fill=—","Direction=H","UseDPDF=Y")</f>
        <v>-54.656999999999996</v>
      </c>
      <c r="X17" s="19">
        <f>_xll.BDH("SRPT US Equity","CF_CASH_FROM_OPER","FQ1 2024","FQ1 2024","Currency=USD","Period=FQ","BEST_FPERIOD_OVERRIDE=FQ","FILING_STATUS=MR","SCALING_FORMAT=MLN","Sort=A","Dates=H","DateFormat=P","Fill=—","Direction=H","UseDPDF=Y")</f>
        <v>-242.07599999999999</v>
      </c>
      <c r="Y17" s="19">
        <f>_xll.BDH("SRPT US Equity","CF_CASH_FROM_OPER","FQ2 2024","FQ2 2024","Currency=USD","Period=FQ","BEST_FPERIOD_OVERRIDE=FQ","FILING_STATUS=MR","SCALING_FORMAT=MLN","Sort=A","Dates=H","DateFormat=P","Fill=—","Direction=H","UseDPDF=Y")</f>
        <v>14.942</v>
      </c>
      <c r="Z17" s="19">
        <f>_xll.BDH("SRPT US Equity","CF_CASH_FROM_OPER","FQ3 2024","FQ3 2024","Currency=USD","Period=FQ","BEST_FPERIOD_OVERRIDE=FQ","FILING_STATUS=MR","SCALING_FORMAT=MLN","Sort=A","Dates=H","DateFormat=P","Fill=—","Direction=H","UseDPDF=Y")</f>
        <v>-70.698999999999998</v>
      </c>
      <c r="AA17" s="19">
        <f>_xll.BDH("SRPT US Equity","CF_CASH_FROM_OPER","FQ4 2024","FQ4 2024","Currency=USD","Period=FQ","BEST_FPERIOD_OVERRIDE=FQ","FILING_STATUS=MR","SCALING_FORMAT=MLN","Sort=A","Dates=H","DateFormat=P","Fill=—","Direction=H","UseDPDF=Y")</f>
        <v>92.046000000000006</v>
      </c>
    </row>
    <row r="18" spans="1:27" x14ac:dyDescent="0.25">
      <c r="A18" s="6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x14ac:dyDescent="0.25">
      <c r="A19" s="6" t="s">
        <v>1197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x14ac:dyDescent="0.25">
      <c r="A20" s="10" t="s">
        <v>1198</v>
      </c>
      <c r="B20" s="10" t="s">
        <v>1199</v>
      </c>
      <c r="C20" s="13">
        <f>_xll.BDH("SRPT US Equity","FIXED_INTANG_ASST_CHANGE","FQ4 2018","FQ4 2018","Currency=USD","Period=FQ","BEST_FPERIOD_OVERRIDE=FQ","FILING_STATUS=MR","SCALING_FORMAT=MLN","Sort=A","Dates=H","DateFormat=P","Fill=—","Direction=H","UseDPDF=Y")</f>
        <v>-20.757999999999999</v>
      </c>
      <c r="D20" s="13">
        <f>_xll.BDH("SRPT US Equity","FIXED_INTANG_ASST_CHANGE","FQ1 2019","FQ1 2019","Currency=USD","Period=FQ","BEST_FPERIOD_OVERRIDE=FQ","FILING_STATUS=MR","SCALING_FORMAT=MLN","Sort=A","Dates=H","DateFormat=P","Fill=—","Direction=H","UseDPDF=Y")</f>
        <v>-17.117999999999999</v>
      </c>
      <c r="E20" s="13">
        <f>_xll.BDH("SRPT US Equity","FIXED_INTANG_ASST_CHANGE","FQ2 2019","FQ2 2019","Currency=USD","Period=FQ","BEST_FPERIOD_OVERRIDE=FQ","FILING_STATUS=MR","SCALING_FORMAT=MLN","Sort=A","Dates=H","DateFormat=P","Fill=—","Direction=H","UseDPDF=Y")</f>
        <v>-17.280999999999999</v>
      </c>
      <c r="F20" s="13">
        <f>_xll.BDH("SRPT US Equity","FIXED_INTANG_ASST_CHANGE","FQ3 2019","FQ3 2019","Currency=USD","Period=FQ","BEST_FPERIOD_OVERRIDE=FQ","FILING_STATUS=MR","SCALING_FORMAT=MLN","Sort=A","Dates=H","DateFormat=P","Fill=—","Direction=H","UseDPDF=Y")</f>
        <v>-10.023</v>
      </c>
      <c r="G20" s="13">
        <f>_xll.BDH("SRPT US Equity","FIXED_INTANG_ASST_CHANGE","FQ4 2019","FQ4 2019","Currency=USD","Period=FQ","BEST_FPERIOD_OVERRIDE=FQ","FILING_STATUS=MR","SCALING_FORMAT=MLN","Sort=A","Dates=H","DateFormat=P","Fill=—","Direction=H","UseDPDF=Y")</f>
        <v>-18.291</v>
      </c>
      <c r="H20" s="13">
        <f>_xll.BDH("SRPT US Equity","FIXED_INTANG_ASST_CHANGE","FQ1 2020","FQ1 2020","Currency=USD","Period=FQ","BEST_FPERIOD_OVERRIDE=FQ","FILING_STATUS=MR","SCALING_FORMAT=MLN","Sort=A","Dates=H","DateFormat=P","Fill=—","Direction=H","UseDPDF=Y")</f>
        <v>-10.311999999999999</v>
      </c>
      <c r="I20" s="13">
        <f>_xll.BDH("SRPT US Equity","FIXED_INTANG_ASST_CHANGE","FQ2 2020","FQ2 2020","Currency=USD","Period=FQ","BEST_FPERIOD_OVERRIDE=FQ","FILING_STATUS=MR","SCALING_FORMAT=MLN","Sort=A","Dates=H","DateFormat=P","Fill=—","Direction=H","UseDPDF=Y")</f>
        <v>-19.904</v>
      </c>
      <c r="J20" s="13">
        <f>_xll.BDH("SRPT US Equity","FIXED_INTANG_ASST_CHANGE","FQ3 2020","FQ3 2020","Currency=USD","Period=FQ","BEST_FPERIOD_OVERRIDE=FQ","FILING_STATUS=MR","SCALING_FORMAT=MLN","Sort=A","Dates=H","DateFormat=P","Fill=—","Direction=H","UseDPDF=Y")</f>
        <v>-25.972000000000001</v>
      </c>
      <c r="K20" s="13">
        <f>_xll.BDH("SRPT US Equity","FIXED_INTANG_ASST_CHANGE","FQ4 2020","FQ4 2020","Currency=USD","Period=FQ","BEST_FPERIOD_OVERRIDE=FQ","FILING_STATUS=MR","SCALING_FORMAT=MLN","Sort=A","Dates=H","DateFormat=P","Fill=—","Direction=H","UseDPDF=Y")</f>
        <v>-26.013999999999999</v>
      </c>
      <c r="L20" s="13">
        <f>_xll.BDH("SRPT US Equity","FIXED_INTANG_ASST_CHANGE","FQ1 2021","FQ1 2021","Currency=USD","Period=FQ","BEST_FPERIOD_OVERRIDE=FQ","FILING_STATUS=MR","SCALING_FORMAT=MLN","Sort=A","Dates=H","DateFormat=P","Fill=—","Direction=H","UseDPDF=Y")</f>
        <v>-23.344999999999999</v>
      </c>
      <c r="M20" s="13">
        <f>_xll.BDH("SRPT US Equity","FIXED_INTANG_ASST_CHANGE","FQ2 2021","FQ2 2021","Currency=USD","Period=FQ","BEST_FPERIOD_OVERRIDE=FQ","FILING_STATUS=MR","SCALING_FORMAT=MLN","Sort=A","Dates=H","DateFormat=P","Fill=—","Direction=H","UseDPDF=Y")</f>
        <v>-6.9409999999999998</v>
      </c>
      <c r="N20" s="13">
        <f>_xll.BDH("SRPT US Equity","FIXED_INTANG_ASST_CHANGE","FQ3 2021","FQ3 2021","Currency=USD","Period=FQ","BEST_FPERIOD_OVERRIDE=FQ","FILING_STATUS=MR","SCALING_FORMAT=MLN","Sort=A","Dates=H","DateFormat=P","Fill=—","Direction=H","UseDPDF=Y")</f>
        <v>-9.7360000000000007</v>
      </c>
      <c r="O20" s="13">
        <f>_xll.BDH("SRPT US Equity","FIXED_INTANG_ASST_CHANGE","FQ4 2021","FQ4 2021","Currency=USD","Period=FQ","BEST_FPERIOD_OVERRIDE=FQ","FILING_STATUS=MR","SCALING_FORMAT=MLN","Sort=A","Dates=H","DateFormat=P","Fill=—","Direction=H","UseDPDF=Y")</f>
        <v>-2.206</v>
      </c>
      <c r="P20" s="13">
        <f>_xll.BDH("SRPT US Equity","FIXED_INTANG_ASST_CHANGE","FQ1 2022","FQ1 2022","Currency=USD","Period=FQ","BEST_FPERIOD_OVERRIDE=FQ","FILING_STATUS=MR","SCALING_FORMAT=MLN","Sort=A","Dates=H","DateFormat=P","Fill=—","Direction=H","UseDPDF=Y")</f>
        <v>-5.5510000000000002</v>
      </c>
      <c r="Q20" s="13">
        <f>_xll.BDH("SRPT US Equity","FIXED_INTANG_ASST_CHANGE","FQ2 2022","FQ2 2022","Currency=USD","Period=FQ","BEST_FPERIOD_OVERRIDE=FQ","FILING_STATUS=MR","SCALING_FORMAT=MLN","Sort=A","Dates=H","DateFormat=P","Fill=—","Direction=H","UseDPDF=Y")</f>
        <v>-9.7959999999999994</v>
      </c>
      <c r="R20" s="13">
        <f>_xll.BDH("SRPT US Equity","FIXED_INTANG_ASST_CHANGE","FQ3 2022","FQ3 2022","Currency=USD","Period=FQ","BEST_FPERIOD_OVERRIDE=FQ","FILING_STATUS=MR","SCALING_FORMAT=MLN","Sort=A","Dates=H","DateFormat=P","Fill=—","Direction=H","UseDPDF=Y")</f>
        <v>-8.7379999999999995</v>
      </c>
      <c r="S20" s="13">
        <f>_xll.BDH("SRPT US Equity","FIXED_INTANG_ASST_CHANGE","FQ4 2022","FQ4 2022","Currency=USD","Period=FQ","BEST_FPERIOD_OVERRIDE=FQ","FILING_STATUS=MR","SCALING_FORMAT=MLN","Sort=A","Dates=H","DateFormat=P","Fill=—","Direction=H","UseDPDF=Y")</f>
        <v>-6.7389999999999999</v>
      </c>
      <c r="T20" s="13">
        <f>_xll.BDH("SRPT US Equity","FIXED_INTANG_ASST_CHANGE","FQ1 2023","FQ1 2023","Currency=USD","Period=FQ","BEST_FPERIOD_OVERRIDE=FQ","FILING_STATUS=MR","SCALING_FORMAT=MLN","Sort=A","Dates=H","DateFormat=P","Fill=—","Direction=H","UseDPDF=Y")</f>
        <v>-9.4849999999999994</v>
      </c>
      <c r="U20" s="13">
        <f>_xll.BDH("SRPT US Equity","FIXED_INTANG_ASST_CHANGE","FQ2 2023","FQ2 2023","Currency=USD","Period=FQ","BEST_FPERIOD_OVERRIDE=FQ","FILING_STATUS=MR","SCALING_FORMAT=MLN","Sort=A","Dates=H","DateFormat=P","Fill=—","Direction=H","UseDPDF=Y")</f>
        <v>-17.908999999999999</v>
      </c>
      <c r="V20" s="13">
        <f>_xll.BDH("SRPT US Equity","FIXED_INTANG_ASST_CHANGE","FQ3 2023","FQ3 2023","Currency=USD","Period=FQ","BEST_FPERIOD_OVERRIDE=FQ","FILING_STATUS=MR","SCALING_FORMAT=MLN","Sort=A","Dates=H","DateFormat=P","Fill=—","Direction=H","UseDPDF=Y")</f>
        <v>-40.911999999999999</v>
      </c>
      <c r="W20" s="13">
        <f>_xll.BDH("SRPT US Equity","FIXED_INTANG_ASST_CHANGE","FQ4 2023","FQ4 2023","Currency=USD","Period=FQ","BEST_FPERIOD_OVERRIDE=FQ","FILING_STATUS=MR","SCALING_FORMAT=MLN","Sort=A","Dates=H","DateFormat=P","Fill=—","Direction=H","UseDPDF=Y")</f>
        <v>-19.039000000000001</v>
      </c>
      <c r="X20" s="13">
        <f>_xll.BDH("SRPT US Equity","FIXED_INTANG_ASST_CHANGE","FQ1 2024","FQ1 2024","Currency=USD","Period=FQ","BEST_FPERIOD_OVERRIDE=FQ","FILING_STATUS=MR","SCALING_FORMAT=MLN","Sort=A","Dates=H","DateFormat=P","Fill=—","Direction=H","UseDPDF=Y")</f>
        <v>-42.444000000000003</v>
      </c>
      <c r="Y20" s="13">
        <f>_xll.BDH("SRPT US Equity","FIXED_INTANG_ASST_CHANGE","FQ2 2024","FQ2 2024","Currency=USD","Period=FQ","BEST_FPERIOD_OVERRIDE=FQ","FILING_STATUS=MR","SCALING_FORMAT=MLN","Sort=A","Dates=H","DateFormat=P","Fill=—","Direction=H","UseDPDF=Y")</f>
        <v>-29.167000000000002</v>
      </c>
      <c r="Z20" s="13">
        <f>_xll.BDH("SRPT US Equity","FIXED_INTANG_ASST_CHANGE","FQ3 2024","FQ3 2024","Currency=USD","Period=FQ","BEST_FPERIOD_OVERRIDE=FQ","FILING_STATUS=MR","SCALING_FORMAT=MLN","Sort=A","Dates=H","DateFormat=P","Fill=—","Direction=H","UseDPDF=Y")</f>
        <v>-37.262999999999998</v>
      </c>
      <c r="AA20" s="13">
        <f>_xll.BDH("SRPT US Equity","FIXED_INTANG_ASST_CHANGE","FQ4 2024","FQ4 2024","Currency=USD","Period=FQ","BEST_FPERIOD_OVERRIDE=FQ","FILING_STATUS=MR","SCALING_FORMAT=MLN","Sort=A","Dates=H","DateFormat=P","Fill=—","Direction=H","UseDPDF=Y")</f>
        <v>-38.082000000000001</v>
      </c>
    </row>
    <row r="21" spans="1:27" x14ac:dyDescent="0.25">
      <c r="A21" s="10" t="s">
        <v>1200</v>
      </c>
      <c r="B21" s="10" t="s">
        <v>1201</v>
      </c>
      <c r="C21" s="13">
        <f>_xll.BDH("SRPT US Equity","DISPOSAL_OF_FIXED_INTANG","FQ4 2018","FQ4 2018","Currency=USD","Period=FQ","BEST_FPERIOD_OVERRIDE=FQ","FILING_STATUS=MR","SCALING_FORMAT=MLN","Sort=A","Dates=H","DateFormat=P","Fill=—","Direction=H","UseDPDF=Y")</f>
        <v>0</v>
      </c>
      <c r="D21" s="13">
        <f>_xll.BDH("SRPT US Equity","DISPOSAL_OF_FIXED_INTANG","FQ1 2019","FQ1 2019","Currency=USD","Period=FQ","BEST_FPERIOD_OVERRIDE=FQ","FILING_STATUS=MR","SCALING_FORMAT=MLN","Sort=A","Dates=H","DateFormat=P","Fill=—","Direction=H","UseDPDF=Y")</f>
        <v>0</v>
      </c>
      <c r="E21" s="13">
        <f>_xll.BDH("SRPT US Equity","DISPOSAL_OF_FIXED_INTANG","FQ2 2019","FQ2 2019","Currency=USD","Period=FQ","BEST_FPERIOD_OVERRIDE=FQ","FILING_STATUS=MR","SCALING_FORMAT=MLN","Sort=A","Dates=H","DateFormat=P","Fill=—","Direction=H","UseDPDF=Y")</f>
        <v>0</v>
      </c>
      <c r="F21" s="13">
        <f>_xll.BDH("SRPT US Equity","DISPOSAL_OF_FIXED_INTANG","FQ3 2019","FQ3 2019","Currency=USD","Period=FQ","BEST_FPERIOD_OVERRIDE=FQ","FILING_STATUS=MR","SCALING_FORMAT=MLN","Sort=A","Dates=H","DateFormat=P","Fill=—","Direction=H","UseDPDF=Y")</f>
        <v>0</v>
      </c>
      <c r="G21" s="13">
        <f>_xll.BDH("SRPT US Equity","DISPOSAL_OF_FIXED_INTANG","FQ4 2019","FQ4 2019","Currency=USD","Period=FQ","BEST_FPERIOD_OVERRIDE=FQ","FILING_STATUS=MR","SCALING_FORMAT=MLN","Sort=A","Dates=H","DateFormat=P","Fill=—","Direction=H","UseDPDF=Y")</f>
        <v>0</v>
      </c>
      <c r="H21" s="13">
        <f>_xll.BDH("SRPT US Equity","DISPOSAL_OF_FIXED_INTANG","FQ1 2020","FQ1 2020","Currency=USD","Period=FQ","BEST_FPERIOD_OVERRIDE=FQ","FILING_STATUS=MR","SCALING_FORMAT=MLN","Sort=A","Dates=H","DateFormat=P","Fill=—","Direction=H","UseDPDF=Y")</f>
        <v>0</v>
      </c>
      <c r="I21" s="13">
        <f>_xll.BDH("SRPT US Equity","DISPOSAL_OF_FIXED_INTANG","FQ2 2020","FQ2 2020","Currency=USD","Period=FQ","BEST_FPERIOD_OVERRIDE=FQ","FILING_STATUS=MR","SCALING_FORMAT=MLN","Sort=A","Dates=H","DateFormat=P","Fill=—","Direction=H","UseDPDF=Y")</f>
        <v>0</v>
      </c>
      <c r="J21" s="13">
        <f>_xll.BDH("SRPT US Equity","DISPOSAL_OF_FIXED_INTANG","FQ3 2020","FQ3 2020","Currency=USD","Period=FQ","BEST_FPERIOD_OVERRIDE=FQ","FILING_STATUS=MR","SCALING_FORMAT=MLN","Sort=A","Dates=H","DateFormat=P","Fill=—","Direction=H","UseDPDF=Y")</f>
        <v>0</v>
      </c>
      <c r="K21" s="13">
        <f>_xll.BDH("SRPT US Equity","DISPOSAL_OF_FIXED_INTANG","FQ4 2020","FQ4 2020","Currency=USD","Period=FQ","BEST_FPERIOD_OVERRIDE=FQ","FILING_STATUS=MR","SCALING_FORMAT=MLN","Sort=A","Dates=H","DateFormat=P","Fill=—","Direction=H","UseDPDF=Y")</f>
        <v>0</v>
      </c>
      <c r="L21" s="13">
        <f>_xll.BDH("SRPT US Equity","DISPOSAL_OF_FIXED_INTANG","FQ1 2021","FQ1 2021","Currency=USD","Period=FQ","BEST_FPERIOD_OVERRIDE=FQ","FILING_STATUS=MR","SCALING_FORMAT=MLN","Sort=A","Dates=H","DateFormat=P","Fill=—","Direction=H","UseDPDF=Y")</f>
        <v>0</v>
      </c>
      <c r="M21" s="13">
        <f>_xll.BDH("SRPT US Equity","DISPOSAL_OF_FIXED_INTANG","FQ2 2021","FQ2 2021","Currency=USD","Period=FQ","BEST_FPERIOD_OVERRIDE=FQ","FILING_STATUS=MR","SCALING_FORMAT=MLN","Sort=A","Dates=H","DateFormat=P","Fill=—","Direction=H","UseDPDF=Y")</f>
        <v>0</v>
      </c>
      <c r="N21" s="13">
        <f>_xll.BDH("SRPT US Equity","DISPOSAL_OF_FIXED_INTANG","FQ3 2021","FQ3 2021","Currency=USD","Period=FQ","BEST_FPERIOD_OVERRIDE=FQ","FILING_STATUS=MR","SCALING_FORMAT=MLN","Sort=A","Dates=H","DateFormat=P","Fill=—","Direction=H","UseDPDF=Y")</f>
        <v>0</v>
      </c>
      <c r="O21" s="13">
        <f>_xll.BDH("SRPT US Equity","DISPOSAL_OF_FIXED_INTANG","FQ4 2021","FQ4 2021","Currency=USD","Period=FQ","BEST_FPERIOD_OVERRIDE=FQ","FILING_STATUS=MR","SCALING_FORMAT=MLN","Sort=A","Dates=H","DateFormat=P","Fill=—","Direction=H","UseDPDF=Y")</f>
        <v>0</v>
      </c>
      <c r="P21" s="13">
        <f>_xll.BDH("SRPT US Equity","DISPOSAL_OF_FIXED_INTANG","FQ1 2022","FQ1 2022","Currency=USD","Period=FQ","BEST_FPERIOD_OVERRIDE=FQ","FILING_STATUS=MR","SCALING_FORMAT=MLN","Sort=A","Dates=H","DateFormat=P","Fill=—","Direction=H","UseDPDF=Y")</f>
        <v>0</v>
      </c>
      <c r="Q21" s="13">
        <f>_xll.BDH("SRPT US Equity","DISPOSAL_OF_FIXED_INTANG","FQ2 2022","FQ2 2022","Currency=USD","Period=FQ","BEST_FPERIOD_OVERRIDE=FQ","FILING_STATUS=MR","SCALING_FORMAT=MLN","Sort=A","Dates=H","DateFormat=P","Fill=—","Direction=H","UseDPDF=Y")</f>
        <v>0</v>
      </c>
      <c r="R21" s="13">
        <f>_xll.BDH("SRPT US Equity","DISPOSAL_OF_FIXED_INTANG","FQ3 2022","FQ3 2022","Currency=USD","Period=FQ","BEST_FPERIOD_OVERRIDE=FQ","FILING_STATUS=MR","SCALING_FORMAT=MLN","Sort=A","Dates=H","DateFormat=P","Fill=—","Direction=H","UseDPDF=Y")</f>
        <v>0</v>
      </c>
      <c r="S21" s="13">
        <f>_xll.BDH("SRPT US Equity","DISPOSAL_OF_FIXED_INTANG","FQ4 2022","FQ4 2022","Currency=USD","Period=FQ","BEST_FPERIOD_OVERRIDE=FQ","FILING_STATUS=MR","SCALING_FORMAT=MLN","Sort=A","Dates=H","DateFormat=P","Fill=—","Direction=H","UseDPDF=Y")</f>
        <v>0</v>
      </c>
      <c r="T21" s="13">
        <f>_xll.BDH("SRPT US Equity","DISPOSAL_OF_FIXED_INTANG","FQ1 2023","FQ1 2023","Currency=USD","Period=FQ","BEST_FPERIOD_OVERRIDE=FQ","FILING_STATUS=MR","SCALING_FORMAT=MLN","Sort=A","Dates=H","DateFormat=P","Fill=—","Direction=H","UseDPDF=Y")</f>
        <v>0</v>
      </c>
      <c r="U21" s="13">
        <f>_xll.BDH("SRPT US Equity","DISPOSAL_OF_FIXED_INTANG","FQ2 2023","FQ2 2023","Currency=USD","Period=FQ","BEST_FPERIOD_OVERRIDE=FQ","FILING_STATUS=MR","SCALING_FORMAT=MLN","Sort=A","Dates=H","DateFormat=P","Fill=—","Direction=H","UseDPDF=Y")</f>
        <v>0</v>
      </c>
      <c r="V21" s="13">
        <f>_xll.BDH("SRPT US Equity","DISPOSAL_OF_FIXED_INTANG","FQ3 2023","FQ3 2023","Currency=USD","Period=FQ","BEST_FPERIOD_OVERRIDE=FQ","FILING_STATUS=MR","SCALING_FORMAT=MLN","Sort=A","Dates=H","DateFormat=P","Fill=—","Direction=H","UseDPDF=Y")</f>
        <v>0</v>
      </c>
      <c r="W21" s="13">
        <f>_xll.BDH("SRPT US Equity","DISPOSAL_OF_FIXED_INTANG","FQ4 2023","FQ4 2023","Currency=USD","Period=FQ","BEST_FPERIOD_OVERRIDE=FQ","FILING_STATUS=MR","SCALING_FORMAT=MLN","Sort=A","Dates=H","DateFormat=P","Fill=—","Direction=H","UseDPDF=Y")</f>
        <v>0</v>
      </c>
      <c r="X21" s="13">
        <f>_xll.BDH("SRPT US Equity","DISPOSAL_OF_FIXED_INTANG","FQ1 2024","FQ1 2024","Currency=USD","Period=FQ","BEST_FPERIOD_OVERRIDE=FQ","FILING_STATUS=MR","SCALING_FORMAT=MLN","Sort=A","Dates=H","DateFormat=P","Fill=—","Direction=H","UseDPDF=Y")</f>
        <v>0</v>
      </c>
      <c r="Y21" s="13">
        <f>_xll.BDH("SRPT US Equity","DISPOSAL_OF_FIXED_INTANG","FQ2 2024","FQ2 2024","Currency=USD","Period=FQ","BEST_FPERIOD_OVERRIDE=FQ","FILING_STATUS=MR","SCALING_FORMAT=MLN","Sort=A","Dates=H","DateFormat=P","Fill=—","Direction=H","UseDPDF=Y")</f>
        <v>0</v>
      </c>
      <c r="Z21" s="13">
        <f>_xll.BDH("SRPT US Equity","DISPOSAL_OF_FIXED_INTANG","FQ3 2024","FQ3 2024","Currency=USD","Period=FQ","BEST_FPERIOD_OVERRIDE=FQ","FILING_STATUS=MR","SCALING_FORMAT=MLN","Sort=A","Dates=H","DateFormat=P","Fill=—","Direction=H","UseDPDF=Y")</f>
        <v>0</v>
      </c>
      <c r="AA21" s="13">
        <f>_xll.BDH("SRPT US Equity","DISPOSAL_OF_FIXED_INTANG","FQ4 2024","FQ4 2024","Currency=USD","Period=FQ","BEST_FPERIOD_OVERRIDE=FQ","FILING_STATUS=MR","SCALING_FORMAT=MLN","Sort=A","Dates=H","DateFormat=P","Fill=—","Direction=H","UseDPDF=Y")</f>
        <v>0</v>
      </c>
    </row>
    <row r="22" spans="1:27" x14ac:dyDescent="0.25">
      <c r="A22" s="11" t="s">
        <v>1202</v>
      </c>
      <c r="B22" s="11" t="s">
        <v>1203</v>
      </c>
      <c r="C22" s="25">
        <f>_xll.BDH("SRPT US Equity","CF_DISPOSAL_OF_FIXED_PROD_ASSETS","FQ4 2018","FQ4 2018","Currency=USD","Period=FQ","BEST_FPERIOD_OVERRIDE=FQ","FILING_STATUS=MR","SCALING_FORMAT=MLN","Sort=A","Dates=H","DateFormat=P","Fill=—","Direction=H","UseDPDF=Y")</f>
        <v>0</v>
      </c>
      <c r="D22" s="25">
        <f>_xll.BDH("SRPT US Equity","CF_DISPOSAL_OF_FIXED_PROD_ASSETS","FQ1 2019","FQ1 2019","Currency=USD","Period=FQ","BEST_FPERIOD_OVERRIDE=FQ","FILING_STATUS=MR","SCALING_FORMAT=MLN","Sort=A","Dates=H","DateFormat=P","Fill=—","Direction=H","UseDPDF=Y")</f>
        <v>0</v>
      </c>
      <c r="E22" s="25">
        <f>_xll.BDH("SRPT US Equity","CF_DISPOSAL_OF_FIXED_PROD_ASSETS","FQ2 2019","FQ2 2019","Currency=USD","Period=FQ","BEST_FPERIOD_OVERRIDE=FQ","FILING_STATUS=MR","SCALING_FORMAT=MLN","Sort=A","Dates=H","DateFormat=P","Fill=—","Direction=H","UseDPDF=Y")</f>
        <v>0</v>
      </c>
      <c r="F22" s="25">
        <f>_xll.BDH("SRPT US Equity","CF_DISPOSAL_OF_FIXED_PROD_ASSETS","FQ3 2019","FQ3 2019","Currency=USD","Period=FQ","BEST_FPERIOD_OVERRIDE=FQ","FILING_STATUS=MR","SCALING_FORMAT=MLN","Sort=A","Dates=H","DateFormat=P","Fill=—","Direction=H","UseDPDF=Y")</f>
        <v>0</v>
      </c>
      <c r="G22" s="25">
        <f>_xll.BDH("SRPT US Equity","CF_DISPOSAL_OF_FIXED_PROD_ASSETS","FQ4 2019","FQ4 2019","Currency=USD","Period=FQ","BEST_FPERIOD_OVERRIDE=FQ","FILING_STATUS=MR","SCALING_FORMAT=MLN","Sort=A","Dates=H","DateFormat=P","Fill=—","Direction=H","UseDPDF=Y")</f>
        <v>0</v>
      </c>
      <c r="H22" s="25">
        <f>_xll.BDH("SRPT US Equity","CF_DISPOSAL_OF_FIXED_PROD_ASSETS","FQ1 2020","FQ1 2020","Currency=USD","Period=FQ","BEST_FPERIOD_OVERRIDE=FQ","FILING_STATUS=MR","SCALING_FORMAT=MLN","Sort=A","Dates=H","DateFormat=P","Fill=—","Direction=H","UseDPDF=Y")</f>
        <v>0</v>
      </c>
      <c r="I22" s="25">
        <f>_xll.BDH("SRPT US Equity","CF_DISPOSAL_OF_FIXED_PROD_ASSETS","FQ2 2020","FQ2 2020","Currency=USD","Period=FQ","BEST_FPERIOD_OVERRIDE=FQ","FILING_STATUS=MR","SCALING_FORMAT=MLN","Sort=A","Dates=H","DateFormat=P","Fill=—","Direction=H","UseDPDF=Y")</f>
        <v>0</v>
      </c>
      <c r="J22" s="25">
        <f>_xll.BDH("SRPT US Equity","CF_DISPOSAL_OF_FIXED_PROD_ASSETS","FQ3 2020","FQ3 2020","Currency=USD","Period=FQ","BEST_FPERIOD_OVERRIDE=FQ","FILING_STATUS=MR","SCALING_FORMAT=MLN","Sort=A","Dates=H","DateFormat=P","Fill=—","Direction=H","UseDPDF=Y")</f>
        <v>0</v>
      </c>
      <c r="K22" s="25">
        <f>_xll.BDH("SRPT US Equity","CF_DISPOSAL_OF_FIXED_PROD_ASSETS","FQ4 2020","FQ4 2020","Currency=USD","Period=FQ","BEST_FPERIOD_OVERRIDE=FQ","FILING_STATUS=MR","SCALING_FORMAT=MLN","Sort=A","Dates=H","DateFormat=P","Fill=—","Direction=H","UseDPDF=Y")</f>
        <v>0</v>
      </c>
      <c r="L22" s="25">
        <f>_xll.BDH("SRPT US Equity","CF_DISPOSAL_OF_FIXED_PROD_ASSETS","FQ1 2021","FQ1 2021","Currency=USD","Period=FQ","BEST_FPERIOD_OVERRIDE=FQ","FILING_STATUS=MR","SCALING_FORMAT=MLN","Sort=A","Dates=H","DateFormat=P","Fill=—","Direction=H","UseDPDF=Y")</f>
        <v>0</v>
      </c>
      <c r="M22" s="25">
        <f>_xll.BDH("SRPT US Equity","CF_DISPOSAL_OF_FIXED_PROD_ASSETS","FQ2 2021","FQ2 2021","Currency=USD","Period=FQ","BEST_FPERIOD_OVERRIDE=FQ","FILING_STATUS=MR","SCALING_FORMAT=MLN","Sort=A","Dates=H","DateFormat=P","Fill=—","Direction=H","UseDPDF=Y")</f>
        <v>0</v>
      </c>
      <c r="N22" s="25">
        <f>_xll.BDH("SRPT US Equity","CF_DISPOSAL_OF_FIXED_PROD_ASSETS","FQ3 2021","FQ3 2021","Currency=USD","Period=FQ","BEST_FPERIOD_OVERRIDE=FQ","FILING_STATUS=MR","SCALING_FORMAT=MLN","Sort=A","Dates=H","DateFormat=P","Fill=—","Direction=H","UseDPDF=Y")</f>
        <v>0</v>
      </c>
      <c r="O22" s="25">
        <f>_xll.BDH("SRPT US Equity","CF_DISPOSAL_OF_FIXED_PROD_ASSETS","FQ4 2021","FQ4 2021","Currency=USD","Period=FQ","BEST_FPERIOD_OVERRIDE=FQ","FILING_STATUS=MR","SCALING_FORMAT=MLN","Sort=A","Dates=H","DateFormat=P","Fill=—","Direction=H","UseDPDF=Y")</f>
        <v>0</v>
      </c>
      <c r="P22" s="25">
        <f>_xll.BDH("SRPT US Equity","CF_DISPOSAL_OF_FIXED_PROD_ASSETS","FQ1 2022","FQ1 2022","Currency=USD","Period=FQ","BEST_FPERIOD_OVERRIDE=FQ","FILING_STATUS=MR","SCALING_FORMAT=MLN","Sort=A","Dates=H","DateFormat=P","Fill=—","Direction=H","UseDPDF=Y")</f>
        <v>0</v>
      </c>
      <c r="Q22" s="25">
        <f>_xll.BDH("SRPT US Equity","CF_DISPOSAL_OF_FIXED_PROD_ASSETS","FQ2 2022","FQ2 2022","Currency=USD","Period=FQ","BEST_FPERIOD_OVERRIDE=FQ","FILING_STATUS=MR","SCALING_FORMAT=MLN","Sort=A","Dates=H","DateFormat=P","Fill=—","Direction=H","UseDPDF=Y")</f>
        <v>0</v>
      </c>
      <c r="R22" s="25">
        <f>_xll.BDH("SRPT US Equity","CF_DISPOSAL_OF_FIXED_PROD_ASSETS","FQ3 2022","FQ3 2022","Currency=USD","Period=FQ","BEST_FPERIOD_OVERRIDE=FQ","FILING_STATUS=MR","SCALING_FORMAT=MLN","Sort=A","Dates=H","DateFormat=P","Fill=—","Direction=H","UseDPDF=Y")</f>
        <v>0</v>
      </c>
      <c r="S22" s="25">
        <f>_xll.BDH("SRPT US Equity","CF_DISPOSAL_OF_FIXED_PROD_ASSETS","FQ4 2022","FQ4 2022","Currency=USD","Period=FQ","BEST_FPERIOD_OVERRIDE=FQ","FILING_STATUS=MR","SCALING_FORMAT=MLN","Sort=A","Dates=H","DateFormat=P","Fill=—","Direction=H","UseDPDF=Y")</f>
        <v>0</v>
      </c>
      <c r="T22" s="25">
        <f>_xll.BDH("SRPT US Equity","CF_DISPOSAL_OF_FIXED_PROD_ASSETS","FQ1 2023","FQ1 2023","Currency=USD","Period=FQ","BEST_FPERIOD_OVERRIDE=FQ","FILING_STATUS=MR","SCALING_FORMAT=MLN","Sort=A","Dates=H","DateFormat=P","Fill=—","Direction=H","UseDPDF=Y")</f>
        <v>0</v>
      </c>
      <c r="U22" s="25">
        <f>_xll.BDH("SRPT US Equity","CF_DISPOSAL_OF_FIXED_PROD_ASSETS","FQ2 2023","FQ2 2023","Currency=USD","Period=FQ","BEST_FPERIOD_OVERRIDE=FQ","FILING_STATUS=MR","SCALING_FORMAT=MLN","Sort=A","Dates=H","DateFormat=P","Fill=—","Direction=H","UseDPDF=Y")</f>
        <v>0</v>
      </c>
      <c r="V22" s="25">
        <f>_xll.BDH("SRPT US Equity","CF_DISPOSAL_OF_FIXED_PROD_ASSETS","FQ3 2023","FQ3 2023","Currency=USD","Period=FQ","BEST_FPERIOD_OVERRIDE=FQ","FILING_STATUS=MR","SCALING_FORMAT=MLN","Sort=A","Dates=H","DateFormat=P","Fill=—","Direction=H","UseDPDF=Y")</f>
        <v>0</v>
      </c>
      <c r="W22" s="25">
        <f>_xll.BDH("SRPT US Equity","CF_DISPOSAL_OF_FIXED_PROD_ASSETS","FQ4 2023","FQ4 2023","Currency=USD","Period=FQ","BEST_FPERIOD_OVERRIDE=FQ","FILING_STATUS=MR","SCALING_FORMAT=MLN","Sort=A","Dates=H","DateFormat=P","Fill=—","Direction=H","UseDPDF=Y")</f>
        <v>0</v>
      </c>
      <c r="X22" s="25">
        <f>_xll.BDH("SRPT US Equity","CF_DISPOSAL_OF_FIXED_PROD_ASSETS","FQ1 2024","FQ1 2024","Currency=USD","Period=FQ","BEST_FPERIOD_OVERRIDE=FQ","FILING_STATUS=MR","SCALING_FORMAT=MLN","Sort=A","Dates=H","DateFormat=P","Fill=—","Direction=H","UseDPDF=Y")</f>
        <v>0</v>
      </c>
      <c r="Y22" s="25">
        <f>_xll.BDH("SRPT US Equity","CF_DISPOSAL_OF_FIXED_PROD_ASSETS","FQ2 2024","FQ2 2024","Currency=USD","Period=FQ","BEST_FPERIOD_OVERRIDE=FQ","FILING_STATUS=MR","SCALING_FORMAT=MLN","Sort=A","Dates=H","DateFormat=P","Fill=—","Direction=H","UseDPDF=Y")</f>
        <v>0</v>
      </c>
      <c r="Z22" s="25">
        <f>_xll.BDH("SRPT US Equity","CF_DISPOSAL_OF_FIXED_PROD_ASSETS","FQ3 2024","FQ3 2024","Currency=USD","Period=FQ","BEST_FPERIOD_OVERRIDE=FQ","FILING_STATUS=MR","SCALING_FORMAT=MLN","Sort=A","Dates=H","DateFormat=P","Fill=—","Direction=H","UseDPDF=Y")</f>
        <v>0</v>
      </c>
      <c r="AA22" s="25">
        <f>_xll.BDH("SRPT US Equity","CF_DISPOSAL_OF_FIXED_PROD_ASSETS","FQ4 2024","FQ4 2024","Currency=USD","Period=FQ","BEST_FPERIOD_OVERRIDE=FQ","FILING_STATUS=MR","SCALING_FORMAT=MLN","Sort=A","Dates=H","DateFormat=P","Fill=—","Direction=H","UseDPDF=Y")</f>
        <v>0</v>
      </c>
    </row>
    <row r="23" spans="1:27" x14ac:dyDescent="0.25">
      <c r="A23" s="11" t="s">
        <v>1204</v>
      </c>
      <c r="B23" s="11" t="s">
        <v>1205</v>
      </c>
      <c r="C23" s="25">
        <f>_xll.BDH("SRPT US Equity","CF_DISPOSAL_OF_INTANGIBLE_ASSETS","FQ4 2018","FQ4 2018","Currency=USD","Period=FQ","BEST_FPERIOD_OVERRIDE=FQ","FILING_STATUS=MR","SCALING_FORMAT=MLN","Sort=A","Dates=H","DateFormat=P","Fill=—","Direction=H","UseDPDF=Y")</f>
        <v>0</v>
      </c>
      <c r="D23" s="25">
        <f>_xll.BDH("SRPT US Equity","CF_DISPOSAL_OF_INTANGIBLE_ASSETS","FQ1 2019","FQ1 2019","Currency=USD","Period=FQ","BEST_FPERIOD_OVERRIDE=FQ","FILING_STATUS=MR","SCALING_FORMAT=MLN","Sort=A","Dates=H","DateFormat=P","Fill=—","Direction=H","UseDPDF=Y")</f>
        <v>0</v>
      </c>
      <c r="E23" s="25">
        <f>_xll.BDH("SRPT US Equity","CF_DISPOSAL_OF_INTANGIBLE_ASSETS","FQ2 2019","FQ2 2019","Currency=USD","Period=FQ","BEST_FPERIOD_OVERRIDE=FQ","FILING_STATUS=MR","SCALING_FORMAT=MLN","Sort=A","Dates=H","DateFormat=P","Fill=—","Direction=H","UseDPDF=Y")</f>
        <v>0</v>
      </c>
      <c r="F23" s="25">
        <f>_xll.BDH("SRPT US Equity","CF_DISPOSAL_OF_INTANGIBLE_ASSETS","FQ3 2019","FQ3 2019","Currency=USD","Period=FQ","BEST_FPERIOD_OVERRIDE=FQ","FILING_STATUS=MR","SCALING_FORMAT=MLN","Sort=A","Dates=H","DateFormat=P","Fill=—","Direction=H","UseDPDF=Y")</f>
        <v>0</v>
      </c>
      <c r="G23" s="25">
        <f>_xll.BDH("SRPT US Equity","CF_DISPOSAL_OF_INTANGIBLE_ASSETS","FQ4 2019","FQ4 2019","Currency=USD","Period=FQ","BEST_FPERIOD_OVERRIDE=FQ","FILING_STATUS=MR","SCALING_FORMAT=MLN","Sort=A","Dates=H","DateFormat=P","Fill=—","Direction=H","UseDPDF=Y")</f>
        <v>0</v>
      </c>
      <c r="H23" s="25">
        <f>_xll.BDH("SRPT US Equity","CF_DISPOSAL_OF_INTANGIBLE_ASSETS","FQ1 2020","FQ1 2020","Currency=USD","Period=FQ","BEST_FPERIOD_OVERRIDE=FQ","FILING_STATUS=MR","SCALING_FORMAT=MLN","Sort=A","Dates=H","DateFormat=P","Fill=—","Direction=H","UseDPDF=Y")</f>
        <v>0</v>
      </c>
      <c r="I23" s="25">
        <f>_xll.BDH("SRPT US Equity","CF_DISPOSAL_OF_INTANGIBLE_ASSETS","FQ2 2020","FQ2 2020","Currency=USD","Period=FQ","BEST_FPERIOD_OVERRIDE=FQ","FILING_STATUS=MR","SCALING_FORMAT=MLN","Sort=A","Dates=H","DateFormat=P","Fill=—","Direction=H","UseDPDF=Y")</f>
        <v>0</v>
      </c>
      <c r="J23" s="25">
        <f>_xll.BDH("SRPT US Equity","CF_DISPOSAL_OF_INTANGIBLE_ASSETS","FQ3 2020","FQ3 2020","Currency=USD","Period=FQ","BEST_FPERIOD_OVERRIDE=FQ","FILING_STATUS=MR","SCALING_FORMAT=MLN","Sort=A","Dates=H","DateFormat=P","Fill=—","Direction=H","UseDPDF=Y")</f>
        <v>0</v>
      </c>
      <c r="K23" s="25">
        <f>_xll.BDH("SRPT US Equity","CF_DISPOSAL_OF_INTANGIBLE_ASSETS","FQ4 2020","FQ4 2020","Currency=USD","Period=FQ","BEST_FPERIOD_OVERRIDE=FQ","FILING_STATUS=MR","SCALING_FORMAT=MLN","Sort=A","Dates=H","DateFormat=P","Fill=—","Direction=H","UseDPDF=Y")</f>
        <v>0</v>
      </c>
      <c r="L23" s="25">
        <f>_xll.BDH("SRPT US Equity","CF_DISPOSAL_OF_INTANGIBLE_ASSETS","FQ1 2021","FQ1 2021","Currency=USD","Period=FQ","BEST_FPERIOD_OVERRIDE=FQ","FILING_STATUS=MR","SCALING_FORMAT=MLN","Sort=A","Dates=H","DateFormat=P","Fill=—","Direction=H","UseDPDF=Y")</f>
        <v>0</v>
      </c>
      <c r="M23" s="25">
        <f>_xll.BDH("SRPT US Equity","CF_DISPOSAL_OF_INTANGIBLE_ASSETS","FQ2 2021","FQ2 2021","Currency=USD","Period=FQ","BEST_FPERIOD_OVERRIDE=FQ","FILING_STATUS=MR","SCALING_FORMAT=MLN","Sort=A","Dates=H","DateFormat=P","Fill=—","Direction=H","UseDPDF=Y")</f>
        <v>0</v>
      </c>
      <c r="N23" s="25">
        <f>_xll.BDH("SRPT US Equity","CF_DISPOSAL_OF_INTANGIBLE_ASSETS","FQ3 2021","FQ3 2021","Currency=USD","Period=FQ","BEST_FPERIOD_OVERRIDE=FQ","FILING_STATUS=MR","SCALING_FORMAT=MLN","Sort=A","Dates=H","DateFormat=P","Fill=—","Direction=H","UseDPDF=Y")</f>
        <v>0</v>
      </c>
      <c r="O23" s="25">
        <f>_xll.BDH("SRPT US Equity","CF_DISPOSAL_OF_INTANGIBLE_ASSETS","FQ4 2021","FQ4 2021","Currency=USD","Period=FQ","BEST_FPERIOD_OVERRIDE=FQ","FILING_STATUS=MR","SCALING_FORMAT=MLN","Sort=A","Dates=H","DateFormat=P","Fill=—","Direction=H","UseDPDF=Y")</f>
        <v>0</v>
      </c>
      <c r="P23" s="25">
        <f>_xll.BDH("SRPT US Equity","CF_DISPOSAL_OF_INTANGIBLE_ASSETS","FQ1 2022","FQ1 2022","Currency=USD","Period=FQ","BEST_FPERIOD_OVERRIDE=FQ","FILING_STATUS=MR","SCALING_FORMAT=MLN","Sort=A","Dates=H","DateFormat=P","Fill=—","Direction=H","UseDPDF=Y")</f>
        <v>0</v>
      </c>
      <c r="Q23" s="25">
        <f>_xll.BDH("SRPT US Equity","CF_DISPOSAL_OF_INTANGIBLE_ASSETS","FQ2 2022","FQ2 2022","Currency=USD","Period=FQ","BEST_FPERIOD_OVERRIDE=FQ","FILING_STATUS=MR","SCALING_FORMAT=MLN","Sort=A","Dates=H","DateFormat=P","Fill=—","Direction=H","UseDPDF=Y")</f>
        <v>0</v>
      </c>
      <c r="R23" s="25">
        <f>_xll.BDH("SRPT US Equity","CF_DISPOSAL_OF_INTANGIBLE_ASSETS","FQ3 2022","FQ3 2022","Currency=USD","Period=FQ","BEST_FPERIOD_OVERRIDE=FQ","FILING_STATUS=MR","SCALING_FORMAT=MLN","Sort=A","Dates=H","DateFormat=P","Fill=—","Direction=H","UseDPDF=Y")</f>
        <v>0</v>
      </c>
      <c r="S23" s="25">
        <f>_xll.BDH("SRPT US Equity","CF_DISPOSAL_OF_INTANGIBLE_ASSETS","FQ4 2022","FQ4 2022","Currency=USD","Period=FQ","BEST_FPERIOD_OVERRIDE=FQ","FILING_STATUS=MR","SCALING_FORMAT=MLN","Sort=A","Dates=H","DateFormat=P","Fill=—","Direction=H","UseDPDF=Y")</f>
        <v>0</v>
      </c>
      <c r="T23" s="25">
        <f>_xll.BDH("SRPT US Equity","CF_DISPOSAL_OF_INTANGIBLE_ASSETS","FQ1 2023","FQ1 2023","Currency=USD","Period=FQ","BEST_FPERIOD_OVERRIDE=FQ","FILING_STATUS=MR","SCALING_FORMAT=MLN","Sort=A","Dates=H","DateFormat=P","Fill=—","Direction=H","UseDPDF=Y")</f>
        <v>0</v>
      </c>
      <c r="U23" s="25">
        <f>_xll.BDH("SRPT US Equity","CF_DISPOSAL_OF_INTANGIBLE_ASSETS","FQ2 2023","FQ2 2023","Currency=USD","Period=FQ","BEST_FPERIOD_OVERRIDE=FQ","FILING_STATUS=MR","SCALING_FORMAT=MLN","Sort=A","Dates=H","DateFormat=P","Fill=—","Direction=H","UseDPDF=Y")</f>
        <v>0</v>
      </c>
      <c r="V23" s="25">
        <f>_xll.BDH("SRPT US Equity","CF_DISPOSAL_OF_INTANGIBLE_ASSETS","FQ3 2023","FQ3 2023","Currency=USD","Period=FQ","BEST_FPERIOD_OVERRIDE=FQ","FILING_STATUS=MR","SCALING_FORMAT=MLN","Sort=A","Dates=H","DateFormat=P","Fill=—","Direction=H","UseDPDF=Y")</f>
        <v>0</v>
      </c>
      <c r="W23" s="25">
        <f>_xll.BDH("SRPT US Equity","CF_DISPOSAL_OF_INTANGIBLE_ASSETS","FQ4 2023","FQ4 2023","Currency=USD","Period=FQ","BEST_FPERIOD_OVERRIDE=FQ","FILING_STATUS=MR","SCALING_FORMAT=MLN","Sort=A","Dates=H","DateFormat=P","Fill=—","Direction=H","UseDPDF=Y")</f>
        <v>0</v>
      </c>
      <c r="X23" s="25">
        <f>_xll.BDH("SRPT US Equity","CF_DISPOSAL_OF_INTANGIBLE_ASSETS","FQ1 2024","FQ1 2024","Currency=USD","Period=FQ","BEST_FPERIOD_OVERRIDE=FQ","FILING_STATUS=MR","SCALING_FORMAT=MLN","Sort=A","Dates=H","DateFormat=P","Fill=—","Direction=H","UseDPDF=Y")</f>
        <v>0</v>
      </c>
      <c r="Y23" s="25">
        <f>_xll.BDH("SRPT US Equity","CF_DISPOSAL_OF_INTANGIBLE_ASSETS","FQ2 2024","FQ2 2024","Currency=USD","Period=FQ","BEST_FPERIOD_OVERRIDE=FQ","FILING_STATUS=MR","SCALING_FORMAT=MLN","Sort=A","Dates=H","DateFormat=P","Fill=—","Direction=H","UseDPDF=Y")</f>
        <v>0</v>
      </c>
      <c r="Z23" s="25">
        <f>_xll.BDH("SRPT US Equity","CF_DISPOSAL_OF_INTANGIBLE_ASSETS","FQ3 2024","FQ3 2024","Currency=USD","Period=FQ","BEST_FPERIOD_OVERRIDE=FQ","FILING_STATUS=MR","SCALING_FORMAT=MLN","Sort=A","Dates=H","DateFormat=P","Fill=—","Direction=H","UseDPDF=Y")</f>
        <v>0</v>
      </c>
      <c r="AA23" s="25">
        <f>_xll.BDH("SRPT US Equity","CF_DISPOSAL_OF_INTANGIBLE_ASSETS","FQ4 2024","FQ4 2024","Currency=USD","Period=FQ","BEST_FPERIOD_OVERRIDE=FQ","FILING_STATUS=MR","SCALING_FORMAT=MLN","Sort=A","Dates=H","DateFormat=P","Fill=—","Direction=H","UseDPDF=Y")</f>
        <v>0</v>
      </c>
    </row>
    <row r="24" spans="1:27" x14ac:dyDescent="0.25">
      <c r="A24" s="10" t="s">
        <v>1206</v>
      </c>
      <c r="B24" s="10" t="s">
        <v>1207</v>
      </c>
      <c r="C24" s="13">
        <f>_xll.BDH("SRPT US Equity","ACQUIS_OF_FIXED_INTANG","FQ4 2018","FQ4 2018","Currency=USD","Period=FQ","BEST_FPERIOD_OVERRIDE=FQ","FILING_STATUS=MR","SCALING_FORMAT=MLN","Sort=A","Dates=H","DateFormat=P","Fill=—","Direction=H","UseDPDF=Y")</f>
        <v>-20.757999999999999</v>
      </c>
      <c r="D24" s="13">
        <f>_xll.BDH("SRPT US Equity","ACQUIS_OF_FIXED_INTANG","FQ1 2019","FQ1 2019","Currency=USD","Period=FQ","BEST_FPERIOD_OVERRIDE=FQ","FILING_STATUS=MR","SCALING_FORMAT=MLN","Sort=A","Dates=H","DateFormat=P","Fill=—","Direction=H","UseDPDF=Y")</f>
        <v>-17.117999999999999</v>
      </c>
      <c r="E24" s="13">
        <f>_xll.BDH("SRPT US Equity","ACQUIS_OF_FIXED_INTANG","FQ2 2019","FQ2 2019","Currency=USD","Period=FQ","BEST_FPERIOD_OVERRIDE=FQ","FILING_STATUS=MR","SCALING_FORMAT=MLN","Sort=A","Dates=H","DateFormat=P","Fill=—","Direction=H","UseDPDF=Y")</f>
        <v>-17.280999999999999</v>
      </c>
      <c r="F24" s="13">
        <f>_xll.BDH("SRPT US Equity","ACQUIS_OF_FIXED_INTANG","FQ3 2019","FQ3 2019","Currency=USD","Period=FQ","BEST_FPERIOD_OVERRIDE=FQ","FILING_STATUS=MR","SCALING_FORMAT=MLN","Sort=A","Dates=H","DateFormat=P","Fill=—","Direction=H","UseDPDF=Y")</f>
        <v>-10.023</v>
      </c>
      <c r="G24" s="13">
        <f>_xll.BDH("SRPT US Equity","ACQUIS_OF_FIXED_INTANG","FQ4 2019","FQ4 2019","Currency=USD","Period=FQ","BEST_FPERIOD_OVERRIDE=FQ","FILING_STATUS=MR","SCALING_FORMAT=MLN","Sort=A","Dates=H","DateFormat=P","Fill=—","Direction=H","UseDPDF=Y")</f>
        <v>-18.291</v>
      </c>
      <c r="H24" s="13">
        <f>_xll.BDH("SRPT US Equity","ACQUIS_OF_FIXED_INTANG","FQ1 2020","FQ1 2020","Currency=USD","Period=FQ","BEST_FPERIOD_OVERRIDE=FQ","FILING_STATUS=MR","SCALING_FORMAT=MLN","Sort=A","Dates=H","DateFormat=P","Fill=—","Direction=H","UseDPDF=Y")</f>
        <v>-10.311999999999999</v>
      </c>
      <c r="I24" s="13">
        <f>_xll.BDH("SRPT US Equity","ACQUIS_OF_FIXED_INTANG","FQ2 2020","FQ2 2020","Currency=USD","Period=FQ","BEST_FPERIOD_OVERRIDE=FQ","FILING_STATUS=MR","SCALING_FORMAT=MLN","Sort=A","Dates=H","DateFormat=P","Fill=—","Direction=H","UseDPDF=Y")</f>
        <v>-19.904</v>
      </c>
      <c r="J24" s="13">
        <f>_xll.BDH("SRPT US Equity","ACQUIS_OF_FIXED_INTANG","FQ3 2020","FQ3 2020","Currency=USD","Period=FQ","BEST_FPERIOD_OVERRIDE=FQ","FILING_STATUS=MR","SCALING_FORMAT=MLN","Sort=A","Dates=H","DateFormat=P","Fill=—","Direction=H","UseDPDF=Y")</f>
        <v>-25.972000000000001</v>
      </c>
      <c r="K24" s="13">
        <f>_xll.BDH("SRPT US Equity","ACQUIS_OF_FIXED_INTANG","FQ4 2020","FQ4 2020","Currency=USD","Period=FQ","BEST_FPERIOD_OVERRIDE=FQ","FILING_STATUS=MR","SCALING_FORMAT=MLN","Sort=A","Dates=H","DateFormat=P","Fill=—","Direction=H","UseDPDF=Y")</f>
        <v>-26.013999999999999</v>
      </c>
      <c r="L24" s="13">
        <f>_xll.BDH("SRPT US Equity","ACQUIS_OF_FIXED_INTANG","FQ1 2021","FQ1 2021","Currency=USD","Period=FQ","BEST_FPERIOD_OVERRIDE=FQ","FILING_STATUS=MR","SCALING_FORMAT=MLN","Sort=A","Dates=H","DateFormat=P","Fill=—","Direction=H","UseDPDF=Y")</f>
        <v>-23.344999999999999</v>
      </c>
      <c r="M24" s="13">
        <f>_xll.BDH("SRPT US Equity","ACQUIS_OF_FIXED_INTANG","FQ2 2021","FQ2 2021","Currency=USD","Period=FQ","BEST_FPERIOD_OVERRIDE=FQ","FILING_STATUS=MR","SCALING_FORMAT=MLN","Sort=A","Dates=H","DateFormat=P","Fill=—","Direction=H","UseDPDF=Y")</f>
        <v>-6.9409999999999998</v>
      </c>
      <c r="N24" s="13">
        <f>_xll.BDH("SRPT US Equity","ACQUIS_OF_FIXED_INTANG","FQ3 2021","FQ3 2021","Currency=USD","Period=FQ","BEST_FPERIOD_OVERRIDE=FQ","FILING_STATUS=MR","SCALING_FORMAT=MLN","Sort=A","Dates=H","DateFormat=P","Fill=—","Direction=H","UseDPDF=Y")</f>
        <v>-9.7360000000000007</v>
      </c>
      <c r="O24" s="13">
        <f>_xll.BDH("SRPT US Equity","ACQUIS_OF_FIXED_INTANG","FQ4 2021","FQ4 2021","Currency=USD","Period=FQ","BEST_FPERIOD_OVERRIDE=FQ","FILING_STATUS=MR","SCALING_FORMAT=MLN","Sort=A","Dates=H","DateFormat=P","Fill=—","Direction=H","UseDPDF=Y")</f>
        <v>-2.206</v>
      </c>
      <c r="P24" s="13">
        <f>_xll.BDH("SRPT US Equity","ACQUIS_OF_FIXED_INTANG","FQ1 2022","FQ1 2022","Currency=USD","Period=FQ","BEST_FPERIOD_OVERRIDE=FQ","FILING_STATUS=MR","SCALING_FORMAT=MLN","Sort=A","Dates=H","DateFormat=P","Fill=—","Direction=H","UseDPDF=Y")</f>
        <v>-5.5510000000000002</v>
      </c>
      <c r="Q24" s="13">
        <f>_xll.BDH("SRPT US Equity","ACQUIS_OF_FIXED_INTANG","FQ2 2022","FQ2 2022","Currency=USD","Period=FQ","BEST_FPERIOD_OVERRIDE=FQ","FILING_STATUS=MR","SCALING_FORMAT=MLN","Sort=A","Dates=H","DateFormat=P","Fill=—","Direction=H","UseDPDF=Y")</f>
        <v>-9.7959999999999994</v>
      </c>
      <c r="R24" s="13">
        <f>_xll.BDH("SRPT US Equity","ACQUIS_OF_FIXED_INTANG","FQ3 2022","FQ3 2022","Currency=USD","Period=FQ","BEST_FPERIOD_OVERRIDE=FQ","FILING_STATUS=MR","SCALING_FORMAT=MLN","Sort=A","Dates=H","DateFormat=P","Fill=—","Direction=H","UseDPDF=Y")</f>
        <v>-8.7379999999999995</v>
      </c>
      <c r="S24" s="13">
        <f>_xll.BDH("SRPT US Equity","ACQUIS_OF_FIXED_INTANG","FQ4 2022","FQ4 2022","Currency=USD","Period=FQ","BEST_FPERIOD_OVERRIDE=FQ","FILING_STATUS=MR","SCALING_FORMAT=MLN","Sort=A","Dates=H","DateFormat=P","Fill=—","Direction=H","UseDPDF=Y")</f>
        <v>-6.7389999999999999</v>
      </c>
      <c r="T24" s="13">
        <f>_xll.BDH("SRPT US Equity","ACQUIS_OF_FIXED_INTANG","FQ1 2023","FQ1 2023","Currency=USD","Period=FQ","BEST_FPERIOD_OVERRIDE=FQ","FILING_STATUS=MR","SCALING_FORMAT=MLN","Sort=A","Dates=H","DateFormat=P","Fill=—","Direction=H","UseDPDF=Y")</f>
        <v>-9.4849999999999994</v>
      </c>
      <c r="U24" s="13">
        <f>_xll.BDH("SRPT US Equity","ACQUIS_OF_FIXED_INTANG","FQ2 2023","FQ2 2023","Currency=USD","Period=FQ","BEST_FPERIOD_OVERRIDE=FQ","FILING_STATUS=MR","SCALING_FORMAT=MLN","Sort=A","Dates=H","DateFormat=P","Fill=—","Direction=H","UseDPDF=Y")</f>
        <v>-17.908999999999999</v>
      </c>
      <c r="V24" s="13">
        <f>_xll.BDH("SRPT US Equity","ACQUIS_OF_FIXED_INTANG","FQ3 2023","FQ3 2023","Currency=USD","Period=FQ","BEST_FPERIOD_OVERRIDE=FQ","FILING_STATUS=MR","SCALING_FORMAT=MLN","Sort=A","Dates=H","DateFormat=P","Fill=—","Direction=H","UseDPDF=Y")</f>
        <v>-40.911999999999999</v>
      </c>
      <c r="W24" s="13">
        <f>_xll.BDH("SRPT US Equity","ACQUIS_OF_FIXED_INTANG","FQ4 2023","FQ4 2023","Currency=USD","Period=FQ","BEST_FPERIOD_OVERRIDE=FQ","FILING_STATUS=MR","SCALING_FORMAT=MLN","Sort=A","Dates=H","DateFormat=P","Fill=—","Direction=H","UseDPDF=Y")</f>
        <v>-19.039000000000001</v>
      </c>
      <c r="X24" s="13">
        <f>_xll.BDH("SRPT US Equity","ACQUIS_OF_FIXED_INTANG","FQ1 2024","FQ1 2024","Currency=USD","Period=FQ","BEST_FPERIOD_OVERRIDE=FQ","FILING_STATUS=MR","SCALING_FORMAT=MLN","Sort=A","Dates=H","DateFormat=P","Fill=—","Direction=H","UseDPDF=Y")</f>
        <v>-42.444000000000003</v>
      </c>
      <c r="Y24" s="13">
        <f>_xll.BDH("SRPT US Equity","ACQUIS_OF_FIXED_INTANG","FQ2 2024","FQ2 2024","Currency=USD","Period=FQ","BEST_FPERIOD_OVERRIDE=FQ","FILING_STATUS=MR","SCALING_FORMAT=MLN","Sort=A","Dates=H","DateFormat=P","Fill=—","Direction=H","UseDPDF=Y")</f>
        <v>-29.167000000000002</v>
      </c>
      <c r="Z24" s="13">
        <f>_xll.BDH("SRPT US Equity","ACQUIS_OF_FIXED_INTANG","FQ3 2024","FQ3 2024","Currency=USD","Period=FQ","BEST_FPERIOD_OVERRIDE=FQ","FILING_STATUS=MR","SCALING_FORMAT=MLN","Sort=A","Dates=H","DateFormat=P","Fill=—","Direction=H","UseDPDF=Y")</f>
        <v>-37.262999999999998</v>
      </c>
      <c r="AA24" s="13">
        <f>_xll.BDH("SRPT US Equity","ACQUIS_OF_FIXED_INTANG","FQ4 2024","FQ4 2024","Currency=USD","Period=FQ","BEST_FPERIOD_OVERRIDE=FQ","FILING_STATUS=MR","SCALING_FORMAT=MLN","Sort=A","Dates=H","DateFormat=P","Fill=—","Direction=H","UseDPDF=Y")</f>
        <v>-38.082000000000001</v>
      </c>
    </row>
    <row r="25" spans="1:27" x14ac:dyDescent="0.25">
      <c r="A25" s="11" t="s">
        <v>1208</v>
      </c>
      <c r="B25" s="11" t="s">
        <v>1209</v>
      </c>
      <c r="C25" s="25">
        <f>_xll.BDH("SRPT US Equity","CF_PURCHASE_OF_FIXED_PROD_ASSETS","FQ4 2018","FQ4 2018","Currency=USD","Period=FQ","BEST_FPERIOD_OVERRIDE=FQ","FILING_STATUS=MR","SCALING_FORMAT=MLN","Sort=A","Dates=H","DateFormat=P","Fill=—","Direction=H","UseDPDF=Y")</f>
        <v>-20.202999999999999</v>
      </c>
      <c r="D25" s="25">
        <f>_xll.BDH("SRPT US Equity","CF_PURCHASE_OF_FIXED_PROD_ASSETS","FQ1 2019","FQ1 2019","Currency=USD","Period=FQ","BEST_FPERIOD_OVERRIDE=FQ","FILING_STATUS=MR","SCALING_FORMAT=MLN","Sort=A","Dates=H","DateFormat=P","Fill=—","Direction=H","UseDPDF=Y")</f>
        <v>-16.263000000000002</v>
      </c>
      <c r="E25" s="25">
        <f>_xll.BDH("SRPT US Equity","CF_PURCHASE_OF_FIXED_PROD_ASSETS","FQ2 2019","FQ2 2019","Currency=USD","Period=FQ","BEST_FPERIOD_OVERRIDE=FQ","FILING_STATUS=MR","SCALING_FORMAT=MLN","Sort=A","Dates=H","DateFormat=P","Fill=—","Direction=H","UseDPDF=Y")</f>
        <v>-16.681999999999999</v>
      </c>
      <c r="F25" s="25">
        <f>_xll.BDH("SRPT US Equity","CF_PURCHASE_OF_FIXED_PROD_ASSETS","FQ3 2019","FQ3 2019","Currency=USD","Period=FQ","BEST_FPERIOD_OVERRIDE=FQ","FILING_STATUS=MR","SCALING_FORMAT=MLN","Sort=A","Dates=H","DateFormat=P","Fill=—","Direction=H","UseDPDF=Y")</f>
        <v>-9.4290000000000003</v>
      </c>
      <c r="G25" s="25">
        <f>_xll.BDH("SRPT US Equity","CF_PURCHASE_OF_FIXED_PROD_ASSETS","FQ4 2019","FQ4 2019","Currency=USD","Period=FQ","BEST_FPERIOD_OVERRIDE=FQ","FILING_STATUS=MR","SCALING_FORMAT=MLN","Sort=A","Dates=H","DateFormat=P","Fill=—","Direction=H","UseDPDF=Y")</f>
        <v>-17.257000000000001</v>
      </c>
      <c r="H25" s="25">
        <f>_xll.BDH("SRPT US Equity","CF_PURCHASE_OF_FIXED_PROD_ASSETS","FQ1 2020","FQ1 2020","Currency=USD","Period=FQ","BEST_FPERIOD_OVERRIDE=FQ","FILING_STATUS=MR","SCALING_FORMAT=MLN","Sort=A","Dates=H","DateFormat=P","Fill=—","Direction=H","UseDPDF=Y")</f>
        <v>-9.1199999999999992</v>
      </c>
      <c r="I25" s="25">
        <f>_xll.BDH("SRPT US Equity","CF_PURCHASE_OF_FIXED_PROD_ASSETS","FQ2 2020","FQ2 2020","Currency=USD","Period=FQ","BEST_FPERIOD_OVERRIDE=FQ","FILING_STATUS=MR","SCALING_FORMAT=MLN","Sort=A","Dates=H","DateFormat=P","Fill=—","Direction=H","UseDPDF=Y")</f>
        <v>-19.169</v>
      </c>
      <c r="J25" s="25">
        <f>_xll.BDH("SRPT US Equity","CF_PURCHASE_OF_FIXED_PROD_ASSETS","FQ3 2020","FQ3 2020","Currency=USD","Period=FQ","BEST_FPERIOD_OVERRIDE=FQ","FILING_STATUS=MR","SCALING_FORMAT=MLN","Sort=A","Dates=H","DateFormat=P","Fill=—","Direction=H","UseDPDF=Y")</f>
        <v>-25.303000000000001</v>
      </c>
      <c r="K25" s="25">
        <f>_xll.BDH("SRPT US Equity","CF_PURCHASE_OF_FIXED_PROD_ASSETS","FQ4 2020","FQ4 2020","Currency=USD","Period=FQ","BEST_FPERIOD_OVERRIDE=FQ","FILING_STATUS=MR","SCALING_FORMAT=MLN","Sort=A","Dates=H","DateFormat=P","Fill=—","Direction=H","UseDPDF=Y")</f>
        <v>-26.013999999999999</v>
      </c>
      <c r="L25" s="25">
        <f>_xll.BDH("SRPT US Equity","CF_PURCHASE_OF_FIXED_PROD_ASSETS","FQ1 2021","FQ1 2021","Currency=USD","Period=FQ","BEST_FPERIOD_OVERRIDE=FQ","FILING_STATUS=MR","SCALING_FORMAT=MLN","Sort=A","Dates=H","DateFormat=P","Fill=—","Direction=H","UseDPDF=Y")</f>
        <v>-21.149000000000001</v>
      </c>
      <c r="M25" s="25">
        <f>_xll.BDH("SRPT US Equity","CF_PURCHASE_OF_FIXED_PROD_ASSETS","FQ2 2021","FQ2 2021","Currency=USD","Period=FQ","BEST_FPERIOD_OVERRIDE=FQ","FILING_STATUS=MR","SCALING_FORMAT=MLN","Sort=A","Dates=H","DateFormat=P","Fill=—","Direction=H","UseDPDF=Y")</f>
        <v>-5.8940000000000001</v>
      </c>
      <c r="N25" s="25">
        <f>_xll.BDH("SRPT US Equity","CF_PURCHASE_OF_FIXED_PROD_ASSETS","FQ3 2021","FQ3 2021","Currency=USD","Period=FQ","BEST_FPERIOD_OVERRIDE=FQ","FILING_STATUS=MR","SCALING_FORMAT=MLN","Sort=A","Dates=H","DateFormat=P","Fill=—","Direction=H","UseDPDF=Y")</f>
        <v>-9.2409999999999997</v>
      </c>
      <c r="O25" s="25">
        <f>_xll.BDH("SRPT US Equity","CF_PURCHASE_OF_FIXED_PROD_ASSETS","FQ4 2021","FQ4 2021","Currency=USD","Period=FQ","BEST_FPERIOD_OVERRIDE=FQ","FILING_STATUS=MR","SCALING_FORMAT=MLN","Sort=A","Dates=H","DateFormat=P","Fill=—","Direction=H","UseDPDF=Y")</f>
        <v>-2.206</v>
      </c>
      <c r="P25" s="25">
        <f>_xll.BDH("SRPT US Equity","CF_PURCHASE_OF_FIXED_PROD_ASSETS","FQ1 2022","FQ1 2022","Currency=USD","Period=FQ","BEST_FPERIOD_OVERRIDE=FQ","FILING_STATUS=MR","SCALING_FORMAT=MLN","Sort=A","Dates=H","DateFormat=P","Fill=—","Direction=H","UseDPDF=Y")</f>
        <v>-5.5510000000000002</v>
      </c>
      <c r="Q25" s="25">
        <f>_xll.BDH("SRPT US Equity","CF_PURCHASE_OF_FIXED_PROD_ASSETS","FQ2 2022","FQ2 2022","Currency=USD","Period=FQ","BEST_FPERIOD_OVERRIDE=FQ","FILING_STATUS=MR","SCALING_FORMAT=MLN","Sort=A","Dates=H","DateFormat=P","Fill=—","Direction=H","UseDPDF=Y")</f>
        <v>-9.0779999999999994</v>
      </c>
      <c r="R25" s="25">
        <f>_xll.BDH("SRPT US Equity","CF_PURCHASE_OF_FIXED_PROD_ASSETS","FQ3 2022","FQ3 2022","Currency=USD","Period=FQ","BEST_FPERIOD_OVERRIDE=FQ","FILING_STATUS=MR","SCALING_FORMAT=MLN","Sort=A","Dates=H","DateFormat=P","Fill=—","Direction=H","UseDPDF=Y")</f>
        <v>-8.2309999999999999</v>
      </c>
      <c r="S25" s="25">
        <f>_xll.BDH("SRPT US Equity","CF_PURCHASE_OF_FIXED_PROD_ASSETS","FQ4 2022","FQ4 2022","Currency=USD","Period=FQ","BEST_FPERIOD_OVERRIDE=FQ","FILING_STATUS=MR","SCALING_FORMAT=MLN","Sort=A","Dates=H","DateFormat=P","Fill=—","Direction=H","UseDPDF=Y")</f>
        <v>-6.7389999999999999</v>
      </c>
      <c r="T25" s="25">
        <f>_xll.BDH("SRPT US Equity","CF_PURCHASE_OF_FIXED_PROD_ASSETS","FQ1 2023","FQ1 2023","Currency=USD","Period=FQ","BEST_FPERIOD_OVERRIDE=FQ","FILING_STATUS=MR","SCALING_FORMAT=MLN","Sort=A","Dates=H","DateFormat=P","Fill=—","Direction=H","UseDPDF=Y")</f>
        <v>-9.4849999999999994</v>
      </c>
      <c r="U25" s="25">
        <f>_xll.BDH("SRPT US Equity","CF_PURCHASE_OF_FIXED_PROD_ASSETS","FQ2 2023","FQ2 2023","Currency=USD","Period=FQ","BEST_FPERIOD_OVERRIDE=FQ","FILING_STATUS=MR","SCALING_FORMAT=MLN","Sort=A","Dates=H","DateFormat=P","Fill=—","Direction=H","UseDPDF=Y")</f>
        <v>-17.908999999999999</v>
      </c>
      <c r="V25" s="25">
        <f>_xll.BDH("SRPT US Equity","CF_PURCHASE_OF_FIXED_PROD_ASSETS","FQ3 2023","FQ3 2023","Currency=USD","Period=FQ","BEST_FPERIOD_OVERRIDE=FQ","FILING_STATUS=MR","SCALING_FORMAT=MLN","Sort=A","Dates=H","DateFormat=P","Fill=—","Direction=H","UseDPDF=Y")</f>
        <v>-29.672999999999998</v>
      </c>
      <c r="W25" s="25">
        <f>_xll.BDH("SRPT US Equity","CF_PURCHASE_OF_FIXED_PROD_ASSETS","FQ4 2023","FQ4 2023","Currency=USD","Period=FQ","BEST_FPERIOD_OVERRIDE=FQ","FILING_STATUS=MR","SCALING_FORMAT=MLN","Sort=A","Dates=H","DateFormat=P","Fill=—","Direction=H","UseDPDF=Y")</f>
        <v>-19.039000000000001</v>
      </c>
      <c r="X25" s="25">
        <f>_xll.BDH("SRPT US Equity","CF_PURCHASE_OF_FIXED_PROD_ASSETS","FQ1 2024","FQ1 2024","Currency=USD","Period=FQ","BEST_FPERIOD_OVERRIDE=FQ","FILING_STATUS=MR","SCALING_FORMAT=MLN","Sort=A","Dates=H","DateFormat=P","Fill=—","Direction=H","UseDPDF=Y")</f>
        <v>-32.444000000000003</v>
      </c>
      <c r="Y25" s="25">
        <f>_xll.BDH("SRPT US Equity","CF_PURCHASE_OF_FIXED_PROD_ASSETS","FQ2 2024","FQ2 2024","Currency=USD","Period=FQ","BEST_FPERIOD_OVERRIDE=FQ","FILING_STATUS=MR","SCALING_FORMAT=MLN","Sort=A","Dates=H","DateFormat=P","Fill=—","Direction=H","UseDPDF=Y")</f>
        <v>-29.167000000000002</v>
      </c>
      <c r="Z25" s="25">
        <f>_xll.BDH("SRPT US Equity","CF_PURCHASE_OF_FIXED_PROD_ASSETS","FQ3 2024","FQ3 2024","Currency=USD","Period=FQ","BEST_FPERIOD_OVERRIDE=FQ","FILING_STATUS=MR","SCALING_FORMAT=MLN","Sort=A","Dates=H","DateFormat=P","Fill=—","Direction=H","UseDPDF=Y")</f>
        <v>-37.262999999999998</v>
      </c>
      <c r="AA25" s="25">
        <f>_xll.BDH("SRPT US Equity","CF_PURCHASE_OF_FIXED_PROD_ASSETS","FQ4 2024","FQ4 2024","Currency=USD","Period=FQ","BEST_FPERIOD_OVERRIDE=FQ","FILING_STATUS=MR","SCALING_FORMAT=MLN","Sort=A","Dates=H","DateFormat=P","Fill=—","Direction=H","UseDPDF=Y")</f>
        <v>-38.082000000000001</v>
      </c>
    </row>
    <row r="26" spans="1:27" x14ac:dyDescent="0.25">
      <c r="A26" s="11" t="s">
        <v>1210</v>
      </c>
      <c r="B26" s="11" t="s">
        <v>1211</v>
      </c>
      <c r="C26" s="25">
        <f>_xll.BDH("SRPT US Equity","CF_ACQUISITION_OF_INTANG_ASSETS","FQ4 2018","FQ4 2018","Currency=USD","Period=FQ","BEST_FPERIOD_OVERRIDE=FQ","FILING_STATUS=MR","SCALING_FORMAT=MLN","Sort=A","Dates=H","DateFormat=P","Fill=—","Direction=H","UseDPDF=Y")</f>
        <v>-0.55500000000000005</v>
      </c>
      <c r="D26" s="25">
        <f>_xll.BDH("SRPT US Equity","CF_ACQUISITION_OF_INTANG_ASSETS","FQ1 2019","FQ1 2019","Currency=USD","Period=FQ","BEST_FPERIOD_OVERRIDE=FQ","FILING_STATUS=MR","SCALING_FORMAT=MLN","Sort=A","Dates=H","DateFormat=P","Fill=—","Direction=H","UseDPDF=Y")</f>
        <v>-0.85499999999999998</v>
      </c>
      <c r="E26" s="25">
        <f>_xll.BDH("SRPT US Equity","CF_ACQUISITION_OF_INTANG_ASSETS","FQ2 2019","FQ2 2019","Currency=USD","Period=FQ","BEST_FPERIOD_OVERRIDE=FQ","FILING_STATUS=MR","SCALING_FORMAT=MLN","Sort=A","Dates=H","DateFormat=P","Fill=—","Direction=H","UseDPDF=Y")</f>
        <v>-0.59899999999999998</v>
      </c>
      <c r="F26" s="25">
        <f>_xll.BDH("SRPT US Equity","CF_ACQUISITION_OF_INTANG_ASSETS","FQ3 2019","FQ3 2019","Currency=USD","Period=FQ","BEST_FPERIOD_OVERRIDE=FQ","FILING_STATUS=MR","SCALING_FORMAT=MLN","Sort=A","Dates=H","DateFormat=P","Fill=—","Direction=H","UseDPDF=Y")</f>
        <v>-0.59399999999999997</v>
      </c>
      <c r="G26" s="25">
        <f>_xll.BDH("SRPT US Equity","CF_ACQUISITION_OF_INTANG_ASSETS","FQ4 2019","FQ4 2019","Currency=USD","Period=FQ","BEST_FPERIOD_OVERRIDE=FQ","FILING_STATUS=MR","SCALING_FORMAT=MLN","Sort=A","Dates=H","DateFormat=P","Fill=—","Direction=H","UseDPDF=Y")</f>
        <v>-1.034</v>
      </c>
      <c r="H26" s="25">
        <f>_xll.BDH("SRPT US Equity","CF_ACQUISITION_OF_INTANG_ASSETS","FQ1 2020","FQ1 2020","Currency=USD","Period=FQ","BEST_FPERIOD_OVERRIDE=FQ","FILING_STATUS=MR","SCALING_FORMAT=MLN","Sort=A","Dates=H","DateFormat=P","Fill=—","Direction=H","UseDPDF=Y")</f>
        <v>-1.1919999999999999</v>
      </c>
      <c r="I26" s="25">
        <f>_xll.BDH("SRPT US Equity","CF_ACQUISITION_OF_INTANG_ASSETS","FQ2 2020","FQ2 2020","Currency=USD","Period=FQ","BEST_FPERIOD_OVERRIDE=FQ","FILING_STATUS=MR","SCALING_FORMAT=MLN","Sort=A","Dates=H","DateFormat=P","Fill=—","Direction=H","UseDPDF=Y")</f>
        <v>-0.73499999999999999</v>
      </c>
      <c r="J26" s="25">
        <f>_xll.BDH("SRPT US Equity","CF_ACQUISITION_OF_INTANG_ASSETS","FQ3 2020","FQ3 2020","Currency=USD","Period=FQ","BEST_FPERIOD_OVERRIDE=FQ","FILING_STATUS=MR","SCALING_FORMAT=MLN","Sort=A","Dates=H","DateFormat=P","Fill=—","Direction=H","UseDPDF=Y")</f>
        <v>-0.66900000000000004</v>
      </c>
      <c r="K26" s="25">
        <f>_xll.BDH("SRPT US Equity","CF_ACQUISITION_OF_INTANG_ASSETS","FQ4 2020","FQ4 2020","Currency=USD","Period=FQ","BEST_FPERIOD_OVERRIDE=FQ","FILING_STATUS=MR","SCALING_FORMAT=MLN","Sort=A","Dates=H","DateFormat=P","Fill=—","Direction=H","UseDPDF=Y")</f>
        <v>0</v>
      </c>
      <c r="L26" s="25">
        <f>_xll.BDH("SRPT US Equity","CF_ACQUISITION_OF_INTANG_ASSETS","FQ1 2021","FQ1 2021","Currency=USD","Period=FQ","BEST_FPERIOD_OVERRIDE=FQ","FILING_STATUS=MR","SCALING_FORMAT=MLN","Sort=A","Dates=H","DateFormat=P","Fill=—","Direction=H","UseDPDF=Y")</f>
        <v>-2.1960000000000002</v>
      </c>
      <c r="M26" s="25">
        <f>_xll.BDH("SRPT US Equity","CF_ACQUISITION_OF_INTANG_ASSETS","FQ2 2021","FQ2 2021","Currency=USD","Period=FQ","BEST_FPERIOD_OVERRIDE=FQ","FILING_STATUS=MR","SCALING_FORMAT=MLN","Sort=A","Dates=H","DateFormat=P","Fill=—","Direction=H","UseDPDF=Y")</f>
        <v>-1.0469999999999999</v>
      </c>
      <c r="N26" s="25">
        <f>_xll.BDH("SRPT US Equity","CF_ACQUISITION_OF_INTANG_ASSETS","FQ3 2021","FQ3 2021","Currency=USD","Period=FQ","BEST_FPERIOD_OVERRIDE=FQ","FILING_STATUS=MR","SCALING_FORMAT=MLN","Sort=A","Dates=H","DateFormat=P","Fill=—","Direction=H","UseDPDF=Y")</f>
        <v>-0.495</v>
      </c>
      <c r="O26" s="25">
        <f>_xll.BDH("SRPT US Equity","CF_ACQUISITION_OF_INTANG_ASSETS","FQ4 2021","FQ4 2021","Currency=USD","Period=FQ","BEST_FPERIOD_OVERRIDE=FQ","FILING_STATUS=MR","SCALING_FORMAT=MLN","Sort=A","Dates=H","DateFormat=P","Fill=—","Direction=H","UseDPDF=Y")</f>
        <v>0</v>
      </c>
      <c r="P26" s="25">
        <f>_xll.BDH("SRPT US Equity","CF_ACQUISITION_OF_INTANG_ASSETS","FQ1 2022","FQ1 2022","Currency=USD","Period=FQ","BEST_FPERIOD_OVERRIDE=FQ","FILING_STATUS=MR","SCALING_FORMAT=MLN","Sort=A","Dates=H","DateFormat=P","Fill=—","Direction=H","UseDPDF=Y")</f>
        <v>0</v>
      </c>
      <c r="Q26" s="25">
        <f>_xll.BDH("SRPT US Equity","CF_ACQUISITION_OF_INTANG_ASSETS","FQ2 2022","FQ2 2022","Currency=USD","Period=FQ","BEST_FPERIOD_OVERRIDE=FQ","FILING_STATUS=MR","SCALING_FORMAT=MLN","Sort=A","Dates=H","DateFormat=P","Fill=—","Direction=H","UseDPDF=Y")</f>
        <v>-0.71799999999999997</v>
      </c>
      <c r="R26" s="25">
        <f>_xll.BDH("SRPT US Equity","CF_ACQUISITION_OF_INTANG_ASSETS","FQ3 2022","FQ3 2022","Currency=USD","Period=FQ","BEST_FPERIOD_OVERRIDE=FQ","FILING_STATUS=MR","SCALING_FORMAT=MLN","Sort=A","Dates=H","DateFormat=P","Fill=—","Direction=H","UseDPDF=Y")</f>
        <v>-0.50700000000000001</v>
      </c>
      <c r="S26" s="25">
        <f>_xll.BDH("SRPT US Equity","CF_ACQUISITION_OF_INTANG_ASSETS","FQ4 2022","FQ4 2022","Currency=USD","Period=FQ","BEST_FPERIOD_OVERRIDE=FQ","FILING_STATUS=MR","SCALING_FORMAT=MLN","Sort=A","Dates=H","DateFormat=P","Fill=—","Direction=H","UseDPDF=Y")</f>
        <v>0</v>
      </c>
      <c r="T26" s="25">
        <f>_xll.BDH("SRPT US Equity","CF_ACQUISITION_OF_INTANG_ASSETS","FQ1 2023","FQ1 2023","Currency=USD","Period=FQ","BEST_FPERIOD_OVERRIDE=FQ","FILING_STATUS=MR","SCALING_FORMAT=MLN","Sort=A","Dates=H","DateFormat=P","Fill=—","Direction=H","UseDPDF=Y")</f>
        <v>0</v>
      </c>
      <c r="U26" s="25">
        <f>_xll.BDH("SRPT US Equity","CF_ACQUISITION_OF_INTANG_ASSETS","FQ2 2023","FQ2 2023","Currency=USD","Period=FQ","BEST_FPERIOD_OVERRIDE=FQ","FILING_STATUS=MR","SCALING_FORMAT=MLN","Sort=A","Dates=H","DateFormat=P","Fill=—","Direction=H","UseDPDF=Y")</f>
        <v>0</v>
      </c>
      <c r="V26" s="25">
        <f>_xll.BDH("SRPT US Equity","CF_ACQUISITION_OF_INTANG_ASSETS","FQ3 2023","FQ3 2023","Currency=USD","Period=FQ","BEST_FPERIOD_OVERRIDE=FQ","FILING_STATUS=MR","SCALING_FORMAT=MLN","Sort=A","Dates=H","DateFormat=P","Fill=—","Direction=H","UseDPDF=Y")</f>
        <v>-11.239000000000001</v>
      </c>
      <c r="W26" s="25">
        <f>_xll.BDH("SRPT US Equity","CF_ACQUISITION_OF_INTANG_ASSETS","FQ4 2023","FQ4 2023","Currency=USD","Period=FQ","BEST_FPERIOD_OVERRIDE=FQ","FILING_STATUS=MR","SCALING_FORMAT=MLN","Sort=A","Dates=H","DateFormat=P","Fill=—","Direction=H","UseDPDF=Y")</f>
        <v>0</v>
      </c>
      <c r="X26" s="25">
        <f>_xll.BDH("SRPT US Equity","CF_ACQUISITION_OF_INTANG_ASSETS","FQ1 2024","FQ1 2024","Currency=USD","Period=FQ","BEST_FPERIOD_OVERRIDE=FQ","FILING_STATUS=MR","SCALING_FORMAT=MLN","Sort=A","Dates=H","DateFormat=P","Fill=—","Direction=H","UseDPDF=Y")</f>
        <v>-10</v>
      </c>
      <c r="Y26" s="25">
        <f>_xll.BDH("SRPT US Equity","CF_ACQUISITION_OF_INTANG_ASSETS","FQ2 2024","FQ2 2024","Currency=USD","Period=FQ","BEST_FPERIOD_OVERRIDE=FQ","FILING_STATUS=MR","SCALING_FORMAT=MLN","Sort=A","Dates=H","DateFormat=P","Fill=—","Direction=H","UseDPDF=Y")</f>
        <v>0</v>
      </c>
      <c r="Z26" s="25">
        <f>_xll.BDH("SRPT US Equity","CF_ACQUISITION_OF_INTANG_ASSETS","FQ3 2024","FQ3 2024","Currency=USD","Period=FQ","BEST_FPERIOD_OVERRIDE=FQ","FILING_STATUS=MR","SCALING_FORMAT=MLN","Sort=A","Dates=H","DateFormat=P","Fill=—","Direction=H","UseDPDF=Y")</f>
        <v>0</v>
      </c>
      <c r="AA26" s="25">
        <f>_xll.BDH("SRPT US Equity","CF_ACQUISITION_OF_INTANG_ASSETS","FQ4 2024","FQ4 2024","Currency=USD","Period=FQ","BEST_FPERIOD_OVERRIDE=FQ","FILING_STATUS=MR","SCALING_FORMAT=MLN","Sort=A","Dates=H","DateFormat=P","Fill=—","Direction=H","UseDPDF=Y")</f>
        <v>0</v>
      </c>
    </row>
    <row r="27" spans="1:27" x14ac:dyDescent="0.25">
      <c r="A27" s="10" t="s">
        <v>1212</v>
      </c>
      <c r="B27" s="10" t="s">
        <v>1213</v>
      </c>
      <c r="C27" s="13">
        <f>_xll.BDH("SRPT US Equity","NET_CHG_IN_LT_INVEST_DETAILED","FQ4 2018","FQ4 2018","Currency=USD","Period=FQ","BEST_FPERIOD_OVERRIDE=FQ","FILING_STATUS=MR","SCALING_FORMAT=MLN","Sort=A","Dates=H","DateFormat=P","Fill=—","Direction=H","UseDPDF=Y")</f>
        <v>-0.35299999999999998</v>
      </c>
      <c r="D27" s="13">
        <f>_xll.BDH("SRPT US Equity","NET_CHG_IN_LT_INVEST_DETAILED","FQ1 2019","FQ1 2019","Currency=USD","Period=FQ","BEST_FPERIOD_OVERRIDE=FQ","FILING_STATUS=MR","SCALING_FORMAT=MLN","Sort=A","Dates=H","DateFormat=P","Fill=—","Direction=H","UseDPDF=Y")</f>
        <v>0</v>
      </c>
      <c r="E27" s="13">
        <f>_xll.BDH("SRPT US Equity","NET_CHG_IN_LT_INVEST_DETAILED","FQ2 2019","FQ2 2019","Currency=USD","Period=FQ","BEST_FPERIOD_OVERRIDE=FQ","FILING_STATUS=MR","SCALING_FORMAT=MLN","Sort=A","Dates=H","DateFormat=P","Fill=—","Direction=H","UseDPDF=Y")</f>
        <v>0</v>
      </c>
      <c r="F27" s="13">
        <f>_xll.BDH("SRPT US Equity","NET_CHG_IN_LT_INVEST_DETAILED","FQ3 2019","FQ3 2019","Currency=USD","Period=FQ","BEST_FPERIOD_OVERRIDE=FQ","FILING_STATUS=MR","SCALING_FORMAT=MLN","Sort=A","Dates=H","DateFormat=P","Fill=—","Direction=H","UseDPDF=Y")</f>
        <v>0</v>
      </c>
      <c r="G27" s="13">
        <f>_xll.BDH("SRPT US Equity","NET_CHG_IN_LT_INVEST_DETAILED","FQ4 2019","FQ4 2019","Currency=USD","Period=FQ","BEST_FPERIOD_OVERRIDE=FQ","FILING_STATUS=MR","SCALING_FORMAT=MLN","Sort=A","Dates=H","DateFormat=P","Fill=—","Direction=H","UseDPDF=Y")</f>
        <v>0</v>
      </c>
      <c r="H27" s="13">
        <f>_xll.BDH("SRPT US Equity","NET_CHG_IN_LT_INVEST_DETAILED","FQ1 2020","FQ1 2020","Currency=USD","Period=FQ","BEST_FPERIOD_OVERRIDE=FQ","FILING_STATUS=MR","SCALING_FORMAT=MLN","Sort=A","Dates=H","DateFormat=P","Fill=—","Direction=H","UseDPDF=Y")</f>
        <v>0</v>
      </c>
      <c r="I27" s="13">
        <f>_xll.BDH("SRPT US Equity","NET_CHG_IN_LT_INVEST_DETAILED","FQ2 2020","FQ2 2020","Currency=USD","Period=FQ","BEST_FPERIOD_OVERRIDE=FQ","FILING_STATUS=MR","SCALING_FORMAT=MLN","Sort=A","Dates=H","DateFormat=P","Fill=—","Direction=H","UseDPDF=Y")</f>
        <v>0</v>
      </c>
      <c r="J27" s="13">
        <f>_xll.BDH("SRPT US Equity","NET_CHG_IN_LT_INVEST_DETAILED","FQ3 2020","FQ3 2020","Currency=USD","Period=FQ","BEST_FPERIOD_OVERRIDE=FQ","FILING_STATUS=MR","SCALING_FORMAT=MLN","Sort=A","Dates=H","DateFormat=P","Fill=—","Direction=H","UseDPDF=Y")</f>
        <v>0</v>
      </c>
      <c r="K27" s="13">
        <f>_xll.BDH("SRPT US Equity","NET_CHG_IN_LT_INVEST_DETAILED","FQ4 2020","FQ4 2020","Currency=USD","Period=FQ","BEST_FPERIOD_OVERRIDE=FQ","FILING_STATUS=MR","SCALING_FORMAT=MLN","Sort=A","Dates=H","DateFormat=P","Fill=—","Direction=H","UseDPDF=Y")</f>
        <v>0</v>
      </c>
      <c r="L27" s="13">
        <f>_xll.BDH("SRPT US Equity","NET_CHG_IN_LT_INVEST_DETAILED","FQ1 2021","FQ1 2021","Currency=USD","Period=FQ","BEST_FPERIOD_OVERRIDE=FQ","FILING_STATUS=MR","SCALING_FORMAT=MLN","Sort=A","Dates=H","DateFormat=P","Fill=—","Direction=H","UseDPDF=Y")</f>
        <v>0</v>
      </c>
      <c r="M27" s="13">
        <f>_xll.BDH("SRPT US Equity","NET_CHG_IN_LT_INVEST_DETAILED","FQ2 2021","FQ2 2021","Currency=USD","Period=FQ","BEST_FPERIOD_OVERRIDE=FQ","FILING_STATUS=MR","SCALING_FORMAT=MLN","Sort=A","Dates=H","DateFormat=P","Fill=—","Direction=H","UseDPDF=Y")</f>
        <v>0</v>
      </c>
      <c r="N27" s="13">
        <f>_xll.BDH("SRPT US Equity","NET_CHG_IN_LT_INVEST_DETAILED","FQ3 2021","FQ3 2021","Currency=USD","Period=FQ","BEST_FPERIOD_OVERRIDE=FQ","FILING_STATUS=MR","SCALING_FORMAT=MLN","Sort=A","Dates=H","DateFormat=P","Fill=—","Direction=H","UseDPDF=Y")</f>
        <v>0</v>
      </c>
      <c r="O27" s="13">
        <f>_xll.BDH("SRPT US Equity","NET_CHG_IN_LT_INVEST_DETAILED","FQ4 2021","FQ4 2021","Currency=USD","Period=FQ","BEST_FPERIOD_OVERRIDE=FQ","FILING_STATUS=MR","SCALING_FORMAT=MLN","Sort=A","Dates=H","DateFormat=P","Fill=—","Direction=H","UseDPDF=Y")</f>
        <v>0</v>
      </c>
      <c r="P27" s="13">
        <f>_xll.BDH("SRPT US Equity","NET_CHG_IN_LT_INVEST_DETAILED","FQ1 2022","FQ1 2022","Currency=USD","Period=FQ","BEST_FPERIOD_OVERRIDE=FQ","FILING_STATUS=MR","SCALING_FORMAT=MLN","Sort=A","Dates=H","DateFormat=P","Fill=—","Direction=H","UseDPDF=Y")</f>
        <v>0</v>
      </c>
      <c r="Q27" s="13">
        <f>_xll.BDH("SRPT US Equity","NET_CHG_IN_LT_INVEST_DETAILED","FQ2 2022","FQ2 2022","Currency=USD","Period=FQ","BEST_FPERIOD_OVERRIDE=FQ","FILING_STATUS=MR","SCALING_FORMAT=MLN","Sort=A","Dates=H","DateFormat=P","Fill=—","Direction=H","UseDPDF=Y")</f>
        <v>0</v>
      </c>
      <c r="R27" s="13">
        <f>_xll.BDH("SRPT US Equity","NET_CHG_IN_LT_INVEST_DETAILED","FQ3 2022","FQ3 2022","Currency=USD","Period=FQ","BEST_FPERIOD_OVERRIDE=FQ","FILING_STATUS=MR","SCALING_FORMAT=MLN","Sort=A","Dates=H","DateFormat=P","Fill=—","Direction=H","UseDPDF=Y")</f>
        <v>0</v>
      </c>
      <c r="S27" s="13">
        <f>_xll.BDH("SRPT US Equity","NET_CHG_IN_LT_INVEST_DETAILED","FQ4 2022","FQ4 2022","Currency=USD","Period=FQ","BEST_FPERIOD_OVERRIDE=FQ","FILING_STATUS=MR","SCALING_FORMAT=MLN","Sort=A","Dates=H","DateFormat=P","Fill=—","Direction=H","UseDPDF=Y")</f>
        <v>0</v>
      </c>
      <c r="T27" s="13">
        <f>_xll.BDH("SRPT US Equity","NET_CHG_IN_LT_INVEST_DETAILED","FQ1 2023","FQ1 2023","Currency=USD","Period=FQ","BEST_FPERIOD_OVERRIDE=FQ","FILING_STATUS=MR","SCALING_FORMAT=MLN","Sort=A","Dates=H","DateFormat=P","Fill=—","Direction=H","UseDPDF=Y")</f>
        <v>0</v>
      </c>
      <c r="U27" s="13">
        <f>_xll.BDH("SRPT US Equity","NET_CHG_IN_LT_INVEST_DETAILED","FQ2 2023","FQ2 2023","Currency=USD","Period=FQ","BEST_FPERIOD_OVERRIDE=FQ","FILING_STATUS=MR","SCALING_FORMAT=MLN","Sort=A","Dates=H","DateFormat=P","Fill=—","Direction=H","UseDPDF=Y")</f>
        <v>0</v>
      </c>
      <c r="V27" s="13">
        <f>_xll.BDH("SRPT US Equity","NET_CHG_IN_LT_INVEST_DETAILED","FQ3 2023","FQ3 2023","Currency=USD","Period=FQ","BEST_FPERIOD_OVERRIDE=FQ","FILING_STATUS=MR","SCALING_FORMAT=MLN","Sort=A","Dates=H","DateFormat=P","Fill=—","Direction=H","UseDPDF=Y")</f>
        <v>0</v>
      </c>
      <c r="W27" s="13">
        <f>_xll.BDH("SRPT US Equity","NET_CHG_IN_LT_INVEST_DETAILED","FQ4 2023","FQ4 2023","Currency=USD","Period=FQ","BEST_FPERIOD_OVERRIDE=FQ","FILING_STATUS=MR","SCALING_FORMAT=MLN","Sort=A","Dates=H","DateFormat=P","Fill=—","Direction=H","UseDPDF=Y")</f>
        <v>0</v>
      </c>
      <c r="X27" s="13">
        <f>_xll.BDH("SRPT US Equity","NET_CHG_IN_LT_INVEST_DETAILED","FQ1 2024","FQ1 2024","Currency=USD","Period=FQ","BEST_FPERIOD_OVERRIDE=FQ","FILING_STATUS=MR","SCALING_FORMAT=MLN","Sort=A","Dates=H","DateFormat=P","Fill=—","Direction=H","UseDPDF=Y")</f>
        <v>0</v>
      </c>
      <c r="Y27" s="13">
        <f>_xll.BDH("SRPT US Equity","NET_CHG_IN_LT_INVEST_DETAILED","FQ2 2024","FQ2 2024","Currency=USD","Period=FQ","BEST_FPERIOD_OVERRIDE=FQ","FILING_STATUS=MR","SCALING_FORMAT=MLN","Sort=A","Dates=H","DateFormat=P","Fill=—","Direction=H","UseDPDF=Y")</f>
        <v>0</v>
      </c>
      <c r="Z27" s="13">
        <f>_xll.BDH("SRPT US Equity","NET_CHG_IN_LT_INVEST_DETAILED","FQ3 2024","FQ3 2024","Currency=USD","Period=FQ","BEST_FPERIOD_OVERRIDE=FQ","FILING_STATUS=MR","SCALING_FORMAT=MLN","Sort=A","Dates=H","DateFormat=P","Fill=—","Direction=H","UseDPDF=Y")</f>
        <v>0</v>
      </c>
      <c r="AA27" s="13">
        <f>_xll.BDH("SRPT US Equity","NET_CHG_IN_LT_INVEST_DETAILED","FQ4 2024","FQ4 2024","Currency=USD","Period=FQ","BEST_FPERIOD_OVERRIDE=FQ","FILING_STATUS=MR","SCALING_FORMAT=MLN","Sort=A","Dates=H","DateFormat=P","Fill=—","Direction=H","UseDPDF=Y")</f>
        <v>0</v>
      </c>
    </row>
    <row r="28" spans="1:27" x14ac:dyDescent="0.25">
      <c r="A28" s="10" t="s">
        <v>1214</v>
      </c>
      <c r="B28" s="10" t="s">
        <v>1215</v>
      </c>
      <c r="C28" s="13">
        <f>_xll.BDH("SRPT US Equity","CF_DECR_INVEST","FQ4 2018","FQ4 2018","Currency=USD","Period=FQ","BEST_FPERIOD_OVERRIDE=FQ","FILING_STATUS=MR","SCALING_FORMAT=MLN","Sort=A","Dates=H","DateFormat=P","Fill=—","Direction=H","UseDPDF=Y")</f>
        <v>0</v>
      </c>
      <c r="D28" s="13">
        <f>_xll.BDH("SRPT US Equity","CF_DECR_INVEST","FQ1 2019","FQ1 2019","Currency=USD","Period=FQ","BEST_FPERIOD_OVERRIDE=FQ","FILING_STATUS=MR","SCALING_FORMAT=MLN","Sort=A","Dates=H","DateFormat=P","Fill=—","Direction=H","UseDPDF=Y")</f>
        <v>0</v>
      </c>
      <c r="E28" s="13">
        <f>_xll.BDH("SRPT US Equity","CF_DECR_INVEST","FQ2 2019","FQ2 2019","Currency=USD","Period=FQ","BEST_FPERIOD_OVERRIDE=FQ","FILING_STATUS=MR","SCALING_FORMAT=MLN","Sort=A","Dates=H","DateFormat=P","Fill=—","Direction=H","UseDPDF=Y")</f>
        <v>0</v>
      </c>
      <c r="F28" s="13">
        <f>_xll.BDH("SRPT US Equity","CF_DECR_INVEST","FQ3 2019","FQ3 2019","Currency=USD","Period=FQ","BEST_FPERIOD_OVERRIDE=FQ","FILING_STATUS=MR","SCALING_FORMAT=MLN","Sort=A","Dates=H","DateFormat=P","Fill=—","Direction=H","UseDPDF=Y")</f>
        <v>0</v>
      </c>
      <c r="G28" s="13">
        <f>_xll.BDH("SRPT US Equity","CF_DECR_INVEST","FQ4 2019","FQ4 2019","Currency=USD","Period=FQ","BEST_FPERIOD_OVERRIDE=FQ","FILING_STATUS=MR","SCALING_FORMAT=MLN","Sort=A","Dates=H","DateFormat=P","Fill=—","Direction=H","UseDPDF=Y")</f>
        <v>0</v>
      </c>
      <c r="H28" s="13">
        <f>_xll.BDH("SRPT US Equity","CF_DECR_INVEST","FQ1 2020","FQ1 2020","Currency=USD","Period=FQ","BEST_FPERIOD_OVERRIDE=FQ","FILING_STATUS=MR","SCALING_FORMAT=MLN","Sort=A","Dates=H","DateFormat=P","Fill=—","Direction=H","UseDPDF=Y")</f>
        <v>0</v>
      </c>
      <c r="I28" s="13">
        <f>_xll.BDH("SRPT US Equity","CF_DECR_INVEST","FQ2 2020","FQ2 2020","Currency=USD","Period=FQ","BEST_FPERIOD_OVERRIDE=FQ","FILING_STATUS=MR","SCALING_FORMAT=MLN","Sort=A","Dates=H","DateFormat=P","Fill=—","Direction=H","UseDPDF=Y")</f>
        <v>0</v>
      </c>
      <c r="J28" s="13">
        <f>_xll.BDH("SRPT US Equity","CF_DECR_INVEST","FQ3 2020","FQ3 2020","Currency=USD","Period=FQ","BEST_FPERIOD_OVERRIDE=FQ","FILING_STATUS=MR","SCALING_FORMAT=MLN","Sort=A","Dates=H","DateFormat=P","Fill=—","Direction=H","UseDPDF=Y")</f>
        <v>0</v>
      </c>
      <c r="K28" s="13">
        <f>_xll.BDH("SRPT US Equity","CF_DECR_INVEST","FQ4 2020","FQ4 2020","Currency=USD","Period=FQ","BEST_FPERIOD_OVERRIDE=FQ","FILING_STATUS=MR","SCALING_FORMAT=MLN","Sort=A","Dates=H","DateFormat=P","Fill=—","Direction=H","UseDPDF=Y")</f>
        <v>0</v>
      </c>
      <c r="L28" s="13">
        <f>_xll.BDH("SRPT US Equity","CF_DECR_INVEST","FQ1 2021","FQ1 2021","Currency=USD","Period=FQ","BEST_FPERIOD_OVERRIDE=FQ","FILING_STATUS=MR","SCALING_FORMAT=MLN","Sort=A","Dates=H","DateFormat=P","Fill=—","Direction=H","UseDPDF=Y")</f>
        <v>0</v>
      </c>
      <c r="M28" s="13">
        <f>_xll.BDH("SRPT US Equity","CF_DECR_INVEST","FQ2 2021","FQ2 2021","Currency=USD","Period=FQ","BEST_FPERIOD_OVERRIDE=FQ","FILING_STATUS=MR","SCALING_FORMAT=MLN","Sort=A","Dates=H","DateFormat=P","Fill=—","Direction=H","UseDPDF=Y")</f>
        <v>0</v>
      </c>
      <c r="N28" s="13">
        <f>_xll.BDH("SRPT US Equity","CF_DECR_INVEST","FQ3 2021","FQ3 2021","Currency=USD","Period=FQ","BEST_FPERIOD_OVERRIDE=FQ","FILING_STATUS=MR","SCALING_FORMAT=MLN","Sort=A","Dates=H","DateFormat=P","Fill=—","Direction=H","UseDPDF=Y")</f>
        <v>0</v>
      </c>
      <c r="O28" s="13">
        <f>_xll.BDH("SRPT US Equity","CF_DECR_INVEST","FQ4 2021","FQ4 2021","Currency=USD","Period=FQ","BEST_FPERIOD_OVERRIDE=FQ","FILING_STATUS=MR","SCALING_FORMAT=MLN","Sort=A","Dates=H","DateFormat=P","Fill=—","Direction=H","UseDPDF=Y")</f>
        <v>0</v>
      </c>
      <c r="P28" s="13">
        <f>_xll.BDH("SRPT US Equity","CF_DECR_INVEST","FQ1 2022","FQ1 2022","Currency=USD","Period=FQ","BEST_FPERIOD_OVERRIDE=FQ","FILING_STATUS=MR","SCALING_FORMAT=MLN","Sort=A","Dates=H","DateFormat=P","Fill=—","Direction=H","UseDPDF=Y")</f>
        <v>0</v>
      </c>
      <c r="Q28" s="13">
        <f>_xll.BDH("SRPT US Equity","CF_DECR_INVEST","FQ2 2022","FQ2 2022","Currency=USD","Period=FQ","BEST_FPERIOD_OVERRIDE=FQ","FILING_STATUS=MR","SCALING_FORMAT=MLN","Sort=A","Dates=H","DateFormat=P","Fill=—","Direction=H","UseDPDF=Y")</f>
        <v>0</v>
      </c>
      <c r="R28" s="13">
        <f>_xll.BDH("SRPT US Equity","CF_DECR_INVEST","FQ3 2022","FQ3 2022","Currency=USD","Period=FQ","BEST_FPERIOD_OVERRIDE=FQ","FILING_STATUS=MR","SCALING_FORMAT=MLN","Sort=A","Dates=H","DateFormat=P","Fill=—","Direction=H","UseDPDF=Y")</f>
        <v>0</v>
      </c>
      <c r="S28" s="13">
        <f>_xll.BDH("SRPT US Equity","CF_DECR_INVEST","FQ4 2022","FQ4 2022","Currency=USD","Period=FQ","BEST_FPERIOD_OVERRIDE=FQ","FILING_STATUS=MR","SCALING_FORMAT=MLN","Sort=A","Dates=H","DateFormat=P","Fill=—","Direction=H","UseDPDF=Y")</f>
        <v>0</v>
      </c>
      <c r="T28" s="13">
        <f>_xll.BDH("SRPT US Equity","CF_DECR_INVEST","FQ1 2023","FQ1 2023","Currency=USD","Period=FQ","BEST_FPERIOD_OVERRIDE=FQ","FILING_STATUS=MR","SCALING_FORMAT=MLN","Sort=A","Dates=H","DateFormat=P","Fill=—","Direction=H","UseDPDF=Y")</f>
        <v>0</v>
      </c>
      <c r="U28" s="13">
        <f>_xll.BDH("SRPT US Equity","CF_DECR_INVEST","FQ2 2023","FQ2 2023","Currency=USD","Period=FQ","BEST_FPERIOD_OVERRIDE=FQ","FILING_STATUS=MR","SCALING_FORMAT=MLN","Sort=A","Dates=H","DateFormat=P","Fill=—","Direction=H","UseDPDF=Y")</f>
        <v>0</v>
      </c>
      <c r="V28" s="13">
        <f>_xll.BDH("SRPT US Equity","CF_DECR_INVEST","FQ3 2023","FQ3 2023","Currency=USD","Period=FQ","BEST_FPERIOD_OVERRIDE=FQ","FILING_STATUS=MR","SCALING_FORMAT=MLN","Sort=A","Dates=H","DateFormat=P","Fill=—","Direction=H","UseDPDF=Y")</f>
        <v>0</v>
      </c>
      <c r="W28" s="13">
        <f>_xll.BDH("SRPT US Equity","CF_DECR_INVEST","FQ4 2023","FQ4 2023","Currency=USD","Period=FQ","BEST_FPERIOD_OVERRIDE=FQ","FILING_STATUS=MR","SCALING_FORMAT=MLN","Sort=A","Dates=H","DateFormat=P","Fill=—","Direction=H","UseDPDF=Y")</f>
        <v>0</v>
      </c>
      <c r="X28" s="13">
        <f>_xll.BDH("SRPT US Equity","CF_DECR_INVEST","FQ1 2024","FQ1 2024","Currency=USD","Period=FQ","BEST_FPERIOD_OVERRIDE=FQ","FILING_STATUS=MR","SCALING_FORMAT=MLN","Sort=A","Dates=H","DateFormat=P","Fill=—","Direction=H","UseDPDF=Y")</f>
        <v>0</v>
      </c>
      <c r="Y28" s="13">
        <f>_xll.BDH("SRPT US Equity","CF_DECR_INVEST","FQ2 2024","FQ2 2024","Currency=USD","Period=FQ","BEST_FPERIOD_OVERRIDE=FQ","FILING_STATUS=MR","SCALING_FORMAT=MLN","Sort=A","Dates=H","DateFormat=P","Fill=—","Direction=H","UseDPDF=Y")</f>
        <v>0</v>
      </c>
      <c r="Z28" s="13">
        <f>_xll.BDH("SRPT US Equity","CF_DECR_INVEST","FQ3 2024","FQ3 2024","Currency=USD","Period=FQ","BEST_FPERIOD_OVERRIDE=FQ","FILING_STATUS=MR","SCALING_FORMAT=MLN","Sort=A","Dates=H","DateFormat=P","Fill=—","Direction=H","UseDPDF=Y")</f>
        <v>0</v>
      </c>
      <c r="AA28" s="13">
        <f>_xll.BDH("SRPT US Equity","CF_DECR_INVEST","FQ4 2024","FQ4 2024","Currency=USD","Period=FQ","BEST_FPERIOD_OVERRIDE=FQ","FILING_STATUS=MR","SCALING_FORMAT=MLN","Sort=A","Dates=H","DateFormat=P","Fill=—","Direction=H","UseDPDF=Y")</f>
        <v>0</v>
      </c>
    </row>
    <row r="29" spans="1:27" x14ac:dyDescent="0.25">
      <c r="A29" s="10" t="s">
        <v>1216</v>
      </c>
      <c r="B29" s="10" t="s">
        <v>1217</v>
      </c>
      <c r="C29" s="13">
        <f>_xll.BDH("SRPT US Equity","CF_INCR_INVEST","FQ4 2018","FQ4 2018","Currency=USD","Period=FQ","BEST_FPERIOD_OVERRIDE=FQ","FILING_STATUS=MR","SCALING_FORMAT=MLN","Sort=A","Dates=H","DateFormat=P","Fill=—","Direction=H","UseDPDF=Y")</f>
        <v>-0.35299999999999998</v>
      </c>
      <c r="D29" s="13">
        <f>_xll.BDH("SRPT US Equity","CF_INCR_INVEST","FQ1 2019","FQ1 2019","Currency=USD","Period=FQ","BEST_FPERIOD_OVERRIDE=FQ","FILING_STATUS=MR","SCALING_FORMAT=MLN","Sort=A","Dates=H","DateFormat=P","Fill=—","Direction=H","UseDPDF=Y")</f>
        <v>0</v>
      </c>
      <c r="E29" s="13">
        <f>_xll.BDH("SRPT US Equity","CF_INCR_INVEST","FQ2 2019","FQ2 2019","Currency=USD","Period=FQ","BEST_FPERIOD_OVERRIDE=FQ","FILING_STATUS=MR","SCALING_FORMAT=MLN","Sort=A","Dates=H","DateFormat=P","Fill=—","Direction=H","UseDPDF=Y")</f>
        <v>0</v>
      </c>
      <c r="F29" s="13">
        <f>_xll.BDH("SRPT US Equity","CF_INCR_INVEST","FQ3 2019","FQ3 2019","Currency=USD","Period=FQ","BEST_FPERIOD_OVERRIDE=FQ","FILING_STATUS=MR","SCALING_FORMAT=MLN","Sort=A","Dates=H","DateFormat=P","Fill=—","Direction=H","UseDPDF=Y")</f>
        <v>0</v>
      </c>
      <c r="G29" s="13">
        <f>_xll.BDH("SRPT US Equity","CF_INCR_INVEST","FQ4 2019","FQ4 2019","Currency=USD","Period=FQ","BEST_FPERIOD_OVERRIDE=FQ","FILING_STATUS=MR","SCALING_FORMAT=MLN","Sort=A","Dates=H","DateFormat=P","Fill=—","Direction=H","UseDPDF=Y")</f>
        <v>0</v>
      </c>
      <c r="H29" s="13">
        <f>_xll.BDH("SRPT US Equity","CF_INCR_INVEST","FQ1 2020","FQ1 2020","Currency=USD","Period=FQ","BEST_FPERIOD_OVERRIDE=FQ","FILING_STATUS=MR","SCALING_FORMAT=MLN","Sort=A","Dates=H","DateFormat=P","Fill=—","Direction=H","UseDPDF=Y")</f>
        <v>0</v>
      </c>
      <c r="I29" s="13">
        <f>_xll.BDH("SRPT US Equity","CF_INCR_INVEST","FQ2 2020","FQ2 2020","Currency=USD","Period=FQ","BEST_FPERIOD_OVERRIDE=FQ","FILING_STATUS=MR","SCALING_FORMAT=MLN","Sort=A","Dates=H","DateFormat=P","Fill=—","Direction=H","UseDPDF=Y")</f>
        <v>0</v>
      </c>
      <c r="J29" s="13">
        <f>_xll.BDH("SRPT US Equity","CF_INCR_INVEST","FQ3 2020","FQ3 2020","Currency=USD","Period=FQ","BEST_FPERIOD_OVERRIDE=FQ","FILING_STATUS=MR","SCALING_FORMAT=MLN","Sort=A","Dates=H","DateFormat=P","Fill=—","Direction=H","UseDPDF=Y")</f>
        <v>0</v>
      </c>
      <c r="K29" s="13">
        <f>_xll.BDH("SRPT US Equity","CF_INCR_INVEST","FQ4 2020","FQ4 2020","Currency=USD","Period=FQ","BEST_FPERIOD_OVERRIDE=FQ","FILING_STATUS=MR","SCALING_FORMAT=MLN","Sort=A","Dates=H","DateFormat=P","Fill=—","Direction=H","UseDPDF=Y")</f>
        <v>0</v>
      </c>
      <c r="L29" s="13">
        <f>_xll.BDH("SRPT US Equity","CF_INCR_INVEST","FQ1 2021","FQ1 2021","Currency=USD","Period=FQ","BEST_FPERIOD_OVERRIDE=FQ","FILING_STATUS=MR","SCALING_FORMAT=MLN","Sort=A","Dates=H","DateFormat=P","Fill=—","Direction=H","UseDPDF=Y")</f>
        <v>0</v>
      </c>
      <c r="M29" s="13">
        <f>_xll.BDH("SRPT US Equity","CF_INCR_INVEST","FQ2 2021","FQ2 2021","Currency=USD","Period=FQ","BEST_FPERIOD_OVERRIDE=FQ","FILING_STATUS=MR","SCALING_FORMAT=MLN","Sort=A","Dates=H","DateFormat=P","Fill=—","Direction=H","UseDPDF=Y")</f>
        <v>0</v>
      </c>
      <c r="N29" s="13">
        <f>_xll.BDH("SRPT US Equity","CF_INCR_INVEST","FQ3 2021","FQ3 2021","Currency=USD","Period=FQ","BEST_FPERIOD_OVERRIDE=FQ","FILING_STATUS=MR","SCALING_FORMAT=MLN","Sort=A","Dates=H","DateFormat=P","Fill=—","Direction=H","UseDPDF=Y")</f>
        <v>0</v>
      </c>
      <c r="O29" s="13">
        <f>_xll.BDH("SRPT US Equity","CF_INCR_INVEST","FQ4 2021","FQ4 2021","Currency=USD","Period=FQ","BEST_FPERIOD_OVERRIDE=FQ","FILING_STATUS=MR","SCALING_FORMAT=MLN","Sort=A","Dates=H","DateFormat=P","Fill=—","Direction=H","UseDPDF=Y")</f>
        <v>0</v>
      </c>
      <c r="P29" s="13">
        <f>_xll.BDH("SRPT US Equity","CF_INCR_INVEST","FQ1 2022","FQ1 2022","Currency=USD","Period=FQ","BEST_FPERIOD_OVERRIDE=FQ","FILING_STATUS=MR","SCALING_FORMAT=MLN","Sort=A","Dates=H","DateFormat=P","Fill=—","Direction=H","UseDPDF=Y")</f>
        <v>0</v>
      </c>
      <c r="Q29" s="13">
        <f>_xll.BDH("SRPT US Equity","CF_INCR_INVEST","FQ2 2022","FQ2 2022","Currency=USD","Period=FQ","BEST_FPERIOD_OVERRIDE=FQ","FILING_STATUS=MR","SCALING_FORMAT=MLN","Sort=A","Dates=H","DateFormat=P","Fill=—","Direction=H","UseDPDF=Y")</f>
        <v>0</v>
      </c>
      <c r="R29" s="13">
        <f>_xll.BDH("SRPT US Equity","CF_INCR_INVEST","FQ3 2022","FQ3 2022","Currency=USD","Period=FQ","BEST_FPERIOD_OVERRIDE=FQ","FILING_STATUS=MR","SCALING_FORMAT=MLN","Sort=A","Dates=H","DateFormat=P","Fill=—","Direction=H","UseDPDF=Y")</f>
        <v>0</v>
      </c>
      <c r="S29" s="13">
        <f>_xll.BDH("SRPT US Equity","CF_INCR_INVEST","FQ4 2022","FQ4 2022","Currency=USD","Period=FQ","BEST_FPERIOD_OVERRIDE=FQ","FILING_STATUS=MR","SCALING_FORMAT=MLN","Sort=A","Dates=H","DateFormat=P","Fill=—","Direction=H","UseDPDF=Y")</f>
        <v>0</v>
      </c>
      <c r="T29" s="13">
        <f>_xll.BDH("SRPT US Equity","CF_INCR_INVEST","FQ1 2023","FQ1 2023","Currency=USD","Period=FQ","BEST_FPERIOD_OVERRIDE=FQ","FILING_STATUS=MR","SCALING_FORMAT=MLN","Sort=A","Dates=H","DateFormat=P","Fill=—","Direction=H","UseDPDF=Y")</f>
        <v>0</v>
      </c>
      <c r="U29" s="13">
        <f>_xll.BDH("SRPT US Equity","CF_INCR_INVEST","FQ2 2023","FQ2 2023","Currency=USD","Period=FQ","BEST_FPERIOD_OVERRIDE=FQ","FILING_STATUS=MR","SCALING_FORMAT=MLN","Sort=A","Dates=H","DateFormat=P","Fill=—","Direction=H","UseDPDF=Y")</f>
        <v>0</v>
      </c>
      <c r="V29" s="13">
        <f>_xll.BDH("SRPT US Equity","CF_INCR_INVEST","FQ3 2023","FQ3 2023","Currency=USD","Period=FQ","BEST_FPERIOD_OVERRIDE=FQ","FILING_STATUS=MR","SCALING_FORMAT=MLN","Sort=A","Dates=H","DateFormat=P","Fill=—","Direction=H","UseDPDF=Y")</f>
        <v>0</v>
      </c>
      <c r="W29" s="13">
        <f>_xll.BDH("SRPT US Equity","CF_INCR_INVEST","FQ4 2023","FQ4 2023","Currency=USD","Period=FQ","BEST_FPERIOD_OVERRIDE=FQ","FILING_STATUS=MR","SCALING_FORMAT=MLN","Sort=A","Dates=H","DateFormat=P","Fill=—","Direction=H","UseDPDF=Y")</f>
        <v>0</v>
      </c>
      <c r="X29" s="13">
        <f>_xll.BDH("SRPT US Equity","CF_INCR_INVEST","FQ1 2024","FQ1 2024","Currency=USD","Period=FQ","BEST_FPERIOD_OVERRIDE=FQ","FILING_STATUS=MR","SCALING_FORMAT=MLN","Sort=A","Dates=H","DateFormat=P","Fill=—","Direction=H","UseDPDF=Y")</f>
        <v>0</v>
      </c>
      <c r="Y29" s="13">
        <f>_xll.BDH("SRPT US Equity","CF_INCR_INVEST","FQ2 2024","FQ2 2024","Currency=USD","Period=FQ","BEST_FPERIOD_OVERRIDE=FQ","FILING_STATUS=MR","SCALING_FORMAT=MLN","Sort=A","Dates=H","DateFormat=P","Fill=—","Direction=H","UseDPDF=Y")</f>
        <v>0</v>
      </c>
      <c r="Z29" s="13">
        <f>_xll.BDH("SRPT US Equity","CF_INCR_INVEST","FQ3 2024","FQ3 2024","Currency=USD","Period=FQ","BEST_FPERIOD_OVERRIDE=FQ","FILING_STATUS=MR","SCALING_FORMAT=MLN","Sort=A","Dates=H","DateFormat=P","Fill=—","Direction=H","UseDPDF=Y")</f>
        <v>0</v>
      </c>
      <c r="AA29" s="13">
        <f>_xll.BDH("SRPT US Equity","CF_INCR_INVEST","FQ4 2024","FQ4 2024","Currency=USD","Period=FQ","BEST_FPERIOD_OVERRIDE=FQ","FILING_STATUS=MR","SCALING_FORMAT=MLN","Sort=A","Dates=H","DateFormat=P","Fill=—","Direction=H","UseDPDF=Y")</f>
        <v>0</v>
      </c>
    </row>
    <row r="30" spans="1:27" x14ac:dyDescent="0.25">
      <c r="A30" s="10" t="s">
        <v>1218</v>
      </c>
      <c r="B30" s="10" t="s">
        <v>1219</v>
      </c>
      <c r="C30" s="13">
        <f>_xll.BDH("SRPT US Equity","CF_NT_CSH_RCVD_PD_FOR_ACQUIS_DIV","FQ4 2018","FQ4 2018","Currency=USD","Period=FQ","BEST_FPERIOD_OVERRIDE=FQ","FILING_STATUS=MR","SCALING_FORMAT=MLN","Sort=A","Dates=H","DateFormat=P","Fill=—","Direction=H","UseDPDF=Y")</f>
        <v>0</v>
      </c>
      <c r="D30" s="13">
        <f>_xll.BDH("SRPT US Equity","CF_NT_CSH_RCVD_PD_FOR_ACQUIS_DIV","FQ1 2019","FQ1 2019","Currency=USD","Period=FQ","BEST_FPERIOD_OVERRIDE=FQ","FILING_STATUS=MR","SCALING_FORMAT=MLN","Sort=A","Dates=H","DateFormat=P","Fill=—","Direction=H","UseDPDF=Y")</f>
        <v>0</v>
      </c>
      <c r="E30" s="13">
        <f>_xll.BDH("SRPT US Equity","CF_NT_CSH_RCVD_PD_FOR_ACQUIS_DIV","FQ2 2019","FQ2 2019","Currency=USD","Period=FQ","BEST_FPERIOD_OVERRIDE=FQ","FILING_STATUS=MR","SCALING_FORMAT=MLN","Sort=A","Dates=H","DateFormat=P","Fill=—","Direction=H","UseDPDF=Y")</f>
        <v>-172.55600000000001</v>
      </c>
      <c r="F30" s="13">
        <f>_xll.BDH("SRPT US Equity","CF_NT_CSH_RCVD_PD_FOR_ACQUIS_DIV","FQ3 2019","FQ3 2019","Currency=USD","Period=FQ","BEST_FPERIOD_OVERRIDE=FQ","FILING_STATUS=MR","SCALING_FORMAT=MLN","Sort=A","Dates=H","DateFormat=P","Fill=—","Direction=H","UseDPDF=Y")</f>
        <v>0</v>
      </c>
      <c r="G30" s="13">
        <f>_xll.BDH("SRPT US Equity","CF_NT_CSH_RCVD_PD_FOR_ACQUIS_DIV","FQ4 2019","FQ4 2019","Currency=USD","Period=FQ","BEST_FPERIOD_OVERRIDE=FQ","FILING_STATUS=MR","SCALING_FORMAT=MLN","Sort=A","Dates=H","DateFormat=P","Fill=—","Direction=H","UseDPDF=Y")</f>
        <v>0</v>
      </c>
      <c r="H30" s="13">
        <f>_xll.BDH("SRPT US Equity","CF_NT_CSH_RCVD_PD_FOR_ACQUIS_DIV","FQ1 2020","FQ1 2020","Currency=USD","Period=FQ","BEST_FPERIOD_OVERRIDE=FQ","FILING_STATUS=MR","SCALING_FORMAT=MLN","Sort=A","Dates=H","DateFormat=P","Fill=—","Direction=H","UseDPDF=Y")</f>
        <v>108.069</v>
      </c>
      <c r="I30" s="13">
        <f>_xll.BDH("SRPT US Equity","CF_NT_CSH_RCVD_PD_FOR_ACQUIS_DIV","FQ2 2020","FQ2 2020","Currency=USD","Period=FQ","BEST_FPERIOD_OVERRIDE=FQ","FILING_STATUS=MR","SCALING_FORMAT=MLN","Sort=A","Dates=H","DateFormat=P","Fill=—","Direction=H","UseDPDF=Y")</f>
        <v>0</v>
      </c>
      <c r="J30" s="13">
        <f>_xll.BDH("SRPT US Equity","CF_NT_CSH_RCVD_PD_FOR_ACQUIS_DIV","FQ3 2020","FQ3 2020","Currency=USD","Period=FQ","BEST_FPERIOD_OVERRIDE=FQ","FILING_STATUS=MR","SCALING_FORMAT=MLN","Sort=A","Dates=H","DateFormat=P","Fill=—","Direction=H","UseDPDF=Y")</f>
        <v>-108.069</v>
      </c>
      <c r="K30" s="13">
        <f>_xll.BDH("SRPT US Equity","CF_NT_CSH_RCVD_PD_FOR_ACQUIS_DIV","FQ4 2020","FQ4 2020","Currency=USD","Period=FQ","BEST_FPERIOD_OVERRIDE=FQ","FILING_STATUS=MR","SCALING_FORMAT=MLN","Sort=A","Dates=H","DateFormat=P","Fill=—","Direction=H","UseDPDF=Y")</f>
        <v>0</v>
      </c>
      <c r="L30" s="13">
        <f>_xll.BDH("SRPT US Equity","CF_NT_CSH_RCVD_PD_FOR_ACQUIS_DIV","FQ1 2021","FQ1 2021","Currency=USD","Period=FQ","BEST_FPERIOD_OVERRIDE=FQ","FILING_STATUS=MR","SCALING_FORMAT=MLN","Sort=A","Dates=H","DateFormat=P","Fill=—","Direction=H","UseDPDF=Y")</f>
        <v>0</v>
      </c>
      <c r="M30" s="13">
        <f>_xll.BDH("SRPT US Equity","CF_NT_CSH_RCVD_PD_FOR_ACQUIS_DIV","FQ2 2021","FQ2 2021","Currency=USD","Period=FQ","BEST_FPERIOD_OVERRIDE=FQ","FILING_STATUS=MR","SCALING_FORMAT=MLN","Sort=A","Dates=H","DateFormat=P","Fill=—","Direction=H","UseDPDF=Y")</f>
        <v>102</v>
      </c>
      <c r="N30" s="13">
        <f>_xll.BDH("SRPT US Equity","CF_NT_CSH_RCVD_PD_FOR_ACQUIS_DIV","FQ3 2021","FQ3 2021","Currency=USD","Period=FQ","BEST_FPERIOD_OVERRIDE=FQ","FILING_STATUS=MR","SCALING_FORMAT=MLN","Sort=A","Dates=H","DateFormat=P","Fill=—","Direction=H","UseDPDF=Y")</f>
        <v>0</v>
      </c>
      <c r="O30" s="13">
        <f>_xll.BDH("SRPT US Equity","CF_NT_CSH_RCVD_PD_FOR_ACQUIS_DIV","FQ4 2021","FQ4 2021","Currency=USD","Period=FQ","BEST_FPERIOD_OVERRIDE=FQ","FILING_STATUS=MR","SCALING_FORMAT=MLN","Sort=A","Dates=H","DateFormat=P","Fill=—","Direction=H","UseDPDF=Y")</f>
        <v>0</v>
      </c>
      <c r="P30" s="13">
        <f>_xll.BDH("SRPT US Equity","CF_NT_CSH_RCVD_PD_FOR_ACQUIS_DIV","FQ1 2022","FQ1 2022","Currency=USD","Period=FQ","BEST_FPERIOD_OVERRIDE=FQ","FILING_STATUS=MR","SCALING_FORMAT=MLN","Sort=A","Dates=H","DateFormat=P","Fill=—","Direction=H","UseDPDF=Y")</f>
        <v>0</v>
      </c>
      <c r="Q30" s="13">
        <f>_xll.BDH("SRPT US Equity","CF_NT_CSH_RCVD_PD_FOR_ACQUIS_DIV","FQ2 2022","FQ2 2022","Currency=USD","Period=FQ","BEST_FPERIOD_OVERRIDE=FQ","FILING_STATUS=MR","SCALING_FORMAT=MLN","Sort=A","Dates=H","DateFormat=P","Fill=—","Direction=H","UseDPDF=Y")</f>
        <v>0</v>
      </c>
      <c r="R30" s="13">
        <f>_xll.BDH("SRPT US Equity","CF_NT_CSH_RCVD_PD_FOR_ACQUIS_DIV","FQ3 2022","FQ3 2022","Currency=USD","Period=FQ","BEST_FPERIOD_OVERRIDE=FQ","FILING_STATUS=MR","SCALING_FORMAT=MLN","Sort=A","Dates=H","DateFormat=P","Fill=—","Direction=H","UseDPDF=Y")</f>
        <v>0</v>
      </c>
      <c r="S30" s="13">
        <f>_xll.BDH("SRPT US Equity","CF_NT_CSH_RCVD_PD_FOR_ACQUIS_DIV","FQ4 2022","FQ4 2022","Currency=USD","Period=FQ","BEST_FPERIOD_OVERRIDE=FQ","FILING_STATUS=MR","SCALING_FORMAT=MLN","Sort=A","Dates=H","DateFormat=P","Fill=—","Direction=H","UseDPDF=Y")</f>
        <v>0</v>
      </c>
      <c r="T30" s="13">
        <f>_xll.BDH("SRPT US Equity","CF_NT_CSH_RCVD_PD_FOR_ACQUIS_DIV","FQ1 2023","FQ1 2023","Currency=USD","Period=FQ","BEST_FPERIOD_OVERRIDE=FQ","FILING_STATUS=MR","SCALING_FORMAT=MLN","Sort=A","Dates=H","DateFormat=P","Fill=—","Direction=H","UseDPDF=Y")</f>
        <v>0</v>
      </c>
      <c r="U30" s="13">
        <f>_xll.BDH("SRPT US Equity","CF_NT_CSH_RCVD_PD_FOR_ACQUIS_DIV","FQ2 2023","FQ2 2023","Currency=USD","Period=FQ","BEST_FPERIOD_OVERRIDE=FQ","FILING_STATUS=MR","SCALING_FORMAT=MLN","Sort=A","Dates=H","DateFormat=P","Fill=—","Direction=H","UseDPDF=Y")</f>
        <v>102</v>
      </c>
      <c r="V30" s="13">
        <f>_xll.BDH("SRPT US Equity","CF_NT_CSH_RCVD_PD_FOR_ACQUIS_DIV","FQ3 2023","FQ3 2023","Currency=USD","Period=FQ","BEST_FPERIOD_OVERRIDE=FQ","FILING_STATUS=MR","SCALING_FORMAT=MLN","Sort=A","Dates=H","DateFormat=P","Fill=—","Direction=H","UseDPDF=Y")</f>
        <v>0</v>
      </c>
      <c r="W30" s="13">
        <f>_xll.BDH("SRPT US Equity","CF_NT_CSH_RCVD_PD_FOR_ACQUIS_DIV","FQ4 2023","FQ4 2023","Currency=USD","Period=FQ","BEST_FPERIOD_OVERRIDE=FQ","FILING_STATUS=MR","SCALING_FORMAT=MLN","Sort=A","Dates=H","DateFormat=P","Fill=—","Direction=H","UseDPDF=Y")</f>
        <v>0</v>
      </c>
      <c r="X30" s="13">
        <f>_xll.BDH("SRPT US Equity","CF_NT_CSH_RCVD_PD_FOR_ACQUIS_DIV","FQ1 2024","FQ1 2024","Currency=USD","Period=FQ","BEST_FPERIOD_OVERRIDE=FQ","FILING_STATUS=MR","SCALING_FORMAT=MLN","Sort=A","Dates=H","DateFormat=P","Fill=—","Direction=H","UseDPDF=Y")</f>
        <v>0</v>
      </c>
      <c r="Y30" s="13">
        <f>_xll.BDH("SRPT US Equity","CF_NT_CSH_RCVD_PD_FOR_ACQUIS_DIV","FQ2 2024","FQ2 2024","Currency=USD","Period=FQ","BEST_FPERIOD_OVERRIDE=FQ","FILING_STATUS=MR","SCALING_FORMAT=MLN","Sort=A","Dates=H","DateFormat=P","Fill=—","Direction=H","UseDPDF=Y")</f>
        <v>0</v>
      </c>
      <c r="Z30" s="13">
        <f>_xll.BDH("SRPT US Equity","CF_NT_CSH_RCVD_PD_FOR_ACQUIS_DIV","FQ3 2024","FQ3 2024","Currency=USD","Period=FQ","BEST_FPERIOD_OVERRIDE=FQ","FILING_STATUS=MR","SCALING_FORMAT=MLN","Sort=A","Dates=H","DateFormat=P","Fill=—","Direction=H","UseDPDF=Y")</f>
        <v>0</v>
      </c>
      <c r="AA30" s="13">
        <f>_xll.BDH("SRPT US Equity","CF_NT_CSH_RCVD_PD_FOR_ACQUIS_DIV","FQ4 2024","FQ4 2024","Currency=USD","Period=FQ","BEST_FPERIOD_OVERRIDE=FQ","FILING_STATUS=MR","SCALING_FORMAT=MLN","Sort=A","Dates=H","DateFormat=P","Fill=—","Direction=H","UseDPDF=Y")</f>
        <v>0</v>
      </c>
    </row>
    <row r="31" spans="1:27" x14ac:dyDescent="0.25">
      <c r="A31" s="10" t="s">
        <v>1220</v>
      </c>
      <c r="B31" s="10" t="s">
        <v>1221</v>
      </c>
      <c r="C31" s="13">
        <f>_xll.BDH("SRPT US Equity","CF_CASH_FOR_DIVESTITURES","FQ4 2018","FQ4 2018","Currency=USD","Period=FQ","BEST_FPERIOD_OVERRIDE=FQ","FILING_STATUS=MR","SCALING_FORMAT=MLN","Sort=A","Dates=H","DateFormat=P","Fill=—","Direction=H","UseDPDF=Y")</f>
        <v>0</v>
      </c>
      <c r="D31" s="13">
        <f>_xll.BDH("SRPT US Equity","CF_CASH_FOR_DIVESTITURES","FQ1 2019","FQ1 2019","Currency=USD","Period=FQ","BEST_FPERIOD_OVERRIDE=FQ","FILING_STATUS=MR","SCALING_FORMAT=MLN","Sort=A","Dates=H","DateFormat=P","Fill=—","Direction=H","UseDPDF=Y")</f>
        <v>0</v>
      </c>
      <c r="E31" s="13">
        <f>_xll.BDH("SRPT US Equity","CF_CASH_FOR_DIVESTITURES","FQ2 2019","FQ2 2019","Currency=USD","Period=FQ","BEST_FPERIOD_OVERRIDE=FQ","FILING_STATUS=MR","SCALING_FORMAT=MLN","Sort=A","Dates=H","DateFormat=P","Fill=—","Direction=H","UseDPDF=Y")</f>
        <v>0</v>
      </c>
      <c r="F31" s="13">
        <f>_xll.BDH("SRPT US Equity","CF_CASH_FOR_DIVESTITURES","FQ3 2019","FQ3 2019","Currency=USD","Period=FQ","BEST_FPERIOD_OVERRIDE=FQ","FILING_STATUS=MR","SCALING_FORMAT=MLN","Sort=A","Dates=H","DateFormat=P","Fill=—","Direction=H","UseDPDF=Y")</f>
        <v>0</v>
      </c>
      <c r="G31" s="13">
        <f>_xll.BDH("SRPT US Equity","CF_CASH_FOR_DIVESTITURES","FQ4 2019","FQ4 2019","Currency=USD","Period=FQ","BEST_FPERIOD_OVERRIDE=FQ","FILING_STATUS=MR","SCALING_FORMAT=MLN","Sort=A","Dates=H","DateFormat=P","Fill=—","Direction=H","UseDPDF=Y")</f>
        <v>0</v>
      </c>
      <c r="H31" s="13">
        <f>_xll.BDH("SRPT US Equity","CF_CASH_FOR_DIVESTITURES","FQ1 2020","FQ1 2020","Currency=USD","Period=FQ","BEST_FPERIOD_OVERRIDE=FQ","FILING_STATUS=MR","SCALING_FORMAT=MLN","Sort=A","Dates=H","DateFormat=P","Fill=—","Direction=H","UseDPDF=Y")</f>
        <v>108.069</v>
      </c>
      <c r="I31" s="13">
        <f>_xll.BDH("SRPT US Equity","CF_CASH_FOR_DIVESTITURES","FQ2 2020","FQ2 2020","Currency=USD","Period=FQ","BEST_FPERIOD_OVERRIDE=FQ","FILING_STATUS=MR","SCALING_FORMAT=MLN","Sort=A","Dates=H","DateFormat=P","Fill=—","Direction=H","UseDPDF=Y")</f>
        <v>0</v>
      </c>
      <c r="J31" s="13">
        <f>_xll.BDH("SRPT US Equity","CF_CASH_FOR_DIVESTITURES","FQ3 2020","FQ3 2020","Currency=USD","Period=FQ","BEST_FPERIOD_OVERRIDE=FQ","FILING_STATUS=MR","SCALING_FORMAT=MLN","Sort=A","Dates=H","DateFormat=P","Fill=—","Direction=H","UseDPDF=Y")</f>
        <v>-108.069</v>
      </c>
      <c r="K31" s="13">
        <f>_xll.BDH("SRPT US Equity","CF_CASH_FOR_DIVESTITURES","FQ4 2020","FQ4 2020","Currency=USD","Period=FQ","BEST_FPERIOD_OVERRIDE=FQ","FILING_STATUS=MR","SCALING_FORMAT=MLN","Sort=A","Dates=H","DateFormat=P","Fill=—","Direction=H","UseDPDF=Y")</f>
        <v>0</v>
      </c>
      <c r="L31" s="13">
        <f>_xll.BDH("SRPT US Equity","CF_CASH_FOR_DIVESTITURES","FQ1 2021","FQ1 2021","Currency=USD","Period=FQ","BEST_FPERIOD_OVERRIDE=FQ","FILING_STATUS=MR","SCALING_FORMAT=MLN","Sort=A","Dates=H","DateFormat=P","Fill=—","Direction=H","UseDPDF=Y")</f>
        <v>0</v>
      </c>
      <c r="M31" s="13">
        <f>_xll.BDH("SRPT US Equity","CF_CASH_FOR_DIVESTITURES","FQ2 2021","FQ2 2021","Currency=USD","Period=FQ","BEST_FPERIOD_OVERRIDE=FQ","FILING_STATUS=MR","SCALING_FORMAT=MLN","Sort=A","Dates=H","DateFormat=P","Fill=—","Direction=H","UseDPDF=Y")</f>
        <v>102</v>
      </c>
      <c r="N31" s="13">
        <f>_xll.BDH("SRPT US Equity","CF_CASH_FOR_DIVESTITURES","FQ3 2021","FQ3 2021","Currency=USD","Period=FQ","BEST_FPERIOD_OVERRIDE=FQ","FILING_STATUS=MR","SCALING_FORMAT=MLN","Sort=A","Dates=H","DateFormat=P","Fill=—","Direction=H","UseDPDF=Y")</f>
        <v>0</v>
      </c>
      <c r="O31" s="13">
        <f>_xll.BDH("SRPT US Equity","CF_CASH_FOR_DIVESTITURES","FQ4 2021","FQ4 2021","Currency=USD","Period=FQ","BEST_FPERIOD_OVERRIDE=FQ","FILING_STATUS=MR","SCALING_FORMAT=MLN","Sort=A","Dates=H","DateFormat=P","Fill=—","Direction=H","UseDPDF=Y")</f>
        <v>0</v>
      </c>
      <c r="P31" s="13">
        <f>_xll.BDH("SRPT US Equity","CF_CASH_FOR_DIVESTITURES","FQ1 2022","FQ1 2022","Currency=USD","Period=FQ","BEST_FPERIOD_OVERRIDE=FQ","FILING_STATUS=MR","SCALING_FORMAT=MLN","Sort=A","Dates=H","DateFormat=P","Fill=—","Direction=H","UseDPDF=Y")</f>
        <v>0</v>
      </c>
      <c r="Q31" s="13">
        <f>_xll.BDH("SRPT US Equity","CF_CASH_FOR_DIVESTITURES","FQ2 2022","FQ2 2022","Currency=USD","Period=FQ","BEST_FPERIOD_OVERRIDE=FQ","FILING_STATUS=MR","SCALING_FORMAT=MLN","Sort=A","Dates=H","DateFormat=P","Fill=—","Direction=H","UseDPDF=Y")</f>
        <v>0</v>
      </c>
      <c r="R31" s="13">
        <f>_xll.BDH("SRPT US Equity","CF_CASH_FOR_DIVESTITURES","FQ3 2022","FQ3 2022","Currency=USD","Period=FQ","BEST_FPERIOD_OVERRIDE=FQ","FILING_STATUS=MR","SCALING_FORMAT=MLN","Sort=A","Dates=H","DateFormat=P","Fill=—","Direction=H","UseDPDF=Y")</f>
        <v>0</v>
      </c>
      <c r="S31" s="13">
        <f>_xll.BDH("SRPT US Equity","CF_CASH_FOR_DIVESTITURES","FQ4 2022","FQ4 2022","Currency=USD","Period=FQ","BEST_FPERIOD_OVERRIDE=FQ","FILING_STATUS=MR","SCALING_FORMAT=MLN","Sort=A","Dates=H","DateFormat=P","Fill=—","Direction=H","UseDPDF=Y")</f>
        <v>0</v>
      </c>
      <c r="T31" s="13">
        <f>_xll.BDH("SRPT US Equity","CF_CASH_FOR_DIVESTITURES","FQ1 2023","FQ1 2023","Currency=USD","Period=FQ","BEST_FPERIOD_OVERRIDE=FQ","FILING_STATUS=MR","SCALING_FORMAT=MLN","Sort=A","Dates=H","DateFormat=P","Fill=—","Direction=H","UseDPDF=Y")</f>
        <v>0</v>
      </c>
      <c r="U31" s="13">
        <f>_xll.BDH("SRPT US Equity","CF_CASH_FOR_DIVESTITURES","FQ2 2023","FQ2 2023","Currency=USD","Period=FQ","BEST_FPERIOD_OVERRIDE=FQ","FILING_STATUS=MR","SCALING_FORMAT=MLN","Sort=A","Dates=H","DateFormat=P","Fill=—","Direction=H","UseDPDF=Y")</f>
        <v>102</v>
      </c>
      <c r="V31" s="13">
        <f>_xll.BDH("SRPT US Equity","CF_CASH_FOR_DIVESTITURES","FQ3 2023","FQ3 2023","Currency=USD","Period=FQ","BEST_FPERIOD_OVERRIDE=FQ","FILING_STATUS=MR","SCALING_FORMAT=MLN","Sort=A","Dates=H","DateFormat=P","Fill=—","Direction=H","UseDPDF=Y")</f>
        <v>0</v>
      </c>
      <c r="W31" s="13">
        <f>_xll.BDH("SRPT US Equity","CF_CASH_FOR_DIVESTITURES","FQ4 2023","FQ4 2023","Currency=USD","Period=FQ","BEST_FPERIOD_OVERRIDE=FQ","FILING_STATUS=MR","SCALING_FORMAT=MLN","Sort=A","Dates=H","DateFormat=P","Fill=—","Direction=H","UseDPDF=Y")</f>
        <v>0</v>
      </c>
      <c r="X31" s="13">
        <f>_xll.BDH("SRPT US Equity","CF_CASH_FOR_DIVESTITURES","FQ1 2024","FQ1 2024","Currency=USD","Period=FQ","BEST_FPERIOD_OVERRIDE=FQ","FILING_STATUS=MR","SCALING_FORMAT=MLN","Sort=A","Dates=H","DateFormat=P","Fill=—","Direction=H","UseDPDF=Y")</f>
        <v>0</v>
      </c>
      <c r="Y31" s="13">
        <f>_xll.BDH("SRPT US Equity","CF_CASH_FOR_DIVESTITURES","FQ2 2024","FQ2 2024","Currency=USD","Period=FQ","BEST_FPERIOD_OVERRIDE=FQ","FILING_STATUS=MR","SCALING_FORMAT=MLN","Sort=A","Dates=H","DateFormat=P","Fill=—","Direction=H","UseDPDF=Y")</f>
        <v>0</v>
      </c>
      <c r="Z31" s="13">
        <f>_xll.BDH("SRPT US Equity","CF_CASH_FOR_DIVESTITURES","FQ3 2024","FQ3 2024","Currency=USD","Period=FQ","BEST_FPERIOD_OVERRIDE=FQ","FILING_STATUS=MR","SCALING_FORMAT=MLN","Sort=A","Dates=H","DateFormat=P","Fill=—","Direction=H","UseDPDF=Y")</f>
        <v>0</v>
      </c>
      <c r="AA31" s="13">
        <f>_xll.BDH("SRPT US Equity","CF_CASH_FOR_DIVESTITURES","FQ4 2024","FQ4 2024","Currency=USD","Period=FQ","BEST_FPERIOD_OVERRIDE=FQ","FILING_STATUS=MR","SCALING_FORMAT=MLN","Sort=A","Dates=H","DateFormat=P","Fill=—","Direction=H","UseDPDF=Y")</f>
        <v>0</v>
      </c>
    </row>
    <row r="32" spans="1:27" x14ac:dyDescent="0.25">
      <c r="A32" s="10" t="s">
        <v>1222</v>
      </c>
      <c r="B32" s="10" t="s">
        <v>1223</v>
      </c>
      <c r="C32" s="13">
        <f>_xll.BDH("SRPT US Equity","CF_CASH_FOR_ACQUIS_SUBSIDIARIES","FQ4 2018","FQ4 2018","Currency=USD","Period=FQ","BEST_FPERIOD_OVERRIDE=FQ","FILING_STATUS=MR","SCALING_FORMAT=MLN","Sort=A","Dates=H","DateFormat=P","Fill=—","Direction=H","UseDPDF=Y")</f>
        <v>0</v>
      </c>
      <c r="D32" s="13">
        <f>_xll.BDH("SRPT US Equity","CF_CASH_FOR_ACQUIS_SUBSIDIARIES","FQ1 2019","FQ1 2019","Currency=USD","Period=FQ","BEST_FPERIOD_OVERRIDE=FQ","FILING_STATUS=MR","SCALING_FORMAT=MLN","Sort=A","Dates=H","DateFormat=P","Fill=—","Direction=H","UseDPDF=Y")</f>
        <v>0</v>
      </c>
      <c r="E32" s="13">
        <f>_xll.BDH("SRPT US Equity","CF_CASH_FOR_ACQUIS_SUBSIDIARIES","FQ2 2019","FQ2 2019","Currency=USD","Period=FQ","BEST_FPERIOD_OVERRIDE=FQ","FILING_STATUS=MR","SCALING_FORMAT=MLN","Sort=A","Dates=H","DateFormat=P","Fill=—","Direction=H","UseDPDF=Y")</f>
        <v>-172.55600000000001</v>
      </c>
      <c r="F32" s="13">
        <f>_xll.BDH("SRPT US Equity","CF_CASH_FOR_ACQUIS_SUBSIDIARIES","FQ3 2019","FQ3 2019","Currency=USD","Period=FQ","BEST_FPERIOD_OVERRIDE=FQ","FILING_STATUS=MR","SCALING_FORMAT=MLN","Sort=A","Dates=H","DateFormat=P","Fill=—","Direction=H","UseDPDF=Y")</f>
        <v>0</v>
      </c>
      <c r="G32" s="13">
        <f>_xll.BDH("SRPT US Equity","CF_CASH_FOR_ACQUIS_SUBSIDIARIES","FQ4 2019","FQ4 2019","Currency=USD","Period=FQ","BEST_FPERIOD_OVERRIDE=FQ","FILING_STATUS=MR","SCALING_FORMAT=MLN","Sort=A","Dates=H","DateFormat=P","Fill=—","Direction=H","UseDPDF=Y")</f>
        <v>0</v>
      </c>
      <c r="H32" s="13">
        <f>_xll.BDH("SRPT US Equity","CF_CASH_FOR_ACQUIS_SUBSIDIARIES","FQ1 2020","FQ1 2020","Currency=USD","Period=FQ","BEST_FPERIOD_OVERRIDE=FQ","FILING_STATUS=MR","SCALING_FORMAT=MLN","Sort=A","Dates=H","DateFormat=P","Fill=—","Direction=H","UseDPDF=Y")</f>
        <v>0</v>
      </c>
      <c r="I32" s="13">
        <f>_xll.BDH("SRPT US Equity","CF_CASH_FOR_ACQUIS_SUBSIDIARIES","FQ2 2020","FQ2 2020","Currency=USD","Period=FQ","BEST_FPERIOD_OVERRIDE=FQ","FILING_STATUS=MR","SCALING_FORMAT=MLN","Sort=A","Dates=H","DateFormat=P","Fill=—","Direction=H","UseDPDF=Y")</f>
        <v>0</v>
      </c>
      <c r="J32" s="13">
        <f>_xll.BDH("SRPT US Equity","CF_CASH_FOR_ACQUIS_SUBSIDIARIES","FQ3 2020","FQ3 2020","Currency=USD","Period=FQ","BEST_FPERIOD_OVERRIDE=FQ","FILING_STATUS=MR","SCALING_FORMAT=MLN","Sort=A","Dates=H","DateFormat=P","Fill=—","Direction=H","UseDPDF=Y")</f>
        <v>0</v>
      </c>
      <c r="K32" s="13">
        <f>_xll.BDH("SRPT US Equity","CF_CASH_FOR_ACQUIS_SUBSIDIARIES","FQ4 2020","FQ4 2020","Currency=USD","Period=FQ","BEST_FPERIOD_OVERRIDE=FQ","FILING_STATUS=MR","SCALING_FORMAT=MLN","Sort=A","Dates=H","DateFormat=P","Fill=—","Direction=H","UseDPDF=Y")</f>
        <v>0</v>
      </c>
      <c r="L32" s="13">
        <f>_xll.BDH("SRPT US Equity","CF_CASH_FOR_ACQUIS_SUBSIDIARIES","FQ1 2021","FQ1 2021","Currency=USD","Period=FQ","BEST_FPERIOD_OVERRIDE=FQ","FILING_STATUS=MR","SCALING_FORMAT=MLN","Sort=A","Dates=H","DateFormat=P","Fill=—","Direction=H","UseDPDF=Y")</f>
        <v>0</v>
      </c>
      <c r="M32" s="13">
        <f>_xll.BDH("SRPT US Equity","CF_CASH_FOR_ACQUIS_SUBSIDIARIES","FQ2 2021","FQ2 2021","Currency=USD","Period=FQ","BEST_FPERIOD_OVERRIDE=FQ","FILING_STATUS=MR","SCALING_FORMAT=MLN","Sort=A","Dates=H","DateFormat=P","Fill=—","Direction=H","UseDPDF=Y")</f>
        <v>0</v>
      </c>
      <c r="N32" s="13">
        <f>_xll.BDH("SRPT US Equity","CF_CASH_FOR_ACQUIS_SUBSIDIARIES","FQ3 2021","FQ3 2021","Currency=USD","Period=FQ","BEST_FPERIOD_OVERRIDE=FQ","FILING_STATUS=MR","SCALING_FORMAT=MLN","Sort=A","Dates=H","DateFormat=P","Fill=—","Direction=H","UseDPDF=Y")</f>
        <v>0</v>
      </c>
      <c r="O32" s="13">
        <f>_xll.BDH("SRPT US Equity","CF_CASH_FOR_ACQUIS_SUBSIDIARIES","FQ4 2021","FQ4 2021","Currency=USD","Period=FQ","BEST_FPERIOD_OVERRIDE=FQ","FILING_STATUS=MR","SCALING_FORMAT=MLN","Sort=A","Dates=H","DateFormat=P","Fill=—","Direction=H","UseDPDF=Y")</f>
        <v>0</v>
      </c>
      <c r="P32" s="13">
        <f>_xll.BDH("SRPT US Equity","CF_CASH_FOR_ACQUIS_SUBSIDIARIES","FQ1 2022","FQ1 2022","Currency=USD","Period=FQ","BEST_FPERIOD_OVERRIDE=FQ","FILING_STATUS=MR","SCALING_FORMAT=MLN","Sort=A","Dates=H","DateFormat=P","Fill=—","Direction=H","UseDPDF=Y")</f>
        <v>0</v>
      </c>
      <c r="Q32" s="13">
        <f>_xll.BDH("SRPT US Equity","CF_CASH_FOR_ACQUIS_SUBSIDIARIES","FQ2 2022","FQ2 2022","Currency=USD","Period=FQ","BEST_FPERIOD_OVERRIDE=FQ","FILING_STATUS=MR","SCALING_FORMAT=MLN","Sort=A","Dates=H","DateFormat=P","Fill=—","Direction=H","UseDPDF=Y")</f>
        <v>0</v>
      </c>
      <c r="R32" s="13">
        <f>_xll.BDH("SRPT US Equity","CF_CASH_FOR_ACQUIS_SUBSIDIARIES","FQ3 2022","FQ3 2022","Currency=USD","Period=FQ","BEST_FPERIOD_OVERRIDE=FQ","FILING_STATUS=MR","SCALING_FORMAT=MLN","Sort=A","Dates=H","DateFormat=P","Fill=—","Direction=H","UseDPDF=Y")</f>
        <v>0</v>
      </c>
      <c r="S32" s="13">
        <f>_xll.BDH("SRPT US Equity","CF_CASH_FOR_ACQUIS_SUBSIDIARIES","FQ4 2022","FQ4 2022","Currency=USD","Period=FQ","BEST_FPERIOD_OVERRIDE=FQ","FILING_STATUS=MR","SCALING_FORMAT=MLN","Sort=A","Dates=H","DateFormat=P","Fill=—","Direction=H","UseDPDF=Y")</f>
        <v>0</v>
      </c>
      <c r="T32" s="13">
        <f>_xll.BDH("SRPT US Equity","CF_CASH_FOR_ACQUIS_SUBSIDIARIES","FQ1 2023","FQ1 2023","Currency=USD","Period=FQ","BEST_FPERIOD_OVERRIDE=FQ","FILING_STATUS=MR","SCALING_FORMAT=MLN","Sort=A","Dates=H","DateFormat=P","Fill=—","Direction=H","UseDPDF=Y")</f>
        <v>0</v>
      </c>
      <c r="U32" s="13">
        <f>_xll.BDH("SRPT US Equity","CF_CASH_FOR_ACQUIS_SUBSIDIARIES","FQ2 2023","FQ2 2023","Currency=USD","Period=FQ","BEST_FPERIOD_OVERRIDE=FQ","FILING_STATUS=MR","SCALING_FORMAT=MLN","Sort=A","Dates=H","DateFormat=P","Fill=—","Direction=H","UseDPDF=Y")</f>
        <v>0</v>
      </c>
      <c r="V32" s="13">
        <f>_xll.BDH("SRPT US Equity","CF_CASH_FOR_ACQUIS_SUBSIDIARIES","FQ3 2023","FQ3 2023","Currency=USD","Period=FQ","BEST_FPERIOD_OVERRIDE=FQ","FILING_STATUS=MR","SCALING_FORMAT=MLN","Sort=A","Dates=H","DateFormat=P","Fill=—","Direction=H","UseDPDF=Y")</f>
        <v>0</v>
      </c>
      <c r="W32" s="13">
        <f>_xll.BDH("SRPT US Equity","CF_CASH_FOR_ACQUIS_SUBSIDIARIES","FQ4 2023","FQ4 2023","Currency=USD","Period=FQ","BEST_FPERIOD_OVERRIDE=FQ","FILING_STATUS=MR","SCALING_FORMAT=MLN","Sort=A","Dates=H","DateFormat=P","Fill=—","Direction=H","UseDPDF=Y")</f>
        <v>0</v>
      </c>
      <c r="X32" s="13">
        <f>_xll.BDH("SRPT US Equity","CF_CASH_FOR_ACQUIS_SUBSIDIARIES","FQ1 2024","FQ1 2024","Currency=USD","Period=FQ","BEST_FPERIOD_OVERRIDE=FQ","FILING_STATUS=MR","SCALING_FORMAT=MLN","Sort=A","Dates=H","DateFormat=P","Fill=—","Direction=H","UseDPDF=Y")</f>
        <v>0</v>
      </c>
      <c r="Y32" s="13">
        <f>_xll.BDH("SRPT US Equity","CF_CASH_FOR_ACQUIS_SUBSIDIARIES","FQ2 2024","FQ2 2024","Currency=USD","Period=FQ","BEST_FPERIOD_OVERRIDE=FQ","FILING_STATUS=MR","SCALING_FORMAT=MLN","Sort=A","Dates=H","DateFormat=P","Fill=—","Direction=H","UseDPDF=Y")</f>
        <v>0</v>
      </c>
      <c r="Z32" s="13">
        <f>_xll.BDH("SRPT US Equity","CF_CASH_FOR_ACQUIS_SUBSIDIARIES","FQ3 2024","FQ3 2024","Currency=USD","Period=FQ","BEST_FPERIOD_OVERRIDE=FQ","FILING_STATUS=MR","SCALING_FORMAT=MLN","Sort=A","Dates=H","DateFormat=P","Fill=—","Direction=H","UseDPDF=Y")</f>
        <v>0</v>
      </c>
      <c r="AA32" s="13">
        <f>_xll.BDH("SRPT US Equity","CF_CASH_FOR_ACQUIS_SUBSIDIARIES","FQ4 2024","FQ4 2024","Currency=USD","Period=FQ","BEST_FPERIOD_OVERRIDE=FQ","FILING_STATUS=MR","SCALING_FORMAT=MLN","Sort=A","Dates=H","DateFormat=P","Fill=—","Direction=H","UseDPDF=Y")</f>
        <v>0</v>
      </c>
    </row>
    <row r="33" spans="1:27" x14ac:dyDescent="0.25">
      <c r="A33" s="10" t="s">
        <v>1224</v>
      </c>
      <c r="B33" s="10" t="s">
        <v>1225</v>
      </c>
      <c r="C33" s="13">
        <f>_xll.BDH("SRPT US Equity","CF_CASH_FOR_JOINT_VENTURES_ASSOC","FQ4 2018","FQ4 2018","Currency=USD","Period=FQ","BEST_FPERIOD_OVERRIDE=FQ","FILING_STATUS=MR","SCALING_FORMAT=MLN","Sort=A","Dates=H","DateFormat=P","Fill=—","Direction=H","UseDPDF=Y")</f>
        <v>0</v>
      </c>
      <c r="D33" s="13">
        <f>_xll.BDH("SRPT US Equity","CF_CASH_FOR_JOINT_VENTURES_ASSOC","FQ1 2019","FQ1 2019","Currency=USD","Period=FQ","BEST_FPERIOD_OVERRIDE=FQ","FILING_STATUS=MR","SCALING_FORMAT=MLN","Sort=A","Dates=H","DateFormat=P","Fill=—","Direction=H","UseDPDF=Y")</f>
        <v>0</v>
      </c>
      <c r="E33" s="13">
        <f>_xll.BDH("SRPT US Equity","CF_CASH_FOR_JOINT_VENTURES_ASSOC","FQ2 2019","FQ2 2019","Currency=USD","Period=FQ","BEST_FPERIOD_OVERRIDE=FQ","FILING_STATUS=MR","SCALING_FORMAT=MLN","Sort=A","Dates=H","DateFormat=P","Fill=—","Direction=H","UseDPDF=Y")</f>
        <v>0</v>
      </c>
      <c r="F33" s="13">
        <f>_xll.BDH("SRPT US Equity","CF_CASH_FOR_JOINT_VENTURES_ASSOC","FQ3 2019","FQ3 2019","Currency=USD","Period=FQ","BEST_FPERIOD_OVERRIDE=FQ","FILING_STATUS=MR","SCALING_FORMAT=MLN","Sort=A","Dates=H","DateFormat=P","Fill=—","Direction=H","UseDPDF=Y")</f>
        <v>0</v>
      </c>
      <c r="G33" s="13">
        <f>_xll.BDH("SRPT US Equity","CF_CASH_FOR_JOINT_VENTURES_ASSOC","FQ4 2019","FQ4 2019","Currency=USD","Period=FQ","BEST_FPERIOD_OVERRIDE=FQ","FILING_STATUS=MR","SCALING_FORMAT=MLN","Sort=A","Dates=H","DateFormat=P","Fill=—","Direction=H","UseDPDF=Y")</f>
        <v>0</v>
      </c>
      <c r="H33" s="13">
        <f>_xll.BDH("SRPT US Equity","CF_CASH_FOR_JOINT_VENTURES_ASSOC","FQ1 2020","FQ1 2020","Currency=USD","Period=FQ","BEST_FPERIOD_OVERRIDE=FQ","FILING_STATUS=MR","SCALING_FORMAT=MLN","Sort=A","Dates=H","DateFormat=P","Fill=—","Direction=H","UseDPDF=Y")</f>
        <v>0</v>
      </c>
      <c r="I33" s="13">
        <f>_xll.BDH("SRPT US Equity","CF_CASH_FOR_JOINT_VENTURES_ASSOC","FQ2 2020","FQ2 2020","Currency=USD","Period=FQ","BEST_FPERIOD_OVERRIDE=FQ","FILING_STATUS=MR","SCALING_FORMAT=MLN","Sort=A","Dates=H","DateFormat=P","Fill=—","Direction=H","UseDPDF=Y")</f>
        <v>0</v>
      </c>
      <c r="J33" s="13">
        <f>_xll.BDH("SRPT US Equity","CF_CASH_FOR_JOINT_VENTURES_ASSOC","FQ3 2020","FQ3 2020","Currency=USD","Period=FQ","BEST_FPERIOD_OVERRIDE=FQ","FILING_STATUS=MR","SCALING_FORMAT=MLN","Sort=A","Dates=H","DateFormat=P","Fill=—","Direction=H","UseDPDF=Y")</f>
        <v>0</v>
      </c>
      <c r="K33" s="13">
        <f>_xll.BDH("SRPT US Equity","CF_CASH_FOR_JOINT_VENTURES_ASSOC","FQ4 2020","FQ4 2020","Currency=USD","Period=FQ","BEST_FPERIOD_OVERRIDE=FQ","FILING_STATUS=MR","SCALING_FORMAT=MLN","Sort=A","Dates=H","DateFormat=P","Fill=—","Direction=H","UseDPDF=Y")</f>
        <v>0</v>
      </c>
      <c r="L33" s="13">
        <f>_xll.BDH("SRPT US Equity","CF_CASH_FOR_JOINT_VENTURES_ASSOC","FQ1 2021","FQ1 2021","Currency=USD","Period=FQ","BEST_FPERIOD_OVERRIDE=FQ","FILING_STATUS=MR","SCALING_FORMAT=MLN","Sort=A","Dates=H","DateFormat=P","Fill=—","Direction=H","UseDPDF=Y")</f>
        <v>0</v>
      </c>
      <c r="M33" s="13">
        <f>_xll.BDH("SRPT US Equity","CF_CASH_FOR_JOINT_VENTURES_ASSOC","FQ2 2021","FQ2 2021","Currency=USD","Period=FQ","BEST_FPERIOD_OVERRIDE=FQ","FILING_STATUS=MR","SCALING_FORMAT=MLN","Sort=A","Dates=H","DateFormat=P","Fill=—","Direction=H","UseDPDF=Y")</f>
        <v>0</v>
      </c>
      <c r="N33" s="13">
        <f>_xll.BDH("SRPT US Equity","CF_CASH_FOR_JOINT_VENTURES_ASSOC","FQ3 2021","FQ3 2021","Currency=USD","Period=FQ","BEST_FPERIOD_OVERRIDE=FQ","FILING_STATUS=MR","SCALING_FORMAT=MLN","Sort=A","Dates=H","DateFormat=P","Fill=—","Direction=H","UseDPDF=Y")</f>
        <v>0</v>
      </c>
      <c r="O33" s="13">
        <f>_xll.BDH("SRPT US Equity","CF_CASH_FOR_JOINT_VENTURES_ASSOC","FQ4 2021","FQ4 2021","Currency=USD","Period=FQ","BEST_FPERIOD_OVERRIDE=FQ","FILING_STATUS=MR","SCALING_FORMAT=MLN","Sort=A","Dates=H","DateFormat=P","Fill=—","Direction=H","UseDPDF=Y")</f>
        <v>0</v>
      </c>
      <c r="P33" s="13">
        <f>_xll.BDH("SRPT US Equity","CF_CASH_FOR_JOINT_VENTURES_ASSOC","FQ1 2022","FQ1 2022","Currency=USD","Period=FQ","BEST_FPERIOD_OVERRIDE=FQ","FILING_STATUS=MR","SCALING_FORMAT=MLN","Sort=A","Dates=H","DateFormat=P","Fill=—","Direction=H","UseDPDF=Y")</f>
        <v>0</v>
      </c>
      <c r="Q33" s="13">
        <f>_xll.BDH("SRPT US Equity","CF_CASH_FOR_JOINT_VENTURES_ASSOC","FQ2 2022","FQ2 2022","Currency=USD","Period=FQ","BEST_FPERIOD_OVERRIDE=FQ","FILING_STATUS=MR","SCALING_FORMAT=MLN","Sort=A","Dates=H","DateFormat=P","Fill=—","Direction=H","UseDPDF=Y")</f>
        <v>0</v>
      </c>
      <c r="R33" s="13">
        <f>_xll.BDH("SRPT US Equity","CF_CASH_FOR_JOINT_VENTURES_ASSOC","FQ3 2022","FQ3 2022","Currency=USD","Period=FQ","BEST_FPERIOD_OVERRIDE=FQ","FILING_STATUS=MR","SCALING_FORMAT=MLN","Sort=A","Dates=H","DateFormat=P","Fill=—","Direction=H","UseDPDF=Y")</f>
        <v>0</v>
      </c>
      <c r="S33" s="13">
        <f>_xll.BDH("SRPT US Equity","CF_CASH_FOR_JOINT_VENTURES_ASSOC","FQ4 2022","FQ4 2022","Currency=USD","Period=FQ","BEST_FPERIOD_OVERRIDE=FQ","FILING_STATUS=MR","SCALING_FORMAT=MLN","Sort=A","Dates=H","DateFormat=P","Fill=—","Direction=H","UseDPDF=Y")</f>
        <v>0</v>
      </c>
      <c r="T33" s="13">
        <f>_xll.BDH("SRPT US Equity","CF_CASH_FOR_JOINT_VENTURES_ASSOC","FQ1 2023","FQ1 2023","Currency=USD","Period=FQ","BEST_FPERIOD_OVERRIDE=FQ","FILING_STATUS=MR","SCALING_FORMAT=MLN","Sort=A","Dates=H","DateFormat=P","Fill=—","Direction=H","UseDPDF=Y")</f>
        <v>0</v>
      </c>
      <c r="U33" s="13">
        <f>_xll.BDH("SRPT US Equity","CF_CASH_FOR_JOINT_VENTURES_ASSOC","FQ2 2023","FQ2 2023","Currency=USD","Period=FQ","BEST_FPERIOD_OVERRIDE=FQ","FILING_STATUS=MR","SCALING_FORMAT=MLN","Sort=A","Dates=H","DateFormat=P","Fill=—","Direction=H","UseDPDF=Y")</f>
        <v>0</v>
      </c>
      <c r="V33" s="13">
        <f>_xll.BDH("SRPT US Equity","CF_CASH_FOR_JOINT_VENTURES_ASSOC","FQ3 2023","FQ3 2023","Currency=USD","Period=FQ","BEST_FPERIOD_OVERRIDE=FQ","FILING_STATUS=MR","SCALING_FORMAT=MLN","Sort=A","Dates=H","DateFormat=P","Fill=—","Direction=H","UseDPDF=Y")</f>
        <v>0</v>
      </c>
      <c r="W33" s="13">
        <f>_xll.BDH("SRPT US Equity","CF_CASH_FOR_JOINT_VENTURES_ASSOC","FQ4 2023","FQ4 2023","Currency=USD","Period=FQ","BEST_FPERIOD_OVERRIDE=FQ","FILING_STATUS=MR","SCALING_FORMAT=MLN","Sort=A","Dates=H","DateFormat=P","Fill=—","Direction=H","UseDPDF=Y")</f>
        <v>0</v>
      </c>
      <c r="X33" s="13">
        <f>_xll.BDH("SRPT US Equity","CF_CASH_FOR_JOINT_VENTURES_ASSOC","FQ1 2024","FQ1 2024","Currency=USD","Period=FQ","BEST_FPERIOD_OVERRIDE=FQ","FILING_STATUS=MR","SCALING_FORMAT=MLN","Sort=A","Dates=H","DateFormat=P","Fill=—","Direction=H","UseDPDF=Y")</f>
        <v>0</v>
      </c>
      <c r="Y33" s="13">
        <f>_xll.BDH("SRPT US Equity","CF_CASH_FOR_JOINT_VENTURES_ASSOC","FQ2 2024","FQ2 2024","Currency=USD","Period=FQ","BEST_FPERIOD_OVERRIDE=FQ","FILING_STATUS=MR","SCALING_FORMAT=MLN","Sort=A","Dates=H","DateFormat=P","Fill=—","Direction=H","UseDPDF=Y")</f>
        <v>0</v>
      </c>
      <c r="Z33" s="13">
        <f>_xll.BDH("SRPT US Equity","CF_CASH_FOR_JOINT_VENTURES_ASSOC","FQ3 2024","FQ3 2024","Currency=USD","Period=FQ","BEST_FPERIOD_OVERRIDE=FQ","FILING_STATUS=MR","SCALING_FORMAT=MLN","Sort=A","Dates=H","DateFormat=P","Fill=—","Direction=H","UseDPDF=Y")</f>
        <v>0</v>
      </c>
      <c r="AA33" s="13">
        <f>_xll.BDH("SRPT US Equity","CF_CASH_FOR_JOINT_VENTURES_ASSOC","FQ4 2024","FQ4 2024","Currency=USD","Period=FQ","BEST_FPERIOD_OVERRIDE=FQ","FILING_STATUS=MR","SCALING_FORMAT=MLN","Sort=A","Dates=H","DateFormat=P","Fill=—","Direction=H","UseDPDF=Y")</f>
        <v>0</v>
      </c>
    </row>
    <row r="34" spans="1:27" x14ac:dyDescent="0.25">
      <c r="A34" s="10" t="s">
        <v>1226</v>
      </c>
      <c r="B34" s="10" t="s">
        <v>1227</v>
      </c>
      <c r="C34" s="13">
        <f>_xll.BDH("SRPT US Equity","OTHER_INVESTING_ACT_DETAILED","FQ4 2018","FQ4 2018","Currency=USD","Period=FQ","BEST_FPERIOD_OVERRIDE=FQ","FILING_STATUS=MR","SCALING_FORMAT=MLN","Sort=A","Dates=H","DateFormat=P","Fill=—","Direction=H","UseDPDF=Y")</f>
        <v>-216.625</v>
      </c>
      <c r="D34" s="13">
        <f>_xll.BDH("SRPT US Equity","OTHER_INVESTING_ACT_DETAILED","FQ1 2019","FQ1 2019","Currency=USD","Period=FQ","BEST_FPERIOD_OVERRIDE=FQ","FILING_STATUS=MR","SCALING_FORMAT=MLN","Sort=A","Dates=H","DateFormat=P","Fill=—","Direction=H","UseDPDF=Y")</f>
        <v>152.34899999999999</v>
      </c>
      <c r="E34" s="13">
        <f>_xll.BDH("SRPT US Equity","OTHER_INVESTING_ACT_DETAILED","FQ2 2019","FQ2 2019","Currency=USD","Period=FQ","BEST_FPERIOD_OVERRIDE=FQ","FILING_STATUS=MR","SCALING_FORMAT=MLN","Sort=A","Dates=H","DateFormat=P","Fill=—","Direction=H","UseDPDF=Y")</f>
        <v>342.21</v>
      </c>
      <c r="F34" s="13">
        <f>_xll.BDH("SRPT US Equity","OTHER_INVESTING_ACT_DETAILED","FQ3 2019","FQ3 2019","Currency=USD","Period=FQ","BEST_FPERIOD_OVERRIDE=FQ","FILING_STATUS=MR","SCALING_FORMAT=MLN","Sort=A","Dates=H","DateFormat=P","Fill=—","Direction=H","UseDPDF=Y")</f>
        <v>-7.9359999999999999</v>
      </c>
      <c r="G34" s="13">
        <f>_xll.BDH("SRPT US Equity","OTHER_INVESTING_ACT_DETAILED","FQ4 2019","FQ4 2019","Currency=USD","Period=FQ","BEST_FPERIOD_OVERRIDE=FQ","FILING_STATUS=MR","SCALING_FORMAT=MLN","Sort=A","Dates=H","DateFormat=P","Fill=—","Direction=H","UseDPDF=Y")</f>
        <v>35.371000000000002</v>
      </c>
      <c r="H34" s="13">
        <f>_xll.BDH("SRPT US Equity","OTHER_INVESTING_ACT_DETAILED","FQ1 2020","FQ1 2020","Currency=USD","Period=FQ","BEST_FPERIOD_OVERRIDE=FQ","FILING_STATUS=MR","SCALING_FORMAT=MLN","Sort=A","Dates=H","DateFormat=P","Fill=—","Direction=H","UseDPDF=Y")</f>
        <v>-115.437</v>
      </c>
      <c r="I34" s="13">
        <f>_xll.BDH("SRPT US Equity","OTHER_INVESTING_ACT_DETAILED","FQ2 2020","FQ2 2020","Currency=USD","Period=FQ","BEST_FPERIOD_OVERRIDE=FQ","FILING_STATUS=MR","SCALING_FORMAT=MLN","Sort=A","Dates=H","DateFormat=P","Fill=—","Direction=H","UseDPDF=Y")</f>
        <v>-14.321</v>
      </c>
      <c r="J34" s="13">
        <f>_xll.BDH("SRPT US Equity","OTHER_INVESTING_ACT_DETAILED","FQ3 2020","FQ3 2020","Currency=USD","Period=FQ","BEST_FPERIOD_OVERRIDE=FQ","FILING_STATUS=MR","SCALING_FORMAT=MLN","Sort=A","Dates=H","DateFormat=P","Fill=—","Direction=H","UseDPDF=Y")</f>
        <v>188.11600000000001</v>
      </c>
      <c r="K34" s="13">
        <f>_xll.BDH("SRPT US Equity","OTHER_INVESTING_ACT_DETAILED","FQ4 2020","FQ4 2020","Currency=USD","Period=FQ","BEST_FPERIOD_OVERRIDE=FQ","FILING_STATUS=MR","SCALING_FORMAT=MLN","Sort=A","Dates=H","DateFormat=P","Fill=—","Direction=H","UseDPDF=Y")</f>
        <v>-97.876999999999995</v>
      </c>
      <c r="L34" s="13">
        <f>_xll.BDH("SRPT US Equity","OTHER_INVESTING_ACT_DETAILED","FQ1 2021","FQ1 2021","Currency=USD","Period=FQ","BEST_FPERIOD_OVERRIDE=FQ","FILING_STATUS=MR","SCALING_FORMAT=MLN","Sort=A","Dates=H","DateFormat=P","Fill=—","Direction=H","UseDPDF=Y")</f>
        <v>180.011</v>
      </c>
      <c r="M34" s="13">
        <f>_xll.BDH("SRPT US Equity","OTHER_INVESTING_ACT_DETAILED","FQ2 2021","FQ2 2021","Currency=USD","Period=FQ","BEST_FPERIOD_OVERRIDE=FQ","FILING_STATUS=MR","SCALING_FORMAT=MLN","Sort=A","Dates=H","DateFormat=P","Fill=—","Direction=H","UseDPDF=Y")</f>
        <v>226</v>
      </c>
      <c r="N34" s="13">
        <f>_xll.BDH("SRPT US Equity","OTHER_INVESTING_ACT_DETAILED","FQ3 2021","FQ3 2021","Currency=USD","Period=FQ","BEST_FPERIOD_OVERRIDE=FQ","FILING_STATUS=MR","SCALING_FORMAT=MLN","Sort=A","Dates=H","DateFormat=P","Fill=—","Direction=H","UseDPDF=Y")</f>
        <v>30.001000000000001</v>
      </c>
      <c r="O34" s="13">
        <f>_xll.BDH("SRPT US Equity","OTHER_INVESTING_ACT_DETAILED","FQ4 2021","FQ4 2021","Currency=USD","Period=FQ","BEST_FPERIOD_OVERRIDE=FQ","FILING_STATUS=MR","SCALING_FORMAT=MLN","Sort=A","Dates=H","DateFormat=P","Fill=—","Direction=H","UseDPDF=Y")</f>
        <v>-0.371</v>
      </c>
      <c r="P34" s="13">
        <f>_xll.BDH("SRPT US Equity","OTHER_INVESTING_ACT_DETAILED","FQ1 2022","FQ1 2022","Currency=USD","Period=FQ","BEST_FPERIOD_OVERRIDE=FQ","FILING_STATUS=MR","SCALING_FORMAT=MLN","Sort=A","Dates=H","DateFormat=P","Fill=—","Direction=H","UseDPDF=Y")</f>
        <v>-780.25599999999997</v>
      </c>
      <c r="Q34" s="13">
        <f>_xll.BDH("SRPT US Equity","OTHER_INVESTING_ACT_DETAILED","FQ2 2022","FQ2 2022","Currency=USD","Period=FQ","BEST_FPERIOD_OVERRIDE=FQ","FILING_STATUS=MR","SCALING_FORMAT=MLN","Sort=A","Dates=H","DateFormat=P","Fill=—","Direction=H","UseDPDF=Y")</f>
        <v>-280.19499999999999</v>
      </c>
      <c r="R34" s="13">
        <f>_xll.BDH("SRPT US Equity","OTHER_INVESTING_ACT_DETAILED","FQ3 2022","FQ3 2022","Currency=USD","Period=FQ","BEST_FPERIOD_OVERRIDE=FQ","FILING_STATUS=MR","SCALING_FORMAT=MLN","Sort=A","Dates=H","DateFormat=P","Fill=—","Direction=H","UseDPDF=Y")</f>
        <v>27.856999999999999</v>
      </c>
      <c r="S34" s="13">
        <f>_xll.BDH("SRPT US Equity","OTHER_INVESTING_ACT_DETAILED","FQ4 2022","FQ4 2022","Currency=USD","Period=FQ","BEST_FPERIOD_OVERRIDE=FQ","FILING_STATUS=MR","SCALING_FORMAT=MLN","Sort=A","Dates=H","DateFormat=P","Fill=—","Direction=H","UseDPDF=Y")</f>
        <v>16.535</v>
      </c>
      <c r="T34" s="13">
        <f>_xll.BDH("SRPT US Equity","OTHER_INVESTING_ACT_DETAILED","FQ1 2023","FQ1 2023","Currency=USD","Period=FQ","BEST_FPERIOD_OVERRIDE=FQ","FILING_STATUS=MR","SCALING_FORMAT=MLN","Sort=A","Dates=H","DateFormat=P","Fill=—","Direction=H","UseDPDF=Y")</f>
        <v>21.977</v>
      </c>
      <c r="U34" s="13">
        <f>_xll.BDH("SRPT US Equity","OTHER_INVESTING_ACT_DETAILED","FQ2 2023","FQ2 2023","Currency=USD","Period=FQ","BEST_FPERIOD_OVERRIDE=FQ","FILING_STATUS=MR","SCALING_FORMAT=MLN","Sort=A","Dates=H","DateFormat=P","Fill=—","Direction=H","UseDPDF=Y")</f>
        <v>12.542999999999999</v>
      </c>
      <c r="V34" s="13">
        <f>_xll.BDH("SRPT US Equity","OTHER_INVESTING_ACT_DETAILED","FQ3 2023","FQ3 2023","Currency=USD","Period=FQ","BEST_FPERIOD_OVERRIDE=FQ","FILING_STATUS=MR","SCALING_FORMAT=MLN","Sort=A","Dates=H","DateFormat=P","Fill=—","Direction=H","UseDPDF=Y")</f>
        <v>-169.65899999999999</v>
      </c>
      <c r="W34" s="13">
        <f>_xll.BDH("SRPT US Equity","OTHER_INVESTING_ACT_DETAILED","FQ4 2023","FQ4 2023","Currency=USD","Period=FQ","BEST_FPERIOD_OVERRIDE=FQ","FILING_STATUS=MR","SCALING_FORMAT=MLN","Sort=A","Dates=H","DateFormat=P","Fill=—","Direction=H","UseDPDF=Y")</f>
        <v>-45.319000000000003</v>
      </c>
      <c r="X34" s="13">
        <f>_xll.BDH("SRPT US Equity","OTHER_INVESTING_ACT_DETAILED","FQ1 2024","FQ1 2024","Currency=USD","Period=FQ","BEST_FPERIOD_OVERRIDE=FQ","FILING_STATUS=MR","SCALING_FORMAT=MLN","Sort=A","Dates=H","DateFormat=P","Fill=—","Direction=H","UseDPDF=Y")</f>
        <v>261.24</v>
      </c>
      <c r="Y34" s="13">
        <f>_xll.BDH("SRPT US Equity","OTHER_INVESTING_ACT_DETAILED","FQ2 2024","FQ2 2024","Currency=USD","Period=FQ","BEST_FPERIOD_OVERRIDE=FQ","FILING_STATUS=MR","SCALING_FORMAT=MLN","Sort=A","Dates=H","DateFormat=P","Fill=—","Direction=H","UseDPDF=Y")</f>
        <v>-69.361000000000004</v>
      </c>
      <c r="Z34" s="13">
        <f>_xll.BDH("SRPT US Equity","OTHER_INVESTING_ACT_DETAILED","FQ3 2024","FQ3 2024","Currency=USD","Period=FQ","BEST_FPERIOD_OVERRIDE=FQ","FILING_STATUS=MR","SCALING_FORMAT=MLN","Sort=A","Dates=H","DateFormat=P","Fill=—","Direction=H","UseDPDF=Y")</f>
        <v>-91.561999999999998</v>
      </c>
      <c r="AA34" s="13">
        <f>_xll.BDH("SRPT US Equity","OTHER_INVESTING_ACT_DETAILED","FQ4 2024","FQ4 2024","Currency=USD","Period=FQ","BEST_FPERIOD_OVERRIDE=FQ","FILING_STATUS=MR","SCALING_FORMAT=MLN","Sort=A","Dates=H","DateFormat=P","Fill=—","Direction=H","UseDPDF=Y")</f>
        <v>802.2</v>
      </c>
    </row>
    <row r="35" spans="1:27" x14ac:dyDescent="0.25">
      <c r="A35" s="10" t="s">
        <v>1195</v>
      </c>
      <c r="B35" s="10" t="s">
        <v>1228</v>
      </c>
      <c r="C35" s="13">
        <f>_xll.BDH("SRPT US Equity","CF_NET_CASH_DISCONTINUED_OPS_INV","FQ4 2018","FQ4 2018","Currency=USD","Period=FQ","BEST_FPERIOD_OVERRIDE=FQ","FILING_STATUS=MR","SCALING_FORMAT=MLN","Sort=A","Dates=H","DateFormat=P","Fill=—","Direction=H","UseDPDF=Y")</f>
        <v>0</v>
      </c>
      <c r="D35" s="13">
        <f>_xll.BDH("SRPT US Equity","CF_NET_CASH_DISCONTINUED_OPS_INV","FQ1 2019","FQ1 2019","Currency=USD","Period=FQ","BEST_FPERIOD_OVERRIDE=FQ","FILING_STATUS=MR","SCALING_FORMAT=MLN","Sort=A","Dates=H","DateFormat=P","Fill=—","Direction=H","UseDPDF=Y")</f>
        <v>0</v>
      </c>
      <c r="E35" s="13">
        <f>_xll.BDH("SRPT US Equity","CF_NET_CASH_DISCONTINUED_OPS_INV","FQ2 2019","FQ2 2019","Currency=USD","Period=FQ","BEST_FPERIOD_OVERRIDE=FQ","FILING_STATUS=MR","SCALING_FORMAT=MLN","Sort=A","Dates=H","DateFormat=P","Fill=—","Direction=H","UseDPDF=Y")</f>
        <v>0</v>
      </c>
      <c r="F35" s="13">
        <f>_xll.BDH("SRPT US Equity","CF_NET_CASH_DISCONTINUED_OPS_INV","FQ3 2019","FQ3 2019","Currency=USD","Period=FQ","BEST_FPERIOD_OVERRIDE=FQ","FILING_STATUS=MR","SCALING_FORMAT=MLN","Sort=A","Dates=H","DateFormat=P","Fill=—","Direction=H","UseDPDF=Y")</f>
        <v>0</v>
      </c>
      <c r="G35" s="13">
        <f>_xll.BDH("SRPT US Equity","CF_NET_CASH_DISCONTINUED_OPS_INV","FQ4 2019","FQ4 2019","Currency=USD","Period=FQ","BEST_FPERIOD_OVERRIDE=FQ","FILING_STATUS=MR","SCALING_FORMAT=MLN","Sort=A","Dates=H","DateFormat=P","Fill=—","Direction=H","UseDPDF=Y")</f>
        <v>0</v>
      </c>
      <c r="H35" s="13">
        <f>_xll.BDH("SRPT US Equity","CF_NET_CASH_DISCONTINUED_OPS_INV","FQ1 2020","FQ1 2020","Currency=USD","Period=FQ","BEST_FPERIOD_OVERRIDE=FQ","FILING_STATUS=MR","SCALING_FORMAT=MLN","Sort=A","Dates=H","DateFormat=P","Fill=—","Direction=H","UseDPDF=Y")</f>
        <v>0</v>
      </c>
      <c r="I35" s="13">
        <f>_xll.BDH("SRPT US Equity","CF_NET_CASH_DISCONTINUED_OPS_INV","FQ2 2020","FQ2 2020","Currency=USD","Period=FQ","BEST_FPERIOD_OVERRIDE=FQ","FILING_STATUS=MR","SCALING_FORMAT=MLN","Sort=A","Dates=H","DateFormat=P","Fill=—","Direction=H","UseDPDF=Y")</f>
        <v>0</v>
      </c>
      <c r="J35" s="13">
        <f>_xll.BDH("SRPT US Equity","CF_NET_CASH_DISCONTINUED_OPS_INV","FQ3 2020","FQ3 2020","Currency=USD","Period=FQ","BEST_FPERIOD_OVERRIDE=FQ","FILING_STATUS=MR","SCALING_FORMAT=MLN","Sort=A","Dates=H","DateFormat=P","Fill=—","Direction=H","UseDPDF=Y")</f>
        <v>0</v>
      </c>
      <c r="K35" s="13">
        <f>_xll.BDH("SRPT US Equity","CF_NET_CASH_DISCONTINUED_OPS_INV","FQ4 2020","FQ4 2020","Currency=USD","Period=FQ","BEST_FPERIOD_OVERRIDE=FQ","FILING_STATUS=MR","SCALING_FORMAT=MLN","Sort=A","Dates=H","DateFormat=P","Fill=—","Direction=H","UseDPDF=Y")</f>
        <v>0</v>
      </c>
      <c r="L35" s="13">
        <f>_xll.BDH("SRPT US Equity","CF_NET_CASH_DISCONTINUED_OPS_INV","FQ1 2021","FQ1 2021","Currency=USD","Period=FQ","BEST_FPERIOD_OVERRIDE=FQ","FILING_STATUS=MR","SCALING_FORMAT=MLN","Sort=A","Dates=H","DateFormat=P","Fill=—","Direction=H","UseDPDF=Y")</f>
        <v>0</v>
      </c>
      <c r="M35" s="13">
        <f>_xll.BDH("SRPT US Equity","CF_NET_CASH_DISCONTINUED_OPS_INV","FQ2 2021","FQ2 2021","Currency=USD","Period=FQ","BEST_FPERIOD_OVERRIDE=FQ","FILING_STATUS=MR","SCALING_FORMAT=MLN","Sort=A","Dates=H","DateFormat=P","Fill=—","Direction=H","UseDPDF=Y")</f>
        <v>0</v>
      </c>
      <c r="N35" s="13">
        <f>_xll.BDH("SRPT US Equity","CF_NET_CASH_DISCONTINUED_OPS_INV","FQ3 2021","FQ3 2021","Currency=USD","Period=FQ","BEST_FPERIOD_OVERRIDE=FQ","FILING_STATUS=MR","SCALING_FORMAT=MLN","Sort=A","Dates=H","DateFormat=P","Fill=—","Direction=H","UseDPDF=Y")</f>
        <v>0</v>
      </c>
      <c r="O35" s="13">
        <f>_xll.BDH("SRPT US Equity","CF_NET_CASH_DISCONTINUED_OPS_INV","FQ4 2021","FQ4 2021","Currency=USD","Period=FQ","BEST_FPERIOD_OVERRIDE=FQ","FILING_STATUS=MR","SCALING_FORMAT=MLN","Sort=A","Dates=H","DateFormat=P","Fill=—","Direction=H","UseDPDF=Y")</f>
        <v>0</v>
      </c>
      <c r="P35" s="13">
        <f>_xll.BDH("SRPT US Equity","CF_NET_CASH_DISCONTINUED_OPS_INV","FQ1 2022","FQ1 2022","Currency=USD","Period=FQ","BEST_FPERIOD_OVERRIDE=FQ","FILING_STATUS=MR","SCALING_FORMAT=MLN","Sort=A","Dates=H","DateFormat=P","Fill=—","Direction=H","UseDPDF=Y")</f>
        <v>0</v>
      </c>
      <c r="Q35" s="13">
        <f>_xll.BDH("SRPT US Equity","CF_NET_CASH_DISCONTINUED_OPS_INV","FQ2 2022","FQ2 2022","Currency=USD","Period=FQ","BEST_FPERIOD_OVERRIDE=FQ","FILING_STATUS=MR","SCALING_FORMAT=MLN","Sort=A","Dates=H","DateFormat=P","Fill=—","Direction=H","UseDPDF=Y")</f>
        <v>0</v>
      </c>
      <c r="R35" s="13">
        <f>_xll.BDH("SRPT US Equity","CF_NET_CASH_DISCONTINUED_OPS_INV","FQ3 2022","FQ3 2022","Currency=USD","Period=FQ","BEST_FPERIOD_OVERRIDE=FQ","FILING_STATUS=MR","SCALING_FORMAT=MLN","Sort=A","Dates=H","DateFormat=P","Fill=—","Direction=H","UseDPDF=Y")</f>
        <v>0</v>
      </c>
      <c r="S35" s="13">
        <f>_xll.BDH("SRPT US Equity","CF_NET_CASH_DISCONTINUED_OPS_INV","FQ4 2022","FQ4 2022","Currency=USD","Period=FQ","BEST_FPERIOD_OVERRIDE=FQ","FILING_STATUS=MR","SCALING_FORMAT=MLN","Sort=A","Dates=H","DateFormat=P","Fill=—","Direction=H","UseDPDF=Y")</f>
        <v>0</v>
      </c>
      <c r="T35" s="13">
        <f>_xll.BDH("SRPT US Equity","CF_NET_CASH_DISCONTINUED_OPS_INV","FQ1 2023","FQ1 2023","Currency=USD","Period=FQ","BEST_FPERIOD_OVERRIDE=FQ","FILING_STATUS=MR","SCALING_FORMAT=MLN","Sort=A","Dates=H","DateFormat=P","Fill=—","Direction=H","UseDPDF=Y")</f>
        <v>0</v>
      </c>
      <c r="U35" s="13">
        <f>_xll.BDH("SRPT US Equity","CF_NET_CASH_DISCONTINUED_OPS_INV","FQ2 2023","FQ2 2023","Currency=USD","Period=FQ","BEST_FPERIOD_OVERRIDE=FQ","FILING_STATUS=MR","SCALING_FORMAT=MLN","Sort=A","Dates=H","DateFormat=P","Fill=—","Direction=H","UseDPDF=Y")</f>
        <v>0</v>
      </c>
      <c r="V35" s="13">
        <f>_xll.BDH("SRPT US Equity","CF_NET_CASH_DISCONTINUED_OPS_INV","FQ3 2023","FQ3 2023","Currency=USD","Period=FQ","BEST_FPERIOD_OVERRIDE=FQ","FILING_STATUS=MR","SCALING_FORMAT=MLN","Sort=A","Dates=H","DateFormat=P","Fill=—","Direction=H","UseDPDF=Y")</f>
        <v>0</v>
      </c>
      <c r="W35" s="13">
        <f>_xll.BDH("SRPT US Equity","CF_NET_CASH_DISCONTINUED_OPS_INV","FQ4 2023","FQ4 2023","Currency=USD","Period=FQ","BEST_FPERIOD_OVERRIDE=FQ","FILING_STATUS=MR","SCALING_FORMAT=MLN","Sort=A","Dates=H","DateFormat=P","Fill=—","Direction=H","UseDPDF=Y")</f>
        <v>0</v>
      </c>
      <c r="X35" s="13">
        <f>_xll.BDH("SRPT US Equity","CF_NET_CASH_DISCONTINUED_OPS_INV","FQ1 2024","FQ1 2024","Currency=USD","Period=FQ","BEST_FPERIOD_OVERRIDE=FQ","FILING_STATUS=MR","SCALING_FORMAT=MLN","Sort=A","Dates=H","DateFormat=P","Fill=—","Direction=H","UseDPDF=Y")</f>
        <v>0</v>
      </c>
      <c r="Y35" s="13">
        <f>_xll.BDH("SRPT US Equity","CF_NET_CASH_DISCONTINUED_OPS_INV","FQ2 2024","FQ2 2024","Currency=USD","Period=FQ","BEST_FPERIOD_OVERRIDE=FQ","FILING_STATUS=MR","SCALING_FORMAT=MLN","Sort=A","Dates=H","DateFormat=P","Fill=—","Direction=H","UseDPDF=Y")</f>
        <v>0</v>
      </c>
      <c r="Z35" s="13">
        <f>_xll.BDH("SRPT US Equity","CF_NET_CASH_DISCONTINUED_OPS_INV","FQ3 2024","FQ3 2024","Currency=USD","Period=FQ","BEST_FPERIOD_OVERRIDE=FQ","FILING_STATUS=MR","SCALING_FORMAT=MLN","Sort=A","Dates=H","DateFormat=P","Fill=—","Direction=H","UseDPDF=Y")</f>
        <v>0</v>
      </c>
      <c r="AA35" s="13">
        <f>_xll.BDH("SRPT US Equity","CF_NET_CASH_DISCONTINUED_OPS_INV","FQ4 2024","FQ4 2024","Currency=USD","Period=FQ","BEST_FPERIOD_OVERRIDE=FQ","FILING_STATUS=MR","SCALING_FORMAT=MLN","Sort=A","Dates=H","DateFormat=P","Fill=—","Direction=H","UseDPDF=Y")</f>
        <v>0</v>
      </c>
    </row>
    <row r="36" spans="1:27" x14ac:dyDescent="0.25">
      <c r="A36" s="6" t="s">
        <v>1197</v>
      </c>
      <c r="B36" s="6" t="s">
        <v>126</v>
      </c>
      <c r="C36" s="19">
        <f>_xll.BDH("SRPT US Equity","CF_CASH_FROM_INV_ACT","FQ4 2018","FQ4 2018","Currency=USD","Period=FQ","BEST_FPERIOD_OVERRIDE=FQ","FILING_STATUS=MR","SCALING_FORMAT=MLN","Sort=A","Dates=H","DateFormat=P","Fill=—","Direction=H","UseDPDF=Y")</f>
        <v>-237.73599999999999</v>
      </c>
      <c r="D36" s="19">
        <f>_xll.BDH("SRPT US Equity","CF_CASH_FROM_INV_ACT","FQ1 2019","FQ1 2019","Currency=USD","Period=FQ","BEST_FPERIOD_OVERRIDE=FQ","FILING_STATUS=MR","SCALING_FORMAT=MLN","Sort=A","Dates=H","DateFormat=P","Fill=—","Direction=H","UseDPDF=Y")</f>
        <v>135.23099999999999</v>
      </c>
      <c r="E36" s="19">
        <f>_xll.BDH("SRPT US Equity","CF_CASH_FROM_INV_ACT","FQ2 2019","FQ2 2019","Currency=USD","Period=FQ","BEST_FPERIOD_OVERRIDE=FQ","FILING_STATUS=MR","SCALING_FORMAT=MLN","Sort=A","Dates=H","DateFormat=P","Fill=—","Direction=H","UseDPDF=Y")</f>
        <v>152.37299999999999</v>
      </c>
      <c r="F36" s="19">
        <f>_xll.BDH("SRPT US Equity","CF_CASH_FROM_INV_ACT","FQ3 2019","FQ3 2019","Currency=USD","Period=FQ","BEST_FPERIOD_OVERRIDE=FQ","FILING_STATUS=MR","SCALING_FORMAT=MLN","Sort=A","Dates=H","DateFormat=P","Fill=—","Direction=H","UseDPDF=Y")</f>
        <v>-17.959</v>
      </c>
      <c r="G36" s="19">
        <f>_xll.BDH("SRPT US Equity","CF_CASH_FROM_INV_ACT","FQ4 2019","FQ4 2019","Currency=USD","Period=FQ","BEST_FPERIOD_OVERRIDE=FQ","FILING_STATUS=MR","SCALING_FORMAT=MLN","Sort=A","Dates=H","DateFormat=P","Fill=—","Direction=H","UseDPDF=Y")</f>
        <v>17.079999999999998</v>
      </c>
      <c r="H36" s="19">
        <f>_xll.BDH("SRPT US Equity","CF_CASH_FROM_INV_ACT","FQ1 2020","FQ1 2020","Currency=USD","Period=FQ","BEST_FPERIOD_OVERRIDE=FQ","FILING_STATUS=MR","SCALING_FORMAT=MLN","Sort=A","Dates=H","DateFormat=P","Fill=—","Direction=H","UseDPDF=Y")</f>
        <v>-17.68</v>
      </c>
      <c r="I36" s="19">
        <f>_xll.BDH("SRPT US Equity","CF_CASH_FROM_INV_ACT","FQ2 2020","FQ2 2020","Currency=USD","Period=FQ","BEST_FPERIOD_OVERRIDE=FQ","FILING_STATUS=MR","SCALING_FORMAT=MLN","Sort=A","Dates=H","DateFormat=P","Fill=—","Direction=H","UseDPDF=Y")</f>
        <v>-34.225000000000001</v>
      </c>
      <c r="J36" s="19">
        <f>_xll.BDH("SRPT US Equity","CF_CASH_FROM_INV_ACT","FQ3 2020","FQ3 2020","Currency=USD","Period=FQ","BEST_FPERIOD_OVERRIDE=FQ","FILING_STATUS=MR","SCALING_FORMAT=MLN","Sort=A","Dates=H","DateFormat=P","Fill=—","Direction=H","UseDPDF=Y")</f>
        <v>54.075000000000003</v>
      </c>
      <c r="K36" s="19">
        <f>_xll.BDH("SRPT US Equity","CF_CASH_FROM_INV_ACT","FQ4 2020","FQ4 2020","Currency=USD","Period=FQ","BEST_FPERIOD_OVERRIDE=FQ","FILING_STATUS=MR","SCALING_FORMAT=MLN","Sort=A","Dates=H","DateFormat=P","Fill=—","Direction=H","UseDPDF=Y")</f>
        <v>-123.89100000000001</v>
      </c>
      <c r="L36" s="19">
        <f>_xll.BDH("SRPT US Equity","CF_CASH_FROM_INV_ACT","FQ1 2021","FQ1 2021","Currency=USD","Period=FQ","BEST_FPERIOD_OVERRIDE=FQ","FILING_STATUS=MR","SCALING_FORMAT=MLN","Sort=A","Dates=H","DateFormat=P","Fill=—","Direction=H","UseDPDF=Y")</f>
        <v>156.666</v>
      </c>
      <c r="M36" s="19">
        <f>_xll.BDH("SRPT US Equity","CF_CASH_FROM_INV_ACT","FQ2 2021","FQ2 2021","Currency=USD","Period=FQ","BEST_FPERIOD_OVERRIDE=FQ","FILING_STATUS=MR","SCALING_FORMAT=MLN","Sort=A","Dates=H","DateFormat=P","Fill=—","Direction=H","UseDPDF=Y")</f>
        <v>321.05900000000003</v>
      </c>
      <c r="N36" s="19">
        <f>_xll.BDH("SRPT US Equity","CF_CASH_FROM_INV_ACT","FQ3 2021","FQ3 2021","Currency=USD","Period=FQ","BEST_FPERIOD_OVERRIDE=FQ","FILING_STATUS=MR","SCALING_FORMAT=MLN","Sort=A","Dates=H","DateFormat=P","Fill=—","Direction=H","UseDPDF=Y")</f>
        <v>20.265000000000001</v>
      </c>
      <c r="O36" s="19">
        <f>_xll.BDH("SRPT US Equity","CF_CASH_FROM_INV_ACT","FQ4 2021","FQ4 2021","Currency=USD","Period=FQ","BEST_FPERIOD_OVERRIDE=FQ","FILING_STATUS=MR","SCALING_FORMAT=MLN","Sort=A","Dates=H","DateFormat=P","Fill=—","Direction=H","UseDPDF=Y")</f>
        <v>-2.577</v>
      </c>
      <c r="P36" s="19">
        <f>_xll.BDH("SRPT US Equity","CF_CASH_FROM_INV_ACT","FQ1 2022","FQ1 2022","Currency=USD","Period=FQ","BEST_FPERIOD_OVERRIDE=FQ","FILING_STATUS=MR","SCALING_FORMAT=MLN","Sort=A","Dates=H","DateFormat=P","Fill=—","Direction=H","UseDPDF=Y")</f>
        <v>-785.80700000000002</v>
      </c>
      <c r="Q36" s="19">
        <f>_xll.BDH("SRPT US Equity","CF_CASH_FROM_INV_ACT","FQ2 2022","FQ2 2022","Currency=USD","Period=FQ","BEST_FPERIOD_OVERRIDE=FQ","FILING_STATUS=MR","SCALING_FORMAT=MLN","Sort=A","Dates=H","DateFormat=P","Fill=—","Direction=H","UseDPDF=Y")</f>
        <v>-289.99099999999999</v>
      </c>
      <c r="R36" s="19">
        <f>_xll.BDH("SRPT US Equity","CF_CASH_FROM_INV_ACT","FQ3 2022","FQ3 2022","Currency=USD","Period=FQ","BEST_FPERIOD_OVERRIDE=FQ","FILING_STATUS=MR","SCALING_FORMAT=MLN","Sort=A","Dates=H","DateFormat=P","Fill=—","Direction=H","UseDPDF=Y")</f>
        <v>19.119</v>
      </c>
      <c r="S36" s="19">
        <f>_xll.BDH("SRPT US Equity","CF_CASH_FROM_INV_ACT","FQ4 2022","FQ4 2022","Currency=USD","Period=FQ","BEST_FPERIOD_OVERRIDE=FQ","FILING_STATUS=MR","SCALING_FORMAT=MLN","Sort=A","Dates=H","DateFormat=P","Fill=—","Direction=H","UseDPDF=Y")</f>
        <v>9.7959999999999994</v>
      </c>
      <c r="T36" s="19">
        <f>_xll.BDH("SRPT US Equity","CF_CASH_FROM_INV_ACT","FQ1 2023","FQ1 2023","Currency=USD","Period=FQ","BEST_FPERIOD_OVERRIDE=FQ","FILING_STATUS=MR","SCALING_FORMAT=MLN","Sort=A","Dates=H","DateFormat=P","Fill=—","Direction=H","UseDPDF=Y")</f>
        <v>12.492000000000001</v>
      </c>
      <c r="U36" s="19">
        <f>_xll.BDH("SRPT US Equity","CF_CASH_FROM_INV_ACT","FQ2 2023","FQ2 2023","Currency=USD","Period=FQ","BEST_FPERIOD_OVERRIDE=FQ","FILING_STATUS=MR","SCALING_FORMAT=MLN","Sort=A","Dates=H","DateFormat=P","Fill=—","Direction=H","UseDPDF=Y")</f>
        <v>96.634</v>
      </c>
      <c r="V36" s="19">
        <f>_xll.BDH("SRPT US Equity","CF_CASH_FROM_INV_ACT","FQ3 2023","FQ3 2023","Currency=USD","Period=FQ","BEST_FPERIOD_OVERRIDE=FQ","FILING_STATUS=MR","SCALING_FORMAT=MLN","Sort=A","Dates=H","DateFormat=P","Fill=—","Direction=H","UseDPDF=Y")</f>
        <v>-210.571</v>
      </c>
      <c r="W36" s="19">
        <f>_xll.BDH("SRPT US Equity","CF_CASH_FROM_INV_ACT","FQ4 2023","FQ4 2023","Currency=USD","Period=FQ","BEST_FPERIOD_OVERRIDE=FQ","FILING_STATUS=MR","SCALING_FORMAT=MLN","Sort=A","Dates=H","DateFormat=P","Fill=—","Direction=H","UseDPDF=Y")</f>
        <v>-64.358000000000004</v>
      </c>
      <c r="X36" s="19">
        <f>_xll.BDH("SRPT US Equity","CF_CASH_FROM_INV_ACT","FQ1 2024","FQ1 2024","Currency=USD","Period=FQ","BEST_FPERIOD_OVERRIDE=FQ","FILING_STATUS=MR","SCALING_FORMAT=MLN","Sort=A","Dates=H","DateFormat=P","Fill=—","Direction=H","UseDPDF=Y")</f>
        <v>218.79599999999999</v>
      </c>
      <c r="Y36" s="19">
        <f>_xll.BDH("SRPT US Equity","CF_CASH_FROM_INV_ACT","FQ2 2024","FQ2 2024","Currency=USD","Period=FQ","BEST_FPERIOD_OVERRIDE=FQ","FILING_STATUS=MR","SCALING_FORMAT=MLN","Sort=A","Dates=H","DateFormat=P","Fill=—","Direction=H","UseDPDF=Y")</f>
        <v>-98.528000000000006</v>
      </c>
      <c r="Z36" s="19">
        <f>_xll.BDH("SRPT US Equity","CF_CASH_FROM_INV_ACT","FQ3 2024","FQ3 2024","Currency=USD","Period=FQ","BEST_FPERIOD_OVERRIDE=FQ","FILING_STATUS=MR","SCALING_FORMAT=MLN","Sort=A","Dates=H","DateFormat=P","Fill=—","Direction=H","UseDPDF=Y")</f>
        <v>-128.82499999999999</v>
      </c>
      <c r="AA36" s="19">
        <f>_xll.BDH("SRPT US Equity","CF_CASH_FROM_INV_ACT","FQ4 2024","FQ4 2024","Currency=USD","Period=FQ","BEST_FPERIOD_OVERRIDE=FQ","FILING_STATUS=MR","SCALING_FORMAT=MLN","Sort=A","Dates=H","DateFormat=P","Fill=—","Direction=H","UseDPDF=Y")</f>
        <v>764.11800000000005</v>
      </c>
    </row>
    <row r="37" spans="1:27" x14ac:dyDescent="0.25">
      <c r="A37" s="6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x14ac:dyDescent="0.25">
      <c r="A38" s="6" t="s">
        <v>1229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 x14ac:dyDescent="0.25">
      <c r="A39" s="10" t="s">
        <v>1230</v>
      </c>
      <c r="B39" s="10" t="s">
        <v>1231</v>
      </c>
      <c r="C39" s="13">
        <f>_xll.BDH("SRPT US Equity","CF_DVD_PAID","FQ4 2018","FQ4 2018","Currency=USD","Period=FQ","BEST_FPERIOD_OVERRIDE=FQ","FILING_STATUS=MR","SCALING_FORMAT=MLN","Sort=A","Dates=H","DateFormat=P","Fill=—","Direction=H","UseDPDF=Y")</f>
        <v>0</v>
      </c>
      <c r="D39" s="13">
        <f>_xll.BDH("SRPT US Equity","CF_DVD_PAID","FQ1 2019","FQ1 2019","Currency=USD","Period=FQ","BEST_FPERIOD_OVERRIDE=FQ","FILING_STATUS=MR","SCALING_FORMAT=MLN","Sort=A","Dates=H","DateFormat=P","Fill=—","Direction=H","UseDPDF=Y")</f>
        <v>0</v>
      </c>
      <c r="E39" s="13">
        <f>_xll.BDH("SRPT US Equity","CF_DVD_PAID","FQ2 2019","FQ2 2019","Currency=USD","Period=FQ","BEST_FPERIOD_OVERRIDE=FQ","FILING_STATUS=MR","SCALING_FORMAT=MLN","Sort=A","Dates=H","DateFormat=P","Fill=—","Direction=H","UseDPDF=Y")</f>
        <v>0</v>
      </c>
      <c r="F39" s="13">
        <f>_xll.BDH("SRPT US Equity","CF_DVD_PAID","FQ3 2019","FQ3 2019","Currency=USD","Period=FQ","BEST_FPERIOD_OVERRIDE=FQ","FILING_STATUS=MR","SCALING_FORMAT=MLN","Sort=A","Dates=H","DateFormat=P","Fill=—","Direction=H","UseDPDF=Y")</f>
        <v>0</v>
      </c>
      <c r="G39" s="13">
        <f>_xll.BDH("SRPT US Equity","CF_DVD_PAID","FQ4 2019","FQ4 2019","Currency=USD","Period=FQ","BEST_FPERIOD_OVERRIDE=FQ","FILING_STATUS=MR","SCALING_FORMAT=MLN","Sort=A","Dates=H","DateFormat=P","Fill=—","Direction=H","UseDPDF=Y")</f>
        <v>0</v>
      </c>
      <c r="H39" s="13">
        <f>_xll.BDH("SRPT US Equity","CF_DVD_PAID","FQ1 2020","FQ1 2020","Currency=USD","Period=FQ","BEST_FPERIOD_OVERRIDE=FQ","FILING_STATUS=MR","SCALING_FORMAT=MLN","Sort=A","Dates=H","DateFormat=P","Fill=—","Direction=H","UseDPDF=Y")</f>
        <v>0</v>
      </c>
      <c r="I39" s="13">
        <f>_xll.BDH("SRPT US Equity","CF_DVD_PAID","FQ2 2020","FQ2 2020","Currency=USD","Period=FQ","BEST_FPERIOD_OVERRIDE=FQ","FILING_STATUS=MR","SCALING_FORMAT=MLN","Sort=A","Dates=H","DateFormat=P","Fill=—","Direction=H","UseDPDF=Y")</f>
        <v>0</v>
      </c>
      <c r="J39" s="13">
        <f>_xll.BDH("SRPT US Equity","CF_DVD_PAID","FQ3 2020","FQ3 2020","Currency=USD","Period=FQ","BEST_FPERIOD_OVERRIDE=FQ","FILING_STATUS=MR","SCALING_FORMAT=MLN","Sort=A","Dates=H","DateFormat=P","Fill=—","Direction=H","UseDPDF=Y")</f>
        <v>0</v>
      </c>
      <c r="K39" s="13">
        <f>_xll.BDH("SRPT US Equity","CF_DVD_PAID","FQ4 2020","FQ4 2020","Currency=USD","Period=FQ","BEST_FPERIOD_OVERRIDE=FQ","FILING_STATUS=MR","SCALING_FORMAT=MLN","Sort=A","Dates=H","DateFormat=P","Fill=—","Direction=H","UseDPDF=Y")</f>
        <v>0</v>
      </c>
      <c r="L39" s="13">
        <f>_xll.BDH("SRPT US Equity","CF_DVD_PAID","FQ1 2021","FQ1 2021","Currency=USD","Period=FQ","BEST_FPERIOD_OVERRIDE=FQ","FILING_STATUS=MR","SCALING_FORMAT=MLN","Sort=A","Dates=H","DateFormat=P","Fill=—","Direction=H","UseDPDF=Y")</f>
        <v>0</v>
      </c>
      <c r="M39" s="13">
        <f>_xll.BDH("SRPT US Equity","CF_DVD_PAID","FQ2 2021","FQ2 2021","Currency=USD","Period=FQ","BEST_FPERIOD_OVERRIDE=FQ","FILING_STATUS=MR","SCALING_FORMAT=MLN","Sort=A","Dates=H","DateFormat=P","Fill=—","Direction=H","UseDPDF=Y")</f>
        <v>0</v>
      </c>
      <c r="N39" s="13">
        <f>_xll.BDH("SRPT US Equity","CF_DVD_PAID","FQ3 2021","FQ3 2021","Currency=USD","Period=FQ","BEST_FPERIOD_OVERRIDE=FQ","FILING_STATUS=MR","SCALING_FORMAT=MLN","Sort=A","Dates=H","DateFormat=P","Fill=—","Direction=H","UseDPDF=Y")</f>
        <v>0</v>
      </c>
      <c r="O39" s="13">
        <f>_xll.BDH("SRPT US Equity","CF_DVD_PAID","FQ4 2021","FQ4 2021","Currency=USD","Period=FQ","BEST_FPERIOD_OVERRIDE=FQ","FILING_STATUS=MR","SCALING_FORMAT=MLN","Sort=A","Dates=H","DateFormat=P","Fill=—","Direction=H","UseDPDF=Y")</f>
        <v>0</v>
      </c>
      <c r="P39" s="13">
        <f>_xll.BDH("SRPT US Equity","CF_DVD_PAID","FQ1 2022","FQ1 2022","Currency=USD","Period=FQ","BEST_FPERIOD_OVERRIDE=FQ","FILING_STATUS=MR","SCALING_FORMAT=MLN","Sort=A","Dates=H","DateFormat=P","Fill=—","Direction=H","UseDPDF=Y")</f>
        <v>0</v>
      </c>
      <c r="Q39" s="13">
        <f>_xll.BDH("SRPT US Equity","CF_DVD_PAID","FQ2 2022","FQ2 2022","Currency=USD","Period=FQ","BEST_FPERIOD_OVERRIDE=FQ","FILING_STATUS=MR","SCALING_FORMAT=MLN","Sort=A","Dates=H","DateFormat=P","Fill=—","Direction=H","UseDPDF=Y")</f>
        <v>0</v>
      </c>
      <c r="R39" s="13">
        <f>_xll.BDH("SRPT US Equity","CF_DVD_PAID","FQ3 2022","FQ3 2022","Currency=USD","Period=FQ","BEST_FPERIOD_OVERRIDE=FQ","FILING_STATUS=MR","SCALING_FORMAT=MLN","Sort=A","Dates=H","DateFormat=P","Fill=—","Direction=H","UseDPDF=Y")</f>
        <v>0</v>
      </c>
      <c r="S39" s="13">
        <f>_xll.BDH("SRPT US Equity","CF_DVD_PAID","FQ4 2022","FQ4 2022","Currency=USD","Period=FQ","BEST_FPERIOD_OVERRIDE=FQ","FILING_STATUS=MR","SCALING_FORMAT=MLN","Sort=A","Dates=H","DateFormat=P","Fill=—","Direction=H","UseDPDF=Y")</f>
        <v>0</v>
      </c>
      <c r="T39" s="13">
        <f>_xll.BDH("SRPT US Equity","CF_DVD_PAID","FQ1 2023","FQ1 2023","Currency=USD","Period=FQ","BEST_FPERIOD_OVERRIDE=FQ","FILING_STATUS=MR","SCALING_FORMAT=MLN","Sort=A","Dates=H","DateFormat=P","Fill=—","Direction=H","UseDPDF=Y")</f>
        <v>0</v>
      </c>
      <c r="U39" s="13">
        <f>_xll.BDH("SRPT US Equity","CF_DVD_PAID","FQ2 2023","FQ2 2023","Currency=USD","Period=FQ","BEST_FPERIOD_OVERRIDE=FQ","FILING_STATUS=MR","SCALING_FORMAT=MLN","Sort=A","Dates=H","DateFormat=P","Fill=—","Direction=H","UseDPDF=Y")</f>
        <v>0</v>
      </c>
      <c r="V39" s="13">
        <f>_xll.BDH("SRPT US Equity","CF_DVD_PAID","FQ3 2023","FQ3 2023","Currency=USD","Period=FQ","BEST_FPERIOD_OVERRIDE=FQ","FILING_STATUS=MR","SCALING_FORMAT=MLN","Sort=A","Dates=H","DateFormat=P","Fill=—","Direction=H","UseDPDF=Y")</f>
        <v>0</v>
      </c>
      <c r="W39" s="13">
        <f>_xll.BDH("SRPT US Equity","CF_DVD_PAID","FQ4 2023","FQ4 2023","Currency=USD","Period=FQ","BEST_FPERIOD_OVERRIDE=FQ","FILING_STATUS=MR","SCALING_FORMAT=MLN","Sort=A","Dates=H","DateFormat=P","Fill=—","Direction=H","UseDPDF=Y")</f>
        <v>0</v>
      </c>
      <c r="X39" s="13">
        <f>_xll.BDH("SRPT US Equity","CF_DVD_PAID","FQ1 2024","FQ1 2024","Currency=USD","Period=FQ","BEST_FPERIOD_OVERRIDE=FQ","FILING_STATUS=MR","SCALING_FORMAT=MLN","Sort=A","Dates=H","DateFormat=P","Fill=—","Direction=H","UseDPDF=Y")</f>
        <v>0</v>
      </c>
      <c r="Y39" s="13">
        <f>_xll.BDH("SRPT US Equity","CF_DVD_PAID","FQ2 2024","FQ2 2024","Currency=USD","Period=FQ","BEST_FPERIOD_OVERRIDE=FQ","FILING_STATUS=MR","SCALING_FORMAT=MLN","Sort=A","Dates=H","DateFormat=P","Fill=—","Direction=H","UseDPDF=Y")</f>
        <v>0</v>
      </c>
      <c r="Z39" s="13">
        <f>_xll.BDH("SRPT US Equity","CF_DVD_PAID","FQ3 2024","FQ3 2024","Currency=USD","Period=FQ","BEST_FPERIOD_OVERRIDE=FQ","FILING_STATUS=MR","SCALING_FORMAT=MLN","Sort=A","Dates=H","DateFormat=P","Fill=—","Direction=H","UseDPDF=Y")</f>
        <v>0</v>
      </c>
      <c r="AA39" s="13">
        <f>_xll.BDH("SRPT US Equity","CF_DVD_PAID","FQ4 2024","FQ4 2024","Currency=USD","Period=FQ","BEST_FPERIOD_OVERRIDE=FQ","FILING_STATUS=MR","SCALING_FORMAT=MLN","Sort=A","Dates=H","DateFormat=P","Fill=—","Direction=H","UseDPDF=Y")</f>
        <v>0</v>
      </c>
    </row>
    <row r="40" spans="1:27" x14ac:dyDescent="0.25">
      <c r="A40" s="10" t="s">
        <v>1232</v>
      </c>
      <c r="B40" s="10" t="s">
        <v>1233</v>
      </c>
      <c r="C40" s="13">
        <f>_xll.BDH("SRPT US Equity","PROC_FR_REPAYMNTS_BOR_DETAILED","FQ4 2018","FQ4 2018","Currency=USD","Period=FQ","BEST_FPERIOD_OVERRIDE=FQ","FILING_STATUS=MR","SCALING_FORMAT=MLN","Sort=A","Dates=H","DateFormat=P","Fill=—","Direction=H","UseDPDF=Y")</f>
        <v>30.827000000000002</v>
      </c>
      <c r="D40" s="13">
        <f>_xll.BDH("SRPT US Equity","PROC_FR_REPAYMNTS_BOR_DETAILED","FQ1 2019","FQ1 2019","Currency=USD","Period=FQ","BEST_FPERIOD_OVERRIDE=FQ","FILING_STATUS=MR","SCALING_FORMAT=MLN","Sort=A","Dates=H","DateFormat=P","Fill=—","Direction=H","UseDPDF=Y")</f>
        <v>0</v>
      </c>
      <c r="E40" s="13">
        <f>_xll.BDH("SRPT US Equity","PROC_FR_REPAYMNTS_BOR_DETAILED","FQ2 2019","FQ2 2019","Currency=USD","Period=FQ","BEST_FPERIOD_OVERRIDE=FQ","FILING_STATUS=MR","SCALING_FORMAT=MLN","Sort=A","Dates=H","DateFormat=P","Fill=—","Direction=H","UseDPDF=Y")</f>
        <v>0</v>
      </c>
      <c r="F40" s="13">
        <f>_xll.BDH("SRPT US Equity","PROC_FR_REPAYMNTS_BOR_DETAILED","FQ3 2019","FQ3 2019","Currency=USD","Period=FQ","BEST_FPERIOD_OVERRIDE=FQ","FILING_STATUS=MR","SCALING_FORMAT=MLN","Sort=A","Dates=H","DateFormat=P","Fill=—","Direction=H","UseDPDF=Y")</f>
        <v>0</v>
      </c>
      <c r="G40" s="13">
        <f>_xll.BDH("SRPT US Equity","PROC_FR_REPAYMNTS_BOR_DETAILED","FQ4 2019","FQ4 2019","Currency=USD","Period=FQ","BEST_FPERIOD_OVERRIDE=FQ","FILING_STATUS=MR","SCALING_FORMAT=MLN","Sort=A","Dates=H","DateFormat=P","Fill=—","Direction=H","UseDPDF=Y")</f>
        <v>245.625</v>
      </c>
      <c r="H40" s="13">
        <f>_xll.BDH("SRPT US Equity","PROC_FR_REPAYMNTS_BOR_DETAILED","FQ1 2020","FQ1 2020","Currency=USD","Period=FQ","BEST_FPERIOD_OVERRIDE=FQ","FILING_STATUS=MR","SCALING_FORMAT=MLN","Sort=A","Dates=H","DateFormat=P","Fill=—","Direction=H","UseDPDF=Y")</f>
        <v>0</v>
      </c>
      <c r="I40" s="13">
        <f>_xll.BDH("SRPT US Equity","PROC_FR_REPAYMNTS_BOR_DETAILED","FQ2 2020","FQ2 2020","Currency=USD","Period=FQ","BEST_FPERIOD_OVERRIDE=FQ","FILING_STATUS=MR","SCALING_FORMAT=MLN","Sort=A","Dates=H","DateFormat=P","Fill=—","Direction=H","UseDPDF=Y")</f>
        <v>0</v>
      </c>
      <c r="J40" s="13">
        <f>_xll.BDH("SRPT US Equity","PROC_FR_REPAYMNTS_BOR_DETAILED","FQ3 2020","FQ3 2020","Currency=USD","Period=FQ","BEST_FPERIOD_OVERRIDE=FQ","FILING_STATUS=MR","SCALING_FORMAT=MLN","Sort=A","Dates=H","DateFormat=P","Fill=—","Direction=H","UseDPDF=Y")</f>
        <v>312.053</v>
      </c>
      <c r="K40" s="13">
        <f>_xll.BDH("SRPT US Equity","PROC_FR_REPAYMNTS_BOR_DETAILED","FQ4 2020","FQ4 2020","Currency=USD","Period=FQ","BEST_FPERIOD_OVERRIDE=FQ","FILING_STATUS=MR","SCALING_FORMAT=MLN","Sort=A","Dates=H","DateFormat=P","Fill=—","Direction=H","UseDPDF=Y")</f>
        <v>-20.902999999999999</v>
      </c>
      <c r="L40" s="13">
        <f>_xll.BDH("SRPT US Equity","PROC_FR_REPAYMNTS_BOR_DETAILED","FQ1 2021","FQ1 2021","Currency=USD","Period=FQ","BEST_FPERIOD_OVERRIDE=FQ","FILING_STATUS=MR","SCALING_FORMAT=MLN","Sort=A","Dates=H","DateFormat=P","Fill=—","Direction=H","UseDPDF=Y")</f>
        <v>0</v>
      </c>
      <c r="M40" s="13">
        <f>_xll.BDH("SRPT US Equity","PROC_FR_REPAYMNTS_BOR_DETAILED","FQ2 2021","FQ2 2021","Currency=USD","Period=FQ","BEST_FPERIOD_OVERRIDE=FQ","FILING_STATUS=MR","SCALING_FORMAT=MLN","Sort=A","Dates=H","DateFormat=P","Fill=—","Direction=H","UseDPDF=Y")</f>
        <v>0</v>
      </c>
      <c r="N40" s="13">
        <f>_xll.BDH("SRPT US Equity","PROC_FR_REPAYMNTS_BOR_DETAILED","FQ3 2021","FQ3 2021","Currency=USD","Period=FQ","BEST_FPERIOD_OVERRIDE=FQ","FILING_STATUS=MR","SCALING_FORMAT=MLN","Sort=A","Dates=H","DateFormat=P","Fill=—","Direction=H","UseDPDF=Y")</f>
        <v>0</v>
      </c>
      <c r="O40" s="13">
        <f>_xll.BDH("SRPT US Equity","PROC_FR_REPAYMNTS_BOR_DETAILED","FQ4 2021","FQ4 2021","Currency=USD","Period=FQ","BEST_FPERIOD_OVERRIDE=FQ","FILING_STATUS=MR","SCALING_FORMAT=MLN","Sort=A","Dates=H","DateFormat=P","Fill=—","Direction=H","UseDPDF=Y")</f>
        <v>0</v>
      </c>
      <c r="P40" s="13">
        <f>_xll.BDH("SRPT US Equity","PROC_FR_REPAYMNTS_BOR_DETAILED","FQ1 2022","FQ1 2022","Currency=USD","Period=FQ","BEST_FPERIOD_OVERRIDE=FQ","FILING_STATUS=MR","SCALING_FORMAT=MLN","Sort=A","Dates=H","DateFormat=P","Fill=—","Direction=H","UseDPDF=Y")</f>
        <v>0</v>
      </c>
      <c r="Q40" s="13">
        <f>_xll.BDH("SRPT US Equity","PROC_FR_REPAYMNTS_BOR_DETAILED","FQ2 2022","FQ2 2022","Currency=USD","Period=FQ","BEST_FPERIOD_OVERRIDE=FQ","FILING_STATUS=MR","SCALING_FORMAT=MLN","Sort=A","Dates=H","DateFormat=P","Fill=—","Direction=H","UseDPDF=Y")</f>
        <v>0</v>
      </c>
      <c r="R40" s="13">
        <f>_xll.BDH("SRPT US Equity","PROC_FR_REPAYMNTS_BOR_DETAILED","FQ3 2022","FQ3 2022","Currency=USD","Period=FQ","BEST_FPERIOD_OVERRIDE=FQ","FILING_STATUS=MR","SCALING_FORMAT=MLN","Sort=A","Dates=H","DateFormat=P","Fill=—","Direction=H","UseDPDF=Y")</f>
        <v>304.16800000000001</v>
      </c>
      <c r="S40" s="13">
        <f>_xll.BDH("SRPT US Equity","PROC_FR_REPAYMNTS_BOR_DETAILED","FQ4 2022","FQ4 2022","Currency=USD","Period=FQ","BEST_FPERIOD_OVERRIDE=FQ","FILING_STATUS=MR","SCALING_FORMAT=MLN","Sort=A","Dates=H","DateFormat=P","Fill=—","Direction=H","UseDPDF=Y")</f>
        <v>0</v>
      </c>
      <c r="T40" s="13">
        <f>_xll.BDH("SRPT US Equity","PROC_FR_REPAYMNTS_BOR_DETAILED","FQ1 2023","FQ1 2023","Currency=USD","Period=FQ","BEST_FPERIOD_OVERRIDE=FQ","FILING_STATUS=MR","SCALING_FORMAT=MLN","Sort=A","Dates=H","DateFormat=P","Fill=—","Direction=H","UseDPDF=Y")</f>
        <v>-6.8869999999999996</v>
      </c>
      <c r="U40" s="13">
        <f>_xll.BDH("SRPT US Equity","PROC_FR_REPAYMNTS_BOR_DETAILED","FQ2 2023","FQ2 2023","Currency=USD","Period=FQ","BEST_FPERIOD_OVERRIDE=FQ","FILING_STATUS=MR","SCALING_FORMAT=MLN","Sort=A","Dates=H","DateFormat=P","Fill=—","Direction=H","UseDPDF=Y")</f>
        <v>0</v>
      </c>
      <c r="V40" s="13">
        <f>_xll.BDH("SRPT US Equity","PROC_FR_REPAYMNTS_BOR_DETAILED","FQ3 2023","FQ3 2023","Currency=USD","Period=FQ","BEST_FPERIOD_OVERRIDE=FQ","FILING_STATUS=MR","SCALING_FORMAT=MLN","Sort=A","Dates=H","DateFormat=P","Fill=—","Direction=H","UseDPDF=Y")</f>
        <v>6.8869999999999996</v>
      </c>
      <c r="W40" s="13">
        <f>_xll.BDH("SRPT US Equity","PROC_FR_REPAYMNTS_BOR_DETAILED","FQ4 2023","FQ4 2023","Currency=USD","Period=FQ","BEST_FPERIOD_OVERRIDE=FQ","FILING_STATUS=MR","SCALING_FORMAT=MLN","Sort=A","Dates=H","DateFormat=P","Fill=—","Direction=H","UseDPDF=Y")</f>
        <v>0</v>
      </c>
      <c r="X40" s="13">
        <f>_xll.BDH("SRPT US Equity","PROC_FR_REPAYMNTS_BOR_DETAILED","FQ1 2024","FQ1 2024","Currency=USD","Period=FQ","BEST_FPERIOD_OVERRIDE=FQ","FILING_STATUS=MR","SCALING_FORMAT=MLN","Sort=A","Dates=H","DateFormat=P","Fill=—","Direction=H","UseDPDF=Y")</f>
        <v>0</v>
      </c>
      <c r="Y40" s="13">
        <f>_xll.BDH("SRPT US Equity","PROC_FR_REPAYMNTS_BOR_DETAILED","FQ2 2024","FQ2 2024","Currency=USD","Period=FQ","BEST_FPERIOD_OVERRIDE=FQ","FILING_STATUS=MR","SCALING_FORMAT=MLN","Sort=A","Dates=H","DateFormat=P","Fill=—","Direction=H","UseDPDF=Y")</f>
        <v>0</v>
      </c>
      <c r="Z40" s="13">
        <f>_xll.BDH("SRPT US Equity","PROC_FR_REPAYMNTS_BOR_DETAILED","FQ3 2024","FQ3 2024","Currency=USD","Period=FQ","BEST_FPERIOD_OVERRIDE=FQ","FILING_STATUS=MR","SCALING_FORMAT=MLN","Sort=A","Dates=H","DateFormat=P","Fill=—","Direction=H","UseDPDF=Y")</f>
        <v>0</v>
      </c>
      <c r="AA40" s="13">
        <f>_xll.BDH("SRPT US Equity","PROC_FR_REPAYMNTS_BOR_DETAILED","FQ4 2024","FQ4 2024","Currency=USD","Period=FQ","BEST_FPERIOD_OVERRIDE=FQ","FILING_STATUS=MR","SCALING_FORMAT=MLN","Sort=A","Dates=H","DateFormat=P","Fill=—","Direction=H","UseDPDF=Y")</f>
        <v>0</v>
      </c>
    </row>
    <row r="41" spans="1:27" x14ac:dyDescent="0.25">
      <c r="A41" s="10" t="s">
        <v>1234</v>
      </c>
      <c r="B41" s="10" t="s">
        <v>1235</v>
      </c>
      <c r="C41" s="13">
        <f>_xll.BDH("SRPT US Equity","CF_NET_CHG_ST_DEBT_CPTL_LEAS","FQ4 2018","FQ4 2018","Currency=USD","Period=FQ","BEST_FPERIOD_OVERRIDE=FQ","FILING_STATUS=MR","SCALING_FORMAT=MLN","Sort=A","Dates=H","DateFormat=P","Fill=—","Direction=H","UseDPDF=Y")</f>
        <v>0</v>
      </c>
      <c r="D41" s="13">
        <f>_xll.BDH("SRPT US Equity","CF_NET_CHG_ST_DEBT_CPTL_LEAS","FQ1 2019","FQ1 2019","Currency=USD","Period=FQ","BEST_FPERIOD_OVERRIDE=FQ","FILING_STATUS=MR","SCALING_FORMAT=MLN","Sort=A","Dates=H","DateFormat=P","Fill=—","Direction=H","UseDPDF=Y")</f>
        <v>0</v>
      </c>
      <c r="E41" s="13">
        <f>_xll.BDH("SRPT US Equity","CF_NET_CHG_ST_DEBT_CPTL_LEAS","FQ2 2019","FQ2 2019","Currency=USD","Period=FQ","BEST_FPERIOD_OVERRIDE=FQ","FILING_STATUS=MR","SCALING_FORMAT=MLN","Sort=A","Dates=H","DateFormat=P","Fill=—","Direction=H","UseDPDF=Y")</f>
        <v>0</v>
      </c>
      <c r="F41" s="13">
        <f>_xll.BDH("SRPT US Equity","CF_NET_CHG_ST_DEBT_CPTL_LEAS","FQ3 2019","FQ3 2019","Currency=USD","Period=FQ","BEST_FPERIOD_OVERRIDE=FQ","FILING_STATUS=MR","SCALING_FORMAT=MLN","Sort=A","Dates=H","DateFormat=P","Fill=—","Direction=H","UseDPDF=Y")</f>
        <v>0</v>
      </c>
      <c r="G41" s="13">
        <f>_xll.BDH("SRPT US Equity","CF_NET_CHG_ST_DEBT_CPTL_LEAS","FQ4 2019","FQ4 2019","Currency=USD","Period=FQ","BEST_FPERIOD_OVERRIDE=FQ","FILING_STATUS=MR","SCALING_FORMAT=MLN","Sort=A","Dates=H","DateFormat=P","Fill=—","Direction=H","UseDPDF=Y")</f>
        <v>0</v>
      </c>
      <c r="H41" s="13">
        <f>_xll.BDH("SRPT US Equity","CF_NET_CHG_ST_DEBT_CPTL_LEAS","FQ1 2020","FQ1 2020","Currency=USD","Period=FQ","BEST_FPERIOD_OVERRIDE=FQ","FILING_STATUS=MR","SCALING_FORMAT=MLN","Sort=A","Dates=H","DateFormat=P","Fill=—","Direction=H","UseDPDF=Y")</f>
        <v>0</v>
      </c>
      <c r="I41" s="13">
        <f>_xll.BDH("SRPT US Equity","CF_NET_CHG_ST_DEBT_CPTL_LEAS","FQ2 2020","FQ2 2020","Currency=USD","Period=FQ","BEST_FPERIOD_OVERRIDE=FQ","FILING_STATUS=MR","SCALING_FORMAT=MLN","Sort=A","Dates=H","DateFormat=P","Fill=—","Direction=H","UseDPDF=Y")</f>
        <v>0</v>
      </c>
      <c r="J41" s="13" t="str">
        <f>_xll.BDH("SRPT US Equity","CF_NET_CHG_ST_DEBT_CPTL_LEAS","FQ3 2020","FQ3 2020","Currency=USD","Period=FQ","BEST_FPERIOD_OVERRIDE=FQ","FILING_STATUS=MR","SCALING_FORMAT=MLN","Sort=A","Dates=H","DateFormat=P","Fill=—","Direction=H","UseDPDF=Y")</f>
        <v>—</v>
      </c>
      <c r="K41" s="13" t="str">
        <f>_xll.BDH("SRPT US Equity","CF_NET_CHG_ST_DEBT_CPTL_LEAS","FQ4 2020","FQ4 2020","Currency=USD","Period=FQ","BEST_FPERIOD_OVERRIDE=FQ","FILING_STATUS=MR","SCALING_FORMAT=MLN","Sort=A","Dates=H","DateFormat=P","Fill=—","Direction=H","UseDPDF=Y")</f>
        <v>—</v>
      </c>
      <c r="L41" s="13">
        <f>_xll.BDH("SRPT US Equity","CF_NET_CHG_ST_DEBT_CPTL_LEAS","FQ1 2021","FQ1 2021","Currency=USD","Period=FQ","BEST_FPERIOD_OVERRIDE=FQ","FILING_STATUS=MR","SCALING_FORMAT=MLN","Sort=A","Dates=H","DateFormat=P","Fill=—","Direction=H","UseDPDF=Y")</f>
        <v>0</v>
      </c>
      <c r="M41" s="13">
        <f>_xll.BDH("SRPT US Equity","CF_NET_CHG_ST_DEBT_CPTL_LEAS","FQ2 2021","FQ2 2021","Currency=USD","Period=FQ","BEST_FPERIOD_OVERRIDE=FQ","FILING_STATUS=MR","SCALING_FORMAT=MLN","Sort=A","Dates=H","DateFormat=P","Fill=—","Direction=H","UseDPDF=Y")</f>
        <v>0</v>
      </c>
      <c r="N41" s="13">
        <f>_xll.BDH("SRPT US Equity","CF_NET_CHG_ST_DEBT_CPTL_LEAS","FQ3 2021","FQ3 2021","Currency=USD","Period=FQ","BEST_FPERIOD_OVERRIDE=FQ","FILING_STATUS=MR","SCALING_FORMAT=MLN","Sort=A","Dates=H","DateFormat=P","Fill=—","Direction=H","UseDPDF=Y")</f>
        <v>0</v>
      </c>
      <c r="O41" s="13">
        <f>_xll.BDH("SRPT US Equity","CF_NET_CHG_ST_DEBT_CPTL_LEAS","FQ4 2021","FQ4 2021","Currency=USD","Period=FQ","BEST_FPERIOD_OVERRIDE=FQ","FILING_STATUS=MR","SCALING_FORMAT=MLN","Sort=A","Dates=H","DateFormat=P","Fill=—","Direction=H","UseDPDF=Y")</f>
        <v>0</v>
      </c>
      <c r="P41" s="13">
        <f>_xll.BDH("SRPT US Equity","CF_NET_CHG_ST_DEBT_CPTL_LEAS","FQ1 2022","FQ1 2022","Currency=USD","Period=FQ","BEST_FPERIOD_OVERRIDE=FQ","FILING_STATUS=MR","SCALING_FORMAT=MLN","Sort=A","Dates=H","DateFormat=P","Fill=—","Direction=H","UseDPDF=Y")</f>
        <v>0</v>
      </c>
      <c r="Q41" s="13">
        <f>_xll.BDH("SRPT US Equity","CF_NET_CHG_ST_DEBT_CPTL_LEAS","FQ2 2022","FQ2 2022","Currency=USD","Period=FQ","BEST_FPERIOD_OVERRIDE=FQ","FILING_STATUS=MR","SCALING_FORMAT=MLN","Sort=A","Dates=H","DateFormat=P","Fill=—","Direction=H","UseDPDF=Y")</f>
        <v>0</v>
      </c>
      <c r="R41" s="13">
        <f>_xll.BDH("SRPT US Equity","CF_NET_CHG_ST_DEBT_CPTL_LEAS","FQ3 2022","FQ3 2022","Currency=USD","Period=FQ","BEST_FPERIOD_OVERRIDE=FQ","FILING_STATUS=MR","SCALING_FORMAT=MLN","Sort=A","Dates=H","DateFormat=P","Fill=—","Direction=H","UseDPDF=Y")</f>
        <v>-25.364000000000001</v>
      </c>
      <c r="S41" s="13">
        <f>_xll.BDH("SRPT US Equity","CF_NET_CHG_ST_DEBT_CPTL_LEAS","FQ4 2022","FQ4 2022","Currency=USD","Period=FQ","BEST_FPERIOD_OVERRIDE=FQ","FILING_STATUS=MR","SCALING_FORMAT=MLN","Sort=A","Dates=H","DateFormat=P","Fill=—","Direction=H","UseDPDF=Y")</f>
        <v>0</v>
      </c>
      <c r="T41" s="13">
        <f>_xll.BDH("SRPT US Equity","CF_NET_CHG_ST_DEBT_CPTL_LEAS","FQ1 2023","FQ1 2023","Currency=USD","Period=FQ","BEST_FPERIOD_OVERRIDE=FQ","FILING_STATUS=MR","SCALING_FORMAT=MLN","Sort=A","Dates=H","DateFormat=P","Fill=—","Direction=H","UseDPDF=Y")</f>
        <v>0</v>
      </c>
      <c r="U41" s="13">
        <f>_xll.BDH("SRPT US Equity","CF_NET_CHG_ST_DEBT_CPTL_LEAS","FQ2 2023","FQ2 2023","Currency=USD","Period=FQ","BEST_FPERIOD_OVERRIDE=FQ","FILING_STATUS=MR","SCALING_FORMAT=MLN","Sort=A","Dates=H","DateFormat=P","Fill=—","Direction=H","UseDPDF=Y")</f>
        <v>0</v>
      </c>
      <c r="V41" s="13" t="str">
        <f>_xll.BDH("SRPT US Equity","CF_NET_CHG_ST_DEBT_CPTL_LEAS","FQ3 2023","FQ3 2023","Currency=USD","Period=FQ","BEST_FPERIOD_OVERRIDE=FQ","FILING_STATUS=MR","SCALING_FORMAT=MLN","Sort=A","Dates=H","DateFormat=P","Fill=—","Direction=H","UseDPDF=Y")</f>
        <v>—</v>
      </c>
      <c r="W41" s="13" t="str">
        <f>_xll.BDH("SRPT US Equity","CF_NET_CHG_ST_DEBT_CPTL_LEAS","FQ4 2023","FQ4 2023","Currency=USD","Period=FQ","BEST_FPERIOD_OVERRIDE=FQ","FILING_STATUS=MR","SCALING_FORMAT=MLN","Sort=A","Dates=H","DateFormat=P","Fill=—","Direction=H","UseDPDF=Y")</f>
        <v>—</v>
      </c>
      <c r="X41" s="13">
        <f>_xll.BDH("SRPT US Equity","CF_NET_CHG_ST_DEBT_CPTL_LEAS","FQ1 2024","FQ1 2024","Currency=USD","Period=FQ","BEST_FPERIOD_OVERRIDE=FQ","FILING_STATUS=MR","SCALING_FORMAT=MLN","Sort=A","Dates=H","DateFormat=P","Fill=—","Direction=H","UseDPDF=Y")</f>
        <v>0</v>
      </c>
      <c r="Y41" s="13">
        <f>_xll.BDH("SRPT US Equity","CF_NET_CHG_ST_DEBT_CPTL_LEAS","FQ2 2024","FQ2 2024","Currency=USD","Period=FQ","BEST_FPERIOD_OVERRIDE=FQ","FILING_STATUS=MR","SCALING_FORMAT=MLN","Sort=A","Dates=H","DateFormat=P","Fill=—","Direction=H","UseDPDF=Y")</f>
        <v>0</v>
      </c>
      <c r="Z41" s="13">
        <f>_xll.BDH("SRPT US Equity","CF_NET_CHG_ST_DEBT_CPTL_LEAS","FQ3 2024","FQ3 2024","Currency=USD","Period=FQ","BEST_FPERIOD_OVERRIDE=FQ","FILING_STATUS=MR","SCALING_FORMAT=MLN","Sort=A","Dates=H","DateFormat=P","Fill=—","Direction=H","UseDPDF=Y")</f>
        <v>0</v>
      </c>
      <c r="AA41" s="13">
        <f>_xll.BDH("SRPT US Equity","CF_NET_CHG_ST_DEBT_CPTL_LEAS","FQ4 2024","FQ4 2024","Currency=USD","Period=FQ","BEST_FPERIOD_OVERRIDE=FQ","FILING_STATUS=MR","SCALING_FORMAT=MLN","Sort=A","Dates=H","DateFormat=P","Fill=—","Direction=H","UseDPDF=Y")</f>
        <v>0</v>
      </c>
    </row>
    <row r="42" spans="1:27" x14ac:dyDescent="0.25">
      <c r="A42" s="10" t="s">
        <v>1236</v>
      </c>
      <c r="B42" s="10" t="s">
        <v>1237</v>
      </c>
      <c r="C42" s="13">
        <f>_xll.BDH("SRPT US Equity","CF_LT_DEBT_CAP_LEAS_PROCEEDS","FQ4 2018","FQ4 2018","Currency=USD","Period=FQ","BEST_FPERIOD_OVERRIDE=FQ","FILING_STATUS=MR","SCALING_FORMAT=MLN","Sort=A","Dates=H","DateFormat=P","Fill=—","Direction=H","UseDPDF=Y")</f>
        <v>30.827000000000002</v>
      </c>
      <c r="D42" s="13">
        <f>_xll.BDH("SRPT US Equity","CF_LT_DEBT_CAP_LEAS_PROCEEDS","FQ1 2019","FQ1 2019","Currency=USD","Period=FQ","BEST_FPERIOD_OVERRIDE=FQ","FILING_STATUS=MR","SCALING_FORMAT=MLN","Sort=A","Dates=H","DateFormat=P","Fill=—","Direction=H","UseDPDF=Y")</f>
        <v>0</v>
      </c>
      <c r="E42" s="13">
        <f>_xll.BDH("SRPT US Equity","CF_LT_DEBT_CAP_LEAS_PROCEEDS","FQ2 2019","FQ2 2019","Currency=USD","Period=FQ","BEST_FPERIOD_OVERRIDE=FQ","FILING_STATUS=MR","SCALING_FORMAT=MLN","Sort=A","Dates=H","DateFormat=P","Fill=—","Direction=H","UseDPDF=Y")</f>
        <v>0</v>
      </c>
      <c r="F42" s="13">
        <f>_xll.BDH("SRPT US Equity","CF_LT_DEBT_CAP_LEAS_PROCEEDS","FQ3 2019","FQ3 2019","Currency=USD","Period=FQ","BEST_FPERIOD_OVERRIDE=FQ","FILING_STATUS=MR","SCALING_FORMAT=MLN","Sort=A","Dates=H","DateFormat=P","Fill=—","Direction=H","UseDPDF=Y")</f>
        <v>0</v>
      </c>
      <c r="G42" s="13">
        <f>_xll.BDH("SRPT US Equity","CF_LT_DEBT_CAP_LEAS_PROCEEDS","FQ4 2019","FQ4 2019","Currency=USD","Period=FQ","BEST_FPERIOD_OVERRIDE=FQ","FILING_STATUS=MR","SCALING_FORMAT=MLN","Sort=A","Dates=H","DateFormat=P","Fill=—","Direction=H","UseDPDF=Y")</f>
        <v>245.625</v>
      </c>
      <c r="H42" s="13">
        <f>_xll.BDH("SRPT US Equity","CF_LT_DEBT_CAP_LEAS_PROCEEDS","FQ1 2020","FQ1 2020","Currency=USD","Period=FQ","BEST_FPERIOD_OVERRIDE=FQ","FILING_STATUS=MR","SCALING_FORMAT=MLN","Sort=A","Dates=H","DateFormat=P","Fill=—","Direction=H","UseDPDF=Y")</f>
        <v>0</v>
      </c>
      <c r="I42" s="13">
        <f>_xll.BDH("SRPT US Equity","CF_LT_DEBT_CAP_LEAS_PROCEEDS","FQ2 2020","FQ2 2020","Currency=USD","Period=FQ","BEST_FPERIOD_OVERRIDE=FQ","FILING_STATUS=MR","SCALING_FORMAT=MLN","Sort=A","Dates=H","DateFormat=P","Fill=—","Direction=H","UseDPDF=Y")</f>
        <v>0</v>
      </c>
      <c r="J42" s="13">
        <f>_xll.BDH("SRPT US Equity","CF_LT_DEBT_CAP_LEAS_PROCEEDS","FQ3 2020","FQ3 2020","Currency=USD","Period=FQ","BEST_FPERIOD_OVERRIDE=FQ","FILING_STATUS=MR","SCALING_FORMAT=MLN","Sort=A","Dates=H","DateFormat=P","Fill=—","Direction=H","UseDPDF=Y")</f>
        <v>312.053</v>
      </c>
      <c r="K42" s="13" t="str">
        <f>_xll.BDH("SRPT US Equity","CF_LT_DEBT_CAP_LEAS_PROCEEDS","FQ4 2020","FQ4 2020","Currency=USD","Period=FQ","BEST_FPERIOD_OVERRIDE=FQ","FILING_STATUS=MR","SCALING_FORMAT=MLN","Sort=A","Dates=H","DateFormat=P","Fill=—","Direction=H","UseDPDF=Y")</f>
        <v>—</v>
      </c>
      <c r="L42" s="13">
        <f>_xll.BDH("SRPT US Equity","CF_LT_DEBT_CAP_LEAS_PROCEEDS","FQ1 2021","FQ1 2021","Currency=USD","Period=FQ","BEST_FPERIOD_OVERRIDE=FQ","FILING_STATUS=MR","SCALING_FORMAT=MLN","Sort=A","Dates=H","DateFormat=P","Fill=—","Direction=H","UseDPDF=Y")</f>
        <v>0</v>
      </c>
      <c r="M42" s="13">
        <f>_xll.BDH("SRPT US Equity","CF_LT_DEBT_CAP_LEAS_PROCEEDS","FQ2 2021","FQ2 2021","Currency=USD","Period=FQ","BEST_FPERIOD_OVERRIDE=FQ","FILING_STATUS=MR","SCALING_FORMAT=MLN","Sort=A","Dates=H","DateFormat=P","Fill=—","Direction=H","UseDPDF=Y")</f>
        <v>0</v>
      </c>
      <c r="N42" s="13">
        <f>_xll.BDH("SRPT US Equity","CF_LT_DEBT_CAP_LEAS_PROCEEDS","FQ3 2021","FQ3 2021","Currency=USD","Period=FQ","BEST_FPERIOD_OVERRIDE=FQ","FILING_STATUS=MR","SCALING_FORMAT=MLN","Sort=A","Dates=H","DateFormat=P","Fill=—","Direction=H","UseDPDF=Y")</f>
        <v>0</v>
      </c>
      <c r="O42" s="13">
        <f>_xll.BDH("SRPT US Equity","CF_LT_DEBT_CAP_LEAS_PROCEEDS","FQ4 2021","FQ4 2021","Currency=USD","Period=FQ","BEST_FPERIOD_OVERRIDE=FQ","FILING_STATUS=MR","SCALING_FORMAT=MLN","Sort=A","Dates=H","DateFormat=P","Fill=—","Direction=H","UseDPDF=Y")</f>
        <v>0</v>
      </c>
      <c r="P42" s="13">
        <f>_xll.BDH("SRPT US Equity","CF_LT_DEBT_CAP_LEAS_PROCEEDS","FQ1 2022","FQ1 2022","Currency=USD","Period=FQ","BEST_FPERIOD_OVERRIDE=FQ","FILING_STATUS=MR","SCALING_FORMAT=MLN","Sort=A","Dates=H","DateFormat=P","Fill=—","Direction=H","UseDPDF=Y")</f>
        <v>0</v>
      </c>
      <c r="Q42" s="13">
        <f>_xll.BDH("SRPT US Equity","CF_LT_DEBT_CAP_LEAS_PROCEEDS","FQ2 2022","FQ2 2022","Currency=USD","Period=FQ","BEST_FPERIOD_OVERRIDE=FQ","FILING_STATUS=MR","SCALING_FORMAT=MLN","Sort=A","Dates=H","DateFormat=P","Fill=—","Direction=H","UseDPDF=Y")</f>
        <v>0</v>
      </c>
      <c r="R42" s="13">
        <f>_xll.BDH("SRPT US Equity","CF_LT_DEBT_CAP_LEAS_PROCEEDS","FQ3 2022","FQ3 2022","Currency=USD","Period=FQ","BEST_FPERIOD_OVERRIDE=FQ","FILING_STATUS=MR","SCALING_FORMAT=MLN","Sort=A","Dates=H","DateFormat=P","Fill=—","Direction=H","UseDPDF=Y")</f>
        <v>1127.4000000000001</v>
      </c>
      <c r="S42" s="13">
        <f>_xll.BDH("SRPT US Equity","CF_LT_DEBT_CAP_LEAS_PROCEEDS","FQ4 2022","FQ4 2022","Currency=USD","Period=FQ","BEST_FPERIOD_OVERRIDE=FQ","FILING_STATUS=MR","SCALING_FORMAT=MLN","Sort=A","Dates=H","DateFormat=P","Fill=—","Direction=H","UseDPDF=Y")</f>
        <v>0</v>
      </c>
      <c r="T42" s="13">
        <f>_xll.BDH("SRPT US Equity","CF_LT_DEBT_CAP_LEAS_PROCEEDS","FQ1 2023","FQ1 2023","Currency=USD","Period=FQ","BEST_FPERIOD_OVERRIDE=FQ","FILING_STATUS=MR","SCALING_FORMAT=MLN","Sort=A","Dates=H","DateFormat=P","Fill=—","Direction=H","UseDPDF=Y")</f>
        <v>0</v>
      </c>
      <c r="U42" s="13">
        <f>_xll.BDH("SRPT US Equity","CF_LT_DEBT_CAP_LEAS_PROCEEDS","FQ2 2023","FQ2 2023","Currency=USD","Period=FQ","BEST_FPERIOD_OVERRIDE=FQ","FILING_STATUS=MR","SCALING_FORMAT=MLN","Sort=A","Dates=H","DateFormat=P","Fill=—","Direction=H","UseDPDF=Y")</f>
        <v>0</v>
      </c>
      <c r="V42" s="13" t="str">
        <f>_xll.BDH("SRPT US Equity","CF_LT_DEBT_CAP_LEAS_PROCEEDS","FQ3 2023","FQ3 2023","Currency=USD","Period=FQ","BEST_FPERIOD_OVERRIDE=FQ","FILING_STATUS=MR","SCALING_FORMAT=MLN","Sort=A","Dates=H","DateFormat=P","Fill=—","Direction=H","UseDPDF=Y")</f>
        <v>—</v>
      </c>
      <c r="W42" s="13" t="str">
        <f>_xll.BDH("SRPT US Equity","CF_LT_DEBT_CAP_LEAS_PROCEEDS","FQ4 2023","FQ4 2023","Currency=USD","Period=FQ","BEST_FPERIOD_OVERRIDE=FQ","FILING_STATUS=MR","SCALING_FORMAT=MLN","Sort=A","Dates=H","DateFormat=P","Fill=—","Direction=H","UseDPDF=Y")</f>
        <v>—</v>
      </c>
      <c r="X42" s="13">
        <f>_xll.BDH("SRPT US Equity","CF_LT_DEBT_CAP_LEAS_PROCEEDS","FQ1 2024","FQ1 2024","Currency=USD","Period=FQ","BEST_FPERIOD_OVERRIDE=FQ","FILING_STATUS=MR","SCALING_FORMAT=MLN","Sort=A","Dates=H","DateFormat=P","Fill=—","Direction=H","UseDPDF=Y")</f>
        <v>0</v>
      </c>
      <c r="Y42" s="13">
        <f>_xll.BDH("SRPT US Equity","CF_LT_DEBT_CAP_LEAS_PROCEEDS","FQ2 2024","FQ2 2024","Currency=USD","Period=FQ","BEST_FPERIOD_OVERRIDE=FQ","FILING_STATUS=MR","SCALING_FORMAT=MLN","Sort=A","Dates=H","DateFormat=P","Fill=—","Direction=H","UseDPDF=Y")</f>
        <v>0</v>
      </c>
      <c r="Z42" s="13">
        <f>_xll.BDH("SRPT US Equity","CF_LT_DEBT_CAP_LEAS_PROCEEDS","FQ3 2024","FQ3 2024","Currency=USD","Period=FQ","BEST_FPERIOD_OVERRIDE=FQ","FILING_STATUS=MR","SCALING_FORMAT=MLN","Sort=A","Dates=H","DateFormat=P","Fill=—","Direction=H","UseDPDF=Y")</f>
        <v>0</v>
      </c>
      <c r="AA42" s="13">
        <f>_xll.BDH("SRPT US Equity","CF_LT_DEBT_CAP_LEAS_PROCEEDS","FQ4 2024","FQ4 2024","Currency=USD","Period=FQ","BEST_FPERIOD_OVERRIDE=FQ","FILING_STATUS=MR","SCALING_FORMAT=MLN","Sort=A","Dates=H","DateFormat=P","Fill=—","Direction=H","UseDPDF=Y")</f>
        <v>0</v>
      </c>
    </row>
    <row r="43" spans="1:27" x14ac:dyDescent="0.25">
      <c r="A43" s="10" t="s">
        <v>1238</v>
      </c>
      <c r="B43" s="10" t="s">
        <v>1239</v>
      </c>
      <c r="C43" s="13">
        <f>_xll.BDH("SRPT US Equity","CF_LT_DEBT_CAP_LEAS_PAYMENT","FQ4 2018","FQ4 2018","Currency=USD","Period=FQ","BEST_FPERIOD_OVERRIDE=FQ","FILING_STATUS=MR","SCALING_FORMAT=MLN","Sort=A","Dates=H","DateFormat=P","Fill=—","Direction=H","UseDPDF=Y")</f>
        <v>0</v>
      </c>
      <c r="D43" s="13">
        <f>_xll.BDH("SRPT US Equity","CF_LT_DEBT_CAP_LEAS_PAYMENT","FQ1 2019","FQ1 2019","Currency=USD","Period=FQ","BEST_FPERIOD_OVERRIDE=FQ","FILING_STATUS=MR","SCALING_FORMAT=MLN","Sort=A","Dates=H","DateFormat=P","Fill=—","Direction=H","UseDPDF=Y")</f>
        <v>0</v>
      </c>
      <c r="E43" s="13">
        <f>_xll.BDH("SRPT US Equity","CF_LT_DEBT_CAP_LEAS_PAYMENT","FQ2 2019","FQ2 2019","Currency=USD","Period=FQ","BEST_FPERIOD_OVERRIDE=FQ","FILING_STATUS=MR","SCALING_FORMAT=MLN","Sort=A","Dates=H","DateFormat=P","Fill=—","Direction=H","UseDPDF=Y")</f>
        <v>0</v>
      </c>
      <c r="F43" s="13">
        <f>_xll.BDH("SRPT US Equity","CF_LT_DEBT_CAP_LEAS_PAYMENT","FQ3 2019","FQ3 2019","Currency=USD","Period=FQ","BEST_FPERIOD_OVERRIDE=FQ","FILING_STATUS=MR","SCALING_FORMAT=MLN","Sort=A","Dates=H","DateFormat=P","Fill=—","Direction=H","UseDPDF=Y")</f>
        <v>0</v>
      </c>
      <c r="G43" s="13">
        <f>_xll.BDH("SRPT US Equity","CF_LT_DEBT_CAP_LEAS_PAYMENT","FQ4 2019","FQ4 2019","Currency=USD","Period=FQ","BEST_FPERIOD_OVERRIDE=FQ","FILING_STATUS=MR","SCALING_FORMAT=MLN","Sort=A","Dates=H","DateFormat=P","Fill=—","Direction=H","UseDPDF=Y")</f>
        <v>0</v>
      </c>
      <c r="H43" s="13">
        <f>_xll.BDH("SRPT US Equity","CF_LT_DEBT_CAP_LEAS_PAYMENT","FQ1 2020","FQ1 2020","Currency=USD","Period=FQ","BEST_FPERIOD_OVERRIDE=FQ","FILING_STATUS=MR","SCALING_FORMAT=MLN","Sort=A","Dates=H","DateFormat=P","Fill=—","Direction=H","UseDPDF=Y")</f>
        <v>0</v>
      </c>
      <c r="I43" s="13">
        <f>_xll.BDH("SRPT US Equity","CF_LT_DEBT_CAP_LEAS_PAYMENT","FQ2 2020","FQ2 2020","Currency=USD","Period=FQ","BEST_FPERIOD_OVERRIDE=FQ","FILING_STATUS=MR","SCALING_FORMAT=MLN","Sort=A","Dates=H","DateFormat=P","Fill=—","Direction=H","UseDPDF=Y")</f>
        <v>0</v>
      </c>
      <c r="J43" s="13" t="str">
        <f>_xll.BDH("SRPT US Equity","CF_LT_DEBT_CAP_LEAS_PAYMENT","FQ3 2020","FQ3 2020","Currency=USD","Period=FQ","BEST_FPERIOD_OVERRIDE=FQ","FILING_STATUS=MR","SCALING_FORMAT=MLN","Sort=A","Dates=H","DateFormat=P","Fill=—","Direction=H","UseDPDF=Y")</f>
        <v>—</v>
      </c>
      <c r="K43" s="13" t="str">
        <f>_xll.BDH("SRPT US Equity","CF_LT_DEBT_CAP_LEAS_PAYMENT","FQ4 2020","FQ4 2020","Currency=USD","Period=FQ","BEST_FPERIOD_OVERRIDE=FQ","FILING_STATUS=MR","SCALING_FORMAT=MLN","Sort=A","Dates=H","DateFormat=P","Fill=—","Direction=H","UseDPDF=Y")</f>
        <v>—</v>
      </c>
      <c r="L43" s="13">
        <f>_xll.BDH("SRPT US Equity","CF_LT_DEBT_CAP_LEAS_PAYMENT","FQ1 2021","FQ1 2021","Currency=USD","Period=FQ","BEST_FPERIOD_OVERRIDE=FQ","FILING_STATUS=MR","SCALING_FORMAT=MLN","Sort=A","Dates=H","DateFormat=P","Fill=—","Direction=H","UseDPDF=Y")</f>
        <v>0</v>
      </c>
      <c r="M43" s="13">
        <f>_xll.BDH("SRPT US Equity","CF_LT_DEBT_CAP_LEAS_PAYMENT","FQ2 2021","FQ2 2021","Currency=USD","Period=FQ","BEST_FPERIOD_OVERRIDE=FQ","FILING_STATUS=MR","SCALING_FORMAT=MLN","Sort=A","Dates=H","DateFormat=P","Fill=—","Direction=H","UseDPDF=Y")</f>
        <v>0</v>
      </c>
      <c r="N43" s="13">
        <f>_xll.BDH("SRPT US Equity","CF_LT_DEBT_CAP_LEAS_PAYMENT","FQ3 2021","FQ3 2021","Currency=USD","Period=FQ","BEST_FPERIOD_OVERRIDE=FQ","FILING_STATUS=MR","SCALING_FORMAT=MLN","Sort=A","Dates=H","DateFormat=P","Fill=—","Direction=H","UseDPDF=Y")</f>
        <v>0</v>
      </c>
      <c r="O43" s="13">
        <f>_xll.BDH("SRPT US Equity","CF_LT_DEBT_CAP_LEAS_PAYMENT","FQ4 2021","FQ4 2021","Currency=USD","Period=FQ","BEST_FPERIOD_OVERRIDE=FQ","FILING_STATUS=MR","SCALING_FORMAT=MLN","Sort=A","Dates=H","DateFormat=P","Fill=—","Direction=H","UseDPDF=Y")</f>
        <v>0</v>
      </c>
      <c r="P43" s="13">
        <f>_xll.BDH("SRPT US Equity","CF_LT_DEBT_CAP_LEAS_PAYMENT","FQ1 2022","FQ1 2022","Currency=USD","Period=FQ","BEST_FPERIOD_OVERRIDE=FQ","FILING_STATUS=MR","SCALING_FORMAT=MLN","Sort=A","Dates=H","DateFormat=P","Fill=—","Direction=H","UseDPDF=Y")</f>
        <v>0</v>
      </c>
      <c r="Q43" s="13">
        <f>_xll.BDH("SRPT US Equity","CF_LT_DEBT_CAP_LEAS_PAYMENT","FQ2 2022","FQ2 2022","Currency=USD","Period=FQ","BEST_FPERIOD_OVERRIDE=FQ","FILING_STATUS=MR","SCALING_FORMAT=MLN","Sort=A","Dates=H","DateFormat=P","Fill=—","Direction=H","UseDPDF=Y")</f>
        <v>0</v>
      </c>
      <c r="R43" s="13">
        <f>_xll.BDH("SRPT US Equity","CF_LT_DEBT_CAP_LEAS_PAYMENT","FQ3 2022","FQ3 2022","Currency=USD","Period=FQ","BEST_FPERIOD_OVERRIDE=FQ","FILING_STATUS=MR","SCALING_FORMAT=MLN","Sort=A","Dates=H","DateFormat=P","Fill=—","Direction=H","UseDPDF=Y")</f>
        <v>-797.86800000000005</v>
      </c>
      <c r="S43" s="13">
        <f>_xll.BDH("SRPT US Equity","CF_LT_DEBT_CAP_LEAS_PAYMENT","FQ4 2022","FQ4 2022","Currency=USD","Period=FQ","BEST_FPERIOD_OVERRIDE=FQ","FILING_STATUS=MR","SCALING_FORMAT=MLN","Sort=A","Dates=H","DateFormat=P","Fill=—","Direction=H","UseDPDF=Y")</f>
        <v>0</v>
      </c>
      <c r="T43" s="13">
        <f>_xll.BDH("SRPT US Equity","CF_LT_DEBT_CAP_LEAS_PAYMENT","FQ1 2023","FQ1 2023","Currency=USD","Period=FQ","BEST_FPERIOD_OVERRIDE=FQ","FILING_STATUS=MR","SCALING_FORMAT=MLN","Sort=A","Dates=H","DateFormat=P","Fill=—","Direction=H","UseDPDF=Y")</f>
        <v>-6.8869999999999996</v>
      </c>
      <c r="U43" s="13">
        <f>_xll.BDH("SRPT US Equity","CF_LT_DEBT_CAP_LEAS_PAYMENT","FQ2 2023","FQ2 2023","Currency=USD","Period=FQ","BEST_FPERIOD_OVERRIDE=FQ","FILING_STATUS=MR","SCALING_FORMAT=MLN","Sort=A","Dates=H","DateFormat=P","Fill=—","Direction=H","UseDPDF=Y")</f>
        <v>0</v>
      </c>
      <c r="V43" s="13" t="str">
        <f>_xll.BDH("SRPT US Equity","CF_LT_DEBT_CAP_LEAS_PAYMENT","FQ3 2023","FQ3 2023","Currency=USD","Period=FQ","BEST_FPERIOD_OVERRIDE=FQ","FILING_STATUS=MR","SCALING_FORMAT=MLN","Sort=A","Dates=H","DateFormat=P","Fill=—","Direction=H","UseDPDF=Y")</f>
        <v>—</v>
      </c>
      <c r="W43" s="13" t="str">
        <f>_xll.BDH("SRPT US Equity","CF_LT_DEBT_CAP_LEAS_PAYMENT","FQ4 2023","FQ4 2023","Currency=USD","Period=FQ","BEST_FPERIOD_OVERRIDE=FQ","FILING_STATUS=MR","SCALING_FORMAT=MLN","Sort=A","Dates=H","DateFormat=P","Fill=—","Direction=H","UseDPDF=Y")</f>
        <v>—</v>
      </c>
      <c r="X43" s="13">
        <f>_xll.BDH("SRPT US Equity","CF_LT_DEBT_CAP_LEAS_PAYMENT","FQ1 2024","FQ1 2024","Currency=USD","Period=FQ","BEST_FPERIOD_OVERRIDE=FQ","FILING_STATUS=MR","SCALING_FORMAT=MLN","Sort=A","Dates=H","DateFormat=P","Fill=—","Direction=H","UseDPDF=Y")</f>
        <v>0</v>
      </c>
      <c r="Y43" s="13">
        <f>_xll.BDH("SRPT US Equity","CF_LT_DEBT_CAP_LEAS_PAYMENT","FQ2 2024","FQ2 2024","Currency=USD","Period=FQ","BEST_FPERIOD_OVERRIDE=FQ","FILING_STATUS=MR","SCALING_FORMAT=MLN","Sort=A","Dates=H","DateFormat=P","Fill=—","Direction=H","UseDPDF=Y")</f>
        <v>0</v>
      </c>
      <c r="Z43" s="13">
        <f>_xll.BDH("SRPT US Equity","CF_LT_DEBT_CAP_LEAS_PAYMENT","FQ3 2024","FQ3 2024","Currency=USD","Period=FQ","BEST_FPERIOD_OVERRIDE=FQ","FILING_STATUS=MR","SCALING_FORMAT=MLN","Sort=A","Dates=H","DateFormat=P","Fill=—","Direction=H","UseDPDF=Y")</f>
        <v>0</v>
      </c>
      <c r="AA43" s="13">
        <f>_xll.BDH("SRPT US Equity","CF_LT_DEBT_CAP_LEAS_PAYMENT","FQ4 2024","FQ4 2024","Currency=USD","Period=FQ","BEST_FPERIOD_OVERRIDE=FQ","FILING_STATUS=MR","SCALING_FORMAT=MLN","Sort=A","Dates=H","DateFormat=P","Fill=—","Direction=H","UseDPDF=Y")</f>
        <v>0</v>
      </c>
    </row>
    <row r="44" spans="1:27" x14ac:dyDescent="0.25">
      <c r="A44" s="10" t="s">
        <v>1240</v>
      </c>
      <c r="B44" s="10" t="s">
        <v>1241</v>
      </c>
      <c r="C44" s="13">
        <f>_xll.BDH("SRPT US Equity","PROC_FR_REPURCH_EQTY_DETAILED","FQ4 2018","FQ4 2018","Currency=USD","Period=FQ","BEST_FPERIOD_OVERRIDE=FQ","FILING_STATUS=MR","SCALING_FORMAT=MLN","Sort=A","Dates=H","DateFormat=P","Fill=—","Direction=H","UseDPDF=Y")</f>
        <v>520.6</v>
      </c>
      <c r="D44" s="13">
        <f>_xll.BDH("SRPT US Equity","PROC_FR_REPURCH_EQTY_DETAILED","FQ1 2019","FQ1 2019","Currency=USD","Period=FQ","BEST_FPERIOD_OVERRIDE=FQ","FILING_STATUS=MR","SCALING_FORMAT=MLN","Sort=A","Dates=H","DateFormat=P","Fill=—","Direction=H","UseDPDF=Y")</f>
        <v>377.56299999999999</v>
      </c>
      <c r="E44" s="13">
        <f>_xll.BDH("SRPT US Equity","PROC_FR_REPURCH_EQTY_DETAILED","FQ2 2019","FQ2 2019","Currency=USD","Period=FQ","BEST_FPERIOD_OVERRIDE=FQ","FILING_STATUS=MR","SCALING_FORMAT=MLN","Sort=A","Dates=H","DateFormat=P","Fill=—","Direction=H","UseDPDF=Y")</f>
        <v>7.181</v>
      </c>
      <c r="F44" s="13">
        <f>_xll.BDH("SRPT US Equity","PROC_FR_REPURCH_EQTY_DETAILED","FQ3 2019","FQ3 2019","Currency=USD","Period=FQ","BEST_FPERIOD_OVERRIDE=FQ","FILING_STATUS=MR","SCALING_FORMAT=MLN","Sort=A","Dates=H","DateFormat=P","Fill=—","Direction=H","UseDPDF=Y")</f>
        <v>5.181</v>
      </c>
      <c r="G44" s="13">
        <f>_xll.BDH("SRPT US Equity","PROC_FR_REPURCH_EQTY_DETAILED","FQ4 2019","FQ4 2019","Currency=USD","Period=FQ","BEST_FPERIOD_OVERRIDE=FQ","FILING_STATUS=MR","SCALING_FORMAT=MLN","Sort=A","Dates=H","DateFormat=P","Fill=—","Direction=H","UseDPDF=Y")</f>
        <v>12.03</v>
      </c>
      <c r="H44" s="13">
        <f>_xll.BDH("SRPT US Equity","PROC_FR_REPURCH_EQTY_DETAILED","FQ1 2020","FQ1 2020","Currency=USD","Period=FQ","BEST_FPERIOD_OVERRIDE=FQ","FILING_STATUS=MR","SCALING_FORMAT=MLN","Sort=A","Dates=H","DateFormat=P","Fill=—","Direction=H","UseDPDF=Y")</f>
        <v>323.82</v>
      </c>
      <c r="I44" s="13">
        <f>_xll.BDH("SRPT US Equity","PROC_FR_REPURCH_EQTY_DETAILED","FQ2 2020","FQ2 2020","Currency=USD","Period=FQ","BEST_FPERIOD_OVERRIDE=FQ","FILING_STATUS=MR","SCALING_FORMAT=MLN","Sort=A","Dates=H","DateFormat=P","Fill=—","Direction=H","UseDPDF=Y")</f>
        <v>17.574999999999999</v>
      </c>
      <c r="J44" s="13">
        <f>_xll.BDH("SRPT US Equity","PROC_FR_REPURCH_EQTY_DETAILED","FQ3 2020","FQ3 2020","Currency=USD","Period=FQ","BEST_FPERIOD_OVERRIDE=FQ","FILING_STATUS=MR","SCALING_FORMAT=MLN","Sort=A","Dates=H","DateFormat=P","Fill=—","Direction=H","UseDPDF=Y")</f>
        <v>-293.26400000000001</v>
      </c>
      <c r="K44" s="13">
        <f>_xll.BDH("SRPT US Equity","PROC_FR_REPURCH_EQTY_DETAILED","FQ4 2020","FQ4 2020","Currency=USD","Period=FQ","BEST_FPERIOD_OVERRIDE=FQ","FILING_STATUS=MR","SCALING_FORMAT=MLN","Sort=A","Dates=H","DateFormat=P","Fill=—","Direction=H","UseDPDF=Y")</f>
        <v>347.87900000000002</v>
      </c>
      <c r="L44" s="13">
        <f>_xll.BDH("SRPT US Equity","PROC_FR_REPURCH_EQTY_DETAILED","FQ1 2021","FQ1 2021","Currency=USD","Period=FQ","BEST_FPERIOD_OVERRIDE=FQ","FILING_STATUS=MR","SCALING_FORMAT=MLN","Sort=A","Dates=H","DateFormat=P","Fill=—","Direction=H","UseDPDF=Y")</f>
        <v>9.2260000000000009</v>
      </c>
      <c r="M44" s="13">
        <f>_xll.BDH("SRPT US Equity","PROC_FR_REPURCH_EQTY_DETAILED","FQ2 2021","FQ2 2021","Currency=USD","Period=FQ","BEST_FPERIOD_OVERRIDE=FQ","FILING_STATUS=MR","SCALING_FORMAT=MLN","Sort=A","Dates=H","DateFormat=P","Fill=—","Direction=H","UseDPDF=Y")</f>
        <v>3.5259999999999998</v>
      </c>
      <c r="N44" s="13">
        <f>_xll.BDH("SRPT US Equity","PROC_FR_REPURCH_EQTY_DETAILED","FQ3 2021","FQ3 2021","Currency=USD","Period=FQ","BEST_FPERIOD_OVERRIDE=FQ","FILING_STATUS=MR","SCALING_FORMAT=MLN","Sort=A","Dates=H","DateFormat=P","Fill=—","Direction=H","UseDPDF=Y")</f>
        <v>5.9020000000000001</v>
      </c>
      <c r="O44" s="13">
        <f>_xll.BDH("SRPT US Equity","PROC_FR_REPURCH_EQTY_DETAILED","FQ4 2021","FQ4 2021","Currency=USD","Period=FQ","BEST_FPERIOD_OVERRIDE=FQ","FILING_STATUS=MR","SCALING_FORMAT=MLN","Sort=A","Dates=H","DateFormat=P","Fill=—","Direction=H","UseDPDF=Y")</f>
        <v>550.67999999999995</v>
      </c>
      <c r="P44" s="13">
        <f>_xll.BDH("SRPT US Equity","PROC_FR_REPURCH_EQTY_DETAILED","FQ1 2022","FQ1 2022","Currency=USD","Period=FQ","BEST_FPERIOD_OVERRIDE=FQ","FILING_STATUS=MR","SCALING_FORMAT=MLN","Sort=A","Dates=H","DateFormat=P","Fill=—","Direction=H","UseDPDF=Y")</f>
        <v>4.99</v>
      </c>
      <c r="Q44" s="13">
        <f>_xll.BDH("SRPT US Equity","PROC_FR_REPURCH_EQTY_DETAILED","FQ2 2022","FQ2 2022","Currency=USD","Period=FQ","BEST_FPERIOD_OVERRIDE=FQ","FILING_STATUS=MR","SCALING_FORMAT=MLN","Sort=A","Dates=H","DateFormat=P","Fill=—","Direction=H","UseDPDF=Y")</f>
        <v>0.33900000000000002</v>
      </c>
      <c r="R44" s="13">
        <f>_xll.BDH("SRPT US Equity","PROC_FR_REPURCH_EQTY_DETAILED","FQ3 2022","FQ3 2022","Currency=USD","Period=FQ","BEST_FPERIOD_OVERRIDE=FQ","FILING_STATUS=MR","SCALING_FORMAT=MLN","Sort=A","Dates=H","DateFormat=P","Fill=—","Direction=H","UseDPDF=Y")</f>
        <v>-87.576999999999998</v>
      </c>
      <c r="S44" s="13">
        <f>_xll.BDH("SRPT US Equity","PROC_FR_REPURCH_EQTY_DETAILED","FQ4 2022","FQ4 2022","Currency=USD","Period=FQ","BEST_FPERIOD_OVERRIDE=FQ","FILING_STATUS=MR","SCALING_FORMAT=MLN","Sort=A","Dates=H","DateFormat=P","Fill=—","Direction=H","UseDPDF=Y")</f>
        <v>11.303000000000001</v>
      </c>
      <c r="T44" s="13">
        <f>_xll.BDH("SRPT US Equity","PROC_FR_REPURCH_EQTY_DETAILED","FQ1 2023","FQ1 2023","Currency=USD","Period=FQ","BEST_FPERIOD_OVERRIDE=FQ","FILING_STATUS=MR","SCALING_FORMAT=MLN","Sort=A","Dates=H","DateFormat=P","Fill=—","Direction=H","UseDPDF=Y")</f>
        <v>28.036999999999999</v>
      </c>
      <c r="U44" s="13">
        <f>_xll.BDH("SRPT US Equity","PROC_FR_REPURCH_EQTY_DETAILED","FQ2 2023","FQ2 2023","Currency=USD","Period=FQ","BEST_FPERIOD_OVERRIDE=FQ","FILING_STATUS=MR","SCALING_FORMAT=MLN","Sort=A","Dates=H","DateFormat=P","Fill=—","Direction=H","UseDPDF=Y")</f>
        <v>5.8609999999999998</v>
      </c>
      <c r="V44" s="13">
        <f>_xll.BDH("SRPT US Equity","PROC_FR_REPURCH_EQTY_DETAILED","FQ3 2023","FQ3 2023","Currency=USD","Period=FQ","BEST_FPERIOD_OVERRIDE=FQ","FILING_STATUS=MR","SCALING_FORMAT=MLN","Sort=A","Dates=H","DateFormat=P","Fill=—","Direction=H","UseDPDF=Y")</f>
        <v>15.404999999999999</v>
      </c>
      <c r="W44" s="13">
        <f>_xll.BDH("SRPT US Equity","PROC_FR_REPURCH_EQTY_DETAILED","FQ4 2023","FQ4 2023","Currency=USD","Period=FQ","BEST_FPERIOD_OVERRIDE=FQ","FILING_STATUS=MR","SCALING_FORMAT=MLN","Sort=A","Dates=H","DateFormat=P","Fill=—","Direction=H","UseDPDF=Y")</f>
        <v>1.9430000000000001</v>
      </c>
      <c r="X44" s="13">
        <f>_xll.BDH("SRPT US Equity","PROC_FR_REPURCH_EQTY_DETAILED","FQ1 2024","FQ1 2024","Currency=USD","Period=FQ","BEST_FPERIOD_OVERRIDE=FQ","FILING_STATUS=MR","SCALING_FORMAT=MLN","Sort=A","Dates=H","DateFormat=P","Fill=—","Direction=H","UseDPDF=Y")</f>
        <v>22.14</v>
      </c>
      <c r="Y44" s="13">
        <f>_xll.BDH("SRPT US Equity","PROC_FR_REPURCH_EQTY_DETAILED","FQ2 2024","FQ2 2024","Currency=USD","Period=FQ","BEST_FPERIOD_OVERRIDE=FQ","FILING_STATUS=MR","SCALING_FORMAT=MLN","Sort=A","Dates=H","DateFormat=P","Fill=—","Direction=H","UseDPDF=Y")</f>
        <v>39.917999999999999</v>
      </c>
      <c r="Z44" s="13">
        <f>_xll.BDH("SRPT US Equity","PROC_FR_REPURCH_EQTY_DETAILED","FQ3 2024","FQ3 2024","Currency=USD","Period=FQ","BEST_FPERIOD_OVERRIDE=FQ","FILING_STATUS=MR","SCALING_FORMAT=MLN","Sort=A","Dates=H","DateFormat=P","Fill=—","Direction=H","UseDPDF=Y")</f>
        <v>13.757</v>
      </c>
      <c r="AA44" s="13">
        <f>_xll.BDH("SRPT US Equity","PROC_FR_REPURCH_EQTY_DETAILED","FQ4 2024","FQ4 2024","Currency=USD","Period=FQ","BEST_FPERIOD_OVERRIDE=FQ","FILING_STATUS=MR","SCALING_FORMAT=MLN","Sort=A","Dates=H","DateFormat=P","Fill=—","Direction=H","UseDPDF=Y")</f>
        <v>3.71</v>
      </c>
    </row>
    <row r="45" spans="1:27" x14ac:dyDescent="0.25">
      <c r="A45" s="10" t="s">
        <v>1242</v>
      </c>
      <c r="B45" s="10" t="s">
        <v>1243</v>
      </c>
      <c r="C45" s="13">
        <f>_xll.BDH("SRPT US Equity","CF_INCR_CAP_STOCK","FQ4 2018","FQ4 2018","Currency=USD","Period=FQ","BEST_FPERIOD_OVERRIDE=FQ","FILING_STATUS=MR","SCALING_FORMAT=MLN","Sort=A","Dates=H","DateFormat=P","Fill=—","Direction=H","UseDPDF=Y")</f>
        <v>520.6</v>
      </c>
      <c r="D45" s="13">
        <f>_xll.BDH("SRPT US Equity","CF_INCR_CAP_STOCK","FQ1 2019","FQ1 2019","Currency=USD","Period=FQ","BEST_FPERIOD_OVERRIDE=FQ","FILING_STATUS=MR","SCALING_FORMAT=MLN","Sort=A","Dates=H","DateFormat=P","Fill=—","Direction=H","UseDPDF=Y")</f>
        <v>377.56299999999999</v>
      </c>
      <c r="E45" s="13">
        <f>_xll.BDH("SRPT US Equity","CF_INCR_CAP_STOCK","FQ2 2019","FQ2 2019","Currency=USD","Period=FQ","BEST_FPERIOD_OVERRIDE=FQ","FILING_STATUS=MR","SCALING_FORMAT=MLN","Sort=A","Dates=H","DateFormat=P","Fill=—","Direction=H","UseDPDF=Y")</f>
        <v>7.181</v>
      </c>
      <c r="F45" s="13">
        <f>_xll.BDH("SRPT US Equity","CF_INCR_CAP_STOCK","FQ3 2019","FQ3 2019","Currency=USD","Period=FQ","BEST_FPERIOD_OVERRIDE=FQ","FILING_STATUS=MR","SCALING_FORMAT=MLN","Sort=A","Dates=H","DateFormat=P","Fill=—","Direction=H","UseDPDF=Y")</f>
        <v>5.181</v>
      </c>
      <c r="G45" s="13">
        <f>_xll.BDH("SRPT US Equity","CF_INCR_CAP_STOCK","FQ4 2019","FQ4 2019","Currency=USD","Period=FQ","BEST_FPERIOD_OVERRIDE=FQ","FILING_STATUS=MR","SCALING_FORMAT=MLN","Sort=A","Dates=H","DateFormat=P","Fill=—","Direction=H","UseDPDF=Y")</f>
        <v>12.03</v>
      </c>
      <c r="H45" s="13">
        <f>_xll.BDH("SRPT US Equity","CF_INCR_CAP_STOCK","FQ1 2020","FQ1 2020","Currency=USD","Period=FQ","BEST_FPERIOD_OVERRIDE=FQ","FILING_STATUS=MR","SCALING_FORMAT=MLN","Sort=A","Dates=H","DateFormat=P","Fill=—","Direction=H","UseDPDF=Y")</f>
        <v>323.82</v>
      </c>
      <c r="I45" s="13">
        <f>_xll.BDH("SRPT US Equity","CF_INCR_CAP_STOCK","FQ2 2020","FQ2 2020","Currency=USD","Period=FQ","BEST_FPERIOD_OVERRIDE=FQ","FILING_STATUS=MR","SCALING_FORMAT=MLN","Sort=A","Dates=H","DateFormat=P","Fill=—","Direction=H","UseDPDF=Y")</f>
        <v>17.574999999999999</v>
      </c>
      <c r="J45" s="13" t="str">
        <f>_xll.BDH("SRPT US Equity","CF_INCR_CAP_STOCK","FQ3 2020","FQ3 2020","Currency=USD","Period=FQ","BEST_FPERIOD_OVERRIDE=FQ","FILING_STATUS=MR","SCALING_FORMAT=MLN","Sort=A","Dates=H","DateFormat=P","Fill=—","Direction=H","UseDPDF=Y")</f>
        <v>—</v>
      </c>
      <c r="K45" s="13" t="str">
        <f>_xll.BDH("SRPT US Equity","CF_INCR_CAP_STOCK","FQ4 2020","FQ4 2020","Currency=USD","Period=FQ","BEST_FPERIOD_OVERRIDE=FQ","FILING_STATUS=MR","SCALING_FORMAT=MLN","Sort=A","Dates=H","DateFormat=P","Fill=—","Direction=H","UseDPDF=Y")</f>
        <v>—</v>
      </c>
      <c r="L45" s="13">
        <f>_xll.BDH("SRPT US Equity","CF_INCR_CAP_STOCK","FQ1 2021","FQ1 2021","Currency=USD","Period=FQ","BEST_FPERIOD_OVERRIDE=FQ","FILING_STATUS=MR","SCALING_FORMAT=MLN","Sort=A","Dates=H","DateFormat=P","Fill=—","Direction=H","UseDPDF=Y")</f>
        <v>9.2260000000000009</v>
      </c>
      <c r="M45" s="13">
        <f>_xll.BDH("SRPT US Equity","CF_INCR_CAP_STOCK","FQ2 2021","FQ2 2021","Currency=USD","Period=FQ","BEST_FPERIOD_OVERRIDE=FQ","FILING_STATUS=MR","SCALING_FORMAT=MLN","Sort=A","Dates=H","DateFormat=P","Fill=—","Direction=H","UseDPDF=Y")</f>
        <v>3.5259999999999998</v>
      </c>
      <c r="N45" s="13">
        <f>_xll.BDH("SRPT US Equity","CF_INCR_CAP_STOCK","FQ3 2021","FQ3 2021","Currency=USD","Period=FQ","BEST_FPERIOD_OVERRIDE=FQ","FILING_STATUS=MR","SCALING_FORMAT=MLN","Sort=A","Dates=H","DateFormat=P","Fill=—","Direction=H","UseDPDF=Y")</f>
        <v>5.9020000000000001</v>
      </c>
      <c r="O45" s="13">
        <f>_xll.BDH("SRPT US Equity","CF_INCR_CAP_STOCK","FQ4 2021","FQ4 2021","Currency=USD","Period=FQ","BEST_FPERIOD_OVERRIDE=FQ","FILING_STATUS=MR","SCALING_FORMAT=MLN","Sort=A","Dates=H","DateFormat=P","Fill=—","Direction=H","UseDPDF=Y")</f>
        <v>550.67999999999995</v>
      </c>
      <c r="P45" s="13">
        <f>_xll.BDH("SRPT US Equity","CF_INCR_CAP_STOCK","FQ1 2022","FQ1 2022","Currency=USD","Period=FQ","BEST_FPERIOD_OVERRIDE=FQ","FILING_STATUS=MR","SCALING_FORMAT=MLN","Sort=A","Dates=H","DateFormat=P","Fill=—","Direction=H","UseDPDF=Y")</f>
        <v>4.99</v>
      </c>
      <c r="Q45" s="13">
        <f>_xll.BDH("SRPT US Equity","CF_INCR_CAP_STOCK","FQ2 2022","FQ2 2022","Currency=USD","Period=FQ","BEST_FPERIOD_OVERRIDE=FQ","FILING_STATUS=MR","SCALING_FORMAT=MLN","Sort=A","Dates=H","DateFormat=P","Fill=—","Direction=H","UseDPDF=Y")</f>
        <v>0.33900000000000002</v>
      </c>
      <c r="R45" s="13">
        <f>_xll.BDH("SRPT US Equity","CF_INCR_CAP_STOCK","FQ3 2022","FQ3 2022","Currency=USD","Period=FQ","BEST_FPERIOD_OVERRIDE=FQ","FILING_STATUS=MR","SCALING_FORMAT=MLN","Sort=A","Dates=H","DateFormat=P","Fill=—","Direction=H","UseDPDF=Y")</f>
        <v>39.728000000000002</v>
      </c>
      <c r="S45" s="13">
        <f>_xll.BDH("SRPT US Equity","CF_INCR_CAP_STOCK","FQ4 2022","FQ4 2022","Currency=USD","Period=FQ","BEST_FPERIOD_OVERRIDE=FQ","FILING_STATUS=MR","SCALING_FORMAT=MLN","Sort=A","Dates=H","DateFormat=P","Fill=—","Direction=H","UseDPDF=Y")</f>
        <v>11.303000000000001</v>
      </c>
      <c r="T45" s="13">
        <f>_xll.BDH("SRPT US Equity","CF_INCR_CAP_STOCK","FQ1 2023","FQ1 2023","Currency=USD","Period=FQ","BEST_FPERIOD_OVERRIDE=FQ","FILING_STATUS=MR","SCALING_FORMAT=MLN","Sort=A","Dates=H","DateFormat=P","Fill=—","Direction=H","UseDPDF=Y")</f>
        <v>28.036999999999999</v>
      </c>
      <c r="U45" s="13">
        <f>_xll.BDH("SRPT US Equity","CF_INCR_CAP_STOCK","FQ2 2023","FQ2 2023","Currency=USD","Period=FQ","BEST_FPERIOD_OVERRIDE=FQ","FILING_STATUS=MR","SCALING_FORMAT=MLN","Sort=A","Dates=H","DateFormat=P","Fill=—","Direction=H","UseDPDF=Y")</f>
        <v>5.8609999999999998</v>
      </c>
      <c r="V45" s="13">
        <f>_xll.BDH("SRPT US Equity","CF_INCR_CAP_STOCK","FQ3 2023","FQ3 2023","Currency=USD","Period=FQ","BEST_FPERIOD_OVERRIDE=FQ","FILING_STATUS=MR","SCALING_FORMAT=MLN","Sort=A","Dates=H","DateFormat=P","Fill=—","Direction=H","UseDPDF=Y")</f>
        <v>15.404999999999999</v>
      </c>
      <c r="W45" s="13">
        <f>_xll.BDH("SRPT US Equity","CF_INCR_CAP_STOCK","FQ4 2023","FQ4 2023","Currency=USD","Period=FQ","BEST_FPERIOD_OVERRIDE=FQ","FILING_STATUS=MR","SCALING_FORMAT=MLN","Sort=A","Dates=H","DateFormat=P","Fill=—","Direction=H","UseDPDF=Y")</f>
        <v>1.9430000000000001</v>
      </c>
      <c r="X45" s="13">
        <f>_xll.BDH("SRPT US Equity","CF_INCR_CAP_STOCK","FQ1 2024","FQ1 2024","Currency=USD","Period=FQ","BEST_FPERIOD_OVERRIDE=FQ","FILING_STATUS=MR","SCALING_FORMAT=MLN","Sort=A","Dates=H","DateFormat=P","Fill=—","Direction=H","UseDPDF=Y")</f>
        <v>22.14</v>
      </c>
      <c r="Y45" s="13">
        <f>_xll.BDH("SRPT US Equity","CF_INCR_CAP_STOCK","FQ2 2024","FQ2 2024","Currency=USD","Period=FQ","BEST_FPERIOD_OVERRIDE=FQ","FILING_STATUS=MR","SCALING_FORMAT=MLN","Sort=A","Dates=H","DateFormat=P","Fill=—","Direction=H","UseDPDF=Y")</f>
        <v>39.917999999999999</v>
      </c>
      <c r="Z45" s="13">
        <f>_xll.BDH("SRPT US Equity","CF_INCR_CAP_STOCK","FQ3 2024","FQ3 2024","Currency=USD","Period=FQ","BEST_FPERIOD_OVERRIDE=FQ","FILING_STATUS=MR","SCALING_FORMAT=MLN","Sort=A","Dates=H","DateFormat=P","Fill=—","Direction=H","UseDPDF=Y")</f>
        <v>13.757</v>
      </c>
      <c r="AA45" s="13">
        <f>_xll.BDH("SRPT US Equity","CF_INCR_CAP_STOCK","FQ4 2024","FQ4 2024","Currency=USD","Period=FQ","BEST_FPERIOD_OVERRIDE=FQ","FILING_STATUS=MR","SCALING_FORMAT=MLN","Sort=A","Dates=H","DateFormat=P","Fill=—","Direction=H","UseDPDF=Y")</f>
        <v>3.71</v>
      </c>
    </row>
    <row r="46" spans="1:27" x14ac:dyDescent="0.25">
      <c r="A46" s="10" t="s">
        <v>1244</v>
      </c>
      <c r="B46" s="10" t="s">
        <v>1245</v>
      </c>
      <c r="C46" s="13">
        <f>_xll.BDH("SRPT US Equity","CF_DECR_CAP_STOCK","FQ4 2018","FQ4 2018","Currency=USD","Period=FQ","BEST_FPERIOD_OVERRIDE=FQ","FILING_STATUS=MR","SCALING_FORMAT=MLN","Sort=A","Dates=H","DateFormat=P","Fill=—","Direction=H","UseDPDF=Y")</f>
        <v>0</v>
      </c>
      <c r="D46" s="13">
        <f>_xll.BDH("SRPT US Equity","CF_DECR_CAP_STOCK","FQ1 2019","FQ1 2019","Currency=USD","Period=FQ","BEST_FPERIOD_OVERRIDE=FQ","FILING_STATUS=MR","SCALING_FORMAT=MLN","Sort=A","Dates=H","DateFormat=P","Fill=—","Direction=H","UseDPDF=Y")</f>
        <v>0</v>
      </c>
      <c r="E46" s="13">
        <f>_xll.BDH("SRPT US Equity","CF_DECR_CAP_STOCK","FQ2 2019","FQ2 2019","Currency=USD","Period=FQ","BEST_FPERIOD_OVERRIDE=FQ","FILING_STATUS=MR","SCALING_FORMAT=MLN","Sort=A","Dates=H","DateFormat=P","Fill=—","Direction=H","UseDPDF=Y")</f>
        <v>0</v>
      </c>
      <c r="F46" s="13">
        <f>_xll.BDH("SRPT US Equity","CF_DECR_CAP_STOCK","FQ3 2019","FQ3 2019","Currency=USD","Period=FQ","BEST_FPERIOD_OVERRIDE=FQ","FILING_STATUS=MR","SCALING_FORMAT=MLN","Sort=A","Dates=H","DateFormat=P","Fill=—","Direction=H","UseDPDF=Y")</f>
        <v>0</v>
      </c>
      <c r="G46" s="13">
        <f>_xll.BDH("SRPT US Equity","CF_DECR_CAP_STOCK","FQ4 2019","FQ4 2019","Currency=USD","Period=FQ","BEST_FPERIOD_OVERRIDE=FQ","FILING_STATUS=MR","SCALING_FORMAT=MLN","Sort=A","Dates=H","DateFormat=P","Fill=—","Direction=H","UseDPDF=Y")</f>
        <v>0</v>
      </c>
      <c r="H46" s="13">
        <f>_xll.BDH("SRPT US Equity","CF_DECR_CAP_STOCK","FQ1 2020","FQ1 2020","Currency=USD","Period=FQ","BEST_FPERIOD_OVERRIDE=FQ","FILING_STATUS=MR","SCALING_FORMAT=MLN","Sort=A","Dates=H","DateFormat=P","Fill=—","Direction=H","UseDPDF=Y")</f>
        <v>0</v>
      </c>
      <c r="I46" s="13">
        <f>_xll.BDH("SRPT US Equity","CF_DECR_CAP_STOCK","FQ2 2020","FQ2 2020","Currency=USD","Period=FQ","BEST_FPERIOD_OVERRIDE=FQ","FILING_STATUS=MR","SCALING_FORMAT=MLN","Sort=A","Dates=H","DateFormat=P","Fill=—","Direction=H","UseDPDF=Y")</f>
        <v>0</v>
      </c>
      <c r="J46" s="13" t="str">
        <f>_xll.BDH("SRPT US Equity","CF_DECR_CAP_STOCK","FQ3 2020","FQ3 2020","Currency=USD","Period=FQ","BEST_FPERIOD_OVERRIDE=FQ","FILING_STATUS=MR","SCALING_FORMAT=MLN","Sort=A","Dates=H","DateFormat=P","Fill=—","Direction=H","UseDPDF=Y")</f>
        <v>—</v>
      </c>
      <c r="K46" s="13" t="str">
        <f>_xll.BDH("SRPT US Equity","CF_DECR_CAP_STOCK","FQ4 2020","FQ4 2020","Currency=USD","Period=FQ","BEST_FPERIOD_OVERRIDE=FQ","FILING_STATUS=MR","SCALING_FORMAT=MLN","Sort=A","Dates=H","DateFormat=P","Fill=—","Direction=H","UseDPDF=Y")</f>
        <v>—</v>
      </c>
      <c r="L46" s="13">
        <f>_xll.BDH("SRPT US Equity","CF_DECR_CAP_STOCK","FQ1 2021","FQ1 2021","Currency=USD","Period=FQ","BEST_FPERIOD_OVERRIDE=FQ","FILING_STATUS=MR","SCALING_FORMAT=MLN","Sort=A","Dates=H","DateFormat=P","Fill=—","Direction=H","UseDPDF=Y")</f>
        <v>0</v>
      </c>
      <c r="M46" s="13">
        <f>_xll.BDH("SRPT US Equity","CF_DECR_CAP_STOCK","FQ2 2021","FQ2 2021","Currency=USD","Period=FQ","BEST_FPERIOD_OVERRIDE=FQ","FILING_STATUS=MR","SCALING_FORMAT=MLN","Sort=A","Dates=H","DateFormat=P","Fill=—","Direction=H","UseDPDF=Y")</f>
        <v>0</v>
      </c>
      <c r="N46" s="13">
        <f>_xll.BDH("SRPT US Equity","CF_DECR_CAP_STOCK","FQ3 2021","FQ3 2021","Currency=USD","Period=FQ","BEST_FPERIOD_OVERRIDE=FQ","FILING_STATUS=MR","SCALING_FORMAT=MLN","Sort=A","Dates=H","DateFormat=P","Fill=—","Direction=H","UseDPDF=Y")</f>
        <v>0</v>
      </c>
      <c r="O46" s="13">
        <f>_xll.BDH("SRPT US Equity","CF_DECR_CAP_STOCK","FQ4 2021","FQ4 2021","Currency=USD","Period=FQ","BEST_FPERIOD_OVERRIDE=FQ","FILING_STATUS=MR","SCALING_FORMAT=MLN","Sort=A","Dates=H","DateFormat=P","Fill=—","Direction=H","UseDPDF=Y")</f>
        <v>0</v>
      </c>
      <c r="P46" s="13">
        <f>_xll.BDH("SRPT US Equity","CF_DECR_CAP_STOCK","FQ1 2022","FQ1 2022","Currency=USD","Period=FQ","BEST_FPERIOD_OVERRIDE=FQ","FILING_STATUS=MR","SCALING_FORMAT=MLN","Sort=A","Dates=H","DateFormat=P","Fill=—","Direction=H","UseDPDF=Y")</f>
        <v>0</v>
      </c>
      <c r="Q46" s="13">
        <f>_xll.BDH("SRPT US Equity","CF_DECR_CAP_STOCK","FQ2 2022","FQ2 2022","Currency=USD","Period=FQ","BEST_FPERIOD_OVERRIDE=FQ","FILING_STATUS=MR","SCALING_FORMAT=MLN","Sort=A","Dates=H","DateFormat=P","Fill=—","Direction=H","UseDPDF=Y")</f>
        <v>0</v>
      </c>
      <c r="R46" s="13">
        <f>_xll.BDH("SRPT US Equity","CF_DECR_CAP_STOCK","FQ3 2022","FQ3 2022","Currency=USD","Period=FQ","BEST_FPERIOD_OVERRIDE=FQ","FILING_STATUS=MR","SCALING_FORMAT=MLN","Sort=A","Dates=H","DateFormat=P","Fill=—","Direction=H","UseDPDF=Y")</f>
        <v>-127.30500000000001</v>
      </c>
      <c r="S46" s="13">
        <f>_xll.BDH("SRPT US Equity","CF_DECR_CAP_STOCK","FQ4 2022","FQ4 2022","Currency=USD","Period=FQ","BEST_FPERIOD_OVERRIDE=FQ","FILING_STATUS=MR","SCALING_FORMAT=MLN","Sort=A","Dates=H","DateFormat=P","Fill=—","Direction=H","UseDPDF=Y")</f>
        <v>0</v>
      </c>
      <c r="T46" s="13">
        <f>_xll.BDH("SRPT US Equity","CF_DECR_CAP_STOCK","FQ1 2023","FQ1 2023","Currency=USD","Period=FQ","BEST_FPERIOD_OVERRIDE=FQ","FILING_STATUS=MR","SCALING_FORMAT=MLN","Sort=A","Dates=H","DateFormat=P","Fill=—","Direction=H","UseDPDF=Y")</f>
        <v>0</v>
      </c>
      <c r="U46" s="13">
        <f>_xll.BDH("SRPT US Equity","CF_DECR_CAP_STOCK","FQ2 2023","FQ2 2023","Currency=USD","Period=FQ","BEST_FPERIOD_OVERRIDE=FQ","FILING_STATUS=MR","SCALING_FORMAT=MLN","Sort=A","Dates=H","DateFormat=P","Fill=—","Direction=H","UseDPDF=Y")</f>
        <v>0</v>
      </c>
      <c r="V46" s="13">
        <f>_xll.BDH("SRPT US Equity","CF_DECR_CAP_STOCK","FQ3 2023","FQ3 2023","Currency=USD","Period=FQ","BEST_FPERIOD_OVERRIDE=FQ","FILING_STATUS=MR","SCALING_FORMAT=MLN","Sort=A","Dates=H","DateFormat=P","Fill=—","Direction=H","UseDPDF=Y")</f>
        <v>0</v>
      </c>
      <c r="W46" s="13">
        <f>_xll.BDH("SRPT US Equity","CF_DECR_CAP_STOCK","FQ4 2023","FQ4 2023","Currency=USD","Period=FQ","BEST_FPERIOD_OVERRIDE=FQ","FILING_STATUS=MR","SCALING_FORMAT=MLN","Sort=A","Dates=H","DateFormat=P","Fill=—","Direction=H","UseDPDF=Y")</f>
        <v>0</v>
      </c>
      <c r="X46" s="13">
        <f>_xll.BDH("SRPT US Equity","CF_DECR_CAP_STOCK","FQ1 2024","FQ1 2024","Currency=USD","Period=FQ","BEST_FPERIOD_OVERRIDE=FQ","FILING_STATUS=MR","SCALING_FORMAT=MLN","Sort=A","Dates=H","DateFormat=P","Fill=—","Direction=H","UseDPDF=Y")</f>
        <v>0</v>
      </c>
      <c r="Y46" s="13">
        <f>_xll.BDH("SRPT US Equity","CF_DECR_CAP_STOCK","FQ2 2024","FQ2 2024","Currency=USD","Period=FQ","BEST_FPERIOD_OVERRIDE=FQ","FILING_STATUS=MR","SCALING_FORMAT=MLN","Sort=A","Dates=H","DateFormat=P","Fill=—","Direction=H","UseDPDF=Y")</f>
        <v>0</v>
      </c>
      <c r="Z46" s="13">
        <f>_xll.BDH("SRPT US Equity","CF_DECR_CAP_STOCK","FQ3 2024","FQ3 2024","Currency=USD","Period=FQ","BEST_FPERIOD_OVERRIDE=FQ","FILING_STATUS=MR","SCALING_FORMAT=MLN","Sort=A","Dates=H","DateFormat=P","Fill=—","Direction=H","UseDPDF=Y")</f>
        <v>0</v>
      </c>
      <c r="AA46" s="13">
        <f>_xll.BDH("SRPT US Equity","CF_DECR_CAP_STOCK","FQ4 2024","FQ4 2024","Currency=USD","Period=FQ","BEST_FPERIOD_OVERRIDE=FQ","FILING_STATUS=MR","SCALING_FORMAT=MLN","Sort=A","Dates=H","DateFormat=P","Fill=—","Direction=H","UseDPDF=Y")</f>
        <v>0</v>
      </c>
    </row>
    <row r="47" spans="1:27" x14ac:dyDescent="0.25">
      <c r="A47" s="10" t="s">
        <v>1246</v>
      </c>
      <c r="B47" s="10" t="s">
        <v>1247</v>
      </c>
      <c r="C47" s="13">
        <f>_xll.BDH("SRPT US Equity","OTHER_FIN_AND_DEC_CAP","FQ4 2018","FQ4 2018","Currency=USD","Period=FQ","BEST_FPERIOD_OVERRIDE=FQ","FILING_STATUS=MR","SCALING_FORMAT=MLN","Sort=A","Dates=H","DateFormat=P","Fill=—","Direction=H","UseDPDF=Y")</f>
        <v>-30.143999999999998</v>
      </c>
      <c r="D47" s="13">
        <f>_xll.BDH("SRPT US Equity","OTHER_FIN_AND_DEC_CAP","FQ1 2019","FQ1 2019","Currency=USD","Period=FQ","BEST_FPERIOD_OVERRIDE=FQ","FILING_STATUS=MR","SCALING_FORMAT=MLN","Sort=A","Dates=H","DateFormat=P","Fill=—","Direction=H","UseDPDF=Y")</f>
        <v>0</v>
      </c>
      <c r="E47" s="13">
        <f>_xll.BDH("SRPT US Equity","OTHER_FIN_AND_DEC_CAP","FQ2 2019","FQ2 2019","Currency=USD","Period=FQ","BEST_FPERIOD_OVERRIDE=FQ","FILING_STATUS=MR","SCALING_FORMAT=MLN","Sort=A","Dates=H","DateFormat=P","Fill=—","Direction=H","UseDPDF=Y")</f>
        <v>-0.88900000000000001</v>
      </c>
      <c r="F47" s="13">
        <f>_xll.BDH("SRPT US Equity","OTHER_FIN_AND_DEC_CAP","FQ3 2019","FQ3 2019","Currency=USD","Period=FQ","BEST_FPERIOD_OVERRIDE=FQ","FILING_STATUS=MR","SCALING_FORMAT=MLN","Sort=A","Dates=H","DateFormat=P","Fill=—","Direction=H","UseDPDF=Y")</f>
        <v>-3.448</v>
      </c>
      <c r="G47" s="13">
        <f>_xll.BDH("SRPT US Equity","OTHER_FIN_AND_DEC_CAP","FQ4 2019","FQ4 2019","Currency=USD","Period=FQ","BEST_FPERIOD_OVERRIDE=FQ","FILING_STATUS=MR","SCALING_FORMAT=MLN","Sort=A","Dates=H","DateFormat=P","Fill=—","Direction=H","UseDPDF=Y")</f>
        <v>-0.68899999999999995</v>
      </c>
      <c r="H47" s="13">
        <f>_xll.BDH("SRPT US Equity","OTHER_FIN_AND_DEC_CAP","FQ1 2020","FQ1 2020","Currency=USD","Period=FQ","BEST_FPERIOD_OVERRIDE=FQ","FILING_STATUS=MR","SCALING_FORMAT=MLN","Sort=A","Dates=H","DateFormat=P","Fill=—","Direction=H","UseDPDF=Y")</f>
        <v>-4.798</v>
      </c>
      <c r="I47" s="13">
        <f>_xll.BDH("SRPT US Equity","OTHER_FIN_AND_DEC_CAP","FQ2 2020","FQ2 2020","Currency=USD","Period=FQ","BEST_FPERIOD_OVERRIDE=FQ","FILING_STATUS=MR","SCALING_FORMAT=MLN","Sort=A","Dates=H","DateFormat=P","Fill=—","Direction=H","UseDPDF=Y")</f>
        <v>0</v>
      </c>
      <c r="J47" s="13">
        <f>_xll.BDH("SRPT US Equity","OTHER_FIN_AND_DEC_CAP","FQ3 2020","FQ3 2020","Currency=USD","Period=FQ","BEST_FPERIOD_OVERRIDE=FQ","FILING_STATUS=MR","SCALING_FORMAT=MLN","Sort=A","Dates=H","DateFormat=P","Fill=—","Direction=H","UseDPDF=Y")</f>
        <v>0</v>
      </c>
      <c r="K47" s="13">
        <f>_xll.BDH("SRPT US Equity","OTHER_FIN_AND_DEC_CAP","FQ4 2020","FQ4 2020","Currency=USD","Period=FQ","BEST_FPERIOD_OVERRIDE=FQ","FILING_STATUS=MR","SCALING_FORMAT=MLN","Sort=A","Dates=H","DateFormat=P","Fill=—","Direction=H","UseDPDF=Y")</f>
        <v>-3.9E-2</v>
      </c>
      <c r="L47" s="13">
        <f>_xll.BDH("SRPT US Equity","OTHER_FIN_AND_DEC_CAP","FQ1 2021","FQ1 2021","Currency=USD","Period=FQ","BEST_FPERIOD_OVERRIDE=FQ","FILING_STATUS=MR","SCALING_FORMAT=MLN","Sort=A","Dates=H","DateFormat=P","Fill=—","Direction=H","UseDPDF=Y")</f>
        <v>-6.3330000000000002</v>
      </c>
      <c r="M47" s="13">
        <f>_xll.BDH("SRPT US Equity","OTHER_FIN_AND_DEC_CAP","FQ2 2021","FQ2 2021","Currency=USD","Period=FQ","BEST_FPERIOD_OVERRIDE=FQ","FILING_STATUS=MR","SCALING_FORMAT=MLN","Sort=A","Dates=H","DateFormat=P","Fill=—","Direction=H","UseDPDF=Y")</f>
        <v>0</v>
      </c>
      <c r="N47" s="13">
        <f>_xll.BDH("SRPT US Equity","OTHER_FIN_AND_DEC_CAP","FQ3 2021","FQ3 2021","Currency=USD","Period=FQ","BEST_FPERIOD_OVERRIDE=FQ","FILING_STATUS=MR","SCALING_FORMAT=MLN","Sort=A","Dates=H","DateFormat=P","Fill=—","Direction=H","UseDPDF=Y")</f>
        <v>0</v>
      </c>
      <c r="O47" s="13">
        <f>_xll.BDH("SRPT US Equity","OTHER_FIN_AND_DEC_CAP","FQ4 2021","FQ4 2021","Currency=USD","Period=FQ","BEST_FPERIOD_OVERRIDE=FQ","FILING_STATUS=MR","SCALING_FORMAT=MLN","Sort=A","Dates=H","DateFormat=P","Fill=—","Direction=H","UseDPDF=Y")</f>
        <v>-1.4319999999999999</v>
      </c>
      <c r="P47" s="13">
        <f>_xll.BDH("SRPT US Equity","OTHER_FIN_AND_DEC_CAP","FQ1 2022","FQ1 2022","Currency=USD","Period=FQ","BEST_FPERIOD_OVERRIDE=FQ","FILING_STATUS=MR","SCALING_FORMAT=MLN","Sort=A","Dates=H","DateFormat=P","Fill=—","Direction=H","UseDPDF=Y")</f>
        <v>0</v>
      </c>
      <c r="Q47" s="13">
        <f>_xll.BDH("SRPT US Equity","OTHER_FIN_AND_DEC_CAP","FQ2 2022","FQ2 2022","Currency=USD","Period=FQ","BEST_FPERIOD_OVERRIDE=FQ","FILING_STATUS=MR","SCALING_FORMAT=MLN","Sort=A","Dates=H","DateFormat=P","Fill=—","Direction=H","UseDPDF=Y")</f>
        <v>0</v>
      </c>
      <c r="R47" s="13">
        <f>_xll.BDH("SRPT US Equity","OTHER_FIN_AND_DEC_CAP","FQ3 2022","FQ3 2022","Currency=USD","Period=FQ","BEST_FPERIOD_OVERRIDE=FQ","FILING_STATUS=MR","SCALING_FORMAT=MLN","Sort=A","Dates=H","DateFormat=P","Fill=—","Direction=H","UseDPDF=Y")</f>
        <v>-0.16200000000000001</v>
      </c>
      <c r="S47" s="13">
        <f>_xll.BDH("SRPT US Equity","OTHER_FIN_AND_DEC_CAP","FQ4 2022","FQ4 2022","Currency=USD","Period=FQ","BEST_FPERIOD_OVERRIDE=FQ","FILING_STATUS=MR","SCALING_FORMAT=MLN","Sort=A","Dates=H","DateFormat=P","Fill=—","Direction=H","UseDPDF=Y")</f>
        <v>-0.55400000000000005</v>
      </c>
      <c r="T47" s="13">
        <f>_xll.BDH("SRPT US Equity","OTHER_FIN_AND_DEC_CAP","FQ1 2023","FQ1 2023","Currency=USD","Period=FQ","BEST_FPERIOD_OVERRIDE=FQ","FILING_STATUS=MR","SCALING_FORMAT=MLN","Sort=A","Dates=H","DateFormat=P","Fill=—","Direction=H","UseDPDF=Y")</f>
        <v>80.644999999999996</v>
      </c>
      <c r="U47" s="13">
        <f>_xll.BDH("SRPT US Equity","OTHER_FIN_AND_DEC_CAP","FQ2 2023","FQ2 2023","Currency=USD","Period=FQ","BEST_FPERIOD_OVERRIDE=FQ","FILING_STATUS=MR","SCALING_FORMAT=MLN","Sort=A","Dates=H","DateFormat=P","Fill=—","Direction=H","UseDPDF=Y")</f>
        <v>0</v>
      </c>
      <c r="V47" s="13">
        <f>_xll.BDH("SRPT US Equity","OTHER_FIN_AND_DEC_CAP","FQ3 2023","FQ3 2023","Currency=USD","Period=FQ","BEST_FPERIOD_OVERRIDE=FQ","FILING_STATUS=MR","SCALING_FORMAT=MLN","Sort=A","Dates=H","DateFormat=P","Fill=—","Direction=H","UseDPDF=Y")</f>
        <v>-6.8869999999999996</v>
      </c>
      <c r="W47" s="13">
        <f>_xll.BDH("SRPT US Equity","OTHER_FIN_AND_DEC_CAP","FQ4 2023","FQ4 2023","Currency=USD","Period=FQ","BEST_FPERIOD_OVERRIDE=FQ","FILING_STATUS=MR","SCALING_FORMAT=MLN","Sort=A","Dates=H","DateFormat=P","Fill=—","Direction=H","UseDPDF=Y")</f>
        <v>0</v>
      </c>
      <c r="X47" s="13">
        <f>_xll.BDH("SRPT US Equity","OTHER_FIN_AND_DEC_CAP","FQ1 2024","FQ1 2024","Currency=USD","Period=FQ","BEST_FPERIOD_OVERRIDE=FQ","FILING_STATUS=MR","SCALING_FORMAT=MLN","Sort=A","Dates=H","DateFormat=P","Fill=—","Direction=H","UseDPDF=Y")</f>
        <v>0</v>
      </c>
      <c r="Y47" s="13">
        <f>_xll.BDH("SRPT US Equity","OTHER_FIN_AND_DEC_CAP","FQ2 2024","FQ2 2024","Currency=USD","Period=FQ","BEST_FPERIOD_OVERRIDE=FQ","FILING_STATUS=MR","SCALING_FORMAT=MLN","Sort=A","Dates=H","DateFormat=P","Fill=—","Direction=H","UseDPDF=Y")</f>
        <v>0</v>
      </c>
      <c r="Z47" s="13">
        <f>_xll.BDH("SRPT US Equity","OTHER_FIN_AND_DEC_CAP","FQ3 2024","FQ3 2024","Currency=USD","Period=FQ","BEST_FPERIOD_OVERRIDE=FQ","FILING_STATUS=MR","SCALING_FORMAT=MLN","Sort=A","Dates=H","DateFormat=P","Fill=—","Direction=H","UseDPDF=Y")</f>
        <v>0</v>
      </c>
      <c r="AA47" s="13">
        <f>_xll.BDH("SRPT US Equity","OTHER_FIN_AND_DEC_CAP","FQ4 2024","FQ4 2024","Currency=USD","Period=FQ","BEST_FPERIOD_OVERRIDE=FQ","FILING_STATUS=MR","SCALING_FORMAT=MLN","Sort=A","Dates=H","DateFormat=P","Fill=—","Direction=H","UseDPDF=Y")</f>
        <v>45.280999999999999</v>
      </c>
    </row>
    <row r="48" spans="1:27" x14ac:dyDescent="0.25">
      <c r="A48" s="10" t="s">
        <v>1195</v>
      </c>
      <c r="B48" s="10" t="s">
        <v>1248</v>
      </c>
      <c r="C48" s="13">
        <f>_xll.BDH("SRPT US Equity","CF_NET_CASH_DISCONTINUED_OPS_FIN","FQ4 2018","FQ4 2018","Currency=USD","Period=FQ","BEST_FPERIOD_OVERRIDE=FQ","FILING_STATUS=MR","SCALING_FORMAT=MLN","Sort=A","Dates=H","DateFormat=P","Fill=—","Direction=H","UseDPDF=Y")</f>
        <v>0</v>
      </c>
      <c r="D48" s="13">
        <f>_xll.BDH("SRPT US Equity","CF_NET_CASH_DISCONTINUED_OPS_FIN","FQ1 2019","FQ1 2019","Currency=USD","Period=FQ","BEST_FPERIOD_OVERRIDE=FQ","FILING_STATUS=MR","SCALING_FORMAT=MLN","Sort=A","Dates=H","DateFormat=P","Fill=—","Direction=H","UseDPDF=Y")</f>
        <v>0</v>
      </c>
      <c r="E48" s="13">
        <f>_xll.BDH("SRPT US Equity","CF_NET_CASH_DISCONTINUED_OPS_FIN","FQ2 2019","FQ2 2019","Currency=USD","Period=FQ","BEST_FPERIOD_OVERRIDE=FQ","FILING_STATUS=MR","SCALING_FORMAT=MLN","Sort=A","Dates=H","DateFormat=P","Fill=—","Direction=H","UseDPDF=Y")</f>
        <v>0</v>
      </c>
      <c r="F48" s="13">
        <f>_xll.BDH("SRPT US Equity","CF_NET_CASH_DISCONTINUED_OPS_FIN","FQ3 2019","FQ3 2019","Currency=USD","Period=FQ","BEST_FPERIOD_OVERRIDE=FQ","FILING_STATUS=MR","SCALING_FORMAT=MLN","Sort=A","Dates=H","DateFormat=P","Fill=—","Direction=H","UseDPDF=Y")</f>
        <v>0</v>
      </c>
      <c r="G48" s="13">
        <f>_xll.BDH("SRPT US Equity","CF_NET_CASH_DISCONTINUED_OPS_FIN","FQ4 2019","FQ4 2019","Currency=USD","Period=FQ","BEST_FPERIOD_OVERRIDE=FQ","FILING_STATUS=MR","SCALING_FORMAT=MLN","Sort=A","Dates=H","DateFormat=P","Fill=—","Direction=H","UseDPDF=Y")</f>
        <v>0</v>
      </c>
      <c r="H48" s="13">
        <f>_xll.BDH("SRPT US Equity","CF_NET_CASH_DISCONTINUED_OPS_FIN","FQ1 2020","FQ1 2020","Currency=USD","Period=FQ","BEST_FPERIOD_OVERRIDE=FQ","FILING_STATUS=MR","SCALING_FORMAT=MLN","Sort=A","Dates=H","DateFormat=P","Fill=—","Direction=H","UseDPDF=Y")</f>
        <v>0</v>
      </c>
      <c r="I48" s="13">
        <f>_xll.BDH("SRPT US Equity","CF_NET_CASH_DISCONTINUED_OPS_FIN","FQ2 2020","FQ2 2020","Currency=USD","Period=FQ","BEST_FPERIOD_OVERRIDE=FQ","FILING_STATUS=MR","SCALING_FORMAT=MLN","Sort=A","Dates=H","DateFormat=P","Fill=—","Direction=H","UseDPDF=Y")</f>
        <v>0</v>
      </c>
      <c r="J48" s="13">
        <f>_xll.BDH("SRPT US Equity","CF_NET_CASH_DISCONTINUED_OPS_FIN","FQ3 2020","FQ3 2020","Currency=USD","Period=FQ","BEST_FPERIOD_OVERRIDE=FQ","FILING_STATUS=MR","SCALING_FORMAT=MLN","Sort=A","Dates=H","DateFormat=P","Fill=—","Direction=H","UseDPDF=Y")</f>
        <v>0</v>
      </c>
      <c r="K48" s="13">
        <f>_xll.BDH("SRPT US Equity","CF_NET_CASH_DISCONTINUED_OPS_FIN","FQ4 2020","FQ4 2020","Currency=USD","Period=FQ","BEST_FPERIOD_OVERRIDE=FQ","FILING_STATUS=MR","SCALING_FORMAT=MLN","Sort=A","Dates=H","DateFormat=P","Fill=—","Direction=H","UseDPDF=Y")</f>
        <v>0</v>
      </c>
      <c r="L48" s="13">
        <f>_xll.BDH("SRPT US Equity","CF_NET_CASH_DISCONTINUED_OPS_FIN","FQ1 2021","FQ1 2021","Currency=USD","Period=FQ","BEST_FPERIOD_OVERRIDE=FQ","FILING_STATUS=MR","SCALING_FORMAT=MLN","Sort=A","Dates=H","DateFormat=P","Fill=—","Direction=H","UseDPDF=Y")</f>
        <v>0</v>
      </c>
      <c r="M48" s="13">
        <f>_xll.BDH("SRPT US Equity","CF_NET_CASH_DISCONTINUED_OPS_FIN","FQ2 2021","FQ2 2021","Currency=USD","Period=FQ","BEST_FPERIOD_OVERRIDE=FQ","FILING_STATUS=MR","SCALING_FORMAT=MLN","Sort=A","Dates=H","DateFormat=P","Fill=—","Direction=H","UseDPDF=Y")</f>
        <v>0</v>
      </c>
      <c r="N48" s="13">
        <f>_xll.BDH("SRPT US Equity","CF_NET_CASH_DISCONTINUED_OPS_FIN","FQ3 2021","FQ3 2021","Currency=USD","Period=FQ","BEST_FPERIOD_OVERRIDE=FQ","FILING_STATUS=MR","SCALING_FORMAT=MLN","Sort=A","Dates=H","DateFormat=P","Fill=—","Direction=H","UseDPDF=Y")</f>
        <v>0</v>
      </c>
      <c r="O48" s="13">
        <f>_xll.BDH("SRPT US Equity","CF_NET_CASH_DISCONTINUED_OPS_FIN","FQ4 2021","FQ4 2021","Currency=USD","Period=FQ","BEST_FPERIOD_OVERRIDE=FQ","FILING_STATUS=MR","SCALING_FORMAT=MLN","Sort=A","Dates=H","DateFormat=P","Fill=—","Direction=H","UseDPDF=Y")</f>
        <v>0</v>
      </c>
      <c r="P48" s="13">
        <f>_xll.BDH("SRPT US Equity","CF_NET_CASH_DISCONTINUED_OPS_FIN","FQ1 2022","FQ1 2022","Currency=USD","Period=FQ","BEST_FPERIOD_OVERRIDE=FQ","FILING_STATUS=MR","SCALING_FORMAT=MLN","Sort=A","Dates=H","DateFormat=P","Fill=—","Direction=H","UseDPDF=Y")</f>
        <v>0</v>
      </c>
      <c r="Q48" s="13">
        <f>_xll.BDH("SRPT US Equity","CF_NET_CASH_DISCONTINUED_OPS_FIN","FQ2 2022","FQ2 2022","Currency=USD","Period=FQ","BEST_FPERIOD_OVERRIDE=FQ","FILING_STATUS=MR","SCALING_FORMAT=MLN","Sort=A","Dates=H","DateFormat=P","Fill=—","Direction=H","UseDPDF=Y")</f>
        <v>0</v>
      </c>
      <c r="R48" s="13">
        <f>_xll.BDH("SRPT US Equity","CF_NET_CASH_DISCONTINUED_OPS_FIN","FQ3 2022","FQ3 2022","Currency=USD","Period=FQ","BEST_FPERIOD_OVERRIDE=FQ","FILING_STATUS=MR","SCALING_FORMAT=MLN","Sort=A","Dates=H","DateFormat=P","Fill=—","Direction=H","UseDPDF=Y")</f>
        <v>0</v>
      </c>
      <c r="S48" s="13">
        <f>_xll.BDH("SRPT US Equity","CF_NET_CASH_DISCONTINUED_OPS_FIN","FQ4 2022","FQ4 2022","Currency=USD","Period=FQ","BEST_FPERIOD_OVERRIDE=FQ","FILING_STATUS=MR","SCALING_FORMAT=MLN","Sort=A","Dates=H","DateFormat=P","Fill=—","Direction=H","UseDPDF=Y")</f>
        <v>0</v>
      </c>
      <c r="T48" s="13">
        <f>_xll.BDH("SRPT US Equity","CF_NET_CASH_DISCONTINUED_OPS_FIN","FQ1 2023","FQ1 2023","Currency=USD","Period=FQ","BEST_FPERIOD_OVERRIDE=FQ","FILING_STATUS=MR","SCALING_FORMAT=MLN","Sort=A","Dates=H","DateFormat=P","Fill=—","Direction=H","UseDPDF=Y")</f>
        <v>0</v>
      </c>
      <c r="U48" s="13">
        <f>_xll.BDH("SRPT US Equity","CF_NET_CASH_DISCONTINUED_OPS_FIN","FQ2 2023","FQ2 2023","Currency=USD","Period=FQ","BEST_FPERIOD_OVERRIDE=FQ","FILING_STATUS=MR","SCALING_FORMAT=MLN","Sort=A","Dates=H","DateFormat=P","Fill=—","Direction=H","UseDPDF=Y")</f>
        <v>0</v>
      </c>
      <c r="V48" s="13">
        <f>_xll.BDH("SRPT US Equity","CF_NET_CASH_DISCONTINUED_OPS_FIN","FQ3 2023","FQ3 2023","Currency=USD","Period=FQ","BEST_FPERIOD_OVERRIDE=FQ","FILING_STATUS=MR","SCALING_FORMAT=MLN","Sort=A","Dates=H","DateFormat=P","Fill=—","Direction=H","UseDPDF=Y")</f>
        <v>0</v>
      </c>
      <c r="W48" s="13">
        <f>_xll.BDH("SRPT US Equity","CF_NET_CASH_DISCONTINUED_OPS_FIN","FQ4 2023","FQ4 2023","Currency=USD","Period=FQ","BEST_FPERIOD_OVERRIDE=FQ","FILING_STATUS=MR","SCALING_FORMAT=MLN","Sort=A","Dates=H","DateFormat=P","Fill=—","Direction=H","UseDPDF=Y")</f>
        <v>0</v>
      </c>
      <c r="X48" s="13">
        <f>_xll.BDH("SRPT US Equity","CF_NET_CASH_DISCONTINUED_OPS_FIN","FQ1 2024","FQ1 2024","Currency=USD","Period=FQ","BEST_FPERIOD_OVERRIDE=FQ","FILING_STATUS=MR","SCALING_FORMAT=MLN","Sort=A","Dates=H","DateFormat=P","Fill=—","Direction=H","UseDPDF=Y")</f>
        <v>0</v>
      </c>
      <c r="Y48" s="13">
        <f>_xll.BDH("SRPT US Equity","CF_NET_CASH_DISCONTINUED_OPS_FIN","FQ2 2024","FQ2 2024","Currency=USD","Period=FQ","BEST_FPERIOD_OVERRIDE=FQ","FILING_STATUS=MR","SCALING_FORMAT=MLN","Sort=A","Dates=H","DateFormat=P","Fill=—","Direction=H","UseDPDF=Y")</f>
        <v>0</v>
      </c>
      <c r="Z48" s="13">
        <f>_xll.BDH("SRPT US Equity","CF_NET_CASH_DISCONTINUED_OPS_FIN","FQ3 2024","FQ3 2024","Currency=USD","Period=FQ","BEST_FPERIOD_OVERRIDE=FQ","FILING_STATUS=MR","SCALING_FORMAT=MLN","Sort=A","Dates=H","DateFormat=P","Fill=—","Direction=H","UseDPDF=Y")</f>
        <v>0</v>
      </c>
      <c r="AA48" s="13">
        <f>_xll.BDH("SRPT US Equity","CF_NET_CASH_DISCONTINUED_OPS_FIN","FQ4 2024","FQ4 2024","Currency=USD","Period=FQ","BEST_FPERIOD_OVERRIDE=FQ","FILING_STATUS=MR","SCALING_FORMAT=MLN","Sort=A","Dates=H","DateFormat=P","Fill=—","Direction=H","UseDPDF=Y")</f>
        <v>0</v>
      </c>
    </row>
    <row r="49" spans="1:27" x14ac:dyDescent="0.25">
      <c r="A49" s="6" t="s">
        <v>1229</v>
      </c>
      <c r="B49" s="6" t="s">
        <v>1249</v>
      </c>
      <c r="C49" s="19">
        <f>_xll.BDH("SRPT US Equity","CFF_ACTIVITIES_DETAILED","FQ4 2018","FQ4 2018","Currency=USD","Period=FQ","BEST_FPERIOD_OVERRIDE=FQ","FILING_STATUS=MR","SCALING_FORMAT=MLN","Sort=A","Dates=H","DateFormat=P","Fill=—","Direction=H","UseDPDF=Y")</f>
        <v>521.28300000000002</v>
      </c>
      <c r="D49" s="19">
        <f>_xll.BDH("SRPT US Equity","CFF_ACTIVITIES_DETAILED","FQ1 2019","FQ1 2019","Currency=USD","Period=FQ","BEST_FPERIOD_OVERRIDE=FQ","FILING_STATUS=MR","SCALING_FORMAT=MLN","Sort=A","Dates=H","DateFormat=P","Fill=—","Direction=H","UseDPDF=Y")</f>
        <v>377.56299999999999</v>
      </c>
      <c r="E49" s="19">
        <f>_xll.BDH("SRPT US Equity","CFF_ACTIVITIES_DETAILED","FQ2 2019","FQ2 2019","Currency=USD","Period=FQ","BEST_FPERIOD_OVERRIDE=FQ","FILING_STATUS=MR","SCALING_FORMAT=MLN","Sort=A","Dates=H","DateFormat=P","Fill=—","Direction=H","UseDPDF=Y")</f>
        <v>6.2919999999999998</v>
      </c>
      <c r="F49" s="19">
        <f>_xll.BDH("SRPT US Equity","CFF_ACTIVITIES_DETAILED","FQ3 2019","FQ3 2019","Currency=USD","Period=FQ","BEST_FPERIOD_OVERRIDE=FQ","FILING_STATUS=MR","SCALING_FORMAT=MLN","Sort=A","Dates=H","DateFormat=P","Fill=—","Direction=H","UseDPDF=Y")</f>
        <v>1.7330000000000001</v>
      </c>
      <c r="G49" s="19">
        <f>_xll.BDH("SRPT US Equity","CFF_ACTIVITIES_DETAILED","FQ4 2019","FQ4 2019","Currency=USD","Period=FQ","BEST_FPERIOD_OVERRIDE=FQ","FILING_STATUS=MR","SCALING_FORMAT=MLN","Sort=A","Dates=H","DateFormat=P","Fill=—","Direction=H","UseDPDF=Y")</f>
        <v>256.96600000000001</v>
      </c>
      <c r="H49" s="19">
        <f>_xll.BDH("SRPT US Equity","CFF_ACTIVITIES_DETAILED","FQ1 2020","FQ1 2020","Currency=USD","Period=FQ","BEST_FPERIOD_OVERRIDE=FQ","FILING_STATUS=MR","SCALING_FORMAT=MLN","Sort=A","Dates=H","DateFormat=P","Fill=—","Direction=H","UseDPDF=Y")</f>
        <v>319.02199999999999</v>
      </c>
      <c r="I49" s="19">
        <f>_xll.BDH("SRPT US Equity","CFF_ACTIVITIES_DETAILED","FQ2 2020","FQ2 2020","Currency=USD","Period=FQ","BEST_FPERIOD_OVERRIDE=FQ","FILING_STATUS=MR","SCALING_FORMAT=MLN","Sort=A","Dates=H","DateFormat=P","Fill=—","Direction=H","UseDPDF=Y")</f>
        <v>17.574999999999999</v>
      </c>
      <c r="J49" s="19">
        <f>_xll.BDH("SRPT US Equity","CFF_ACTIVITIES_DETAILED","FQ3 2020","FQ3 2020","Currency=USD","Period=FQ","BEST_FPERIOD_OVERRIDE=FQ","FILING_STATUS=MR","SCALING_FORMAT=MLN","Sort=A","Dates=H","DateFormat=P","Fill=—","Direction=H","UseDPDF=Y")</f>
        <v>18.789000000000001</v>
      </c>
      <c r="K49" s="19">
        <f>_xll.BDH("SRPT US Equity","CFF_ACTIVITIES_DETAILED","FQ4 2020","FQ4 2020","Currency=USD","Period=FQ","BEST_FPERIOD_OVERRIDE=FQ","FILING_STATUS=MR","SCALING_FORMAT=MLN","Sort=A","Dates=H","DateFormat=P","Fill=—","Direction=H","UseDPDF=Y")</f>
        <v>326.93700000000001</v>
      </c>
      <c r="L49" s="19">
        <f>_xll.BDH("SRPT US Equity","CFF_ACTIVITIES_DETAILED","FQ1 2021","FQ1 2021","Currency=USD","Period=FQ","BEST_FPERIOD_OVERRIDE=FQ","FILING_STATUS=MR","SCALING_FORMAT=MLN","Sort=A","Dates=H","DateFormat=P","Fill=—","Direction=H","UseDPDF=Y")</f>
        <v>2.8929999999999998</v>
      </c>
      <c r="M49" s="19">
        <f>_xll.BDH("SRPT US Equity","CFF_ACTIVITIES_DETAILED","FQ2 2021","FQ2 2021","Currency=USD","Period=FQ","BEST_FPERIOD_OVERRIDE=FQ","FILING_STATUS=MR","SCALING_FORMAT=MLN","Sort=A","Dates=H","DateFormat=P","Fill=—","Direction=H","UseDPDF=Y")</f>
        <v>3.5259999999999998</v>
      </c>
      <c r="N49" s="19">
        <f>_xll.BDH("SRPT US Equity","CFF_ACTIVITIES_DETAILED","FQ3 2021","FQ3 2021","Currency=USD","Period=FQ","BEST_FPERIOD_OVERRIDE=FQ","FILING_STATUS=MR","SCALING_FORMAT=MLN","Sort=A","Dates=H","DateFormat=P","Fill=—","Direction=H","UseDPDF=Y")</f>
        <v>5.9020000000000001</v>
      </c>
      <c r="O49" s="19">
        <f>_xll.BDH("SRPT US Equity","CFF_ACTIVITIES_DETAILED","FQ4 2021","FQ4 2021","Currency=USD","Period=FQ","BEST_FPERIOD_OVERRIDE=FQ","FILING_STATUS=MR","SCALING_FORMAT=MLN","Sort=A","Dates=H","DateFormat=P","Fill=—","Direction=H","UseDPDF=Y")</f>
        <v>549.24800000000005</v>
      </c>
      <c r="P49" s="19">
        <f>_xll.BDH("SRPT US Equity","CFF_ACTIVITIES_DETAILED","FQ1 2022","FQ1 2022","Currency=USD","Period=FQ","BEST_FPERIOD_OVERRIDE=FQ","FILING_STATUS=MR","SCALING_FORMAT=MLN","Sort=A","Dates=H","DateFormat=P","Fill=—","Direction=H","UseDPDF=Y")</f>
        <v>4.99</v>
      </c>
      <c r="Q49" s="19">
        <f>_xll.BDH("SRPT US Equity","CFF_ACTIVITIES_DETAILED","FQ2 2022","FQ2 2022","Currency=USD","Period=FQ","BEST_FPERIOD_OVERRIDE=FQ","FILING_STATUS=MR","SCALING_FORMAT=MLN","Sort=A","Dates=H","DateFormat=P","Fill=—","Direction=H","UseDPDF=Y")</f>
        <v>0.33900000000000002</v>
      </c>
      <c r="R49" s="19">
        <f>_xll.BDH("SRPT US Equity","CFF_ACTIVITIES_DETAILED","FQ3 2022","FQ3 2022","Currency=USD","Period=FQ","BEST_FPERIOD_OVERRIDE=FQ","FILING_STATUS=MR","SCALING_FORMAT=MLN","Sort=A","Dates=H","DateFormat=P","Fill=—","Direction=H","UseDPDF=Y")</f>
        <v>216.429</v>
      </c>
      <c r="S49" s="19">
        <f>_xll.BDH("SRPT US Equity","CFF_ACTIVITIES_DETAILED","FQ4 2022","FQ4 2022","Currency=USD","Period=FQ","BEST_FPERIOD_OVERRIDE=FQ","FILING_STATUS=MR","SCALING_FORMAT=MLN","Sort=A","Dates=H","DateFormat=P","Fill=—","Direction=H","UseDPDF=Y")</f>
        <v>10.749000000000001</v>
      </c>
      <c r="T49" s="19">
        <f>_xll.BDH("SRPT US Equity","CFF_ACTIVITIES_DETAILED","FQ1 2023","FQ1 2023","Currency=USD","Period=FQ","BEST_FPERIOD_OVERRIDE=FQ","FILING_STATUS=MR","SCALING_FORMAT=MLN","Sort=A","Dates=H","DateFormat=P","Fill=—","Direction=H","UseDPDF=Y")</f>
        <v>101.795</v>
      </c>
      <c r="U49" s="19">
        <f>_xll.BDH("SRPT US Equity","CFF_ACTIVITIES_DETAILED","FQ2 2023","FQ2 2023","Currency=USD","Period=FQ","BEST_FPERIOD_OVERRIDE=FQ","FILING_STATUS=MR","SCALING_FORMAT=MLN","Sort=A","Dates=H","DateFormat=P","Fill=—","Direction=H","UseDPDF=Y")</f>
        <v>5.8609999999999998</v>
      </c>
      <c r="V49" s="19">
        <f>_xll.BDH("SRPT US Equity","CFF_ACTIVITIES_DETAILED","FQ3 2023","FQ3 2023","Currency=USD","Period=FQ","BEST_FPERIOD_OVERRIDE=FQ","FILING_STATUS=MR","SCALING_FORMAT=MLN","Sort=A","Dates=H","DateFormat=P","Fill=—","Direction=H","UseDPDF=Y")</f>
        <v>15.404999999999999</v>
      </c>
      <c r="W49" s="19">
        <f>_xll.BDH("SRPT US Equity","CFF_ACTIVITIES_DETAILED","FQ4 2023","FQ4 2023","Currency=USD","Period=FQ","BEST_FPERIOD_OVERRIDE=FQ","FILING_STATUS=MR","SCALING_FORMAT=MLN","Sort=A","Dates=H","DateFormat=P","Fill=—","Direction=H","UseDPDF=Y")</f>
        <v>1.9430000000000001</v>
      </c>
      <c r="X49" s="19">
        <f>_xll.BDH("SRPT US Equity","CFF_ACTIVITIES_DETAILED","FQ1 2024","FQ1 2024","Currency=USD","Period=FQ","BEST_FPERIOD_OVERRIDE=FQ","FILING_STATUS=MR","SCALING_FORMAT=MLN","Sort=A","Dates=H","DateFormat=P","Fill=—","Direction=H","UseDPDF=Y")</f>
        <v>22.14</v>
      </c>
      <c r="Y49" s="19">
        <f>_xll.BDH("SRPT US Equity","CFF_ACTIVITIES_DETAILED","FQ2 2024","FQ2 2024","Currency=USD","Period=FQ","BEST_FPERIOD_OVERRIDE=FQ","FILING_STATUS=MR","SCALING_FORMAT=MLN","Sort=A","Dates=H","DateFormat=P","Fill=—","Direction=H","UseDPDF=Y")</f>
        <v>39.917999999999999</v>
      </c>
      <c r="Z49" s="19">
        <f>_xll.BDH("SRPT US Equity","CFF_ACTIVITIES_DETAILED","FQ3 2024","FQ3 2024","Currency=USD","Period=FQ","BEST_FPERIOD_OVERRIDE=FQ","FILING_STATUS=MR","SCALING_FORMAT=MLN","Sort=A","Dates=H","DateFormat=P","Fill=—","Direction=H","UseDPDF=Y")</f>
        <v>13.757</v>
      </c>
      <c r="AA49" s="19">
        <f>_xll.BDH("SRPT US Equity","CFF_ACTIVITIES_DETAILED","FQ4 2024","FQ4 2024","Currency=USD","Period=FQ","BEST_FPERIOD_OVERRIDE=FQ","FILING_STATUS=MR","SCALING_FORMAT=MLN","Sort=A","Dates=H","DateFormat=P","Fill=—","Direction=H","UseDPDF=Y")</f>
        <v>48.991</v>
      </c>
    </row>
    <row r="50" spans="1:27" x14ac:dyDescent="0.25">
      <c r="A50" s="6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 x14ac:dyDescent="0.25">
      <c r="A51" s="10" t="s">
        <v>1250</v>
      </c>
      <c r="B51" s="10" t="s">
        <v>1251</v>
      </c>
      <c r="C51" s="13">
        <f>_xll.BDH("SRPT US Equity","CF_EFFECT_FOREIGN_EXCHANGES","FQ4 2018","FQ4 2018","Currency=USD","Period=FQ","BEST_FPERIOD_OVERRIDE=FQ","FILING_STATUS=MR","SCALING_FORMAT=MLN","Sort=A","Dates=H","DateFormat=P","Fill=—","Direction=H","UseDPDF=Y")</f>
        <v>0</v>
      </c>
      <c r="D51" s="13">
        <f>_xll.BDH("SRPT US Equity","CF_EFFECT_FOREIGN_EXCHANGES","FQ1 2019","FQ1 2019","Currency=USD","Period=FQ","BEST_FPERIOD_OVERRIDE=FQ","FILING_STATUS=MR","SCALING_FORMAT=MLN","Sort=A","Dates=H","DateFormat=P","Fill=—","Direction=H","UseDPDF=Y")</f>
        <v>0</v>
      </c>
      <c r="E51" s="13">
        <f>_xll.BDH("SRPT US Equity","CF_EFFECT_FOREIGN_EXCHANGES","FQ2 2019","FQ2 2019","Currency=USD","Period=FQ","BEST_FPERIOD_OVERRIDE=FQ","FILING_STATUS=MR","SCALING_FORMAT=MLN","Sort=A","Dates=H","DateFormat=P","Fill=—","Direction=H","UseDPDF=Y")</f>
        <v>0</v>
      </c>
      <c r="F51" s="13">
        <f>_xll.BDH("SRPT US Equity","CF_EFFECT_FOREIGN_EXCHANGES","FQ3 2019","FQ3 2019","Currency=USD","Period=FQ","BEST_FPERIOD_OVERRIDE=FQ","FILING_STATUS=MR","SCALING_FORMAT=MLN","Sort=A","Dates=H","DateFormat=P","Fill=—","Direction=H","UseDPDF=Y")</f>
        <v>0</v>
      </c>
      <c r="G51" s="13">
        <f>_xll.BDH("SRPT US Equity","CF_EFFECT_FOREIGN_EXCHANGES","FQ4 2019","FQ4 2019","Currency=USD","Period=FQ","BEST_FPERIOD_OVERRIDE=FQ","FILING_STATUS=MR","SCALING_FORMAT=MLN","Sort=A","Dates=H","DateFormat=P","Fill=—","Direction=H","UseDPDF=Y")</f>
        <v>0</v>
      </c>
      <c r="H51" s="13">
        <f>_xll.BDH("SRPT US Equity","CF_EFFECT_FOREIGN_EXCHANGES","FQ1 2020","FQ1 2020","Currency=USD","Period=FQ","BEST_FPERIOD_OVERRIDE=FQ","FILING_STATUS=MR","SCALING_FORMAT=MLN","Sort=A","Dates=H","DateFormat=P","Fill=—","Direction=H","UseDPDF=Y")</f>
        <v>0</v>
      </c>
      <c r="I51" s="13">
        <f>_xll.BDH("SRPT US Equity","CF_EFFECT_FOREIGN_EXCHANGES","FQ2 2020","FQ2 2020","Currency=USD","Period=FQ","BEST_FPERIOD_OVERRIDE=FQ","FILING_STATUS=MR","SCALING_FORMAT=MLN","Sort=A","Dates=H","DateFormat=P","Fill=—","Direction=H","UseDPDF=Y")</f>
        <v>0</v>
      </c>
      <c r="J51" s="13">
        <f>_xll.BDH("SRPT US Equity","CF_EFFECT_FOREIGN_EXCHANGES","FQ3 2020","FQ3 2020","Currency=USD","Period=FQ","BEST_FPERIOD_OVERRIDE=FQ","FILING_STATUS=MR","SCALING_FORMAT=MLN","Sort=A","Dates=H","DateFormat=P","Fill=—","Direction=H","UseDPDF=Y")</f>
        <v>0</v>
      </c>
      <c r="K51" s="13">
        <f>_xll.BDH("SRPT US Equity","CF_EFFECT_FOREIGN_EXCHANGES","FQ4 2020","FQ4 2020","Currency=USD","Period=FQ","BEST_FPERIOD_OVERRIDE=FQ","FILING_STATUS=MR","SCALING_FORMAT=MLN","Sort=A","Dates=H","DateFormat=P","Fill=—","Direction=H","UseDPDF=Y")</f>
        <v>0</v>
      </c>
      <c r="L51" s="13">
        <f>_xll.BDH("SRPT US Equity","CF_EFFECT_FOREIGN_EXCHANGES","FQ1 2021","FQ1 2021","Currency=USD","Period=FQ","BEST_FPERIOD_OVERRIDE=FQ","FILING_STATUS=MR","SCALING_FORMAT=MLN","Sort=A","Dates=H","DateFormat=P","Fill=—","Direction=H","UseDPDF=Y")</f>
        <v>0</v>
      </c>
      <c r="M51" s="13">
        <f>_xll.BDH("SRPT US Equity","CF_EFFECT_FOREIGN_EXCHANGES","FQ2 2021","FQ2 2021","Currency=USD","Period=FQ","BEST_FPERIOD_OVERRIDE=FQ","FILING_STATUS=MR","SCALING_FORMAT=MLN","Sort=A","Dates=H","DateFormat=P","Fill=—","Direction=H","UseDPDF=Y")</f>
        <v>0</v>
      </c>
      <c r="N51" s="13">
        <f>_xll.BDH("SRPT US Equity","CF_EFFECT_FOREIGN_EXCHANGES","FQ3 2021","FQ3 2021","Currency=USD","Period=FQ","BEST_FPERIOD_OVERRIDE=FQ","FILING_STATUS=MR","SCALING_FORMAT=MLN","Sort=A","Dates=H","DateFormat=P","Fill=—","Direction=H","UseDPDF=Y")</f>
        <v>0</v>
      </c>
      <c r="O51" s="13">
        <f>_xll.BDH("SRPT US Equity","CF_EFFECT_FOREIGN_EXCHANGES","FQ4 2021","FQ4 2021","Currency=USD","Period=FQ","BEST_FPERIOD_OVERRIDE=FQ","FILING_STATUS=MR","SCALING_FORMAT=MLN","Sort=A","Dates=H","DateFormat=P","Fill=—","Direction=H","UseDPDF=Y")</f>
        <v>0</v>
      </c>
      <c r="P51" s="13">
        <f>_xll.BDH("SRPT US Equity","CF_EFFECT_FOREIGN_EXCHANGES","FQ1 2022","FQ1 2022","Currency=USD","Period=FQ","BEST_FPERIOD_OVERRIDE=FQ","FILING_STATUS=MR","SCALING_FORMAT=MLN","Sort=A","Dates=H","DateFormat=P","Fill=—","Direction=H","UseDPDF=Y")</f>
        <v>0</v>
      </c>
      <c r="Q51" s="13">
        <f>_xll.BDH("SRPT US Equity","CF_EFFECT_FOREIGN_EXCHANGES","FQ2 2022","FQ2 2022","Currency=USD","Period=FQ","BEST_FPERIOD_OVERRIDE=FQ","FILING_STATUS=MR","SCALING_FORMAT=MLN","Sort=A","Dates=H","DateFormat=P","Fill=—","Direction=H","UseDPDF=Y")</f>
        <v>0</v>
      </c>
      <c r="R51" s="13">
        <f>_xll.BDH("SRPT US Equity","CF_EFFECT_FOREIGN_EXCHANGES","FQ3 2022","FQ3 2022","Currency=USD","Period=FQ","BEST_FPERIOD_OVERRIDE=FQ","FILING_STATUS=MR","SCALING_FORMAT=MLN","Sort=A","Dates=H","DateFormat=P","Fill=—","Direction=H","UseDPDF=Y")</f>
        <v>0</v>
      </c>
      <c r="S51" s="13">
        <f>_xll.BDH("SRPT US Equity","CF_EFFECT_FOREIGN_EXCHANGES","FQ4 2022","FQ4 2022","Currency=USD","Period=FQ","BEST_FPERIOD_OVERRIDE=FQ","FILING_STATUS=MR","SCALING_FORMAT=MLN","Sort=A","Dates=H","DateFormat=P","Fill=—","Direction=H","UseDPDF=Y")</f>
        <v>0</v>
      </c>
      <c r="T51" s="13">
        <f>_xll.BDH("SRPT US Equity","CF_EFFECT_FOREIGN_EXCHANGES","FQ1 2023","FQ1 2023","Currency=USD","Period=FQ","BEST_FPERIOD_OVERRIDE=FQ","FILING_STATUS=MR","SCALING_FORMAT=MLN","Sort=A","Dates=H","DateFormat=P","Fill=—","Direction=H","UseDPDF=Y")</f>
        <v>0</v>
      </c>
      <c r="U51" s="13">
        <f>_xll.BDH("SRPT US Equity","CF_EFFECT_FOREIGN_EXCHANGES","FQ2 2023","FQ2 2023","Currency=USD","Period=FQ","BEST_FPERIOD_OVERRIDE=FQ","FILING_STATUS=MR","SCALING_FORMAT=MLN","Sort=A","Dates=H","DateFormat=P","Fill=—","Direction=H","UseDPDF=Y")</f>
        <v>0</v>
      </c>
      <c r="V51" s="13">
        <f>_xll.BDH("SRPT US Equity","CF_EFFECT_FOREIGN_EXCHANGES","FQ3 2023","FQ3 2023","Currency=USD","Period=FQ","BEST_FPERIOD_OVERRIDE=FQ","FILING_STATUS=MR","SCALING_FORMAT=MLN","Sort=A","Dates=H","DateFormat=P","Fill=—","Direction=H","UseDPDF=Y")</f>
        <v>0</v>
      </c>
      <c r="W51" s="13">
        <f>_xll.BDH("SRPT US Equity","CF_EFFECT_FOREIGN_EXCHANGES","FQ4 2023","FQ4 2023","Currency=USD","Period=FQ","BEST_FPERIOD_OVERRIDE=FQ","FILING_STATUS=MR","SCALING_FORMAT=MLN","Sort=A","Dates=H","DateFormat=P","Fill=—","Direction=H","UseDPDF=Y")</f>
        <v>0</v>
      </c>
      <c r="X51" s="13">
        <f>_xll.BDH("SRPT US Equity","CF_EFFECT_FOREIGN_EXCHANGES","FQ1 2024","FQ1 2024","Currency=USD","Period=FQ","BEST_FPERIOD_OVERRIDE=FQ","FILING_STATUS=MR","SCALING_FORMAT=MLN","Sort=A","Dates=H","DateFormat=P","Fill=—","Direction=H","UseDPDF=Y")</f>
        <v>0</v>
      </c>
      <c r="Y51" s="13">
        <f>_xll.BDH("SRPT US Equity","CF_EFFECT_FOREIGN_EXCHANGES","FQ2 2024","FQ2 2024","Currency=USD","Period=FQ","BEST_FPERIOD_OVERRIDE=FQ","FILING_STATUS=MR","SCALING_FORMAT=MLN","Sort=A","Dates=H","DateFormat=P","Fill=—","Direction=H","UseDPDF=Y")</f>
        <v>0</v>
      </c>
      <c r="Z51" s="13">
        <f>_xll.BDH("SRPT US Equity","CF_EFFECT_FOREIGN_EXCHANGES","FQ3 2024","FQ3 2024","Currency=USD","Period=FQ","BEST_FPERIOD_OVERRIDE=FQ","FILING_STATUS=MR","SCALING_FORMAT=MLN","Sort=A","Dates=H","DateFormat=P","Fill=—","Direction=H","UseDPDF=Y")</f>
        <v>0</v>
      </c>
      <c r="AA51" s="13">
        <f>_xll.BDH("SRPT US Equity","CF_EFFECT_FOREIGN_EXCHANGES","FQ4 2024","FQ4 2024","Currency=USD","Period=FQ","BEST_FPERIOD_OVERRIDE=FQ","FILING_STATUS=MR","SCALING_FORMAT=MLN","Sort=A","Dates=H","DateFormat=P","Fill=—","Direction=H","UseDPDF=Y")</f>
        <v>0</v>
      </c>
    </row>
    <row r="52" spans="1:27" x14ac:dyDescent="0.25">
      <c r="A52" s="6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x14ac:dyDescent="0.25">
      <c r="A53" s="6" t="s">
        <v>1252</v>
      </c>
      <c r="B53" s="6" t="s">
        <v>1253</v>
      </c>
      <c r="C53" s="19">
        <f>_xll.BDH("SRPT US Equity","CF_NET_CHNG_CASH","FQ4 2018","FQ4 2018","Currency=USD","Period=FQ","BEST_FPERIOD_OVERRIDE=FQ","FILING_STATUS=MR","SCALING_FORMAT=MLN","Sort=A","Dates=H","DateFormat=P","Fill=—","Direction=H","UseDPDF=Y")</f>
        <v>161.12700000000001</v>
      </c>
      <c r="D53" s="19">
        <f>_xll.BDH("SRPT US Equity","CF_NET_CHNG_CASH","FQ1 2019","FQ1 2019","Currency=USD","Period=FQ","BEST_FPERIOD_OVERRIDE=FQ","FILING_STATUS=MR","SCALING_FORMAT=MLN","Sort=A","Dates=H","DateFormat=P","Fill=—","Direction=H","UseDPDF=Y")</f>
        <v>366.56099999999998</v>
      </c>
      <c r="E53" s="19">
        <f>_xll.BDH("SRPT US Equity","CF_NET_CHNG_CASH","FQ2 2019","FQ2 2019","Currency=USD","Period=FQ","BEST_FPERIOD_OVERRIDE=FQ","FILING_STATUS=MR","SCALING_FORMAT=MLN","Sort=A","Dates=H","DateFormat=P","Fill=—","Direction=H","UseDPDF=Y")</f>
        <v>79.661000000000001</v>
      </c>
      <c r="F53" s="19">
        <f>_xll.BDH("SRPT US Equity","CF_NET_CHNG_CASH","FQ3 2019","FQ3 2019","Currency=USD","Period=FQ","BEST_FPERIOD_OVERRIDE=FQ","FILING_STATUS=MR","SCALING_FORMAT=MLN","Sort=A","Dates=H","DateFormat=P","Fill=—","Direction=H","UseDPDF=Y")</f>
        <v>-83.656999999999996</v>
      </c>
      <c r="G53" s="19">
        <f>_xll.BDH("SRPT US Equity","CF_NET_CHNG_CASH","FQ4 2019","FQ4 2019","Currency=USD","Period=FQ","BEST_FPERIOD_OVERRIDE=FQ","FILING_STATUS=MR","SCALING_FORMAT=MLN","Sort=A","Dates=H","DateFormat=P","Fill=—","Direction=H","UseDPDF=Y")</f>
        <v>110.251</v>
      </c>
      <c r="H53" s="19">
        <f>_xll.BDH("SRPT US Equity","CF_NET_CHNG_CASH","FQ1 2020","FQ1 2020","Currency=USD","Period=FQ","BEST_FPERIOD_OVERRIDE=FQ","FILING_STATUS=MR","SCALING_FORMAT=MLN","Sort=A","Dates=H","DateFormat=P","Fill=—","Direction=H","UseDPDF=Y")</f>
        <v>929.13199999999995</v>
      </c>
      <c r="I53" s="19">
        <f>_xll.BDH("SRPT US Equity","CF_NET_CHNG_CASH","FQ2 2020","FQ2 2020","Currency=USD","Period=FQ","BEST_FPERIOD_OVERRIDE=FQ","FILING_STATUS=MR","SCALING_FORMAT=MLN","Sort=A","Dates=H","DateFormat=P","Fill=—","Direction=H","UseDPDF=Y")</f>
        <v>-124.253</v>
      </c>
      <c r="J53" s="19">
        <f>_xll.BDH("SRPT US Equity","CF_NET_CHNG_CASH","FQ3 2020","FQ3 2020","Currency=USD","Period=FQ","BEST_FPERIOD_OVERRIDE=FQ","FILING_STATUS=MR","SCALING_FORMAT=MLN","Sort=A","Dates=H","DateFormat=P","Fill=—","Direction=H","UseDPDF=Y")</f>
        <v>-165.322</v>
      </c>
      <c r="K53" s="19">
        <f>_xll.BDH("SRPT US Equity","CF_NET_CHNG_CASH","FQ4 2020","FQ4 2020","Currency=USD","Period=FQ","BEST_FPERIOD_OVERRIDE=FQ","FILING_STATUS=MR","SCALING_FORMAT=MLN","Sort=A","Dates=H","DateFormat=P","Fill=—","Direction=H","UseDPDF=Y")</f>
        <v>28.510999999999999</v>
      </c>
      <c r="L53" s="19">
        <f>_xll.BDH("SRPT US Equity","CF_NET_CHNG_CASH","FQ1 2021","FQ1 2021","Currency=USD","Period=FQ","BEST_FPERIOD_OVERRIDE=FQ","FILING_STATUS=MR","SCALING_FORMAT=MLN","Sort=A","Dates=H","DateFormat=P","Fill=—","Direction=H","UseDPDF=Y")</f>
        <v>-20.812000000000001</v>
      </c>
      <c r="M53" s="19">
        <f>_xll.BDH("SRPT US Equity","CF_NET_CHNG_CASH","FQ2 2021","FQ2 2021","Currency=USD","Period=FQ","BEST_FPERIOD_OVERRIDE=FQ","FILING_STATUS=MR","SCALING_FORMAT=MLN","Sort=A","Dates=H","DateFormat=P","Fill=—","Direction=H","UseDPDF=Y")</f>
        <v>215.43899999999999</v>
      </c>
      <c r="N53" s="19">
        <f>_xll.BDH("SRPT US Equity","CF_NET_CHNG_CASH","FQ3 2021","FQ3 2021","Currency=USD","Period=FQ","BEST_FPERIOD_OVERRIDE=FQ","FILING_STATUS=MR","SCALING_FORMAT=MLN","Sort=A","Dates=H","DateFormat=P","Fill=—","Direction=H","UseDPDF=Y")</f>
        <v>-98.162000000000006</v>
      </c>
      <c r="O53" s="19">
        <f>_xll.BDH("SRPT US Equity","CF_NET_CHNG_CASH","FQ4 2021","FQ4 2021","Currency=USD","Period=FQ","BEST_FPERIOD_OVERRIDE=FQ","FILING_STATUS=MR","SCALING_FORMAT=MLN","Sort=A","Dates=H","DateFormat=P","Fill=—","Direction=H","UseDPDF=Y")</f>
        <v>517.34500000000003</v>
      </c>
      <c r="P53" s="19">
        <f>_xll.BDH("SRPT US Equity","CF_NET_CHNG_CASH","FQ1 2022","FQ1 2022","Currency=USD","Period=FQ","BEST_FPERIOD_OVERRIDE=FQ","FILING_STATUS=MR","SCALING_FORMAT=MLN","Sort=A","Dates=H","DateFormat=P","Fill=—","Direction=H","UseDPDF=Y")</f>
        <v>-881.99199999999996</v>
      </c>
      <c r="Q53" s="19">
        <f>_xll.BDH("SRPT US Equity","CF_NET_CHNG_CASH","FQ2 2022","FQ2 2022","Currency=USD","Period=FQ","BEST_FPERIOD_OVERRIDE=FQ","FILING_STATUS=MR","SCALING_FORMAT=MLN","Sort=A","Dates=H","DateFormat=P","Fill=—","Direction=H","UseDPDF=Y")</f>
        <v>-356.46699999999998</v>
      </c>
      <c r="R53" s="19">
        <f>_xll.BDH("SRPT US Equity","CF_NET_CHNG_CASH","FQ3 2022","FQ3 2022","Currency=USD","Period=FQ","BEST_FPERIOD_OVERRIDE=FQ","FILING_STATUS=MR","SCALING_FORMAT=MLN","Sort=A","Dates=H","DateFormat=P","Fill=—","Direction=H","UseDPDF=Y")</f>
        <v>170.584</v>
      </c>
      <c r="S53" s="19">
        <f>_xll.BDH("SRPT US Equity","CF_NET_CHNG_CASH","FQ4 2022","FQ4 2022","Currency=USD","Period=FQ","BEST_FPERIOD_OVERRIDE=FQ","FILING_STATUS=MR","SCALING_FORMAT=MLN","Sort=A","Dates=H","DateFormat=P","Fill=—","Direction=H","UseDPDF=Y")</f>
        <v>-71.846999999999994</v>
      </c>
      <c r="T53" s="19">
        <f>_xll.BDH("SRPT US Equity","CF_NET_CHNG_CASH","FQ1 2023","FQ1 2023","Currency=USD","Period=FQ","BEST_FPERIOD_OVERRIDE=FQ","FILING_STATUS=MR","SCALING_FORMAT=MLN","Sort=A","Dates=H","DateFormat=P","Fill=—","Direction=H","UseDPDF=Y")</f>
        <v>-95.108999999999995</v>
      </c>
      <c r="U53" s="19">
        <f>_xll.BDH("SRPT US Equity","CF_NET_CHNG_CASH","FQ2 2023","FQ2 2023","Currency=USD","Period=FQ","BEST_FPERIOD_OVERRIDE=FQ","FILING_STATUS=MR","SCALING_FORMAT=MLN","Sort=A","Dates=H","DateFormat=P","Fill=—","Direction=H","UseDPDF=Y")</f>
        <v>-19.739000000000001</v>
      </c>
      <c r="V53" s="19">
        <f>_xll.BDH("SRPT US Equity","CF_NET_CHNG_CASH","FQ3 2023","FQ3 2023","Currency=USD","Period=FQ","BEST_FPERIOD_OVERRIDE=FQ","FILING_STATUS=MR","SCALING_FORMAT=MLN","Sort=A","Dates=H","DateFormat=P","Fill=—","Direction=H","UseDPDF=Y")</f>
        <v>-309.87200000000001</v>
      </c>
      <c r="W53" s="19">
        <f>_xll.BDH("SRPT US Equity","CF_NET_CHNG_CASH","FQ4 2023","FQ4 2023","Currency=USD","Period=FQ","BEST_FPERIOD_OVERRIDE=FQ","FILING_STATUS=MR","SCALING_FORMAT=MLN","Sort=A","Dates=H","DateFormat=P","Fill=—","Direction=H","UseDPDF=Y")</f>
        <v>-117.072</v>
      </c>
      <c r="X53" s="19">
        <f>_xll.BDH("SRPT US Equity","CF_NET_CHNG_CASH","FQ1 2024","FQ1 2024","Currency=USD","Period=FQ","BEST_FPERIOD_OVERRIDE=FQ","FILING_STATUS=MR","SCALING_FORMAT=MLN","Sort=A","Dates=H","DateFormat=P","Fill=—","Direction=H","UseDPDF=Y")</f>
        <v>-1.1399999999999999</v>
      </c>
      <c r="Y53" s="19">
        <f>_xll.BDH("SRPT US Equity","CF_NET_CHNG_CASH","FQ2 2024","FQ2 2024","Currency=USD","Period=FQ","BEST_FPERIOD_OVERRIDE=FQ","FILING_STATUS=MR","SCALING_FORMAT=MLN","Sort=A","Dates=H","DateFormat=P","Fill=—","Direction=H","UseDPDF=Y")</f>
        <v>-43.667999999999999</v>
      </c>
      <c r="Z53" s="19">
        <f>_xll.BDH("SRPT US Equity","CF_NET_CHNG_CASH","FQ3 2024","FQ3 2024","Currency=USD","Period=FQ","BEST_FPERIOD_OVERRIDE=FQ","FILING_STATUS=MR","SCALING_FORMAT=MLN","Sort=A","Dates=H","DateFormat=P","Fill=—","Direction=H","UseDPDF=Y")</f>
        <v>-185.767</v>
      </c>
      <c r="AA53" s="19">
        <f>_xll.BDH("SRPT US Equity","CF_NET_CHNG_CASH","FQ4 2024","FQ4 2024","Currency=USD","Period=FQ","BEST_FPERIOD_OVERRIDE=FQ","FILING_STATUS=MR","SCALING_FORMAT=MLN","Sort=A","Dates=H","DateFormat=P","Fill=—","Direction=H","UseDPDF=Y")</f>
        <v>905.15499999999997</v>
      </c>
    </row>
    <row r="54" spans="1:27" x14ac:dyDescent="0.25">
      <c r="A54" s="6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x14ac:dyDescent="0.25">
      <c r="A55" s="6" t="s">
        <v>1254</v>
      </c>
      <c r="B55" s="6" t="s">
        <v>1255</v>
      </c>
      <c r="C55" s="19" t="str">
        <f>_xll.BDH("SRPT US Equity","CF_CASH_PAID_FOR_TAX","FQ4 2018","FQ4 2018","Currency=USD","Period=FQ","BEST_FPERIOD_OVERRIDE=FQ","FILING_STATUS=MR","SCALING_FORMAT=MLN","Sort=A","Dates=H","DateFormat=P","Fill=—","Direction=H","UseDPDF=Y")</f>
        <v>—</v>
      </c>
      <c r="D55" s="19" t="str">
        <f>_xll.BDH("SRPT US Equity","CF_CASH_PAID_FOR_TAX","FQ1 2019","FQ1 2019","Currency=USD","Period=FQ","BEST_FPERIOD_OVERRIDE=FQ","FILING_STATUS=MR","SCALING_FORMAT=MLN","Sort=A","Dates=H","DateFormat=P","Fill=—","Direction=H","UseDPDF=Y")</f>
        <v>—</v>
      </c>
      <c r="E55" s="19" t="str">
        <f>_xll.BDH("SRPT US Equity","CF_CASH_PAID_FOR_TAX","FQ2 2019","FQ2 2019","Currency=USD","Period=FQ","BEST_FPERIOD_OVERRIDE=FQ","FILING_STATUS=MR","SCALING_FORMAT=MLN","Sort=A","Dates=H","DateFormat=P","Fill=—","Direction=H","UseDPDF=Y")</f>
        <v>—</v>
      </c>
      <c r="F55" s="19" t="str">
        <f>_xll.BDH("SRPT US Equity","CF_CASH_PAID_FOR_TAX","FQ3 2019","FQ3 2019","Currency=USD","Period=FQ","BEST_FPERIOD_OVERRIDE=FQ","FILING_STATUS=MR","SCALING_FORMAT=MLN","Sort=A","Dates=H","DateFormat=P","Fill=—","Direction=H","UseDPDF=Y")</f>
        <v>—</v>
      </c>
      <c r="G55" s="19" t="str">
        <f>_xll.BDH("SRPT US Equity","CF_CASH_PAID_FOR_TAX","FQ4 2019","FQ4 2019","Currency=USD","Period=FQ","BEST_FPERIOD_OVERRIDE=FQ","FILING_STATUS=MR","SCALING_FORMAT=MLN","Sort=A","Dates=H","DateFormat=P","Fill=—","Direction=H","UseDPDF=Y")</f>
        <v>—</v>
      </c>
      <c r="H55" s="19" t="str">
        <f>_xll.BDH("SRPT US Equity","CF_CASH_PAID_FOR_TAX","FQ1 2020","FQ1 2020","Currency=USD","Period=FQ","BEST_FPERIOD_OVERRIDE=FQ","FILING_STATUS=MR","SCALING_FORMAT=MLN","Sort=A","Dates=H","DateFormat=P","Fill=—","Direction=H","UseDPDF=Y")</f>
        <v>—</v>
      </c>
      <c r="I55" s="19" t="str">
        <f>_xll.BDH("SRPT US Equity","CF_CASH_PAID_FOR_TAX","FQ2 2020","FQ2 2020","Currency=USD","Period=FQ","BEST_FPERIOD_OVERRIDE=FQ","FILING_STATUS=MR","SCALING_FORMAT=MLN","Sort=A","Dates=H","DateFormat=P","Fill=—","Direction=H","UseDPDF=Y")</f>
        <v>—</v>
      </c>
      <c r="J55" s="19" t="str">
        <f>_xll.BDH("SRPT US Equity","CF_CASH_PAID_FOR_TAX","FQ3 2020","FQ3 2020","Currency=USD","Period=FQ","BEST_FPERIOD_OVERRIDE=FQ","FILING_STATUS=MR","SCALING_FORMAT=MLN","Sort=A","Dates=H","DateFormat=P","Fill=—","Direction=H","UseDPDF=Y")</f>
        <v>—</v>
      </c>
      <c r="K55" s="19" t="str">
        <f>_xll.BDH("SRPT US Equity","CF_CASH_PAID_FOR_TAX","FQ4 2020","FQ4 2020","Currency=USD","Period=FQ","BEST_FPERIOD_OVERRIDE=FQ","FILING_STATUS=MR","SCALING_FORMAT=MLN","Sort=A","Dates=H","DateFormat=P","Fill=—","Direction=H","UseDPDF=Y")</f>
        <v>—</v>
      </c>
      <c r="L55" s="19" t="str">
        <f>_xll.BDH("SRPT US Equity","CF_CASH_PAID_FOR_TAX","FQ1 2021","FQ1 2021","Currency=USD","Period=FQ","BEST_FPERIOD_OVERRIDE=FQ","FILING_STATUS=MR","SCALING_FORMAT=MLN","Sort=A","Dates=H","DateFormat=P","Fill=—","Direction=H","UseDPDF=Y")</f>
        <v>—</v>
      </c>
      <c r="M55" s="19" t="str">
        <f>_xll.BDH("SRPT US Equity","CF_CASH_PAID_FOR_TAX","FQ2 2021","FQ2 2021","Currency=USD","Period=FQ","BEST_FPERIOD_OVERRIDE=FQ","FILING_STATUS=MR","SCALING_FORMAT=MLN","Sort=A","Dates=H","DateFormat=P","Fill=—","Direction=H","UseDPDF=Y")</f>
        <v>—</v>
      </c>
      <c r="N55" s="19" t="str">
        <f>_xll.BDH("SRPT US Equity","CF_CASH_PAID_FOR_TAX","FQ3 2021","FQ3 2021","Currency=USD","Period=FQ","BEST_FPERIOD_OVERRIDE=FQ","FILING_STATUS=MR","SCALING_FORMAT=MLN","Sort=A","Dates=H","DateFormat=P","Fill=—","Direction=H","UseDPDF=Y")</f>
        <v>—</v>
      </c>
      <c r="O55" s="19" t="str">
        <f>_xll.BDH("SRPT US Equity","CF_CASH_PAID_FOR_TAX","FQ4 2021","FQ4 2021","Currency=USD","Period=FQ","BEST_FPERIOD_OVERRIDE=FQ","FILING_STATUS=MR","SCALING_FORMAT=MLN","Sort=A","Dates=H","DateFormat=P","Fill=—","Direction=H","UseDPDF=Y")</f>
        <v>—</v>
      </c>
      <c r="P55" s="19" t="str">
        <f>_xll.BDH("SRPT US Equity","CF_CASH_PAID_FOR_TAX","FQ1 2022","FQ1 2022","Currency=USD","Period=FQ","BEST_FPERIOD_OVERRIDE=FQ","FILING_STATUS=MR","SCALING_FORMAT=MLN","Sort=A","Dates=H","DateFormat=P","Fill=—","Direction=H","UseDPDF=Y")</f>
        <v>—</v>
      </c>
      <c r="Q55" s="19" t="str">
        <f>_xll.BDH("SRPT US Equity","CF_CASH_PAID_FOR_TAX","FQ2 2022","FQ2 2022","Currency=USD","Period=FQ","BEST_FPERIOD_OVERRIDE=FQ","FILING_STATUS=MR","SCALING_FORMAT=MLN","Sort=A","Dates=H","DateFormat=P","Fill=—","Direction=H","UseDPDF=Y")</f>
        <v>—</v>
      </c>
      <c r="R55" s="19" t="str">
        <f>_xll.BDH("SRPT US Equity","CF_CASH_PAID_FOR_TAX","FQ3 2022","FQ3 2022","Currency=USD","Period=FQ","BEST_FPERIOD_OVERRIDE=FQ","FILING_STATUS=MR","SCALING_FORMAT=MLN","Sort=A","Dates=H","DateFormat=P","Fill=—","Direction=H","UseDPDF=Y")</f>
        <v>—</v>
      </c>
      <c r="S55" s="19" t="str">
        <f>_xll.BDH("SRPT US Equity","CF_CASH_PAID_FOR_TAX","FQ4 2022","FQ4 2022","Currency=USD","Period=FQ","BEST_FPERIOD_OVERRIDE=FQ","FILING_STATUS=MR","SCALING_FORMAT=MLN","Sort=A","Dates=H","DateFormat=P","Fill=—","Direction=H","UseDPDF=Y")</f>
        <v>—</v>
      </c>
      <c r="T55" s="19" t="str">
        <f>_xll.BDH("SRPT US Equity","CF_CASH_PAID_FOR_TAX","FQ1 2023","FQ1 2023","Currency=USD","Period=FQ","BEST_FPERIOD_OVERRIDE=FQ","FILING_STATUS=MR","SCALING_FORMAT=MLN","Sort=A","Dates=H","DateFormat=P","Fill=—","Direction=H","UseDPDF=Y")</f>
        <v>—</v>
      </c>
      <c r="U55" s="19" t="str">
        <f>_xll.BDH("SRPT US Equity","CF_CASH_PAID_FOR_TAX","FQ2 2023","FQ2 2023","Currency=USD","Period=FQ","BEST_FPERIOD_OVERRIDE=FQ","FILING_STATUS=MR","SCALING_FORMAT=MLN","Sort=A","Dates=H","DateFormat=P","Fill=—","Direction=H","UseDPDF=Y")</f>
        <v>—</v>
      </c>
      <c r="V55" s="19" t="str">
        <f>_xll.BDH("SRPT US Equity","CF_CASH_PAID_FOR_TAX","FQ3 2023","FQ3 2023","Currency=USD","Period=FQ","BEST_FPERIOD_OVERRIDE=FQ","FILING_STATUS=MR","SCALING_FORMAT=MLN","Sort=A","Dates=H","DateFormat=P","Fill=—","Direction=H","UseDPDF=Y")</f>
        <v>—</v>
      </c>
      <c r="W55" s="19" t="str">
        <f>_xll.BDH("SRPT US Equity","CF_CASH_PAID_FOR_TAX","FQ4 2023","FQ4 2023","Currency=USD","Period=FQ","BEST_FPERIOD_OVERRIDE=FQ","FILING_STATUS=MR","SCALING_FORMAT=MLN","Sort=A","Dates=H","DateFormat=P","Fill=—","Direction=H","UseDPDF=Y")</f>
        <v>—</v>
      </c>
      <c r="X55" s="19">
        <f>_xll.BDH("SRPT US Equity","CF_CASH_PAID_FOR_TAX","FQ1 2024","FQ1 2024","Currency=USD","Period=FQ","BEST_FPERIOD_OVERRIDE=FQ","FILING_STATUS=MR","SCALING_FORMAT=MLN","Sort=A","Dates=H","DateFormat=P","Fill=—","Direction=H","UseDPDF=Y")</f>
        <v>0.90900000000000003</v>
      </c>
      <c r="Y55" s="19">
        <f>_xll.BDH("SRPT US Equity","CF_CASH_PAID_FOR_TAX","FQ2 2024","FQ2 2024","Currency=USD","Period=FQ","BEST_FPERIOD_OVERRIDE=FQ","FILING_STATUS=MR","SCALING_FORMAT=MLN","Sort=A","Dates=H","DateFormat=P","Fill=—","Direction=H","UseDPDF=Y")</f>
        <v>7.0810000000000004</v>
      </c>
      <c r="Z55" s="19">
        <f>_xll.BDH("SRPT US Equity","CF_CASH_PAID_FOR_TAX","FQ3 2024","FQ3 2024","Currency=USD","Period=FQ","BEST_FPERIOD_OVERRIDE=FQ","FILING_STATUS=MR","SCALING_FORMAT=MLN","Sort=A","Dates=H","DateFormat=P","Fill=—","Direction=H","UseDPDF=Y")</f>
        <v>3.6240000000000001</v>
      </c>
      <c r="AA55" s="19">
        <f>_xll.BDH("SRPT US Equity","CF_CASH_PAID_FOR_TAX","FQ4 2024","FQ4 2024","Currency=USD","Period=FQ","BEST_FPERIOD_OVERRIDE=FQ","FILING_STATUS=MR","SCALING_FORMAT=MLN","Sort=A","Dates=H","DateFormat=P","Fill=—","Direction=H","UseDPDF=Y")</f>
        <v>10.973000000000001</v>
      </c>
    </row>
    <row r="56" spans="1:27" x14ac:dyDescent="0.25">
      <c r="A56" s="6" t="s">
        <v>1256</v>
      </c>
      <c r="B56" s="6" t="s">
        <v>1257</v>
      </c>
      <c r="C56" s="19">
        <f>_xll.BDH("SRPT US Equity","CF_ACT_CASH_PAID_FOR_INT_DEBT","FQ4 2018","FQ4 2018","Currency=USD","Period=FQ","BEST_FPERIOD_OVERRIDE=FQ","FILING_STATUS=MR","SCALING_FORMAT=MLN","Sort=A","Dates=H","DateFormat=P","Fill=—","Direction=H","UseDPDF=Y")</f>
        <v>4.4470000000000001</v>
      </c>
      <c r="D56" s="19">
        <f>_xll.BDH("SRPT US Equity","CF_ACT_CASH_PAID_FOR_INT_DEBT","FQ1 2019","FQ1 2019","Currency=USD","Period=FQ","BEST_FPERIOD_OVERRIDE=FQ","FILING_STATUS=MR","SCALING_FORMAT=MLN","Sort=A","Dates=H","DateFormat=P","Fill=—","Direction=H","UseDPDF=Y")</f>
        <v>0</v>
      </c>
      <c r="E56" s="19">
        <f>_xll.BDH("SRPT US Equity","CF_ACT_CASH_PAID_FOR_INT_DEBT","FQ2 2019","FQ2 2019","Currency=USD","Period=FQ","BEST_FPERIOD_OVERRIDE=FQ","FILING_STATUS=MR","SCALING_FORMAT=MLN","Sort=A","Dates=H","DateFormat=P","Fill=—","Direction=H","UseDPDF=Y")</f>
        <v>4.2750000000000004</v>
      </c>
      <c r="F56" s="19">
        <f>_xll.BDH("SRPT US Equity","CF_ACT_CASH_PAID_FOR_INT_DEBT","FQ3 2019","FQ3 2019","Currency=USD","Period=FQ","BEST_FPERIOD_OVERRIDE=FQ","FILING_STATUS=MR","SCALING_FORMAT=MLN","Sort=A","Dates=H","DateFormat=P","Fill=—","Direction=H","UseDPDF=Y")</f>
        <v>0</v>
      </c>
      <c r="G56" s="19">
        <f>_xll.BDH("SRPT US Equity","CF_ACT_CASH_PAID_FOR_INT_DEBT","FQ4 2019","FQ4 2019","Currency=USD","Period=FQ","BEST_FPERIOD_OVERRIDE=FQ","FILING_STATUS=MR","SCALING_FORMAT=MLN","Sort=A","Dates=H","DateFormat=P","Fill=—","Direction=H","UseDPDF=Y")</f>
        <v>5.2080000000000002</v>
      </c>
      <c r="H56" s="19">
        <f>_xll.BDH("SRPT US Equity","CF_ACT_CASH_PAID_FOR_INT_DEBT","FQ1 2020","FQ1 2020","Currency=USD","Period=FQ","BEST_FPERIOD_OVERRIDE=FQ","FILING_STATUS=MR","SCALING_FORMAT=MLN","Sort=A","Dates=H","DateFormat=P","Fill=—","Direction=H","UseDPDF=Y")</f>
        <v>5.3849999999999998</v>
      </c>
      <c r="I56" s="19">
        <f>_xll.BDH("SRPT US Equity","CF_ACT_CASH_PAID_FOR_INT_DEBT","FQ2 2020","FQ2 2020","Currency=USD","Period=FQ","BEST_FPERIOD_OVERRIDE=FQ","FILING_STATUS=MR","SCALING_FORMAT=MLN","Sort=A","Dates=H","DateFormat=P","Fill=—","Direction=H","UseDPDF=Y")</f>
        <v>9.6470000000000002</v>
      </c>
      <c r="J56" s="19">
        <f>_xll.BDH("SRPT US Equity","CF_ACT_CASH_PAID_FOR_INT_DEBT","FQ3 2020","FQ3 2020","Currency=USD","Period=FQ","BEST_FPERIOD_OVERRIDE=FQ","FILING_STATUS=MR","SCALING_FORMAT=MLN","Sort=A","Dates=H","DateFormat=P","Fill=—","Direction=H","UseDPDF=Y")</f>
        <v>5.43</v>
      </c>
      <c r="K56" s="19">
        <f>_xll.BDH("SRPT US Equity","CF_ACT_CASH_PAID_FOR_INT_DEBT","FQ4 2020","FQ4 2020","Currency=USD","Period=FQ","BEST_FPERIOD_OVERRIDE=FQ","FILING_STATUS=MR","SCALING_FORMAT=MLN","Sort=A","Dates=H","DateFormat=P","Fill=—","Direction=H","UseDPDF=Y")</f>
        <v>16.466000000000001</v>
      </c>
      <c r="L56" s="19">
        <f>_xll.BDH("SRPT US Equity","CF_ACT_CASH_PAID_FOR_INT_DEBT","FQ1 2021","FQ1 2021","Currency=USD","Period=FQ","BEST_FPERIOD_OVERRIDE=FQ","FILING_STATUS=MR","SCALING_FORMAT=MLN","Sort=A","Dates=H","DateFormat=P","Fill=—","Direction=H","UseDPDF=Y")</f>
        <v>11.688000000000001</v>
      </c>
      <c r="M56" s="19">
        <f>_xll.BDH("SRPT US Equity","CF_ACT_CASH_PAID_FOR_INT_DEBT","FQ2 2021","FQ2 2021","Currency=USD","Period=FQ","BEST_FPERIOD_OVERRIDE=FQ","FILING_STATUS=MR","SCALING_FORMAT=MLN","Sort=A","Dates=H","DateFormat=P","Fill=—","Direction=H","UseDPDF=Y")</f>
        <v>16.091999999999999</v>
      </c>
      <c r="N56" s="19">
        <f>_xll.BDH("SRPT US Equity","CF_ACT_CASH_PAID_FOR_INT_DEBT","FQ3 2021","FQ3 2021","Currency=USD","Period=FQ","BEST_FPERIOD_OVERRIDE=FQ","FILING_STATUS=MR","SCALING_FORMAT=MLN","Sort=A","Dates=H","DateFormat=P","Fill=—","Direction=H","UseDPDF=Y")</f>
        <v>11.946999999999999</v>
      </c>
      <c r="O56" s="19">
        <f>_xll.BDH("SRPT US Equity","CF_ACT_CASH_PAID_FOR_INT_DEBT","FQ4 2021","FQ4 2021","Currency=USD","Period=FQ","BEST_FPERIOD_OVERRIDE=FQ","FILING_STATUS=MR","SCALING_FORMAT=MLN","Sort=A","Dates=H","DateFormat=P","Fill=—","Direction=H","UseDPDF=Y")</f>
        <v>16.222000000000001</v>
      </c>
      <c r="P56" s="19">
        <f>_xll.BDH("SRPT US Equity","CF_ACT_CASH_PAID_FOR_INT_DEBT","FQ1 2022","FQ1 2022","Currency=USD","Period=FQ","BEST_FPERIOD_OVERRIDE=FQ","FILING_STATUS=MR","SCALING_FORMAT=MLN","Sort=A","Dates=H","DateFormat=P","Fill=—","Direction=H","UseDPDF=Y")</f>
        <v>11.688000000000001</v>
      </c>
      <c r="Q56" s="19">
        <f>_xll.BDH("SRPT US Equity","CF_ACT_CASH_PAID_FOR_INT_DEBT","FQ2 2022","FQ2 2022","Currency=USD","Period=FQ","BEST_FPERIOD_OVERRIDE=FQ","FILING_STATUS=MR","SCALING_FORMAT=MLN","Sort=A","Dates=H","DateFormat=P","Fill=—","Direction=H","UseDPDF=Y")</f>
        <v>16.091999999999999</v>
      </c>
      <c r="R56" s="19">
        <f>_xll.BDH("SRPT US Equity","CF_ACT_CASH_PAID_FOR_INT_DEBT","FQ3 2022","FQ3 2022","Currency=USD","Period=FQ","BEST_FPERIOD_OVERRIDE=FQ","FILING_STATUS=MR","SCALING_FORMAT=MLN","Sort=A","Dates=H","DateFormat=P","Fill=—","Direction=H","UseDPDF=Y")</f>
        <v>13.493</v>
      </c>
      <c r="S56" s="19">
        <f>_xll.BDH("SRPT US Equity","CF_ACT_CASH_PAID_FOR_INT_DEBT","FQ4 2022","FQ4 2022","Currency=USD","Period=FQ","BEST_FPERIOD_OVERRIDE=FQ","FILING_STATUS=MR","SCALING_FORMAT=MLN","Sort=A","Dates=H","DateFormat=P","Fill=—","Direction=H","UseDPDF=Y")</f>
        <v>3.145</v>
      </c>
      <c r="T56" s="19">
        <f>_xll.BDH("SRPT US Equity","CF_ACT_CASH_PAID_FOR_INT_DEBT","FQ1 2023","FQ1 2023","Currency=USD","Period=FQ","BEST_FPERIOD_OVERRIDE=FQ","FILING_STATUS=MR","SCALING_FORMAT=MLN","Sort=A","Dates=H","DateFormat=P","Fill=—","Direction=H","UseDPDF=Y")</f>
        <v>7.0229999999999997</v>
      </c>
      <c r="U56" s="19">
        <f>_xll.BDH("SRPT US Equity","CF_ACT_CASH_PAID_FOR_INT_DEBT","FQ2 2023","FQ2 2023","Currency=USD","Period=FQ","BEST_FPERIOD_OVERRIDE=FQ","FILING_STATUS=MR","SCALING_FORMAT=MLN","Sort=A","Dates=H","DateFormat=P","Fill=—","Direction=H","UseDPDF=Y")</f>
        <v>0.79400000000000004</v>
      </c>
      <c r="V56" s="19">
        <f>_xll.BDH("SRPT US Equity","CF_ACT_CASH_PAID_FOR_INT_DEBT","FQ3 2023","FQ3 2023","Currency=USD","Period=FQ","BEST_FPERIOD_OVERRIDE=FQ","FILING_STATUS=MR","SCALING_FORMAT=MLN","Sort=A","Dates=H","DateFormat=P","Fill=—","Direction=H","UseDPDF=Y")</f>
        <v>7.3120000000000003</v>
      </c>
      <c r="W56" s="19">
        <f>_xll.BDH("SRPT US Equity","CF_ACT_CASH_PAID_FOR_INT_DEBT","FQ4 2023","FQ4 2023","Currency=USD","Period=FQ","BEST_FPERIOD_OVERRIDE=FQ","FILING_STATUS=MR","SCALING_FORMAT=MLN","Sort=A","Dates=H","DateFormat=P","Fill=—","Direction=H","UseDPDF=Y")</f>
        <v>0.79400000000000004</v>
      </c>
      <c r="X56" s="19">
        <f>_xll.BDH("SRPT US Equity","CF_ACT_CASH_PAID_FOR_INT_DEBT","FQ1 2024","FQ1 2024","Currency=USD","Period=FQ","BEST_FPERIOD_OVERRIDE=FQ","FILING_STATUS=MR","SCALING_FORMAT=MLN","Sort=A","Dates=H","DateFormat=P","Fill=—","Direction=H","UseDPDF=Y")</f>
        <v>7.1879999999999997</v>
      </c>
      <c r="Y56" s="19">
        <f>_xll.BDH("SRPT US Equity","CF_ACT_CASH_PAID_FOR_INT_DEBT","FQ2 2024","FQ2 2024","Currency=USD","Period=FQ","BEST_FPERIOD_OVERRIDE=FQ","FILING_STATUS=MR","SCALING_FORMAT=MLN","Sort=A","Dates=H","DateFormat=P","Fill=—","Direction=H","UseDPDF=Y")</f>
        <v>0.79300000000000004</v>
      </c>
      <c r="Z56" s="19">
        <f>_xll.BDH("SRPT US Equity","CF_ACT_CASH_PAID_FOR_INT_DEBT","FQ3 2024","FQ3 2024","Currency=USD","Period=FQ","BEST_FPERIOD_OVERRIDE=FQ","FILING_STATUS=MR","SCALING_FORMAT=MLN","Sort=A","Dates=H","DateFormat=P","Fill=—","Direction=H","UseDPDF=Y")</f>
        <v>7.1879999999999997</v>
      </c>
      <c r="AA56" s="19">
        <f>_xll.BDH("SRPT US Equity","CF_ACT_CASH_PAID_FOR_INT_DEBT","FQ4 2024","FQ4 2024","Currency=USD","Period=FQ","BEST_FPERIOD_OVERRIDE=FQ","FILING_STATUS=MR","SCALING_FORMAT=MLN","Sort=A","Dates=H","DateFormat=P","Fill=—","Direction=H","UseDPDF=Y")</f>
        <v>0.68700000000000006</v>
      </c>
    </row>
    <row r="57" spans="1:27" x14ac:dyDescent="0.25">
      <c r="A57" s="6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x14ac:dyDescent="0.25">
      <c r="A58" s="6" t="s">
        <v>4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x14ac:dyDescent="0.25">
      <c r="A59" s="10" t="s">
        <v>78</v>
      </c>
      <c r="B59" s="10" t="s">
        <v>78</v>
      </c>
      <c r="C59" s="13">
        <f>_xll.BDH("SRPT US Equity","EBITDA","FQ4 2018","FQ4 2018","Currency=USD","Period=FQ","BEST_FPERIOD_OVERRIDE=FQ","FILING_STATUS=MR","SCALING_FORMAT=MLN","FA_ADJUSTED=GAAP","Sort=A","Dates=H","DateFormat=P","Fill=—","Direction=H","UseDPDF=Y")</f>
        <v>-135.83600000000001</v>
      </c>
      <c r="D59" s="13">
        <f>_xll.BDH("SRPT US Equity","EBITDA","FQ1 2019","FQ1 2019","Currency=USD","Period=FQ","BEST_FPERIOD_OVERRIDE=FQ","FILING_STATUS=MR","SCALING_FORMAT=MLN","FA_ADJUSTED=GAAP","Sort=A","Dates=H","DateFormat=P","Fill=—","Direction=H","UseDPDF=Y")</f>
        <v>-67.415000000000006</v>
      </c>
      <c r="E59" s="13">
        <f>_xll.BDH("SRPT US Equity","EBITDA","FQ2 2019","FQ2 2019","Currency=USD","Period=FQ","BEST_FPERIOD_OVERRIDE=FQ","FILING_STATUS=MR","SCALING_FORMAT=MLN","FA_ADJUSTED=GAAP","Sort=A","Dates=H","DateFormat=P","Fill=—","Direction=H","UseDPDF=Y")</f>
        <v>-265.14299999999997</v>
      </c>
      <c r="F59" s="13">
        <f>_xll.BDH("SRPT US Equity","EBITDA","FQ3 2019","FQ3 2019","Currency=USD","Period=FQ","BEST_FPERIOD_OVERRIDE=FQ","FILING_STATUS=MR","SCALING_FORMAT=MLN","FA_ADJUSTED=GAAP","Sort=A","Dates=H","DateFormat=P","Fill=—","Direction=H","UseDPDF=Y")</f>
        <v>-112.70699999999999</v>
      </c>
      <c r="G59" s="13">
        <f>_xll.BDH("SRPT US Equity","EBITDA","FQ4 2019","FQ4 2019","Currency=USD","Period=FQ","BEST_FPERIOD_OVERRIDE=FQ","FILING_STATUS=MR","SCALING_FORMAT=MLN","FA_ADJUSTED=GAAP","Sort=A","Dates=H","DateFormat=P","Fill=—","Direction=H","UseDPDF=Y")</f>
        <v>-219.416</v>
      </c>
      <c r="H59" s="13">
        <f>_xll.BDH("SRPT US Equity","EBITDA","FQ1 2020","FQ1 2020","Currency=USD","Period=FQ","BEST_FPERIOD_OVERRIDE=FQ","FILING_STATUS=MR","SCALING_FORMAT=MLN","FA_ADJUSTED=GAAP","Sort=A","Dates=H","DateFormat=P","Fill=—","Direction=H","UseDPDF=Y")</f>
        <v>-110.697</v>
      </c>
      <c r="I59" s="13">
        <f>_xll.BDH("SRPT US Equity","EBITDA","FQ2 2020","FQ2 2020","Currency=USD","Period=FQ","BEST_FPERIOD_OVERRIDE=FQ","FILING_STATUS=MR","SCALING_FORMAT=MLN","FA_ADJUSTED=GAAP","Sort=A","Dates=H","DateFormat=P","Fill=—","Direction=H","UseDPDF=Y")</f>
        <v>-129.87799999999999</v>
      </c>
      <c r="J59" s="13">
        <f>_xll.BDH("SRPT US Equity","EBITDA","FQ3 2020","FQ3 2020","Currency=USD","Period=FQ","BEST_FPERIOD_OVERRIDE=FQ","FILING_STATUS=MR","SCALING_FORMAT=MLN","FA_ADJUSTED=GAAP","Sort=A","Dates=H","DateFormat=P","Fill=—","Direction=H","UseDPDF=Y")</f>
        <v>-128.249</v>
      </c>
      <c r="K59" s="13">
        <f>_xll.BDH("SRPT US Equity","EBITDA","FQ4 2020","FQ4 2020","Currency=USD","Period=FQ","BEST_FPERIOD_OVERRIDE=FQ","FILING_STATUS=MR","SCALING_FORMAT=MLN","FA_ADJUSTED=GAAP","Sort=A","Dates=H","DateFormat=P","Fill=—","Direction=H","UseDPDF=Y")</f>
        <v>-149.44999999999999</v>
      </c>
      <c r="L59" s="13">
        <f>_xll.BDH("SRPT US Equity","EBITDA","FQ1 2021","FQ1 2021","Currency=USD","Period=FQ","BEST_FPERIOD_OVERRIDE=FQ","FILING_STATUS=MR","SCALING_FORMAT=MLN","FA_ADJUSTED=GAAP","Sort=A","Dates=H","DateFormat=P","Fill=—","Direction=H","UseDPDF=Y")</f>
        <v>-142.935</v>
      </c>
      <c r="M59" s="13">
        <f>_xll.BDH("SRPT US Equity","EBITDA","FQ2 2021","FQ2 2021","Currency=USD","Period=FQ","BEST_FPERIOD_OVERRIDE=FQ","FILING_STATUS=MR","SCALING_FORMAT=MLN","FA_ADJUSTED=GAAP","Sort=A","Dates=H","DateFormat=P","Fill=—","Direction=H","UseDPDF=Y")</f>
        <v>-159.12700000000001</v>
      </c>
      <c r="N59" s="13">
        <f>_xll.BDH("SRPT US Equity","EBITDA","FQ3 2021","FQ3 2021","Currency=USD","Period=FQ","BEST_FPERIOD_OVERRIDE=FQ","FILING_STATUS=MR","SCALING_FORMAT=MLN","FA_ADJUSTED=GAAP","Sort=A","Dates=H","DateFormat=P","Fill=—","Direction=H","UseDPDF=Y")</f>
        <v>-23.963000000000001</v>
      </c>
      <c r="O59" s="13">
        <f>_xll.BDH("SRPT US Equity","EBITDA","FQ4 2021","FQ4 2021","Currency=USD","Period=FQ","BEST_FPERIOD_OVERRIDE=FQ","FILING_STATUS=MR","SCALING_FORMAT=MLN","FA_ADJUSTED=GAAP","Sort=A","Dates=H","DateFormat=P","Fill=—","Direction=H","UseDPDF=Y")</f>
        <v>-95.668000000000006</v>
      </c>
      <c r="P59" s="13">
        <f>_xll.BDH("SRPT US Equity","EBITDA","FQ1 2022","FQ1 2022","Currency=USD","Period=FQ","BEST_FPERIOD_OVERRIDE=FQ","FILING_STATUS=MR","SCALING_FORMAT=MLN","FA_ADJUSTED=GAAP","Sort=A","Dates=H","DateFormat=P","Fill=—","Direction=H","UseDPDF=Y")</f>
        <v>-76.162000000000006</v>
      </c>
      <c r="Q59" s="13">
        <f>_xll.BDH("SRPT US Equity","EBITDA","FQ2 2022","FQ2 2022","Currency=USD","Period=FQ","BEST_FPERIOD_OVERRIDE=FQ","FILING_STATUS=MR","SCALING_FORMAT=MLN","FA_ADJUSTED=GAAP","Sort=A","Dates=H","DateFormat=P","Fill=—","Direction=H","UseDPDF=Y")</f>
        <v>-201.24299999999999</v>
      </c>
      <c r="R59" s="13">
        <f>_xll.BDH("SRPT US Equity","EBITDA","FQ3 2022","FQ3 2022","Currency=USD","Period=FQ","BEST_FPERIOD_OVERRIDE=FQ","FILING_STATUS=MR","SCALING_FORMAT=MLN","FA_ADJUSTED=GAAP","Sort=A","Dates=H","DateFormat=P","Fill=—","Direction=H","UseDPDF=Y")</f>
        <v>-120.652</v>
      </c>
      <c r="S59" s="13">
        <f>_xll.BDH("SRPT US Equity","EBITDA","FQ4 2022","FQ4 2022","Currency=USD","Period=FQ","BEST_FPERIOD_OVERRIDE=FQ","FILING_STATUS=MR","SCALING_FORMAT=MLN","FA_ADJUSTED=GAAP","Sort=A","Dates=H","DateFormat=P","Fill=—","Direction=H","UseDPDF=Y")</f>
        <v>-96.28</v>
      </c>
      <c r="T59" s="13">
        <f>_xll.BDH("SRPT US Equity","EBITDA","FQ1 2023","FQ1 2023","Currency=USD","Period=FQ","BEST_FPERIOD_OVERRIDE=FQ","FILING_STATUS=MR","SCALING_FORMAT=MLN","FA_ADJUSTED=GAAP","Sort=A","Dates=H","DateFormat=P","Fill=—","Direction=H","UseDPDF=Y")</f>
        <v>-126.783</v>
      </c>
      <c r="U59" s="13">
        <f>_xll.BDH("SRPT US Equity","EBITDA","FQ2 2023","FQ2 2023","Currency=USD","Period=FQ","BEST_FPERIOD_OVERRIDE=FQ","FILING_STATUS=MR","SCALING_FORMAT=MLN","FA_ADJUSTED=GAAP","Sort=A","Dates=H","DateFormat=P","Fill=—","Direction=H","UseDPDF=Y")</f>
        <v>-122.727</v>
      </c>
      <c r="V59" s="13">
        <f>_xll.BDH("SRPT US Equity","EBITDA","FQ3 2023","FQ3 2023","Currency=USD","Period=FQ","BEST_FPERIOD_OVERRIDE=FQ","FILING_STATUS=MR","SCALING_FORMAT=MLN","FA_ADJUSTED=GAAP","Sort=A","Dates=H","DateFormat=P","Fill=—","Direction=H","UseDPDF=Y")</f>
        <v>-9.9139999999999997</v>
      </c>
      <c r="W59" s="13">
        <f>_xll.BDH("SRPT US Equity","EBITDA","FQ4 2023","FQ4 2023","Currency=USD","Period=FQ","BEST_FPERIOD_OVERRIDE=FQ","FILING_STATUS=MR","SCALING_FORMAT=MLN","FA_ADJUSTED=GAAP","Sort=A","Dates=H","DateFormat=P","Fill=—","Direction=H","UseDPDF=Y")</f>
        <v>35.997</v>
      </c>
      <c r="X59" s="13">
        <f>_xll.BDH("SRPT US Equity","EBITDA","FQ1 2024","FQ1 2024","Currency=USD","Period=FQ","BEST_FPERIOD_OVERRIDE=FQ","FILING_STATUS=MR","SCALING_FORMAT=MLN","FA_ADJUSTED=GAAP","Sort=A","Dates=H","DateFormat=P","Fill=—","Direction=H","UseDPDF=Y")</f>
        <v>43.649000000000001</v>
      </c>
      <c r="Y59" s="13">
        <f>_xll.BDH("SRPT US Equity","EBITDA","FQ2 2024","FQ2 2024","Currency=USD","Period=FQ","BEST_FPERIOD_OVERRIDE=FQ","FILING_STATUS=MR","SCALING_FORMAT=MLN","FA_ADJUSTED=GAAP","Sort=A","Dates=H","DateFormat=P","Fill=—","Direction=H","UseDPDF=Y")</f>
        <v>8.0180000000000007</v>
      </c>
      <c r="Z59" s="13">
        <f>_xll.BDH("SRPT US Equity","EBITDA","FQ3 2024","FQ3 2024","Currency=USD","Period=FQ","BEST_FPERIOD_OVERRIDE=FQ","FILING_STATUS=MR","SCALING_FORMAT=MLN","FA_ADJUSTED=GAAP","Sort=A","Dates=H","DateFormat=P","Fill=—","Direction=H","UseDPDF=Y")</f>
        <v>32.002000000000002</v>
      </c>
      <c r="AA59" s="13">
        <f>_xll.BDH("SRPT US Equity","EBITDA","FQ4 2024","FQ4 2024","Currency=USD","Period=FQ","BEST_FPERIOD_OVERRIDE=FQ","FILING_STATUS=MR","SCALING_FORMAT=MLN","FA_ADJUSTED=GAAP","Sort=A","Dates=H","DateFormat=P","Fill=—","Direction=H","UseDPDF=Y")</f>
        <v>172.136</v>
      </c>
    </row>
    <row r="60" spans="1:27" x14ac:dyDescent="0.25">
      <c r="A60" s="10" t="s">
        <v>1258</v>
      </c>
      <c r="B60" s="10" t="s">
        <v>399</v>
      </c>
      <c r="C60" s="14">
        <f>_xll.BDH("SRPT US Equity","EBITDA_MARGIN","FQ4 2018","FQ4 2018","Currency=USD","Period=FQ","BEST_FPERIOD_OVERRIDE=FQ","FILING_STATUS=MR","FA_ADJUSTED=GAAP","Sort=A","Dates=H","DateFormat=P","Fill=—","Direction=H","UseDPDF=Y")</f>
        <v>-110.08159999999999</v>
      </c>
      <c r="D60" s="14">
        <f>_xll.BDH("SRPT US Equity","EBITDA_MARGIN","FQ1 2019","FQ1 2019","Currency=USD","Period=FQ","BEST_FPERIOD_OVERRIDE=FQ","FILING_STATUS=MR","FA_ADJUSTED=GAAP","Sort=A","Dates=H","DateFormat=P","Fill=—","Direction=H","UseDPDF=Y")</f>
        <v>-114.4911</v>
      </c>
      <c r="E60" s="14">
        <f>_xll.BDH("SRPT US Equity","EBITDA_MARGIN","FQ2 2019","FQ2 2019","Currency=USD","Period=FQ","BEST_FPERIOD_OVERRIDE=FQ","FILING_STATUS=MR","FA_ADJUSTED=GAAP","Sort=A","Dates=H","DateFormat=P","Fill=—","Direction=H","UseDPDF=Y")</f>
        <v>-155.23249999999999</v>
      </c>
      <c r="F60" s="14">
        <f>_xll.BDH("SRPT US Equity","EBITDA_MARGIN","FQ3 2019","FQ3 2019","Currency=USD","Period=FQ","BEST_FPERIOD_OVERRIDE=FQ","FILING_STATUS=MR","FA_ADJUSTED=GAAP","Sort=A","Dates=H","DateFormat=P","Fill=—","Direction=H","UseDPDF=Y")</f>
        <v>-159.14689999999999</v>
      </c>
      <c r="G60" s="14">
        <f>_xll.BDH("SRPT US Equity","EBITDA_MARGIN","FQ4 2019","FQ4 2019","Currency=USD","Period=FQ","BEST_FPERIOD_OVERRIDE=FQ","FILING_STATUS=MR","FA_ADJUSTED=GAAP","Sort=A","Dates=H","DateFormat=P","Fill=—","Direction=H","UseDPDF=Y")</f>
        <v>-174.5335</v>
      </c>
      <c r="H60" s="14">
        <f>_xll.BDH("SRPT US Equity","EBITDA_MARGIN","FQ1 2020","FQ1 2020","Currency=USD","Period=FQ","BEST_FPERIOD_OVERRIDE=FQ","FILING_STATUS=MR","FA_ADJUSTED=GAAP","Sort=A","Dates=H","DateFormat=P","Fill=—","Direction=H","UseDPDF=Y")</f>
        <v>-173.73500000000001</v>
      </c>
      <c r="I60" s="14">
        <f>_xll.BDH("SRPT US Equity","EBITDA_MARGIN","FQ2 2020","FQ2 2020","Currency=USD","Period=FQ","BEST_FPERIOD_OVERRIDE=FQ","FILING_STATUS=MR","FA_ADJUSTED=GAAP","Sort=A","Dates=H","DateFormat=P","Fill=—","Direction=H","UseDPDF=Y")</f>
        <v>-127.2122</v>
      </c>
      <c r="J60" s="14">
        <f>_xll.BDH("SRPT US Equity","EBITDA_MARGIN","FQ3 2020","FQ3 2020","Currency=USD","Period=FQ","BEST_FPERIOD_OVERRIDE=FQ","FILING_STATUS=MR","FA_ADJUSTED=GAAP","Sort=A","Dates=H","DateFormat=P","Fill=—","Direction=H","UseDPDF=Y")</f>
        <v>-118.8186</v>
      </c>
      <c r="K60" s="14">
        <f>_xll.BDH("SRPT US Equity","EBITDA_MARGIN","FQ4 2020","FQ4 2020","Currency=USD","Period=FQ","BEST_FPERIOD_OVERRIDE=FQ","FILING_STATUS=MR","FA_ADJUSTED=GAAP","Sort=A","Dates=H","DateFormat=P","Fill=—","Direction=H","UseDPDF=Y")</f>
        <v>-95.959100000000007</v>
      </c>
      <c r="L60" s="14">
        <f>_xll.BDH("SRPT US Equity","EBITDA_MARGIN","FQ1 2021","FQ1 2021","Currency=USD","Period=FQ","BEST_FPERIOD_OVERRIDE=FQ","FILING_STATUS=MR","FA_ADJUSTED=GAAP","Sort=A","Dates=H","DateFormat=P","Fill=—","Direction=H","UseDPDF=Y")</f>
        <v>-96.015699999999995</v>
      </c>
      <c r="M60" s="14">
        <f>_xll.BDH("SRPT US Equity","EBITDA_MARGIN","FQ2 2021","FQ2 2021","Currency=USD","Period=FQ","BEST_FPERIOD_OVERRIDE=FQ","FILING_STATUS=MR","FA_ADJUSTED=GAAP","Sort=A","Dates=H","DateFormat=P","Fill=—","Direction=H","UseDPDF=Y")</f>
        <v>-96.613600000000005</v>
      </c>
      <c r="N60" s="14">
        <f>_xll.BDH("SRPT US Equity","EBITDA_MARGIN","FQ3 2021","FQ3 2021","Currency=USD","Period=FQ","BEST_FPERIOD_OVERRIDE=FQ","FILING_STATUS=MR","FA_ADJUSTED=GAAP","Sort=A","Dates=H","DateFormat=P","Fill=—","Direction=H","UseDPDF=Y")</f>
        <v>-73.652699999999996</v>
      </c>
      <c r="O60" s="14">
        <f>_xll.BDH("SRPT US Equity","EBITDA_MARGIN","FQ4 2021","FQ4 2021","Currency=USD","Period=FQ","BEST_FPERIOD_OVERRIDE=FQ","FILING_STATUS=MR","FA_ADJUSTED=GAAP","Sort=A","Dates=H","DateFormat=P","Fill=—","Direction=H","UseDPDF=Y")</f>
        <v>-60.079900000000002</v>
      </c>
      <c r="P60" s="14">
        <f>_xll.BDH("SRPT US Equity","EBITDA_MARGIN","FQ1 2022","FQ1 2022","Currency=USD","Period=FQ","BEST_FPERIOD_OVERRIDE=FQ","FILING_STATUS=MR","FA_ADJUSTED=GAAP","Sort=A","Dates=H","DateFormat=P","Fill=—","Direction=H","UseDPDF=Y")</f>
        <v>-46.347200000000001</v>
      </c>
      <c r="Q60" s="14">
        <f>_xll.BDH("SRPT US Equity","EBITDA_MARGIN","FQ2 2022","FQ2 2022","Currency=USD","Period=FQ","BEST_FPERIOD_OVERRIDE=FQ","FILING_STATUS=MR","FA_ADJUSTED=GAAP","Sort=A","Dates=H","DateFormat=P","Fill=—","Direction=H","UseDPDF=Y")</f>
        <v>-47.538699999999999</v>
      </c>
      <c r="R60" s="14">
        <f>_xll.BDH("SRPT US Equity","EBITDA_MARGIN","FQ3 2022","FQ3 2022","Currency=USD","Period=FQ","BEST_FPERIOD_OVERRIDE=FQ","FILING_STATUS=MR","FA_ADJUSTED=GAAP","Sort=A","Dates=H","DateFormat=P","Fill=—","Direction=H","UseDPDF=Y")</f>
        <v>-56.3583</v>
      </c>
      <c r="S60" s="14">
        <f>_xll.BDH("SRPT US Equity","EBITDA_MARGIN","FQ4 2022","FQ4 2022","Currency=USD","Period=FQ","BEST_FPERIOD_OVERRIDE=FQ","FILING_STATUS=MR","FA_ADJUSTED=GAAP","Sort=A","Dates=H","DateFormat=P","Fill=—","Direction=H","UseDPDF=Y")</f>
        <v>-52.982900000000001</v>
      </c>
      <c r="T60" s="14">
        <f>_xll.BDH("SRPT US Equity","EBITDA_MARGIN","FQ1 2023","FQ1 2023","Currency=USD","Period=FQ","BEST_FPERIOD_OVERRIDE=FQ","FILING_STATUS=MR","FA_ADJUSTED=GAAP","Sort=A","Dates=H","DateFormat=P","Fill=—","Direction=H","UseDPDF=Y")</f>
        <v>-55.853999999999999</v>
      </c>
      <c r="U60" s="14">
        <f>_xll.BDH("SRPT US Equity","EBITDA_MARGIN","FQ2 2023","FQ2 2023","Currency=USD","Period=FQ","BEST_FPERIOD_OVERRIDE=FQ","FILING_STATUS=MR","FA_ADJUSTED=GAAP","Sort=A","Dates=H","DateFormat=P","Fill=—","Direction=H","UseDPDF=Y")</f>
        <v>-46.4846</v>
      </c>
      <c r="V60" s="14">
        <f>_xll.BDH("SRPT US Equity","EBITDA_MARGIN","FQ3 2023","FQ3 2023","Currency=USD","Period=FQ","BEST_FPERIOD_OVERRIDE=FQ","FILING_STATUS=MR","FA_ADJUSTED=GAAP","Sort=A","Dates=H","DateFormat=P","Fill=—","Direction=H","UseDPDF=Y")</f>
        <v>-32.190899999999999</v>
      </c>
      <c r="W60" s="14">
        <f>_xll.BDH("SRPT US Equity","EBITDA_MARGIN","FQ4 2023","FQ4 2023","Currency=USD","Period=FQ","BEST_FPERIOD_OVERRIDE=FQ","FILING_STATUS=MR","FA_ADJUSTED=GAAP","Sort=A","Dates=H","DateFormat=P","Fill=—","Direction=H","UseDPDF=Y")</f>
        <v>-17.97</v>
      </c>
      <c r="X60" s="14">
        <f>_xll.BDH("SRPT US Equity","EBITDA_MARGIN","FQ1 2024","FQ1 2024","Currency=USD","Period=FQ","BEST_FPERIOD_OVERRIDE=FQ","FILING_STATUS=MR","FA_ADJUSTED=GAAP","Sort=A","Dates=H","DateFormat=P","Fill=—","Direction=H","UseDPDF=Y")</f>
        <v>-3.7765</v>
      </c>
      <c r="Y60" s="14">
        <f>_xll.BDH("SRPT US Equity","EBITDA_MARGIN","FQ2 2024","FQ2 2024","Currency=USD","Period=FQ","BEST_FPERIOD_OVERRIDE=FQ","FILING_STATUS=MR","FA_ADJUSTED=GAAP","Sort=A","Dates=H","DateFormat=P","Fill=—","Direction=H","UseDPDF=Y")</f>
        <v>5.1661000000000001</v>
      </c>
      <c r="Z60" s="14">
        <f>_xll.BDH("SRPT US Equity","EBITDA_MARGIN","FQ3 2024","FQ3 2024","Currency=USD","Period=FQ","BEST_FPERIOD_OVERRIDE=FQ","FILING_STATUS=MR","FA_ADJUSTED=GAAP","Sort=A","Dates=H","DateFormat=P","Fill=—","Direction=H","UseDPDF=Y")</f>
        <v>7.2952000000000004</v>
      </c>
      <c r="AA60" s="14">
        <f>_xll.BDH("SRPT US Equity","EBITDA_MARGIN","FQ4 2024","FQ4 2024","Currency=USD","Period=FQ","BEST_FPERIOD_OVERRIDE=FQ","FILING_STATUS=MR","FA_ADJUSTED=GAAP","Sort=A","Dates=H","DateFormat=P","Fill=—","Direction=H","UseDPDF=Y")</f>
        <v>13.449400000000001</v>
      </c>
    </row>
    <row r="61" spans="1:27" x14ac:dyDescent="0.25">
      <c r="A61" s="10" t="s">
        <v>88</v>
      </c>
      <c r="B61" s="10" t="s">
        <v>89</v>
      </c>
      <c r="C61" s="13">
        <f>_xll.BDH("SRPT US Equity","CF_FREE_CASH_FLOW","FQ4 2018","FQ4 2018","Currency=USD","Period=FQ","BEST_FPERIOD_OVERRIDE=FQ","FILING_STATUS=MR","SCALING_FORMAT=MLN","Sort=A","Dates=H","DateFormat=P","Fill=—","Direction=H","UseDPDF=Y")</f>
        <v>-142.62299999999999</v>
      </c>
      <c r="D61" s="13">
        <f>_xll.BDH("SRPT US Equity","CF_FREE_CASH_FLOW","FQ1 2019","FQ1 2019","Currency=USD","Period=FQ","BEST_FPERIOD_OVERRIDE=FQ","FILING_STATUS=MR","SCALING_FORMAT=MLN","Sort=A","Dates=H","DateFormat=P","Fill=—","Direction=H","UseDPDF=Y")</f>
        <v>-162.49600000000001</v>
      </c>
      <c r="E61" s="13">
        <f>_xll.BDH("SRPT US Equity","CF_FREE_CASH_FLOW","FQ2 2019","FQ2 2019","Currency=USD","Period=FQ","BEST_FPERIOD_OVERRIDE=FQ","FILING_STATUS=MR","SCALING_FORMAT=MLN","Sort=A","Dates=H","DateFormat=P","Fill=—","Direction=H","UseDPDF=Y")</f>
        <v>-95.686000000000007</v>
      </c>
      <c r="F61" s="13">
        <f>_xll.BDH("SRPT US Equity","CF_FREE_CASH_FLOW","FQ3 2019","FQ3 2019","Currency=USD","Period=FQ","BEST_FPERIOD_OVERRIDE=FQ","FILING_STATUS=MR","SCALING_FORMAT=MLN","Sort=A","Dates=H","DateFormat=P","Fill=—","Direction=H","UseDPDF=Y")</f>
        <v>-76.86</v>
      </c>
      <c r="G61" s="13">
        <f>_xll.BDH("SRPT US Equity","CF_FREE_CASH_FLOW","FQ4 2019","FQ4 2019","Currency=USD","Period=FQ","BEST_FPERIOD_OVERRIDE=FQ","FILING_STATUS=MR","SCALING_FORMAT=MLN","Sort=A","Dates=H","DateFormat=P","Fill=—","Direction=H","UseDPDF=Y")</f>
        <v>-181.05199999999999</v>
      </c>
      <c r="H61" s="13">
        <f>_xll.BDH("SRPT US Equity","CF_FREE_CASH_FLOW","FQ1 2020","FQ1 2020","Currency=USD","Period=FQ","BEST_FPERIOD_OVERRIDE=FQ","FILING_STATUS=MR","SCALING_FORMAT=MLN","Sort=A","Dates=H","DateFormat=P","Fill=—","Direction=H","UseDPDF=Y")</f>
        <v>618.66999999999996</v>
      </c>
      <c r="I61" s="13">
        <f>_xll.BDH("SRPT US Equity","CF_FREE_CASH_FLOW","FQ2 2020","FQ2 2020","Currency=USD","Period=FQ","BEST_FPERIOD_OVERRIDE=FQ","FILING_STATUS=MR","SCALING_FORMAT=MLN","Sort=A","Dates=H","DateFormat=P","Fill=—","Direction=H","UseDPDF=Y")</f>
        <v>-126.77200000000001</v>
      </c>
      <c r="J61" s="13">
        <f>_xll.BDH("SRPT US Equity","CF_FREE_CASH_FLOW","FQ3 2020","FQ3 2020","Currency=USD","Period=FQ","BEST_FPERIOD_OVERRIDE=FQ","FILING_STATUS=MR","SCALING_FORMAT=MLN","Sort=A","Dates=H","DateFormat=P","Fill=—","Direction=H","UseDPDF=Y")</f>
        <v>-263.48899999999998</v>
      </c>
      <c r="K61" s="13">
        <f>_xll.BDH("SRPT US Equity","CF_FREE_CASH_FLOW","FQ4 2020","FQ4 2020","Currency=USD","Period=FQ","BEST_FPERIOD_OVERRIDE=FQ","FILING_STATUS=MR","SCALING_FORMAT=MLN","Sort=A","Dates=H","DateFormat=P","Fill=—","Direction=H","UseDPDF=Y")</f>
        <v>-200.54900000000001</v>
      </c>
      <c r="L61" s="13">
        <f>_xll.BDH("SRPT US Equity","CF_FREE_CASH_FLOW","FQ1 2021","FQ1 2021","Currency=USD","Period=FQ","BEST_FPERIOD_OVERRIDE=FQ","FILING_STATUS=MR","SCALING_FORMAT=MLN","Sort=A","Dates=H","DateFormat=P","Fill=—","Direction=H","UseDPDF=Y")</f>
        <v>-201.52</v>
      </c>
      <c r="M61" s="13">
        <f>_xll.BDH("SRPT US Equity","CF_FREE_CASH_FLOW","FQ2 2021","FQ2 2021","Currency=USD","Period=FQ","BEST_FPERIOD_OVERRIDE=FQ","FILING_STATUS=MR","SCALING_FORMAT=MLN","Sort=A","Dates=H","DateFormat=P","Fill=—","Direction=H","UseDPDF=Y")</f>
        <v>-115.04</v>
      </c>
      <c r="N61" s="13">
        <f>_xll.BDH("SRPT US Equity","CF_FREE_CASH_FLOW","FQ3 2021","FQ3 2021","Currency=USD","Period=FQ","BEST_FPERIOD_OVERRIDE=FQ","FILING_STATUS=MR","SCALING_FORMAT=MLN","Sort=A","Dates=H","DateFormat=P","Fill=—","Direction=H","UseDPDF=Y")</f>
        <v>-133.57</v>
      </c>
      <c r="O61" s="13">
        <f>_xll.BDH("SRPT US Equity","CF_FREE_CASH_FLOW","FQ4 2021","FQ4 2021","Currency=USD","Period=FQ","BEST_FPERIOD_OVERRIDE=FQ","FILING_STATUS=MR","SCALING_FORMAT=MLN","Sort=A","Dates=H","DateFormat=P","Fill=—","Direction=H","UseDPDF=Y")</f>
        <v>-31.532</v>
      </c>
      <c r="P61" s="13">
        <f>_xll.BDH("SRPT US Equity","CF_FREE_CASH_FLOW","FQ1 2022","FQ1 2022","Currency=USD","Period=FQ","BEST_FPERIOD_OVERRIDE=FQ","FILING_STATUS=MR","SCALING_FORMAT=MLN","Sort=A","Dates=H","DateFormat=P","Fill=—","Direction=H","UseDPDF=Y")</f>
        <v>-106.726</v>
      </c>
      <c r="Q61" s="13">
        <f>_xll.BDH("SRPT US Equity","CF_FREE_CASH_FLOW","FQ2 2022","FQ2 2022","Currency=USD","Period=FQ","BEST_FPERIOD_OVERRIDE=FQ","FILING_STATUS=MR","SCALING_FORMAT=MLN","Sort=A","Dates=H","DateFormat=P","Fill=—","Direction=H","UseDPDF=Y")</f>
        <v>-75.893000000000001</v>
      </c>
      <c r="R61" s="13">
        <f>_xll.BDH("SRPT US Equity","CF_FREE_CASH_FLOW","FQ3 2022","FQ3 2022","Currency=USD","Period=FQ","BEST_FPERIOD_OVERRIDE=FQ","FILING_STATUS=MR","SCALING_FORMAT=MLN","Sort=A","Dates=H","DateFormat=P","Fill=—","Direction=H","UseDPDF=Y")</f>
        <v>-73.194999999999993</v>
      </c>
      <c r="S61" s="13">
        <f>_xll.BDH("SRPT US Equity","CF_FREE_CASH_FLOW","FQ4 2022","FQ4 2022","Currency=USD","Period=FQ","BEST_FPERIOD_OVERRIDE=FQ","FILING_STATUS=MR","SCALING_FORMAT=MLN","Sort=A","Dates=H","DateFormat=P","Fill=—","Direction=H","UseDPDF=Y")</f>
        <v>-99.131</v>
      </c>
      <c r="T61" s="13">
        <f>_xll.BDH("SRPT US Equity","CF_FREE_CASH_FLOW","FQ1 2023","FQ1 2023","Currency=USD","Period=FQ","BEST_FPERIOD_OVERRIDE=FQ","FILING_STATUS=MR","SCALING_FORMAT=MLN","Sort=A","Dates=H","DateFormat=P","Fill=—","Direction=H","UseDPDF=Y")</f>
        <v>-218.881</v>
      </c>
      <c r="U61" s="13">
        <f>_xll.BDH("SRPT US Equity","CF_FREE_CASH_FLOW","FQ2 2023","FQ2 2023","Currency=USD","Period=FQ","BEST_FPERIOD_OVERRIDE=FQ","FILING_STATUS=MR","SCALING_FORMAT=MLN","Sort=A","Dates=H","DateFormat=P","Fill=—","Direction=H","UseDPDF=Y")</f>
        <v>-140.143</v>
      </c>
      <c r="V61" s="13">
        <f>_xll.BDH("SRPT US Equity","CF_FREE_CASH_FLOW","FQ3 2023","FQ3 2023","Currency=USD","Period=FQ","BEST_FPERIOD_OVERRIDE=FQ","FILING_STATUS=MR","SCALING_FORMAT=MLN","Sort=A","Dates=H","DateFormat=P","Fill=—","Direction=H","UseDPDF=Y")</f>
        <v>-144.37899999999999</v>
      </c>
      <c r="W61" s="13">
        <f>_xll.BDH("SRPT US Equity","CF_FREE_CASH_FLOW","FQ4 2023","FQ4 2023","Currency=USD","Period=FQ","BEST_FPERIOD_OVERRIDE=FQ","FILING_STATUS=MR","SCALING_FORMAT=MLN","Sort=A","Dates=H","DateFormat=P","Fill=—","Direction=H","UseDPDF=Y")</f>
        <v>-73.695999999999998</v>
      </c>
      <c r="X61" s="13">
        <f>_xll.BDH("SRPT US Equity","CF_FREE_CASH_FLOW","FQ1 2024","FQ1 2024","Currency=USD","Period=FQ","BEST_FPERIOD_OVERRIDE=FQ","FILING_STATUS=MR","SCALING_FORMAT=MLN","Sort=A","Dates=H","DateFormat=P","Fill=—","Direction=H","UseDPDF=Y")</f>
        <v>-274.52</v>
      </c>
      <c r="Y61" s="13">
        <f>_xll.BDH("SRPT US Equity","CF_FREE_CASH_FLOW","FQ2 2024","FQ2 2024","Currency=USD","Period=FQ","BEST_FPERIOD_OVERRIDE=FQ","FILING_STATUS=MR","SCALING_FORMAT=MLN","Sort=A","Dates=H","DateFormat=P","Fill=—","Direction=H","UseDPDF=Y")</f>
        <v>-14.225</v>
      </c>
      <c r="Z61" s="13">
        <f>_xll.BDH("SRPT US Equity","CF_FREE_CASH_FLOW","FQ3 2024","FQ3 2024","Currency=USD","Period=FQ","BEST_FPERIOD_OVERRIDE=FQ","FILING_STATUS=MR","SCALING_FORMAT=MLN","Sort=A","Dates=H","DateFormat=P","Fill=—","Direction=H","UseDPDF=Y")</f>
        <v>-107.962</v>
      </c>
      <c r="AA61" s="13">
        <f>_xll.BDH("SRPT US Equity","CF_FREE_CASH_FLOW","FQ4 2024","FQ4 2024","Currency=USD","Period=FQ","BEST_FPERIOD_OVERRIDE=FQ","FILING_STATUS=MR","SCALING_FORMAT=MLN","Sort=A","Dates=H","DateFormat=P","Fill=—","Direction=H","UseDPDF=Y")</f>
        <v>53.963999999999999</v>
      </c>
    </row>
    <row r="62" spans="1:27" x14ac:dyDescent="0.25">
      <c r="A62" s="10" t="s">
        <v>1259</v>
      </c>
      <c r="B62" s="10" t="s">
        <v>1260</v>
      </c>
      <c r="C62" s="13" t="str">
        <f>_xll.BDH("SRPT US Equity","CF_FREE_CASH_FLOW_FIRM","FQ4 2018","FQ4 2018","Currency=USD","Period=FQ","BEST_FPERIOD_OVERRIDE=FQ","FILING_STATUS=MR","SCALING_FORMAT=MLN","FA_ADJUSTED=GAAP","Sort=A","Dates=H","DateFormat=P","Fill=—","Direction=H","UseDPDF=Y")</f>
        <v>—</v>
      </c>
      <c r="D62" s="13" t="str">
        <f>_xll.BDH("SRPT US Equity","CF_FREE_CASH_FLOW_FIRM","FQ1 2019","FQ1 2019","Currency=USD","Period=FQ","BEST_FPERIOD_OVERRIDE=FQ","FILING_STATUS=MR","SCALING_FORMAT=MLN","FA_ADJUSTED=GAAP","Sort=A","Dates=H","DateFormat=P","Fill=—","Direction=H","UseDPDF=Y")</f>
        <v>—</v>
      </c>
      <c r="E62" s="13" t="str">
        <f>_xll.BDH("SRPT US Equity","CF_FREE_CASH_FLOW_FIRM","FQ2 2019","FQ2 2019","Currency=USD","Period=FQ","BEST_FPERIOD_OVERRIDE=FQ","FILING_STATUS=MR","SCALING_FORMAT=MLN","FA_ADJUSTED=GAAP","Sort=A","Dates=H","DateFormat=P","Fill=—","Direction=H","UseDPDF=Y")</f>
        <v>—</v>
      </c>
      <c r="F62" s="13" t="str">
        <f>_xll.BDH("SRPT US Equity","CF_FREE_CASH_FLOW_FIRM","FQ3 2019","FQ3 2019","Currency=USD","Period=FQ","BEST_FPERIOD_OVERRIDE=FQ","FILING_STATUS=MR","SCALING_FORMAT=MLN","FA_ADJUSTED=GAAP","Sort=A","Dates=H","DateFormat=P","Fill=—","Direction=H","UseDPDF=Y")</f>
        <v>—</v>
      </c>
      <c r="G62" s="13" t="str">
        <f>_xll.BDH("SRPT US Equity","CF_FREE_CASH_FLOW_FIRM","FQ4 2019","FQ4 2019","Currency=USD","Period=FQ","BEST_FPERIOD_OVERRIDE=FQ","FILING_STATUS=MR","SCALING_FORMAT=MLN","FA_ADJUSTED=GAAP","Sort=A","Dates=H","DateFormat=P","Fill=—","Direction=H","UseDPDF=Y")</f>
        <v>—</v>
      </c>
      <c r="H62" s="13" t="str">
        <f>_xll.BDH("SRPT US Equity","CF_FREE_CASH_FLOW_FIRM","FQ1 2020","FQ1 2020","Currency=USD","Period=FQ","BEST_FPERIOD_OVERRIDE=FQ","FILING_STATUS=MR","SCALING_FORMAT=MLN","FA_ADJUSTED=GAAP","Sort=A","Dates=H","DateFormat=P","Fill=—","Direction=H","UseDPDF=Y")</f>
        <v>—</v>
      </c>
      <c r="I62" s="13" t="str">
        <f>_xll.BDH("SRPT US Equity","CF_FREE_CASH_FLOW_FIRM","FQ2 2020","FQ2 2020","Currency=USD","Period=FQ","BEST_FPERIOD_OVERRIDE=FQ","FILING_STATUS=MR","SCALING_FORMAT=MLN","FA_ADJUSTED=GAAP","Sort=A","Dates=H","DateFormat=P","Fill=—","Direction=H","UseDPDF=Y")</f>
        <v>—</v>
      </c>
      <c r="J62" s="13" t="str">
        <f>_xll.BDH("SRPT US Equity","CF_FREE_CASH_FLOW_FIRM","FQ3 2020","FQ3 2020","Currency=USD","Period=FQ","BEST_FPERIOD_OVERRIDE=FQ","FILING_STATUS=MR","SCALING_FORMAT=MLN","FA_ADJUSTED=GAAP","Sort=A","Dates=H","DateFormat=P","Fill=—","Direction=H","UseDPDF=Y")</f>
        <v>—</v>
      </c>
      <c r="K62" s="13" t="str">
        <f>_xll.BDH("SRPT US Equity","CF_FREE_CASH_FLOW_FIRM","FQ4 2020","FQ4 2020","Currency=USD","Period=FQ","BEST_FPERIOD_OVERRIDE=FQ","FILING_STATUS=MR","SCALING_FORMAT=MLN","FA_ADJUSTED=GAAP","Sort=A","Dates=H","DateFormat=P","Fill=—","Direction=H","UseDPDF=Y")</f>
        <v>—</v>
      </c>
      <c r="L62" s="13" t="str">
        <f>_xll.BDH("SRPT US Equity","CF_FREE_CASH_FLOW_FIRM","FQ1 2021","FQ1 2021","Currency=USD","Period=FQ","BEST_FPERIOD_OVERRIDE=FQ","FILING_STATUS=MR","SCALING_FORMAT=MLN","FA_ADJUSTED=GAAP","Sort=A","Dates=H","DateFormat=P","Fill=—","Direction=H","UseDPDF=Y")</f>
        <v>—</v>
      </c>
      <c r="M62" s="13" t="str">
        <f>_xll.BDH("SRPT US Equity","CF_FREE_CASH_FLOW_FIRM","FQ2 2021","FQ2 2021","Currency=USD","Period=FQ","BEST_FPERIOD_OVERRIDE=FQ","FILING_STATUS=MR","SCALING_FORMAT=MLN","FA_ADJUSTED=GAAP","Sort=A","Dates=H","DateFormat=P","Fill=—","Direction=H","UseDPDF=Y")</f>
        <v>—</v>
      </c>
      <c r="N62" s="13" t="str">
        <f>_xll.BDH("SRPT US Equity","CF_FREE_CASH_FLOW_FIRM","FQ3 2021","FQ3 2021","Currency=USD","Period=FQ","BEST_FPERIOD_OVERRIDE=FQ","FILING_STATUS=MR","SCALING_FORMAT=MLN","FA_ADJUSTED=GAAP","Sort=A","Dates=H","DateFormat=P","Fill=—","Direction=H","UseDPDF=Y")</f>
        <v>—</v>
      </c>
      <c r="O62" s="13" t="str">
        <f>_xll.BDH("SRPT US Equity","CF_FREE_CASH_FLOW_FIRM","FQ4 2021","FQ4 2021","Currency=USD","Period=FQ","BEST_FPERIOD_OVERRIDE=FQ","FILING_STATUS=MR","SCALING_FORMAT=MLN","FA_ADJUSTED=GAAP","Sort=A","Dates=H","DateFormat=P","Fill=—","Direction=H","UseDPDF=Y")</f>
        <v>—</v>
      </c>
      <c r="P62" s="13" t="str">
        <f>_xll.BDH("SRPT US Equity","CF_FREE_CASH_FLOW_FIRM","FQ1 2022","FQ1 2022","Currency=USD","Period=FQ","BEST_FPERIOD_OVERRIDE=FQ","FILING_STATUS=MR","SCALING_FORMAT=MLN","FA_ADJUSTED=GAAP","Sort=A","Dates=H","DateFormat=P","Fill=—","Direction=H","UseDPDF=Y")</f>
        <v>—</v>
      </c>
      <c r="Q62" s="13" t="str">
        <f>_xll.BDH("SRPT US Equity","CF_FREE_CASH_FLOW_FIRM","FQ2 2022","FQ2 2022","Currency=USD","Period=FQ","BEST_FPERIOD_OVERRIDE=FQ","FILING_STATUS=MR","SCALING_FORMAT=MLN","FA_ADJUSTED=GAAP","Sort=A","Dates=H","DateFormat=P","Fill=—","Direction=H","UseDPDF=Y")</f>
        <v>—</v>
      </c>
      <c r="R62" s="13" t="str">
        <f>_xll.BDH("SRPT US Equity","CF_FREE_CASH_FLOW_FIRM","FQ3 2022","FQ3 2022","Currency=USD","Period=FQ","BEST_FPERIOD_OVERRIDE=FQ","FILING_STATUS=MR","SCALING_FORMAT=MLN","FA_ADJUSTED=GAAP","Sort=A","Dates=H","DateFormat=P","Fill=—","Direction=H","UseDPDF=Y")</f>
        <v>—</v>
      </c>
      <c r="S62" s="13" t="str">
        <f>_xll.BDH("SRPT US Equity","CF_FREE_CASH_FLOW_FIRM","FQ4 2022","FQ4 2022","Currency=USD","Period=FQ","BEST_FPERIOD_OVERRIDE=FQ","FILING_STATUS=MR","SCALING_FORMAT=MLN","FA_ADJUSTED=GAAP","Sort=A","Dates=H","DateFormat=P","Fill=—","Direction=H","UseDPDF=Y")</f>
        <v>—</v>
      </c>
      <c r="T62" s="13" t="str">
        <f>_xll.BDH("SRPT US Equity","CF_FREE_CASH_FLOW_FIRM","FQ1 2023","FQ1 2023","Currency=USD","Period=FQ","BEST_FPERIOD_OVERRIDE=FQ","FILING_STATUS=MR","SCALING_FORMAT=MLN","FA_ADJUSTED=GAAP","Sort=A","Dates=H","DateFormat=P","Fill=—","Direction=H","UseDPDF=Y")</f>
        <v>—</v>
      </c>
      <c r="U62" s="13" t="str">
        <f>_xll.BDH("SRPT US Equity","CF_FREE_CASH_FLOW_FIRM","FQ2 2023","FQ2 2023","Currency=USD","Period=FQ","BEST_FPERIOD_OVERRIDE=FQ","FILING_STATUS=MR","SCALING_FORMAT=MLN","FA_ADJUSTED=GAAP","Sort=A","Dates=H","DateFormat=P","Fill=—","Direction=H","UseDPDF=Y")</f>
        <v>—</v>
      </c>
      <c r="V62" s="13" t="str">
        <f>_xll.BDH("SRPT US Equity","CF_FREE_CASH_FLOW_FIRM","FQ3 2023","FQ3 2023","Currency=USD","Period=FQ","BEST_FPERIOD_OVERRIDE=FQ","FILING_STATUS=MR","SCALING_FORMAT=MLN","FA_ADJUSTED=GAAP","Sort=A","Dates=H","DateFormat=P","Fill=—","Direction=H","UseDPDF=Y")</f>
        <v>—</v>
      </c>
      <c r="W62" s="13" t="str">
        <f>_xll.BDH("SRPT US Equity","CF_FREE_CASH_FLOW_FIRM","FQ4 2023","FQ4 2023","Currency=USD","Period=FQ","BEST_FPERIOD_OVERRIDE=FQ","FILING_STATUS=MR","SCALING_FORMAT=MLN","FA_ADJUSTED=GAAP","Sort=A","Dates=H","DateFormat=P","Fill=—","Direction=H","UseDPDF=Y")</f>
        <v>—</v>
      </c>
      <c r="X62" s="13">
        <f>_xll.BDH("SRPT US Equity","CF_FREE_CASH_FLOW_FIRM","FQ1 2024","FQ1 2024","Currency=USD","Period=FQ","BEST_FPERIOD_OVERRIDE=FQ","FILING_STATUS=MR","SCALING_FORMAT=MLN","FA_ADJUSTED=GAAP","Sort=A","Dates=H","DateFormat=P","Fill=—","Direction=H","UseDPDF=Y")</f>
        <v>-270.88959999999997</v>
      </c>
      <c r="Y62" s="13">
        <f>_xll.BDH("SRPT US Equity","CF_FREE_CASH_FLOW_FIRM","FQ2 2024","FQ2 2024","Currency=USD","Period=FQ","BEST_FPERIOD_OVERRIDE=FQ","FILING_STATUS=MR","SCALING_FORMAT=MLN","FA_ADJUSTED=GAAP","Sort=A","Dates=H","DateFormat=P","Fill=—","Direction=H","UseDPDF=Y")</f>
        <v>-11.9259</v>
      </c>
      <c r="Z62" s="13">
        <f>_xll.BDH("SRPT US Equity","CF_FREE_CASH_FLOW_FIRM","FQ3 2024","FQ3 2024","Currency=USD","Period=FQ","BEST_FPERIOD_OVERRIDE=FQ","FILING_STATUS=MR","SCALING_FORMAT=MLN","FA_ADJUSTED=GAAP","Sort=A","Dates=H","DateFormat=P","Fill=—","Direction=H","UseDPDF=Y")</f>
        <v>-103.1011</v>
      </c>
      <c r="AA62" s="13">
        <f>_xll.BDH("SRPT US Equity","CF_FREE_CASH_FLOW_FIRM","FQ4 2024","FQ4 2024","Currency=USD","Period=FQ","BEST_FPERIOD_OVERRIDE=FQ","FILING_STATUS=MR","SCALING_FORMAT=MLN","FA_ADJUSTED=GAAP","Sort=A","Dates=H","DateFormat=P","Fill=—","Direction=H","UseDPDF=Y")</f>
        <v>58.108199999999997</v>
      </c>
    </row>
    <row r="63" spans="1:27" x14ac:dyDescent="0.25">
      <c r="A63" s="10" t="s">
        <v>1261</v>
      </c>
      <c r="B63" s="10" t="s">
        <v>1262</v>
      </c>
      <c r="C63" s="13">
        <f>_xll.BDH("SRPT US Equity","FREE_CASH_FLOW_EQUITY","FQ4 2018","FQ4 2018","Currency=USD","Period=FQ","BEST_FPERIOD_OVERRIDE=FQ","FILING_STATUS=MR","SCALING_FORMAT=MLN","Sort=A","Dates=H","DateFormat=P","Fill=—","Direction=H","UseDPDF=Y")</f>
        <v>-111.79600000000001</v>
      </c>
      <c r="D63" s="13">
        <f>_xll.BDH("SRPT US Equity","FREE_CASH_FLOW_EQUITY","FQ1 2019","FQ1 2019","Currency=USD","Period=FQ","BEST_FPERIOD_OVERRIDE=FQ","FILING_STATUS=MR","SCALING_FORMAT=MLN","Sort=A","Dates=H","DateFormat=P","Fill=—","Direction=H","UseDPDF=Y")</f>
        <v>-162.49600000000001</v>
      </c>
      <c r="E63" s="13">
        <f>_xll.BDH("SRPT US Equity","FREE_CASH_FLOW_EQUITY","FQ2 2019","FQ2 2019","Currency=USD","Period=FQ","BEST_FPERIOD_OVERRIDE=FQ","FILING_STATUS=MR","SCALING_FORMAT=MLN","Sort=A","Dates=H","DateFormat=P","Fill=—","Direction=H","UseDPDF=Y")</f>
        <v>-95.686000000000007</v>
      </c>
      <c r="F63" s="13">
        <f>_xll.BDH("SRPT US Equity","FREE_CASH_FLOW_EQUITY","FQ3 2019","FQ3 2019","Currency=USD","Period=FQ","BEST_FPERIOD_OVERRIDE=FQ","FILING_STATUS=MR","SCALING_FORMAT=MLN","Sort=A","Dates=H","DateFormat=P","Fill=—","Direction=H","UseDPDF=Y")</f>
        <v>-76.86</v>
      </c>
      <c r="G63" s="13">
        <f>_xll.BDH("SRPT US Equity","FREE_CASH_FLOW_EQUITY","FQ4 2019","FQ4 2019","Currency=USD","Period=FQ","BEST_FPERIOD_OVERRIDE=FQ","FILING_STATUS=MR","SCALING_FORMAT=MLN","Sort=A","Dates=H","DateFormat=P","Fill=—","Direction=H","UseDPDF=Y")</f>
        <v>64.572999999999993</v>
      </c>
      <c r="H63" s="13">
        <f>_xll.BDH("SRPT US Equity","FREE_CASH_FLOW_EQUITY","FQ1 2020","FQ1 2020","Currency=USD","Period=FQ","BEST_FPERIOD_OVERRIDE=FQ","FILING_STATUS=MR","SCALING_FORMAT=MLN","Sort=A","Dates=H","DateFormat=P","Fill=—","Direction=H","UseDPDF=Y")</f>
        <v>618.66999999999996</v>
      </c>
      <c r="I63" s="13">
        <f>_xll.BDH("SRPT US Equity","FREE_CASH_FLOW_EQUITY","FQ2 2020","FQ2 2020","Currency=USD","Period=FQ","BEST_FPERIOD_OVERRIDE=FQ","FILING_STATUS=MR","SCALING_FORMAT=MLN","Sort=A","Dates=H","DateFormat=P","Fill=—","Direction=H","UseDPDF=Y")</f>
        <v>-126.77200000000001</v>
      </c>
      <c r="J63" s="13">
        <f>_xll.BDH("SRPT US Equity","FREE_CASH_FLOW_EQUITY","FQ3 2020","FQ3 2020","Currency=USD","Period=FQ","BEST_FPERIOD_OVERRIDE=FQ","FILING_STATUS=MR","SCALING_FORMAT=MLN","Sort=A","Dates=H","DateFormat=P","Fill=—","Direction=H","UseDPDF=Y")</f>
        <v>48.564</v>
      </c>
      <c r="K63" s="13">
        <f>_xll.BDH("SRPT US Equity","FREE_CASH_FLOW_EQUITY","FQ4 2020","FQ4 2020","Currency=USD","Period=FQ","BEST_FPERIOD_OVERRIDE=FQ","FILING_STATUS=MR","SCALING_FORMAT=MLN","Sort=A","Dates=H","DateFormat=P","Fill=—","Direction=H","UseDPDF=Y")</f>
        <v>-221.452</v>
      </c>
      <c r="L63" s="13">
        <f>_xll.BDH("SRPT US Equity","FREE_CASH_FLOW_EQUITY","FQ1 2021","FQ1 2021","Currency=USD","Period=FQ","BEST_FPERIOD_OVERRIDE=FQ","FILING_STATUS=MR","SCALING_FORMAT=MLN","Sort=A","Dates=H","DateFormat=P","Fill=—","Direction=H","UseDPDF=Y")</f>
        <v>-201.52</v>
      </c>
      <c r="M63" s="13">
        <f>_xll.BDH("SRPT US Equity","FREE_CASH_FLOW_EQUITY","FQ2 2021","FQ2 2021","Currency=USD","Period=FQ","BEST_FPERIOD_OVERRIDE=FQ","FILING_STATUS=MR","SCALING_FORMAT=MLN","Sort=A","Dates=H","DateFormat=P","Fill=—","Direction=H","UseDPDF=Y")</f>
        <v>-115.04</v>
      </c>
      <c r="N63" s="13">
        <f>_xll.BDH("SRPT US Equity","FREE_CASH_FLOW_EQUITY","FQ3 2021","FQ3 2021","Currency=USD","Period=FQ","BEST_FPERIOD_OVERRIDE=FQ","FILING_STATUS=MR","SCALING_FORMAT=MLN","Sort=A","Dates=H","DateFormat=P","Fill=—","Direction=H","UseDPDF=Y")</f>
        <v>-133.57</v>
      </c>
      <c r="O63" s="13">
        <f>_xll.BDH("SRPT US Equity","FREE_CASH_FLOW_EQUITY","FQ4 2021","FQ4 2021","Currency=USD","Period=FQ","BEST_FPERIOD_OVERRIDE=FQ","FILING_STATUS=MR","SCALING_FORMAT=MLN","Sort=A","Dates=H","DateFormat=P","Fill=—","Direction=H","UseDPDF=Y")</f>
        <v>-31.532</v>
      </c>
      <c r="P63" s="13">
        <f>_xll.BDH("SRPT US Equity","FREE_CASH_FLOW_EQUITY","FQ1 2022","FQ1 2022","Currency=USD","Period=FQ","BEST_FPERIOD_OVERRIDE=FQ","FILING_STATUS=MR","SCALING_FORMAT=MLN","Sort=A","Dates=H","DateFormat=P","Fill=—","Direction=H","UseDPDF=Y")</f>
        <v>-106.726</v>
      </c>
      <c r="Q63" s="13">
        <f>_xll.BDH("SRPT US Equity","FREE_CASH_FLOW_EQUITY","FQ2 2022","FQ2 2022","Currency=USD","Period=FQ","BEST_FPERIOD_OVERRIDE=FQ","FILING_STATUS=MR","SCALING_FORMAT=MLN","Sort=A","Dates=H","DateFormat=P","Fill=—","Direction=H","UseDPDF=Y")</f>
        <v>-75.893000000000001</v>
      </c>
      <c r="R63" s="13">
        <f>_xll.BDH("SRPT US Equity","FREE_CASH_FLOW_EQUITY","FQ3 2022","FQ3 2022","Currency=USD","Period=FQ","BEST_FPERIOD_OVERRIDE=FQ","FILING_STATUS=MR","SCALING_FORMAT=MLN","Sort=A","Dates=H","DateFormat=P","Fill=—","Direction=H","UseDPDF=Y")</f>
        <v>230.97300000000001</v>
      </c>
      <c r="S63" s="13">
        <f>_xll.BDH("SRPT US Equity","FREE_CASH_FLOW_EQUITY","FQ4 2022","FQ4 2022","Currency=USD","Period=FQ","BEST_FPERIOD_OVERRIDE=FQ","FILING_STATUS=MR","SCALING_FORMAT=MLN","Sort=A","Dates=H","DateFormat=P","Fill=—","Direction=H","UseDPDF=Y")</f>
        <v>-99.131</v>
      </c>
      <c r="T63" s="13">
        <f>_xll.BDH("SRPT US Equity","FREE_CASH_FLOW_EQUITY","FQ1 2023","FQ1 2023","Currency=USD","Period=FQ","BEST_FPERIOD_OVERRIDE=FQ","FILING_STATUS=MR","SCALING_FORMAT=MLN","Sort=A","Dates=H","DateFormat=P","Fill=—","Direction=H","UseDPDF=Y")</f>
        <v>-225.768</v>
      </c>
      <c r="U63" s="13">
        <f>_xll.BDH("SRPT US Equity","FREE_CASH_FLOW_EQUITY","FQ2 2023","FQ2 2023","Currency=USD","Period=FQ","BEST_FPERIOD_OVERRIDE=FQ","FILING_STATUS=MR","SCALING_FORMAT=MLN","Sort=A","Dates=H","DateFormat=P","Fill=—","Direction=H","UseDPDF=Y")</f>
        <v>-140.143</v>
      </c>
      <c r="V63" s="13">
        <f>_xll.BDH("SRPT US Equity","FREE_CASH_FLOW_EQUITY","FQ3 2023","FQ3 2023","Currency=USD","Period=FQ","BEST_FPERIOD_OVERRIDE=FQ","FILING_STATUS=MR","SCALING_FORMAT=MLN","Sort=A","Dates=H","DateFormat=P","Fill=—","Direction=H","UseDPDF=Y")</f>
        <v>-137.49199999999999</v>
      </c>
      <c r="W63" s="13">
        <f>_xll.BDH("SRPT US Equity","FREE_CASH_FLOW_EQUITY","FQ4 2023","FQ4 2023","Currency=USD","Period=FQ","BEST_FPERIOD_OVERRIDE=FQ","FILING_STATUS=MR","SCALING_FORMAT=MLN","Sort=A","Dates=H","DateFormat=P","Fill=—","Direction=H","UseDPDF=Y")</f>
        <v>-73.695999999999998</v>
      </c>
      <c r="X63" s="13">
        <f>_xll.BDH("SRPT US Equity","FREE_CASH_FLOW_EQUITY","FQ1 2024","FQ1 2024","Currency=USD","Period=FQ","BEST_FPERIOD_OVERRIDE=FQ","FILING_STATUS=MR","SCALING_FORMAT=MLN","Sort=A","Dates=H","DateFormat=P","Fill=—","Direction=H","UseDPDF=Y")</f>
        <v>-274.52</v>
      </c>
      <c r="Y63" s="13">
        <f>_xll.BDH("SRPT US Equity","FREE_CASH_FLOW_EQUITY","FQ2 2024","FQ2 2024","Currency=USD","Period=FQ","BEST_FPERIOD_OVERRIDE=FQ","FILING_STATUS=MR","SCALING_FORMAT=MLN","Sort=A","Dates=H","DateFormat=P","Fill=—","Direction=H","UseDPDF=Y")</f>
        <v>-14.225</v>
      </c>
      <c r="Z63" s="13">
        <f>_xll.BDH("SRPT US Equity","FREE_CASH_FLOW_EQUITY","FQ3 2024","FQ3 2024","Currency=USD","Period=FQ","BEST_FPERIOD_OVERRIDE=FQ","FILING_STATUS=MR","SCALING_FORMAT=MLN","Sort=A","Dates=H","DateFormat=P","Fill=—","Direction=H","UseDPDF=Y")</f>
        <v>-107.962</v>
      </c>
      <c r="AA63" s="13">
        <f>_xll.BDH("SRPT US Equity","FREE_CASH_FLOW_EQUITY","FQ4 2024","FQ4 2024","Currency=USD","Period=FQ","BEST_FPERIOD_OVERRIDE=FQ","FILING_STATUS=MR","SCALING_FORMAT=MLN","Sort=A","Dates=H","DateFormat=P","Fill=—","Direction=H","UseDPDF=Y")</f>
        <v>53.963999999999999</v>
      </c>
    </row>
    <row r="64" spans="1:27" x14ac:dyDescent="0.25">
      <c r="A64" s="10" t="s">
        <v>1263</v>
      </c>
      <c r="B64" s="10" t="s">
        <v>277</v>
      </c>
      <c r="C64" s="14">
        <f>_xll.BDH("SRPT US Equity","FREE_CASH_FLOW_PER_SH","FQ4 2018","FQ4 2018","Currency=USD","Period=FQ","BEST_FPERIOD_OVERRIDE=FQ","FILING_STATUS=MR","Sort=A","Dates=H","DateFormat=P","Fill=—","Direction=H","UseDPDF=Y")</f>
        <v>-2.0773999999999999</v>
      </c>
      <c r="D64" s="14">
        <f>_xll.BDH("SRPT US Equity","FREE_CASH_FLOW_PER_SH","FQ1 2019","FQ1 2019","Currency=USD","Period=FQ","BEST_FPERIOD_OVERRIDE=FQ","FILING_STATUS=MR","Sort=A","Dates=H","DateFormat=P","Fill=—","Direction=H","UseDPDF=Y")</f>
        <v>-2.2654000000000001</v>
      </c>
      <c r="E64" s="14">
        <f>_xll.BDH("SRPT US Equity","FREE_CASH_FLOW_PER_SH","FQ2 2019","FQ2 2019","Currency=USD","Period=FQ","BEST_FPERIOD_OVERRIDE=FQ","FILING_STATUS=MR","Sort=A","Dates=H","DateFormat=P","Fill=—","Direction=H","UseDPDF=Y")</f>
        <v>-1.2938000000000001</v>
      </c>
      <c r="F64" s="14">
        <f>_xll.BDH("SRPT US Equity","FREE_CASH_FLOW_PER_SH","FQ3 2019","FQ3 2019","Currency=USD","Period=FQ","BEST_FPERIOD_OVERRIDE=FQ","FILING_STATUS=MR","Sort=A","Dates=H","DateFormat=P","Fill=—","Direction=H","UseDPDF=Y")</f>
        <v>-1.0362</v>
      </c>
      <c r="G64" s="14">
        <f>_xll.BDH("SRPT US Equity","FREE_CASH_FLOW_PER_SH","FQ4 2019","FQ4 2019","Currency=USD","Period=FQ","BEST_FPERIOD_OVERRIDE=FQ","FILING_STATUS=MR","Sort=A","Dates=H","DateFormat=P","Fill=—","Direction=H","UseDPDF=Y")</f>
        <v>-2.4283999999999999</v>
      </c>
      <c r="H64" s="14">
        <f>_xll.BDH("SRPT US Equity","FREE_CASH_FLOW_PER_SH","FQ1 2020","FQ1 2020","Currency=USD","Period=FQ","BEST_FPERIOD_OVERRIDE=FQ","FILING_STATUS=MR","Sort=A","Dates=H","DateFormat=P","Fill=—","Direction=H","UseDPDF=Y")</f>
        <v>8.0944000000000003</v>
      </c>
      <c r="I64" s="14">
        <f>_xll.BDH("SRPT US Equity","FREE_CASH_FLOW_PER_SH","FQ2 2020","FQ2 2020","Currency=USD","Period=FQ","BEST_FPERIOD_OVERRIDE=FQ","FILING_STATUS=MR","Sort=A","Dates=H","DateFormat=P","Fill=—","Direction=H","UseDPDF=Y")</f>
        <v>-1.6258999999999999</v>
      </c>
      <c r="J64" s="14">
        <f>_xll.BDH("SRPT US Equity","FREE_CASH_FLOW_PER_SH","FQ3 2020","FQ3 2020","Currency=USD","Period=FQ","BEST_FPERIOD_OVERRIDE=FQ","FILING_STATUS=MR","Sort=A","Dates=H","DateFormat=P","Fill=—","Direction=H","UseDPDF=Y")</f>
        <v>-3.3565</v>
      </c>
      <c r="K64" s="14">
        <f>_xll.BDH("SRPT US Equity","FREE_CASH_FLOW_PER_SH","FQ4 2020","FQ4 2020","Currency=USD","Period=FQ","BEST_FPERIOD_OVERRIDE=FQ","FILING_STATUS=MR","Sort=A","Dates=H","DateFormat=P","Fill=—","Direction=H","UseDPDF=Y")</f>
        <v>-2.5417000000000001</v>
      </c>
      <c r="L64" s="14">
        <f>_xll.BDH("SRPT US Equity","FREE_CASH_FLOW_PER_SH","FQ1 2021","FQ1 2021","Currency=USD","Period=FQ","BEST_FPERIOD_OVERRIDE=FQ","FILING_STATUS=MR","Sort=A","Dates=H","DateFormat=P","Fill=—","Direction=H","UseDPDF=Y")</f>
        <v>-2.5363000000000002</v>
      </c>
      <c r="M64" s="14">
        <f>_xll.BDH("SRPT US Equity","FREE_CASH_FLOW_PER_SH","FQ2 2021","FQ2 2021","Currency=USD","Period=FQ","BEST_FPERIOD_OVERRIDE=FQ","FILING_STATUS=MR","Sort=A","Dates=H","DateFormat=P","Fill=—","Direction=H","UseDPDF=Y")</f>
        <v>-1.4426000000000001</v>
      </c>
      <c r="N64" s="14">
        <f>_xll.BDH("SRPT US Equity","FREE_CASH_FLOW_PER_SH","FQ3 2021","FQ3 2021","Currency=USD","Period=FQ","BEST_FPERIOD_OVERRIDE=FQ","FILING_STATUS=MR","Sort=A","Dates=H","DateFormat=P","Fill=—","Direction=H","UseDPDF=Y")</f>
        <v>-1.6720999999999999</v>
      </c>
      <c r="O64" s="14">
        <f>_xll.BDH("SRPT US Equity","FREE_CASH_FLOW_PER_SH","FQ4 2021","FQ4 2021","Currency=USD","Period=FQ","BEST_FPERIOD_OVERRIDE=FQ","FILING_STATUS=MR","Sort=A","Dates=H","DateFormat=P","Fill=—","Direction=H","UseDPDF=Y")</f>
        <v>-0.3669</v>
      </c>
      <c r="P64" s="14">
        <f>_xll.BDH("SRPT US Equity","FREE_CASH_FLOW_PER_SH","FQ1 2022","FQ1 2022","Currency=USD","Period=FQ","BEST_FPERIOD_OVERRIDE=FQ","FILING_STATUS=MR","Sort=A","Dates=H","DateFormat=P","Fill=—","Direction=H","UseDPDF=Y")</f>
        <v>-1.2232000000000001</v>
      </c>
      <c r="Q64" s="14">
        <f>_xll.BDH("SRPT US Equity","FREE_CASH_FLOW_PER_SH","FQ2 2022","FQ2 2022","Currency=USD","Period=FQ","BEST_FPERIOD_OVERRIDE=FQ","FILING_STATUS=MR","Sort=A","Dates=H","DateFormat=P","Fill=—","Direction=H","UseDPDF=Y")</f>
        <v>-0.86719999999999997</v>
      </c>
      <c r="R64" s="14">
        <f>_xll.BDH("SRPT US Equity","FREE_CASH_FLOW_PER_SH","FQ3 2022","FQ3 2022","Currency=USD","Period=FQ","BEST_FPERIOD_OVERRIDE=FQ","FILING_STATUS=MR","Sort=A","Dates=H","DateFormat=P","Fill=—","Direction=H","UseDPDF=Y")</f>
        <v>-0.83530000000000004</v>
      </c>
      <c r="S64" s="14">
        <f>_xll.BDH("SRPT US Equity","FREE_CASH_FLOW_PER_SH","FQ4 2022","FQ4 2022","Currency=USD","Period=FQ","BEST_FPERIOD_OVERRIDE=FQ","FILING_STATUS=MR","Sort=A","Dates=H","DateFormat=P","Fill=—","Direction=H","UseDPDF=Y")</f>
        <v>-1.1286</v>
      </c>
      <c r="T64" s="14">
        <f>_xll.BDH("SRPT US Equity","FREE_CASH_FLOW_PER_SH","FQ1 2023","FQ1 2023","Currency=USD","Period=FQ","BEST_FPERIOD_OVERRIDE=FQ","FILING_STATUS=MR","Sort=A","Dates=H","DateFormat=P","Fill=—","Direction=H","UseDPDF=Y")</f>
        <v>-2.4820000000000002</v>
      </c>
      <c r="U64" s="14">
        <f>_xll.BDH("SRPT US Equity","FREE_CASH_FLOW_PER_SH","FQ2 2023","FQ2 2023","Currency=USD","Period=FQ","BEST_FPERIOD_OVERRIDE=FQ","FILING_STATUS=MR","Sort=A","Dates=H","DateFormat=P","Fill=—","Direction=H","UseDPDF=Y")</f>
        <v>-1.5791999999999999</v>
      </c>
      <c r="V64" s="14">
        <f>_xll.BDH("SRPT US Equity","FREE_CASH_FLOW_PER_SH","FQ3 2023","FQ3 2023","Currency=USD","Period=FQ","BEST_FPERIOD_OVERRIDE=FQ","FILING_STATUS=MR","Sort=A","Dates=H","DateFormat=P","Fill=—","Direction=H","UseDPDF=Y")</f>
        <v>-1.6243000000000001</v>
      </c>
      <c r="W64" s="14">
        <f>_xll.BDH("SRPT US Equity","FREE_CASH_FLOW_PER_SH","FQ4 2023","FQ4 2023","Currency=USD","Period=FQ","BEST_FPERIOD_OVERRIDE=FQ","FILING_STATUS=MR","Sort=A","Dates=H","DateFormat=P","Fill=—","Direction=H","UseDPDF=Y")</f>
        <v>-0.78720000000000001</v>
      </c>
      <c r="X64" s="14">
        <f>_xll.BDH("SRPT US Equity","FREE_CASH_FLOW_PER_SH","FQ1 2024","FQ1 2024","Currency=USD","Period=FQ","BEST_FPERIOD_OVERRIDE=FQ","FILING_STATUS=MR","Sort=A","Dates=H","DateFormat=P","Fill=—","Direction=H","UseDPDF=Y")</f>
        <v>-2.9207000000000001</v>
      </c>
      <c r="Y64" s="14">
        <f>_xll.BDH("SRPT US Equity","FREE_CASH_FLOW_PER_SH","FQ2 2024","FQ2 2024","Currency=USD","Period=FQ","BEST_FPERIOD_OVERRIDE=FQ","FILING_STATUS=MR","Sort=A","Dates=H","DateFormat=P","Fill=—","Direction=H","UseDPDF=Y")</f>
        <v>-0.15029999999999999</v>
      </c>
      <c r="Z64" s="14">
        <f>_xll.BDH("SRPT US Equity","FREE_CASH_FLOW_PER_SH","FQ3 2024","FQ3 2024","Currency=USD","Period=FQ","BEST_FPERIOD_OVERRIDE=FQ","FILING_STATUS=MR","Sort=A","Dates=H","DateFormat=P","Fill=—","Direction=H","UseDPDF=Y")</f>
        <v>-1.1317999999999999</v>
      </c>
      <c r="AA64" s="14">
        <f>_xll.BDH("SRPT US Equity","FREE_CASH_FLOW_PER_SH","FQ4 2024","FQ4 2024","Currency=USD","Period=FQ","BEST_FPERIOD_OVERRIDE=FQ","FILING_STATUS=MR","Sort=A","Dates=H","DateFormat=P","Fill=—","Direction=H","UseDPDF=Y")</f>
        <v>0.5605</v>
      </c>
    </row>
    <row r="65" spans="1:27" x14ac:dyDescent="0.25">
      <c r="A65" s="10" t="s">
        <v>1264</v>
      </c>
      <c r="B65" s="10" t="s">
        <v>236</v>
      </c>
      <c r="C65" s="14" t="str">
        <f>_xll.BDH("SRPT US Equity","PX_TO_FREE_CASH_FLOW","FQ4 2018","FQ4 2018","Currency=USD","Period=FQ","BEST_FPERIOD_OVERRIDE=FQ","FILING_STATUS=MR","Sort=A","Dates=H","DateFormat=P","Fill=—","Direction=H","UseDPDF=Y")</f>
        <v>—</v>
      </c>
      <c r="D65" s="14" t="str">
        <f>_xll.BDH("SRPT US Equity","PX_TO_FREE_CASH_FLOW","FQ1 2019","FQ1 2019","Currency=USD","Period=FQ","BEST_FPERIOD_OVERRIDE=FQ","FILING_STATUS=MR","Sort=A","Dates=H","DateFormat=P","Fill=—","Direction=H","UseDPDF=Y")</f>
        <v>—</v>
      </c>
      <c r="E65" s="14" t="str">
        <f>_xll.BDH("SRPT US Equity","PX_TO_FREE_CASH_FLOW","FQ2 2019","FQ2 2019","Currency=USD","Period=FQ","BEST_FPERIOD_OVERRIDE=FQ","FILING_STATUS=MR","Sort=A","Dates=H","DateFormat=P","Fill=—","Direction=H","UseDPDF=Y")</f>
        <v>—</v>
      </c>
      <c r="F65" s="14" t="str">
        <f>_xll.BDH("SRPT US Equity","PX_TO_FREE_CASH_FLOW","FQ3 2019","FQ3 2019","Currency=USD","Period=FQ","BEST_FPERIOD_OVERRIDE=FQ","FILING_STATUS=MR","Sort=A","Dates=H","DateFormat=P","Fill=—","Direction=H","UseDPDF=Y")</f>
        <v>—</v>
      </c>
      <c r="G65" s="14" t="str">
        <f>_xll.BDH("SRPT US Equity","PX_TO_FREE_CASH_FLOW","FQ4 2019","FQ4 2019","Currency=USD","Period=FQ","BEST_FPERIOD_OVERRIDE=FQ","FILING_STATUS=MR","Sort=A","Dates=H","DateFormat=P","Fill=—","Direction=H","UseDPDF=Y")</f>
        <v>—</v>
      </c>
      <c r="H65" s="14">
        <f>_xll.BDH("SRPT US Equity","PX_TO_FREE_CASH_FLOW","FQ1 2020","FQ1 2020","Currency=USD","Period=FQ","BEST_FPERIOD_OVERRIDE=FQ","FILING_STATUS=MR","Sort=A","Dates=H","DateFormat=P","Fill=—","Direction=H","UseDPDF=Y")</f>
        <v>29.322099999999999</v>
      </c>
      <c r="I65" s="14">
        <f>_xll.BDH("SRPT US Equity","PX_TO_FREE_CASH_FLOW","FQ2 2020","FQ2 2020","Currency=USD","Period=FQ","BEST_FPERIOD_OVERRIDE=FQ","FILING_STATUS=MR","Sort=A","Dates=H","DateFormat=P","Fill=—","Direction=H","UseDPDF=Y")</f>
        <v>53.377400000000002</v>
      </c>
      <c r="J65" s="14">
        <f>_xll.BDH("SRPT US Equity","PX_TO_FREE_CASH_FLOW","FQ3 2020","FQ3 2020","Currency=USD","Period=FQ","BEST_FPERIOD_OVERRIDE=FQ","FILING_STATUS=MR","Sort=A","Dates=H","DateFormat=P","Fill=—","Direction=H","UseDPDF=Y")</f>
        <v>205.4391</v>
      </c>
      <c r="K65" s="14">
        <f>_xll.BDH("SRPT US Equity","PX_TO_FREE_CASH_FLOW","FQ4 2020","FQ4 2020","Currency=USD","Period=FQ","BEST_FPERIOD_OVERRIDE=FQ","FILING_STATUS=MR","Sort=A","Dates=H","DateFormat=P","Fill=—","Direction=H","UseDPDF=Y")</f>
        <v>298.95890000000003</v>
      </c>
      <c r="L65" s="14" t="str">
        <f>_xll.BDH("SRPT US Equity","PX_TO_FREE_CASH_FLOW","FQ1 2021","FQ1 2021","Currency=USD","Period=FQ","BEST_FPERIOD_OVERRIDE=FQ","FILING_STATUS=MR","Sort=A","Dates=H","DateFormat=P","Fill=—","Direction=H","UseDPDF=Y")</f>
        <v>—</v>
      </c>
      <c r="M65" s="14" t="str">
        <f>_xll.BDH("SRPT US Equity","PX_TO_FREE_CASH_FLOW","FQ2 2021","FQ2 2021","Currency=USD","Period=FQ","BEST_FPERIOD_OVERRIDE=FQ","FILING_STATUS=MR","Sort=A","Dates=H","DateFormat=P","Fill=—","Direction=H","UseDPDF=Y")</f>
        <v>—</v>
      </c>
      <c r="N65" s="14" t="str">
        <f>_xll.BDH("SRPT US Equity","PX_TO_FREE_CASH_FLOW","FQ3 2021","FQ3 2021","Currency=USD","Period=FQ","BEST_FPERIOD_OVERRIDE=FQ","FILING_STATUS=MR","Sort=A","Dates=H","DateFormat=P","Fill=—","Direction=H","UseDPDF=Y")</f>
        <v>—</v>
      </c>
      <c r="O65" s="14" t="str">
        <f>_xll.BDH("SRPT US Equity","PX_TO_FREE_CASH_FLOW","FQ4 2021","FQ4 2021","Currency=USD","Period=FQ","BEST_FPERIOD_OVERRIDE=FQ","FILING_STATUS=MR","Sort=A","Dates=H","DateFormat=P","Fill=—","Direction=H","UseDPDF=Y")</f>
        <v>—</v>
      </c>
      <c r="P65" s="14" t="str">
        <f>_xll.BDH("SRPT US Equity","PX_TO_FREE_CASH_FLOW","FQ1 2022","FQ1 2022","Currency=USD","Period=FQ","BEST_FPERIOD_OVERRIDE=FQ","FILING_STATUS=MR","Sort=A","Dates=H","DateFormat=P","Fill=—","Direction=H","UseDPDF=Y")</f>
        <v>—</v>
      </c>
      <c r="Q65" s="14" t="str">
        <f>_xll.BDH("SRPT US Equity","PX_TO_FREE_CASH_FLOW","FQ2 2022","FQ2 2022","Currency=USD","Period=FQ","BEST_FPERIOD_OVERRIDE=FQ","FILING_STATUS=MR","Sort=A","Dates=H","DateFormat=P","Fill=—","Direction=H","UseDPDF=Y")</f>
        <v>—</v>
      </c>
      <c r="R65" s="14" t="str">
        <f>_xll.BDH("SRPT US Equity","PX_TO_FREE_CASH_FLOW","FQ3 2022","FQ3 2022","Currency=USD","Period=FQ","BEST_FPERIOD_OVERRIDE=FQ","FILING_STATUS=MR","Sort=A","Dates=H","DateFormat=P","Fill=—","Direction=H","UseDPDF=Y")</f>
        <v>—</v>
      </c>
      <c r="S65" s="14" t="str">
        <f>_xll.BDH("SRPT US Equity","PX_TO_FREE_CASH_FLOW","FQ4 2022","FQ4 2022","Currency=USD","Period=FQ","BEST_FPERIOD_OVERRIDE=FQ","FILING_STATUS=MR","Sort=A","Dates=H","DateFormat=P","Fill=—","Direction=H","UseDPDF=Y")</f>
        <v>—</v>
      </c>
      <c r="T65" s="14" t="str">
        <f>_xll.BDH("SRPT US Equity","PX_TO_FREE_CASH_FLOW","FQ1 2023","FQ1 2023","Currency=USD","Period=FQ","BEST_FPERIOD_OVERRIDE=FQ","FILING_STATUS=MR","Sort=A","Dates=H","DateFormat=P","Fill=—","Direction=H","UseDPDF=Y")</f>
        <v>—</v>
      </c>
      <c r="U65" s="14" t="str">
        <f>_xll.BDH("SRPT US Equity","PX_TO_FREE_CASH_FLOW","FQ2 2023","FQ2 2023","Currency=USD","Period=FQ","BEST_FPERIOD_OVERRIDE=FQ","FILING_STATUS=MR","Sort=A","Dates=H","DateFormat=P","Fill=—","Direction=H","UseDPDF=Y")</f>
        <v>—</v>
      </c>
      <c r="V65" s="14" t="str">
        <f>_xll.BDH("SRPT US Equity","PX_TO_FREE_CASH_FLOW","FQ3 2023","FQ3 2023","Currency=USD","Period=FQ","BEST_FPERIOD_OVERRIDE=FQ","FILING_STATUS=MR","Sort=A","Dates=H","DateFormat=P","Fill=—","Direction=H","UseDPDF=Y")</f>
        <v>—</v>
      </c>
      <c r="W65" s="14" t="str">
        <f>_xll.BDH("SRPT US Equity","PX_TO_FREE_CASH_FLOW","FQ4 2023","FQ4 2023","Currency=USD","Period=FQ","BEST_FPERIOD_OVERRIDE=FQ","FILING_STATUS=MR","Sort=A","Dates=H","DateFormat=P","Fill=—","Direction=H","UseDPDF=Y")</f>
        <v>—</v>
      </c>
      <c r="X65" s="14" t="str">
        <f>_xll.BDH("SRPT US Equity","PX_TO_FREE_CASH_FLOW","FQ1 2024","FQ1 2024","Currency=USD","Period=FQ","BEST_FPERIOD_OVERRIDE=FQ","FILING_STATUS=MR","Sort=A","Dates=H","DateFormat=P","Fill=—","Direction=H","UseDPDF=Y")</f>
        <v>—</v>
      </c>
      <c r="Y65" s="14" t="str">
        <f>_xll.BDH("SRPT US Equity","PX_TO_FREE_CASH_FLOW","FQ2 2024","FQ2 2024","Currency=USD","Period=FQ","BEST_FPERIOD_OVERRIDE=FQ","FILING_STATUS=MR","Sort=A","Dates=H","DateFormat=P","Fill=—","Direction=H","UseDPDF=Y")</f>
        <v>—</v>
      </c>
      <c r="Z65" s="14" t="str">
        <f>_xll.BDH("SRPT US Equity","PX_TO_FREE_CASH_FLOW","FQ3 2024","FQ3 2024","Currency=USD","Period=FQ","BEST_FPERIOD_OVERRIDE=FQ","FILING_STATUS=MR","Sort=A","Dates=H","DateFormat=P","Fill=—","Direction=H","UseDPDF=Y")</f>
        <v>—</v>
      </c>
      <c r="AA65" s="14" t="str">
        <f>_xll.BDH("SRPT US Equity","PX_TO_FREE_CASH_FLOW","FQ4 2024","FQ4 2024","Currency=USD","Period=FQ","BEST_FPERIOD_OVERRIDE=FQ","FILING_STATUS=MR","Sort=A","Dates=H","DateFormat=P","Fill=—","Direction=H","UseDPDF=Y")</f>
        <v>—</v>
      </c>
    </row>
    <row r="66" spans="1:27" x14ac:dyDescent="0.25">
      <c r="A66" s="10" t="s">
        <v>1265</v>
      </c>
      <c r="B66" s="10" t="s">
        <v>1266</v>
      </c>
      <c r="C66" s="14" t="str">
        <f>_xll.BDH("SRPT US Equity","CASH_FLOW_TO_NET_INC","FQ4 2018","FQ4 2018","Currency=USD","Period=FQ","BEST_FPERIOD_OVERRIDE=FQ","FILING_STATUS=MR","FA_ADJUSTED=GAAP","Sort=A","Dates=H","DateFormat=P","Fill=—","Direction=H","UseDPDF=Y")</f>
        <v>—</v>
      </c>
      <c r="D66" s="14" t="str">
        <f>_xll.BDH("SRPT US Equity","CASH_FLOW_TO_NET_INC","FQ1 2019","FQ1 2019","Currency=USD","Period=FQ","BEST_FPERIOD_OVERRIDE=FQ","FILING_STATUS=MR","FA_ADJUSTED=GAAP","Sort=A","Dates=H","DateFormat=P","Fill=—","Direction=H","UseDPDF=Y")</f>
        <v>—</v>
      </c>
      <c r="E66" s="14" t="str">
        <f>_xll.BDH("SRPT US Equity","CASH_FLOW_TO_NET_INC","FQ2 2019","FQ2 2019","Currency=USD","Period=FQ","BEST_FPERIOD_OVERRIDE=FQ","FILING_STATUS=MR","FA_ADJUSTED=GAAP","Sort=A","Dates=H","DateFormat=P","Fill=—","Direction=H","UseDPDF=Y")</f>
        <v>—</v>
      </c>
      <c r="F66" s="14" t="str">
        <f>_xll.BDH("SRPT US Equity","CASH_FLOW_TO_NET_INC","FQ3 2019","FQ3 2019","Currency=USD","Period=FQ","BEST_FPERIOD_OVERRIDE=FQ","FILING_STATUS=MR","FA_ADJUSTED=GAAP","Sort=A","Dates=H","DateFormat=P","Fill=—","Direction=H","UseDPDF=Y")</f>
        <v>—</v>
      </c>
      <c r="G66" s="14" t="str">
        <f>_xll.BDH("SRPT US Equity","CASH_FLOW_TO_NET_INC","FQ4 2019","FQ4 2019","Currency=USD","Period=FQ","BEST_FPERIOD_OVERRIDE=FQ","FILING_STATUS=MR","FA_ADJUSTED=GAAP","Sort=A","Dates=H","DateFormat=P","Fill=—","Direction=H","UseDPDF=Y")</f>
        <v>—</v>
      </c>
      <c r="H66" s="14" t="str">
        <f>_xll.BDH("SRPT US Equity","CASH_FLOW_TO_NET_INC","FQ1 2020","FQ1 2020","Currency=USD","Period=FQ","BEST_FPERIOD_OVERRIDE=FQ","FILING_STATUS=MR","FA_ADJUSTED=GAAP","Sort=A","Dates=H","DateFormat=P","Fill=—","Direction=H","UseDPDF=Y")</f>
        <v>—</v>
      </c>
      <c r="I66" s="14" t="str">
        <f>_xll.BDH("SRPT US Equity","CASH_FLOW_TO_NET_INC","FQ2 2020","FQ2 2020","Currency=USD","Period=FQ","BEST_FPERIOD_OVERRIDE=FQ","FILING_STATUS=MR","FA_ADJUSTED=GAAP","Sort=A","Dates=H","DateFormat=P","Fill=—","Direction=H","UseDPDF=Y")</f>
        <v>—</v>
      </c>
      <c r="J66" s="14" t="str">
        <f>_xll.BDH("SRPT US Equity","CASH_FLOW_TO_NET_INC","FQ3 2020","FQ3 2020","Currency=USD","Period=FQ","BEST_FPERIOD_OVERRIDE=FQ","FILING_STATUS=MR","FA_ADJUSTED=GAAP","Sort=A","Dates=H","DateFormat=P","Fill=—","Direction=H","UseDPDF=Y")</f>
        <v>—</v>
      </c>
      <c r="K66" s="14" t="str">
        <f>_xll.BDH("SRPT US Equity","CASH_FLOW_TO_NET_INC","FQ4 2020","FQ4 2020","Currency=USD","Period=FQ","BEST_FPERIOD_OVERRIDE=FQ","FILING_STATUS=MR","FA_ADJUSTED=GAAP","Sort=A","Dates=H","DateFormat=P","Fill=—","Direction=H","UseDPDF=Y")</f>
        <v>—</v>
      </c>
      <c r="L66" s="14" t="str">
        <f>_xll.BDH("SRPT US Equity","CASH_FLOW_TO_NET_INC","FQ1 2021","FQ1 2021","Currency=USD","Period=FQ","BEST_FPERIOD_OVERRIDE=FQ","FILING_STATUS=MR","FA_ADJUSTED=GAAP","Sort=A","Dates=H","DateFormat=P","Fill=—","Direction=H","UseDPDF=Y")</f>
        <v>—</v>
      </c>
      <c r="M66" s="14" t="str">
        <f>_xll.BDH("SRPT US Equity","CASH_FLOW_TO_NET_INC","FQ2 2021","FQ2 2021","Currency=USD","Period=FQ","BEST_FPERIOD_OVERRIDE=FQ","FILING_STATUS=MR","FA_ADJUSTED=GAAP","Sort=A","Dates=H","DateFormat=P","Fill=—","Direction=H","UseDPDF=Y")</f>
        <v>—</v>
      </c>
      <c r="N66" s="14" t="str">
        <f>_xll.BDH("SRPT US Equity","CASH_FLOW_TO_NET_INC","FQ3 2021","FQ3 2021","Currency=USD","Period=FQ","BEST_FPERIOD_OVERRIDE=FQ","FILING_STATUS=MR","FA_ADJUSTED=GAAP","Sort=A","Dates=H","DateFormat=P","Fill=—","Direction=H","UseDPDF=Y")</f>
        <v>—</v>
      </c>
      <c r="O66" s="14" t="str">
        <f>_xll.BDH("SRPT US Equity","CASH_FLOW_TO_NET_INC","FQ4 2021","FQ4 2021","Currency=USD","Period=FQ","BEST_FPERIOD_OVERRIDE=FQ","FILING_STATUS=MR","FA_ADJUSTED=GAAP","Sort=A","Dates=H","DateFormat=P","Fill=—","Direction=H","UseDPDF=Y")</f>
        <v>—</v>
      </c>
      <c r="P66" s="14" t="str">
        <f>_xll.BDH("SRPT US Equity","CASH_FLOW_TO_NET_INC","FQ1 2022","FQ1 2022","Currency=USD","Period=FQ","BEST_FPERIOD_OVERRIDE=FQ","FILING_STATUS=MR","FA_ADJUSTED=GAAP","Sort=A","Dates=H","DateFormat=P","Fill=—","Direction=H","UseDPDF=Y")</f>
        <v>—</v>
      </c>
      <c r="Q66" s="14" t="str">
        <f>_xll.BDH("SRPT US Equity","CASH_FLOW_TO_NET_INC","FQ2 2022","FQ2 2022","Currency=USD","Period=FQ","BEST_FPERIOD_OVERRIDE=FQ","FILING_STATUS=MR","FA_ADJUSTED=GAAP","Sort=A","Dates=H","DateFormat=P","Fill=—","Direction=H","UseDPDF=Y")</f>
        <v>—</v>
      </c>
      <c r="R66" s="14" t="str">
        <f>_xll.BDH("SRPT US Equity","CASH_FLOW_TO_NET_INC","FQ3 2022","FQ3 2022","Currency=USD","Period=FQ","BEST_FPERIOD_OVERRIDE=FQ","FILING_STATUS=MR","FA_ADJUSTED=GAAP","Sort=A","Dates=H","DateFormat=P","Fill=—","Direction=H","UseDPDF=Y")</f>
        <v>—</v>
      </c>
      <c r="S66" s="14" t="str">
        <f>_xll.BDH("SRPT US Equity","CASH_FLOW_TO_NET_INC","FQ4 2022","FQ4 2022","Currency=USD","Period=FQ","BEST_FPERIOD_OVERRIDE=FQ","FILING_STATUS=MR","FA_ADJUSTED=GAAP","Sort=A","Dates=H","DateFormat=P","Fill=—","Direction=H","UseDPDF=Y")</f>
        <v>—</v>
      </c>
      <c r="T66" s="14" t="str">
        <f>_xll.BDH("SRPT US Equity","CASH_FLOW_TO_NET_INC","FQ1 2023","FQ1 2023","Currency=USD","Period=FQ","BEST_FPERIOD_OVERRIDE=FQ","FILING_STATUS=MR","FA_ADJUSTED=GAAP","Sort=A","Dates=H","DateFormat=P","Fill=—","Direction=H","UseDPDF=Y")</f>
        <v>—</v>
      </c>
      <c r="U66" s="14" t="str">
        <f>_xll.BDH("SRPT US Equity","CASH_FLOW_TO_NET_INC","FQ2 2023","FQ2 2023","Currency=USD","Period=FQ","BEST_FPERIOD_OVERRIDE=FQ","FILING_STATUS=MR","FA_ADJUSTED=GAAP","Sort=A","Dates=H","DateFormat=P","Fill=—","Direction=H","UseDPDF=Y")</f>
        <v>—</v>
      </c>
      <c r="V66" s="14" t="str">
        <f>_xll.BDH("SRPT US Equity","CASH_FLOW_TO_NET_INC","FQ3 2023","FQ3 2023","Currency=USD","Period=FQ","BEST_FPERIOD_OVERRIDE=FQ","FILING_STATUS=MR","FA_ADJUSTED=GAAP","Sort=A","Dates=H","DateFormat=P","Fill=—","Direction=H","UseDPDF=Y")</f>
        <v>—</v>
      </c>
      <c r="W66" s="14">
        <f>_xll.BDH("SRPT US Equity","CASH_FLOW_TO_NET_INC","FQ4 2023","FQ4 2023","Currency=USD","Period=FQ","BEST_FPERIOD_OVERRIDE=FQ","FILING_STATUS=MR","FA_ADJUSTED=GAAP","Sort=A","Dates=H","DateFormat=P","Fill=—","Direction=H","UseDPDF=Y")</f>
        <v>-1.1972</v>
      </c>
      <c r="X66" s="14">
        <f>_xll.BDH("SRPT US Equity","CASH_FLOW_TO_NET_INC","FQ1 2024","FQ1 2024","Currency=USD","Period=FQ","BEST_FPERIOD_OVERRIDE=FQ","FILING_STATUS=MR","FA_ADJUSTED=GAAP","Sort=A","Dates=H","DateFormat=P","Fill=—","Direction=H","UseDPDF=Y")</f>
        <v>-6.7022000000000004</v>
      </c>
      <c r="Y66" s="14">
        <f>_xll.BDH("SRPT US Equity","CASH_FLOW_TO_NET_INC","FQ2 2024","FQ2 2024","Currency=USD","Period=FQ","BEST_FPERIOD_OVERRIDE=FQ","FILING_STATUS=MR","FA_ADJUSTED=GAAP","Sort=A","Dates=H","DateFormat=P","Fill=—","Direction=H","UseDPDF=Y")</f>
        <v>2.3130000000000002</v>
      </c>
      <c r="Z66" s="14">
        <f>_xll.BDH("SRPT US Equity","CASH_FLOW_TO_NET_INC","FQ3 2024","FQ3 2024","Currency=USD","Period=FQ","BEST_FPERIOD_OVERRIDE=FQ","FILING_STATUS=MR","FA_ADJUSTED=GAAP","Sort=A","Dates=H","DateFormat=P","Fill=—","Direction=H","UseDPDF=Y")</f>
        <v>-2.1034000000000002</v>
      </c>
      <c r="AA66" s="14">
        <f>_xll.BDH("SRPT US Equity","CASH_FLOW_TO_NET_INC","FQ4 2024","FQ4 2024","Currency=USD","Period=FQ","BEST_FPERIOD_OVERRIDE=FQ","FILING_STATUS=MR","FA_ADJUSTED=GAAP","Sort=A","Dates=H","DateFormat=P","Fill=—","Direction=H","UseDPDF=Y")</f>
        <v>0.57869999999999999</v>
      </c>
    </row>
    <row r="67" spans="1:27" x14ac:dyDescent="0.25">
      <c r="A67" s="7" t="s">
        <v>90</v>
      </c>
      <c r="B67" s="7"/>
      <c r="C67" s="7" t="s">
        <v>5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54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421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275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1267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1268</v>
      </c>
      <c r="B8" s="10" t="s">
        <v>1269</v>
      </c>
      <c r="C8" s="13">
        <f>_xll.BDH("SRPT US Equity","ARD_NET_INCOME_CF","FQ4 2018","FQ4 2018","Currency=USD","Period=FQ","BEST_FPERIOD_OVERRIDE=FQ","FILING_STATUS=MR","SCALING_FORMAT=MLN","Sort=A","Dates=H","DateFormat=P","Fill=—","Direction=H","UseDPDF=Y")</f>
        <v>-361.91800000000001</v>
      </c>
      <c r="D8" s="13">
        <f>_xll.BDH("SRPT US Equity","ARD_NET_INCOME_CF","FQ1 2019","FQ1 2019","Currency=USD","Period=FQ","BEST_FPERIOD_OVERRIDE=FQ","FILING_STATUS=MR","SCALING_FORMAT=MLN","Sort=A","Dates=H","DateFormat=P","Fill=—","Direction=H","UseDPDF=Y")</f>
        <v>-76.643000000000001</v>
      </c>
      <c r="E8" s="13">
        <f>_xll.BDH("SRPT US Equity","ARD_NET_INCOME_CF","FQ2 2019","FQ2 2019","Currency=USD","Period=FQ","BEST_FPERIOD_OVERRIDE=FQ","FILING_STATUS=MR","SCALING_FORMAT=MLN","Sort=A","Dates=H","DateFormat=P","Fill=—","Direction=H","UseDPDF=Y")</f>
        <v>-353.04599999999999</v>
      </c>
      <c r="F8" s="13">
        <f>_xll.BDH("SRPT US Equity","ARD_NET_INCOME_CF","FQ3 2019","FQ3 2019","Currency=USD","Period=FQ","BEST_FPERIOD_OVERRIDE=FQ","FILING_STATUS=MR","SCALING_FORMAT=MLN","Sort=A","Dates=H","DateFormat=P","Fill=—","Direction=H","UseDPDF=Y")</f>
        <v>-479.37200000000001</v>
      </c>
      <c r="G8" s="13">
        <f>_xll.BDH("SRPT US Equity","ARD_NET_INCOME_CF","FQ4 2019","FQ4 2019","Currency=USD","Period=FQ","BEST_FPERIOD_OVERRIDE=FQ","FILING_STATUS=MR","SCALING_FORMAT=MLN","Sort=A","Dates=H","DateFormat=P","Fill=—","Direction=H","UseDPDF=Y")</f>
        <v>-715.07500000000005</v>
      </c>
      <c r="H8" s="13">
        <f>_xll.BDH("SRPT US Equity","ARD_NET_INCOME_CF","FQ1 2020","FQ1 2020","Currency=USD","Period=FQ","BEST_FPERIOD_OVERRIDE=FQ","FILING_STATUS=MR","SCALING_FORMAT=MLN","Sort=A","Dates=H","DateFormat=P","Fill=—","Direction=H","UseDPDF=Y")</f>
        <v>-17.492000000000001</v>
      </c>
      <c r="I8" s="13">
        <f>_xll.BDH("SRPT US Equity","ARD_NET_INCOME_CF","FQ2 2020","FQ2 2020","Currency=USD","Period=FQ","BEST_FPERIOD_OVERRIDE=FQ","FILING_STATUS=MR","SCALING_FORMAT=MLN","Sort=A","Dates=H","DateFormat=P","Fill=—","Direction=H","UseDPDF=Y")</f>
        <v>-168.31200000000001</v>
      </c>
      <c r="J8" s="13">
        <f>_xll.BDH("SRPT US Equity","ARD_NET_INCOME_CF","FQ3 2020","FQ3 2020","Currency=USD","Period=FQ","BEST_FPERIOD_OVERRIDE=FQ","FILING_STATUS=MR","SCALING_FORMAT=MLN","Sort=A","Dates=H","DateFormat=P","Fill=—","Direction=H","UseDPDF=Y")</f>
        <v>-364.81099999999998</v>
      </c>
      <c r="K8" s="13">
        <f>_xll.BDH("SRPT US Equity","ARD_NET_INCOME_CF","FQ4 2020","FQ4 2020","Currency=USD","Period=FQ","BEST_FPERIOD_OVERRIDE=FQ","FILING_STATUS=MR","SCALING_FORMAT=MLN","Sort=A","Dates=H","DateFormat=P","Fill=—","Direction=H","UseDPDF=Y")</f>
        <v>-554.12800000000004</v>
      </c>
      <c r="L8" s="13">
        <f>_xll.BDH("SRPT US Equity","ARD_NET_INCOME_CF","FQ1 2021","FQ1 2021","Currency=USD","Period=FQ","BEST_FPERIOD_OVERRIDE=FQ","FILING_STATUS=MR","SCALING_FORMAT=MLN","Sort=A","Dates=H","DateFormat=P","Fill=—","Direction=H","UseDPDF=Y")</f>
        <v>-167.25</v>
      </c>
      <c r="M8" s="13">
        <f>_xll.BDH("SRPT US Equity","ARD_NET_INCOME_CF","FQ2 2021","FQ2 2021","Currency=USD","Period=FQ","BEST_FPERIOD_OVERRIDE=FQ","FILING_STATUS=MR","SCALING_FORMAT=MLN","Sort=A","Dates=H","DateFormat=P","Fill=—","Direction=H","UseDPDF=Y")</f>
        <v>-248.655</v>
      </c>
      <c r="N8" s="13">
        <f>_xll.BDH("SRPT US Equity","ARD_NET_INCOME_CF","FQ3 2021","FQ3 2021","Currency=USD","Period=FQ","BEST_FPERIOD_OVERRIDE=FQ","FILING_STATUS=MR","SCALING_FORMAT=MLN","Sort=A","Dates=H","DateFormat=P","Fill=—","Direction=H","UseDPDF=Y")</f>
        <v>-296.79899999999998</v>
      </c>
      <c r="O8" s="13">
        <f>_xll.BDH("SRPT US Equity","ARD_NET_INCOME_CF","FQ4 2021","FQ4 2021","Currency=USD","Period=FQ","BEST_FPERIOD_OVERRIDE=FQ","FILING_STATUS=MR","SCALING_FORMAT=MLN","Sort=A","Dates=H","DateFormat=P","Fill=—","Direction=H","UseDPDF=Y")</f>
        <v>-418.78</v>
      </c>
      <c r="P8" s="13">
        <f>_xll.BDH("SRPT US Equity","ARD_NET_INCOME_CF","FQ1 2022","FQ1 2022","Currency=USD","Period=FQ","BEST_FPERIOD_OVERRIDE=FQ","FILING_STATUS=MR","SCALING_FORMAT=MLN","Sort=A","Dates=H","DateFormat=P","Fill=—","Direction=H","UseDPDF=Y")</f>
        <v>-105.02500000000001</v>
      </c>
      <c r="Q8" s="13">
        <f>_xll.BDH("SRPT US Equity","ARD_NET_INCOME_CF","FQ2 2022","FQ2 2022","Currency=USD","Period=FQ","BEST_FPERIOD_OVERRIDE=FQ","FILING_STATUS=MR","SCALING_FORMAT=MLN","Sort=A","Dates=H","DateFormat=P","Fill=—","Direction=H","UseDPDF=Y")</f>
        <v>-336.50599999999997</v>
      </c>
      <c r="R8" s="13">
        <f>_xll.BDH("SRPT US Equity","ARD_NET_INCOME_CF","FQ3 2022","FQ3 2022","Currency=USD","Period=FQ","BEST_FPERIOD_OVERRIDE=FQ","FILING_STATUS=MR","SCALING_FORMAT=MLN","Sort=A","Dates=H","DateFormat=P","Fill=—","Direction=H","UseDPDF=Y")</f>
        <v>-594.24400000000003</v>
      </c>
      <c r="S8" s="13">
        <f>_xll.BDH("SRPT US Equity","ARD_NET_INCOME_CF","FQ4 2022","FQ4 2022","Currency=USD","Period=FQ","BEST_FPERIOD_OVERRIDE=FQ","FILING_STATUS=MR","SCALING_FORMAT=MLN","Sort=A","Dates=H","DateFormat=P","Fill=—","Direction=H","UseDPDF=Y")</f>
        <v>-703.48800000000006</v>
      </c>
      <c r="T8" s="13">
        <f>_xll.BDH("SRPT US Equity","ARD_NET_INCOME_CF","FQ1 2023","FQ1 2023","Currency=USD","Period=FQ","BEST_FPERIOD_OVERRIDE=FQ","FILING_STATUS=MR","SCALING_FORMAT=MLN","Sort=A","Dates=H","DateFormat=P","Fill=—","Direction=H","UseDPDF=Y")</f>
        <v>-516.755</v>
      </c>
      <c r="U8" s="13">
        <f>_xll.BDH("SRPT US Equity","ARD_NET_INCOME_CF","FQ2 2023","FQ2 2023","Currency=USD","Period=FQ","BEST_FPERIOD_OVERRIDE=FQ","FILING_STATUS=MR","SCALING_FORMAT=MLN","Sort=A","Dates=H","DateFormat=P","Fill=—","Direction=H","UseDPDF=Y")</f>
        <v>-540.69500000000005</v>
      </c>
      <c r="V8" s="13">
        <f>_xll.BDH("SRPT US Equity","ARD_NET_INCOME_CF","FQ3 2023","FQ3 2023","Currency=USD","Period=FQ","BEST_FPERIOD_OVERRIDE=FQ","FILING_STATUS=MR","SCALING_FORMAT=MLN","Sort=A","Dates=H","DateFormat=P","Fill=—","Direction=H","UseDPDF=Y")</f>
        <v>-581.63199999999995</v>
      </c>
      <c r="W8" s="13">
        <f>_xll.BDH("SRPT US Equity","ARD_NET_INCOME_CF","FQ4 2023","FQ4 2023","Currency=USD","Period=FQ","BEST_FPERIOD_OVERRIDE=FQ","FILING_STATUS=MR","SCALING_FORMAT=MLN","Sort=A","Dates=H","DateFormat=P","Fill=—","Direction=H","UseDPDF=Y")</f>
        <v>-535.97699999999998</v>
      </c>
      <c r="X8" s="13">
        <f>_xll.BDH("SRPT US Equity","ARD_NET_INCOME_CF","FQ1 2024","FQ1 2024","Currency=USD","Period=FQ","BEST_FPERIOD_OVERRIDE=FQ","FILING_STATUS=MR","SCALING_FORMAT=MLN","Sort=A","Dates=H","DateFormat=P","Fill=—","Direction=H","UseDPDF=Y")</f>
        <v>36.119</v>
      </c>
      <c r="Y8" s="13">
        <f>_xll.BDH("SRPT US Equity","ARD_NET_INCOME_CF","FQ2 2024","FQ2 2024","Currency=USD","Period=FQ","BEST_FPERIOD_OVERRIDE=FQ","FILING_STATUS=MR","SCALING_FORMAT=MLN","Sort=A","Dates=H","DateFormat=P","Fill=—","Direction=H","UseDPDF=Y")</f>
        <v>42.579000000000001</v>
      </c>
      <c r="Z8" s="13">
        <f>_xll.BDH("SRPT US Equity","ARD_NET_INCOME_CF","FQ3 2024","FQ3 2024","Currency=USD","Period=FQ","BEST_FPERIOD_OVERRIDE=FQ","FILING_STATUS=MR","SCALING_FORMAT=MLN","Sort=A","Dates=H","DateFormat=P","Fill=—","Direction=H","UseDPDF=Y")</f>
        <v>76.19</v>
      </c>
      <c r="AA8" s="13">
        <f>_xll.BDH("SRPT US Equity","ARD_NET_INCOME_CF","FQ4 2024","FQ4 2024","Currency=USD","Period=FQ","BEST_FPERIOD_OVERRIDE=FQ","FILING_STATUS=MR","SCALING_FORMAT=MLN","Sort=A","Dates=H","DateFormat=P","Fill=—","Direction=H","UseDPDF=Y")</f>
        <v>235.239</v>
      </c>
    </row>
    <row r="9" spans="1:27" x14ac:dyDescent="0.25">
      <c r="A9" s="10" t="s">
        <v>1270</v>
      </c>
      <c r="B9" s="10" t="s">
        <v>1271</v>
      </c>
      <c r="C9" s="13">
        <f>_xll.BDH("SRPT US Equity","ARD_DEPRECIATION_AND_AMORT_CF","FQ4 2018","FQ4 2018","Currency=USD","Period=FQ","BEST_FPERIOD_OVERRIDE=FQ","FILING_STATUS=MR","SCALING_FORMAT=MLN","Sort=A","Dates=H","DateFormat=P","Fill=—","Direction=H","UseDPDF=Y")</f>
        <v>12.244999999999999</v>
      </c>
      <c r="D9" s="13">
        <f>_xll.BDH("SRPT US Equity","ARD_DEPRECIATION_AND_AMORT_CF","FQ1 2019","FQ1 2019","Currency=USD","Period=FQ","BEST_FPERIOD_OVERRIDE=FQ","FILING_STATUS=MR","SCALING_FORMAT=MLN","Sort=A","Dates=H","DateFormat=P","Fill=—","Direction=H","UseDPDF=Y")</f>
        <v>6.37</v>
      </c>
      <c r="E9" s="13">
        <f>_xll.BDH("SRPT US Equity","ARD_DEPRECIATION_AND_AMORT_CF","FQ2 2019","FQ2 2019","Currency=USD","Period=FQ","BEST_FPERIOD_OVERRIDE=FQ","FILING_STATUS=MR","SCALING_FORMAT=MLN","Sort=A","Dates=H","DateFormat=P","Fill=—","Direction=H","UseDPDF=Y")</f>
        <v>14.064</v>
      </c>
      <c r="F9" s="13">
        <f>_xll.BDH("SRPT US Equity","ARD_DEPRECIATION_AND_AMORT_CF","FQ3 2019","FQ3 2019","Currency=USD","Period=FQ","BEST_FPERIOD_OVERRIDE=FQ","FILING_STATUS=MR","SCALING_FORMAT=MLN","Sort=A","Dates=H","DateFormat=P","Fill=—","Direction=H","UseDPDF=Y")</f>
        <v>22.341000000000001</v>
      </c>
      <c r="G9" s="13">
        <f>_xll.BDH("SRPT US Equity","ARD_DEPRECIATION_AND_AMORT_CF","FQ4 2019","FQ4 2019","Currency=USD","Period=FQ","BEST_FPERIOD_OVERRIDE=FQ","FILING_STATUS=MR","SCALING_FORMAT=MLN","Sort=A","Dates=H","DateFormat=P","Fill=—","Direction=H","UseDPDF=Y")</f>
        <v>30.547000000000001</v>
      </c>
      <c r="H9" s="13">
        <f>_xll.BDH("SRPT US Equity","ARD_DEPRECIATION_AND_AMORT_CF","FQ1 2020","FQ1 2020","Currency=USD","Period=FQ","BEST_FPERIOD_OVERRIDE=FQ","FILING_STATUS=MR","SCALING_FORMAT=MLN","Sort=A","Dates=H","DateFormat=P","Fill=—","Direction=H","UseDPDF=Y")</f>
        <v>6.5289999999999999</v>
      </c>
      <c r="I9" s="13">
        <f>_xll.BDH("SRPT US Equity","ARD_DEPRECIATION_AND_AMORT_CF","FQ2 2020","FQ2 2020","Currency=USD","Period=FQ","BEST_FPERIOD_OVERRIDE=FQ","FILING_STATUS=MR","SCALING_FORMAT=MLN","Sort=A","Dates=H","DateFormat=P","Fill=—","Direction=H","UseDPDF=Y")</f>
        <v>13.004</v>
      </c>
      <c r="J9" s="13">
        <f>_xll.BDH("SRPT US Equity","ARD_DEPRECIATION_AND_AMORT_CF","FQ3 2020","FQ3 2020","Currency=USD","Period=FQ","BEST_FPERIOD_OVERRIDE=FQ","FILING_STATUS=MR","SCALING_FORMAT=MLN","Sort=A","Dates=H","DateFormat=P","Fill=—","Direction=H","UseDPDF=Y")</f>
        <v>19.623000000000001</v>
      </c>
      <c r="K9" s="13">
        <f>_xll.BDH("SRPT US Equity","ARD_DEPRECIATION_AND_AMORT_CF","FQ4 2020","FQ4 2020","Currency=USD","Period=FQ","BEST_FPERIOD_OVERRIDE=FQ","FILING_STATUS=MR","SCALING_FORMAT=MLN","Sort=A","Dates=H","DateFormat=P","Fill=—","Direction=H","UseDPDF=Y")</f>
        <v>26.911000000000001</v>
      </c>
      <c r="L9" s="13">
        <f>_xll.BDH("SRPT US Equity","ARD_DEPRECIATION_AND_AMORT_CF","FQ1 2021","FQ1 2021","Currency=USD","Period=FQ","BEST_FPERIOD_OVERRIDE=FQ","FILING_STATUS=MR","SCALING_FORMAT=MLN","Sort=A","Dates=H","DateFormat=P","Fill=—","Direction=H","UseDPDF=Y")</f>
        <v>8.93</v>
      </c>
      <c r="M9" s="13">
        <f>_xll.BDH("SRPT US Equity","ARD_DEPRECIATION_AND_AMORT_CF","FQ2 2021","FQ2 2021","Currency=USD","Period=FQ","BEST_FPERIOD_OVERRIDE=FQ","FILING_STATUS=MR","SCALING_FORMAT=MLN","Sort=A","Dates=H","DateFormat=P","Fill=—","Direction=H","UseDPDF=Y")</f>
        <v>17.376999999999999</v>
      </c>
      <c r="N9" s="13">
        <f>_xll.BDH("SRPT US Equity","ARD_DEPRECIATION_AND_AMORT_CF","FQ3 2021","FQ3 2021","Currency=USD","Period=FQ","BEST_FPERIOD_OVERRIDE=FQ","FILING_STATUS=MR","SCALING_FORMAT=MLN","Sort=A","Dates=H","DateFormat=P","Fill=—","Direction=H","UseDPDF=Y")</f>
        <v>27.872</v>
      </c>
      <c r="O9" s="13">
        <f>_xll.BDH("SRPT US Equity","ARD_DEPRECIATION_AND_AMORT_CF","FQ4 2021","FQ4 2021","Currency=USD","Period=FQ","BEST_FPERIOD_OVERRIDE=FQ","FILING_STATUS=MR","SCALING_FORMAT=MLN","Sort=A","Dates=H","DateFormat=P","Fill=—","Direction=H","UseDPDF=Y")</f>
        <v>38.017000000000003</v>
      </c>
      <c r="P9" s="13">
        <f>_xll.BDH("SRPT US Equity","ARD_DEPRECIATION_AND_AMORT_CF","FQ1 2022","FQ1 2022","Currency=USD","Period=FQ","BEST_FPERIOD_OVERRIDE=FQ","FILING_STATUS=MR","SCALING_FORMAT=MLN","Sort=A","Dates=H","DateFormat=P","Fill=—","Direction=H","UseDPDF=Y")</f>
        <v>10.718999999999999</v>
      </c>
      <c r="Q9" s="13">
        <f>_xll.BDH("SRPT US Equity","ARD_DEPRECIATION_AND_AMORT_CF","FQ2 2022","FQ2 2022","Currency=USD","Period=FQ","BEST_FPERIOD_OVERRIDE=FQ","FILING_STATUS=MR","SCALING_FORMAT=MLN","Sort=A","Dates=H","DateFormat=P","Fill=—","Direction=H","UseDPDF=Y")</f>
        <v>20.608000000000001</v>
      </c>
      <c r="R9" s="13">
        <f>_xll.BDH("SRPT US Equity","ARD_DEPRECIATION_AND_AMORT_CF","FQ3 2022","FQ3 2022","Currency=USD","Period=FQ","BEST_FPERIOD_OVERRIDE=FQ","FILING_STATUS=MR","SCALING_FORMAT=MLN","Sort=A","Dates=H","DateFormat=P","Fill=—","Direction=H","UseDPDF=Y")</f>
        <v>31.311</v>
      </c>
      <c r="S9" s="13">
        <f>_xll.BDH("SRPT US Equity","ARD_DEPRECIATION_AND_AMORT_CF","FQ4 2022","FQ4 2022","Currency=USD","Period=FQ","BEST_FPERIOD_OVERRIDE=FQ","FILING_STATUS=MR","SCALING_FORMAT=MLN","Sort=A","Dates=H","DateFormat=P","Fill=—","Direction=H","UseDPDF=Y")</f>
        <v>41.863999999999997</v>
      </c>
      <c r="T9" s="13">
        <f>_xll.BDH("SRPT US Equity","ARD_DEPRECIATION_AND_AMORT_CF","FQ1 2023","FQ1 2023","Currency=USD","Period=FQ","BEST_FPERIOD_OVERRIDE=FQ","FILING_STATUS=MR","SCALING_FORMAT=MLN","Sort=A","Dates=H","DateFormat=P","Fill=—","Direction=H","UseDPDF=Y")</f>
        <v>11.305</v>
      </c>
      <c r="U9" s="13">
        <f>_xll.BDH("SRPT US Equity","ARD_DEPRECIATION_AND_AMORT_CF","FQ2 2023","FQ2 2023","Currency=USD","Period=FQ","BEST_FPERIOD_OVERRIDE=FQ","FILING_STATUS=MR","SCALING_FORMAT=MLN","Sort=A","Dates=H","DateFormat=P","Fill=—","Direction=H","UseDPDF=Y")</f>
        <v>22.097000000000001</v>
      </c>
      <c r="V9" s="13">
        <f>_xll.BDH("SRPT US Equity","ARD_DEPRECIATION_AND_AMORT_CF","FQ3 2023","FQ3 2023","Currency=USD","Period=FQ","BEST_FPERIOD_OVERRIDE=FQ","FILING_STATUS=MR","SCALING_FORMAT=MLN","Sort=A","Dates=H","DateFormat=P","Fill=—","Direction=H","UseDPDF=Y")</f>
        <v>33.024999999999999</v>
      </c>
      <c r="W9" s="13">
        <f>_xll.BDH("SRPT US Equity","ARD_DEPRECIATION_AND_AMORT_CF","FQ4 2023","FQ4 2023","Currency=USD","Period=FQ","BEST_FPERIOD_OVERRIDE=FQ","FILING_STATUS=MR","SCALING_FORMAT=MLN","Sort=A","Dates=H","DateFormat=P","Fill=—","Direction=H","UseDPDF=Y")</f>
        <v>44.396999999999998</v>
      </c>
      <c r="X9" s="13">
        <f>_xll.BDH("SRPT US Equity","ARD_DEPRECIATION_AND_AMORT_CF","FQ1 2024","FQ1 2024","Currency=USD","Period=FQ","BEST_FPERIOD_OVERRIDE=FQ","FILING_STATUS=MR","SCALING_FORMAT=MLN","Sort=A","Dates=H","DateFormat=P","Fill=—","Direction=H","UseDPDF=Y")</f>
        <v>8.7439999999999998</v>
      </c>
      <c r="Y9" s="13">
        <f>_xll.BDH("SRPT US Equity","ARD_DEPRECIATION_AND_AMORT_CF","FQ2 2024","FQ2 2024","Currency=USD","Period=FQ","BEST_FPERIOD_OVERRIDE=FQ","FILING_STATUS=MR","SCALING_FORMAT=MLN","Sort=A","Dates=H","DateFormat=P","Fill=—","Direction=H","UseDPDF=Y")</f>
        <v>17.463000000000001</v>
      </c>
      <c r="Z9" s="13">
        <f>_xll.BDH("SRPT US Equity","ARD_DEPRECIATION_AND_AMORT_CF","FQ3 2024","FQ3 2024","Currency=USD","Period=FQ","BEST_FPERIOD_OVERRIDE=FQ","FILING_STATUS=MR","SCALING_FORMAT=MLN","Sort=A","Dates=H","DateFormat=P","Fill=—","Direction=H","UseDPDF=Y")</f>
        <v>27.268999999999998</v>
      </c>
      <c r="AA9" s="13">
        <f>_xll.BDH("SRPT US Equity","ARD_DEPRECIATION_AND_AMORT_CF","FQ4 2024","FQ4 2024","Currency=USD","Period=FQ","BEST_FPERIOD_OVERRIDE=FQ","FILING_STATUS=MR","SCALING_FORMAT=MLN","Sort=A","Dates=H","DateFormat=P","Fill=—","Direction=H","UseDPDF=Y")</f>
        <v>37.723999999999997</v>
      </c>
    </row>
    <row r="10" spans="1:27" x14ac:dyDescent="0.25">
      <c r="A10" s="10" t="s">
        <v>1272</v>
      </c>
      <c r="B10" s="10" t="s">
        <v>1273</v>
      </c>
      <c r="C10" s="13">
        <f>_xll.BDH("SRPT US Equity","ARD_RESTRUCTURING_CHARGES_CF","FQ4 2018","FQ4 2018","Currency=USD","Period=FQ","BEST_FPERIOD_OVERRIDE=FQ","FILING_STATUS=MR","SCALING_FORMAT=MLN","Sort=A","Dates=H","DateFormat=P","Fill=—","Direction=H","UseDPDF=Y")</f>
        <v>0</v>
      </c>
      <c r="D10" s="13" t="str">
        <f>_xll.BDH("SRPT US Equity","ARD_RESTRUCTURING_CHARGES_CF","FQ1 2019","FQ1 2019","Currency=USD","Period=FQ","BEST_FPERIOD_OVERRIDE=FQ","FILING_STATUS=MR","SCALING_FORMAT=MLN","Sort=A","Dates=H","DateFormat=P","Fill=—","Direction=H","UseDPDF=Y")</f>
        <v>—</v>
      </c>
      <c r="E10" s="13" t="str">
        <f>_xll.BDH("SRPT US Equity","ARD_RESTRUCTURING_CHARGES_CF","FQ2 2019","FQ2 2019","Currency=USD","Period=FQ","BEST_FPERIOD_OVERRIDE=FQ","FILING_STATUS=MR","SCALING_FORMAT=MLN","Sort=A","Dates=H","DateFormat=P","Fill=—","Direction=H","UseDPDF=Y")</f>
        <v>—</v>
      </c>
      <c r="F10" s="13" t="str">
        <f>_xll.BDH("SRPT US Equity","ARD_RESTRUCTURING_CHARGES_CF","FQ3 2019","FQ3 2019","Currency=USD","Period=FQ","BEST_FPERIOD_OVERRIDE=FQ","FILING_STATUS=MR","SCALING_FORMAT=MLN","Sort=A","Dates=H","DateFormat=P","Fill=—","Direction=H","UseDPDF=Y")</f>
        <v>—</v>
      </c>
      <c r="G10" s="13" t="str">
        <f>_xll.BDH("SRPT US Equity","ARD_RESTRUCTURING_CHARGES_CF","FQ4 2019","FQ4 2019","Currency=USD","Period=FQ","BEST_FPERIOD_OVERRIDE=FQ","FILING_STATUS=MR","SCALING_FORMAT=MLN","Sort=A","Dates=H","DateFormat=P","Fill=—","Direction=H","UseDPDF=Y")</f>
        <v>—</v>
      </c>
      <c r="H10" s="13" t="str">
        <f>_xll.BDH("SRPT US Equity","ARD_RESTRUCTURING_CHARGES_CF","FQ1 2020","FQ1 2020","Currency=USD","Period=FQ","BEST_FPERIOD_OVERRIDE=FQ","FILING_STATUS=MR","SCALING_FORMAT=MLN","Sort=A","Dates=H","DateFormat=P","Fill=—","Direction=H","UseDPDF=Y")</f>
        <v>—</v>
      </c>
      <c r="I10" s="13" t="str">
        <f>_xll.BDH("SRPT US Equity","ARD_RESTRUCTURING_CHARGES_CF","FQ2 2020","FQ2 2020","Currency=USD","Period=FQ","BEST_FPERIOD_OVERRIDE=FQ","FILING_STATUS=MR","SCALING_FORMAT=MLN","Sort=A","Dates=H","DateFormat=P","Fill=—","Direction=H","UseDPDF=Y")</f>
        <v>—</v>
      </c>
      <c r="J10" s="13" t="str">
        <f>_xll.BDH("SRPT US Equity","ARD_RESTRUCTURING_CHARGES_CF","FQ3 2020","FQ3 2020","Currency=USD","Period=FQ","BEST_FPERIOD_OVERRIDE=FQ","FILING_STATUS=MR","SCALING_FORMAT=MLN","Sort=A","Dates=H","DateFormat=P","Fill=—","Direction=H","UseDPDF=Y")</f>
        <v>—</v>
      </c>
      <c r="K10" s="13" t="str">
        <f>_xll.BDH("SRPT US Equity","ARD_RESTRUCTURING_CHARGES_CF","FQ4 2020","FQ4 2020","Currency=USD","Period=FQ","BEST_FPERIOD_OVERRIDE=FQ","FILING_STATUS=MR","SCALING_FORMAT=MLN","Sort=A","Dates=H","DateFormat=P","Fill=—","Direction=H","UseDPDF=Y")</f>
        <v>—</v>
      </c>
      <c r="L10" s="13" t="str">
        <f>_xll.BDH("SRPT US Equity","ARD_RESTRUCTURING_CHARGES_CF","FQ1 2021","FQ1 2021","Currency=USD","Period=FQ","BEST_FPERIOD_OVERRIDE=FQ","FILING_STATUS=MR","SCALING_FORMAT=MLN","Sort=A","Dates=H","DateFormat=P","Fill=—","Direction=H","UseDPDF=Y")</f>
        <v>—</v>
      </c>
      <c r="M10" s="13" t="str">
        <f>_xll.BDH("SRPT US Equity","ARD_RESTRUCTURING_CHARGES_CF","FQ2 2021","FQ2 2021","Currency=USD","Period=FQ","BEST_FPERIOD_OVERRIDE=FQ","FILING_STATUS=MR","SCALING_FORMAT=MLN","Sort=A","Dates=H","DateFormat=P","Fill=—","Direction=H","UseDPDF=Y")</f>
        <v>—</v>
      </c>
      <c r="N10" s="13" t="str">
        <f>_xll.BDH("SRPT US Equity","ARD_RESTRUCTURING_CHARGES_CF","FQ3 2021","FQ3 2021","Currency=USD","Period=FQ","BEST_FPERIOD_OVERRIDE=FQ","FILING_STATUS=MR","SCALING_FORMAT=MLN","Sort=A","Dates=H","DateFormat=P","Fill=—","Direction=H","UseDPDF=Y")</f>
        <v>—</v>
      </c>
      <c r="O10" s="13" t="str">
        <f>_xll.BDH("SRPT US Equity","ARD_RESTRUCTURING_CHARGES_CF","FQ4 2021","FQ4 2021","Currency=USD","Period=FQ","BEST_FPERIOD_OVERRIDE=FQ","FILING_STATUS=MR","SCALING_FORMAT=MLN","Sort=A","Dates=H","DateFormat=P","Fill=—","Direction=H","UseDPDF=Y")</f>
        <v>—</v>
      </c>
      <c r="P10" s="13" t="str">
        <f>_xll.BDH("SRPT US Equity","ARD_RESTRUCTURING_CHARGES_CF","FQ1 2022","FQ1 2022","Currency=USD","Period=FQ","BEST_FPERIOD_OVERRIDE=FQ","FILING_STATUS=MR","SCALING_FORMAT=MLN","Sort=A","Dates=H","DateFormat=P","Fill=—","Direction=H","UseDPDF=Y")</f>
        <v>—</v>
      </c>
      <c r="Q10" s="13" t="str">
        <f>_xll.BDH("SRPT US Equity","ARD_RESTRUCTURING_CHARGES_CF","FQ2 2022","FQ2 2022","Currency=USD","Period=FQ","BEST_FPERIOD_OVERRIDE=FQ","FILING_STATUS=MR","SCALING_FORMAT=MLN","Sort=A","Dates=H","DateFormat=P","Fill=—","Direction=H","UseDPDF=Y")</f>
        <v>—</v>
      </c>
      <c r="R10" s="13" t="str">
        <f>_xll.BDH("SRPT US Equity","ARD_RESTRUCTURING_CHARGES_CF","FQ3 2022","FQ3 2022","Currency=USD","Period=FQ","BEST_FPERIOD_OVERRIDE=FQ","FILING_STATUS=MR","SCALING_FORMAT=MLN","Sort=A","Dates=H","DateFormat=P","Fill=—","Direction=H","UseDPDF=Y")</f>
        <v>—</v>
      </c>
      <c r="S10" s="13" t="str">
        <f>_xll.BDH("SRPT US Equity","ARD_RESTRUCTURING_CHARGES_CF","FQ4 2022","FQ4 2022","Currency=USD","Period=FQ","BEST_FPERIOD_OVERRIDE=FQ","FILING_STATUS=MR","SCALING_FORMAT=MLN","Sort=A","Dates=H","DateFormat=P","Fill=—","Direction=H","UseDPDF=Y")</f>
        <v>—</v>
      </c>
      <c r="T10" s="13" t="str">
        <f>_xll.BDH("SRPT US Equity","ARD_RESTRUCTURING_CHARGES_CF","FQ1 2023","FQ1 2023","Currency=USD","Period=FQ","BEST_FPERIOD_OVERRIDE=FQ","FILING_STATUS=MR","SCALING_FORMAT=MLN","Sort=A","Dates=H","DateFormat=P","Fill=—","Direction=H","UseDPDF=Y")</f>
        <v>—</v>
      </c>
      <c r="U10" s="13" t="str">
        <f>_xll.BDH("SRPT US Equity","ARD_RESTRUCTURING_CHARGES_CF","FQ2 2023","FQ2 2023","Currency=USD","Period=FQ","BEST_FPERIOD_OVERRIDE=FQ","FILING_STATUS=MR","SCALING_FORMAT=MLN","Sort=A","Dates=H","DateFormat=P","Fill=—","Direction=H","UseDPDF=Y")</f>
        <v>—</v>
      </c>
      <c r="V10" s="13" t="str">
        <f>_xll.BDH("SRPT US Equity","ARD_RESTRUCTURING_CHARGES_CF","FQ3 2023","FQ3 2023","Currency=USD","Period=FQ","BEST_FPERIOD_OVERRIDE=FQ","FILING_STATUS=MR","SCALING_FORMAT=MLN","Sort=A","Dates=H","DateFormat=P","Fill=—","Direction=H","UseDPDF=Y")</f>
        <v>—</v>
      </c>
      <c r="W10" s="13" t="str">
        <f>_xll.BDH("SRPT US Equity","ARD_RESTRUCTURING_CHARGES_CF","FQ4 2023","FQ4 2023","Currency=USD","Period=FQ","BEST_FPERIOD_OVERRIDE=FQ","FILING_STATUS=MR","SCALING_FORMAT=MLN","Sort=A","Dates=H","DateFormat=P","Fill=—","Direction=H","UseDPDF=Y")</f>
        <v>—</v>
      </c>
      <c r="X10" s="13" t="str">
        <f>_xll.BDH("SRPT US Equity","ARD_RESTRUCTURING_CHARGES_CF","FQ1 2024","FQ1 2024","Currency=USD","Period=FQ","BEST_FPERIOD_OVERRIDE=FQ","FILING_STATUS=MR","SCALING_FORMAT=MLN","Sort=A","Dates=H","DateFormat=P","Fill=—","Direction=H","UseDPDF=Y")</f>
        <v>—</v>
      </c>
      <c r="Y10" s="13" t="str">
        <f>_xll.BDH("SRPT US Equity","ARD_RESTRUCTURING_CHARGES_CF","FQ2 2024","FQ2 2024","Currency=USD","Period=FQ","BEST_FPERIOD_OVERRIDE=FQ","FILING_STATUS=MR","SCALING_FORMAT=MLN","Sort=A","Dates=H","DateFormat=P","Fill=—","Direction=H","UseDPDF=Y")</f>
        <v>—</v>
      </c>
      <c r="Z10" s="13" t="str">
        <f>_xll.BDH("SRPT US Equity","ARD_RESTRUCTURING_CHARGES_CF","FQ3 2024","FQ3 2024","Currency=USD","Period=FQ","BEST_FPERIOD_OVERRIDE=FQ","FILING_STATUS=MR","SCALING_FORMAT=MLN","Sort=A","Dates=H","DateFormat=P","Fill=—","Direction=H","UseDPDF=Y")</f>
        <v>—</v>
      </c>
      <c r="AA10" s="13" t="str">
        <f>_xll.BDH("SRPT US Equity","ARD_RESTRUCTURING_CHARGES_CF","FQ4 2024","FQ4 2024","Currency=USD","Period=FQ","BEST_FPERIOD_OVERRIDE=FQ","FILING_STATUS=MR","SCALING_FORMAT=MLN","Sort=A","Dates=H","DateFormat=P","Fill=—","Direction=H","UseDPDF=Y")</f>
        <v>—</v>
      </c>
    </row>
    <row r="11" spans="1:27" x14ac:dyDescent="0.25">
      <c r="A11" s="10" t="s">
        <v>1274</v>
      </c>
      <c r="B11" s="10" t="s">
        <v>1275</v>
      </c>
      <c r="C11" s="13">
        <f>_xll.BDH("SRPT US Equity","ARD_DISPOSAL_SALE_OF_ASSETS","FQ4 2018","FQ4 2018","Currency=USD","Period=FQ","BEST_FPERIOD_OVERRIDE=FQ","FILING_STATUS=MR","SCALING_FORMAT=MLN","Sort=A","Dates=H","DateFormat=P","Fill=—","Direction=H","UseDPDF=Y")</f>
        <v>3.9380000000000002</v>
      </c>
      <c r="D11" s="13">
        <f>_xll.BDH("SRPT US Equity","ARD_DISPOSAL_SALE_OF_ASSETS","FQ1 2019","FQ1 2019","Currency=USD","Period=FQ","BEST_FPERIOD_OVERRIDE=FQ","FILING_STATUS=MR","SCALING_FORMAT=MLN","Sort=A","Dates=H","DateFormat=P","Fill=—","Direction=H","UseDPDF=Y")</f>
        <v>8.7999999999999995E-2</v>
      </c>
      <c r="E11" s="13" t="str">
        <f>_xll.BDH("SRPT US Equity","ARD_DISPOSAL_SALE_OF_ASSETS","FQ2 2019","FQ2 2019","Currency=USD","Period=FQ","BEST_FPERIOD_OVERRIDE=FQ","FILING_STATUS=MR","SCALING_FORMAT=MLN","Sort=A","Dates=H","DateFormat=P","Fill=—","Direction=H","UseDPDF=Y")</f>
        <v>—</v>
      </c>
      <c r="F11" s="13" t="str">
        <f>_xll.BDH("SRPT US Equity","ARD_DISPOSAL_SALE_OF_ASSETS","FQ3 2019","FQ3 2019","Currency=USD","Period=FQ","BEST_FPERIOD_OVERRIDE=FQ","FILING_STATUS=MR","SCALING_FORMAT=MLN","Sort=A","Dates=H","DateFormat=P","Fill=—","Direction=H","UseDPDF=Y")</f>
        <v>—</v>
      </c>
      <c r="G11" s="13" t="str">
        <f>_xll.BDH("SRPT US Equity","ARD_DISPOSAL_SALE_OF_ASSETS","FQ4 2019","FQ4 2019","Currency=USD","Period=FQ","BEST_FPERIOD_OVERRIDE=FQ","FILING_STATUS=MR","SCALING_FORMAT=MLN","Sort=A","Dates=H","DateFormat=P","Fill=—","Direction=H","UseDPDF=Y")</f>
        <v>—</v>
      </c>
      <c r="H11" s="13">
        <f>_xll.BDH("SRPT US Equity","ARD_DISPOSAL_SALE_OF_ASSETS","FQ1 2020","FQ1 2020","Currency=USD","Period=FQ","BEST_FPERIOD_OVERRIDE=FQ","FILING_STATUS=MR","SCALING_FORMAT=MLN","Sort=A","Dates=H","DateFormat=P","Fill=—","Direction=H","UseDPDF=Y")</f>
        <v>-108.069</v>
      </c>
      <c r="I11" s="13">
        <f>_xll.BDH("SRPT US Equity","ARD_DISPOSAL_SALE_OF_ASSETS","FQ2 2020","FQ2 2020","Currency=USD","Period=FQ","BEST_FPERIOD_OVERRIDE=FQ","FILING_STATUS=MR","SCALING_FORMAT=MLN","Sort=A","Dates=H","DateFormat=P","Fill=—","Direction=H","UseDPDF=Y")</f>
        <v>-108.069</v>
      </c>
      <c r="J11" s="13">
        <f>_xll.BDH("SRPT US Equity","ARD_DISPOSAL_SALE_OF_ASSETS","FQ3 2020","FQ3 2020","Currency=USD","Period=FQ","BEST_FPERIOD_OVERRIDE=FQ","FILING_STATUS=MR","SCALING_FORMAT=MLN","Sort=A","Dates=H","DateFormat=P","Fill=—","Direction=H","UseDPDF=Y")</f>
        <v>-108.069</v>
      </c>
      <c r="K11" s="13">
        <f>_xll.BDH("SRPT US Equity","ARD_DISPOSAL_SALE_OF_ASSETS","FQ4 2020","FQ4 2020","Currency=USD","Period=FQ","BEST_FPERIOD_OVERRIDE=FQ","FILING_STATUS=MR","SCALING_FORMAT=MLN","Sort=A","Dates=H","DateFormat=P","Fill=—","Direction=H","UseDPDF=Y")</f>
        <v>-108.069</v>
      </c>
      <c r="L11" s="13">
        <f>_xll.BDH("SRPT US Equity","ARD_DISPOSAL_SALE_OF_ASSETS","FQ1 2021","FQ1 2021","Currency=USD","Period=FQ","BEST_FPERIOD_OVERRIDE=FQ","FILING_STATUS=MR","SCALING_FORMAT=MLN","Sort=A","Dates=H","DateFormat=P","Fill=—","Direction=H","UseDPDF=Y")</f>
        <v>0</v>
      </c>
      <c r="M11" s="13">
        <f>_xll.BDH("SRPT US Equity","ARD_DISPOSAL_SALE_OF_ASSETS","FQ2 2021","FQ2 2021","Currency=USD","Period=FQ","BEST_FPERIOD_OVERRIDE=FQ","FILING_STATUS=MR","SCALING_FORMAT=MLN","Sort=A","Dates=H","DateFormat=P","Fill=—","Direction=H","UseDPDF=Y")</f>
        <v>-102</v>
      </c>
      <c r="N11" s="13">
        <f>_xll.BDH("SRPT US Equity","ARD_DISPOSAL_SALE_OF_ASSETS","FQ3 2021","FQ3 2021","Currency=USD","Period=FQ","BEST_FPERIOD_OVERRIDE=FQ","FILING_STATUS=MR","SCALING_FORMAT=MLN","Sort=A","Dates=H","DateFormat=P","Fill=—","Direction=H","UseDPDF=Y")</f>
        <v>-102</v>
      </c>
      <c r="O11" s="13">
        <f>_xll.BDH("SRPT US Equity","ARD_DISPOSAL_SALE_OF_ASSETS","FQ4 2021","FQ4 2021","Currency=USD","Period=FQ","BEST_FPERIOD_OVERRIDE=FQ","FILING_STATUS=MR","SCALING_FORMAT=MLN","Sort=A","Dates=H","DateFormat=P","Fill=—","Direction=H","UseDPDF=Y")</f>
        <v>-102</v>
      </c>
      <c r="P11" s="13" t="str">
        <f>_xll.BDH("SRPT US Equity","ARD_DISPOSAL_SALE_OF_ASSETS","FQ1 2022","FQ1 2022","Currency=USD","Period=FQ","BEST_FPERIOD_OVERRIDE=FQ","FILING_STATUS=MR","SCALING_FORMAT=MLN","Sort=A","Dates=H","DateFormat=P","Fill=—","Direction=H","UseDPDF=Y")</f>
        <v>—</v>
      </c>
      <c r="Q11" s="13">
        <f>_xll.BDH("SRPT US Equity","ARD_DISPOSAL_SALE_OF_ASSETS","FQ2 2022","FQ2 2022","Currency=USD","Period=FQ","BEST_FPERIOD_OVERRIDE=FQ","FILING_STATUS=MR","SCALING_FORMAT=MLN","Sort=A","Dates=H","DateFormat=P","Fill=—","Direction=H","UseDPDF=Y")</f>
        <v>5.37</v>
      </c>
      <c r="R11" s="13">
        <f>_xll.BDH("SRPT US Equity","ARD_DISPOSAL_SALE_OF_ASSETS","FQ3 2022","FQ3 2022","Currency=USD","Period=FQ","BEST_FPERIOD_OVERRIDE=FQ","FILING_STATUS=MR","SCALING_FORMAT=MLN","Sort=A","Dates=H","DateFormat=P","Fill=—","Direction=H","UseDPDF=Y")</f>
        <v>5.4560000000000004</v>
      </c>
      <c r="S11" s="13">
        <f>_xll.BDH("SRPT US Equity","ARD_DISPOSAL_SALE_OF_ASSETS","FQ4 2022","FQ4 2022","Currency=USD","Period=FQ","BEST_FPERIOD_OVERRIDE=FQ","FILING_STATUS=MR","SCALING_FORMAT=MLN","Sort=A","Dates=H","DateFormat=P","Fill=—","Direction=H","UseDPDF=Y")</f>
        <v>10.77</v>
      </c>
      <c r="T11" s="13" t="str">
        <f>_xll.BDH("SRPT US Equity","ARD_DISPOSAL_SALE_OF_ASSETS","FQ1 2023","FQ1 2023","Currency=USD","Period=FQ","BEST_FPERIOD_OVERRIDE=FQ","FILING_STATUS=MR","SCALING_FORMAT=MLN","Sort=A","Dates=H","DateFormat=P","Fill=—","Direction=H","UseDPDF=Y")</f>
        <v>—</v>
      </c>
      <c r="U11" s="13">
        <f>_xll.BDH("SRPT US Equity","ARD_DISPOSAL_SALE_OF_ASSETS","FQ2 2023","FQ2 2023","Currency=USD","Period=FQ","BEST_FPERIOD_OVERRIDE=FQ","FILING_STATUS=MR","SCALING_FORMAT=MLN","Sort=A","Dates=H","DateFormat=P","Fill=—","Direction=H","UseDPDF=Y")</f>
        <v>0.32200000000000001</v>
      </c>
      <c r="V11" s="13" t="str">
        <f>_xll.BDH("SRPT US Equity","ARD_DISPOSAL_SALE_OF_ASSETS","FQ3 2023","FQ3 2023","Currency=USD","Period=FQ","BEST_FPERIOD_OVERRIDE=FQ","FILING_STATUS=MR","SCALING_FORMAT=MLN","Sort=A","Dates=H","DateFormat=P","Fill=—","Direction=H","UseDPDF=Y")</f>
        <v>—</v>
      </c>
      <c r="W11" s="13">
        <f>_xll.BDH("SRPT US Equity","ARD_DISPOSAL_SALE_OF_ASSETS","FQ4 2023","FQ4 2023","Currency=USD","Period=FQ","BEST_FPERIOD_OVERRIDE=FQ","FILING_STATUS=MR","SCALING_FORMAT=MLN","Sort=A","Dates=H","DateFormat=P","Fill=—","Direction=H","UseDPDF=Y")</f>
        <v>-102</v>
      </c>
      <c r="X11" s="13" t="str">
        <f>_xll.BDH("SRPT US Equity","ARD_DISPOSAL_SALE_OF_ASSETS","FQ1 2024","FQ1 2024","Currency=USD","Period=FQ","BEST_FPERIOD_OVERRIDE=FQ","FILING_STATUS=MR","SCALING_FORMAT=MLN","Sort=A","Dates=H","DateFormat=P","Fill=—","Direction=H","UseDPDF=Y")</f>
        <v>—</v>
      </c>
      <c r="Y11" s="13" t="str">
        <f>_xll.BDH("SRPT US Equity","ARD_DISPOSAL_SALE_OF_ASSETS","FQ2 2024","FQ2 2024","Currency=USD","Period=FQ","BEST_FPERIOD_OVERRIDE=FQ","FILING_STATUS=MR","SCALING_FORMAT=MLN","Sort=A","Dates=H","DateFormat=P","Fill=—","Direction=H","UseDPDF=Y")</f>
        <v>—</v>
      </c>
      <c r="Z11" s="13" t="str">
        <f>_xll.BDH("SRPT US Equity","ARD_DISPOSAL_SALE_OF_ASSETS","FQ3 2024","FQ3 2024","Currency=USD","Period=FQ","BEST_FPERIOD_OVERRIDE=FQ","FILING_STATUS=MR","SCALING_FORMAT=MLN","Sort=A","Dates=H","DateFormat=P","Fill=—","Direction=H","UseDPDF=Y")</f>
        <v>—</v>
      </c>
      <c r="AA11" s="13">
        <f>_xll.BDH("SRPT US Equity","ARD_DISPOSAL_SALE_OF_ASSETS","FQ4 2024","FQ4 2024","Currency=USD","Period=FQ","BEST_FPERIOD_OVERRIDE=FQ","FILING_STATUS=MR","SCALING_FORMAT=MLN","Sort=A","Dates=H","DateFormat=P","Fill=—","Direction=H","UseDPDF=Y")</f>
        <v>0</v>
      </c>
    </row>
    <row r="12" spans="1:27" x14ac:dyDescent="0.25">
      <c r="A12" s="10" t="s">
        <v>666</v>
      </c>
      <c r="B12" s="10" t="s">
        <v>1276</v>
      </c>
      <c r="C12" s="13">
        <f>_xll.BDH("SRPT US Equity","ARD_STOCK_BASED_COMPENSATION","FQ4 2018","FQ4 2018","Currency=USD","Period=FQ","BEST_FPERIOD_OVERRIDE=FQ","FILING_STATUS=MR","SCALING_FORMAT=MLN","Sort=A","Dates=H","DateFormat=P","Fill=—","Direction=H","UseDPDF=Y")</f>
        <v>50.127000000000002</v>
      </c>
      <c r="D12" s="13">
        <f>_xll.BDH("SRPT US Equity","ARD_STOCK_BASED_COMPENSATION","FQ1 2019","FQ1 2019","Currency=USD","Period=FQ","BEST_FPERIOD_OVERRIDE=FQ","FILING_STATUS=MR","SCALING_FORMAT=MLN","Sort=A","Dates=H","DateFormat=P","Fill=—","Direction=H","UseDPDF=Y")</f>
        <v>16.138999999999999</v>
      </c>
      <c r="E12" s="13">
        <f>_xll.BDH("SRPT US Equity","ARD_STOCK_BASED_COMPENSATION","FQ2 2019","FQ2 2019","Currency=USD","Period=FQ","BEST_FPERIOD_OVERRIDE=FQ","FILING_STATUS=MR","SCALING_FORMAT=MLN","Sort=A","Dates=H","DateFormat=P","Fill=—","Direction=H","UseDPDF=Y")</f>
        <v>35.901000000000003</v>
      </c>
      <c r="F12" s="13">
        <f>_xll.BDH("SRPT US Equity","ARD_STOCK_BASED_COMPENSATION","FQ3 2019","FQ3 2019","Currency=USD","Period=FQ","BEST_FPERIOD_OVERRIDE=FQ","FILING_STATUS=MR","SCALING_FORMAT=MLN","Sort=A","Dates=H","DateFormat=P","Fill=—","Direction=H","UseDPDF=Y")</f>
        <v>56.537999999999997</v>
      </c>
      <c r="G12" s="13">
        <f>_xll.BDH("SRPT US Equity","ARD_STOCK_BASED_COMPENSATION","FQ4 2019","FQ4 2019","Currency=USD","Period=FQ","BEST_FPERIOD_OVERRIDE=FQ","FILING_STATUS=MR","SCALING_FORMAT=MLN","Sort=A","Dates=H","DateFormat=P","Fill=—","Direction=H","UseDPDF=Y")</f>
        <v>78.602000000000004</v>
      </c>
      <c r="H12" s="13">
        <f>_xll.BDH("SRPT US Equity","ARD_STOCK_BASED_COMPENSATION","FQ1 2020","FQ1 2020","Currency=USD","Period=FQ","BEST_FPERIOD_OVERRIDE=FQ","FILING_STATUS=MR","SCALING_FORMAT=MLN","Sort=A","Dates=H","DateFormat=P","Fill=—","Direction=H","UseDPDF=Y")</f>
        <v>24.024000000000001</v>
      </c>
      <c r="I12" s="13">
        <f>_xll.BDH("SRPT US Equity","ARD_STOCK_BASED_COMPENSATION","FQ2 2020","FQ2 2020","Currency=USD","Period=FQ","BEST_FPERIOD_OVERRIDE=FQ","FILING_STATUS=MR","SCALING_FORMAT=MLN","Sort=A","Dates=H","DateFormat=P","Fill=—","Direction=H","UseDPDF=Y")</f>
        <v>51.64</v>
      </c>
      <c r="J12" s="13">
        <f>_xll.BDH("SRPT US Equity","ARD_STOCK_BASED_COMPENSATION","FQ3 2020","FQ3 2020","Currency=USD","Period=FQ","BEST_FPERIOD_OVERRIDE=FQ","FILING_STATUS=MR","SCALING_FORMAT=MLN","Sort=A","Dates=H","DateFormat=P","Fill=—","Direction=H","UseDPDF=Y")</f>
        <v>78.543000000000006</v>
      </c>
      <c r="K12" s="13">
        <f>_xll.BDH("SRPT US Equity","ARD_STOCK_BASED_COMPENSATION","FQ4 2020","FQ4 2020","Currency=USD","Period=FQ","BEST_FPERIOD_OVERRIDE=FQ","FILING_STATUS=MR","SCALING_FORMAT=MLN","Sort=A","Dates=H","DateFormat=P","Fill=—","Direction=H","UseDPDF=Y")</f>
        <v>108.07</v>
      </c>
      <c r="L12" s="13">
        <f>_xll.BDH("SRPT US Equity","ARD_STOCK_BASED_COMPENSATION","FQ1 2021","FQ1 2021","Currency=USD","Period=FQ","BEST_FPERIOD_OVERRIDE=FQ","FILING_STATUS=MR","SCALING_FORMAT=MLN","Sort=A","Dates=H","DateFormat=P","Fill=—","Direction=H","UseDPDF=Y")</f>
        <v>28.507999999999999</v>
      </c>
      <c r="M12" s="13">
        <f>_xll.BDH("SRPT US Equity","ARD_STOCK_BASED_COMPENSATION","FQ2 2021","FQ2 2021","Currency=USD","Period=FQ","BEST_FPERIOD_OVERRIDE=FQ","FILING_STATUS=MR","SCALING_FORMAT=MLN","Sort=A","Dates=H","DateFormat=P","Fill=—","Direction=H","UseDPDF=Y")</f>
        <v>57.476999999999997</v>
      </c>
      <c r="N12" s="13">
        <f>_xll.BDH("SRPT US Equity","ARD_STOCK_BASED_COMPENSATION","FQ3 2021","FQ3 2021","Currency=USD","Period=FQ","BEST_FPERIOD_OVERRIDE=FQ","FILING_STATUS=MR","SCALING_FORMAT=MLN","Sort=A","Dates=H","DateFormat=P","Fill=—","Direction=H","UseDPDF=Y")</f>
        <v>84.161000000000001</v>
      </c>
      <c r="O12" s="13">
        <f>_xll.BDH("SRPT US Equity","ARD_STOCK_BASED_COMPENSATION","FQ4 2021","FQ4 2021","Currency=USD","Period=FQ","BEST_FPERIOD_OVERRIDE=FQ","FILING_STATUS=MR","SCALING_FORMAT=MLN","Sort=A","Dates=H","DateFormat=P","Fill=—","Direction=H","UseDPDF=Y")</f>
        <v>113.943</v>
      </c>
      <c r="P12" s="13">
        <f>_xll.BDH("SRPT US Equity","ARD_STOCK_BASED_COMPENSATION","FQ1 2022","FQ1 2022","Currency=USD","Period=FQ","BEST_FPERIOD_OVERRIDE=FQ","FILING_STATUS=MR","SCALING_FORMAT=MLN","Sort=A","Dates=H","DateFormat=P","Fill=—","Direction=H","UseDPDF=Y")</f>
        <v>29.198</v>
      </c>
      <c r="Q12" s="13">
        <f>_xll.BDH("SRPT US Equity","ARD_STOCK_BASED_COMPENSATION","FQ2 2022","FQ2 2022","Currency=USD","Period=FQ","BEST_FPERIOD_OVERRIDE=FQ","FILING_STATUS=MR","SCALING_FORMAT=MLN","Sort=A","Dates=H","DateFormat=P","Fill=—","Direction=H","UseDPDF=Y")</f>
        <v>132.09</v>
      </c>
      <c r="R12" s="13">
        <f>_xll.BDH("SRPT US Equity","ARD_STOCK_BASED_COMPENSATION","FQ3 2022","FQ3 2022","Currency=USD","Period=FQ","BEST_FPERIOD_OVERRIDE=FQ","FILING_STATUS=MR","SCALING_FORMAT=MLN","Sort=A","Dates=H","DateFormat=P","Fill=—","Direction=H","UseDPDF=Y")</f>
        <v>182.50800000000001</v>
      </c>
      <c r="S12" s="13">
        <f>_xll.BDH("SRPT US Equity","ARD_STOCK_BASED_COMPENSATION","FQ4 2022","FQ4 2022","Currency=USD","Period=FQ","BEST_FPERIOD_OVERRIDE=FQ","FILING_STATUS=MR","SCALING_FORMAT=MLN","Sort=A","Dates=H","DateFormat=P","Fill=—","Direction=H","UseDPDF=Y")</f>
        <v>233.018</v>
      </c>
      <c r="T12" s="13">
        <f>_xll.BDH("SRPT US Equity","ARD_STOCK_BASED_COMPENSATION","FQ1 2023","FQ1 2023","Currency=USD","Period=FQ","BEST_FPERIOD_OVERRIDE=FQ","FILING_STATUS=MR","SCALING_FORMAT=MLN","Sort=A","Dates=H","DateFormat=P","Fill=—","Direction=H","UseDPDF=Y")</f>
        <v>41.25</v>
      </c>
      <c r="U12" s="13">
        <f>_xll.BDH("SRPT US Equity","ARD_STOCK_BASED_COMPENSATION","FQ2 2023","FQ2 2023","Currency=USD","Period=FQ","BEST_FPERIOD_OVERRIDE=FQ","FILING_STATUS=MR","SCALING_FORMAT=MLN","Sort=A","Dates=H","DateFormat=P","Fill=—","Direction=H","UseDPDF=Y")</f>
        <v>88.626999999999995</v>
      </c>
      <c r="V12" s="13">
        <f>_xll.BDH("SRPT US Equity","ARD_STOCK_BASED_COMPENSATION","FQ3 2023","FQ3 2023","Currency=USD","Period=FQ","BEST_FPERIOD_OVERRIDE=FQ","FILING_STATUS=MR","SCALING_FORMAT=MLN","Sort=A","Dates=H","DateFormat=P","Fill=—","Direction=H","UseDPDF=Y")</f>
        <v>136.68799999999999</v>
      </c>
      <c r="W12" s="13">
        <f>_xll.BDH("SRPT US Equity","ARD_STOCK_BASED_COMPENSATION","FQ4 2023","FQ4 2023","Currency=USD","Period=FQ","BEST_FPERIOD_OVERRIDE=FQ","FILING_STATUS=MR","SCALING_FORMAT=MLN","Sort=A","Dates=H","DateFormat=P","Fill=—","Direction=H","UseDPDF=Y")</f>
        <v>182.51400000000001</v>
      </c>
      <c r="X12" s="13">
        <f>_xll.BDH("SRPT US Equity","ARD_STOCK_BASED_COMPENSATION","FQ1 2024","FQ1 2024","Currency=USD","Period=FQ","BEST_FPERIOD_OVERRIDE=FQ","FILING_STATUS=MR","SCALING_FORMAT=MLN","Sort=A","Dates=H","DateFormat=P","Fill=—","Direction=H","UseDPDF=Y")</f>
        <v>40.692</v>
      </c>
      <c r="Y12" s="13">
        <f>_xll.BDH("SRPT US Equity","ARD_STOCK_BASED_COMPENSATION","FQ2 2024","FQ2 2024","Currency=USD","Period=FQ","BEST_FPERIOD_OVERRIDE=FQ","FILING_STATUS=MR","SCALING_FORMAT=MLN","Sort=A","Dates=H","DateFormat=P","Fill=—","Direction=H","UseDPDF=Y")</f>
        <v>91.174000000000007</v>
      </c>
      <c r="Z12" s="13">
        <f>_xll.BDH("SRPT US Equity","ARD_STOCK_BASED_COMPENSATION","FQ3 2024","FQ3 2024","Currency=USD","Period=FQ","BEST_FPERIOD_OVERRIDE=FQ","FILING_STATUS=MR","SCALING_FORMAT=MLN","Sort=A","Dates=H","DateFormat=P","Fill=—","Direction=H","UseDPDF=Y")</f>
        <v>134.624</v>
      </c>
      <c r="AA12" s="13">
        <f>_xll.BDH("SRPT US Equity","ARD_STOCK_BASED_COMPENSATION","FQ4 2024","FQ4 2024","Currency=USD","Period=FQ","BEST_FPERIOD_OVERRIDE=FQ","FILING_STATUS=MR","SCALING_FORMAT=MLN","Sort=A","Dates=H","DateFormat=P","Fill=—","Direction=H","UseDPDF=Y")</f>
        <v>184.3</v>
      </c>
    </row>
    <row r="13" spans="1:27" x14ac:dyDescent="0.25">
      <c r="A13" s="10" t="s">
        <v>1277</v>
      </c>
      <c r="B13" s="10" t="s">
        <v>1278</v>
      </c>
      <c r="C13" s="13">
        <f>_xll.BDH("SRPT US Equity","ARD_OTHER_NON_CASH_ITEMS","FQ4 2018","FQ4 2018","Currency=USD","Period=FQ","BEST_FPERIOD_OVERRIDE=FQ","FILING_STATUS=MR","SCALING_FORMAT=MLN","Sort=A","Dates=H","DateFormat=P","Fill=—","Direction=H","UseDPDF=Y")</f>
        <v>0</v>
      </c>
      <c r="D13" s="13" t="str">
        <f>_xll.BDH("SRPT US Equity","ARD_OTHER_NON_CASH_ITEMS","FQ1 2019","FQ1 2019","Currency=USD","Period=FQ","BEST_FPERIOD_OVERRIDE=FQ","FILING_STATUS=MR","SCALING_FORMAT=MLN","Sort=A","Dates=H","DateFormat=P","Fill=—","Direction=H","UseDPDF=Y")</f>
        <v>—</v>
      </c>
      <c r="E13" s="13">
        <f>_xll.BDH("SRPT US Equity","ARD_OTHER_NON_CASH_ITEMS","FQ2 2019","FQ2 2019","Currency=USD","Period=FQ","BEST_FPERIOD_OVERRIDE=FQ","FILING_STATUS=MR","SCALING_FORMAT=MLN","Sort=A","Dates=H","DateFormat=P","Fill=—","Direction=H","UseDPDF=Y")</f>
        <v>0.89200000000000002</v>
      </c>
      <c r="F13" s="13">
        <f>_xll.BDH("SRPT US Equity","ARD_OTHER_NON_CASH_ITEMS","FQ3 2019","FQ3 2019","Currency=USD","Period=FQ","BEST_FPERIOD_OVERRIDE=FQ","FILING_STATUS=MR","SCALING_FORMAT=MLN","Sort=A","Dates=H","DateFormat=P","Fill=—","Direction=H","UseDPDF=Y")</f>
        <v>0.89200000000000002</v>
      </c>
      <c r="G13" s="13">
        <f>_xll.BDH("SRPT US Equity","ARD_OTHER_NON_CASH_ITEMS","FQ4 2019","FQ4 2019","Currency=USD","Period=FQ","BEST_FPERIOD_OVERRIDE=FQ","FILING_STATUS=MR","SCALING_FORMAT=MLN","Sort=A","Dates=H","DateFormat=P","Fill=—","Direction=H","UseDPDF=Y")</f>
        <v>30.105</v>
      </c>
      <c r="H13" s="13">
        <f>_xll.BDH("SRPT US Equity","ARD_OTHER_NON_CASH_ITEMS","FQ1 2020","FQ1 2020","Currency=USD","Period=FQ","BEST_FPERIOD_OVERRIDE=FQ","FILING_STATUS=MR","SCALING_FORMAT=MLN","Sort=A","Dates=H","DateFormat=P","Fill=—","Direction=H","UseDPDF=Y")</f>
        <v>7.1139999999999999</v>
      </c>
      <c r="I13" s="13">
        <f>_xll.BDH("SRPT US Equity","ARD_OTHER_NON_CASH_ITEMS","FQ2 2020","FQ2 2020","Currency=USD","Period=FQ","BEST_FPERIOD_OVERRIDE=FQ","FILING_STATUS=MR","SCALING_FORMAT=MLN","Sort=A","Dates=H","DateFormat=P","Fill=—","Direction=H","UseDPDF=Y")</f>
        <v>4.5890000000000004</v>
      </c>
      <c r="J13" s="13">
        <f>_xll.BDH("SRPT US Equity","ARD_OTHER_NON_CASH_ITEMS","FQ3 2020","FQ3 2020","Currency=USD","Period=FQ","BEST_FPERIOD_OVERRIDE=FQ","FILING_STATUS=MR","SCALING_FORMAT=MLN","Sort=A","Dates=H","DateFormat=P","Fill=—","Direction=H","UseDPDF=Y")</f>
        <v>8.8239999999999998</v>
      </c>
      <c r="K13" s="13">
        <f>_xll.BDH("SRPT US Equity","ARD_OTHER_NON_CASH_ITEMS","FQ4 2020","FQ4 2020","Currency=USD","Period=FQ","BEST_FPERIOD_OVERRIDE=FQ","FILING_STATUS=MR","SCALING_FORMAT=MLN","Sort=A","Dates=H","DateFormat=P","Fill=—","Direction=H","UseDPDF=Y")</f>
        <v>12.358000000000001</v>
      </c>
      <c r="L13" s="13">
        <f>_xll.BDH("SRPT US Equity","ARD_OTHER_NON_CASH_ITEMS","FQ1 2021","FQ1 2021","Currency=USD","Period=FQ","BEST_FPERIOD_OVERRIDE=FQ","FILING_STATUS=MR","SCALING_FORMAT=MLN","Sort=A","Dates=H","DateFormat=P","Fill=—","Direction=H","UseDPDF=Y")</f>
        <v>4.9939999999999998</v>
      </c>
      <c r="M13" s="13">
        <f>_xll.BDH("SRPT US Equity","ARD_OTHER_NON_CASH_ITEMS","FQ2 2021","FQ2 2021","Currency=USD","Period=FQ","BEST_FPERIOD_OVERRIDE=FQ","FILING_STATUS=MR","SCALING_FORMAT=MLN","Sort=A","Dates=H","DateFormat=P","Fill=—","Direction=H","UseDPDF=Y")</f>
        <v>9.8089999999999993</v>
      </c>
      <c r="N13" s="13">
        <f>_xll.BDH("SRPT US Equity","ARD_OTHER_NON_CASH_ITEMS","FQ3 2021","FQ3 2021","Currency=USD","Period=FQ","BEST_FPERIOD_OVERRIDE=FQ","FILING_STATUS=MR","SCALING_FORMAT=MLN","Sort=A","Dates=H","DateFormat=P","Fill=—","Direction=H","UseDPDF=Y")</f>
        <v>14.076000000000001</v>
      </c>
      <c r="O13" s="13">
        <f>_xll.BDH("SRPT US Equity","ARD_OTHER_NON_CASH_ITEMS","FQ4 2021","FQ4 2021","Currency=USD","Period=FQ","BEST_FPERIOD_OVERRIDE=FQ","FILING_STATUS=MR","SCALING_FORMAT=MLN","Sort=A","Dates=H","DateFormat=P","Fill=—","Direction=H","UseDPDF=Y")</f>
        <v>7.62</v>
      </c>
      <c r="P13" s="13">
        <f>_xll.BDH("SRPT US Equity","ARD_OTHER_NON_CASH_ITEMS","FQ1 2022","FQ1 2022","Currency=USD","Period=FQ","BEST_FPERIOD_OVERRIDE=FQ","FILING_STATUS=MR","SCALING_FORMAT=MLN","Sort=A","Dates=H","DateFormat=P","Fill=—","Direction=H","UseDPDF=Y")</f>
        <v>5.4930000000000003</v>
      </c>
      <c r="Q13" s="13">
        <f>_xll.BDH("SRPT US Equity","ARD_OTHER_NON_CASH_ITEMS","FQ2 2022","FQ2 2022","Currency=USD","Period=FQ","BEST_FPERIOD_OVERRIDE=FQ","FILING_STATUS=MR","SCALING_FORMAT=MLN","Sort=A","Dates=H","DateFormat=P","Fill=—","Direction=H","UseDPDF=Y")</f>
        <v>4.5229999999999997</v>
      </c>
      <c r="R13" s="13">
        <f>_xll.BDH("SRPT US Equity","ARD_OTHER_NON_CASH_ITEMS","FQ3 2022","FQ3 2022","Currency=USD","Period=FQ","BEST_FPERIOD_OVERRIDE=FQ","FILING_STATUS=MR","SCALING_FORMAT=MLN","Sort=A","Dates=H","DateFormat=P","Fill=—","Direction=H","UseDPDF=Y")</f>
        <v>11.351000000000001</v>
      </c>
      <c r="S13" s="13">
        <f>_xll.BDH("SRPT US Equity","ARD_OTHER_NON_CASH_ITEMS","FQ4 2022","FQ4 2022","Currency=USD","Period=FQ","BEST_FPERIOD_OVERRIDE=FQ","FILING_STATUS=MR","SCALING_FORMAT=MLN","Sort=A","Dates=H","DateFormat=P","Fill=—","Direction=H","UseDPDF=Y")</f>
        <v>-9.6430000000000007</v>
      </c>
      <c r="T13" s="13">
        <f>_xll.BDH("SRPT US Equity","ARD_OTHER_NON_CASH_ITEMS","FQ1 2023","FQ1 2023","Currency=USD","Period=FQ","BEST_FPERIOD_OVERRIDE=FQ","FILING_STATUS=MR","SCALING_FORMAT=MLN","Sort=A","Dates=H","DateFormat=P","Fill=—","Direction=H","UseDPDF=Y")</f>
        <v>-3.4689999999999999</v>
      </c>
      <c r="U13" s="13">
        <f>_xll.BDH("SRPT US Equity","ARD_OTHER_NON_CASH_ITEMS","FQ2 2023","FQ2 2023","Currency=USD","Period=FQ","BEST_FPERIOD_OVERRIDE=FQ","FILING_STATUS=MR","SCALING_FORMAT=MLN","Sort=A","Dates=H","DateFormat=P","Fill=—","Direction=H","UseDPDF=Y")</f>
        <v>-122.72199999999999</v>
      </c>
      <c r="V13" s="13">
        <f>_xll.BDH("SRPT US Equity","ARD_OTHER_NON_CASH_ITEMS","FQ3 2023","FQ3 2023","Currency=USD","Period=FQ","BEST_FPERIOD_OVERRIDE=FQ","FILING_STATUS=MR","SCALING_FORMAT=MLN","Sort=A","Dates=H","DateFormat=P","Fill=—","Direction=H","UseDPDF=Y")</f>
        <v>-122.687</v>
      </c>
      <c r="W13" s="13">
        <f>_xll.BDH("SRPT US Equity","ARD_OTHER_NON_CASH_ITEMS","FQ4 2023","FQ4 2023","Currency=USD","Period=FQ","BEST_FPERIOD_OVERRIDE=FQ","FILING_STATUS=MR","SCALING_FORMAT=MLN","Sort=A","Dates=H","DateFormat=P","Fill=—","Direction=H","UseDPDF=Y")</f>
        <v>-46.139000000000003</v>
      </c>
      <c r="X13" s="13">
        <f>_xll.BDH("SRPT US Equity","ARD_OTHER_NON_CASH_ITEMS","FQ1 2024","FQ1 2024","Currency=USD","Period=FQ","BEST_FPERIOD_OVERRIDE=FQ","FILING_STATUS=MR","SCALING_FORMAT=MLN","Sort=A","Dates=H","DateFormat=P","Fill=—","Direction=H","UseDPDF=Y")</f>
        <v>1.651</v>
      </c>
      <c r="Y13" s="13">
        <f>_xll.BDH("SRPT US Equity","ARD_OTHER_NON_CASH_ITEMS","FQ2 2024","FQ2 2024","Currency=USD","Period=FQ","BEST_FPERIOD_OVERRIDE=FQ","FILING_STATUS=MR","SCALING_FORMAT=MLN","Sort=A","Dates=H","DateFormat=P","Fill=—","Direction=H","UseDPDF=Y")</f>
        <v>-13.826000000000001</v>
      </c>
      <c r="Z13" s="13">
        <f>_xll.BDH("SRPT US Equity","ARD_OTHER_NON_CASH_ITEMS","FQ3 2024","FQ3 2024","Currency=USD","Period=FQ","BEST_FPERIOD_OVERRIDE=FQ","FILING_STATUS=MR","SCALING_FORMAT=MLN","Sort=A","Dates=H","DateFormat=P","Fill=—","Direction=H","UseDPDF=Y")</f>
        <v>31.094999999999999</v>
      </c>
      <c r="AA13" s="13">
        <f>_xll.BDH("SRPT US Equity","ARD_OTHER_NON_CASH_ITEMS","FQ4 2024","FQ4 2024","Currency=USD","Period=FQ","BEST_FPERIOD_OVERRIDE=FQ","FILING_STATUS=MR","SCALING_FORMAT=MLN","Sort=A","Dates=H","DateFormat=P","Fill=—","Direction=H","UseDPDF=Y")</f>
        <v>24.6</v>
      </c>
    </row>
    <row r="14" spans="1:27" x14ac:dyDescent="0.25">
      <c r="A14" s="10" t="s">
        <v>1279</v>
      </c>
      <c r="B14" s="10" t="s">
        <v>1280</v>
      </c>
      <c r="C14" s="13">
        <f>_xll.BDH("SRPT US Equity","ARD_CHANGE_IN_INVENTORIES","FQ4 2018","FQ4 2018","Currency=USD","Period=FQ","BEST_FPERIOD_OVERRIDE=FQ","FILING_STATUS=MR","SCALING_FORMAT=MLN","Sort=A","Dates=H","DateFormat=P","Fill=—","Direction=H","UseDPDF=Y")</f>
        <v>-41.84</v>
      </c>
      <c r="D14" s="13">
        <f>_xll.BDH("SRPT US Equity","ARD_CHANGE_IN_INVENTORIES","FQ1 2019","FQ1 2019","Currency=USD","Period=FQ","BEST_FPERIOD_OVERRIDE=FQ","FILING_STATUS=MR","SCALING_FORMAT=MLN","Sort=A","Dates=H","DateFormat=P","Fill=—","Direction=H","UseDPDF=Y")</f>
        <v>-15.022</v>
      </c>
      <c r="E14" s="13">
        <f>_xll.BDH("SRPT US Equity","ARD_CHANGE_IN_INVENTORIES","FQ2 2019","FQ2 2019","Currency=USD","Period=FQ","BEST_FPERIOD_OVERRIDE=FQ","FILING_STATUS=MR","SCALING_FORMAT=MLN","Sort=A","Dates=H","DateFormat=P","Fill=—","Direction=H","UseDPDF=Y")</f>
        <v>-31.123999999999999</v>
      </c>
      <c r="F14" s="13">
        <f>_xll.BDH("SRPT US Equity","ARD_CHANGE_IN_INVENTORIES","FQ3 2019","FQ3 2019","Currency=USD","Period=FQ","BEST_FPERIOD_OVERRIDE=FQ","FILING_STATUS=MR","SCALING_FORMAT=MLN","Sort=A","Dates=H","DateFormat=P","Fill=—","Direction=H","UseDPDF=Y")</f>
        <v>-40.914999999999999</v>
      </c>
      <c r="G14" s="13">
        <f>_xll.BDH("SRPT US Equity","ARD_CHANGE_IN_INVENTORIES","FQ4 2019","FQ4 2019","Currency=USD","Period=FQ","BEST_FPERIOD_OVERRIDE=FQ","FILING_STATUS=MR","SCALING_FORMAT=MLN","Sort=A","Dates=H","DateFormat=P","Fill=—","Direction=H","UseDPDF=Y")</f>
        <v>-45.933999999999997</v>
      </c>
      <c r="H14" s="13">
        <f>_xll.BDH("SRPT US Equity","ARD_CHANGE_IN_INVENTORIES","FQ1 2020","FQ1 2020","Currency=USD","Period=FQ","BEST_FPERIOD_OVERRIDE=FQ","FILING_STATUS=MR","SCALING_FORMAT=MLN","Sort=A","Dates=H","DateFormat=P","Fill=—","Direction=H","UseDPDF=Y")</f>
        <v>-1.7889999999999999</v>
      </c>
      <c r="I14" s="13">
        <f>_xll.BDH("SRPT US Equity","ARD_CHANGE_IN_INVENTORIES","FQ2 2020","FQ2 2020","Currency=USD","Period=FQ","BEST_FPERIOD_OVERRIDE=FQ","FILING_STATUS=MR","SCALING_FORMAT=MLN","Sort=A","Dates=H","DateFormat=P","Fill=—","Direction=H","UseDPDF=Y")</f>
        <v>-8.2710000000000008</v>
      </c>
      <c r="J14" s="13">
        <f>_xll.BDH("SRPT US Equity","ARD_CHANGE_IN_INVENTORIES","FQ3 2020","FQ3 2020","Currency=USD","Period=FQ","BEST_FPERIOD_OVERRIDE=FQ","FILING_STATUS=MR","SCALING_FORMAT=MLN","Sort=A","Dates=H","DateFormat=P","Fill=—","Direction=H","UseDPDF=Y")</f>
        <v>-48.738999999999997</v>
      </c>
      <c r="K14" s="13">
        <f>_xll.BDH("SRPT US Equity","ARD_CHANGE_IN_INVENTORIES","FQ4 2020","FQ4 2020","Currency=USD","Period=FQ","BEST_FPERIOD_OVERRIDE=FQ","FILING_STATUS=MR","SCALING_FORMAT=MLN","Sort=A","Dates=H","DateFormat=P","Fill=—","Direction=H","UseDPDF=Y")</f>
        <v>-60.582000000000001</v>
      </c>
      <c r="L14" s="13">
        <f>_xll.BDH("SRPT US Equity","ARD_CHANGE_IN_INVENTORIES","FQ1 2021","FQ1 2021","Currency=USD","Period=FQ","BEST_FPERIOD_OVERRIDE=FQ","FILING_STATUS=MR","SCALING_FORMAT=MLN","Sort=A","Dates=H","DateFormat=P","Fill=—","Direction=H","UseDPDF=Y")</f>
        <v>-8.3719999999999999</v>
      </c>
      <c r="M14" s="13">
        <f>_xll.BDH("SRPT US Equity","ARD_CHANGE_IN_INVENTORIES","FQ2 2021","FQ2 2021","Currency=USD","Period=FQ","BEST_FPERIOD_OVERRIDE=FQ","FILING_STATUS=MR","SCALING_FORMAT=MLN","Sort=A","Dates=H","DateFormat=P","Fill=—","Direction=H","UseDPDF=Y")</f>
        <v>-36.795000000000002</v>
      </c>
      <c r="N14" s="13">
        <f>_xll.BDH("SRPT US Equity","ARD_CHANGE_IN_INVENTORIES","FQ3 2021","FQ3 2021","Currency=USD","Period=FQ","BEST_FPERIOD_OVERRIDE=FQ","FILING_STATUS=MR","SCALING_FORMAT=MLN","Sort=A","Dates=H","DateFormat=P","Fill=—","Direction=H","UseDPDF=Y")</f>
        <v>-56.508000000000003</v>
      </c>
      <c r="O14" s="13">
        <f>_xll.BDH("SRPT US Equity","ARD_CHANGE_IN_INVENTORIES","FQ4 2021","FQ4 2021","Currency=USD","Period=FQ","BEST_FPERIOD_OVERRIDE=FQ","FILING_STATUS=MR","SCALING_FORMAT=MLN","Sort=A","Dates=H","DateFormat=P","Fill=—","Direction=H","UseDPDF=Y")</f>
        <v>-83.772000000000006</v>
      </c>
      <c r="P14" s="13">
        <f>_xll.BDH("SRPT US Equity","ARD_CHANGE_IN_INVENTORIES","FQ1 2022","FQ1 2022","Currency=USD","Period=FQ","BEST_FPERIOD_OVERRIDE=FQ","FILING_STATUS=MR","SCALING_FORMAT=MLN","Sort=A","Dates=H","DateFormat=P","Fill=—","Direction=H","UseDPDF=Y")</f>
        <v>-4.6870000000000003</v>
      </c>
      <c r="Q14" s="13">
        <f>_xll.BDH("SRPT US Equity","ARD_CHANGE_IN_INVENTORIES","FQ2 2022","FQ2 2022","Currency=USD","Period=FQ","BEST_FPERIOD_OVERRIDE=FQ","FILING_STATUS=MR","SCALING_FORMAT=MLN","Sort=A","Dates=H","DateFormat=P","Fill=—","Direction=H","UseDPDF=Y")</f>
        <v>-15.364000000000001</v>
      </c>
      <c r="R14" s="13">
        <f>_xll.BDH("SRPT US Equity","ARD_CHANGE_IN_INVENTORIES","FQ3 2022","FQ3 2022","Currency=USD","Period=FQ","BEST_FPERIOD_OVERRIDE=FQ","FILING_STATUS=MR","SCALING_FORMAT=MLN","Sort=A","Dates=H","DateFormat=P","Fill=—","Direction=H","UseDPDF=Y")</f>
        <v>-41.9</v>
      </c>
      <c r="S14" s="13">
        <f>_xll.BDH("SRPT US Equity","ARD_CHANGE_IN_INVENTORIES","FQ4 2022","FQ4 2022","Currency=USD","Period=FQ","BEST_FPERIOD_OVERRIDE=FQ","FILING_STATUS=MR","SCALING_FORMAT=MLN","Sort=A","Dates=H","DateFormat=P","Fill=—","Direction=H","UseDPDF=Y")</f>
        <v>-50.78</v>
      </c>
      <c r="T14" s="13">
        <f>_xll.BDH("SRPT US Equity","ARD_CHANGE_IN_INVENTORIES","FQ1 2023","FQ1 2023","Currency=USD","Period=FQ","BEST_FPERIOD_OVERRIDE=FQ","FILING_STATUS=MR","SCALING_FORMAT=MLN","Sort=A","Dates=H","DateFormat=P","Fill=—","Direction=H","UseDPDF=Y")</f>
        <v>-0.30599999999999999</v>
      </c>
      <c r="U14" s="13">
        <f>_xll.BDH("SRPT US Equity","ARD_CHANGE_IN_INVENTORIES","FQ2 2023","FQ2 2023","Currency=USD","Period=FQ","BEST_FPERIOD_OVERRIDE=FQ","FILING_STATUS=MR","SCALING_FORMAT=MLN","Sort=A","Dates=H","DateFormat=P","Fill=—","Direction=H","UseDPDF=Y")</f>
        <v>-26.998000000000001</v>
      </c>
      <c r="V14" s="13">
        <f>_xll.BDH("SRPT US Equity","ARD_CHANGE_IN_INVENTORIES","FQ3 2023","FQ3 2023","Currency=USD","Period=FQ","BEST_FPERIOD_OVERRIDE=FQ","FILING_STATUS=MR","SCALING_FORMAT=MLN","Sort=A","Dates=H","DateFormat=P","Fill=—","Direction=H","UseDPDF=Y")</f>
        <v>-53.61</v>
      </c>
      <c r="W14" s="13">
        <f>_xll.BDH("SRPT US Equity","ARD_CHANGE_IN_INVENTORIES","FQ4 2023","FQ4 2023","Currency=USD","Period=FQ","BEST_FPERIOD_OVERRIDE=FQ","FILING_STATUS=MR","SCALING_FORMAT=MLN","Sort=A","Dates=H","DateFormat=P","Fill=—","Direction=H","UseDPDF=Y")</f>
        <v>-147.714</v>
      </c>
      <c r="X14" s="13">
        <f>_xll.BDH("SRPT US Equity","ARD_CHANGE_IN_INVENTORIES","FQ1 2024","FQ1 2024","Currency=USD","Period=FQ","BEST_FPERIOD_OVERRIDE=FQ","FILING_STATUS=MR","SCALING_FORMAT=MLN","Sort=A","Dates=H","DateFormat=P","Fill=—","Direction=H","UseDPDF=Y")</f>
        <v>-60.512</v>
      </c>
      <c r="Y14" s="13">
        <f>_xll.BDH("SRPT US Equity","ARD_CHANGE_IN_INVENTORIES","FQ2 2024","FQ2 2024","Currency=USD","Period=FQ","BEST_FPERIOD_OVERRIDE=FQ","FILING_STATUS=MR","SCALING_FORMAT=MLN","Sort=A","Dates=H","DateFormat=P","Fill=—","Direction=H","UseDPDF=Y")</f>
        <v>-162.97200000000001</v>
      </c>
      <c r="Z14" s="13">
        <f>_xll.BDH("SRPT US Equity","ARD_CHANGE_IN_INVENTORIES","FQ3 2024","FQ3 2024","Currency=USD","Period=FQ","BEST_FPERIOD_OVERRIDE=FQ","FILING_STATUS=MR","SCALING_FORMAT=MLN","Sort=A","Dates=H","DateFormat=P","Fill=—","Direction=H","UseDPDF=Y")</f>
        <v>-233.511</v>
      </c>
      <c r="AA14" s="13">
        <f>_xll.BDH("SRPT US Equity","ARD_CHANGE_IN_INVENTORIES","FQ4 2024","FQ4 2024","Currency=USD","Period=FQ","BEST_FPERIOD_OVERRIDE=FQ","FILING_STATUS=MR","SCALING_FORMAT=MLN","Sort=A","Dates=H","DateFormat=P","Fill=—","Direction=H","UseDPDF=Y")</f>
        <v>-395.17</v>
      </c>
    </row>
    <row r="15" spans="1:27" x14ac:dyDescent="0.25">
      <c r="A15" s="10" t="s">
        <v>1281</v>
      </c>
      <c r="B15" s="10" t="s">
        <v>1282</v>
      </c>
      <c r="C15" s="13">
        <f>_xll.BDH("SRPT US Equity","ARD_CHG_IN_ACCOUNTS_RECEIVABLE","FQ4 2018","FQ4 2018","Currency=USD","Period=FQ","BEST_FPERIOD_OVERRIDE=FQ","FILING_STATUS=MR","SCALING_FORMAT=MLN","Sort=A","Dates=H","DateFormat=P","Fill=—","Direction=H","UseDPDF=Y")</f>
        <v>-19.576000000000001</v>
      </c>
      <c r="D15" s="13">
        <f>_xll.BDH("SRPT US Equity","ARD_CHG_IN_ACCOUNTS_RECEIVABLE","FQ1 2019","FQ1 2019","Currency=USD","Period=FQ","BEST_FPERIOD_OVERRIDE=FQ","FILING_STATUS=MR","SCALING_FORMAT=MLN","Sort=A","Dates=H","DateFormat=P","Fill=—","Direction=H","UseDPDF=Y")</f>
        <v>-1.466</v>
      </c>
      <c r="E15" s="13">
        <f>_xll.BDH("SRPT US Equity","ARD_CHG_IN_ACCOUNTS_RECEIVABLE","FQ2 2019","FQ2 2019","Currency=USD","Period=FQ","BEST_FPERIOD_OVERRIDE=FQ","FILING_STATUS=MR","SCALING_FORMAT=MLN","Sort=A","Dates=H","DateFormat=P","Fill=—","Direction=H","UseDPDF=Y")</f>
        <v>-7.9370000000000003</v>
      </c>
      <c r="F15" s="13">
        <f>_xll.BDH("SRPT US Equity","ARD_CHG_IN_ACCOUNTS_RECEIVABLE","FQ3 2019","FQ3 2019","Currency=USD","Period=FQ","BEST_FPERIOD_OVERRIDE=FQ","FILING_STATUS=MR","SCALING_FORMAT=MLN","Sort=A","Dates=H","DateFormat=P","Fill=—","Direction=H","UseDPDF=Y")</f>
        <v>-18.988</v>
      </c>
      <c r="G15" s="13">
        <f>_xll.BDH("SRPT US Equity","ARD_CHG_IN_ACCOUNTS_RECEIVABLE","FQ4 2019","FQ4 2019","Currency=USD","Period=FQ","BEST_FPERIOD_OVERRIDE=FQ","FILING_STATUS=MR","SCALING_FORMAT=MLN","Sort=A","Dates=H","DateFormat=P","Fill=—","Direction=H","UseDPDF=Y")</f>
        <v>-41.835000000000001</v>
      </c>
      <c r="H15" s="13">
        <f>_xll.BDH("SRPT US Equity","ARD_CHG_IN_ACCOUNTS_RECEIVABLE","FQ1 2020","FQ1 2020","Currency=USD","Period=FQ","BEST_FPERIOD_OVERRIDE=FQ","FILING_STATUS=MR","SCALING_FORMAT=MLN","Sort=A","Dates=H","DateFormat=P","Fill=—","Direction=H","UseDPDF=Y")</f>
        <v>-15.996</v>
      </c>
      <c r="I15" s="13">
        <f>_xll.BDH("SRPT US Equity","ARD_CHG_IN_ACCOUNTS_RECEIVABLE","FQ2 2020","FQ2 2020","Currency=USD","Period=FQ","BEST_FPERIOD_OVERRIDE=FQ","FILING_STATUS=MR","SCALING_FORMAT=MLN","Sort=A","Dates=H","DateFormat=P","Fill=—","Direction=H","UseDPDF=Y")</f>
        <v>-13.148999999999999</v>
      </c>
      <c r="J15" s="13">
        <f>_xll.BDH("SRPT US Equity","ARD_CHG_IN_ACCOUNTS_RECEIVABLE","FQ3 2020","FQ3 2020","Currency=USD","Period=FQ","BEST_FPERIOD_OVERRIDE=FQ","FILING_STATUS=MR","SCALING_FORMAT=MLN","Sort=A","Dates=H","DateFormat=P","Fill=—","Direction=H","UseDPDF=Y")</f>
        <v>-30.948</v>
      </c>
      <c r="K15" s="13">
        <f>_xll.BDH("SRPT US Equity","ARD_CHG_IN_ACCOUNTS_RECEIVABLE","FQ4 2020","FQ4 2020","Currency=USD","Period=FQ","BEST_FPERIOD_OVERRIDE=FQ","FILING_STATUS=MR","SCALING_FORMAT=MLN","Sort=A","Dates=H","DateFormat=P","Fill=—","Direction=H","UseDPDF=Y")</f>
        <v>-10.461</v>
      </c>
      <c r="L15" s="13">
        <f>_xll.BDH("SRPT US Equity","ARD_CHG_IN_ACCOUNTS_RECEIVABLE","FQ1 2021","FQ1 2021","Currency=USD","Period=FQ","BEST_FPERIOD_OVERRIDE=FQ","FILING_STATUS=MR","SCALING_FORMAT=MLN","Sort=A","Dates=H","DateFormat=P","Fill=—","Direction=H","UseDPDF=Y")</f>
        <v>-16.863</v>
      </c>
      <c r="M15" s="13">
        <f>_xll.BDH("SRPT US Equity","ARD_CHG_IN_ACCOUNTS_RECEIVABLE","FQ2 2021","FQ2 2021","Currency=USD","Period=FQ","BEST_FPERIOD_OVERRIDE=FQ","FILING_STATUS=MR","SCALING_FORMAT=MLN","Sort=A","Dates=H","DateFormat=P","Fill=—","Direction=H","UseDPDF=Y")</f>
        <v>-26.18</v>
      </c>
      <c r="N15" s="13">
        <f>_xll.BDH("SRPT US Equity","ARD_CHG_IN_ACCOUNTS_RECEIVABLE","FQ3 2021","FQ3 2021","Currency=USD","Period=FQ","BEST_FPERIOD_OVERRIDE=FQ","FILING_STATUS=MR","SCALING_FORMAT=MLN","Sort=A","Dates=H","DateFormat=P","Fill=—","Direction=H","UseDPDF=Y")</f>
        <v>-48.447000000000003</v>
      </c>
      <c r="O15" s="13">
        <f>_xll.BDH("SRPT US Equity","ARD_CHG_IN_ACCOUNTS_RECEIVABLE","FQ4 2021","FQ4 2021","Currency=USD","Period=FQ","BEST_FPERIOD_OVERRIDE=FQ","FILING_STATUS=MR","SCALING_FORMAT=MLN","Sort=A","Dates=H","DateFormat=P","Fill=—","Direction=H","UseDPDF=Y")</f>
        <v>-51.65</v>
      </c>
      <c r="P15" s="13">
        <f>_xll.BDH("SRPT US Equity","ARD_CHG_IN_ACCOUNTS_RECEIVABLE","FQ1 2022","FQ1 2022","Currency=USD","Period=FQ","BEST_FPERIOD_OVERRIDE=FQ","FILING_STATUS=MR","SCALING_FORMAT=MLN","Sort=A","Dates=H","DateFormat=P","Fill=—","Direction=H","UseDPDF=Y")</f>
        <v>-25.204000000000001</v>
      </c>
      <c r="Q15" s="13">
        <f>_xll.BDH("SRPT US Equity","ARD_CHG_IN_ACCOUNTS_RECEIVABLE","FQ2 2022","FQ2 2022","Currency=USD","Period=FQ","BEST_FPERIOD_OVERRIDE=FQ","FILING_STATUS=MR","SCALING_FORMAT=MLN","Sort=A","Dates=H","DateFormat=P","Fill=—","Direction=H","UseDPDF=Y")</f>
        <v>-50.863999999999997</v>
      </c>
      <c r="R15" s="13">
        <f>_xll.BDH("SRPT US Equity","ARD_CHG_IN_ACCOUNTS_RECEIVABLE","FQ3 2022","FQ3 2022","Currency=USD","Period=FQ","BEST_FPERIOD_OVERRIDE=FQ","FILING_STATUS=MR","SCALING_FORMAT=MLN","Sort=A","Dates=H","DateFormat=P","Fill=—","Direction=H","UseDPDF=Y")</f>
        <v>-48.518999999999998</v>
      </c>
      <c r="S15" s="13">
        <f>_xll.BDH("SRPT US Equity","ARD_CHG_IN_ACCOUNTS_RECEIVABLE","FQ4 2022","FQ4 2022","Currency=USD","Period=FQ","BEST_FPERIOD_OVERRIDE=FQ","FILING_STATUS=MR","SCALING_FORMAT=MLN","Sort=A","Dates=H","DateFormat=P","Fill=—","Direction=H","UseDPDF=Y")</f>
        <v>-61.637999999999998</v>
      </c>
      <c r="T15" s="13">
        <f>_xll.BDH("SRPT US Equity","ARD_CHG_IN_ACCOUNTS_RECEIVABLE","FQ1 2023","FQ1 2023","Currency=USD","Period=FQ","BEST_FPERIOD_OVERRIDE=FQ","FILING_STATUS=MR","SCALING_FORMAT=MLN","Sort=A","Dates=H","DateFormat=P","Fill=—","Direction=H","UseDPDF=Y")</f>
        <v>-9.2080000000000002</v>
      </c>
      <c r="U15" s="13">
        <f>_xll.BDH("SRPT US Equity","ARD_CHG_IN_ACCOUNTS_RECEIVABLE","FQ2 2023","FQ2 2023","Currency=USD","Period=FQ","BEST_FPERIOD_OVERRIDE=FQ","FILING_STATUS=MR","SCALING_FORMAT=MLN","Sort=A","Dates=H","DateFormat=P","Fill=—","Direction=H","UseDPDF=Y")</f>
        <v>-22.18</v>
      </c>
      <c r="V15" s="13">
        <f>_xll.BDH("SRPT US Equity","ARD_CHG_IN_ACCOUNTS_RECEIVABLE","FQ3 2023","FQ3 2023","Currency=USD","Period=FQ","BEST_FPERIOD_OVERRIDE=FQ","FILING_STATUS=MR","SCALING_FORMAT=MLN","Sort=A","Dates=H","DateFormat=P","Fill=—","Direction=H","UseDPDF=Y")</f>
        <v>-104.227</v>
      </c>
      <c r="W15" s="13">
        <f>_xll.BDH("SRPT US Equity","ARD_CHG_IN_ACCOUNTS_RECEIVABLE","FQ4 2023","FQ4 2023","Currency=USD","Period=FQ","BEST_FPERIOD_OVERRIDE=FQ","FILING_STATUS=MR","SCALING_FORMAT=MLN","Sort=A","Dates=H","DateFormat=P","Fill=—","Direction=H","UseDPDF=Y")</f>
        <v>-185.69900000000001</v>
      </c>
      <c r="X15" s="13">
        <f>_xll.BDH("SRPT US Equity","ARD_CHG_IN_ACCOUNTS_RECEIVABLE","FQ1 2024","FQ1 2024","Currency=USD","Period=FQ","BEST_FPERIOD_OVERRIDE=FQ","FILING_STATUS=MR","SCALING_FORMAT=MLN","Sort=A","Dates=H","DateFormat=P","Fill=—","Direction=H","UseDPDF=Y")</f>
        <v>21.521000000000001</v>
      </c>
      <c r="Y15" s="13">
        <f>_xll.BDH("SRPT US Equity","ARD_CHG_IN_ACCOUNTS_RECEIVABLE","FQ2 2024","FQ2 2024","Currency=USD","Period=FQ","BEST_FPERIOD_OVERRIDE=FQ","FILING_STATUS=MR","SCALING_FORMAT=MLN","Sort=A","Dates=H","DateFormat=P","Fill=—","Direction=H","UseDPDF=Y")</f>
        <v>40.33</v>
      </c>
      <c r="Z15" s="13">
        <f>_xll.BDH("SRPT US Equity","ARD_CHG_IN_ACCOUNTS_RECEIVABLE","FQ3 2024","FQ3 2024","Currency=USD","Period=FQ","BEST_FPERIOD_OVERRIDE=FQ","FILING_STATUS=MR","SCALING_FORMAT=MLN","Sort=A","Dates=H","DateFormat=P","Fill=—","Direction=H","UseDPDF=Y")</f>
        <v>-34.197000000000003</v>
      </c>
      <c r="AA15" s="13">
        <f>_xll.BDH("SRPT US Equity","ARD_CHG_IN_ACCOUNTS_RECEIVABLE","FQ4 2024","FQ4 2024","Currency=USD","Period=FQ","BEST_FPERIOD_OVERRIDE=FQ","FILING_STATUS=MR","SCALING_FORMAT=MLN","Sort=A","Dates=H","DateFormat=P","Fill=—","Direction=H","UseDPDF=Y")</f>
        <v>-201.661</v>
      </c>
    </row>
    <row r="16" spans="1:27" x14ac:dyDescent="0.25">
      <c r="A16" s="10" t="s">
        <v>1283</v>
      </c>
      <c r="B16" s="10" t="s">
        <v>1284</v>
      </c>
      <c r="C16" s="13" t="str">
        <f>_xll.BDH("SRPT US Equity","ARD_CHG_IN_DEF_UNEARN_REVENUE_ST","FQ4 2018","FQ4 2018","Currency=USD","Period=FQ","BEST_FPERIOD_OVERRIDE=FQ","FILING_STATUS=MR","SCALING_FORMAT=MLN","Sort=A","Dates=H","DateFormat=P","Fill=—","Direction=H","UseDPDF=Y")</f>
        <v>—</v>
      </c>
      <c r="D16" s="13" t="str">
        <f>_xll.BDH("SRPT US Equity","ARD_CHG_IN_DEF_UNEARN_REVENUE_ST","FQ1 2019","FQ1 2019","Currency=USD","Period=FQ","BEST_FPERIOD_OVERRIDE=FQ","FILING_STATUS=MR","SCALING_FORMAT=MLN","Sort=A","Dates=H","DateFormat=P","Fill=—","Direction=H","UseDPDF=Y")</f>
        <v>—</v>
      </c>
      <c r="E16" s="13" t="str">
        <f>_xll.BDH("SRPT US Equity","ARD_CHG_IN_DEF_UNEARN_REVENUE_ST","FQ2 2019","FQ2 2019","Currency=USD","Period=FQ","BEST_FPERIOD_OVERRIDE=FQ","FILING_STATUS=MR","SCALING_FORMAT=MLN","Sort=A","Dates=H","DateFormat=P","Fill=—","Direction=H","UseDPDF=Y")</f>
        <v>—</v>
      </c>
      <c r="F16" s="13" t="str">
        <f>_xll.BDH("SRPT US Equity","ARD_CHG_IN_DEF_UNEARN_REVENUE_ST","FQ3 2019","FQ3 2019","Currency=USD","Period=FQ","BEST_FPERIOD_OVERRIDE=FQ","FILING_STATUS=MR","SCALING_FORMAT=MLN","Sort=A","Dates=H","DateFormat=P","Fill=—","Direction=H","UseDPDF=Y")</f>
        <v>—</v>
      </c>
      <c r="G16" s="13" t="str">
        <f>_xll.BDH("SRPT US Equity","ARD_CHG_IN_DEF_UNEARN_REVENUE_ST","FQ4 2019","FQ4 2019","Currency=USD","Period=FQ","BEST_FPERIOD_OVERRIDE=FQ","FILING_STATUS=MR","SCALING_FORMAT=MLN","Sort=A","Dates=H","DateFormat=P","Fill=—","Direction=H","UseDPDF=Y")</f>
        <v>—</v>
      </c>
      <c r="H16" s="13">
        <f>_xll.BDH("SRPT US Equity","ARD_CHG_IN_DEF_UNEARN_REVENUE_ST","FQ1 2020","FQ1 2020","Currency=USD","Period=FQ","BEST_FPERIOD_OVERRIDE=FQ","FILING_STATUS=MR","SCALING_FORMAT=MLN","Sort=A","Dates=H","DateFormat=P","Fill=—","Direction=H","UseDPDF=Y")</f>
        <v>820.43700000000001</v>
      </c>
      <c r="I16" s="13">
        <f>_xll.BDH("SRPT US Equity","ARD_CHG_IN_DEF_UNEARN_REVENUE_ST","FQ2 2020","FQ2 2020","Currency=USD","Period=FQ","BEST_FPERIOD_OVERRIDE=FQ","FILING_STATUS=MR","SCALING_FORMAT=MLN","Sort=A","Dates=H","DateFormat=P","Fill=—","Direction=H","UseDPDF=Y")</f>
        <v>794.48400000000004</v>
      </c>
      <c r="J16" s="13">
        <f>_xll.BDH("SRPT US Equity","ARD_CHG_IN_DEF_UNEARN_REVENUE_ST","FQ3 2020","FQ3 2020","Currency=USD","Period=FQ","BEST_FPERIOD_OVERRIDE=FQ","FILING_STATUS=MR","SCALING_FORMAT=MLN","Sort=A","Dates=H","DateFormat=P","Fill=—","Direction=H","UseDPDF=Y")</f>
        <v>771.923</v>
      </c>
      <c r="K16" s="13">
        <f>_xll.BDH("SRPT US Equity","ARD_CHG_IN_DEF_UNEARN_REVENUE_ST","FQ4 2020","FQ4 2020","Currency=USD","Period=FQ","BEST_FPERIOD_OVERRIDE=FQ","FILING_STATUS=MR","SCALING_FORMAT=MLN","Sort=A","Dates=H","DateFormat=P","Fill=—","Direction=H","UseDPDF=Y")</f>
        <v>749.42899999999997</v>
      </c>
      <c r="L16" s="13">
        <f>_xll.BDH("SRPT US Equity","ARD_CHG_IN_DEF_UNEARN_REVENUE_ST","FQ1 2021","FQ1 2021","Currency=USD","Period=FQ","BEST_FPERIOD_OVERRIDE=FQ","FILING_STATUS=MR","SCALING_FORMAT=MLN","Sort=A","Dates=H","DateFormat=P","Fill=—","Direction=H","UseDPDF=Y")</f>
        <v>-22.004999999999999</v>
      </c>
      <c r="M16" s="13">
        <f>_xll.BDH("SRPT US Equity","ARD_CHG_IN_DEF_UNEARN_REVENUE_ST","FQ2 2021","FQ2 2021","Currency=USD","Period=FQ","BEST_FPERIOD_OVERRIDE=FQ","FILING_STATUS=MR","SCALING_FORMAT=MLN","Sort=A","Dates=H","DateFormat=P","Fill=—","Direction=H","UseDPDF=Y")</f>
        <v>-44.255000000000003</v>
      </c>
      <c r="N16" s="13">
        <f>_xll.BDH("SRPT US Equity","ARD_CHG_IN_DEF_UNEARN_REVENUE_ST","FQ3 2021","FQ3 2021","Currency=USD","Period=FQ","BEST_FPERIOD_OVERRIDE=FQ","FILING_STATUS=MR","SCALING_FORMAT=MLN","Sort=A","Dates=H","DateFormat=P","Fill=—","Direction=H","UseDPDF=Y")</f>
        <v>-66.75</v>
      </c>
      <c r="O16" s="13">
        <f>_xll.BDH("SRPT US Equity","ARD_CHG_IN_DEF_UNEARN_REVENUE_ST","FQ4 2021","FQ4 2021","Currency=USD","Period=FQ","BEST_FPERIOD_OVERRIDE=FQ","FILING_STATUS=MR","SCALING_FORMAT=MLN","Sort=A","Dates=H","DateFormat=P","Fill=—","Direction=H","UseDPDF=Y")</f>
        <v>-89.244</v>
      </c>
      <c r="P16" s="13">
        <f>_xll.BDH("SRPT US Equity","ARD_CHG_IN_DEF_UNEARN_REVENUE_ST","FQ1 2022","FQ1 2022","Currency=USD","Period=FQ","BEST_FPERIOD_OVERRIDE=FQ","FILING_STATUS=MR","SCALING_FORMAT=MLN","Sort=A","Dates=H","DateFormat=P","Fill=—","Direction=H","UseDPDF=Y")</f>
        <v>-22.004999999999999</v>
      </c>
      <c r="Q16" s="13">
        <f>_xll.BDH("SRPT US Equity","ARD_CHG_IN_DEF_UNEARN_REVENUE_ST","FQ2 2022","FQ2 2022","Currency=USD","Period=FQ","BEST_FPERIOD_OVERRIDE=FQ","FILING_STATUS=MR","SCALING_FORMAT=MLN","Sort=A","Dates=H","DateFormat=P","Fill=—","Direction=H","UseDPDF=Y")</f>
        <v>-44.255000000000003</v>
      </c>
      <c r="R16" s="13">
        <f>_xll.BDH("SRPT US Equity","ARD_CHG_IN_DEF_UNEARN_REVENUE_ST","FQ3 2022","FQ3 2022","Currency=USD","Period=FQ","BEST_FPERIOD_OVERRIDE=FQ","FILING_STATUS=MR","SCALING_FORMAT=MLN","Sort=A","Dates=H","DateFormat=P","Fill=—","Direction=H","UseDPDF=Y")</f>
        <v>-66.75</v>
      </c>
      <c r="S16" s="13">
        <f>_xll.BDH("SRPT US Equity","ARD_CHG_IN_DEF_UNEARN_REVENUE_ST","FQ4 2022","FQ4 2022","Currency=USD","Period=FQ","BEST_FPERIOD_OVERRIDE=FQ","FILING_STATUS=MR","SCALING_FORMAT=MLN","Sort=A","Dates=H","DateFormat=P","Fill=—","Direction=H","UseDPDF=Y")</f>
        <v>-89.244</v>
      </c>
      <c r="T16" s="13">
        <f>_xll.BDH("SRPT US Equity","ARD_CHG_IN_DEF_UNEARN_REVENUE_ST","FQ1 2023","FQ1 2023","Currency=USD","Period=FQ","BEST_FPERIOD_OVERRIDE=FQ","FILING_STATUS=MR","SCALING_FORMAT=MLN","Sort=A","Dates=H","DateFormat=P","Fill=—","Direction=H","UseDPDF=Y")</f>
        <v>-22.004999999999999</v>
      </c>
      <c r="U16" s="13">
        <f>_xll.BDH("SRPT US Equity","ARD_CHG_IN_DEF_UNEARN_REVENUE_ST","FQ2 2023","FQ2 2023","Currency=USD","Period=FQ","BEST_FPERIOD_OVERRIDE=FQ","FILING_STATUS=MR","SCALING_FORMAT=MLN","Sort=A","Dates=H","DateFormat=P","Fill=—","Direction=H","UseDPDF=Y")</f>
        <v>-44.255000000000003</v>
      </c>
      <c r="V16" s="13">
        <f>_xll.BDH("SRPT US Equity","ARD_CHG_IN_DEF_UNEARN_REVENUE_ST","FQ3 2023","FQ3 2023","Currency=USD","Period=FQ","BEST_FPERIOD_OVERRIDE=FQ","FILING_STATUS=MR","SCALING_FORMAT=MLN","Sort=A","Dates=H","DateFormat=P","Fill=—","Direction=H","UseDPDF=Y")</f>
        <v>-66.75</v>
      </c>
      <c r="W16" s="13">
        <f>_xll.BDH("SRPT US Equity","ARD_CHG_IN_DEF_UNEARN_REVENUE_ST","FQ4 2023","FQ4 2023","Currency=USD","Period=FQ","BEST_FPERIOD_OVERRIDE=FQ","FILING_STATUS=MR","SCALING_FORMAT=MLN","Sort=A","Dates=H","DateFormat=P","Fill=—","Direction=H","UseDPDF=Y")</f>
        <v>-86.828000000000003</v>
      </c>
      <c r="X16" s="13">
        <f>_xll.BDH("SRPT US Equity","ARD_CHG_IN_DEF_UNEARN_REVENUE_ST","FQ1 2024","FQ1 2024","Currency=USD","Period=FQ","BEST_FPERIOD_OVERRIDE=FQ","FILING_STATUS=MR","SCALING_FORMAT=MLN","Sort=A","Dates=H","DateFormat=P","Fill=—","Direction=H","UseDPDF=Y")</f>
        <v>-50.415999999999997</v>
      </c>
      <c r="Y16" s="13">
        <f>_xll.BDH("SRPT US Equity","ARD_CHG_IN_DEF_UNEARN_REVENUE_ST","FQ2 2024","FQ2 2024","Currency=USD","Period=FQ","BEST_FPERIOD_OVERRIDE=FQ","FILING_STATUS=MR","SCALING_FORMAT=MLN","Sort=A","Dates=H","DateFormat=P","Fill=—","Direction=H","UseDPDF=Y")</f>
        <v>-40.380000000000003</v>
      </c>
      <c r="Z16" s="13">
        <f>_xll.BDH("SRPT US Equity","ARD_CHG_IN_DEF_UNEARN_REVENUE_ST","FQ3 2024","FQ3 2024","Currency=USD","Period=FQ","BEST_FPERIOD_OVERRIDE=FQ","FILING_STATUS=MR","SCALING_FORMAT=MLN","Sort=A","Dates=H","DateFormat=P","Fill=—","Direction=H","UseDPDF=Y")</f>
        <v>-35.414999999999999</v>
      </c>
      <c r="AA16" s="13">
        <f>_xll.BDH("SRPT US Equity","ARD_CHG_IN_DEF_UNEARN_REVENUE_ST","FQ4 2024","FQ4 2024","Currency=USD","Period=FQ","BEST_FPERIOD_OVERRIDE=FQ","FILING_STATUS=MR","SCALING_FORMAT=MLN","Sort=A","Dates=H","DateFormat=P","Fill=—","Direction=H","UseDPDF=Y")</f>
        <v>-32.159999999999997</v>
      </c>
    </row>
    <row r="17" spans="1:27" x14ac:dyDescent="0.25">
      <c r="A17" s="10" t="s">
        <v>1285</v>
      </c>
      <c r="B17" s="10" t="s">
        <v>1286</v>
      </c>
      <c r="C17" s="13">
        <f>_xll.BDH("SRPT US Equity","ARD_CHG_IN_ACCT_PAY_ACC_EXP","FQ4 2018","FQ4 2018","Currency=USD","Period=FQ","BEST_FPERIOD_OVERRIDE=FQ","FILING_STATUS=MR","SCALING_FORMAT=MLN","Sort=A","Dates=H","DateFormat=P","Fill=—","Direction=H","UseDPDF=Y")</f>
        <v>90.162000000000006</v>
      </c>
      <c r="D17" s="13">
        <f>_xll.BDH("SRPT US Equity","ARD_CHG_IN_ACCT_PAY_ACC_EXP","FQ1 2019","FQ1 2019","Currency=USD","Period=FQ","BEST_FPERIOD_OVERRIDE=FQ","FILING_STATUS=MR","SCALING_FORMAT=MLN","Sort=A","Dates=H","DateFormat=P","Fill=—","Direction=H","UseDPDF=Y")</f>
        <v>2.133</v>
      </c>
      <c r="E17" s="13">
        <f>_xll.BDH("SRPT US Equity","ARD_CHG_IN_ACCT_PAY_ACC_EXP","FQ2 2019","FQ2 2019","Currency=USD","Period=FQ","BEST_FPERIOD_OVERRIDE=FQ","FILING_STATUS=MR","SCALING_FORMAT=MLN","Sort=A","Dates=H","DateFormat=P","Fill=—","Direction=H","UseDPDF=Y")</f>
        <v>25.768000000000001</v>
      </c>
      <c r="F17" s="13">
        <f>_xll.BDH("SRPT US Equity","ARD_CHG_IN_ACCT_PAY_ACC_EXP","FQ3 2019","FQ3 2019","Currency=USD","Period=FQ","BEST_FPERIOD_OVERRIDE=FQ","FILING_STATUS=MR","SCALING_FORMAT=MLN","Sort=A","Dates=H","DateFormat=P","Fill=—","Direction=H","UseDPDF=Y")</f>
        <v>79.867999999999995</v>
      </c>
      <c r="G17" s="13">
        <f>_xll.BDH("SRPT US Equity","ARD_CHG_IN_ACCT_PAY_ACC_EXP","FQ4 2019","FQ4 2019","Currency=USD","Period=FQ","BEST_FPERIOD_OVERRIDE=FQ","FILING_STATUS=MR","SCALING_FORMAT=MLN","Sort=A","Dates=H","DateFormat=P","Fill=—","Direction=H","UseDPDF=Y")</f>
        <v>122.979</v>
      </c>
      <c r="H17" s="13">
        <f>_xll.BDH("SRPT US Equity","ARD_CHG_IN_ACCT_PAY_ACC_EXP","FQ1 2020","FQ1 2020","Currency=USD","Period=FQ","BEST_FPERIOD_OVERRIDE=FQ","FILING_STATUS=MR","SCALING_FORMAT=MLN","Sort=A","Dates=H","DateFormat=P","Fill=—","Direction=H","UseDPDF=Y")</f>
        <v>-57.718000000000004</v>
      </c>
      <c r="I17" s="13">
        <f>_xll.BDH("SRPT US Equity","ARD_CHG_IN_ACCT_PAY_ACC_EXP","FQ2 2020","FQ2 2020","Currency=USD","Period=FQ","BEST_FPERIOD_OVERRIDE=FQ","FILING_STATUS=MR","SCALING_FORMAT=MLN","Sort=A","Dates=H","DateFormat=P","Fill=—","Direction=H","UseDPDF=Y")</f>
        <v>-11.709</v>
      </c>
      <c r="J17" s="13">
        <f>_xll.BDH("SRPT US Equity","ARD_CHG_IN_ACCT_PAY_ACC_EXP","FQ3 2020","FQ3 2020","Currency=USD","Period=FQ","BEST_FPERIOD_OVERRIDE=FQ","FILING_STATUS=MR","SCALING_FORMAT=MLN","Sort=A","Dates=H","DateFormat=P","Fill=—","Direction=H","UseDPDF=Y")</f>
        <v>8.3559999999999999</v>
      </c>
      <c r="K17" s="13">
        <f>_xll.BDH("SRPT US Equity","ARD_CHG_IN_ACCT_PAY_ACC_EXP","FQ4 2020","FQ4 2020","Currency=USD","Period=FQ","BEST_FPERIOD_OVERRIDE=FQ","FILING_STATUS=MR","SCALING_FORMAT=MLN","Sort=A","Dates=H","DateFormat=P","Fill=—","Direction=H","UseDPDF=Y")</f>
        <v>41.997999999999998</v>
      </c>
      <c r="L17" s="13">
        <f>_xll.BDH("SRPT US Equity","ARD_CHG_IN_ACCT_PAY_ACC_EXP","FQ1 2021","FQ1 2021","Currency=USD","Period=FQ","BEST_FPERIOD_OVERRIDE=FQ","FILING_STATUS=MR","SCALING_FORMAT=MLN","Sort=A","Dates=H","DateFormat=P","Fill=—","Direction=H","UseDPDF=Y")</f>
        <v>-44.962000000000003</v>
      </c>
      <c r="M17" s="13">
        <f>_xll.BDH("SRPT US Equity","ARD_CHG_IN_ACCT_PAY_ACC_EXP","FQ2 2021","FQ2 2021","Currency=USD","Period=FQ","BEST_FPERIOD_OVERRIDE=FQ","FILING_STATUS=MR","SCALING_FORMAT=MLN","Sort=A","Dates=H","DateFormat=P","Fill=—","Direction=H","UseDPDF=Y")</f>
        <v>6.4450000000000003</v>
      </c>
      <c r="N17" s="13">
        <f>_xll.BDH("SRPT US Equity","ARD_CHG_IN_ACCT_PAY_ACC_EXP","FQ3 2021","FQ3 2021","Currency=USD","Period=FQ","BEST_FPERIOD_OVERRIDE=FQ","FILING_STATUS=MR","SCALING_FORMAT=MLN","Sort=A","Dates=H","DateFormat=P","Fill=—","Direction=H","UseDPDF=Y")</f>
        <v>-46.511000000000003</v>
      </c>
      <c r="O17" s="13">
        <f>_xll.BDH("SRPT US Equity","ARD_CHG_IN_ACCT_PAY_ACC_EXP","FQ4 2021","FQ4 2021","Currency=USD","Period=FQ","BEST_FPERIOD_OVERRIDE=FQ","FILING_STATUS=MR","SCALING_FORMAT=MLN","Sort=A","Dates=H","DateFormat=P","Fill=—","Direction=H","UseDPDF=Y")</f>
        <v>23.297000000000001</v>
      </c>
      <c r="P17" s="13">
        <f>_xll.BDH("SRPT US Equity","ARD_CHG_IN_ACCT_PAY_ACC_EXP","FQ1 2022","FQ1 2022","Currency=USD","Period=FQ","BEST_FPERIOD_OVERRIDE=FQ","FILING_STATUS=MR","SCALING_FORMAT=MLN","Sort=A","Dates=H","DateFormat=P","Fill=—","Direction=H","UseDPDF=Y")</f>
        <v>-5.0220000000000002</v>
      </c>
      <c r="Q17" s="13">
        <f>_xll.BDH("SRPT US Equity","ARD_CHG_IN_ACCT_PAY_ACC_EXP","FQ2 2022","FQ2 2022","Currency=USD","Period=FQ","BEST_FPERIOD_OVERRIDE=FQ","FILING_STATUS=MR","SCALING_FORMAT=MLN","Sort=A","Dates=H","DateFormat=P","Fill=—","Direction=H","UseDPDF=Y")</f>
        <v>81.498999999999995</v>
      </c>
      <c r="R17" s="13">
        <f>_xll.BDH("SRPT US Equity","ARD_CHG_IN_ACCT_PAY_ACC_EXP","FQ3 2022","FQ3 2022","Currency=USD","Period=FQ","BEST_FPERIOD_OVERRIDE=FQ","FILING_STATUS=MR","SCALING_FORMAT=MLN","Sort=A","Dates=H","DateFormat=P","Fill=—","Direction=H","UseDPDF=Y")</f>
        <v>134.69399999999999</v>
      </c>
      <c r="S17" s="13">
        <f>_xll.BDH("SRPT US Equity","ARD_CHG_IN_ACCT_PAY_ACC_EXP","FQ4 2022","FQ4 2022","Currency=USD","Period=FQ","BEST_FPERIOD_OVERRIDE=FQ","FILING_STATUS=MR","SCALING_FORMAT=MLN","Sort=A","Dates=H","DateFormat=P","Fill=—","Direction=H","UseDPDF=Y")</f>
        <v>147.572</v>
      </c>
      <c r="T17" s="13">
        <f>_xll.BDH("SRPT US Equity","ARD_CHG_IN_ACCT_PAY_ACC_EXP","FQ1 2023","FQ1 2023","Currency=USD","Period=FQ","BEST_FPERIOD_OVERRIDE=FQ","FILING_STATUS=MR","SCALING_FORMAT=MLN","Sort=A","Dates=H","DateFormat=P","Fill=—","Direction=H","UseDPDF=Y")</f>
        <v>-67.540999999999997</v>
      </c>
      <c r="U17" s="13">
        <f>_xll.BDH("SRPT US Equity","ARD_CHG_IN_ACCT_PAY_ACC_EXP","FQ2 2023","FQ2 2023","Currency=USD","Period=FQ","BEST_FPERIOD_OVERRIDE=FQ","FILING_STATUS=MR","SCALING_FORMAT=MLN","Sort=A","Dates=H","DateFormat=P","Fill=—","Direction=H","UseDPDF=Y")</f>
        <v>-93.668999999999997</v>
      </c>
      <c r="V17" s="13">
        <f>_xll.BDH("SRPT US Equity","ARD_CHG_IN_ACCT_PAY_ACC_EXP","FQ3 2023","FQ3 2023","Currency=USD","Period=FQ","BEST_FPERIOD_OVERRIDE=FQ","FILING_STATUS=MR","SCALING_FORMAT=MLN","Sort=A","Dates=H","DateFormat=P","Fill=—","Direction=H","UseDPDF=Y")</f>
        <v>-111.223</v>
      </c>
      <c r="W17" s="13">
        <f>_xll.BDH("SRPT US Equity","ARD_CHG_IN_ACCT_PAY_ACC_EXP","FQ4 2023","FQ4 2023","Currency=USD","Period=FQ","BEST_FPERIOD_OVERRIDE=FQ","FILING_STATUS=MR","SCALING_FORMAT=MLN","Sort=A","Dates=H","DateFormat=P","Fill=—","Direction=H","UseDPDF=Y")</f>
        <v>-50.134999999999998</v>
      </c>
      <c r="X17" s="13">
        <f>_xll.BDH("SRPT US Equity","ARD_CHG_IN_ACCT_PAY_ACC_EXP","FQ1 2024","FQ1 2024","Currency=USD","Period=FQ","BEST_FPERIOD_OVERRIDE=FQ","FILING_STATUS=MR","SCALING_FORMAT=MLN","Sort=A","Dates=H","DateFormat=P","Fill=—","Direction=H","UseDPDF=Y")</f>
        <v>-92.843000000000004</v>
      </c>
      <c r="Y17" s="13">
        <f>_xll.BDH("SRPT US Equity","ARD_CHG_IN_ACCT_PAY_ACC_EXP","FQ2 2024","FQ2 2024","Currency=USD","Period=FQ","BEST_FPERIOD_OVERRIDE=FQ","FILING_STATUS=MR","SCALING_FORMAT=MLN","Sort=A","Dates=H","DateFormat=P","Fill=—","Direction=H","UseDPDF=Y")</f>
        <v>-15.25</v>
      </c>
      <c r="Z17" s="13">
        <f>_xll.BDH("SRPT US Equity","ARD_CHG_IN_ACCT_PAY_ACC_EXP","FQ3 2024","FQ3 2024","Currency=USD","Period=FQ","BEST_FPERIOD_OVERRIDE=FQ","FILING_STATUS=MR","SCALING_FORMAT=MLN","Sort=A","Dates=H","DateFormat=P","Fill=—","Direction=H","UseDPDF=Y")</f>
        <v>-13.565</v>
      </c>
      <c r="AA17" s="13">
        <f>_xll.BDH("SRPT US Equity","ARD_CHG_IN_ACCT_PAY_ACC_EXP","FQ4 2024","FQ4 2024","Currency=USD","Period=FQ","BEST_FPERIOD_OVERRIDE=FQ","FILING_STATUS=MR","SCALING_FORMAT=MLN","Sort=A","Dates=H","DateFormat=P","Fill=—","Direction=H","UseDPDF=Y")</f>
        <v>110.649</v>
      </c>
    </row>
    <row r="18" spans="1:27" x14ac:dyDescent="0.25">
      <c r="A18" s="10" t="s">
        <v>1287</v>
      </c>
      <c r="B18" s="10" t="s">
        <v>1288</v>
      </c>
      <c r="C18" s="13">
        <f>_xll.BDH("SRPT US Equity","ARD_CHANGE_IN_OTHER_CUR_ASSETS","FQ4 2018","FQ4 2018","Currency=USD","Period=FQ","BEST_FPERIOD_OVERRIDE=FQ","FILING_STATUS=MR","SCALING_FORMAT=MLN","Sort=A","Dates=H","DateFormat=P","Fill=—","Direction=H","UseDPDF=Y")</f>
        <v>-136.63800000000001</v>
      </c>
      <c r="D18" s="13">
        <f>_xll.BDH("SRPT US Equity","ARD_CHANGE_IN_OTHER_CUR_ASSETS","FQ1 2019","FQ1 2019","Currency=USD","Period=FQ","BEST_FPERIOD_OVERRIDE=FQ","FILING_STATUS=MR","SCALING_FORMAT=MLN","Sort=A","Dates=H","DateFormat=P","Fill=—","Direction=H","UseDPDF=Y")</f>
        <v>-79.563999999999993</v>
      </c>
      <c r="E18" s="13">
        <f>_xll.BDH("SRPT US Equity","ARD_CHANGE_IN_OTHER_CUR_ASSETS","FQ2 2019","FQ2 2019","Currency=USD","Period=FQ","BEST_FPERIOD_OVERRIDE=FQ","FILING_STATUS=MR","SCALING_FORMAT=MLN","Sort=A","Dates=H","DateFormat=P","Fill=—","Direction=H","UseDPDF=Y")</f>
        <v>-87.707999999999998</v>
      </c>
      <c r="F18" s="13">
        <f>_xll.BDH("SRPT US Equity","ARD_CHANGE_IN_OTHER_CUR_ASSETS","FQ3 2019","FQ3 2019","Currency=USD","Period=FQ","BEST_FPERIOD_OVERRIDE=FQ","FILING_STATUS=MR","SCALING_FORMAT=MLN","Sort=A","Dates=H","DateFormat=P","Fill=—","Direction=H","UseDPDF=Y")</f>
        <v>-94.71</v>
      </c>
      <c r="G18" s="13">
        <f>_xll.BDH("SRPT US Equity","ARD_CHANGE_IN_OTHER_CUR_ASSETS","FQ4 2019","FQ4 2019","Currency=USD","Period=FQ","BEST_FPERIOD_OVERRIDE=FQ","FILING_STATUS=MR","SCALING_FORMAT=MLN","Sort=A","Dates=H","DateFormat=P","Fill=—","Direction=H","UseDPDF=Y")</f>
        <v>-102.09099999999999</v>
      </c>
      <c r="H18" s="13">
        <f>_xll.BDH("SRPT US Equity","ARD_CHANGE_IN_OTHER_CUR_ASSETS","FQ1 2020","FQ1 2020","Currency=USD","Period=FQ","BEST_FPERIOD_OVERRIDE=FQ","FILING_STATUS=MR","SCALING_FORMAT=MLN","Sort=A","Dates=H","DateFormat=P","Fill=—","Direction=H","UseDPDF=Y")</f>
        <v>-27.966000000000001</v>
      </c>
      <c r="I18" s="13">
        <f>_xll.BDH("SRPT US Equity","ARD_CHANGE_IN_OTHER_CUR_ASSETS","FQ2 2020","FQ2 2020","Currency=USD","Period=FQ","BEST_FPERIOD_OVERRIDE=FQ","FILING_STATUS=MR","SCALING_FORMAT=MLN","Sort=A","Dates=H","DateFormat=P","Fill=—","Direction=H","UseDPDF=Y")</f>
        <v>-44.308999999999997</v>
      </c>
      <c r="J18" s="13">
        <f>_xll.BDH("SRPT US Equity","ARD_CHANGE_IN_OTHER_CUR_ASSETS","FQ3 2020","FQ3 2020","Currency=USD","Period=FQ","BEST_FPERIOD_OVERRIDE=FQ","FILING_STATUS=MR","SCALING_FORMAT=MLN","Sort=A","Dates=H","DateFormat=P","Fill=—","Direction=H","UseDPDF=Y")</f>
        <v>-114.127</v>
      </c>
      <c r="K18" s="13">
        <f>_xll.BDH("SRPT US Equity","ARD_CHANGE_IN_OTHER_CUR_ASSETS","FQ4 2020","FQ4 2020","Currency=USD","Period=FQ","BEST_FPERIOD_OVERRIDE=FQ","FILING_STATUS=MR","SCALING_FORMAT=MLN","Sort=A","Dates=H","DateFormat=P","Fill=—","Direction=H","UseDPDF=Y")</f>
        <v>-166.328</v>
      </c>
      <c r="L18" s="13">
        <f>_xll.BDH("SRPT US Equity","ARD_CHANGE_IN_OTHER_CUR_ASSETS","FQ1 2021","FQ1 2021","Currency=USD","Period=FQ","BEST_FPERIOD_OVERRIDE=FQ","FILING_STATUS=MR","SCALING_FORMAT=MLN","Sort=A","Dates=H","DateFormat=P","Fill=—","Direction=H","UseDPDF=Y")</f>
        <v>34.914999999999999</v>
      </c>
      <c r="M18" s="13">
        <f>_xll.BDH("SRPT US Equity","ARD_CHANGE_IN_OTHER_CUR_ASSETS","FQ2 2021","FQ2 2021","Currency=USD","Period=FQ","BEST_FPERIOD_OVERRIDE=FQ","FILING_STATUS=MR","SCALING_FORMAT=MLN","Sort=A","Dates=H","DateFormat=P","Fill=—","Direction=H","UseDPDF=Y")</f>
        <v>73.67</v>
      </c>
      <c r="N18" s="13">
        <f>_xll.BDH("SRPT US Equity","ARD_CHANGE_IN_OTHER_CUR_ASSETS","FQ3 2021","FQ3 2021","Currency=USD","Period=FQ","BEST_FPERIOD_OVERRIDE=FQ","FILING_STATUS=MR","SCALING_FORMAT=MLN","Sort=A","Dates=H","DateFormat=P","Fill=—","Direction=H","UseDPDF=Y")</f>
        <v>74.155000000000001</v>
      </c>
      <c r="O18" s="13">
        <f>_xll.BDH("SRPT US Equity","ARD_CHANGE_IN_OTHER_CUR_ASSETS","FQ4 2021","FQ4 2021","Currency=USD","Period=FQ","BEST_FPERIOD_OVERRIDE=FQ","FILING_STATUS=MR","SCALING_FORMAT=MLN","Sort=A","Dates=H","DateFormat=P","Fill=—","Direction=H","UseDPDF=Y")</f>
        <v>103.203</v>
      </c>
      <c r="P18" s="13">
        <f>_xll.BDH("SRPT US Equity","ARD_CHANGE_IN_OTHER_CUR_ASSETS","FQ1 2022","FQ1 2022","Currency=USD","Period=FQ","BEST_FPERIOD_OVERRIDE=FQ","FILING_STATUS=MR","SCALING_FORMAT=MLN","Sort=A","Dates=H","DateFormat=P","Fill=—","Direction=H","UseDPDF=Y")</f>
        <v>13.401</v>
      </c>
      <c r="Q18" s="13">
        <f>_xll.BDH("SRPT US Equity","ARD_CHANGE_IN_OTHER_CUR_ASSETS","FQ2 2022","FQ2 2022","Currency=USD","Period=FQ","BEST_FPERIOD_OVERRIDE=FQ","FILING_STATUS=MR","SCALING_FORMAT=MLN","Sort=A","Dates=H","DateFormat=P","Fill=—","Direction=H","UseDPDF=Y")</f>
        <v>30.920999999999999</v>
      </c>
      <c r="R18" s="13">
        <f>_xll.BDH("SRPT US Equity","ARD_CHANGE_IN_OTHER_CUR_ASSETS","FQ3 2022","FQ3 2022","Currency=USD","Period=FQ","BEST_FPERIOD_OVERRIDE=FQ","FILING_STATUS=MR","SCALING_FORMAT=MLN","Sort=A","Dates=H","DateFormat=P","Fill=—","Direction=H","UseDPDF=Y")</f>
        <v>34.398000000000003</v>
      </c>
      <c r="S18" s="13">
        <f>_xll.BDH("SRPT US Equity","ARD_CHANGE_IN_OTHER_CUR_ASSETS","FQ4 2022","FQ4 2022","Currency=USD","Period=FQ","BEST_FPERIOD_OVERRIDE=FQ","FILING_STATUS=MR","SCALING_FORMAT=MLN","Sort=A","Dates=H","DateFormat=P","Fill=—","Direction=H","UseDPDF=Y")</f>
        <v>14.62</v>
      </c>
      <c r="T18" s="13" t="str">
        <f>_xll.BDH("SRPT US Equity","ARD_CHANGE_IN_OTHER_CUR_ASSETS","FQ1 2023","FQ1 2023","Currency=USD","Period=FQ","BEST_FPERIOD_OVERRIDE=FQ","FILING_STATUS=MR","SCALING_FORMAT=MLN","Sort=A","Dates=H","DateFormat=P","Fill=—","Direction=H","UseDPDF=Y")</f>
        <v>—</v>
      </c>
      <c r="U18" s="13" t="str">
        <f>_xll.BDH("SRPT US Equity","ARD_CHANGE_IN_OTHER_CUR_ASSETS","FQ2 2023","FQ2 2023","Currency=USD","Period=FQ","BEST_FPERIOD_OVERRIDE=FQ","FILING_STATUS=MR","SCALING_FORMAT=MLN","Sort=A","Dates=H","DateFormat=P","Fill=—","Direction=H","UseDPDF=Y")</f>
        <v>—</v>
      </c>
      <c r="V18" s="13" t="str">
        <f>_xll.BDH("SRPT US Equity","ARD_CHANGE_IN_OTHER_CUR_ASSETS","FQ3 2023","FQ3 2023","Currency=USD","Period=FQ","BEST_FPERIOD_OVERRIDE=FQ","FILING_STATUS=MR","SCALING_FORMAT=MLN","Sort=A","Dates=H","DateFormat=P","Fill=—","Direction=H","UseDPDF=Y")</f>
        <v>—</v>
      </c>
      <c r="W18" s="13">
        <f>_xll.BDH("SRPT US Equity","ARD_CHANGE_IN_OTHER_CUR_ASSETS","FQ4 2023","FQ4 2023","Currency=USD","Period=FQ","BEST_FPERIOD_OVERRIDE=FQ","FILING_STATUS=MR","SCALING_FORMAT=MLN","Sort=A","Dates=H","DateFormat=P","Fill=—","Direction=H","UseDPDF=Y")</f>
        <v>-10.712999999999999</v>
      </c>
      <c r="X18" s="13">
        <f>_xll.BDH("SRPT US Equity","ARD_CHANGE_IN_OTHER_CUR_ASSETS","FQ1 2024","FQ1 2024","Currency=USD","Period=FQ","BEST_FPERIOD_OVERRIDE=FQ","FILING_STATUS=MR","SCALING_FORMAT=MLN","Sort=A","Dates=H","DateFormat=P","Fill=—","Direction=H","UseDPDF=Y")</f>
        <v>-145.04599999999999</v>
      </c>
      <c r="Y18" s="13" t="str">
        <f>_xll.BDH("SRPT US Equity","ARD_CHANGE_IN_OTHER_CUR_ASSETS","FQ2 2024","FQ2 2024","Currency=USD","Period=FQ","BEST_FPERIOD_OVERRIDE=FQ","FILING_STATUS=MR","SCALING_FORMAT=MLN","Sort=A","Dates=H","DateFormat=P","Fill=—","Direction=H","UseDPDF=Y")</f>
        <v>—</v>
      </c>
      <c r="Z18" s="13" t="str">
        <f>_xll.BDH("SRPT US Equity","ARD_CHANGE_IN_OTHER_CUR_ASSETS","FQ3 2024","FQ3 2024","Currency=USD","Period=FQ","BEST_FPERIOD_OVERRIDE=FQ","FILING_STATUS=MR","SCALING_FORMAT=MLN","Sort=A","Dates=H","DateFormat=P","Fill=—","Direction=H","UseDPDF=Y")</f>
        <v>—</v>
      </c>
      <c r="AA18" s="13" t="str">
        <f>_xll.BDH("SRPT US Equity","ARD_CHANGE_IN_OTHER_CUR_ASSETS","FQ4 2024","FQ4 2024","Currency=USD","Period=FQ","BEST_FPERIOD_OVERRIDE=FQ","FILING_STATUS=MR","SCALING_FORMAT=MLN","Sort=A","Dates=H","DateFormat=P","Fill=—","Direction=H","UseDPDF=Y")</f>
        <v>—</v>
      </c>
    </row>
    <row r="19" spans="1:27" x14ac:dyDescent="0.25">
      <c r="A19" s="10" t="s">
        <v>1289</v>
      </c>
      <c r="B19" s="10" t="s">
        <v>1290</v>
      </c>
      <c r="C19" s="13" t="str">
        <f>_xll.BDH("SRPT US Equity","ARD_IMPAIRMENTS","FQ4 2018","FQ4 2018","Currency=USD","Period=FQ","BEST_FPERIOD_OVERRIDE=FQ","FILING_STATUS=MR","SCALING_FORMAT=MLN","Sort=A","Dates=H","DateFormat=P","Fill=—","Direction=H","UseDPDF=Y")</f>
        <v>—</v>
      </c>
      <c r="D19" s="13" t="str">
        <f>_xll.BDH("SRPT US Equity","ARD_IMPAIRMENTS","FQ1 2019","FQ1 2019","Currency=USD","Period=FQ","BEST_FPERIOD_OVERRIDE=FQ","FILING_STATUS=MR","SCALING_FORMAT=MLN","Sort=A","Dates=H","DateFormat=P","Fill=—","Direction=H","UseDPDF=Y")</f>
        <v>—</v>
      </c>
      <c r="E19" s="13" t="str">
        <f>_xll.BDH("SRPT US Equity","ARD_IMPAIRMENTS","FQ2 2019","FQ2 2019","Currency=USD","Period=FQ","BEST_FPERIOD_OVERRIDE=FQ","FILING_STATUS=MR","SCALING_FORMAT=MLN","Sort=A","Dates=H","DateFormat=P","Fill=—","Direction=H","UseDPDF=Y")</f>
        <v>—</v>
      </c>
      <c r="F19" s="13" t="str">
        <f>_xll.BDH("SRPT US Equity","ARD_IMPAIRMENTS","FQ3 2019","FQ3 2019","Currency=USD","Period=FQ","BEST_FPERIOD_OVERRIDE=FQ","FILING_STATUS=MR","SCALING_FORMAT=MLN","Sort=A","Dates=H","DateFormat=P","Fill=—","Direction=H","UseDPDF=Y")</f>
        <v>—</v>
      </c>
      <c r="G19" s="13" t="str">
        <f>_xll.BDH("SRPT US Equity","ARD_IMPAIRMENTS","FQ4 2019","FQ4 2019","Currency=USD","Period=FQ","BEST_FPERIOD_OVERRIDE=FQ","FILING_STATUS=MR","SCALING_FORMAT=MLN","Sort=A","Dates=H","DateFormat=P","Fill=—","Direction=H","UseDPDF=Y")</f>
        <v>—</v>
      </c>
      <c r="H19" s="13" t="str">
        <f>_xll.BDH("SRPT US Equity","ARD_IMPAIRMENTS","FQ1 2020","FQ1 2020","Currency=USD","Period=FQ","BEST_FPERIOD_OVERRIDE=FQ","FILING_STATUS=MR","SCALING_FORMAT=MLN","Sort=A","Dates=H","DateFormat=P","Fill=—","Direction=H","UseDPDF=Y")</f>
        <v>—</v>
      </c>
      <c r="I19" s="13" t="str">
        <f>_xll.BDH("SRPT US Equity","ARD_IMPAIRMENTS","FQ2 2020","FQ2 2020","Currency=USD","Period=FQ","BEST_FPERIOD_OVERRIDE=FQ","FILING_STATUS=MR","SCALING_FORMAT=MLN","Sort=A","Dates=H","DateFormat=P","Fill=—","Direction=H","UseDPDF=Y")</f>
        <v>—</v>
      </c>
      <c r="J19" s="13" t="str">
        <f>_xll.BDH("SRPT US Equity","ARD_IMPAIRMENTS","FQ3 2020","FQ3 2020","Currency=USD","Period=FQ","BEST_FPERIOD_OVERRIDE=FQ","FILING_STATUS=MR","SCALING_FORMAT=MLN","Sort=A","Dates=H","DateFormat=P","Fill=—","Direction=H","UseDPDF=Y")</f>
        <v>—</v>
      </c>
      <c r="K19" s="13" t="str">
        <f>_xll.BDH("SRPT US Equity","ARD_IMPAIRMENTS","FQ4 2020","FQ4 2020","Currency=USD","Period=FQ","BEST_FPERIOD_OVERRIDE=FQ","FILING_STATUS=MR","SCALING_FORMAT=MLN","Sort=A","Dates=H","DateFormat=P","Fill=—","Direction=H","UseDPDF=Y")</f>
        <v>—</v>
      </c>
      <c r="L19" s="13" t="str">
        <f>_xll.BDH("SRPT US Equity","ARD_IMPAIRMENTS","FQ1 2021","FQ1 2021","Currency=USD","Period=FQ","BEST_FPERIOD_OVERRIDE=FQ","FILING_STATUS=MR","SCALING_FORMAT=MLN","Sort=A","Dates=H","DateFormat=P","Fill=—","Direction=H","UseDPDF=Y")</f>
        <v>—</v>
      </c>
      <c r="M19" s="13" t="str">
        <f>_xll.BDH("SRPT US Equity","ARD_IMPAIRMENTS","FQ2 2021","FQ2 2021","Currency=USD","Period=FQ","BEST_FPERIOD_OVERRIDE=FQ","FILING_STATUS=MR","SCALING_FORMAT=MLN","Sort=A","Dates=H","DateFormat=P","Fill=—","Direction=H","UseDPDF=Y")</f>
        <v>—</v>
      </c>
      <c r="N19" s="13">
        <f>_xll.BDH("SRPT US Equity","ARD_IMPAIRMENTS","FQ3 2021","FQ3 2021","Currency=USD","Period=FQ","BEST_FPERIOD_OVERRIDE=FQ","FILING_STATUS=MR","SCALING_FORMAT=MLN","Sort=A","Dates=H","DateFormat=P","Fill=—","Direction=H","UseDPDF=Y")</f>
        <v>4.4880000000000004</v>
      </c>
      <c r="O19" s="13">
        <f>_xll.BDH("SRPT US Equity","ARD_IMPAIRMENTS","FQ4 2021","FQ4 2021","Currency=USD","Period=FQ","BEST_FPERIOD_OVERRIDE=FQ","FILING_STATUS=MR","SCALING_FORMAT=MLN","Sort=A","Dates=H","DateFormat=P","Fill=—","Direction=H","UseDPDF=Y")</f>
        <v>4.4880000000000004</v>
      </c>
      <c r="P19" s="13" t="str">
        <f>_xll.BDH("SRPT US Equity","ARD_IMPAIRMENTS","FQ1 2022","FQ1 2022","Currency=USD","Period=FQ","BEST_FPERIOD_OVERRIDE=FQ","FILING_STATUS=MR","SCALING_FORMAT=MLN","Sort=A","Dates=H","DateFormat=P","Fill=—","Direction=H","UseDPDF=Y")</f>
        <v>—</v>
      </c>
      <c r="Q19" s="13" t="str">
        <f>_xll.BDH("SRPT US Equity","ARD_IMPAIRMENTS","FQ2 2022","FQ2 2022","Currency=USD","Period=FQ","BEST_FPERIOD_OVERRIDE=FQ","FILING_STATUS=MR","SCALING_FORMAT=MLN","Sort=A","Dates=H","DateFormat=P","Fill=—","Direction=H","UseDPDF=Y")</f>
        <v>—</v>
      </c>
      <c r="R19" s="13">
        <f>_xll.BDH("SRPT US Equity","ARD_IMPAIRMENTS","FQ3 2022","FQ3 2022","Currency=USD","Period=FQ","BEST_FPERIOD_OVERRIDE=FQ","FILING_STATUS=MR","SCALING_FORMAT=MLN","Sort=A","Dates=H","DateFormat=P","Fill=—","Direction=H","UseDPDF=Y")</f>
        <v>0</v>
      </c>
      <c r="S19" s="13">
        <f>_xll.BDH("SRPT US Equity","ARD_IMPAIRMENTS","FQ4 2022","FQ4 2022","Currency=USD","Period=FQ","BEST_FPERIOD_OVERRIDE=FQ","FILING_STATUS=MR","SCALING_FORMAT=MLN","Sort=A","Dates=H","DateFormat=P","Fill=—","Direction=H","UseDPDF=Y")</f>
        <v>2.5750000000000002</v>
      </c>
      <c r="T19" s="13" t="str">
        <f>_xll.BDH("SRPT US Equity","ARD_IMPAIRMENTS","FQ1 2023","FQ1 2023","Currency=USD","Period=FQ","BEST_FPERIOD_OVERRIDE=FQ","FILING_STATUS=MR","SCALING_FORMAT=MLN","Sort=A","Dates=H","DateFormat=P","Fill=—","Direction=H","UseDPDF=Y")</f>
        <v>—</v>
      </c>
      <c r="U19" s="13" t="str">
        <f>_xll.BDH("SRPT US Equity","ARD_IMPAIRMENTS","FQ2 2023","FQ2 2023","Currency=USD","Period=FQ","BEST_FPERIOD_OVERRIDE=FQ","FILING_STATUS=MR","SCALING_FORMAT=MLN","Sort=A","Dates=H","DateFormat=P","Fill=—","Direction=H","UseDPDF=Y")</f>
        <v>—</v>
      </c>
      <c r="V19" s="13">
        <f>_xll.BDH("SRPT US Equity","ARD_IMPAIRMENTS","FQ3 2023","FQ3 2023","Currency=USD","Period=FQ","BEST_FPERIOD_OVERRIDE=FQ","FILING_STATUS=MR","SCALING_FORMAT=MLN","Sort=A","Dates=H","DateFormat=P","Fill=—","Direction=H","UseDPDF=Y")</f>
        <v>27.821000000000002</v>
      </c>
      <c r="W19" s="13">
        <f>_xll.BDH("SRPT US Equity","ARD_IMPAIRMENTS","FQ4 2023","FQ4 2023","Currency=USD","Period=FQ","BEST_FPERIOD_OVERRIDE=FQ","FILING_STATUS=MR","SCALING_FORMAT=MLN","Sort=A","Dates=H","DateFormat=P","Fill=—","Direction=H","UseDPDF=Y")</f>
        <v>30.321000000000002</v>
      </c>
      <c r="X19" s="13" t="str">
        <f>_xll.BDH("SRPT US Equity","ARD_IMPAIRMENTS","FQ1 2024","FQ1 2024","Currency=USD","Period=FQ","BEST_FPERIOD_OVERRIDE=FQ","FILING_STATUS=MR","SCALING_FORMAT=MLN","Sort=A","Dates=H","DateFormat=P","Fill=—","Direction=H","UseDPDF=Y")</f>
        <v>—</v>
      </c>
      <c r="Y19" s="13" t="str">
        <f>_xll.BDH("SRPT US Equity","ARD_IMPAIRMENTS","FQ2 2024","FQ2 2024","Currency=USD","Period=FQ","BEST_FPERIOD_OVERRIDE=FQ","FILING_STATUS=MR","SCALING_FORMAT=MLN","Sort=A","Dates=H","DateFormat=P","Fill=—","Direction=H","UseDPDF=Y")</f>
        <v>—</v>
      </c>
      <c r="Z19" s="13" t="str">
        <f>_xll.BDH("SRPT US Equity","ARD_IMPAIRMENTS","FQ3 2024","FQ3 2024","Currency=USD","Period=FQ","BEST_FPERIOD_OVERRIDE=FQ","FILING_STATUS=MR","SCALING_FORMAT=MLN","Sort=A","Dates=H","DateFormat=P","Fill=—","Direction=H","UseDPDF=Y")</f>
        <v>—</v>
      </c>
      <c r="AA19" s="13">
        <f>_xll.BDH("SRPT US Equity","ARD_IMPAIRMENTS","FQ4 2024","FQ4 2024","Currency=USD","Period=FQ","BEST_FPERIOD_OVERRIDE=FQ","FILING_STATUS=MR","SCALING_FORMAT=MLN","Sort=A","Dates=H","DateFormat=P","Fill=—","Direction=H","UseDPDF=Y")</f>
        <v>0</v>
      </c>
    </row>
    <row r="20" spans="1:27" x14ac:dyDescent="0.25">
      <c r="A20" s="10" t="s">
        <v>1291</v>
      </c>
      <c r="B20" s="10" t="s">
        <v>1292</v>
      </c>
      <c r="C20" s="13" t="str">
        <f>_xll.BDH("SRPT US Equity","ARD_ACQUIRED_IN_PROCESS_RD_CF","FQ4 2018","FQ4 2018","Currency=USD","Period=FQ","BEST_FPERIOD_OVERRIDE=FQ","FILING_STATUS=MR","SCALING_FORMAT=MLN","Sort=A","Dates=H","DateFormat=P","Fill=—","Direction=H","UseDPDF=Y")</f>
        <v>—</v>
      </c>
      <c r="D20" s="13" t="str">
        <f>_xll.BDH("SRPT US Equity","ARD_ACQUIRED_IN_PROCESS_RD_CF","FQ1 2019","FQ1 2019","Currency=USD","Period=FQ","BEST_FPERIOD_OVERRIDE=FQ","FILING_STATUS=MR","SCALING_FORMAT=MLN","Sort=A","Dates=H","DateFormat=P","Fill=—","Direction=H","UseDPDF=Y")</f>
        <v>—</v>
      </c>
      <c r="E20" s="13">
        <f>_xll.BDH("SRPT US Equity","ARD_ACQUIRED_IN_PROCESS_RD_CF","FQ2 2019","FQ2 2019","Currency=USD","Period=FQ","BEST_FPERIOD_OVERRIDE=FQ","FILING_STATUS=MR","SCALING_FORMAT=MLN","Sort=A","Dates=H","DateFormat=P","Fill=—","Direction=H","UseDPDF=Y")</f>
        <v>173.24</v>
      </c>
      <c r="F20" s="13">
        <f>_xll.BDH("SRPT US Equity","ARD_ACQUIRED_IN_PROCESS_RD_CF","FQ3 2019","FQ3 2019","Currency=USD","Period=FQ","BEST_FPERIOD_OVERRIDE=FQ","FILING_STATUS=MR","SCALING_FORMAT=MLN","Sort=A","Dates=H","DateFormat=P","Fill=—","Direction=H","UseDPDF=Y")</f>
        <v>173.24</v>
      </c>
      <c r="G20" s="13">
        <f>_xll.BDH("SRPT US Equity","ARD_ACQUIRED_IN_PROCESS_RD_CF","FQ4 2019","FQ4 2019","Currency=USD","Period=FQ","BEST_FPERIOD_OVERRIDE=FQ","FILING_STATUS=MR","SCALING_FORMAT=MLN","Sort=A","Dates=H","DateFormat=P","Fill=—","Direction=H","UseDPDF=Y")</f>
        <v>173.24</v>
      </c>
      <c r="H20" s="13" t="str">
        <f>_xll.BDH("SRPT US Equity","ARD_ACQUIRED_IN_PROCESS_RD_CF","FQ1 2020","FQ1 2020","Currency=USD","Period=FQ","BEST_FPERIOD_OVERRIDE=FQ","FILING_STATUS=MR","SCALING_FORMAT=MLN","Sort=A","Dates=H","DateFormat=P","Fill=—","Direction=H","UseDPDF=Y")</f>
        <v>—</v>
      </c>
      <c r="I20" s="13">
        <f>_xll.BDH("SRPT US Equity","ARD_ACQUIRED_IN_PROCESS_RD_CF","FQ2 2020","FQ2 2020","Currency=USD","Period=FQ","BEST_FPERIOD_OVERRIDE=FQ","FILING_STATUS=MR","SCALING_FORMAT=MLN","Sort=A","Dates=H","DateFormat=P","Fill=—","Direction=H","UseDPDF=Y")</f>
        <v>0</v>
      </c>
      <c r="J20" s="13">
        <f>_xll.BDH("SRPT US Equity","ARD_ACQUIRED_IN_PROCESS_RD_CF","FQ3 2020","FQ3 2020","Currency=USD","Period=FQ","BEST_FPERIOD_OVERRIDE=FQ","FILING_STATUS=MR","SCALING_FORMAT=MLN","Sort=A","Dates=H","DateFormat=P","Fill=—","Direction=H","UseDPDF=Y")</f>
        <v>0</v>
      </c>
      <c r="K20" s="13" t="str">
        <f>_xll.BDH("SRPT US Equity","ARD_ACQUIRED_IN_PROCESS_RD_CF","FQ4 2020","FQ4 2020","Currency=USD","Period=FQ","BEST_FPERIOD_OVERRIDE=FQ","FILING_STATUS=MR","SCALING_FORMAT=MLN","Sort=A","Dates=H","DateFormat=P","Fill=—","Direction=H","UseDPDF=Y")</f>
        <v>—</v>
      </c>
      <c r="L20" s="13" t="str">
        <f>_xll.BDH("SRPT US Equity","ARD_ACQUIRED_IN_PROCESS_RD_CF","FQ1 2021","FQ1 2021","Currency=USD","Period=FQ","BEST_FPERIOD_OVERRIDE=FQ","FILING_STATUS=MR","SCALING_FORMAT=MLN","Sort=A","Dates=H","DateFormat=P","Fill=—","Direction=H","UseDPDF=Y")</f>
        <v>—</v>
      </c>
      <c r="M20" s="13" t="str">
        <f>_xll.BDH("SRPT US Equity","ARD_ACQUIRED_IN_PROCESS_RD_CF","FQ2 2021","FQ2 2021","Currency=USD","Period=FQ","BEST_FPERIOD_OVERRIDE=FQ","FILING_STATUS=MR","SCALING_FORMAT=MLN","Sort=A","Dates=H","DateFormat=P","Fill=—","Direction=H","UseDPDF=Y")</f>
        <v>—</v>
      </c>
      <c r="N20" s="13" t="str">
        <f>_xll.BDH("SRPT US Equity","ARD_ACQUIRED_IN_PROCESS_RD_CF","FQ3 2021","FQ3 2021","Currency=USD","Period=FQ","BEST_FPERIOD_OVERRIDE=FQ","FILING_STATUS=MR","SCALING_FORMAT=MLN","Sort=A","Dates=H","DateFormat=P","Fill=—","Direction=H","UseDPDF=Y")</f>
        <v>—</v>
      </c>
      <c r="O20" s="13">
        <f>_xll.BDH("SRPT US Equity","ARD_ACQUIRED_IN_PROCESS_RD_CF","FQ4 2021","FQ4 2021","Currency=USD","Period=FQ","BEST_FPERIOD_OVERRIDE=FQ","FILING_STATUS=MR","SCALING_FORMAT=MLN","Sort=A","Dates=H","DateFormat=P","Fill=—","Direction=H","UseDPDF=Y")</f>
        <v>0</v>
      </c>
      <c r="P20" s="13" t="str">
        <f>_xll.BDH("SRPT US Equity","ARD_ACQUIRED_IN_PROCESS_RD_CF","FQ1 2022","FQ1 2022","Currency=USD","Period=FQ","BEST_FPERIOD_OVERRIDE=FQ","FILING_STATUS=MR","SCALING_FORMAT=MLN","Sort=A","Dates=H","DateFormat=P","Fill=—","Direction=H","UseDPDF=Y")</f>
        <v>—</v>
      </c>
      <c r="Q20" s="13" t="str">
        <f>_xll.BDH("SRPT US Equity","ARD_ACQUIRED_IN_PROCESS_RD_CF","FQ2 2022","FQ2 2022","Currency=USD","Period=FQ","BEST_FPERIOD_OVERRIDE=FQ","FILING_STATUS=MR","SCALING_FORMAT=MLN","Sort=A","Dates=H","DateFormat=P","Fill=—","Direction=H","UseDPDF=Y")</f>
        <v>—</v>
      </c>
      <c r="R20" s="13" t="str">
        <f>_xll.BDH("SRPT US Equity","ARD_ACQUIRED_IN_PROCESS_RD_CF","FQ3 2022","FQ3 2022","Currency=USD","Period=FQ","BEST_FPERIOD_OVERRIDE=FQ","FILING_STATUS=MR","SCALING_FORMAT=MLN","Sort=A","Dates=H","DateFormat=P","Fill=—","Direction=H","UseDPDF=Y")</f>
        <v>—</v>
      </c>
      <c r="S20" s="13" t="str">
        <f>_xll.BDH("SRPT US Equity","ARD_ACQUIRED_IN_PROCESS_RD_CF","FQ4 2022","FQ4 2022","Currency=USD","Period=FQ","BEST_FPERIOD_OVERRIDE=FQ","FILING_STATUS=MR","SCALING_FORMAT=MLN","Sort=A","Dates=H","DateFormat=P","Fill=—","Direction=H","UseDPDF=Y")</f>
        <v>—</v>
      </c>
      <c r="T20" s="13" t="str">
        <f>_xll.BDH("SRPT US Equity","ARD_ACQUIRED_IN_PROCESS_RD_CF","FQ1 2023","FQ1 2023","Currency=USD","Period=FQ","BEST_FPERIOD_OVERRIDE=FQ","FILING_STATUS=MR","SCALING_FORMAT=MLN","Sort=A","Dates=H","DateFormat=P","Fill=—","Direction=H","UseDPDF=Y")</f>
        <v>—</v>
      </c>
      <c r="U20" s="13" t="str">
        <f>_xll.BDH("SRPT US Equity","ARD_ACQUIRED_IN_PROCESS_RD_CF","FQ2 2023","FQ2 2023","Currency=USD","Period=FQ","BEST_FPERIOD_OVERRIDE=FQ","FILING_STATUS=MR","SCALING_FORMAT=MLN","Sort=A","Dates=H","DateFormat=P","Fill=—","Direction=H","UseDPDF=Y")</f>
        <v>—</v>
      </c>
      <c r="V20" s="13" t="str">
        <f>_xll.BDH("SRPT US Equity","ARD_ACQUIRED_IN_PROCESS_RD_CF","FQ3 2023","FQ3 2023","Currency=USD","Period=FQ","BEST_FPERIOD_OVERRIDE=FQ","FILING_STATUS=MR","SCALING_FORMAT=MLN","Sort=A","Dates=H","DateFormat=P","Fill=—","Direction=H","UseDPDF=Y")</f>
        <v>—</v>
      </c>
      <c r="W20" s="13" t="str">
        <f>_xll.BDH("SRPT US Equity","ARD_ACQUIRED_IN_PROCESS_RD_CF","FQ4 2023","FQ4 2023","Currency=USD","Period=FQ","BEST_FPERIOD_OVERRIDE=FQ","FILING_STATUS=MR","SCALING_FORMAT=MLN","Sort=A","Dates=H","DateFormat=P","Fill=—","Direction=H","UseDPDF=Y")</f>
        <v>—</v>
      </c>
      <c r="X20" s="13" t="str">
        <f>_xll.BDH("SRPT US Equity","ARD_ACQUIRED_IN_PROCESS_RD_CF","FQ1 2024","FQ1 2024","Currency=USD","Period=FQ","BEST_FPERIOD_OVERRIDE=FQ","FILING_STATUS=MR","SCALING_FORMAT=MLN","Sort=A","Dates=H","DateFormat=P","Fill=—","Direction=H","UseDPDF=Y")</f>
        <v>—</v>
      </c>
      <c r="Y20" s="13" t="str">
        <f>_xll.BDH("SRPT US Equity","ARD_ACQUIRED_IN_PROCESS_RD_CF","FQ2 2024","FQ2 2024","Currency=USD","Period=FQ","BEST_FPERIOD_OVERRIDE=FQ","FILING_STATUS=MR","SCALING_FORMAT=MLN","Sort=A","Dates=H","DateFormat=P","Fill=—","Direction=H","UseDPDF=Y")</f>
        <v>—</v>
      </c>
      <c r="Z20" s="13" t="str">
        <f>_xll.BDH("SRPT US Equity","ARD_ACQUIRED_IN_PROCESS_RD_CF","FQ3 2024","FQ3 2024","Currency=USD","Period=FQ","BEST_FPERIOD_OVERRIDE=FQ","FILING_STATUS=MR","SCALING_FORMAT=MLN","Sort=A","Dates=H","DateFormat=P","Fill=—","Direction=H","UseDPDF=Y")</f>
        <v>—</v>
      </c>
      <c r="AA20" s="13" t="str">
        <f>_xll.BDH("SRPT US Equity","ARD_ACQUIRED_IN_PROCESS_RD_CF","FQ4 2024","FQ4 2024","Currency=USD","Period=FQ","BEST_FPERIOD_OVERRIDE=FQ","FILING_STATUS=MR","SCALING_FORMAT=MLN","Sort=A","Dates=H","DateFormat=P","Fill=—","Direction=H","UseDPDF=Y")</f>
        <v>—</v>
      </c>
    </row>
    <row r="21" spans="1:27" x14ac:dyDescent="0.25">
      <c r="A21" s="10" t="s">
        <v>1293</v>
      </c>
      <c r="B21" s="10" t="s">
        <v>1294</v>
      </c>
      <c r="C21" s="13">
        <f>_xll.BDH("SRPT US Equity","ARD_OTH_AMORT_NONCASH_EXP_GAINS","FQ4 2018","FQ4 2018","Currency=USD","Period=FQ","BEST_FPERIOD_OVERRIDE=FQ","FILING_STATUS=MR","SCALING_FORMAT=MLN","Sort=A","Dates=H","DateFormat=P","Fill=—","Direction=H","UseDPDF=Y")</f>
        <v>-7.6719999999999997</v>
      </c>
      <c r="D21" s="13" t="str">
        <f>_xll.BDH("SRPT US Equity","ARD_OTH_AMORT_NONCASH_EXP_GAINS","FQ1 2019","FQ1 2019","Currency=USD","Period=FQ","BEST_FPERIOD_OVERRIDE=FQ","FILING_STATUS=MR","SCALING_FORMAT=MLN","Sort=A","Dates=H","DateFormat=P","Fill=—","Direction=H","UseDPDF=Y")</f>
        <v>—</v>
      </c>
      <c r="E21" s="13" t="str">
        <f>_xll.BDH("SRPT US Equity","ARD_OTH_AMORT_NONCASH_EXP_GAINS","FQ2 2019","FQ2 2019","Currency=USD","Period=FQ","BEST_FPERIOD_OVERRIDE=FQ","FILING_STATUS=MR","SCALING_FORMAT=MLN","Sort=A","Dates=H","DateFormat=P","Fill=—","Direction=H","UseDPDF=Y")</f>
        <v>—</v>
      </c>
      <c r="F21" s="13" t="str">
        <f>_xll.BDH("SRPT US Equity","ARD_OTH_AMORT_NONCASH_EXP_GAINS","FQ3 2019","FQ3 2019","Currency=USD","Period=FQ","BEST_FPERIOD_OVERRIDE=FQ","FILING_STATUS=MR","SCALING_FORMAT=MLN","Sort=A","Dates=H","DateFormat=P","Fill=—","Direction=H","UseDPDF=Y")</f>
        <v>—</v>
      </c>
      <c r="G21" s="13" t="str">
        <f>_xll.BDH("SRPT US Equity","ARD_OTH_AMORT_NONCASH_EXP_GAINS","FQ4 2019","FQ4 2019","Currency=USD","Period=FQ","BEST_FPERIOD_OVERRIDE=FQ","FILING_STATUS=MR","SCALING_FORMAT=MLN","Sort=A","Dates=H","DateFormat=P","Fill=—","Direction=H","UseDPDF=Y")</f>
        <v>—</v>
      </c>
      <c r="H21" s="13" t="str">
        <f>_xll.BDH("SRPT US Equity","ARD_OTH_AMORT_NONCASH_EXP_GAINS","FQ1 2020","FQ1 2020","Currency=USD","Period=FQ","BEST_FPERIOD_OVERRIDE=FQ","FILING_STATUS=MR","SCALING_FORMAT=MLN","Sort=A","Dates=H","DateFormat=P","Fill=—","Direction=H","UseDPDF=Y")</f>
        <v>—</v>
      </c>
      <c r="I21" s="13" t="str">
        <f>_xll.BDH("SRPT US Equity","ARD_OTH_AMORT_NONCASH_EXP_GAINS","FQ2 2020","FQ2 2020","Currency=USD","Period=FQ","BEST_FPERIOD_OVERRIDE=FQ","FILING_STATUS=MR","SCALING_FORMAT=MLN","Sort=A","Dates=H","DateFormat=P","Fill=—","Direction=H","UseDPDF=Y")</f>
        <v>—</v>
      </c>
      <c r="J21" s="13" t="str">
        <f>_xll.BDH("SRPT US Equity","ARD_OTH_AMORT_NONCASH_EXP_GAINS","FQ3 2020","FQ3 2020","Currency=USD","Period=FQ","BEST_FPERIOD_OVERRIDE=FQ","FILING_STATUS=MR","SCALING_FORMAT=MLN","Sort=A","Dates=H","DateFormat=P","Fill=—","Direction=H","UseDPDF=Y")</f>
        <v>—</v>
      </c>
      <c r="K21" s="13" t="str">
        <f>_xll.BDH("SRPT US Equity","ARD_OTH_AMORT_NONCASH_EXP_GAINS","FQ4 2020","FQ4 2020","Currency=USD","Period=FQ","BEST_FPERIOD_OVERRIDE=FQ","FILING_STATUS=MR","SCALING_FORMAT=MLN","Sort=A","Dates=H","DateFormat=P","Fill=—","Direction=H","UseDPDF=Y")</f>
        <v>—</v>
      </c>
      <c r="L21" s="13" t="str">
        <f>_xll.BDH("SRPT US Equity","ARD_OTH_AMORT_NONCASH_EXP_GAINS","FQ1 2021","FQ1 2021","Currency=USD","Period=FQ","BEST_FPERIOD_OVERRIDE=FQ","FILING_STATUS=MR","SCALING_FORMAT=MLN","Sort=A","Dates=H","DateFormat=P","Fill=—","Direction=H","UseDPDF=Y")</f>
        <v>—</v>
      </c>
      <c r="M21" s="13" t="str">
        <f>_xll.BDH("SRPT US Equity","ARD_OTH_AMORT_NONCASH_EXP_GAINS","FQ2 2021","FQ2 2021","Currency=USD","Period=FQ","BEST_FPERIOD_OVERRIDE=FQ","FILING_STATUS=MR","SCALING_FORMAT=MLN","Sort=A","Dates=H","DateFormat=P","Fill=—","Direction=H","UseDPDF=Y")</f>
        <v>—</v>
      </c>
      <c r="N21" s="13" t="str">
        <f>_xll.BDH("SRPT US Equity","ARD_OTH_AMORT_NONCASH_EXP_GAINS","FQ3 2021","FQ3 2021","Currency=USD","Period=FQ","BEST_FPERIOD_OVERRIDE=FQ","FILING_STATUS=MR","SCALING_FORMAT=MLN","Sort=A","Dates=H","DateFormat=P","Fill=—","Direction=H","UseDPDF=Y")</f>
        <v>—</v>
      </c>
      <c r="O21" s="13" t="str">
        <f>_xll.BDH("SRPT US Equity","ARD_OTH_AMORT_NONCASH_EXP_GAINS","FQ4 2021","FQ4 2021","Currency=USD","Period=FQ","BEST_FPERIOD_OVERRIDE=FQ","FILING_STATUS=MR","SCALING_FORMAT=MLN","Sort=A","Dates=H","DateFormat=P","Fill=—","Direction=H","UseDPDF=Y")</f>
        <v>—</v>
      </c>
      <c r="P21" s="13" t="str">
        <f>_xll.BDH("SRPT US Equity","ARD_OTH_AMORT_NONCASH_EXP_GAINS","FQ1 2022","FQ1 2022","Currency=USD","Period=FQ","BEST_FPERIOD_OVERRIDE=FQ","FILING_STATUS=MR","SCALING_FORMAT=MLN","Sort=A","Dates=H","DateFormat=P","Fill=—","Direction=H","UseDPDF=Y")</f>
        <v>—</v>
      </c>
      <c r="Q21" s="13" t="str">
        <f>_xll.BDH("SRPT US Equity","ARD_OTH_AMORT_NONCASH_EXP_GAINS","FQ2 2022","FQ2 2022","Currency=USD","Period=FQ","BEST_FPERIOD_OVERRIDE=FQ","FILING_STATUS=MR","SCALING_FORMAT=MLN","Sort=A","Dates=H","DateFormat=P","Fill=—","Direction=H","UseDPDF=Y")</f>
        <v>—</v>
      </c>
      <c r="R21" s="13" t="str">
        <f>_xll.BDH("SRPT US Equity","ARD_OTH_AMORT_NONCASH_EXP_GAINS","FQ3 2022","FQ3 2022","Currency=USD","Period=FQ","BEST_FPERIOD_OVERRIDE=FQ","FILING_STATUS=MR","SCALING_FORMAT=MLN","Sort=A","Dates=H","DateFormat=P","Fill=—","Direction=H","UseDPDF=Y")</f>
        <v>—</v>
      </c>
      <c r="S21" s="13" t="str">
        <f>_xll.BDH("SRPT US Equity","ARD_OTH_AMORT_NONCASH_EXP_GAINS","FQ4 2022","FQ4 2022","Currency=USD","Period=FQ","BEST_FPERIOD_OVERRIDE=FQ","FILING_STATUS=MR","SCALING_FORMAT=MLN","Sort=A","Dates=H","DateFormat=P","Fill=—","Direction=H","UseDPDF=Y")</f>
        <v>—</v>
      </c>
      <c r="T21" s="13" t="str">
        <f>_xll.BDH("SRPT US Equity","ARD_OTH_AMORT_NONCASH_EXP_GAINS","FQ1 2023","FQ1 2023","Currency=USD","Period=FQ","BEST_FPERIOD_OVERRIDE=FQ","FILING_STATUS=MR","SCALING_FORMAT=MLN","Sort=A","Dates=H","DateFormat=P","Fill=—","Direction=H","UseDPDF=Y")</f>
        <v>—</v>
      </c>
      <c r="U21" s="13" t="str">
        <f>_xll.BDH("SRPT US Equity","ARD_OTH_AMORT_NONCASH_EXP_GAINS","FQ2 2023","FQ2 2023","Currency=USD","Period=FQ","BEST_FPERIOD_OVERRIDE=FQ","FILING_STATUS=MR","SCALING_FORMAT=MLN","Sort=A","Dates=H","DateFormat=P","Fill=—","Direction=H","UseDPDF=Y")</f>
        <v>—</v>
      </c>
      <c r="V21" s="13" t="str">
        <f>_xll.BDH("SRPT US Equity","ARD_OTH_AMORT_NONCASH_EXP_GAINS","FQ3 2023","FQ3 2023","Currency=USD","Period=FQ","BEST_FPERIOD_OVERRIDE=FQ","FILING_STATUS=MR","SCALING_FORMAT=MLN","Sort=A","Dates=H","DateFormat=P","Fill=—","Direction=H","UseDPDF=Y")</f>
        <v>—</v>
      </c>
      <c r="W21" s="13" t="str">
        <f>_xll.BDH("SRPT US Equity","ARD_OTH_AMORT_NONCASH_EXP_GAINS","FQ4 2023","FQ4 2023","Currency=USD","Period=FQ","BEST_FPERIOD_OVERRIDE=FQ","FILING_STATUS=MR","SCALING_FORMAT=MLN","Sort=A","Dates=H","DateFormat=P","Fill=—","Direction=H","UseDPDF=Y")</f>
        <v>—</v>
      </c>
      <c r="X21" s="13" t="str">
        <f>_xll.BDH("SRPT US Equity","ARD_OTH_AMORT_NONCASH_EXP_GAINS","FQ1 2024","FQ1 2024","Currency=USD","Period=FQ","BEST_FPERIOD_OVERRIDE=FQ","FILING_STATUS=MR","SCALING_FORMAT=MLN","Sort=A","Dates=H","DateFormat=P","Fill=—","Direction=H","UseDPDF=Y")</f>
        <v>—</v>
      </c>
      <c r="Y21" s="13" t="str">
        <f>_xll.BDH("SRPT US Equity","ARD_OTH_AMORT_NONCASH_EXP_GAINS","FQ2 2024","FQ2 2024","Currency=USD","Period=FQ","BEST_FPERIOD_OVERRIDE=FQ","FILING_STATUS=MR","SCALING_FORMAT=MLN","Sort=A","Dates=H","DateFormat=P","Fill=—","Direction=H","UseDPDF=Y")</f>
        <v>—</v>
      </c>
      <c r="Z21" s="13" t="str">
        <f>_xll.BDH("SRPT US Equity","ARD_OTH_AMORT_NONCASH_EXP_GAINS","FQ3 2024","FQ3 2024","Currency=USD","Period=FQ","BEST_FPERIOD_OVERRIDE=FQ","FILING_STATUS=MR","SCALING_FORMAT=MLN","Sort=A","Dates=H","DateFormat=P","Fill=—","Direction=H","UseDPDF=Y")</f>
        <v>—</v>
      </c>
      <c r="AA21" s="13" t="str">
        <f>_xll.BDH("SRPT US Equity","ARD_OTH_AMORT_NONCASH_EXP_GAINS","FQ4 2024","FQ4 2024","Currency=USD","Period=FQ","BEST_FPERIOD_OVERRIDE=FQ","FILING_STATUS=MR","SCALING_FORMAT=MLN","Sort=A","Dates=H","DateFormat=P","Fill=—","Direction=H","UseDPDF=Y")</f>
        <v>—</v>
      </c>
    </row>
    <row r="22" spans="1:27" x14ac:dyDescent="0.25">
      <c r="A22" s="10" t="s">
        <v>1295</v>
      </c>
      <c r="B22" s="10" t="s">
        <v>1296</v>
      </c>
      <c r="C22" s="13" t="str">
        <f>_xll.BDH("SRPT US Equity","ARD_CHANGE_IN_OTHER_ASSETS","FQ4 2018","FQ4 2018","Currency=USD","Period=FQ","BEST_FPERIOD_OVERRIDE=FQ","FILING_STATUS=MR","SCALING_FORMAT=MLN","Sort=A","Dates=H","DateFormat=P","Fill=—","Direction=H","UseDPDF=Y")</f>
        <v>—</v>
      </c>
      <c r="D22" s="13" t="str">
        <f>_xll.BDH("SRPT US Equity","ARD_CHANGE_IN_OTHER_ASSETS","FQ1 2019","FQ1 2019","Currency=USD","Period=FQ","BEST_FPERIOD_OVERRIDE=FQ","FILING_STATUS=MR","SCALING_FORMAT=MLN","Sort=A","Dates=H","DateFormat=P","Fill=—","Direction=H","UseDPDF=Y")</f>
        <v>—</v>
      </c>
      <c r="E22" s="13" t="str">
        <f>_xll.BDH("SRPT US Equity","ARD_CHANGE_IN_OTHER_ASSETS","FQ2 2019","FQ2 2019","Currency=USD","Period=FQ","BEST_FPERIOD_OVERRIDE=FQ","FILING_STATUS=MR","SCALING_FORMAT=MLN","Sort=A","Dates=H","DateFormat=P","Fill=—","Direction=H","UseDPDF=Y")</f>
        <v>—</v>
      </c>
      <c r="F22" s="13" t="str">
        <f>_xll.BDH("SRPT US Equity","ARD_CHANGE_IN_OTHER_ASSETS","FQ3 2019","FQ3 2019","Currency=USD","Period=FQ","BEST_FPERIOD_OVERRIDE=FQ","FILING_STATUS=MR","SCALING_FORMAT=MLN","Sort=A","Dates=H","DateFormat=P","Fill=—","Direction=H","UseDPDF=Y")</f>
        <v>—</v>
      </c>
      <c r="G22" s="13" t="str">
        <f>_xll.BDH("SRPT US Equity","ARD_CHANGE_IN_OTHER_ASSETS","FQ4 2019","FQ4 2019","Currency=USD","Period=FQ","BEST_FPERIOD_OVERRIDE=FQ","FILING_STATUS=MR","SCALING_FORMAT=MLN","Sort=A","Dates=H","DateFormat=P","Fill=—","Direction=H","UseDPDF=Y")</f>
        <v>—</v>
      </c>
      <c r="H22" s="13" t="str">
        <f>_xll.BDH("SRPT US Equity","ARD_CHANGE_IN_OTHER_ASSETS","FQ1 2020","FQ1 2020","Currency=USD","Period=FQ","BEST_FPERIOD_OVERRIDE=FQ","FILING_STATUS=MR","SCALING_FORMAT=MLN","Sort=A","Dates=H","DateFormat=P","Fill=—","Direction=H","UseDPDF=Y")</f>
        <v>—</v>
      </c>
      <c r="I22" s="13" t="str">
        <f>_xll.BDH("SRPT US Equity","ARD_CHANGE_IN_OTHER_ASSETS","FQ2 2020","FQ2 2020","Currency=USD","Period=FQ","BEST_FPERIOD_OVERRIDE=FQ","FILING_STATUS=MR","SCALING_FORMAT=MLN","Sort=A","Dates=H","DateFormat=P","Fill=—","Direction=H","UseDPDF=Y")</f>
        <v>—</v>
      </c>
      <c r="J22" s="13" t="str">
        <f>_xll.BDH("SRPT US Equity","ARD_CHANGE_IN_OTHER_ASSETS","FQ3 2020","FQ3 2020","Currency=USD","Period=FQ","BEST_FPERIOD_OVERRIDE=FQ","FILING_STATUS=MR","SCALING_FORMAT=MLN","Sort=A","Dates=H","DateFormat=P","Fill=—","Direction=H","UseDPDF=Y")</f>
        <v>—</v>
      </c>
      <c r="K22" s="13" t="str">
        <f>_xll.BDH("SRPT US Equity","ARD_CHANGE_IN_OTHER_ASSETS","FQ4 2020","FQ4 2020","Currency=USD","Period=FQ","BEST_FPERIOD_OVERRIDE=FQ","FILING_STATUS=MR","SCALING_FORMAT=MLN","Sort=A","Dates=H","DateFormat=P","Fill=—","Direction=H","UseDPDF=Y")</f>
        <v>—</v>
      </c>
      <c r="L22" s="13" t="str">
        <f>_xll.BDH("SRPT US Equity","ARD_CHANGE_IN_OTHER_ASSETS","FQ1 2021","FQ1 2021","Currency=USD","Period=FQ","BEST_FPERIOD_OVERRIDE=FQ","FILING_STATUS=MR","SCALING_FORMAT=MLN","Sort=A","Dates=H","DateFormat=P","Fill=—","Direction=H","UseDPDF=Y")</f>
        <v>—</v>
      </c>
      <c r="M22" s="13" t="str">
        <f>_xll.BDH("SRPT US Equity","ARD_CHANGE_IN_OTHER_ASSETS","FQ2 2021","FQ2 2021","Currency=USD","Period=FQ","BEST_FPERIOD_OVERRIDE=FQ","FILING_STATUS=MR","SCALING_FORMAT=MLN","Sort=A","Dates=H","DateFormat=P","Fill=—","Direction=H","UseDPDF=Y")</f>
        <v>—</v>
      </c>
      <c r="N22" s="13" t="str">
        <f>_xll.BDH("SRPT US Equity","ARD_CHANGE_IN_OTHER_ASSETS","FQ3 2021","FQ3 2021","Currency=USD","Period=FQ","BEST_FPERIOD_OVERRIDE=FQ","FILING_STATUS=MR","SCALING_FORMAT=MLN","Sort=A","Dates=H","DateFormat=P","Fill=—","Direction=H","UseDPDF=Y")</f>
        <v>—</v>
      </c>
      <c r="O22" s="13" t="str">
        <f>_xll.BDH("SRPT US Equity","ARD_CHANGE_IN_OTHER_ASSETS","FQ4 2021","FQ4 2021","Currency=USD","Period=FQ","BEST_FPERIOD_OVERRIDE=FQ","FILING_STATUS=MR","SCALING_FORMAT=MLN","Sort=A","Dates=H","DateFormat=P","Fill=—","Direction=H","UseDPDF=Y")</f>
        <v>—</v>
      </c>
      <c r="P22" s="13" t="str">
        <f>_xll.BDH("SRPT US Equity","ARD_CHANGE_IN_OTHER_ASSETS","FQ1 2022","FQ1 2022","Currency=USD","Period=FQ","BEST_FPERIOD_OVERRIDE=FQ","FILING_STATUS=MR","SCALING_FORMAT=MLN","Sort=A","Dates=H","DateFormat=P","Fill=—","Direction=H","UseDPDF=Y")</f>
        <v>—</v>
      </c>
      <c r="Q22" s="13" t="str">
        <f>_xll.BDH("SRPT US Equity","ARD_CHANGE_IN_OTHER_ASSETS","FQ2 2022","FQ2 2022","Currency=USD","Period=FQ","BEST_FPERIOD_OVERRIDE=FQ","FILING_STATUS=MR","SCALING_FORMAT=MLN","Sort=A","Dates=H","DateFormat=P","Fill=—","Direction=H","UseDPDF=Y")</f>
        <v>—</v>
      </c>
      <c r="R22" s="13" t="str">
        <f>_xll.BDH("SRPT US Equity","ARD_CHANGE_IN_OTHER_ASSETS","FQ3 2022","FQ3 2022","Currency=USD","Period=FQ","BEST_FPERIOD_OVERRIDE=FQ","FILING_STATUS=MR","SCALING_FORMAT=MLN","Sort=A","Dates=H","DateFormat=P","Fill=—","Direction=H","UseDPDF=Y")</f>
        <v>—</v>
      </c>
      <c r="S22" s="13" t="str">
        <f>_xll.BDH("SRPT US Equity","ARD_CHANGE_IN_OTHER_ASSETS","FQ4 2022","FQ4 2022","Currency=USD","Period=FQ","BEST_FPERIOD_OVERRIDE=FQ","FILING_STATUS=MR","SCALING_FORMAT=MLN","Sort=A","Dates=H","DateFormat=P","Fill=—","Direction=H","UseDPDF=Y")</f>
        <v>—</v>
      </c>
      <c r="T22" s="13">
        <f>_xll.BDH("SRPT US Equity","ARD_CHANGE_IN_OTHER_ASSETS","FQ1 2023","FQ1 2023","Currency=USD","Period=FQ","BEST_FPERIOD_OVERRIDE=FQ","FILING_STATUS=MR","SCALING_FORMAT=MLN","Sort=A","Dates=H","DateFormat=P","Fill=—","Direction=H","UseDPDF=Y")</f>
        <v>-29.995999999999999</v>
      </c>
      <c r="U22" s="13">
        <f>_xll.BDH("SRPT US Equity","ARD_CHANGE_IN_OTHER_ASSETS","FQ2 2023","FQ2 2023","Currency=USD","Period=FQ","BEST_FPERIOD_OVERRIDE=FQ","FILING_STATUS=MR","SCALING_FORMAT=MLN","Sort=A","Dates=H","DateFormat=P","Fill=—","Direction=H","UseDPDF=Y")</f>
        <v>11.015000000000001</v>
      </c>
      <c r="V22" s="13">
        <f>_xll.BDH("SRPT US Equity","ARD_CHANGE_IN_OTHER_ASSETS","FQ3 2023","FQ3 2023","Currency=USD","Period=FQ","BEST_FPERIOD_OVERRIDE=FQ","FILING_STATUS=MR","SCALING_FORMAT=MLN","Sort=A","Dates=H","DateFormat=P","Fill=—","Direction=H","UseDPDF=Y")</f>
        <v>5.0110000000000001</v>
      </c>
      <c r="W22" s="13" t="str">
        <f>_xll.BDH("SRPT US Equity","ARD_CHANGE_IN_OTHER_ASSETS","FQ4 2023","FQ4 2023","Currency=USD","Period=FQ","BEST_FPERIOD_OVERRIDE=FQ","FILING_STATUS=MR","SCALING_FORMAT=MLN","Sort=A","Dates=H","DateFormat=P","Fill=—","Direction=H","UseDPDF=Y")</f>
        <v>—</v>
      </c>
      <c r="X22" s="13">
        <f>_xll.BDH("SRPT US Equity","ARD_CHANGE_IN_OTHER_ASSETS","FQ1 2024","FQ1 2024","Currency=USD","Period=FQ","BEST_FPERIOD_OVERRIDE=FQ","FILING_STATUS=MR","SCALING_FORMAT=MLN","Sort=A","Dates=H","DateFormat=P","Fill=—","Direction=H","UseDPDF=Y")</f>
        <v>-2.3149999999999999</v>
      </c>
      <c r="Y22" s="13">
        <f>_xll.BDH("SRPT US Equity","ARD_CHANGE_IN_OTHER_ASSETS","FQ2 2024","FQ2 2024","Currency=USD","Period=FQ","BEST_FPERIOD_OVERRIDE=FQ","FILING_STATUS=MR","SCALING_FORMAT=MLN","Sort=A","Dates=H","DateFormat=P","Fill=—","Direction=H","UseDPDF=Y")</f>
        <v>-196.71700000000001</v>
      </c>
      <c r="Z22" s="13">
        <f>_xll.BDH("SRPT US Equity","ARD_CHANGE_IN_OTHER_ASSETS","FQ3 2024","FQ3 2024","Currency=USD","Period=FQ","BEST_FPERIOD_OVERRIDE=FQ","FILING_STATUS=MR","SCALING_FORMAT=MLN","Sort=A","Dates=H","DateFormat=P","Fill=—","Direction=H","UseDPDF=Y")</f>
        <v>-274.92399999999998</v>
      </c>
      <c r="AA22" s="13">
        <f>_xll.BDH("SRPT US Equity","ARD_CHANGE_IN_OTHER_ASSETS","FQ4 2024","FQ4 2024","Currency=USD","Period=FQ","BEST_FPERIOD_OVERRIDE=FQ","FILING_STATUS=MR","SCALING_FORMAT=MLN","Sort=A","Dates=H","DateFormat=P","Fill=—","Direction=H","UseDPDF=Y")</f>
        <v>-198.26400000000001</v>
      </c>
    </row>
    <row r="23" spans="1:27" x14ac:dyDescent="0.25">
      <c r="A23" s="10" t="s">
        <v>1297</v>
      </c>
      <c r="B23" s="10" t="s">
        <v>1298</v>
      </c>
      <c r="C23" s="13">
        <f>_xll.BDH("SRPT US Equity","ARD_TOT_CASH_FLOWS_FROM_OPS","FQ4 2018","FQ4 2018","Currency=USD","Period=FQ","BEST_FPERIOD_OVERRIDE=FQ","FILING_STATUS=MR","SCALING_FORMAT=MLN","Sort=A","Dates=H","DateFormat=P","Fill=—","Direction=H","UseDPDF=Y")</f>
        <v>-388.66</v>
      </c>
      <c r="D23" s="13">
        <f>_xll.BDH("SRPT US Equity","ARD_TOT_CASH_FLOWS_FROM_OPS","FQ1 2019","FQ1 2019","Currency=USD","Period=FQ","BEST_FPERIOD_OVERRIDE=FQ","FILING_STATUS=MR","SCALING_FORMAT=MLN","Sort=A","Dates=H","DateFormat=P","Fill=—","Direction=H","UseDPDF=Y")</f>
        <v>-146.233</v>
      </c>
      <c r="E23" s="13">
        <f>_xll.BDH("SRPT US Equity","ARD_TOT_CASH_FLOWS_FROM_OPS","FQ2 2019","FQ2 2019","Currency=USD","Period=FQ","BEST_FPERIOD_OVERRIDE=FQ","FILING_STATUS=MR","SCALING_FORMAT=MLN","Sort=A","Dates=H","DateFormat=P","Fill=—","Direction=H","UseDPDF=Y")</f>
        <v>-225.23699999999999</v>
      </c>
      <c r="F23" s="13">
        <f>_xll.BDH("SRPT US Equity","ARD_TOT_CASH_FLOWS_FROM_OPS","FQ3 2019","FQ3 2019","Currency=USD","Period=FQ","BEST_FPERIOD_OVERRIDE=FQ","FILING_STATUS=MR","SCALING_FORMAT=MLN","Sort=A","Dates=H","DateFormat=P","Fill=—","Direction=H","UseDPDF=Y")</f>
        <v>-292.66800000000001</v>
      </c>
      <c r="G23" s="13">
        <f>_xll.BDH("SRPT US Equity","ARD_TOT_CASH_FLOWS_FROM_OPS","FQ4 2019","FQ4 2019","Currency=USD","Period=FQ","BEST_FPERIOD_OVERRIDE=FQ","FILING_STATUS=MR","SCALING_FORMAT=MLN","Sort=A","Dates=H","DateFormat=P","Fill=—","Direction=H","UseDPDF=Y")</f>
        <v>-456.46300000000002</v>
      </c>
      <c r="H23" s="13">
        <f>_xll.BDH("SRPT US Equity","ARD_TOT_CASH_FLOWS_FROM_OPS","FQ1 2020","FQ1 2020","Currency=USD","Period=FQ","BEST_FPERIOD_OVERRIDE=FQ","FILING_STATUS=MR","SCALING_FORMAT=MLN","Sort=A","Dates=H","DateFormat=P","Fill=—","Direction=H","UseDPDF=Y")</f>
        <v>627.79</v>
      </c>
      <c r="I23" s="13">
        <f>_xll.BDH("SRPT US Equity","ARD_TOT_CASH_FLOWS_FROM_OPS","FQ2 2020","FQ2 2020","Currency=USD","Period=FQ","BEST_FPERIOD_OVERRIDE=FQ","FILING_STATUS=MR","SCALING_FORMAT=MLN","Sort=A","Dates=H","DateFormat=P","Fill=—","Direction=H","UseDPDF=Y")</f>
        <v>520.18700000000001</v>
      </c>
      <c r="J23" s="13">
        <f>_xll.BDH("SRPT US Equity","ARD_TOT_CASH_FLOWS_FROM_OPS","FQ3 2020","FQ3 2020","Currency=USD","Period=FQ","BEST_FPERIOD_OVERRIDE=FQ","FILING_STATUS=MR","SCALING_FORMAT=MLN","Sort=A","Dates=H","DateFormat=P","Fill=—","Direction=H","UseDPDF=Y")</f>
        <v>282.00099999999998</v>
      </c>
      <c r="K23" s="13">
        <f>_xll.BDH("SRPT US Equity","ARD_TOT_CASH_FLOWS_FROM_OPS","FQ4 2020","FQ4 2020","Currency=USD","Period=FQ","BEST_FPERIOD_OVERRIDE=FQ","FILING_STATUS=MR","SCALING_FORMAT=MLN","Sort=A","Dates=H","DateFormat=P","Fill=—","Direction=H","UseDPDF=Y")</f>
        <v>107.46599999999999</v>
      </c>
      <c r="L23" s="13">
        <f>_xll.BDH("SRPT US Equity","ARD_TOT_CASH_FLOWS_FROM_OPS","FQ1 2021","FQ1 2021","Currency=USD","Period=FQ","BEST_FPERIOD_OVERRIDE=FQ","FILING_STATUS=MR","SCALING_FORMAT=MLN","Sort=A","Dates=H","DateFormat=P","Fill=—","Direction=H","UseDPDF=Y")</f>
        <v>-180.37100000000001</v>
      </c>
      <c r="M23" s="13">
        <f>_xll.BDH("SRPT US Equity","ARD_TOT_CASH_FLOWS_FROM_OPS","FQ2 2021","FQ2 2021","Currency=USD","Period=FQ","BEST_FPERIOD_OVERRIDE=FQ","FILING_STATUS=MR","SCALING_FORMAT=MLN","Sort=A","Dates=H","DateFormat=P","Fill=—","Direction=H","UseDPDF=Y")</f>
        <v>-289.517</v>
      </c>
      <c r="N23" s="13">
        <f>_xll.BDH("SRPT US Equity","ARD_TOT_CASH_FLOWS_FROM_OPS","FQ3 2021","FQ3 2021","Currency=USD","Period=FQ","BEST_FPERIOD_OVERRIDE=FQ","FILING_STATUS=MR","SCALING_FORMAT=MLN","Sort=A","Dates=H","DateFormat=P","Fill=—","Direction=H","UseDPDF=Y")</f>
        <v>-413.846</v>
      </c>
      <c r="O23" s="13">
        <f>_xll.BDH("SRPT US Equity","ARD_TOT_CASH_FLOWS_FROM_OPS","FQ4 2021","FQ4 2021","Currency=USD","Period=FQ","BEST_FPERIOD_OVERRIDE=FQ","FILING_STATUS=MR","SCALING_FORMAT=MLN","Sort=A","Dates=H","DateFormat=P","Fill=—","Direction=H","UseDPDF=Y")</f>
        <v>-443.17200000000003</v>
      </c>
      <c r="P23" s="13">
        <f>_xll.BDH("SRPT US Equity","ARD_TOT_CASH_FLOWS_FROM_OPS","FQ1 2022","FQ1 2022","Currency=USD","Period=FQ","BEST_FPERIOD_OVERRIDE=FQ","FILING_STATUS=MR","SCALING_FORMAT=MLN","Sort=A","Dates=H","DateFormat=P","Fill=—","Direction=H","UseDPDF=Y")</f>
        <v>-101.175</v>
      </c>
      <c r="Q23" s="13">
        <f>_xll.BDH("SRPT US Equity","ARD_TOT_CASH_FLOWS_FROM_OPS","FQ2 2022","FQ2 2022","Currency=USD","Period=FQ","BEST_FPERIOD_OVERRIDE=FQ","FILING_STATUS=MR","SCALING_FORMAT=MLN","Sort=A","Dates=H","DateFormat=P","Fill=—","Direction=H","UseDPDF=Y")</f>
        <v>-167.99</v>
      </c>
      <c r="R23" s="13">
        <f>_xll.BDH("SRPT US Equity","ARD_TOT_CASH_FLOWS_FROM_OPS","FQ3 2022","FQ3 2022","Currency=USD","Period=FQ","BEST_FPERIOD_OVERRIDE=FQ","FILING_STATUS=MR","SCALING_FORMAT=MLN","Sort=A","Dates=H","DateFormat=P","Fill=—","Direction=H","UseDPDF=Y")</f>
        <v>-232.95400000000001</v>
      </c>
      <c r="S23" s="13">
        <f>_xll.BDH("SRPT US Equity","ARD_TOT_CASH_FLOWS_FROM_OPS","FQ4 2022","FQ4 2022","Currency=USD","Period=FQ","BEST_FPERIOD_OVERRIDE=FQ","FILING_STATUS=MR","SCALING_FORMAT=MLN","Sort=A","Dates=H","DateFormat=P","Fill=—","Direction=H","UseDPDF=Y")</f>
        <v>-325.346</v>
      </c>
      <c r="T23" s="13">
        <f>_xll.BDH("SRPT US Equity","ARD_TOT_CASH_FLOWS_FROM_OPS","FQ1 2023","FQ1 2023","Currency=USD","Period=FQ","BEST_FPERIOD_OVERRIDE=FQ","FILING_STATUS=MR","SCALING_FORMAT=MLN","Sort=A","Dates=H","DateFormat=P","Fill=—","Direction=H","UseDPDF=Y")</f>
        <v>-209.39599999999999</v>
      </c>
      <c r="U23" s="13">
        <f>_xll.BDH("SRPT US Equity","ARD_TOT_CASH_FLOWS_FROM_OPS","FQ2 2023","FQ2 2023","Currency=USD","Period=FQ","BEST_FPERIOD_OVERRIDE=FQ","FILING_STATUS=MR","SCALING_FORMAT=MLN","Sort=A","Dates=H","DateFormat=P","Fill=—","Direction=H","UseDPDF=Y")</f>
        <v>-331.63</v>
      </c>
      <c r="V23" s="13">
        <f>_xll.BDH("SRPT US Equity","ARD_TOT_CASH_FLOWS_FROM_OPS","FQ3 2023","FQ3 2023","Currency=USD","Period=FQ","BEST_FPERIOD_OVERRIDE=FQ","FILING_STATUS=MR","SCALING_FORMAT=MLN","Sort=A","Dates=H","DateFormat=P","Fill=—","Direction=H","UseDPDF=Y")</f>
        <v>-446.33600000000001</v>
      </c>
      <c r="W23" s="13">
        <f>_xll.BDH("SRPT US Equity","ARD_TOT_CASH_FLOWS_FROM_OPS","FQ4 2023","FQ4 2023","Currency=USD","Period=FQ","BEST_FPERIOD_OVERRIDE=FQ","FILING_STATUS=MR","SCALING_FORMAT=MLN","Sort=A","Dates=H","DateFormat=P","Fill=—","Direction=H","UseDPDF=Y")</f>
        <v>-500.99299999999999</v>
      </c>
      <c r="X23" s="13">
        <f>_xll.BDH("SRPT US Equity","ARD_TOT_CASH_FLOWS_FROM_OPS","FQ1 2024","FQ1 2024","Currency=USD","Period=FQ","BEST_FPERIOD_OVERRIDE=FQ","FILING_STATUS=MR","SCALING_FORMAT=MLN","Sort=A","Dates=H","DateFormat=P","Fill=—","Direction=H","UseDPDF=Y")</f>
        <v>-242.07599999999999</v>
      </c>
      <c r="Y23" s="13">
        <f>_xll.BDH("SRPT US Equity","ARD_TOT_CASH_FLOWS_FROM_OPS","FQ2 2024","FQ2 2024","Currency=USD","Period=FQ","BEST_FPERIOD_OVERRIDE=FQ","FILING_STATUS=MR","SCALING_FORMAT=MLN","Sort=A","Dates=H","DateFormat=P","Fill=—","Direction=H","UseDPDF=Y")</f>
        <v>-227.13399999999999</v>
      </c>
      <c r="Z23" s="13">
        <f>_xll.BDH("SRPT US Equity","ARD_TOT_CASH_FLOWS_FROM_OPS","FQ3 2024","FQ3 2024","Currency=USD","Period=FQ","BEST_FPERIOD_OVERRIDE=FQ","FILING_STATUS=MR","SCALING_FORMAT=MLN","Sort=A","Dates=H","DateFormat=P","Fill=—","Direction=H","UseDPDF=Y")</f>
        <v>-297.83300000000003</v>
      </c>
      <c r="AA23" s="13">
        <f>_xll.BDH("SRPT US Equity","ARD_TOT_CASH_FLOWS_FROM_OPS","FQ4 2024","FQ4 2024","Currency=USD","Period=FQ","BEST_FPERIOD_OVERRIDE=FQ","FILING_STATUS=MR","SCALING_FORMAT=MLN","Sort=A","Dates=H","DateFormat=P","Fill=—","Direction=H","UseDPDF=Y")</f>
        <v>-205.78700000000001</v>
      </c>
    </row>
    <row r="24" spans="1:27" x14ac:dyDescent="0.25">
      <c r="A24" s="10" t="s">
        <v>1299</v>
      </c>
      <c r="B24" s="10" t="s">
        <v>1300</v>
      </c>
      <c r="C24" s="13" t="str">
        <f>_xll.BDH("SRPT US Equity","ARD_AMORT_OF_DEBT_DISCOUNT","FQ4 2018","FQ4 2018","Currency=USD","Period=FQ","BEST_FPERIOD_OVERRIDE=FQ","FILING_STATUS=MR","SCALING_FORMAT=MLN","Sort=A","Dates=H","DateFormat=P","Fill=—","Direction=H","UseDPDF=Y")</f>
        <v>—</v>
      </c>
      <c r="D24" s="13">
        <f>_xll.BDH("SRPT US Equity","ARD_AMORT_OF_DEBT_DISCOUNT","FQ1 2019","FQ1 2019","Currency=USD","Period=FQ","BEST_FPERIOD_OVERRIDE=FQ","FILING_STATUS=MR","SCALING_FORMAT=MLN","Sort=A","Dates=H","DateFormat=P","Fill=—","Direction=H","UseDPDF=Y")</f>
        <v>-3.476</v>
      </c>
      <c r="E24" s="13">
        <f>_xll.BDH("SRPT US Equity","ARD_AMORT_OF_DEBT_DISCOUNT","FQ2 2019","FQ2 2019","Currency=USD","Period=FQ","BEST_FPERIOD_OVERRIDE=FQ","FILING_STATUS=MR","SCALING_FORMAT=MLN","Sort=A","Dates=H","DateFormat=P","Fill=—","Direction=H","UseDPDF=Y")</f>
        <v>-5.8</v>
      </c>
      <c r="F24" s="13">
        <f>_xll.BDH("SRPT US Equity","ARD_AMORT_OF_DEBT_DISCOUNT","FQ3 2019","FQ3 2019","Currency=USD","Period=FQ","BEST_FPERIOD_OVERRIDE=FQ","FILING_STATUS=MR","SCALING_FORMAT=MLN","Sort=A","Dates=H","DateFormat=P","Fill=—","Direction=H","UseDPDF=Y")</f>
        <v>-7.4489999999999998</v>
      </c>
      <c r="G24" s="13">
        <f>_xll.BDH("SRPT US Equity","ARD_AMORT_OF_DEBT_DISCOUNT","FQ4 2019","FQ4 2019","Currency=USD","Period=FQ","BEST_FPERIOD_OVERRIDE=FQ","FILING_STATUS=MR","SCALING_FORMAT=MLN","Sort=A","Dates=H","DateFormat=P","Fill=—","Direction=H","UseDPDF=Y")</f>
        <v>-8.4450000000000003</v>
      </c>
      <c r="H24" s="13">
        <f>_xll.BDH("SRPT US Equity","ARD_AMORT_OF_DEBT_DISCOUNT","FQ1 2020","FQ1 2020","Currency=USD","Period=FQ","BEST_FPERIOD_OVERRIDE=FQ","FILING_STATUS=MR","SCALING_FORMAT=MLN","Sort=A","Dates=H","DateFormat=P","Fill=—","Direction=H","UseDPDF=Y")</f>
        <v>-1.284</v>
      </c>
      <c r="I24" s="13">
        <f>_xll.BDH("SRPT US Equity","ARD_AMORT_OF_DEBT_DISCOUNT","FQ2 2020","FQ2 2020","Currency=USD","Period=FQ","BEST_FPERIOD_OVERRIDE=FQ","FILING_STATUS=MR","SCALING_FORMAT=MLN","Sort=A","Dates=H","DateFormat=P","Fill=—","Direction=H","UseDPDF=Y")</f>
        <v>-1.9279999999999999</v>
      </c>
      <c r="J24" s="13">
        <f>_xll.BDH("SRPT US Equity","ARD_AMORT_OF_DEBT_DISCOUNT","FQ3 2020","FQ3 2020","Currency=USD","Period=FQ","BEST_FPERIOD_OVERRIDE=FQ","FILING_STATUS=MR","SCALING_FORMAT=MLN","Sort=A","Dates=H","DateFormat=P","Fill=—","Direction=H","UseDPDF=Y")</f>
        <v>-2.1059999999999999</v>
      </c>
      <c r="K24" s="13">
        <f>_xll.BDH("SRPT US Equity","ARD_AMORT_OF_DEBT_DISCOUNT","FQ4 2020","FQ4 2020","Currency=USD","Period=FQ","BEST_FPERIOD_OVERRIDE=FQ","FILING_STATUS=MR","SCALING_FORMAT=MLN","Sort=A","Dates=H","DateFormat=P","Fill=—","Direction=H","UseDPDF=Y")</f>
        <v>-2.1859999999999999</v>
      </c>
      <c r="L24" s="13">
        <f>_xll.BDH("SRPT US Equity","ARD_AMORT_OF_DEBT_DISCOUNT","FQ1 2021","FQ1 2021","Currency=USD","Period=FQ","BEST_FPERIOD_OVERRIDE=FQ","FILING_STATUS=MR","SCALING_FORMAT=MLN","Sort=A","Dates=H","DateFormat=P","Fill=—","Direction=H","UseDPDF=Y")</f>
        <v>-8.2000000000000003E-2</v>
      </c>
      <c r="M24" s="13">
        <f>_xll.BDH("SRPT US Equity","ARD_AMORT_OF_DEBT_DISCOUNT","FQ2 2021","FQ2 2021","Currency=USD","Period=FQ","BEST_FPERIOD_OVERRIDE=FQ","FILING_STATUS=MR","SCALING_FORMAT=MLN","Sort=A","Dates=H","DateFormat=P","Fill=—","Direction=H","UseDPDF=Y")</f>
        <v>-0.10100000000000001</v>
      </c>
      <c r="N24" s="13" t="str">
        <f>_xll.BDH("SRPT US Equity","ARD_AMORT_OF_DEBT_DISCOUNT","FQ3 2021","FQ3 2021","Currency=USD","Period=FQ","BEST_FPERIOD_OVERRIDE=FQ","FILING_STATUS=MR","SCALING_FORMAT=MLN","Sort=A","Dates=H","DateFormat=P","Fill=—","Direction=H","UseDPDF=Y")</f>
        <v>—</v>
      </c>
      <c r="O24" s="13" t="str">
        <f>_xll.BDH("SRPT US Equity","ARD_AMORT_OF_DEBT_DISCOUNT","FQ4 2021","FQ4 2021","Currency=USD","Period=FQ","BEST_FPERIOD_OVERRIDE=FQ","FILING_STATUS=MR","SCALING_FORMAT=MLN","Sort=A","Dates=H","DateFormat=P","Fill=—","Direction=H","UseDPDF=Y")</f>
        <v>—</v>
      </c>
      <c r="P24" s="13" t="str">
        <f>_xll.BDH("SRPT US Equity","ARD_AMORT_OF_DEBT_DISCOUNT","FQ1 2022","FQ1 2022","Currency=USD","Period=FQ","BEST_FPERIOD_OVERRIDE=FQ","FILING_STATUS=MR","SCALING_FORMAT=MLN","Sort=A","Dates=H","DateFormat=P","Fill=—","Direction=H","UseDPDF=Y")</f>
        <v>—</v>
      </c>
      <c r="Q24" s="13" t="str">
        <f>_xll.BDH("SRPT US Equity","ARD_AMORT_OF_DEBT_DISCOUNT","FQ2 2022","FQ2 2022","Currency=USD","Period=FQ","BEST_FPERIOD_OVERRIDE=FQ","FILING_STATUS=MR","SCALING_FORMAT=MLN","Sort=A","Dates=H","DateFormat=P","Fill=—","Direction=H","UseDPDF=Y")</f>
        <v>—</v>
      </c>
      <c r="R24" s="13" t="str">
        <f>_xll.BDH("SRPT US Equity","ARD_AMORT_OF_DEBT_DISCOUNT","FQ3 2022","FQ3 2022","Currency=USD","Period=FQ","BEST_FPERIOD_OVERRIDE=FQ","FILING_STATUS=MR","SCALING_FORMAT=MLN","Sort=A","Dates=H","DateFormat=P","Fill=—","Direction=H","UseDPDF=Y")</f>
        <v>—</v>
      </c>
      <c r="S24" s="13" t="str">
        <f>_xll.BDH("SRPT US Equity","ARD_AMORT_OF_DEBT_DISCOUNT","FQ4 2022","FQ4 2022","Currency=USD","Period=FQ","BEST_FPERIOD_OVERRIDE=FQ","FILING_STATUS=MR","SCALING_FORMAT=MLN","Sort=A","Dates=H","DateFormat=P","Fill=—","Direction=H","UseDPDF=Y")</f>
        <v>—</v>
      </c>
      <c r="T24" s="13" t="str">
        <f>_xll.BDH("SRPT US Equity","ARD_AMORT_OF_DEBT_DISCOUNT","FQ1 2023","FQ1 2023","Currency=USD","Period=FQ","BEST_FPERIOD_OVERRIDE=FQ","FILING_STATUS=MR","SCALING_FORMAT=MLN","Sort=A","Dates=H","DateFormat=P","Fill=—","Direction=H","UseDPDF=Y")</f>
        <v>—</v>
      </c>
      <c r="U24" s="13" t="str">
        <f>_xll.BDH("SRPT US Equity","ARD_AMORT_OF_DEBT_DISCOUNT","FQ2 2023","FQ2 2023","Currency=USD","Period=FQ","BEST_FPERIOD_OVERRIDE=FQ","FILING_STATUS=MR","SCALING_FORMAT=MLN","Sort=A","Dates=H","DateFormat=P","Fill=—","Direction=H","UseDPDF=Y")</f>
        <v>—</v>
      </c>
      <c r="V24" s="13" t="str">
        <f>_xll.BDH("SRPT US Equity","ARD_AMORT_OF_DEBT_DISCOUNT","FQ3 2023","FQ3 2023","Currency=USD","Period=FQ","BEST_FPERIOD_OVERRIDE=FQ","FILING_STATUS=MR","SCALING_FORMAT=MLN","Sort=A","Dates=H","DateFormat=P","Fill=—","Direction=H","UseDPDF=Y")</f>
        <v>—</v>
      </c>
      <c r="W24" s="13" t="str">
        <f>_xll.BDH("SRPT US Equity","ARD_AMORT_OF_DEBT_DISCOUNT","FQ4 2023","FQ4 2023","Currency=USD","Period=FQ","BEST_FPERIOD_OVERRIDE=FQ","FILING_STATUS=MR","SCALING_FORMAT=MLN","Sort=A","Dates=H","DateFormat=P","Fill=—","Direction=H","UseDPDF=Y")</f>
        <v>—</v>
      </c>
      <c r="X24" s="13" t="str">
        <f>_xll.BDH("SRPT US Equity","ARD_AMORT_OF_DEBT_DISCOUNT","FQ1 2024","FQ1 2024","Currency=USD","Period=FQ","BEST_FPERIOD_OVERRIDE=FQ","FILING_STATUS=MR","SCALING_FORMAT=MLN","Sort=A","Dates=H","DateFormat=P","Fill=—","Direction=H","UseDPDF=Y")</f>
        <v>—</v>
      </c>
      <c r="Y24" s="13" t="str">
        <f>_xll.BDH("SRPT US Equity","ARD_AMORT_OF_DEBT_DISCOUNT","FQ2 2024","FQ2 2024","Currency=USD","Period=FQ","BEST_FPERIOD_OVERRIDE=FQ","FILING_STATUS=MR","SCALING_FORMAT=MLN","Sort=A","Dates=H","DateFormat=P","Fill=—","Direction=H","UseDPDF=Y")</f>
        <v>—</v>
      </c>
      <c r="Z24" s="13" t="str">
        <f>_xll.BDH("SRPT US Equity","ARD_AMORT_OF_DEBT_DISCOUNT","FQ3 2024","FQ3 2024","Currency=USD","Period=FQ","BEST_FPERIOD_OVERRIDE=FQ","FILING_STATUS=MR","SCALING_FORMAT=MLN","Sort=A","Dates=H","DateFormat=P","Fill=—","Direction=H","UseDPDF=Y")</f>
        <v>—</v>
      </c>
      <c r="AA24" s="13" t="str">
        <f>_xll.BDH("SRPT US Equity","ARD_AMORT_OF_DEBT_DISCOUNT","FQ4 2024","FQ4 2024","Currency=USD","Period=FQ","BEST_FPERIOD_OVERRIDE=FQ","FILING_STATUS=MR","SCALING_FORMAT=MLN","Sort=A","Dates=H","DateFormat=P","Fill=—","Direction=H","UseDPDF=Y")</f>
        <v>—</v>
      </c>
    </row>
    <row r="25" spans="1:27" x14ac:dyDescent="0.25">
      <c r="A25" s="10" t="s">
        <v>1301</v>
      </c>
      <c r="B25" s="10" t="s">
        <v>1302</v>
      </c>
      <c r="C25" s="13" t="str">
        <f>_xll.BDH("SRPT US Equity","ARD_EXTRAORDINARY_ITEMS_CF","FQ4 2018","FQ4 2018","Currency=USD","Period=FQ","BEST_FPERIOD_OVERRIDE=FQ","FILING_STATUS=MR","SCALING_FORMAT=MLN","Sort=A","Dates=H","DateFormat=P","Fill=—","Direction=H","UseDPDF=Y")</f>
        <v>—</v>
      </c>
      <c r="D25" s="13" t="str">
        <f>_xll.BDH("SRPT US Equity","ARD_EXTRAORDINARY_ITEMS_CF","FQ1 2019","FQ1 2019","Currency=USD","Period=FQ","BEST_FPERIOD_OVERRIDE=FQ","FILING_STATUS=MR","SCALING_FORMAT=MLN","Sort=A","Dates=H","DateFormat=P","Fill=—","Direction=H","UseDPDF=Y")</f>
        <v>—</v>
      </c>
      <c r="E25" s="13" t="str">
        <f>_xll.BDH("SRPT US Equity","ARD_EXTRAORDINARY_ITEMS_CF","FQ2 2019","FQ2 2019","Currency=USD","Period=FQ","BEST_FPERIOD_OVERRIDE=FQ","FILING_STATUS=MR","SCALING_FORMAT=MLN","Sort=A","Dates=H","DateFormat=P","Fill=—","Direction=H","UseDPDF=Y")</f>
        <v>—</v>
      </c>
      <c r="F25" s="13" t="str">
        <f>_xll.BDH("SRPT US Equity","ARD_EXTRAORDINARY_ITEMS_CF","FQ3 2019","FQ3 2019","Currency=USD","Period=FQ","BEST_FPERIOD_OVERRIDE=FQ","FILING_STATUS=MR","SCALING_FORMAT=MLN","Sort=A","Dates=H","DateFormat=P","Fill=—","Direction=H","UseDPDF=Y")</f>
        <v>—</v>
      </c>
      <c r="G25" s="13" t="str">
        <f>_xll.BDH("SRPT US Equity","ARD_EXTRAORDINARY_ITEMS_CF","FQ4 2019","FQ4 2019","Currency=USD","Period=FQ","BEST_FPERIOD_OVERRIDE=FQ","FILING_STATUS=MR","SCALING_FORMAT=MLN","Sort=A","Dates=H","DateFormat=P","Fill=—","Direction=H","UseDPDF=Y")</f>
        <v>—</v>
      </c>
      <c r="H25" s="13" t="str">
        <f>_xll.BDH("SRPT US Equity","ARD_EXTRAORDINARY_ITEMS_CF","FQ1 2020","FQ1 2020","Currency=USD","Period=FQ","BEST_FPERIOD_OVERRIDE=FQ","FILING_STATUS=MR","SCALING_FORMAT=MLN","Sort=A","Dates=H","DateFormat=P","Fill=—","Direction=H","UseDPDF=Y")</f>
        <v>—</v>
      </c>
      <c r="I25" s="13" t="str">
        <f>_xll.BDH("SRPT US Equity","ARD_EXTRAORDINARY_ITEMS_CF","FQ2 2020","FQ2 2020","Currency=USD","Period=FQ","BEST_FPERIOD_OVERRIDE=FQ","FILING_STATUS=MR","SCALING_FORMAT=MLN","Sort=A","Dates=H","DateFormat=P","Fill=—","Direction=H","UseDPDF=Y")</f>
        <v>—</v>
      </c>
      <c r="J25" s="13">
        <f>_xll.BDH("SRPT US Equity","ARD_EXTRAORDINARY_ITEMS_CF","FQ3 2020","FQ3 2020","Currency=USD","Period=FQ","BEST_FPERIOD_OVERRIDE=FQ","FILING_STATUS=MR","SCALING_FORMAT=MLN","Sort=A","Dates=H","DateFormat=P","Fill=—","Direction=H","UseDPDF=Y")</f>
        <v>45</v>
      </c>
      <c r="K25" s="13">
        <f>_xll.BDH("SRPT US Equity","ARD_EXTRAORDINARY_ITEMS_CF","FQ4 2020","FQ4 2020","Currency=USD","Period=FQ","BEST_FPERIOD_OVERRIDE=FQ","FILING_STATUS=MR","SCALING_FORMAT=MLN","Sort=A","Dates=H","DateFormat=P","Fill=—","Direction=H","UseDPDF=Y")</f>
        <v>45</v>
      </c>
      <c r="L25" s="13" t="str">
        <f>_xll.BDH("SRPT US Equity","ARD_EXTRAORDINARY_ITEMS_CF","FQ1 2021","FQ1 2021","Currency=USD","Period=FQ","BEST_FPERIOD_OVERRIDE=FQ","FILING_STATUS=MR","SCALING_FORMAT=MLN","Sort=A","Dates=H","DateFormat=P","Fill=—","Direction=H","UseDPDF=Y")</f>
        <v>—</v>
      </c>
      <c r="M25" s="13" t="str">
        <f>_xll.BDH("SRPT US Equity","ARD_EXTRAORDINARY_ITEMS_CF","FQ2 2021","FQ2 2021","Currency=USD","Period=FQ","BEST_FPERIOD_OVERRIDE=FQ","FILING_STATUS=MR","SCALING_FORMAT=MLN","Sort=A","Dates=H","DateFormat=P","Fill=—","Direction=H","UseDPDF=Y")</f>
        <v>—</v>
      </c>
      <c r="N25" s="13">
        <f>_xll.BDH("SRPT US Equity","ARD_EXTRAORDINARY_ITEMS_CF","FQ3 2021","FQ3 2021","Currency=USD","Period=FQ","BEST_FPERIOD_OVERRIDE=FQ","FILING_STATUS=MR","SCALING_FORMAT=MLN","Sort=A","Dates=H","DateFormat=P","Fill=—","Direction=H","UseDPDF=Y")</f>
        <v>-7.2</v>
      </c>
      <c r="O25" s="13">
        <f>_xll.BDH("SRPT US Equity","ARD_EXTRAORDINARY_ITEMS_CF","FQ4 2021","FQ4 2021","Currency=USD","Period=FQ","BEST_FPERIOD_OVERRIDE=FQ","FILING_STATUS=MR","SCALING_FORMAT=MLN","Sort=A","Dates=H","DateFormat=P","Fill=—","Direction=H","UseDPDF=Y")</f>
        <v>-7.2</v>
      </c>
      <c r="P25" s="13" t="str">
        <f>_xll.BDH("SRPT US Equity","ARD_EXTRAORDINARY_ITEMS_CF","FQ1 2022","FQ1 2022","Currency=USD","Period=FQ","BEST_FPERIOD_OVERRIDE=FQ","FILING_STATUS=MR","SCALING_FORMAT=MLN","Sort=A","Dates=H","DateFormat=P","Fill=—","Direction=H","UseDPDF=Y")</f>
        <v>—</v>
      </c>
      <c r="Q25" s="13" t="str">
        <f>_xll.BDH("SRPT US Equity","ARD_EXTRAORDINARY_ITEMS_CF","FQ2 2022","FQ2 2022","Currency=USD","Period=FQ","BEST_FPERIOD_OVERRIDE=FQ","FILING_STATUS=MR","SCALING_FORMAT=MLN","Sort=A","Dates=H","DateFormat=P","Fill=—","Direction=H","UseDPDF=Y")</f>
        <v>—</v>
      </c>
      <c r="R25" s="13">
        <f>_xll.BDH("SRPT US Equity","ARD_EXTRAORDINARY_ITEMS_CF","FQ3 2022","FQ3 2022","Currency=USD","Period=FQ","BEST_FPERIOD_OVERRIDE=FQ","FILING_STATUS=MR","SCALING_FORMAT=MLN","Sort=A","Dates=H","DateFormat=P","Fill=—","Direction=H","UseDPDF=Y")</f>
        <v>-6.7</v>
      </c>
      <c r="S25" s="13">
        <f>_xll.BDH("SRPT US Equity","ARD_EXTRAORDINARY_ITEMS_CF","FQ4 2022","FQ4 2022","Currency=USD","Period=FQ","BEST_FPERIOD_OVERRIDE=FQ","FILING_STATUS=MR","SCALING_FORMAT=MLN","Sort=A","Dates=H","DateFormat=P","Fill=—","Direction=H","UseDPDF=Y")</f>
        <v>-6.7</v>
      </c>
      <c r="T25" s="13" t="str">
        <f>_xll.BDH("SRPT US Equity","ARD_EXTRAORDINARY_ITEMS_CF","FQ1 2023","FQ1 2023","Currency=USD","Period=FQ","BEST_FPERIOD_OVERRIDE=FQ","FILING_STATUS=MR","SCALING_FORMAT=MLN","Sort=A","Dates=H","DateFormat=P","Fill=—","Direction=H","UseDPDF=Y")</f>
        <v>—</v>
      </c>
      <c r="U25" s="13" t="str">
        <f>_xll.BDH("SRPT US Equity","ARD_EXTRAORDINARY_ITEMS_CF","FQ2 2023","FQ2 2023","Currency=USD","Period=FQ","BEST_FPERIOD_OVERRIDE=FQ","FILING_STATUS=MR","SCALING_FORMAT=MLN","Sort=A","Dates=H","DateFormat=P","Fill=—","Direction=H","UseDPDF=Y")</f>
        <v>—</v>
      </c>
      <c r="V25" s="13">
        <f>_xll.BDH("SRPT US Equity","ARD_EXTRAORDINARY_ITEMS_CF","FQ3 2023","FQ3 2023","Currency=USD","Period=FQ","BEST_FPERIOD_OVERRIDE=FQ","FILING_STATUS=MR","SCALING_FORMAT=MLN","Sort=A","Dates=H","DateFormat=P","Fill=—","Direction=H","UseDPDF=Y")</f>
        <v>3.919</v>
      </c>
      <c r="W25" s="13" t="str">
        <f>_xll.BDH("SRPT US Equity","ARD_EXTRAORDINARY_ITEMS_CF","FQ4 2023","FQ4 2023","Currency=USD","Period=FQ","BEST_FPERIOD_OVERRIDE=FQ","FILING_STATUS=MR","SCALING_FORMAT=MLN","Sort=A","Dates=H","DateFormat=P","Fill=—","Direction=H","UseDPDF=Y")</f>
        <v>—</v>
      </c>
      <c r="X25" s="13" t="str">
        <f>_xll.BDH("SRPT US Equity","ARD_EXTRAORDINARY_ITEMS_CF","FQ1 2024","FQ1 2024","Currency=USD","Period=FQ","BEST_FPERIOD_OVERRIDE=FQ","FILING_STATUS=MR","SCALING_FORMAT=MLN","Sort=A","Dates=H","DateFormat=P","Fill=—","Direction=H","UseDPDF=Y")</f>
        <v>—</v>
      </c>
      <c r="Y25" s="13" t="str">
        <f>_xll.BDH("SRPT US Equity","ARD_EXTRAORDINARY_ITEMS_CF","FQ2 2024","FQ2 2024","Currency=USD","Period=FQ","BEST_FPERIOD_OVERRIDE=FQ","FILING_STATUS=MR","SCALING_FORMAT=MLN","Sort=A","Dates=H","DateFormat=P","Fill=—","Direction=H","UseDPDF=Y")</f>
        <v>—</v>
      </c>
      <c r="Z25" s="13" t="str">
        <f>_xll.BDH("SRPT US Equity","ARD_EXTRAORDINARY_ITEMS_CF","FQ3 2024","FQ3 2024","Currency=USD","Period=FQ","BEST_FPERIOD_OVERRIDE=FQ","FILING_STATUS=MR","SCALING_FORMAT=MLN","Sort=A","Dates=H","DateFormat=P","Fill=—","Direction=H","UseDPDF=Y")</f>
        <v>—</v>
      </c>
      <c r="AA25" s="13" t="str">
        <f>_xll.BDH("SRPT US Equity","ARD_EXTRAORDINARY_ITEMS_CF","FQ4 2024","FQ4 2024","Currency=USD","Period=FQ","BEST_FPERIOD_OVERRIDE=FQ","FILING_STATUS=MR","SCALING_FORMAT=MLN","Sort=A","Dates=H","DateFormat=P","Fill=—","Direction=H","UseDPDF=Y")</f>
        <v>—</v>
      </c>
    </row>
    <row r="26" spans="1:27" x14ac:dyDescent="0.25">
      <c r="A26" s="10" t="s">
        <v>1303</v>
      </c>
      <c r="B26" s="10" t="s">
        <v>1304</v>
      </c>
      <c r="C26" s="13">
        <f>_xll.BDH("SRPT US Equity","ARD_GL_ON_EARLY_EXT_OF_DEBT","FQ4 2018","FQ4 2018","Currency=USD","Period=FQ","BEST_FPERIOD_OVERRIDE=FQ","FILING_STATUS=MR","SCALING_FORMAT=MLN","Sort=A","Dates=H","DateFormat=P","Fill=—","Direction=H","UseDPDF=Y")</f>
        <v>2.3220000000000001</v>
      </c>
      <c r="D26" s="13" t="str">
        <f>_xll.BDH("SRPT US Equity","ARD_GL_ON_EARLY_EXT_OF_DEBT","FQ1 2019","FQ1 2019","Currency=USD","Period=FQ","BEST_FPERIOD_OVERRIDE=FQ","FILING_STATUS=MR","SCALING_FORMAT=MLN","Sort=A","Dates=H","DateFormat=P","Fill=—","Direction=H","UseDPDF=Y")</f>
        <v>—</v>
      </c>
      <c r="E26" s="13" t="str">
        <f>_xll.BDH("SRPT US Equity","ARD_GL_ON_EARLY_EXT_OF_DEBT","FQ2 2019","FQ2 2019","Currency=USD","Period=FQ","BEST_FPERIOD_OVERRIDE=FQ","FILING_STATUS=MR","SCALING_FORMAT=MLN","Sort=A","Dates=H","DateFormat=P","Fill=—","Direction=H","UseDPDF=Y")</f>
        <v>—</v>
      </c>
      <c r="F26" s="13">
        <f>_xll.BDH("SRPT US Equity","ARD_GL_ON_EARLY_EXT_OF_DEBT","FQ3 2019","FQ3 2019","Currency=USD","Period=FQ","BEST_FPERIOD_OVERRIDE=FQ","FILING_STATUS=MR","SCALING_FORMAT=MLN","Sort=A","Dates=H","DateFormat=P","Fill=—","Direction=H","UseDPDF=Y")</f>
        <v>0</v>
      </c>
      <c r="G26" s="13">
        <f>_xll.BDH("SRPT US Equity","ARD_GL_ON_EARLY_EXT_OF_DEBT","FQ4 2019","FQ4 2019","Currency=USD","Period=FQ","BEST_FPERIOD_OVERRIDE=FQ","FILING_STATUS=MR","SCALING_FORMAT=MLN","Sort=A","Dates=H","DateFormat=P","Fill=—","Direction=H","UseDPDF=Y")</f>
        <v>0</v>
      </c>
      <c r="H26" s="13" t="str">
        <f>_xll.BDH("SRPT US Equity","ARD_GL_ON_EARLY_EXT_OF_DEBT","FQ1 2020","FQ1 2020","Currency=USD","Period=FQ","BEST_FPERIOD_OVERRIDE=FQ","FILING_STATUS=MR","SCALING_FORMAT=MLN","Sort=A","Dates=H","DateFormat=P","Fill=—","Direction=H","UseDPDF=Y")</f>
        <v>—</v>
      </c>
      <c r="I26" s="13" t="str">
        <f>_xll.BDH("SRPT US Equity","ARD_GL_ON_EARLY_EXT_OF_DEBT","FQ2 2020","FQ2 2020","Currency=USD","Period=FQ","BEST_FPERIOD_OVERRIDE=FQ","FILING_STATUS=MR","SCALING_FORMAT=MLN","Sort=A","Dates=H","DateFormat=P","Fill=—","Direction=H","UseDPDF=Y")</f>
        <v>—</v>
      </c>
      <c r="J26" s="13" t="str">
        <f>_xll.BDH("SRPT US Equity","ARD_GL_ON_EARLY_EXT_OF_DEBT","FQ3 2020","FQ3 2020","Currency=USD","Period=FQ","BEST_FPERIOD_OVERRIDE=FQ","FILING_STATUS=MR","SCALING_FORMAT=MLN","Sort=A","Dates=H","DateFormat=P","Fill=—","Direction=H","UseDPDF=Y")</f>
        <v>—</v>
      </c>
      <c r="K26" s="13">
        <f>_xll.BDH("SRPT US Equity","ARD_GL_ON_EARLY_EXT_OF_DEBT","FQ4 2020","FQ4 2020","Currency=USD","Period=FQ","BEST_FPERIOD_OVERRIDE=FQ","FILING_STATUS=MR","SCALING_FORMAT=MLN","Sort=A","Dates=H","DateFormat=P","Fill=—","Direction=H","UseDPDF=Y")</f>
        <v>0</v>
      </c>
      <c r="L26" s="13" t="str">
        <f>_xll.BDH("SRPT US Equity","ARD_GL_ON_EARLY_EXT_OF_DEBT","FQ1 2021","FQ1 2021","Currency=USD","Period=FQ","BEST_FPERIOD_OVERRIDE=FQ","FILING_STATUS=MR","SCALING_FORMAT=MLN","Sort=A","Dates=H","DateFormat=P","Fill=—","Direction=H","UseDPDF=Y")</f>
        <v>—</v>
      </c>
      <c r="M26" s="13" t="str">
        <f>_xll.BDH("SRPT US Equity","ARD_GL_ON_EARLY_EXT_OF_DEBT","FQ2 2021","FQ2 2021","Currency=USD","Period=FQ","BEST_FPERIOD_OVERRIDE=FQ","FILING_STATUS=MR","SCALING_FORMAT=MLN","Sort=A","Dates=H","DateFormat=P","Fill=—","Direction=H","UseDPDF=Y")</f>
        <v>—</v>
      </c>
      <c r="N26" s="13" t="str">
        <f>_xll.BDH("SRPT US Equity","ARD_GL_ON_EARLY_EXT_OF_DEBT","FQ3 2021","FQ3 2021","Currency=USD","Period=FQ","BEST_FPERIOD_OVERRIDE=FQ","FILING_STATUS=MR","SCALING_FORMAT=MLN","Sort=A","Dates=H","DateFormat=P","Fill=—","Direction=H","UseDPDF=Y")</f>
        <v>—</v>
      </c>
      <c r="O26" s="13" t="str">
        <f>_xll.BDH("SRPT US Equity","ARD_GL_ON_EARLY_EXT_OF_DEBT","FQ4 2021","FQ4 2021","Currency=USD","Period=FQ","BEST_FPERIOD_OVERRIDE=FQ","FILING_STATUS=MR","SCALING_FORMAT=MLN","Sort=A","Dates=H","DateFormat=P","Fill=—","Direction=H","UseDPDF=Y")</f>
        <v>—</v>
      </c>
      <c r="P26" s="13" t="str">
        <f>_xll.BDH("SRPT US Equity","ARD_GL_ON_EARLY_EXT_OF_DEBT","FQ1 2022","FQ1 2022","Currency=USD","Period=FQ","BEST_FPERIOD_OVERRIDE=FQ","FILING_STATUS=MR","SCALING_FORMAT=MLN","Sort=A","Dates=H","DateFormat=P","Fill=—","Direction=H","UseDPDF=Y")</f>
        <v>—</v>
      </c>
      <c r="Q26" s="13" t="str">
        <f>_xll.BDH("SRPT US Equity","ARD_GL_ON_EARLY_EXT_OF_DEBT","FQ2 2022","FQ2 2022","Currency=USD","Period=FQ","BEST_FPERIOD_OVERRIDE=FQ","FILING_STATUS=MR","SCALING_FORMAT=MLN","Sort=A","Dates=H","DateFormat=P","Fill=—","Direction=H","UseDPDF=Y")</f>
        <v>—</v>
      </c>
      <c r="R26" s="13">
        <f>_xll.BDH("SRPT US Equity","ARD_GL_ON_EARLY_EXT_OF_DEBT","FQ3 2022","FQ3 2022","Currency=USD","Period=FQ","BEST_FPERIOD_OVERRIDE=FQ","FILING_STATUS=MR","SCALING_FORMAT=MLN","Sort=A","Dates=H","DateFormat=P","Fill=—","Direction=H","UseDPDF=Y")</f>
        <v>125.441</v>
      </c>
      <c r="S26" s="13">
        <f>_xll.BDH("SRPT US Equity","ARD_GL_ON_EARLY_EXT_OF_DEBT","FQ4 2022","FQ4 2022","Currency=USD","Period=FQ","BEST_FPERIOD_OVERRIDE=FQ","FILING_STATUS=MR","SCALING_FORMAT=MLN","Sort=A","Dates=H","DateFormat=P","Fill=—","Direction=H","UseDPDF=Y")</f>
        <v>125.441</v>
      </c>
      <c r="T26" s="13">
        <f>_xll.BDH("SRPT US Equity","ARD_GL_ON_EARLY_EXT_OF_DEBT","FQ1 2023","FQ1 2023","Currency=USD","Period=FQ","BEST_FPERIOD_OVERRIDE=FQ","FILING_STATUS=MR","SCALING_FORMAT=MLN","Sort=A","Dates=H","DateFormat=P","Fill=—","Direction=H","UseDPDF=Y")</f>
        <v>387.32900000000001</v>
      </c>
      <c r="U26" s="13">
        <f>_xll.BDH("SRPT US Equity","ARD_GL_ON_EARLY_EXT_OF_DEBT","FQ2 2023","FQ2 2023","Currency=USD","Period=FQ","BEST_FPERIOD_OVERRIDE=FQ","FILING_STATUS=MR","SCALING_FORMAT=MLN","Sort=A","Dates=H","DateFormat=P","Fill=—","Direction=H","UseDPDF=Y")</f>
        <v>387.32900000000001</v>
      </c>
      <c r="V26" s="13">
        <f>_xll.BDH("SRPT US Equity","ARD_GL_ON_EARLY_EXT_OF_DEBT","FQ3 2023","FQ3 2023","Currency=USD","Period=FQ","BEST_FPERIOD_OVERRIDE=FQ","FILING_STATUS=MR","SCALING_FORMAT=MLN","Sort=A","Dates=H","DateFormat=P","Fill=—","Direction=H","UseDPDF=Y")</f>
        <v>387.32900000000001</v>
      </c>
      <c r="W26" s="13">
        <f>_xll.BDH("SRPT US Equity","ARD_GL_ON_EARLY_EXT_OF_DEBT","FQ4 2023","FQ4 2023","Currency=USD","Period=FQ","BEST_FPERIOD_OVERRIDE=FQ","FILING_STATUS=MR","SCALING_FORMAT=MLN","Sort=A","Dates=H","DateFormat=P","Fill=—","Direction=H","UseDPDF=Y")</f>
        <v>387.32900000000001</v>
      </c>
      <c r="X26" s="13">
        <f>_xll.BDH("SRPT US Equity","ARD_GL_ON_EARLY_EXT_OF_DEBT","FQ1 2024","FQ1 2024","Currency=USD","Period=FQ","BEST_FPERIOD_OVERRIDE=FQ","FILING_STATUS=MR","SCALING_FORMAT=MLN","Sort=A","Dates=H","DateFormat=P","Fill=—","Direction=H","UseDPDF=Y")</f>
        <v>0</v>
      </c>
      <c r="Y26" s="13">
        <f>_xll.BDH("SRPT US Equity","ARD_GL_ON_EARLY_EXT_OF_DEBT","FQ2 2024","FQ2 2024","Currency=USD","Period=FQ","BEST_FPERIOD_OVERRIDE=FQ","FILING_STATUS=MR","SCALING_FORMAT=MLN","Sort=A","Dates=H","DateFormat=P","Fill=—","Direction=H","UseDPDF=Y")</f>
        <v>0</v>
      </c>
      <c r="Z26" s="13">
        <f>_xll.BDH("SRPT US Equity","ARD_GL_ON_EARLY_EXT_OF_DEBT","FQ3 2024","FQ3 2024","Currency=USD","Period=FQ","BEST_FPERIOD_OVERRIDE=FQ","FILING_STATUS=MR","SCALING_FORMAT=MLN","Sort=A","Dates=H","DateFormat=P","Fill=—","Direction=H","UseDPDF=Y")</f>
        <v>0</v>
      </c>
      <c r="AA26" s="13">
        <f>_xll.BDH("SRPT US Equity","ARD_GL_ON_EARLY_EXT_OF_DEBT","FQ4 2024","FQ4 2024","Currency=USD","Period=FQ","BEST_FPERIOD_OVERRIDE=FQ","FILING_STATUS=MR","SCALING_FORMAT=MLN","Sort=A","Dates=H","DateFormat=P","Fill=—","Direction=H","UseDPDF=Y")</f>
        <v>0</v>
      </c>
    </row>
    <row r="27" spans="1:27" x14ac:dyDescent="0.25">
      <c r="A27" s="10" t="s">
        <v>504</v>
      </c>
      <c r="B27" s="10" t="s">
        <v>1305</v>
      </c>
      <c r="C27" s="13">
        <f>_xll.BDH("SRPT US Equity","ARD_INTEREST_EXPENSE","FQ4 2018","FQ4 2018","Currency=USD","Period=FQ","BEST_FPERIOD_OVERRIDE=FQ","FILING_STATUS=MR","SCALING_FORMAT=MLN","Sort=A","Dates=H","DateFormat=P","Fill=—","Direction=H","UseDPDF=Y")</f>
        <v>20.190000000000001</v>
      </c>
      <c r="D27" s="13">
        <f>_xll.BDH("SRPT US Equity","ARD_INTEREST_EXPENSE","FQ1 2019","FQ1 2019","Currency=USD","Period=FQ","BEST_FPERIOD_OVERRIDE=FQ","FILING_STATUS=MR","SCALING_FORMAT=MLN","Sort=A","Dates=H","DateFormat=P","Fill=—","Direction=H","UseDPDF=Y")</f>
        <v>5.2080000000000002</v>
      </c>
      <c r="E27" s="13">
        <f>_xll.BDH("SRPT US Equity","ARD_INTEREST_EXPENSE","FQ2 2019","FQ2 2019","Currency=USD","Period=FQ","BEST_FPERIOD_OVERRIDE=FQ","FILING_STATUS=MR","SCALING_FORMAT=MLN","Sort=A","Dates=H","DateFormat=P","Fill=—","Direction=H","UseDPDF=Y")</f>
        <v>10.513</v>
      </c>
      <c r="F27" s="13">
        <f>_xll.BDH("SRPT US Equity","ARD_INTEREST_EXPENSE","FQ3 2019","FQ3 2019","Currency=USD","Period=FQ","BEST_FPERIOD_OVERRIDE=FQ","FILING_STATUS=MR","SCALING_FORMAT=MLN","Sort=A","Dates=H","DateFormat=P","Fill=—","Direction=H","UseDPDF=Y")</f>
        <v>15.887</v>
      </c>
      <c r="G27" s="13">
        <f>_xll.BDH("SRPT US Equity","ARD_INTEREST_EXPENSE","FQ4 2019","FQ4 2019","Currency=USD","Period=FQ","BEST_FPERIOD_OVERRIDE=FQ","FILING_STATUS=MR","SCALING_FORMAT=MLN","Sort=A","Dates=H","DateFormat=P","Fill=—","Direction=H","UseDPDF=Y")</f>
        <v>21.443999999999999</v>
      </c>
      <c r="H27" s="13" t="str">
        <f>_xll.BDH("SRPT US Equity","ARD_INTEREST_EXPENSE","FQ1 2020","FQ1 2020","Currency=USD","Period=FQ","BEST_FPERIOD_OVERRIDE=FQ","FILING_STATUS=MR","SCALING_FORMAT=MLN","Sort=A","Dates=H","DateFormat=P","Fill=—","Direction=H","UseDPDF=Y")</f>
        <v>—</v>
      </c>
      <c r="I27" s="13">
        <f>_xll.BDH("SRPT US Equity","ARD_INTEREST_EXPENSE","FQ2 2020","FQ2 2020","Currency=USD","Period=FQ","BEST_FPERIOD_OVERRIDE=FQ","FILING_STATUS=MR","SCALING_FORMAT=MLN","Sort=A","Dates=H","DateFormat=P","Fill=—","Direction=H","UseDPDF=Y")</f>
        <v>12.217000000000001</v>
      </c>
      <c r="J27" s="13">
        <f>_xll.BDH("SRPT US Equity","ARD_INTEREST_EXPENSE","FQ3 2020","FQ3 2020","Currency=USD","Period=FQ","BEST_FPERIOD_OVERRIDE=FQ","FILING_STATUS=MR","SCALING_FORMAT=MLN","Sort=A","Dates=H","DateFormat=P","Fill=—","Direction=H","UseDPDF=Y")</f>
        <v>18.532</v>
      </c>
      <c r="K27" s="13">
        <f>_xll.BDH("SRPT US Equity","ARD_INTEREST_EXPENSE","FQ4 2020","FQ4 2020","Currency=USD","Period=FQ","BEST_FPERIOD_OVERRIDE=FQ","FILING_STATUS=MR","SCALING_FORMAT=MLN","Sort=A","Dates=H","DateFormat=P","Fill=—","Direction=H","UseDPDF=Y")</f>
        <v>25.454000000000001</v>
      </c>
      <c r="L27" s="13">
        <f>_xll.BDH("SRPT US Equity","ARD_INTEREST_EXPENSE","FQ1 2021","FQ1 2021","Currency=USD","Period=FQ","BEST_FPERIOD_OVERRIDE=FQ","FILING_STATUS=MR","SCALING_FORMAT=MLN","Sort=A","Dates=H","DateFormat=P","Fill=—","Direction=H","UseDPDF=Y")</f>
        <v>1.8160000000000001</v>
      </c>
      <c r="M27" s="13">
        <f>_xll.BDH("SRPT US Equity","ARD_INTEREST_EXPENSE","FQ2 2021","FQ2 2021","Currency=USD","Period=FQ","BEST_FPERIOD_OVERRIDE=FQ","FILING_STATUS=MR","SCALING_FORMAT=MLN","Sort=A","Dates=H","DateFormat=P","Fill=—","Direction=H","UseDPDF=Y")</f>
        <v>3.6909999999999998</v>
      </c>
      <c r="N27" s="13">
        <f>_xll.BDH("SRPT US Equity","ARD_INTEREST_EXPENSE","FQ3 2021","FQ3 2021","Currency=USD","Period=FQ","BEST_FPERIOD_OVERRIDE=FQ","FILING_STATUS=MR","SCALING_FORMAT=MLN","Sort=A","Dates=H","DateFormat=P","Fill=—","Direction=H","UseDPDF=Y")</f>
        <v>5.617</v>
      </c>
      <c r="O27" s="13">
        <f>_xll.BDH("SRPT US Equity","ARD_INTEREST_EXPENSE","FQ4 2021","FQ4 2021","Currency=USD","Period=FQ","BEST_FPERIOD_OVERRIDE=FQ","FILING_STATUS=MR","SCALING_FORMAT=MLN","Sort=A","Dates=H","DateFormat=P","Fill=—","Direction=H","UseDPDF=Y")</f>
        <v>7.5810000000000004</v>
      </c>
      <c r="P27" s="13">
        <f>_xll.BDH("SRPT US Equity","ARD_INTEREST_EXPENSE","FQ1 2022","FQ1 2022","Currency=USD","Period=FQ","BEST_FPERIOD_OVERRIDE=FQ","FILING_STATUS=MR","SCALING_FORMAT=MLN","Sort=A","Dates=H","DateFormat=P","Fill=—","Direction=H","UseDPDF=Y")</f>
        <v>1.9570000000000001</v>
      </c>
      <c r="Q27" s="13">
        <f>_xll.BDH("SRPT US Equity","ARD_INTEREST_EXPENSE","FQ2 2022","FQ2 2022","Currency=USD","Period=FQ","BEST_FPERIOD_OVERRIDE=FQ","FILING_STATUS=MR","SCALING_FORMAT=MLN","Sort=A","Dates=H","DateFormat=P","Fill=—","Direction=H","UseDPDF=Y")</f>
        <v>3.988</v>
      </c>
      <c r="R27" s="13" t="str">
        <f>_xll.BDH("SRPT US Equity","ARD_INTEREST_EXPENSE","FQ3 2022","FQ3 2022","Currency=USD","Period=FQ","BEST_FPERIOD_OVERRIDE=FQ","FILING_STATUS=MR","SCALING_FORMAT=MLN","Sort=A","Dates=H","DateFormat=P","Fill=—","Direction=H","UseDPDF=Y")</f>
        <v>—</v>
      </c>
      <c r="S27" s="13">
        <f>_xll.BDH("SRPT US Equity","ARD_INTEREST_EXPENSE","FQ4 2022","FQ4 2022","Currency=USD","Period=FQ","BEST_FPERIOD_OVERRIDE=FQ","FILING_STATUS=MR","SCALING_FORMAT=MLN","Sort=A","Dates=H","DateFormat=P","Fill=—","Direction=H","UseDPDF=Y")</f>
        <v>7.5519999999999996</v>
      </c>
      <c r="T27" s="13" t="str">
        <f>_xll.BDH("SRPT US Equity","ARD_INTEREST_EXPENSE","FQ1 2023","FQ1 2023","Currency=USD","Period=FQ","BEST_FPERIOD_OVERRIDE=FQ","FILING_STATUS=MR","SCALING_FORMAT=MLN","Sort=A","Dates=H","DateFormat=P","Fill=—","Direction=H","UseDPDF=Y")</f>
        <v>—</v>
      </c>
      <c r="U27" s="13">
        <f>_xll.BDH("SRPT US Equity","ARD_INTEREST_EXPENSE","FQ2 2023","FQ2 2023","Currency=USD","Period=FQ","BEST_FPERIOD_OVERRIDE=FQ","FILING_STATUS=MR","SCALING_FORMAT=MLN","Sort=A","Dates=H","DateFormat=P","Fill=—","Direction=H","UseDPDF=Y")</f>
        <v>2.6880000000000002</v>
      </c>
      <c r="V27" s="13" t="str">
        <f>_xll.BDH("SRPT US Equity","ARD_INTEREST_EXPENSE","FQ3 2023","FQ3 2023","Currency=USD","Period=FQ","BEST_FPERIOD_OVERRIDE=FQ","FILING_STATUS=MR","SCALING_FORMAT=MLN","Sort=A","Dates=H","DateFormat=P","Fill=—","Direction=H","UseDPDF=Y")</f>
        <v>—</v>
      </c>
      <c r="W27" s="13">
        <f>_xll.BDH("SRPT US Equity","ARD_INTEREST_EXPENSE","FQ4 2023","FQ4 2023","Currency=USD","Period=FQ","BEST_FPERIOD_OVERRIDE=FQ","FILING_STATUS=MR","SCALING_FORMAT=MLN","Sort=A","Dates=H","DateFormat=P","Fill=—","Direction=H","UseDPDF=Y")</f>
        <v>5.1559999999999997</v>
      </c>
      <c r="X27" s="13">
        <f>_xll.BDH("SRPT US Equity","ARD_INTEREST_EXPENSE","FQ1 2024","FQ1 2024","Currency=USD","Period=FQ","BEST_FPERIOD_OVERRIDE=FQ","FILING_STATUS=MR","SCALING_FORMAT=MLN","Sort=A","Dates=H","DateFormat=P","Fill=—","Direction=H","UseDPDF=Y")</f>
        <v>0.32900000000000001</v>
      </c>
      <c r="Y27" s="13">
        <f>_xll.BDH("SRPT US Equity","ARD_INTEREST_EXPENSE","FQ2 2024","FQ2 2024","Currency=USD","Period=FQ","BEST_FPERIOD_OVERRIDE=FQ","FILING_STATUS=MR","SCALING_FORMAT=MLN","Sort=A","Dates=H","DateFormat=P","Fill=—","Direction=H","UseDPDF=Y")</f>
        <v>2.5009999999999999</v>
      </c>
      <c r="Z27" s="13">
        <f>_xll.BDH("SRPT US Equity","ARD_INTEREST_EXPENSE","FQ3 2024","FQ3 2024","Currency=USD","Period=FQ","BEST_FPERIOD_OVERRIDE=FQ","FILING_STATUS=MR","SCALING_FORMAT=MLN","Sort=A","Dates=H","DateFormat=P","Fill=—","Direction=H","UseDPDF=Y")</f>
        <v>3.7469999999999999</v>
      </c>
      <c r="AA27" s="13">
        <f>_xll.BDH("SRPT US Equity","ARD_INTEREST_EXPENSE","FQ4 2024","FQ4 2024","Currency=USD","Period=FQ","BEST_FPERIOD_OVERRIDE=FQ","FILING_STATUS=MR","SCALING_FORMAT=MLN","Sort=A","Dates=H","DateFormat=P","Fill=—","Direction=H","UseDPDF=Y")</f>
        <v>4.9509999999999996</v>
      </c>
    </row>
    <row r="28" spans="1:27" x14ac:dyDescent="0.25">
      <c r="A28" s="10" t="s">
        <v>1306</v>
      </c>
      <c r="B28" s="10" t="s">
        <v>1307</v>
      </c>
      <c r="C28" s="13" t="str">
        <f>_xll.BDH("SRPT US Equity","ARD_GAIN_LOSS_DERIVATIVE_TRANS","FQ4 2018","FQ4 2018","Currency=USD","Period=FQ","BEST_FPERIOD_OVERRIDE=FQ","FILING_STATUS=MR","SCALING_FORMAT=MLN","Sort=A","Dates=H","DateFormat=P","Fill=—","Direction=H","UseDPDF=Y")</f>
        <v>—</v>
      </c>
      <c r="D28" s="13" t="str">
        <f>_xll.BDH("SRPT US Equity","ARD_GAIN_LOSS_DERIVATIVE_TRANS","FQ1 2019","FQ1 2019","Currency=USD","Period=FQ","BEST_FPERIOD_OVERRIDE=FQ","FILING_STATUS=MR","SCALING_FORMAT=MLN","Sort=A","Dates=H","DateFormat=P","Fill=—","Direction=H","UseDPDF=Y")</f>
        <v>—</v>
      </c>
      <c r="E28" s="13" t="str">
        <f>_xll.BDH("SRPT US Equity","ARD_GAIN_LOSS_DERIVATIVE_TRANS","FQ2 2019","FQ2 2019","Currency=USD","Period=FQ","BEST_FPERIOD_OVERRIDE=FQ","FILING_STATUS=MR","SCALING_FORMAT=MLN","Sort=A","Dates=H","DateFormat=P","Fill=—","Direction=H","UseDPDF=Y")</f>
        <v>—</v>
      </c>
      <c r="F28" s="13" t="str">
        <f>_xll.BDH("SRPT US Equity","ARD_GAIN_LOSS_DERIVATIVE_TRANS","FQ3 2019","FQ3 2019","Currency=USD","Period=FQ","BEST_FPERIOD_OVERRIDE=FQ","FILING_STATUS=MR","SCALING_FORMAT=MLN","Sort=A","Dates=H","DateFormat=P","Fill=—","Direction=H","UseDPDF=Y")</f>
        <v>—</v>
      </c>
      <c r="G28" s="13" t="str">
        <f>_xll.BDH("SRPT US Equity","ARD_GAIN_LOSS_DERIVATIVE_TRANS","FQ4 2019","FQ4 2019","Currency=USD","Period=FQ","BEST_FPERIOD_OVERRIDE=FQ","FILING_STATUS=MR","SCALING_FORMAT=MLN","Sort=A","Dates=H","DateFormat=P","Fill=—","Direction=H","UseDPDF=Y")</f>
        <v>—</v>
      </c>
      <c r="H28" s="13" t="str">
        <f>_xll.BDH("SRPT US Equity","ARD_GAIN_LOSS_DERIVATIVE_TRANS","FQ1 2020","FQ1 2020","Currency=USD","Period=FQ","BEST_FPERIOD_OVERRIDE=FQ","FILING_STATUS=MR","SCALING_FORMAT=MLN","Sort=A","Dates=H","DateFormat=P","Fill=—","Direction=H","UseDPDF=Y")</f>
        <v>—</v>
      </c>
      <c r="I28" s="13" t="str">
        <f>_xll.BDH("SRPT US Equity","ARD_GAIN_LOSS_DERIVATIVE_TRANS","FQ2 2020","FQ2 2020","Currency=USD","Period=FQ","BEST_FPERIOD_OVERRIDE=FQ","FILING_STATUS=MR","SCALING_FORMAT=MLN","Sort=A","Dates=H","DateFormat=P","Fill=—","Direction=H","UseDPDF=Y")</f>
        <v>—</v>
      </c>
      <c r="J28" s="13" t="str">
        <f>_xll.BDH("SRPT US Equity","ARD_GAIN_LOSS_DERIVATIVE_TRANS","FQ3 2020","FQ3 2020","Currency=USD","Period=FQ","BEST_FPERIOD_OVERRIDE=FQ","FILING_STATUS=MR","SCALING_FORMAT=MLN","Sort=A","Dates=H","DateFormat=P","Fill=—","Direction=H","UseDPDF=Y")</f>
        <v>—</v>
      </c>
      <c r="K28" s="13" t="str">
        <f>_xll.BDH("SRPT US Equity","ARD_GAIN_LOSS_DERIVATIVE_TRANS","FQ4 2020","FQ4 2020","Currency=USD","Period=FQ","BEST_FPERIOD_OVERRIDE=FQ","FILING_STATUS=MR","SCALING_FORMAT=MLN","Sort=A","Dates=H","DateFormat=P","Fill=—","Direction=H","UseDPDF=Y")</f>
        <v>—</v>
      </c>
      <c r="L28" s="13" t="str">
        <f>_xll.BDH("SRPT US Equity","ARD_GAIN_LOSS_DERIVATIVE_TRANS","FQ1 2021","FQ1 2021","Currency=USD","Period=FQ","BEST_FPERIOD_OVERRIDE=FQ","FILING_STATUS=MR","SCALING_FORMAT=MLN","Sort=A","Dates=H","DateFormat=P","Fill=—","Direction=H","UseDPDF=Y")</f>
        <v>—</v>
      </c>
      <c r="M28" s="13" t="str">
        <f>_xll.BDH("SRPT US Equity","ARD_GAIN_LOSS_DERIVATIVE_TRANS","FQ2 2021","FQ2 2021","Currency=USD","Period=FQ","BEST_FPERIOD_OVERRIDE=FQ","FILING_STATUS=MR","SCALING_FORMAT=MLN","Sort=A","Dates=H","DateFormat=P","Fill=—","Direction=H","UseDPDF=Y")</f>
        <v>—</v>
      </c>
      <c r="N28" s="13" t="str">
        <f>_xll.BDH("SRPT US Equity","ARD_GAIN_LOSS_DERIVATIVE_TRANS","FQ3 2021","FQ3 2021","Currency=USD","Period=FQ","BEST_FPERIOD_OVERRIDE=FQ","FILING_STATUS=MR","SCALING_FORMAT=MLN","Sort=A","Dates=H","DateFormat=P","Fill=—","Direction=H","UseDPDF=Y")</f>
        <v>—</v>
      </c>
      <c r="O28" s="13" t="str">
        <f>_xll.BDH("SRPT US Equity","ARD_GAIN_LOSS_DERIVATIVE_TRANS","FQ4 2021","FQ4 2021","Currency=USD","Period=FQ","BEST_FPERIOD_OVERRIDE=FQ","FILING_STATUS=MR","SCALING_FORMAT=MLN","Sort=A","Dates=H","DateFormat=P","Fill=—","Direction=H","UseDPDF=Y")</f>
        <v>—</v>
      </c>
      <c r="P28" s="13" t="str">
        <f>_xll.BDH("SRPT US Equity","ARD_GAIN_LOSS_DERIVATIVE_TRANS","FQ1 2022","FQ1 2022","Currency=USD","Period=FQ","BEST_FPERIOD_OVERRIDE=FQ","FILING_STATUS=MR","SCALING_FORMAT=MLN","Sort=A","Dates=H","DateFormat=P","Fill=—","Direction=H","UseDPDF=Y")</f>
        <v>—</v>
      </c>
      <c r="Q28" s="13" t="str">
        <f>_xll.BDH("SRPT US Equity","ARD_GAIN_LOSS_DERIVATIVE_TRANS","FQ2 2022","FQ2 2022","Currency=USD","Period=FQ","BEST_FPERIOD_OVERRIDE=FQ","FILING_STATUS=MR","SCALING_FORMAT=MLN","Sort=A","Dates=H","DateFormat=P","Fill=—","Direction=H","UseDPDF=Y")</f>
        <v>—</v>
      </c>
      <c r="R28" s="13" t="str">
        <f>_xll.BDH("SRPT US Equity","ARD_GAIN_LOSS_DERIVATIVE_TRANS","FQ3 2022","FQ3 2022","Currency=USD","Period=FQ","BEST_FPERIOD_OVERRIDE=FQ","FILING_STATUS=MR","SCALING_FORMAT=MLN","Sort=A","Dates=H","DateFormat=P","Fill=—","Direction=H","UseDPDF=Y")</f>
        <v>—</v>
      </c>
      <c r="S28" s="13" t="str">
        <f>_xll.BDH("SRPT US Equity","ARD_GAIN_LOSS_DERIVATIVE_TRANS","FQ4 2022","FQ4 2022","Currency=USD","Period=FQ","BEST_FPERIOD_OVERRIDE=FQ","FILING_STATUS=MR","SCALING_FORMAT=MLN","Sort=A","Dates=H","DateFormat=P","Fill=—","Direction=H","UseDPDF=Y")</f>
        <v>—</v>
      </c>
      <c r="T28" s="13" t="str">
        <f>_xll.BDH("SRPT US Equity","ARD_GAIN_LOSS_DERIVATIVE_TRANS","FQ1 2023","FQ1 2023","Currency=USD","Period=FQ","BEST_FPERIOD_OVERRIDE=FQ","FILING_STATUS=MR","SCALING_FORMAT=MLN","Sort=A","Dates=H","DateFormat=P","Fill=—","Direction=H","UseDPDF=Y")</f>
        <v>—</v>
      </c>
      <c r="U28" s="13" t="str">
        <f>_xll.BDH("SRPT US Equity","ARD_GAIN_LOSS_DERIVATIVE_TRANS","FQ2 2023","FQ2 2023","Currency=USD","Period=FQ","BEST_FPERIOD_OVERRIDE=FQ","FILING_STATUS=MR","SCALING_FORMAT=MLN","Sort=A","Dates=H","DateFormat=P","Fill=—","Direction=H","UseDPDF=Y")</f>
        <v>—</v>
      </c>
      <c r="V28" s="13" t="str">
        <f>_xll.BDH("SRPT US Equity","ARD_GAIN_LOSS_DERIVATIVE_TRANS","FQ3 2023","FQ3 2023","Currency=USD","Period=FQ","BEST_FPERIOD_OVERRIDE=FQ","FILING_STATUS=MR","SCALING_FORMAT=MLN","Sort=A","Dates=H","DateFormat=P","Fill=—","Direction=H","UseDPDF=Y")</f>
        <v>—</v>
      </c>
      <c r="W28" s="13" t="str">
        <f>_xll.BDH("SRPT US Equity","ARD_GAIN_LOSS_DERIVATIVE_TRANS","FQ4 2023","FQ4 2023","Currency=USD","Period=FQ","BEST_FPERIOD_OVERRIDE=FQ","FILING_STATUS=MR","SCALING_FORMAT=MLN","Sort=A","Dates=H","DateFormat=P","Fill=—","Direction=H","UseDPDF=Y")</f>
        <v>—</v>
      </c>
      <c r="X28" s="13" t="str">
        <f>_xll.BDH("SRPT US Equity","ARD_GAIN_LOSS_DERIVATIVE_TRANS","FQ1 2024","FQ1 2024","Currency=USD","Period=FQ","BEST_FPERIOD_OVERRIDE=FQ","FILING_STATUS=MR","SCALING_FORMAT=MLN","Sort=A","Dates=H","DateFormat=P","Fill=—","Direction=H","UseDPDF=Y")</f>
        <v>—</v>
      </c>
      <c r="Y28" s="13" t="str">
        <f>_xll.BDH("SRPT US Equity","ARD_GAIN_LOSS_DERIVATIVE_TRANS","FQ2 2024","FQ2 2024","Currency=USD","Period=FQ","BEST_FPERIOD_OVERRIDE=FQ","FILING_STATUS=MR","SCALING_FORMAT=MLN","Sort=A","Dates=H","DateFormat=P","Fill=—","Direction=H","UseDPDF=Y")</f>
        <v>—</v>
      </c>
      <c r="Z28" s="13">
        <f>_xll.BDH("SRPT US Equity","ARD_GAIN_LOSS_DERIVATIVE_TRANS","FQ3 2024","FQ3 2024","Currency=USD","Period=FQ","BEST_FPERIOD_OVERRIDE=FQ","FILING_STATUS=MR","SCALING_FORMAT=MLN","Sort=A","Dates=H","DateFormat=P","Fill=—","Direction=H","UseDPDF=Y")</f>
        <v>8.5649999999999995</v>
      </c>
      <c r="AA28" s="13">
        <f>_xll.BDH("SRPT US Equity","ARD_GAIN_LOSS_DERIVATIVE_TRANS","FQ4 2024","FQ4 2024","Currency=USD","Period=FQ","BEST_FPERIOD_OVERRIDE=FQ","FILING_STATUS=MR","SCALING_FORMAT=MLN","Sort=A","Dates=H","DateFormat=P","Fill=—","Direction=H","UseDPDF=Y")</f>
        <v>7.8380000000000001</v>
      </c>
    </row>
    <row r="29" spans="1:27" x14ac:dyDescent="0.25">
      <c r="A29" s="10" t="s">
        <v>1308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5">
      <c r="A30" s="10" t="s">
        <v>86</v>
      </c>
      <c r="B30" s="10" t="s">
        <v>1309</v>
      </c>
      <c r="C30" s="13">
        <f>_xll.BDH("SRPT US Equity","ARD_CAPITAL_EXPENDITURES","FQ4 2018","FQ4 2018","Currency=USD","Period=FQ","BEST_FPERIOD_OVERRIDE=FQ","FILING_STATUS=MR","SCALING_FORMAT=MLN","Sort=A","Dates=H","DateFormat=P","Fill=—","Direction=H","UseDPDF=Y")</f>
        <v>-61.156999999999996</v>
      </c>
      <c r="D30" s="13">
        <f>_xll.BDH("SRPT US Equity","ARD_CAPITAL_EXPENDITURES","FQ1 2019","FQ1 2019","Currency=USD","Period=FQ","BEST_FPERIOD_OVERRIDE=FQ","FILING_STATUS=MR","SCALING_FORMAT=MLN","Sort=A","Dates=H","DateFormat=P","Fill=—","Direction=H","UseDPDF=Y")</f>
        <v>-16.263000000000002</v>
      </c>
      <c r="E30" s="13">
        <f>_xll.BDH("SRPT US Equity","ARD_CAPITAL_EXPENDITURES","FQ2 2019","FQ2 2019","Currency=USD","Period=FQ","BEST_FPERIOD_OVERRIDE=FQ","FILING_STATUS=MR","SCALING_FORMAT=MLN","Sort=A","Dates=H","DateFormat=P","Fill=—","Direction=H","UseDPDF=Y")</f>
        <v>-32.945</v>
      </c>
      <c r="F30" s="13">
        <f>_xll.BDH("SRPT US Equity","ARD_CAPITAL_EXPENDITURES","FQ3 2019","FQ3 2019","Currency=USD","Period=FQ","BEST_FPERIOD_OVERRIDE=FQ","FILING_STATUS=MR","SCALING_FORMAT=MLN","Sort=A","Dates=H","DateFormat=P","Fill=—","Direction=H","UseDPDF=Y")</f>
        <v>-42.374000000000002</v>
      </c>
      <c r="G30" s="13">
        <f>_xll.BDH("SRPT US Equity","ARD_CAPITAL_EXPENDITURES","FQ4 2019","FQ4 2019","Currency=USD","Period=FQ","BEST_FPERIOD_OVERRIDE=FQ","FILING_STATUS=MR","SCALING_FORMAT=MLN","Sort=A","Dates=H","DateFormat=P","Fill=—","Direction=H","UseDPDF=Y")</f>
        <v>-59.631</v>
      </c>
      <c r="H30" s="13">
        <f>_xll.BDH("SRPT US Equity","ARD_CAPITAL_EXPENDITURES","FQ1 2020","FQ1 2020","Currency=USD","Period=FQ","BEST_FPERIOD_OVERRIDE=FQ","FILING_STATUS=MR","SCALING_FORMAT=MLN","Sort=A","Dates=H","DateFormat=P","Fill=—","Direction=H","UseDPDF=Y")</f>
        <v>-9.1199999999999992</v>
      </c>
      <c r="I30" s="13">
        <f>_xll.BDH("SRPT US Equity","ARD_CAPITAL_EXPENDITURES","FQ2 2020","FQ2 2020","Currency=USD","Period=FQ","BEST_FPERIOD_OVERRIDE=FQ","FILING_STATUS=MR","SCALING_FORMAT=MLN","Sort=A","Dates=H","DateFormat=P","Fill=—","Direction=H","UseDPDF=Y")</f>
        <v>-28.289000000000001</v>
      </c>
      <c r="J30" s="13">
        <f>_xll.BDH("SRPT US Equity","ARD_CAPITAL_EXPENDITURES","FQ3 2020","FQ3 2020","Currency=USD","Period=FQ","BEST_FPERIOD_OVERRIDE=FQ","FILING_STATUS=MR","SCALING_FORMAT=MLN","Sort=A","Dates=H","DateFormat=P","Fill=—","Direction=H","UseDPDF=Y")</f>
        <v>-53.591999999999999</v>
      </c>
      <c r="K30" s="13">
        <f>_xll.BDH("SRPT US Equity","ARD_CAPITAL_EXPENDITURES","FQ4 2020","FQ4 2020","Currency=USD","Period=FQ","BEST_FPERIOD_OVERRIDE=FQ","FILING_STATUS=MR","SCALING_FORMAT=MLN","Sort=A","Dates=H","DateFormat=P","Fill=—","Direction=H","UseDPDF=Y")</f>
        <v>-82.201999999999998</v>
      </c>
      <c r="L30" s="13">
        <f>_xll.BDH("SRPT US Equity","ARD_CAPITAL_EXPENDITURES","FQ1 2021","FQ1 2021","Currency=USD","Period=FQ","BEST_FPERIOD_OVERRIDE=FQ","FILING_STATUS=MR","SCALING_FORMAT=MLN","Sort=A","Dates=H","DateFormat=P","Fill=—","Direction=H","UseDPDF=Y")</f>
        <v>-21.149000000000001</v>
      </c>
      <c r="M30" s="13">
        <f>_xll.BDH("SRPT US Equity","ARD_CAPITAL_EXPENDITURES","FQ2 2021","FQ2 2021","Currency=USD","Period=FQ","BEST_FPERIOD_OVERRIDE=FQ","FILING_STATUS=MR","SCALING_FORMAT=MLN","Sort=A","Dates=H","DateFormat=P","Fill=—","Direction=H","UseDPDF=Y")</f>
        <v>-27.042999999999999</v>
      </c>
      <c r="N30" s="13">
        <f>_xll.BDH("SRPT US Equity","ARD_CAPITAL_EXPENDITURES","FQ3 2021","FQ3 2021","Currency=USD","Period=FQ","BEST_FPERIOD_OVERRIDE=FQ","FILING_STATUS=MR","SCALING_FORMAT=MLN","Sort=A","Dates=H","DateFormat=P","Fill=—","Direction=H","UseDPDF=Y")</f>
        <v>-36.283999999999999</v>
      </c>
      <c r="O30" s="13">
        <f>_xll.BDH("SRPT US Equity","ARD_CAPITAL_EXPENDITURES","FQ4 2021","FQ4 2021","Currency=USD","Period=FQ","BEST_FPERIOD_OVERRIDE=FQ","FILING_STATUS=MR","SCALING_FORMAT=MLN","Sort=A","Dates=H","DateFormat=P","Fill=—","Direction=H","UseDPDF=Y")</f>
        <v>-38.49</v>
      </c>
      <c r="P30" s="13">
        <f>_xll.BDH("SRPT US Equity","ARD_CAPITAL_EXPENDITURES","FQ1 2022","FQ1 2022","Currency=USD","Period=FQ","BEST_FPERIOD_OVERRIDE=FQ","FILING_STATUS=MR","SCALING_FORMAT=MLN","Sort=A","Dates=H","DateFormat=P","Fill=—","Direction=H","UseDPDF=Y")</f>
        <v>-5.5510000000000002</v>
      </c>
      <c r="Q30" s="13">
        <f>_xll.BDH("SRPT US Equity","ARD_CAPITAL_EXPENDITURES","FQ2 2022","FQ2 2022","Currency=USD","Period=FQ","BEST_FPERIOD_OVERRIDE=FQ","FILING_STATUS=MR","SCALING_FORMAT=MLN","Sort=A","Dates=H","DateFormat=P","Fill=—","Direction=H","UseDPDF=Y")</f>
        <v>-14.629</v>
      </c>
      <c r="R30" s="13">
        <f>_xll.BDH("SRPT US Equity","ARD_CAPITAL_EXPENDITURES","FQ3 2022","FQ3 2022","Currency=USD","Period=FQ","BEST_FPERIOD_OVERRIDE=FQ","FILING_STATUS=MR","SCALING_FORMAT=MLN","Sort=A","Dates=H","DateFormat=P","Fill=—","Direction=H","UseDPDF=Y")</f>
        <v>-22.86</v>
      </c>
      <c r="S30" s="13">
        <f>_xll.BDH("SRPT US Equity","ARD_CAPITAL_EXPENDITURES","FQ4 2022","FQ4 2022","Currency=USD","Period=FQ","BEST_FPERIOD_OVERRIDE=FQ","FILING_STATUS=MR","SCALING_FORMAT=MLN","Sort=A","Dates=H","DateFormat=P","Fill=—","Direction=H","UseDPDF=Y")</f>
        <v>-30.824000000000002</v>
      </c>
      <c r="T30" s="13">
        <f>_xll.BDH("SRPT US Equity","ARD_CAPITAL_EXPENDITURES","FQ1 2023","FQ1 2023","Currency=USD","Period=FQ","BEST_FPERIOD_OVERRIDE=FQ","FILING_STATUS=MR","SCALING_FORMAT=MLN","Sort=A","Dates=H","DateFormat=P","Fill=—","Direction=H","UseDPDF=Y")</f>
        <v>-9.4849999999999994</v>
      </c>
      <c r="U30" s="13">
        <f>_xll.BDH("SRPT US Equity","ARD_CAPITAL_EXPENDITURES","FQ2 2023","FQ2 2023","Currency=USD","Period=FQ","BEST_FPERIOD_OVERRIDE=FQ","FILING_STATUS=MR","SCALING_FORMAT=MLN","Sort=A","Dates=H","DateFormat=P","Fill=—","Direction=H","UseDPDF=Y")</f>
        <v>-27.393999999999998</v>
      </c>
      <c r="V30" s="13">
        <f>_xll.BDH("SRPT US Equity","ARD_CAPITAL_EXPENDITURES","FQ3 2023","FQ3 2023","Currency=USD","Period=FQ","BEST_FPERIOD_OVERRIDE=FQ","FILING_STATUS=MR","SCALING_FORMAT=MLN","Sort=A","Dates=H","DateFormat=P","Fill=—","Direction=H","UseDPDF=Y")</f>
        <v>-57.067</v>
      </c>
      <c r="W30" s="13">
        <f>_xll.BDH("SRPT US Equity","ARD_CAPITAL_EXPENDITURES","FQ4 2023","FQ4 2023","Currency=USD","Period=FQ","BEST_FPERIOD_OVERRIDE=FQ","FILING_STATUS=MR","SCALING_FORMAT=MLN","Sort=A","Dates=H","DateFormat=P","Fill=—","Direction=H","UseDPDF=Y")</f>
        <v>-76.105999999999995</v>
      </c>
      <c r="X30" s="13">
        <f>_xll.BDH("SRPT US Equity","ARD_CAPITAL_EXPENDITURES","FQ1 2024","FQ1 2024","Currency=USD","Period=FQ","BEST_FPERIOD_OVERRIDE=FQ","FILING_STATUS=MR","SCALING_FORMAT=MLN","Sort=A","Dates=H","DateFormat=P","Fill=—","Direction=H","UseDPDF=Y")</f>
        <v>-32.444000000000003</v>
      </c>
      <c r="Y30" s="13">
        <f>_xll.BDH("SRPT US Equity","ARD_CAPITAL_EXPENDITURES","FQ2 2024","FQ2 2024","Currency=USD","Period=FQ","BEST_FPERIOD_OVERRIDE=FQ","FILING_STATUS=MR","SCALING_FORMAT=MLN","Sort=A","Dates=H","DateFormat=P","Fill=—","Direction=H","UseDPDF=Y")</f>
        <v>-61.610999999999997</v>
      </c>
      <c r="Z30" s="13">
        <f>_xll.BDH("SRPT US Equity","ARD_CAPITAL_EXPENDITURES","FQ3 2024","FQ3 2024","Currency=USD","Period=FQ","BEST_FPERIOD_OVERRIDE=FQ","FILING_STATUS=MR","SCALING_FORMAT=MLN","Sort=A","Dates=H","DateFormat=P","Fill=—","Direction=H","UseDPDF=Y")</f>
        <v>-98.873999999999995</v>
      </c>
      <c r="AA30" s="13">
        <f>_xll.BDH("SRPT US Equity","ARD_CAPITAL_EXPENDITURES","FQ4 2024","FQ4 2024","Currency=USD","Period=FQ","BEST_FPERIOD_OVERRIDE=FQ","FILING_STATUS=MR","SCALING_FORMAT=MLN","Sort=A","Dates=H","DateFormat=P","Fill=—","Direction=H","UseDPDF=Y")</f>
        <v>-136.95599999999999</v>
      </c>
    </row>
    <row r="31" spans="1:27" x14ac:dyDescent="0.25">
      <c r="A31" s="10" t="s">
        <v>1310</v>
      </c>
      <c r="B31" s="10" t="s">
        <v>1311</v>
      </c>
      <c r="C31" s="13">
        <f>_xll.BDH("SRPT US Equity","ARD_PROCEEDS_FROM_LT_INVEST","FQ4 2018","FQ4 2018","Currency=USD","Period=FQ","BEST_FPERIOD_OVERRIDE=FQ","FILING_STATUS=MR","SCALING_FORMAT=MLN","Sort=A","Dates=H","DateFormat=P","Fill=—","Direction=H","UseDPDF=Y")</f>
        <v>0</v>
      </c>
      <c r="D31" s="13" t="str">
        <f>_xll.BDH("SRPT US Equity","ARD_PROCEEDS_FROM_LT_INVEST","FQ1 2019","FQ1 2019","Currency=USD","Period=FQ","BEST_FPERIOD_OVERRIDE=FQ","FILING_STATUS=MR","SCALING_FORMAT=MLN","Sort=A","Dates=H","DateFormat=P","Fill=—","Direction=H","UseDPDF=Y")</f>
        <v>—</v>
      </c>
      <c r="E31" s="13" t="str">
        <f>_xll.BDH("SRPT US Equity","ARD_PROCEEDS_FROM_LT_INVEST","FQ2 2019","FQ2 2019","Currency=USD","Period=FQ","BEST_FPERIOD_OVERRIDE=FQ","FILING_STATUS=MR","SCALING_FORMAT=MLN","Sort=A","Dates=H","DateFormat=P","Fill=—","Direction=H","UseDPDF=Y")</f>
        <v>—</v>
      </c>
      <c r="F31" s="13" t="str">
        <f>_xll.BDH("SRPT US Equity","ARD_PROCEEDS_FROM_LT_INVEST","FQ3 2019","FQ3 2019","Currency=USD","Period=FQ","BEST_FPERIOD_OVERRIDE=FQ","FILING_STATUS=MR","SCALING_FORMAT=MLN","Sort=A","Dates=H","DateFormat=P","Fill=—","Direction=H","UseDPDF=Y")</f>
        <v>—</v>
      </c>
      <c r="G31" s="13">
        <f>_xll.BDH("SRPT US Equity","ARD_PROCEEDS_FROM_LT_INVEST","FQ4 2019","FQ4 2019","Currency=USD","Period=FQ","BEST_FPERIOD_OVERRIDE=FQ","FILING_STATUS=MR","SCALING_FORMAT=MLN","Sort=A","Dates=H","DateFormat=P","Fill=—","Direction=H","UseDPDF=Y")</f>
        <v>0</v>
      </c>
      <c r="H31" s="13" t="str">
        <f>_xll.BDH("SRPT US Equity","ARD_PROCEEDS_FROM_LT_INVEST","FQ1 2020","FQ1 2020","Currency=USD","Period=FQ","BEST_FPERIOD_OVERRIDE=FQ","FILING_STATUS=MR","SCALING_FORMAT=MLN","Sort=A","Dates=H","DateFormat=P","Fill=—","Direction=H","UseDPDF=Y")</f>
        <v>—</v>
      </c>
      <c r="I31" s="13" t="str">
        <f>_xll.BDH("SRPT US Equity","ARD_PROCEEDS_FROM_LT_INVEST","FQ2 2020","FQ2 2020","Currency=USD","Period=FQ","BEST_FPERIOD_OVERRIDE=FQ","FILING_STATUS=MR","SCALING_FORMAT=MLN","Sort=A","Dates=H","DateFormat=P","Fill=—","Direction=H","UseDPDF=Y")</f>
        <v>—</v>
      </c>
      <c r="J31" s="13" t="str">
        <f>_xll.BDH("SRPT US Equity","ARD_PROCEEDS_FROM_LT_INVEST","FQ3 2020","FQ3 2020","Currency=USD","Period=FQ","BEST_FPERIOD_OVERRIDE=FQ","FILING_STATUS=MR","SCALING_FORMAT=MLN","Sort=A","Dates=H","DateFormat=P","Fill=—","Direction=H","UseDPDF=Y")</f>
        <v>—</v>
      </c>
      <c r="K31" s="13" t="str">
        <f>_xll.BDH("SRPT US Equity","ARD_PROCEEDS_FROM_LT_INVEST","FQ4 2020","FQ4 2020","Currency=USD","Period=FQ","BEST_FPERIOD_OVERRIDE=FQ","FILING_STATUS=MR","SCALING_FORMAT=MLN","Sort=A","Dates=H","DateFormat=P","Fill=—","Direction=H","UseDPDF=Y")</f>
        <v>—</v>
      </c>
      <c r="L31" s="13" t="str">
        <f>_xll.BDH("SRPT US Equity","ARD_PROCEEDS_FROM_LT_INVEST","FQ1 2021","FQ1 2021","Currency=USD","Period=FQ","BEST_FPERIOD_OVERRIDE=FQ","FILING_STATUS=MR","SCALING_FORMAT=MLN","Sort=A","Dates=H","DateFormat=P","Fill=—","Direction=H","UseDPDF=Y")</f>
        <v>—</v>
      </c>
      <c r="M31" s="13" t="str">
        <f>_xll.BDH("SRPT US Equity","ARD_PROCEEDS_FROM_LT_INVEST","FQ2 2021","FQ2 2021","Currency=USD","Period=FQ","BEST_FPERIOD_OVERRIDE=FQ","FILING_STATUS=MR","SCALING_FORMAT=MLN","Sort=A","Dates=H","DateFormat=P","Fill=—","Direction=H","UseDPDF=Y")</f>
        <v>—</v>
      </c>
      <c r="N31" s="13" t="str">
        <f>_xll.BDH("SRPT US Equity","ARD_PROCEEDS_FROM_LT_INVEST","FQ3 2021","FQ3 2021","Currency=USD","Period=FQ","BEST_FPERIOD_OVERRIDE=FQ","FILING_STATUS=MR","SCALING_FORMAT=MLN","Sort=A","Dates=H","DateFormat=P","Fill=—","Direction=H","UseDPDF=Y")</f>
        <v>—</v>
      </c>
      <c r="O31" s="13" t="str">
        <f>_xll.BDH("SRPT US Equity","ARD_PROCEEDS_FROM_LT_INVEST","FQ4 2021","FQ4 2021","Currency=USD","Period=FQ","BEST_FPERIOD_OVERRIDE=FQ","FILING_STATUS=MR","SCALING_FORMAT=MLN","Sort=A","Dates=H","DateFormat=P","Fill=—","Direction=H","UseDPDF=Y")</f>
        <v>—</v>
      </c>
      <c r="P31" s="13" t="str">
        <f>_xll.BDH("SRPT US Equity","ARD_PROCEEDS_FROM_LT_INVEST","FQ1 2022","FQ1 2022","Currency=USD","Period=FQ","BEST_FPERIOD_OVERRIDE=FQ","FILING_STATUS=MR","SCALING_FORMAT=MLN","Sort=A","Dates=H","DateFormat=P","Fill=—","Direction=H","UseDPDF=Y")</f>
        <v>—</v>
      </c>
      <c r="Q31" s="13" t="str">
        <f>_xll.BDH("SRPT US Equity","ARD_PROCEEDS_FROM_LT_INVEST","FQ2 2022","FQ2 2022","Currency=USD","Period=FQ","BEST_FPERIOD_OVERRIDE=FQ","FILING_STATUS=MR","SCALING_FORMAT=MLN","Sort=A","Dates=H","DateFormat=P","Fill=—","Direction=H","UseDPDF=Y")</f>
        <v>—</v>
      </c>
      <c r="R31" s="13" t="str">
        <f>_xll.BDH("SRPT US Equity","ARD_PROCEEDS_FROM_LT_INVEST","FQ3 2022","FQ3 2022","Currency=USD","Period=FQ","BEST_FPERIOD_OVERRIDE=FQ","FILING_STATUS=MR","SCALING_FORMAT=MLN","Sort=A","Dates=H","DateFormat=P","Fill=—","Direction=H","UseDPDF=Y")</f>
        <v>—</v>
      </c>
      <c r="S31" s="13" t="str">
        <f>_xll.BDH("SRPT US Equity","ARD_PROCEEDS_FROM_LT_INVEST","FQ4 2022","FQ4 2022","Currency=USD","Period=FQ","BEST_FPERIOD_OVERRIDE=FQ","FILING_STATUS=MR","SCALING_FORMAT=MLN","Sort=A","Dates=H","DateFormat=P","Fill=—","Direction=H","UseDPDF=Y")</f>
        <v>—</v>
      </c>
      <c r="T31" s="13" t="str">
        <f>_xll.BDH("SRPT US Equity","ARD_PROCEEDS_FROM_LT_INVEST","FQ1 2023","FQ1 2023","Currency=USD","Period=FQ","BEST_FPERIOD_OVERRIDE=FQ","FILING_STATUS=MR","SCALING_FORMAT=MLN","Sort=A","Dates=H","DateFormat=P","Fill=—","Direction=H","UseDPDF=Y")</f>
        <v>—</v>
      </c>
      <c r="U31" s="13" t="str">
        <f>_xll.BDH("SRPT US Equity","ARD_PROCEEDS_FROM_LT_INVEST","FQ2 2023","FQ2 2023","Currency=USD","Period=FQ","BEST_FPERIOD_OVERRIDE=FQ","FILING_STATUS=MR","SCALING_FORMAT=MLN","Sort=A","Dates=H","DateFormat=P","Fill=—","Direction=H","UseDPDF=Y")</f>
        <v>—</v>
      </c>
      <c r="V31" s="13" t="str">
        <f>_xll.BDH("SRPT US Equity","ARD_PROCEEDS_FROM_LT_INVEST","FQ3 2023","FQ3 2023","Currency=USD","Period=FQ","BEST_FPERIOD_OVERRIDE=FQ","FILING_STATUS=MR","SCALING_FORMAT=MLN","Sort=A","Dates=H","DateFormat=P","Fill=—","Direction=H","UseDPDF=Y")</f>
        <v>—</v>
      </c>
      <c r="W31" s="13" t="str">
        <f>_xll.BDH("SRPT US Equity","ARD_PROCEEDS_FROM_LT_INVEST","FQ4 2023","FQ4 2023","Currency=USD","Period=FQ","BEST_FPERIOD_OVERRIDE=FQ","FILING_STATUS=MR","SCALING_FORMAT=MLN","Sort=A","Dates=H","DateFormat=P","Fill=—","Direction=H","UseDPDF=Y")</f>
        <v>—</v>
      </c>
      <c r="X31" s="13" t="str">
        <f>_xll.BDH("SRPT US Equity","ARD_PROCEEDS_FROM_LT_INVEST","FQ1 2024","FQ1 2024","Currency=USD","Period=FQ","BEST_FPERIOD_OVERRIDE=FQ","FILING_STATUS=MR","SCALING_FORMAT=MLN","Sort=A","Dates=H","DateFormat=P","Fill=—","Direction=H","UseDPDF=Y")</f>
        <v>—</v>
      </c>
      <c r="Y31" s="13" t="str">
        <f>_xll.BDH("SRPT US Equity","ARD_PROCEEDS_FROM_LT_INVEST","FQ2 2024","FQ2 2024","Currency=USD","Period=FQ","BEST_FPERIOD_OVERRIDE=FQ","FILING_STATUS=MR","SCALING_FORMAT=MLN","Sort=A","Dates=H","DateFormat=P","Fill=—","Direction=H","UseDPDF=Y")</f>
        <v>—</v>
      </c>
      <c r="Z31" s="13" t="str">
        <f>_xll.BDH("SRPT US Equity","ARD_PROCEEDS_FROM_LT_INVEST","FQ3 2024","FQ3 2024","Currency=USD","Period=FQ","BEST_FPERIOD_OVERRIDE=FQ","FILING_STATUS=MR","SCALING_FORMAT=MLN","Sort=A","Dates=H","DateFormat=P","Fill=—","Direction=H","UseDPDF=Y")</f>
        <v>—</v>
      </c>
      <c r="AA31" s="13" t="str">
        <f>_xll.BDH("SRPT US Equity","ARD_PROCEEDS_FROM_LT_INVEST","FQ4 2024","FQ4 2024","Currency=USD","Period=FQ","BEST_FPERIOD_OVERRIDE=FQ","FILING_STATUS=MR","SCALING_FORMAT=MLN","Sort=A","Dates=H","DateFormat=P","Fill=—","Direction=H","UseDPDF=Y")</f>
        <v>—</v>
      </c>
    </row>
    <row r="32" spans="1:27" x14ac:dyDescent="0.25">
      <c r="A32" s="10" t="s">
        <v>1312</v>
      </c>
      <c r="B32" s="10" t="s">
        <v>1313</v>
      </c>
      <c r="C32" s="13">
        <f>_xll.BDH("SRPT US Equity","ARD_PURCHASES_OF_LT_INVEST","FQ4 2018","FQ4 2018","Currency=USD","Period=FQ","BEST_FPERIOD_OVERRIDE=FQ","FILING_STATUS=MR","SCALING_FORMAT=MLN","Sort=A","Dates=H","DateFormat=P","Fill=—","Direction=H","UseDPDF=Y")</f>
        <v>-0.35299999999999998</v>
      </c>
      <c r="D32" s="13" t="str">
        <f>_xll.BDH("SRPT US Equity","ARD_PURCHASES_OF_LT_INVEST","FQ1 2019","FQ1 2019","Currency=USD","Period=FQ","BEST_FPERIOD_OVERRIDE=FQ","FILING_STATUS=MR","SCALING_FORMAT=MLN","Sort=A","Dates=H","DateFormat=P","Fill=—","Direction=H","UseDPDF=Y")</f>
        <v>—</v>
      </c>
      <c r="E32" s="13" t="str">
        <f>_xll.BDH("SRPT US Equity","ARD_PURCHASES_OF_LT_INVEST","FQ2 2019","FQ2 2019","Currency=USD","Period=FQ","BEST_FPERIOD_OVERRIDE=FQ","FILING_STATUS=MR","SCALING_FORMAT=MLN","Sort=A","Dates=H","DateFormat=P","Fill=—","Direction=H","UseDPDF=Y")</f>
        <v>—</v>
      </c>
      <c r="F32" s="13" t="str">
        <f>_xll.BDH("SRPT US Equity","ARD_PURCHASES_OF_LT_INVEST","FQ3 2019","FQ3 2019","Currency=USD","Period=FQ","BEST_FPERIOD_OVERRIDE=FQ","FILING_STATUS=MR","SCALING_FORMAT=MLN","Sort=A","Dates=H","DateFormat=P","Fill=—","Direction=H","UseDPDF=Y")</f>
        <v>—</v>
      </c>
      <c r="G32" s="13">
        <f>_xll.BDH("SRPT US Equity","ARD_PURCHASES_OF_LT_INVEST","FQ4 2019","FQ4 2019","Currency=USD","Period=FQ","BEST_FPERIOD_OVERRIDE=FQ","FILING_STATUS=MR","SCALING_FORMAT=MLN","Sort=A","Dates=H","DateFormat=P","Fill=—","Direction=H","UseDPDF=Y")</f>
        <v>0</v>
      </c>
      <c r="H32" s="13" t="str">
        <f>_xll.BDH("SRPT US Equity","ARD_PURCHASES_OF_LT_INVEST","FQ1 2020","FQ1 2020","Currency=USD","Period=FQ","BEST_FPERIOD_OVERRIDE=FQ","FILING_STATUS=MR","SCALING_FORMAT=MLN","Sort=A","Dates=H","DateFormat=P","Fill=—","Direction=H","UseDPDF=Y")</f>
        <v>—</v>
      </c>
      <c r="I32" s="13" t="str">
        <f>_xll.BDH("SRPT US Equity","ARD_PURCHASES_OF_LT_INVEST","FQ2 2020","FQ2 2020","Currency=USD","Period=FQ","BEST_FPERIOD_OVERRIDE=FQ","FILING_STATUS=MR","SCALING_FORMAT=MLN","Sort=A","Dates=H","DateFormat=P","Fill=—","Direction=H","UseDPDF=Y")</f>
        <v>—</v>
      </c>
      <c r="J32" s="13" t="str">
        <f>_xll.BDH("SRPT US Equity","ARD_PURCHASES_OF_LT_INVEST","FQ3 2020","FQ3 2020","Currency=USD","Period=FQ","BEST_FPERIOD_OVERRIDE=FQ","FILING_STATUS=MR","SCALING_FORMAT=MLN","Sort=A","Dates=H","DateFormat=P","Fill=—","Direction=H","UseDPDF=Y")</f>
        <v>—</v>
      </c>
      <c r="K32" s="13" t="str">
        <f>_xll.BDH("SRPT US Equity","ARD_PURCHASES_OF_LT_INVEST","FQ4 2020","FQ4 2020","Currency=USD","Period=FQ","BEST_FPERIOD_OVERRIDE=FQ","FILING_STATUS=MR","SCALING_FORMAT=MLN","Sort=A","Dates=H","DateFormat=P","Fill=—","Direction=H","UseDPDF=Y")</f>
        <v>—</v>
      </c>
      <c r="L32" s="13" t="str">
        <f>_xll.BDH("SRPT US Equity","ARD_PURCHASES_OF_LT_INVEST","FQ1 2021","FQ1 2021","Currency=USD","Period=FQ","BEST_FPERIOD_OVERRIDE=FQ","FILING_STATUS=MR","SCALING_FORMAT=MLN","Sort=A","Dates=H","DateFormat=P","Fill=—","Direction=H","UseDPDF=Y")</f>
        <v>—</v>
      </c>
      <c r="M32" s="13" t="str">
        <f>_xll.BDH("SRPT US Equity","ARD_PURCHASES_OF_LT_INVEST","FQ2 2021","FQ2 2021","Currency=USD","Period=FQ","BEST_FPERIOD_OVERRIDE=FQ","FILING_STATUS=MR","SCALING_FORMAT=MLN","Sort=A","Dates=H","DateFormat=P","Fill=—","Direction=H","UseDPDF=Y")</f>
        <v>—</v>
      </c>
      <c r="N32" s="13" t="str">
        <f>_xll.BDH("SRPT US Equity","ARD_PURCHASES_OF_LT_INVEST","FQ3 2021","FQ3 2021","Currency=USD","Period=FQ","BEST_FPERIOD_OVERRIDE=FQ","FILING_STATUS=MR","SCALING_FORMAT=MLN","Sort=A","Dates=H","DateFormat=P","Fill=—","Direction=H","UseDPDF=Y")</f>
        <v>—</v>
      </c>
      <c r="O32" s="13" t="str">
        <f>_xll.BDH("SRPT US Equity","ARD_PURCHASES_OF_LT_INVEST","FQ4 2021","FQ4 2021","Currency=USD","Period=FQ","BEST_FPERIOD_OVERRIDE=FQ","FILING_STATUS=MR","SCALING_FORMAT=MLN","Sort=A","Dates=H","DateFormat=P","Fill=—","Direction=H","UseDPDF=Y")</f>
        <v>—</v>
      </c>
      <c r="P32" s="13" t="str">
        <f>_xll.BDH("SRPT US Equity","ARD_PURCHASES_OF_LT_INVEST","FQ1 2022","FQ1 2022","Currency=USD","Period=FQ","BEST_FPERIOD_OVERRIDE=FQ","FILING_STATUS=MR","SCALING_FORMAT=MLN","Sort=A","Dates=H","DateFormat=P","Fill=—","Direction=H","UseDPDF=Y")</f>
        <v>—</v>
      </c>
      <c r="Q32" s="13" t="str">
        <f>_xll.BDH("SRPT US Equity","ARD_PURCHASES_OF_LT_INVEST","FQ2 2022","FQ2 2022","Currency=USD","Period=FQ","BEST_FPERIOD_OVERRIDE=FQ","FILING_STATUS=MR","SCALING_FORMAT=MLN","Sort=A","Dates=H","DateFormat=P","Fill=—","Direction=H","UseDPDF=Y")</f>
        <v>—</v>
      </c>
      <c r="R32" s="13" t="str">
        <f>_xll.BDH("SRPT US Equity","ARD_PURCHASES_OF_LT_INVEST","FQ3 2022","FQ3 2022","Currency=USD","Period=FQ","BEST_FPERIOD_OVERRIDE=FQ","FILING_STATUS=MR","SCALING_FORMAT=MLN","Sort=A","Dates=H","DateFormat=P","Fill=—","Direction=H","UseDPDF=Y")</f>
        <v>—</v>
      </c>
      <c r="S32" s="13" t="str">
        <f>_xll.BDH("SRPT US Equity","ARD_PURCHASES_OF_LT_INVEST","FQ4 2022","FQ4 2022","Currency=USD","Period=FQ","BEST_FPERIOD_OVERRIDE=FQ","FILING_STATUS=MR","SCALING_FORMAT=MLN","Sort=A","Dates=H","DateFormat=P","Fill=—","Direction=H","UseDPDF=Y")</f>
        <v>—</v>
      </c>
      <c r="T32" s="13" t="str">
        <f>_xll.BDH("SRPT US Equity","ARD_PURCHASES_OF_LT_INVEST","FQ1 2023","FQ1 2023","Currency=USD","Period=FQ","BEST_FPERIOD_OVERRIDE=FQ","FILING_STATUS=MR","SCALING_FORMAT=MLN","Sort=A","Dates=H","DateFormat=P","Fill=—","Direction=H","UseDPDF=Y")</f>
        <v>—</v>
      </c>
      <c r="U32" s="13" t="str">
        <f>_xll.BDH("SRPT US Equity","ARD_PURCHASES_OF_LT_INVEST","FQ2 2023","FQ2 2023","Currency=USD","Period=FQ","BEST_FPERIOD_OVERRIDE=FQ","FILING_STATUS=MR","SCALING_FORMAT=MLN","Sort=A","Dates=H","DateFormat=P","Fill=—","Direction=H","UseDPDF=Y")</f>
        <v>—</v>
      </c>
      <c r="V32" s="13" t="str">
        <f>_xll.BDH("SRPT US Equity","ARD_PURCHASES_OF_LT_INVEST","FQ3 2023","FQ3 2023","Currency=USD","Period=FQ","BEST_FPERIOD_OVERRIDE=FQ","FILING_STATUS=MR","SCALING_FORMAT=MLN","Sort=A","Dates=H","DateFormat=P","Fill=—","Direction=H","UseDPDF=Y")</f>
        <v>—</v>
      </c>
      <c r="W32" s="13" t="str">
        <f>_xll.BDH("SRPT US Equity","ARD_PURCHASES_OF_LT_INVEST","FQ4 2023","FQ4 2023","Currency=USD","Period=FQ","BEST_FPERIOD_OVERRIDE=FQ","FILING_STATUS=MR","SCALING_FORMAT=MLN","Sort=A","Dates=H","DateFormat=P","Fill=—","Direction=H","UseDPDF=Y")</f>
        <v>—</v>
      </c>
      <c r="X32" s="13" t="str">
        <f>_xll.BDH("SRPT US Equity","ARD_PURCHASES_OF_LT_INVEST","FQ1 2024","FQ1 2024","Currency=USD","Period=FQ","BEST_FPERIOD_OVERRIDE=FQ","FILING_STATUS=MR","SCALING_FORMAT=MLN","Sort=A","Dates=H","DateFormat=P","Fill=—","Direction=H","UseDPDF=Y")</f>
        <v>—</v>
      </c>
      <c r="Y32" s="13" t="str">
        <f>_xll.BDH("SRPT US Equity","ARD_PURCHASES_OF_LT_INVEST","FQ2 2024","FQ2 2024","Currency=USD","Period=FQ","BEST_FPERIOD_OVERRIDE=FQ","FILING_STATUS=MR","SCALING_FORMAT=MLN","Sort=A","Dates=H","DateFormat=P","Fill=—","Direction=H","UseDPDF=Y")</f>
        <v>—</v>
      </c>
      <c r="Z32" s="13" t="str">
        <f>_xll.BDH("SRPT US Equity","ARD_PURCHASES_OF_LT_INVEST","FQ3 2024","FQ3 2024","Currency=USD","Period=FQ","BEST_FPERIOD_OVERRIDE=FQ","FILING_STATUS=MR","SCALING_FORMAT=MLN","Sort=A","Dates=H","DateFormat=P","Fill=—","Direction=H","UseDPDF=Y")</f>
        <v>—</v>
      </c>
      <c r="AA32" s="13" t="str">
        <f>_xll.BDH("SRPT US Equity","ARD_PURCHASES_OF_LT_INVEST","FQ4 2024","FQ4 2024","Currency=USD","Period=FQ","BEST_FPERIOD_OVERRIDE=FQ","FILING_STATUS=MR","SCALING_FORMAT=MLN","Sort=A","Dates=H","DateFormat=P","Fill=—","Direction=H","UseDPDF=Y")</f>
        <v>—</v>
      </c>
    </row>
    <row r="33" spans="1:27" x14ac:dyDescent="0.25">
      <c r="A33" s="10" t="s">
        <v>1314</v>
      </c>
      <c r="B33" s="10" t="s">
        <v>1315</v>
      </c>
      <c r="C33" s="13" t="str">
        <f>_xll.BDH("SRPT US Equity","ARD_ACQUISITION_OF_BUSINESS","FQ4 2018","FQ4 2018","Currency=USD","Period=FQ","BEST_FPERIOD_OVERRIDE=FQ","FILING_STATUS=MR","SCALING_FORMAT=MLN","Sort=A","Dates=H","DateFormat=P","Fill=—","Direction=H","UseDPDF=Y")</f>
        <v>—</v>
      </c>
      <c r="D33" s="13" t="str">
        <f>_xll.BDH("SRPT US Equity","ARD_ACQUISITION_OF_BUSINESS","FQ1 2019","FQ1 2019","Currency=USD","Period=FQ","BEST_FPERIOD_OVERRIDE=FQ","FILING_STATUS=MR","SCALING_FORMAT=MLN","Sort=A","Dates=H","DateFormat=P","Fill=—","Direction=H","UseDPDF=Y")</f>
        <v>—</v>
      </c>
      <c r="E33" s="13">
        <f>_xll.BDH("SRPT US Equity","ARD_ACQUISITION_OF_BUSINESS","FQ2 2019","FQ2 2019","Currency=USD","Period=FQ","BEST_FPERIOD_OVERRIDE=FQ","FILING_STATUS=MR","SCALING_FORMAT=MLN","Sort=A","Dates=H","DateFormat=P","Fill=—","Direction=H","UseDPDF=Y")</f>
        <v>-172.55600000000001</v>
      </c>
      <c r="F33" s="13">
        <f>_xll.BDH("SRPT US Equity","ARD_ACQUISITION_OF_BUSINESS","FQ3 2019","FQ3 2019","Currency=USD","Period=FQ","BEST_FPERIOD_OVERRIDE=FQ","FILING_STATUS=MR","SCALING_FORMAT=MLN","Sort=A","Dates=H","DateFormat=P","Fill=—","Direction=H","UseDPDF=Y")</f>
        <v>-172.55600000000001</v>
      </c>
      <c r="G33" s="13">
        <f>_xll.BDH("SRPT US Equity","ARD_ACQUISITION_OF_BUSINESS","FQ4 2019","FQ4 2019","Currency=USD","Period=FQ","BEST_FPERIOD_OVERRIDE=FQ","FILING_STATUS=MR","SCALING_FORMAT=MLN","Sort=A","Dates=H","DateFormat=P","Fill=—","Direction=H","UseDPDF=Y")</f>
        <v>-172.55600000000001</v>
      </c>
      <c r="H33" s="13" t="str">
        <f>_xll.BDH("SRPT US Equity","ARD_ACQUISITION_OF_BUSINESS","FQ1 2020","FQ1 2020","Currency=USD","Period=FQ","BEST_FPERIOD_OVERRIDE=FQ","FILING_STATUS=MR","SCALING_FORMAT=MLN","Sort=A","Dates=H","DateFormat=P","Fill=—","Direction=H","UseDPDF=Y")</f>
        <v>—</v>
      </c>
      <c r="I33" s="13">
        <f>_xll.BDH("SRPT US Equity","ARD_ACQUISITION_OF_BUSINESS","FQ2 2020","FQ2 2020","Currency=USD","Period=FQ","BEST_FPERIOD_OVERRIDE=FQ","FILING_STATUS=MR","SCALING_FORMAT=MLN","Sort=A","Dates=H","DateFormat=P","Fill=—","Direction=H","UseDPDF=Y")</f>
        <v>0</v>
      </c>
      <c r="J33" s="13">
        <f>_xll.BDH("SRPT US Equity","ARD_ACQUISITION_OF_BUSINESS","FQ3 2020","FQ3 2020","Currency=USD","Period=FQ","BEST_FPERIOD_OVERRIDE=FQ","FILING_STATUS=MR","SCALING_FORMAT=MLN","Sort=A","Dates=H","DateFormat=P","Fill=—","Direction=H","UseDPDF=Y")</f>
        <v>0</v>
      </c>
      <c r="K33" s="13">
        <f>_xll.BDH("SRPT US Equity","ARD_ACQUISITION_OF_BUSINESS","FQ4 2020","FQ4 2020","Currency=USD","Period=FQ","BEST_FPERIOD_OVERRIDE=FQ","FILING_STATUS=MR","SCALING_FORMAT=MLN","Sort=A","Dates=H","DateFormat=P","Fill=—","Direction=H","UseDPDF=Y")</f>
        <v>0</v>
      </c>
      <c r="L33" s="13" t="str">
        <f>_xll.BDH("SRPT US Equity","ARD_ACQUISITION_OF_BUSINESS","FQ1 2021","FQ1 2021","Currency=USD","Period=FQ","BEST_FPERIOD_OVERRIDE=FQ","FILING_STATUS=MR","SCALING_FORMAT=MLN","Sort=A","Dates=H","DateFormat=P","Fill=—","Direction=H","UseDPDF=Y")</f>
        <v>—</v>
      </c>
      <c r="M33" s="13" t="str">
        <f>_xll.BDH("SRPT US Equity","ARD_ACQUISITION_OF_BUSINESS","FQ2 2021","FQ2 2021","Currency=USD","Period=FQ","BEST_FPERIOD_OVERRIDE=FQ","FILING_STATUS=MR","SCALING_FORMAT=MLN","Sort=A","Dates=H","DateFormat=P","Fill=—","Direction=H","UseDPDF=Y")</f>
        <v>—</v>
      </c>
      <c r="N33" s="13" t="str">
        <f>_xll.BDH("SRPT US Equity","ARD_ACQUISITION_OF_BUSINESS","FQ3 2021","FQ3 2021","Currency=USD","Period=FQ","BEST_FPERIOD_OVERRIDE=FQ","FILING_STATUS=MR","SCALING_FORMAT=MLN","Sort=A","Dates=H","DateFormat=P","Fill=—","Direction=H","UseDPDF=Y")</f>
        <v>—</v>
      </c>
      <c r="O33" s="13">
        <f>_xll.BDH("SRPT US Equity","ARD_ACQUISITION_OF_BUSINESS","FQ4 2021","FQ4 2021","Currency=USD","Period=FQ","BEST_FPERIOD_OVERRIDE=FQ","FILING_STATUS=MR","SCALING_FORMAT=MLN","Sort=A","Dates=H","DateFormat=P","Fill=—","Direction=H","UseDPDF=Y")</f>
        <v>0</v>
      </c>
      <c r="P33" s="13" t="str">
        <f>_xll.BDH("SRPT US Equity","ARD_ACQUISITION_OF_BUSINESS","FQ1 2022","FQ1 2022","Currency=USD","Period=FQ","BEST_FPERIOD_OVERRIDE=FQ","FILING_STATUS=MR","SCALING_FORMAT=MLN","Sort=A","Dates=H","DateFormat=P","Fill=—","Direction=H","UseDPDF=Y")</f>
        <v>—</v>
      </c>
      <c r="Q33" s="13" t="str">
        <f>_xll.BDH("SRPT US Equity","ARD_ACQUISITION_OF_BUSINESS","FQ2 2022","FQ2 2022","Currency=USD","Period=FQ","BEST_FPERIOD_OVERRIDE=FQ","FILING_STATUS=MR","SCALING_FORMAT=MLN","Sort=A","Dates=H","DateFormat=P","Fill=—","Direction=H","UseDPDF=Y")</f>
        <v>—</v>
      </c>
      <c r="R33" s="13" t="str">
        <f>_xll.BDH("SRPT US Equity","ARD_ACQUISITION_OF_BUSINESS","FQ3 2022","FQ3 2022","Currency=USD","Period=FQ","BEST_FPERIOD_OVERRIDE=FQ","FILING_STATUS=MR","SCALING_FORMAT=MLN","Sort=A","Dates=H","DateFormat=P","Fill=—","Direction=H","UseDPDF=Y")</f>
        <v>—</v>
      </c>
      <c r="S33" s="13" t="str">
        <f>_xll.BDH("SRPT US Equity","ARD_ACQUISITION_OF_BUSINESS","FQ4 2022","FQ4 2022","Currency=USD","Period=FQ","BEST_FPERIOD_OVERRIDE=FQ","FILING_STATUS=MR","SCALING_FORMAT=MLN","Sort=A","Dates=H","DateFormat=P","Fill=—","Direction=H","UseDPDF=Y")</f>
        <v>—</v>
      </c>
      <c r="T33" s="13" t="str">
        <f>_xll.BDH("SRPT US Equity","ARD_ACQUISITION_OF_BUSINESS","FQ1 2023","FQ1 2023","Currency=USD","Period=FQ","BEST_FPERIOD_OVERRIDE=FQ","FILING_STATUS=MR","SCALING_FORMAT=MLN","Sort=A","Dates=H","DateFormat=P","Fill=—","Direction=H","UseDPDF=Y")</f>
        <v>—</v>
      </c>
      <c r="U33" s="13" t="str">
        <f>_xll.BDH("SRPT US Equity","ARD_ACQUISITION_OF_BUSINESS","FQ2 2023","FQ2 2023","Currency=USD","Period=FQ","BEST_FPERIOD_OVERRIDE=FQ","FILING_STATUS=MR","SCALING_FORMAT=MLN","Sort=A","Dates=H","DateFormat=P","Fill=—","Direction=H","UseDPDF=Y")</f>
        <v>—</v>
      </c>
      <c r="V33" s="13" t="str">
        <f>_xll.BDH("SRPT US Equity","ARD_ACQUISITION_OF_BUSINESS","FQ3 2023","FQ3 2023","Currency=USD","Period=FQ","BEST_FPERIOD_OVERRIDE=FQ","FILING_STATUS=MR","SCALING_FORMAT=MLN","Sort=A","Dates=H","DateFormat=P","Fill=—","Direction=H","UseDPDF=Y")</f>
        <v>—</v>
      </c>
      <c r="W33" s="13" t="str">
        <f>_xll.BDH("SRPT US Equity","ARD_ACQUISITION_OF_BUSINESS","FQ4 2023","FQ4 2023","Currency=USD","Period=FQ","BEST_FPERIOD_OVERRIDE=FQ","FILING_STATUS=MR","SCALING_FORMAT=MLN","Sort=A","Dates=H","DateFormat=P","Fill=—","Direction=H","UseDPDF=Y")</f>
        <v>—</v>
      </c>
      <c r="X33" s="13" t="str">
        <f>_xll.BDH("SRPT US Equity","ARD_ACQUISITION_OF_BUSINESS","FQ1 2024","FQ1 2024","Currency=USD","Period=FQ","BEST_FPERIOD_OVERRIDE=FQ","FILING_STATUS=MR","SCALING_FORMAT=MLN","Sort=A","Dates=H","DateFormat=P","Fill=—","Direction=H","UseDPDF=Y")</f>
        <v>—</v>
      </c>
      <c r="Y33" s="13" t="str">
        <f>_xll.BDH("SRPT US Equity","ARD_ACQUISITION_OF_BUSINESS","FQ2 2024","FQ2 2024","Currency=USD","Period=FQ","BEST_FPERIOD_OVERRIDE=FQ","FILING_STATUS=MR","SCALING_FORMAT=MLN","Sort=A","Dates=H","DateFormat=P","Fill=—","Direction=H","UseDPDF=Y")</f>
        <v>—</v>
      </c>
      <c r="Z33" s="13" t="str">
        <f>_xll.BDH("SRPT US Equity","ARD_ACQUISITION_OF_BUSINESS","FQ3 2024","FQ3 2024","Currency=USD","Period=FQ","BEST_FPERIOD_OVERRIDE=FQ","FILING_STATUS=MR","SCALING_FORMAT=MLN","Sort=A","Dates=H","DateFormat=P","Fill=—","Direction=H","UseDPDF=Y")</f>
        <v>—</v>
      </c>
      <c r="AA33" s="13" t="str">
        <f>_xll.BDH("SRPT US Equity","ARD_ACQUISITION_OF_BUSINESS","FQ4 2024","FQ4 2024","Currency=USD","Period=FQ","BEST_FPERIOD_OVERRIDE=FQ","FILING_STATUS=MR","SCALING_FORMAT=MLN","Sort=A","Dates=H","DateFormat=P","Fill=—","Direction=H","UseDPDF=Y")</f>
        <v>—</v>
      </c>
    </row>
    <row r="34" spans="1:27" x14ac:dyDescent="0.25">
      <c r="A34" s="10" t="s">
        <v>1316</v>
      </c>
      <c r="B34" s="10" t="s">
        <v>1317</v>
      </c>
      <c r="C34" s="13">
        <f>_xll.BDH("SRPT US Equity","ARD_OTHER_INVESTING_ACTIVITIES","FQ4 2018","FQ4 2018","Currency=USD","Period=FQ","BEST_FPERIOD_OVERRIDE=FQ","FILING_STATUS=MR","SCALING_FORMAT=MLN","Sort=A","Dates=H","DateFormat=P","Fill=—","Direction=H","UseDPDF=Y")</f>
        <v>-1171.6030000000001</v>
      </c>
      <c r="D34" s="13">
        <f>_xll.BDH("SRPT US Equity","ARD_OTHER_INVESTING_ACTIVITIES","FQ1 2019","FQ1 2019","Currency=USD","Period=FQ","BEST_FPERIOD_OVERRIDE=FQ","FILING_STATUS=MR","SCALING_FORMAT=MLN","Sort=A","Dates=H","DateFormat=P","Fill=—","Direction=H","UseDPDF=Y")</f>
        <v>-494.48099999999999</v>
      </c>
      <c r="E34" s="13">
        <f>_xll.BDH("SRPT US Equity","ARD_OTHER_INVESTING_ACTIVITIES","FQ2 2019","FQ2 2019","Currency=USD","Period=FQ","BEST_FPERIOD_OVERRIDE=FQ","FILING_STATUS=MR","SCALING_FORMAT=MLN","Sort=A","Dates=H","DateFormat=P","Fill=—","Direction=H","UseDPDF=Y")</f>
        <v>-731.28800000000001</v>
      </c>
      <c r="F34" s="13">
        <f>_xll.BDH("SRPT US Equity","ARD_OTHER_INVESTING_ACTIVITIES","FQ3 2019","FQ3 2019","Currency=USD","Period=FQ","BEST_FPERIOD_OVERRIDE=FQ","FILING_STATUS=MR","SCALING_FORMAT=MLN","Sort=A","Dates=H","DateFormat=P","Fill=—","Direction=H","UseDPDF=Y")</f>
        <v>-984.22500000000002</v>
      </c>
      <c r="G34" s="13">
        <f>_xll.BDH("SRPT US Equity","ARD_OTHER_INVESTING_ACTIVITIES","FQ4 2019","FQ4 2019","Currency=USD","Period=FQ","BEST_FPERIOD_OVERRIDE=FQ","FILING_STATUS=MR","SCALING_FORMAT=MLN","Sort=A","Dates=H","DateFormat=P","Fill=—","Direction=H","UseDPDF=Y")</f>
        <v>-1193.6320000000001</v>
      </c>
      <c r="H34" s="13">
        <f>_xll.BDH("SRPT US Equity","ARD_OTHER_INVESTING_ACTIVITIES","FQ1 2020","FQ1 2020","Currency=USD","Period=FQ","BEST_FPERIOD_OVERRIDE=FQ","FILING_STATUS=MR","SCALING_FORMAT=MLN","Sort=A","Dates=H","DateFormat=P","Fill=—","Direction=H","UseDPDF=Y")</f>
        <v>-365.43700000000001</v>
      </c>
      <c r="I34" s="13">
        <f>_xll.BDH("SRPT US Equity","ARD_OTHER_INVESTING_ACTIVITIES","FQ2 2020","FQ2 2020","Currency=USD","Period=FQ","BEST_FPERIOD_OVERRIDE=FQ","FILING_STATUS=MR","SCALING_FORMAT=MLN","Sort=A","Dates=H","DateFormat=P","Fill=—","Direction=H","UseDPDF=Y")</f>
        <v>-756.73800000000006</v>
      </c>
      <c r="J34" s="13">
        <f>_xll.BDH("SRPT US Equity","ARD_OTHER_INVESTING_ACTIVITIES","FQ3 2020","FQ3 2020","Currency=USD","Period=FQ","BEST_FPERIOD_OVERRIDE=FQ","FILING_STATUS=MR","SCALING_FORMAT=MLN","Sort=A","Dates=H","DateFormat=P","Fill=—","Direction=H","UseDPDF=Y")</f>
        <v>-789.62199999999996</v>
      </c>
      <c r="K34" s="13">
        <f>_xll.BDH("SRPT US Equity","ARD_OTHER_INVESTING_ACTIVITIES","FQ4 2020","FQ4 2020","Currency=USD","Period=FQ","BEST_FPERIOD_OVERRIDE=FQ","FILING_STATUS=MR","SCALING_FORMAT=MLN","Sort=A","Dates=H","DateFormat=P","Fill=—","Direction=H","UseDPDF=Y")</f>
        <v>-1228.999</v>
      </c>
      <c r="L34" s="13">
        <f>_xll.BDH("SRPT US Equity","ARD_OTHER_INVESTING_ACTIVITIES","FQ1 2021","FQ1 2021","Currency=USD","Period=FQ","BEST_FPERIOD_OVERRIDE=FQ","FILING_STATUS=MR","SCALING_FORMAT=MLN","Sort=A","Dates=H","DateFormat=P","Fill=—","Direction=H","UseDPDF=Y")</f>
        <v>-29.989000000000001</v>
      </c>
      <c r="M34" s="13" t="str">
        <f>_xll.BDH("SRPT US Equity","ARD_OTHER_INVESTING_ACTIVITIES","FQ2 2021","FQ2 2021","Currency=USD","Period=FQ","BEST_FPERIOD_OVERRIDE=FQ","FILING_STATUS=MR","SCALING_FORMAT=MLN","Sort=A","Dates=H","DateFormat=P","Fill=—","Direction=H","UseDPDF=Y")</f>
        <v>—</v>
      </c>
      <c r="N34" s="13">
        <f>_xll.BDH("SRPT US Equity","ARD_OTHER_INVESTING_ACTIVITIES","FQ3 2021","FQ3 2021","Currency=USD","Period=FQ","BEST_FPERIOD_OVERRIDE=FQ","FILING_STATUS=MR","SCALING_FORMAT=MLN","Sort=A","Dates=H","DateFormat=P","Fill=—","Direction=H","UseDPDF=Y")</f>
        <v>-29.988</v>
      </c>
      <c r="O34" s="13">
        <f>_xll.BDH("SRPT US Equity","ARD_OTHER_INVESTING_ACTIVITIES","FQ4 2021","FQ4 2021","Currency=USD","Period=FQ","BEST_FPERIOD_OVERRIDE=FQ","FILING_STATUS=MR","SCALING_FORMAT=MLN","Sort=A","Dates=H","DateFormat=P","Fill=—","Direction=H","UseDPDF=Y")</f>
        <v>-4.109</v>
      </c>
      <c r="P34" s="13">
        <f>_xll.BDH("SRPT US Equity","ARD_OTHER_INVESTING_ACTIVITIES","FQ1 2022","FQ1 2022","Currency=USD","Period=FQ","BEST_FPERIOD_OVERRIDE=FQ","FILING_STATUS=MR","SCALING_FORMAT=MLN","Sort=A","Dates=H","DateFormat=P","Fill=—","Direction=H","UseDPDF=Y")</f>
        <v>-0.48599999999999999</v>
      </c>
      <c r="Q34" s="13">
        <f>_xll.BDH("SRPT US Equity","ARD_OTHER_INVESTING_ACTIVITIES","FQ2 2022","FQ2 2022","Currency=USD","Period=FQ","BEST_FPERIOD_OVERRIDE=FQ","FILING_STATUS=MR","SCALING_FORMAT=MLN","Sort=A","Dates=H","DateFormat=P","Fill=—","Direction=H","UseDPDF=Y")</f>
        <v>77.150999999999996</v>
      </c>
      <c r="R34" s="13">
        <f>_xll.BDH("SRPT US Equity","ARD_OTHER_INVESTING_ACTIVITIES","FQ3 2022","FQ3 2022","Currency=USD","Period=FQ","BEST_FPERIOD_OVERRIDE=FQ","FILING_STATUS=MR","SCALING_FORMAT=MLN","Sort=A","Dates=H","DateFormat=P","Fill=—","Direction=H","UseDPDF=Y")</f>
        <v>476.72199999999998</v>
      </c>
      <c r="S34" s="13">
        <f>_xll.BDH("SRPT US Equity","ARD_OTHER_INVESTING_ACTIVITIES","FQ4 2022","FQ4 2022","Currency=USD","Period=FQ","BEST_FPERIOD_OVERRIDE=FQ","FILING_STATUS=MR","SCALING_FORMAT=MLN","Sort=A","Dates=H","DateFormat=P","Fill=—","Direction=H","UseDPDF=Y")</f>
        <v>-2.427</v>
      </c>
      <c r="T34" s="13">
        <f>_xll.BDH("SRPT US Equity","ARD_OTHER_INVESTING_ACTIVITIES","FQ1 2023","FQ1 2023","Currency=USD","Period=FQ","BEST_FPERIOD_OVERRIDE=FQ","FILING_STATUS=MR","SCALING_FORMAT=MLN","Sort=A","Dates=H","DateFormat=P","Fill=—","Direction=H","UseDPDF=Y")</f>
        <v>-9.4E-2</v>
      </c>
      <c r="U34" s="13">
        <f>_xll.BDH("SRPT US Equity","ARD_OTHER_INVESTING_ACTIVITIES","FQ2 2023","FQ2 2023","Currency=USD","Period=FQ","BEST_FPERIOD_OVERRIDE=FQ","FILING_STATUS=MR","SCALING_FORMAT=MLN","Sort=A","Dates=H","DateFormat=P","Fill=—","Direction=H","UseDPDF=Y")</f>
        <v>-0.13900000000000001</v>
      </c>
      <c r="V34" s="13">
        <f>_xll.BDH("SRPT US Equity","ARD_OTHER_INVESTING_ACTIVITIES","FQ3 2023","FQ3 2023","Currency=USD","Period=FQ","BEST_FPERIOD_OVERRIDE=FQ","FILING_STATUS=MR","SCALING_FORMAT=MLN","Sort=A","Dates=H","DateFormat=P","Fill=—","Direction=H","UseDPDF=Y")</f>
        <v>1340.2650000000001</v>
      </c>
      <c r="W34" s="13">
        <f>_xll.BDH("SRPT US Equity","ARD_OTHER_INVESTING_ACTIVITIES","FQ4 2023","FQ4 2023","Currency=USD","Period=FQ","BEST_FPERIOD_OVERRIDE=FQ","FILING_STATUS=MR","SCALING_FORMAT=MLN","Sort=A","Dates=H","DateFormat=P","Fill=—","Direction=H","UseDPDF=Y")</f>
        <v>-4</v>
      </c>
      <c r="X34" s="13" t="str">
        <f>_xll.BDH("SRPT US Equity","ARD_OTHER_INVESTING_ACTIVITIES","FQ1 2024","FQ1 2024","Currency=USD","Period=FQ","BEST_FPERIOD_OVERRIDE=FQ","FILING_STATUS=MR","SCALING_FORMAT=MLN","Sort=A","Dates=H","DateFormat=P","Fill=—","Direction=H","UseDPDF=Y")</f>
        <v>—</v>
      </c>
      <c r="Y34" s="13" t="str">
        <f>_xll.BDH("SRPT US Equity","ARD_OTHER_INVESTING_ACTIVITIES","FQ2 2024","FQ2 2024","Currency=USD","Period=FQ","BEST_FPERIOD_OVERRIDE=FQ","FILING_STATUS=MR","SCALING_FORMAT=MLN","Sort=A","Dates=H","DateFormat=P","Fill=—","Direction=H","UseDPDF=Y")</f>
        <v>—</v>
      </c>
      <c r="Z34" s="13" t="str">
        <f>_xll.BDH("SRPT US Equity","ARD_OTHER_INVESTING_ACTIVITIES","FQ3 2024","FQ3 2024","Currency=USD","Period=FQ","BEST_FPERIOD_OVERRIDE=FQ","FILING_STATUS=MR","SCALING_FORMAT=MLN","Sort=A","Dates=H","DateFormat=P","Fill=—","Direction=H","UseDPDF=Y")</f>
        <v>—</v>
      </c>
      <c r="AA34" s="13">
        <f>_xll.BDH("SRPT US Equity","ARD_OTHER_INVESTING_ACTIVITIES","FQ4 2024","FQ4 2024","Currency=USD","Period=FQ","BEST_FPERIOD_OVERRIDE=FQ","FILING_STATUS=MR","SCALING_FORMAT=MLN","Sort=A","Dates=H","DateFormat=P","Fill=—","Direction=H","UseDPDF=Y")</f>
        <v>0</v>
      </c>
    </row>
    <row r="35" spans="1:27" x14ac:dyDescent="0.25">
      <c r="A35" s="10" t="s">
        <v>1318</v>
      </c>
      <c r="B35" s="10" t="s">
        <v>1319</v>
      </c>
      <c r="C35" s="13" t="str">
        <f>_xll.BDH("SRPT US Equity","ARD_DIVESTITURE_OF_BUSINESS","FQ4 2018","FQ4 2018","Currency=USD","Period=FQ","BEST_FPERIOD_OVERRIDE=FQ","FILING_STATUS=MR","SCALING_FORMAT=MLN","Sort=A","Dates=H","DateFormat=P","Fill=—","Direction=H","UseDPDF=Y")</f>
        <v>—</v>
      </c>
      <c r="D35" s="13" t="str">
        <f>_xll.BDH("SRPT US Equity","ARD_DIVESTITURE_OF_BUSINESS","FQ1 2019","FQ1 2019","Currency=USD","Period=FQ","BEST_FPERIOD_OVERRIDE=FQ","FILING_STATUS=MR","SCALING_FORMAT=MLN","Sort=A","Dates=H","DateFormat=P","Fill=—","Direction=H","UseDPDF=Y")</f>
        <v>—</v>
      </c>
      <c r="E35" s="13" t="str">
        <f>_xll.BDH("SRPT US Equity","ARD_DIVESTITURE_OF_BUSINESS","FQ2 2019","FQ2 2019","Currency=USD","Period=FQ","BEST_FPERIOD_OVERRIDE=FQ","FILING_STATUS=MR","SCALING_FORMAT=MLN","Sort=A","Dates=H","DateFormat=P","Fill=—","Direction=H","UseDPDF=Y")</f>
        <v>—</v>
      </c>
      <c r="F35" s="13" t="str">
        <f>_xll.BDH("SRPT US Equity","ARD_DIVESTITURE_OF_BUSINESS","FQ3 2019","FQ3 2019","Currency=USD","Period=FQ","BEST_FPERIOD_OVERRIDE=FQ","FILING_STATUS=MR","SCALING_FORMAT=MLN","Sort=A","Dates=H","DateFormat=P","Fill=—","Direction=H","UseDPDF=Y")</f>
        <v>—</v>
      </c>
      <c r="G35" s="13">
        <f>_xll.BDH("SRPT US Equity","ARD_DIVESTITURE_OF_BUSINESS","FQ4 2019","FQ4 2019","Currency=USD","Period=FQ","BEST_FPERIOD_OVERRIDE=FQ","FILING_STATUS=MR","SCALING_FORMAT=MLN","Sort=A","Dates=H","DateFormat=P","Fill=—","Direction=H","UseDPDF=Y")</f>
        <v>0</v>
      </c>
      <c r="H35" s="13">
        <f>_xll.BDH("SRPT US Equity","ARD_DIVESTITURE_OF_BUSINESS","FQ1 2020","FQ1 2020","Currency=USD","Period=FQ","BEST_FPERIOD_OVERRIDE=FQ","FILING_STATUS=MR","SCALING_FORMAT=MLN","Sort=A","Dates=H","DateFormat=P","Fill=—","Direction=H","UseDPDF=Y")</f>
        <v>108.069</v>
      </c>
      <c r="I35" s="13">
        <f>_xll.BDH("SRPT US Equity","ARD_DIVESTITURE_OF_BUSINESS","FQ2 2020","FQ2 2020","Currency=USD","Period=FQ","BEST_FPERIOD_OVERRIDE=FQ","FILING_STATUS=MR","SCALING_FORMAT=MLN","Sort=A","Dates=H","DateFormat=P","Fill=—","Direction=H","UseDPDF=Y")</f>
        <v>108.069</v>
      </c>
      <c r="J35" s="13" t="str">
        <f>_xll.BDH("SRPT US Equity","ARD_DIVESTITURE_OF_BUSINESS","FQ3 2020","FQ3 2020","Currency=USD","Period=FQ","BEST_FPERIOD_OVERRIDE=FQ","FILING_STATUS=MR","SCALING_FORMAT=MLN","Sort=A","Dates=H","DateFormat=P","Fill=—","Direction=H","UseDPDF=Y")</f>
        <v>—</v>
      </c>
      <c r="K35" s="13" t="str">
        <f>_xll.BDH("SRPT US Equity","ARD_DIVESTITURE_OF_BUSINESS","FQ4 2020","FQ4 2020","Currency=USD","Period=FQ","BEST_FPERIOD_OVERRIDE=FQ","FILING_STATUS=MR","SCALING_FORMAT=MLN","Sort=A","Dates=H","DateFormat=P","Fill=—","Direction=H","UseDPDF=Y")</f>
        <v>—</v>
      </c>
      <c r="L35" s="13">
        <f>_xll.BDH("SRPT US Equity","ARD_DIVESTITURE_OF_BUSINESS","FQ1 2021","FQ1 2021","Currency=USD","Period=FQ","BEST_FPERIOD_OVERRIDE=FQ","FILING_STATUS=MR","SCALING_FORMAT=MLN","Sort=A","Dates=H","DateFormat=P","Fill=—","Direction=H","UseDPDF=Y")</f>
        <v>0</v>
      </c>
      <c r="M35" s="13">
        <f>_xll.BDH("SRPT US Equity","ARD_DIVESTITURE_OF_BUSINESS","FQ2 2021","FQ2 2021","Currency=USD","Period=FQ","BEST_FPERIOD_OVERRIDE=FQ","FILING_STATUS=MR","SCALING_FORMAT=MLN","Sort=A","Dates=H","DateFormat=P","Fill=—","Direction=H","UseDPDF=Y")</f>
        <v>102</v>
      </c>
      <c r="N35" s="13">
        <f>_xll.BDH("SRPT US Equity","ARD_DIVESTITURE_OF_BUSINESS","FQ3 2021","FQ3 2021","Currency=USD","Period=FQ","BEST_FPERIOD_OVERRIDE=FQ","FILING_STATUS=MR","SCALING_FORMAT=MLN","Sort=A","Dates=H","DateFormat=P","Fill=—","Direction=H","UseDPDF=Y")</f>
        <v>102</v>
      </c>
      <c r="O35" s="13">
        <f>_xll.BDH("SRPT US Equity","ARD_DIVESTITURE_OF_BUSINESS","FQ4 2021","FQ4 2021","Currency=USD","Period=FQ","BEST_FPERIOD_OVERRIDE=FQ","FILING_STATUS=MR","SCALING_FORMAT=MLN","Sort=A","Dates=H","DateFormat=P","Fill=—","Direction=H","UseDPDF=Y")</f>
        <v>102</v>
      </c>
      <c r="P35" s="13" t="str">
        <f>_xll.BDH("SRPT US Equity","ARD_DIVESTITURE_OF_BUSINESS","FQ1 2022","FQ1 2022","Currency=USD","Period=FQ","BEST_FPERIOD_OVERRIDE=FQ","FILING_STATUS=MR","SCALING_FORMAT=MLN","Sort=A","Dates=H","DateFormat=P","Fill=—","Direction=H","UseDPDF=Y")</f>
        <v>—</v>
      </c>
      <c r="Q35" s="13">
        <f>_xll.BDH("SRPT US Equity","ARD_DIVESTITURE_OF_BUSINESS","FQ2 2022","FQ2 2022","Currency=USD","Period=FQ","BEST_FPERIOD_OVERRIDE=FQ","FILING_STATUS=MR","SCALING_FORMAT=MLN","Sort=A","Dates=H","DateFormat=P","Fill=—","Direction=H","UseDPDF=Y")</f>
        <v>0</v>
      </c>
      <c r="R35" s="13">
        <f>_xll.BDH("SRPT US Equity","ARD_DIVESTITURE_OF_BUSINESS","FQ3 2022","FQ3 2022","Currency=USD","Period=FQ","BEST_FPERIOD_OVERRIDE=FQ","FILING_STATUS=MR","SCALING_FORMAT=MLN","Sort=A","Dates=H","DateFormat=P","Fill=—","Direction=H","UseDPDF=Y")</f>
        <v>0</v>
      </c>
      <c r="S35" s="13">
        <f>_xll.BDH("SRPT US Equity","ARD_DIVESTITURE_OF_BUSINESS","FQ4 2022","FQ4 2022","Currency=USD","Period=FQ","BEST_FPERIOD_OVERRIDE=FQ","FILING_STATUS=MR","SCALING_FORMAT=MLN","Sort=A","Dates=H","DateFormat=P","Fill=—","Direction=H","UseDPDF=Y")</f>
        <v>0</v>
      </c>
      <c r="T35" s="13" t="str">
        <f>_xll.BDH("SRPT US Equity","ARD_DIVESTITURE_OF_BUSINESS","FQ1 2023","FQ1 2023","Currency=USD","Period=FQ","BEST_FPERIOD_OVERRIDE=FQ","FILING_STATUS=MR","SCALING_FORMAT=MLN","Sort=A","Dates=H","DateFormat=P","Fill=—","Direction=H","UseDPDF=Y")</f>
        <v>—</v>
      </c>
      <c r="U35" s="13">
        <f>_xll.BDH("SRPT US Equity","ARD_DIVESTITURE_OF_BUSINESS","FQ2 2023","FQ2 2023","Currency=USD","Period=FQ","BEST_FPERIOD_OVERRIDE=FQ","FILING_STATUS=MR","SCALING_FORMAT=MLN","Sort=A","Dates=H","DateFormat=P","Fill=—","Direction=H","UseDPDF=Y")</f>
        <v>102</v>
      </c>
      <c r="V35" s="13">
        <f>_xll.BDH("SRPT US Equity","ARD_DIVESTITURE_OF_BUSINESS","FQ3 2023","FQ3 2023","Currency=USD","Period=FQ","BEST_FPERIOD_OVERRIDE=FQ","FILING_STATUS=MR","SCALING_FORMAT=MLN","Sort=A","Dates=H","DateFormat=P","Fill=—","Direction=H","UseDPDF=Y")</f>
        <v>102</v>
      </c>
      <c r="W35" s="13">
        <f>_xll.BDH("SRPT US Equity","ARD_DIVESTITURE_OF_BUSINESS","FQ4 2023","FQ4 2023","Currency=USD","Period=FQ","BEST_FPERIOD_OVERRIDE=FQ","FILING_STATUS=MR","SCALING_FORMAT=MLN","Sort=A","Dates=H","DateFormat=P","Fill=—","Direction=H","UseDPDF=Y")</f>
        <v>102</v>
      </c>
      <c r="X35" s="13" t="str">
        <f>_xll.BDH("SRPT US Equity","ARD_DIVESTITURE_OF_BUSINESS","FQ1 2024","FQ1 2024","Currency=USD","Period=FQ","BEST_FPERIOD_OVERRIDE=FQ","FILING_STATUS=MR","SCALING_FORMAT=MLN","Sort=A","Dates=H","DateFormat=P","Fill=—","Direction=H","UseDPDF=Y")</f>
        <v>—</v>
      </c>
      <c r="Y35" s="13">
        <f>_xll.BDH("SRPT US Equity","ARD_DIVESTITURE_OF_BUSINESS","FQ2 2024","FQ2 2024","Currency=USD","Period=FQ","BEST_FPERIOD_OVERRIDE=FQ","FILING_STATUS=MR","SCALING_FORMAT=MLN","Sort=A","Dates=H","DateFormat=P","Fill=—","Direction=H","UseDPDF=Y")</f>
        <v>0</v>
      </c>
      <c r="Z35" s="13">
        <f>_xll.BDH("SRPT US Equity","ARD_DIVESTITURE_OF_BUSINESS","FQ3 2024","FQ3 2024","Currency=USD","Period=FQ","BEST_FPERIOD_OVERRIDE=FQ","FILING_STATUS=MR","SCALING_FORMAT=MLN","Sort=A","Dates=H","DateFormat=P","Fill=—","Direction=H","UseDPDF=Y")</f>
        <v>0</v>
      </c>
      <c r="AA35" s="13">
        <f>_xll.BDH("SRPT US Equity","ARD_DIVESTITURE_OF_BUSINESS","FQ4 2024","FQ4 2024","Currency=USD","Period=FQ","BEST_FPERIOD_OVERRIDE=FQ","FILING_STATUS=MR","SCALING_FORMAT=MLN","Sort=A","Dates=H","DateFormat=P","Fill=—","Direction=H","UseDPDF=Y")</f>
        <v>0</v>
      </c>
    </row>
    <row r="36" spans="1:27" x14ac:dyDescent="0.25">
      <c r="A36" s="10" t="s">
        <v>1320</v>
      </c>
      <c r="B36" s="10" t="s">
        <v>1321</v>
      </c>
      <c r="C36" s="13" t="str">
        <f>_xll.BDH("SRPT US Equity","ARD_PURCHASES_OF_ST_MKT_SEC","FQ4 2018","FQ4 2018","Currency=USD","Period=FQ","BEST_FPERIOD_OVERRIDE=FQ","FILING_STATUS=MR","SCALING_FORMAT=MLN","Sort=A","Dates=H","DateFormat=P","Fill=—","Direction=H","UseDPDF=Y")</f>
        <v>—</v>
      </c>
      <c r="D36" s="13" t="str">
        <f>_xll.BDH("SRPT US Equity","ARD_PURCHASES_OF_ST_MKT_SEC","FQ1 2019","FQ1 2019","Currency=USD","Period=FQ","BEST_FPERIOD_OVERRIDE=FQ","FILING_STATUS=MR","SCALING_FORMAT=MLN","Sort=A","Dates=H","DateFormat=P","Fill=—","Direction=H","UseDPDF=Y")</f>
        <v>—</v>
      </c>
      <c r="E36" s="13" t="str">
        <f>_xll.BDH("SRPT US Equity","ARD_PURCHASES_OF_ST_MKT_SEC","FQ2 2019","FQ2 2019","Currency=USD","Period=FQ","BEST_FPERIOD_OVERRIDE=FQ","FILING_STATUS=MR","SCALING_FORMAT=MLN","Sort=A","Dates=H","DateFormat=P","Fill=—","Direction=H","UseDPDF=Y")</f>
        <v>—</v>
      </c>
      <c r="F36" s="13" t="str">
        <f>_xll.BDH("SRPT US Equity","ARD_PURCHASES_OF_ST_MKT_SEC","FQ3 2019","FQ3 2019","Currency=USD","Period=FQ","BEST_FPERIOD_OVERRIDE=FQ","FILING_STATUS=MR","SCALING_FORMAT=MLN","Sort=A","Dates=H","DateFormat=P","Fill=—","Direction=H","UseDPDF=Y")</f>
        <v>—</v>
      </c>
      <c r="G36" s="13" t="str">
        <f>_xll.BDH("SRPT US Equity","ARD_PURCHASES_OF_ST_MKT_SEC","FQ4 2019","FQ4 2019","Currency=USD","Period=FQ","BEST_FPERIOD_OVERRIDE=FQ","FILING_STATUS=MR","SCALING_FORMAT=MLN","Sort=A","Dates=H","DateFormat=P","Fill=—","Direction=H","UseDPDF=Y")</f>
        <v>—</v>
      </c>
      <c r="H36" s="13" t="str">
        <f>_xll.BDH("SRPT US Equity","ARD_PURCHASES_OF_ST_MKT_SEC","FQ1 2020","FQ1 2020","Currency=USD","Period=FQ","BEST_FPERIOD_OVERRIDE=FQ","FILING_STATUS=MR","SCALING_FORMAT=MLN","Sort=A","Dates=H","DateFormat=P","Fill=—","Direction=H","UseDPDF=Y")</f>
        <v>—</v>
      </c>
      <c r="I36" s="13" t="str">
        <f>_xll.BDH("SRPT US Equity","ARD_PURCHASES_OF_ST_MKT_SEC","FQ2 2020","FQ2 2020","Currency=USD","Period=FQ","BEST_FPERIOD_OVERRIDE=FQ","FILING_STATUS=MR","SCALING_FORMAT=MLN","Sort=A","Dates=H","DateFormat=P","Fill=—","Direction=H","UseDPDF=Y")</f>
        <v>—</v>
      </c>
      <c r="J36" s="13" t="str">
        <f>_xll.BDH("SRPT US Equity","ARD_PURCHASES_OF_ST_MKT_SEC","FQ3 2020","FQ3 2020","Currency=USD","Period=FQ","BEST_FPERIOD_OVERRIDE=FQ","FILING_STATUS=MR","SCALING_FORMAT=MLN","Sort=A","Dates=H","DateFormat=P","Fill=—","Direction=H","UseDPDF=Y")</f>
        <v>—</v>
      </c>
      <c r="K36" s="13" t="str">
        <f>_xll.BDH("SRPT US Equity","ARD_PURCHASES_OF_ST_MKT_SEC","FQ4 2020","FQ4 2020","Currency=USD","Period=FQ","BEST_FPERIOD_OVERRIDE=FQ","FILING_STATUS=MR","SCALING_FORMAT=MLN","Sort=A","Dates=H","DateFormat=P","Fill=—","Direction=H","UseDPDF=Y")</f>
        <v>—</v>
      </c>
      <c r="L36" s="13" t="str">
        <f>_xll.BDH("SRPT US Equity","ARD_PURCHASES_OF_ST_MKT_SEC","FQ1 2021","FQ1 2021","Currency=USD","Period=FQ","BEST_FPERIOD_OVERRIDE=FQ","FILING_STATUS=MR","SCALING_FORMAT=MLN","Sort=A","Dates=H","DateFormat=P","Fill=—","Direction=H","UseDPDF=Y")</f>
        <v>—</v>
      </c>
      <c r="M36" s="13">
        <f>_xll.BDH("SRPT US Equity","ARD_PURCHASES_OF_ST_MKT_SEC","FQ2 2021","FQ2 2021","Currency=USD","Period=FQ","BEST_FPERIOD_OVERRIDE=FQ","FILING_STATUS=MR","SCALING_FORMAT=MLN","Sort=A","Dates=H","DateFormat=P","Fill=—","Direction=H","UseDPDF=Y")</f>
        <v>-29.989000000000001</v>
      </c>
      <c r="N36" s="13" t="str">
        <f>_xll.BDH("SRPT US Equity","ARD_PURCHASES_OF_ST_MKT_SEC","FQ3 2021","FQ3 2021","Currency=USD","Period=FQ","BEST_FPERIOD_OVERRIDE=FQ","FILING_STATUS=MR","SCALING_FORMAT=MLN","Sort=A","Dates=H","DateFormat=P","Fill=—","Direction=H","UseDPDF=Y")</f>
        <v>—</v>
      </c>
      <c r="O36" s="13">
        <f>_xll.BDH("SRPT US Equity","ARD_PURCHASES_OF_ST_MKT_SEC","FQ4 2021","FQ4 2021","Currency=USD","Period=FQ","BEST_FPERIOD_OVERRIDE=FQ","FILING_STATUS=MR","SCALING_FORMAT=MLN","Sort=A","Dates=H","DateFormat=P","Fill=—","Direction=H","UseDPDF=Y")</f>
        <v>-29.988</v>
      </c>
      <c r="P36" s="13">
        <f>_xll.BDH("SRPT US Equity","ARD_PURCHASES_OF_ST_MKT_SEC","FQ1 2022","FQ1 2022","Currency=USD","Period=FQ","BEST_FPERIOD_OVERRIDE=FQ","FILING_STATUS=MR","SCALING_FORMAT=MLN","Sort=A","Dates=H","DateFormat=P","Fill=—","Direction=H","UseDPDF=Y")</f>
        <v>-779.77</v>
      </c>
      <c r="Q36" s="13">
        <f>_xll.BDH("SRPT US Equity","ARD_PURCHASES_OF_ST_MKT_SEC","FQ2 2022","FQ2 2022","Currency=USD","Period=FQ","BEST_FPERIOD_OVERRIDE=FQ","FILING_STATUS=MR","SCALING_FORMAT=MLN","Sort=A","Dates=H","DateFormat=P","Fill=—","Direction=H","UseDPDF=Y")</f>
        <v>-1137.6020000000001</v>
      </c>
      <c r="R36" s="13">
        <f>_xll.BDH("SRPT US Equity","ARD_PURCHASES_OF_ST_MKT_SEC","FQ3 2022","FQ3 2022","Currency=USD","Period=FQ","BEST_FPERIOD_OVERRIDE=FQ","FILING_STATUS=MR","SCALING_FORMAT=MLN","Sort=A","Dates=H","DateFormat=P","Fill=—","Direction=H","UseDPDF=Y")</f>
        <v>-1509.316</v>
      </c>
      <c r="S36" s="13">
        <f>_xll.BDH("SRPT US Equity","ARD_PURCHASES_OF_ST_MKT_SEC","FQ4 2022","FQ4 2022","Currency=USD","Period=FQ","BEST_FPERIOD_OVERRIDE=FQ","FILING_STATUS=MR","SCALING_FORMAT=MLN","Sort=A","Dates=H","DateFormat=P","Fill=—","Direction=H","UseDPDF=Y")</f>
        <v>-1936.856</v>
      </c>
      <c r="T36" s="13">
        <f>_xll.BDH("SRPT US Equity","ARD_PURCHASES_OF_ST_MKT_SEC","FQ1 2023","FQ1 2023","Currency=USD","Period=FQ","BEST_FPERIOD_OVERRIDE=FQ","FILING_STATUS=MR","SCALING_FORMAT=MLN","Sort=A","Dates=H","DateFormat=P","Fill=—","Direction=H","UseDPDF=Y")</f>
        <v>-426.76299999999998</v>
      </c>
      <c r="U36" s="13">
        <f>_xll.BDH("SRPT US Equity","ARD_PURCHASES_OF_ST_MKT_SEC","FQ2 2023","FQ2 2023","Currency=USD","Period=FQ","BEST_FPERIOD_OVERRIDE=FQ","FILING_STATUS=MR","SCALING_FORMAT=MLN","Sort=A","Dates=H","DateFormat=P","Fill=—","Direction=H","UseDPDF=Y")</f>
        <v>-829.79899999999998</v>
      </c>
      <c r="V36" s="13">
        <f>_xll.BDH("SRPT US Equity","ARD_PURCHASES_OF_ST_MKT_SEC","FQ3 2023","FQ3 2023","Currency=USD","Period=FQ","BEST_FPERIOD_OVERRIDE=FQ","FILING_STATUS=MR","SCALING_FORMAT=MLN","Sort=A","Dates=H","DateFormat=P","Fill=—","Direction=H","UseDPDF=Y")</f>
        <v>-1475.404</v>
      </c>
      <c r="W36" s="13">
        <f>_xll.BDH("SRPT US Equity","ARD_PURCHASES_OF_ST_MKT_SEC","FQ4 2023","FQ4 2023","Currency=USD","Period=FQ","BEST_FPERIOD_OVERRIDE=FQ","FILING_STATUS=MR","SCALING_FORMAT=MLN","Sort=A","Dates=H","DateFormat=P","Fill=—","Direction=H","UseDPDF=Y")</f>
        <v>-2044.94</v>
      </c>
      <c r="X36" s="13">
        <f>_xll.BDH("SRPT US Equity","ARD_PURCHASES_OF_ST_MKT_SEC","FQ1 2024","FQ1 2024","Currency=USD","Period=FQ","BEST_FPERIOD_OVERRIDE=FQ","FILING_STATUS=MR","SCALING_FORMAT=MLN","Sort=A","Dates=H","DateFormat=P","Fill=—","Direction=H","UseDPDF=Y")</f>
        <v>-216.45</v>
      </c>
      <c r="Y36" s="13">
        <f>_xll.BDH("SRPT US Equity","ARD_PURCHASES_OF_ST_MKT_SEC","FQ2 2024","FQ2 2024","Currency=USD","Period=FQ","BEST_FPERIOD_OVERRIDE=FQ","FILING_STATUS=MR","SCALING_FORMAT=MLN","Sort=A","Dates=H","DateFormat=P","Fill=—","Direction=H","UseDPDF=Y")</f>
        <v>-547.28200000000004</v>
      </c>
      <c r="Z36" s="13">
        <f>_xll.BDH("SRPT US Equity","ARD_PURCHASES_OF_ST_MKT_SEC","FQ3 2024","FQ3 2024","Currency=USD","Period=FQ","BEST_FPERIOD_OVERRIDE=FQ","FILING_STATUS=MR","SCALING_FORMAT=MLN","Sort=A","Dates=H","DateFormat=P","Fill=—","Direction=H","UseDPDF=Y")</f>
        <v>-936.68399999999997</v>
      </c>
      <c r="AA36" s="13">
        <f>_xll.BDH("SRPT US Equity","ARD_PURCHASES_OF_ST_MKT_SEC","FQ4 2024","FQ4 2024","Currency=USD","Period=FQ","BEST_FPERIOD_OVERRIDE=FQ","FILING_STATUS=MR","SCALING_FORMAT=MLN","Sort=A","Dates=H","DateFormat=P","Fill=—","Direction=H","UseDPDF=Y")</f>
        <v>-1099.595</v>
      </c>
    </row>
    <row r="37" spans="1:27" x14ac:dyDescent="0.25">
      <c r="A37" s="10" t="s">
        <v>1322</v>
      </c>
      <c r="B37" s="10" t="s">
        <v>1323</v>
      </c>
      <c r="C37" s="13">
        <f>_xll.BDH("SRPT US Equity","ARD_PURCHASE_OF_INTANGIBLES","FQ4 2018","FQ4 2018","Currency=USD","Period=FQ","BEST_FPERIOD_OVERRIDE=FQ","FILING_STATUS=MR","SCALING_FORMAT=MLN","Sort=A","Dates=H","DateFormat=P","Fill=—","Direction=H","UseDPDF=Y")</f>
        <v>-3.1880000000000002</v>
      </c>
      <c r="D37" s="13">
        <f>_xll.BDH("SRPT US Equity","ARD_PURCHASE_OF_INTANGIBLES","FQ1 2019","FQ1 2019","Currency=USD","Period=FQ","BEST_FPERIOD_OVERRIDE=FQ","FILING_STATUS=MR","SCALING_FORMAT=MLN","Sort=A","Dates=H","DateFormat=P","Fill=—","Direction=H","UseDPDF=Y")</f>
        <v>-0.85499999999999998</v>
      </c>
      <c r="E37" s="13">
        <f>_xll.BDH("SRPT US Equity","ARD_PURCHASE_OF_INTANGIBLES","FQ2 2019","FQ2 2019","Currency=USD","Period=FQ","BEST_FPERIOD_OVERRIDE=FQ","FILING_STATUS=MR","SCALING_FORMAT=MLN","Sort=A","Dates=H","DateFormat=P","Fill=—","Direction=H","UseDPDF=Y")</f>
        <v>-1.454</v>
      </c>
      <c r="F37" s="13">
        <f>_xll.BDH("SRPT US Equity","ARD_PURCHASE_OF_INTANGIBLES","FQ3 2019","FQ3 2019","Currency=USD","Period=FQ","BEST_FPERIOD_OVERRIDE=FQ","FILING_STATUS=MR","SCALING_FORMAT=MLN","Sort=A","Dates=H","DateFormat=P","Fill=—","Direction=H","UseDPDF=Y")</f>
        <v>-2.048</v>
      </c>
      <c r="G37" s="13">
        <f>_xll.BDH("SRPT US Equity","ARD_PURCHASE_OF_INTANGIBLES","FQ4 2019","FQ4 2019","Currency=USD","Period=FQ","BEST_FPERIOD_OVERRIDE=FQ","FILING_STATUS=MR","SCALING_FORMAT=MLN","Sort=A","Dates=H","DateFormat=P","Fill=—","Direction=H","UseDPDF=Y")</f>
        <v>-3.0819999999999999</v>
      </c>
      <c r="H37" s="13">
        <f>_xll.BDH("SRPT US Equity","ARD_PURCHASE_OF_INTANGIBLES","FQ1 2020","FQ1 2020","Currency=USD","Period=FQ","BEST_FPERIOD_OVERRIDE=FQ","FILING_STATUS=MR","SCALING_FORMAT=MLN","Sort=A","Dates=H","DateFormat=P","Fill=—","Direction=H","UseDPDF=Y")</f>
        <v>-1.1919999999999999</v>
      </c>
      <c r="I37" s="13">
        <f>_xll.BDH("SRPT US Equity","ARD_PURCHASE_OF_INTANGIBLES","FQ2 2020","FQ2 2020","Currency=USD","Period=FQ","BEST_FPERIOD_OVERRIDE=FQ","FILING_STATUS=MR","SCALING_FORMAT=MLN","Sort=A","Dates=H","DateFormat=P","Fill=—","Direction=H","UseDPDF=Y")</f>
        <v>-1.927</v>
      </c>
      <c r="J37" s="13">
        <f>_xll.BDH("SRPT US Equity","ARD_PURCHASE_OF_INTANGIBLES","FQ3 2020","FQ3 2020","Currency=USD","Period=FQ","BEST_FPERIOD_OVERRIDE=FQ","FILING_STATUS=MR","SCALING_FORMAT=MLN","Sort=A","Dates=H","DateFormat=P","Fill=—","Direction=H","UseDPDF=Y")</f>
        <v>-2.5960000000000001</v>
      </c>
      <c r="K37" s="13" t="str">
        <f>_xll.BDH("SRPT US Equity","ARD_PURCHASE_OF_INTANGIBLES","FQ4 2020","FQ4 2020","Currency=USD","Period=FQ","BEST_FPERIOD_OVERRIDE=FQ","FILING_STATUS=MR","SCALING_FORMAT=MLN","Sort=A","Dates=H","DateFormat=P","Fill=—","Direction=H","UseDPDF=Y")</f>
        <v>—</v>
      </c>
      <c r="L37" s="13">
        <f>_xll.BDH("SRPT US Equity","ARD_PURCHASE_OF_INTANGIBLES","FQ1 2021","FQ1 2021","Currency=USD","Period=FQ","BEST_FPERIOD_OVERRIDE=FQ","FILING_STATUS=MR","SCALING_FORMAT=MLN","Sort=A","Dates=H","DateFormat=P","Fill=—","Direction=H","UseDPDF=Y")</f>
        <v>-2.1960000000000002</v>
      </c>
      <c r="M37" s="13">
        <f>_xll.BDH("SRPT US Equity","ARD_PURCHASE_OF_INTANGIBLES","FQ2 2021","FQ2 2021","Currency=USD","Period=FQ","BEST_FPERIOD_OVERRIDE=FQ","FILING_STATUS=MR","SCALING_FORMAT=MLN","Sort=A","Dates=H","DateFormat=P","Fill=—","Direction=H","UseDPDF=Y")</f>
        <v>-3.2429999999999999</v>
      </c>
      <c r="N37" s="13">
        <f>_xll.BDH("SRPT US Equity","ARD_PURCHASE_OF_INTANGIBLES","FQ3 2021","FQ3 2021","Currency=USD","Period=FQ","BEST_FPERIOD_OVERRIDE=FQ","FILING_STATUS=MR","SCALING_FORMAT=MLN","Sort=A","Dates=H","DateFormat=P","Fill=—","Direction=H","UseDPDF=Y")</f>
        <v>-3.738</v>
      </c>
      <c r="O37" s="13" t="str">
        <f>_xll.BDH("SRPT US Equity","ARD_PURCHASE_OF_INTANGIBLES","FQ4 2021","FQ4 2021","Currency=USD","Period=FQ","BEST_FPERIOD_OVERRIDE=FQ","FILING_STATUS=MR","SCALING_FORMAT=MLN","Sort=A","Dates=H","DateFormat=P","Fill=—","Direction=H","UseDPDF=Y")</f>
        <v>—</v>
      </c>
      <c r="P37" s="13" t="str">
        <f>_xll.BDH("SRPT US Equity","ARD_PURCHASE_OF_INTANGIBLES","FQ1 2022","FQ1 2022","Currency=USD","Period=FQ","BEST_FPERIOD_OVERRIDE=FQ","FILING_STATUS=MR","SCALING_FORMAT=MLN","Sort=A","Dates=H","DateFormat=P","Fill=—","Direction=H","UseDPDF=Y")</f>
        <v>—</v>
      </c>
      <c r="Q37" s="13">
        <f>_xll.BDH("SRPT US Equity","ARD_PURCHASE_OF_INTANGIBLES","FQ2 2022","FQ2 2022","Currency=USD","Period=FQ","BEST_FPERIOD_OVERRIDE=FQ","FILING_STATUS=MR","SCALING_FORMAT=MLN","Sort=A","Dates=H","DateFormat=P","Fill=—","Direction=H","UseDPDF=Y")</f>
        <v>-0.71799999999999997</v>
      </c>
      <c r="R37" s="13">
        <f>_xll.BDH("SRPT US Equity","ARD_PURCHASE_OF_INTANGIBLES","FQ3 2022","FQ3 2022","Currency=USD","Period=FQ","BEST_FPERIOD_OVERRIDE=FQ","FILING_STATUS=MR","SCALING_FORMAT=MLN","Sort=A","Dates=H","DateFormat=P","Fill=—","Direction=H","UseDPDF=Y")</f>
        <v>-1.2250000000000001</v>
      </c>
      <c r="S37" s="13" t="str">
        <f>_xll.BDH("SRPT US Equity","ARD_PURCHASE_OF_INTANGIBLES","FQ4 2022","FQ4 2022","Currency=USD","Period=FQ","BEST_FPERIOD_OVERRIDE=FQ","FILING_STATUS=MR","SCALING_FORMAT=MLN","Sort=A","Dates=H","DateFormat=P","Fill=—","Direction=H","UseDPDF=Y")</f>
        <v>—</v>
      </c>
      <c r="T37" s="13" t="str">
        <f>_xll.BDH("SRPT US Equity","ARD_PURCHASE_OF_INTANGIBLES","FQ1 2023","FQ1 2023","Currency=USD","Period=FQ","BEST_FPERIOD_OVERRIDE=FQ","FILING_STATUS=MR","SCALING_FORMAT=MLN","Sort=A","Dates=H","DateFormat=P","Fill=—","Direction=H","UseDPDF=Y")</f>
        <v>—</v>
      </c>
      <c r="U37" s="13" t="str">
        <f>_xll.BDH("SRPT US Equity","ARD_PURCHASE_OF_INTANGIBLES","FQ2 2023","FQ2 2023","Currency=USD","Period=FQ","BEST_FPERIOD_OVERRIDE=FQ","FILING_STATUS=MR","SCALING_FORMAT=MLN","Sort=A","Dates=H","DateFormat=P","Fill=—","Direction=H","UseDPDF=Y")</f>
        <v>—</v>
      </c>
      <c r="V37" s="13">
        <f>_xll.BDH("SRPT US Equity","ARD_PURCHASE_OF_INTANGIBLES","FQ3 2023","FQ3 2023","Currency=USD","Period=FQ","BEST_FPERIOD_OVERRIDE=FQ","FILING_STATUS=MR","SCALING_FORMAT=MLN","Sort=A","Dates=H","DateFormat=P","Fill=—","Direction=H","UseDPDF=Y")</f>
        <v>-11.239000000000001</v>
      </c>
      <c r="W37" s="13">
        <f>_xll.BDH("SRPT US Equity","ARD_PURCHASE_OF_INTANGIBLES","FQ4 2023","FQ4 2023","Currency=USD","Period=FQ","BEST_FPERIOD_OVERRIDE=FQ","FILING_STATUS=MR","SCALING_FORMAT=MLN","Sort=A","Dates=H","DateFormat=P","Fill=—","Direction=H","UseDPDF=Y")</f>
        <v>-11.239000000000001</v>
      </c>
      <c r="X37" s="13">
        <f>_xll.BDH("SRPT US Equity","ARD_PURCHASE_OF_INTANGIBLES","FQ1 2024","FQ1 2024","Currency=USD","Period=FQ","BEST_FPERIOD_OVERRIDE=FQ","FILING_STATUS=MR","SCALING_FORMAT=MLN","Sort=A","Dates=H","DateFormat=P","Fill=—","Direction=H","UseDPDF=Y")</f>
        <v>-10</v>
      </c>
      <c r="Y37" s="13">
        <f>_xll.BDH("SRPT US Equity","ARD_PURCHASE_OF_INTANGIBLES","FQ2 2024","FQ2 2024","Currency=USD","Period=FQ","BEST_FPERIOD_OVERRIDE=FQ","FILING_STATUS=MR","SCALING_FORMAT=MLN","Sort=A","Dates=H","DateFormat=P","Fill=—","Direction=H","UseDPDF=Y")</f>
        <v>-10</v>
      </c>
      <c r="Z37" s="13">
        <f>_xll.BDH("SRPT US Equity","ARD_PURCHASE_OF_INTANGIBLES","FQ3 2024","FQ3 2024","Currency=USD","Period=FQ","BEST_FPERIOD_OVERRIDE=FQ","FILING_STATUS=MR","SCALING_FORMAT=MLN","Sort=A","Dates=H","DateFormat=P","Fill=—","Direction=H","UseDPDF=Y")</f>
        <v>-10</v>
      </c>
      <c r="AA37" s="13">
        <f>_xll.BDH("SRPT US Equity","ARD_PURCHASE_OF_INTANGIBLES","FQ4 2024","FQ4 2024","Currency=USD","Period=FQ","BEST_FPERIOD_OVERRIDE=FQ","FILING_STATUS=MR","SCALING_FORMAT=MLN","Sort=A","Dates=H","DateFormat=P","Fill=—","Direction=H","UseDPDF=Y")</f>
        <v>-10</v>
      </c>
    </row>
    <row r="38" spans="1:27" x14ac:dyDescent="0.25">
      <c r="A38" s="6" t="s">
        <v>1324</v>
      </c>
      <c r="B38" s="6" t="s">
        <v>1325</v>
      </c>
      <c r="C38" s="19">
        <f>_xll.BDH("SRPT US Equity","ARD_TOT_CASHFLOWS_FROM_INVESTING","FQ4 2018","FQ4 2018","Currency=USD","Period=FQ","BEST_FPERIOD_OVERRIDE=FQ","FILING_STATUS=MR","SCALING_FORMAT=MLN","Sort=A","Dates=H","DateFormat=P","Fill=—","Direction=H","UseDPDF=Y")</f>
        <v>-370.488</v>
      </c>
      <c r="D38" s="19">
        <f>_xll.BDH("SRPT US Equity","ARD_TOT_CASHFLOWS_FROM_INVESTING","FQ1 2019","FQ1 2019","Currency=USD","Period=FQ","BEST_FPERIOD_OVERRIDE=FQ","FILING_STATUS=MR","SCALING_FORMAT=MLN","Sort=A","Dates=H","DateFormat=P","Fill=—","Direction=H","UseDPDF=Y")</f>
        <v>135.23099999999999</v>
      </c>
      <c r="E38" s="19">
        <f>_xll.BDH("SRPT US Equity","ARD_TOT_CASHFLOWS_FROM_INVESTING","FQ2 2019","FQ2 2019","Currency=USD","Period=FQ","BEST_FPERIOD_OVERRIDE=FQ","FILING_STATUS=MR","SCALING_FORMAT=MLN","Sort=A","Dates=H","DateFormat=P","Fill=—","Direction=H","UseDPDF=Y")</f>
        <v>287.60399999999998</v>
      </c>
      <c r="F38" s="19">
        <f>_xll.BDH("SRPT US Equity","ARD_TOT_CASHFLOWS_FROM_INVESTING","FQ3 2019","FQ3 2019","Currency=USD","Period=FQ","BEST_FPERIOD_OVERRIDE=FQ","FILING_STATUS=MR","SCALING_FORMAT=MLN","Sort=A","Dates=H","DateFormat=P","Fill=—","Direction=H","UseDPDF=Y")</f>
        <v>269.64499999999998</v>
      </c>
      <c r="G38" s="19">
        <f>_xll.BDH("SRPT US Equity","ARD_TOT_CASHFLOWS_FROM_INVESTING","FQ4 2019","FQ4 2019","Currency=USD","Period=FQ","BEST_FPERIOD_OVERRIDE=FQ","FILING_STATUS=MR","SCALING_FORMAT=MLN","Sort=A","Dates=H","DateFormat=P","Fill=—","Direction=H","UseDPDF=Y")</f>
        <v>286.72500000000002</v>
      </c>
      <c r="H38" s="19">
        <f>_xll.BDH("SRPT US Equity","ARD_TOT_CASHFLOWS_FROM_INVESTING","FQ1 2020","FQ1 2020","Currency=USD","Period=FQ","BEST_FPERIOD_OVERRIDE=FQ","FILING_STATUS=MR","SCALING_FORMAT=MLN","Sort=A","Dates=H","DateFormat=P","Fill=—","Direction=H","UseDPDF=Y")</f>
        <v>-17.68</v>
      </c>
      <c r="I38" s="19">
        <f>_xll.BDH("SRPT US Equity","ARD_TOT_CASHFLOWS_FROM_INVESTING","FQ2 2020","FQ2 2020","Currency=USD","Period=FQ","BEST_FPERIOD_OVERRIDE=FQ","FILING_STATUS=MR","SCALING_FORMAT=MLN","Sort=A","Dates=H","DateFormat=P","Fill=—","Direction=H","UseDPDF=Y")</f>
        <v>-51.905000000000001</v>
      </c>
      <c r="J38" s="19">
        <f>_xll.BDH("SRPT US Equity","ARD_TOT_CASHFLOWS_FROM_INVESTING","FQ3 2020","FQ3 2020","Currency=USD","Period=FQ","BEST_FPERIOD_OVERRIDE=FQ","FILING_STATUS=MR","SCALING_FORMAT=MLN","Sort=A","Dates=H","DateFormat=P","Fill=—","Direction=H","UseDPDF=Y")</f>
        <v>2.17</v>
      </c>
      <c r="K38" s="19">
        <f>_xll.BDH("SRPT US Equity","ARD_TOT_CASHFLOWS_FROM_INVESTING","FQ4 2020","FQ4 2020","Currency=USD","Period=FQ","BEST_FPERIOD_OVERRIDE=FQ","FILING_STATUS=MR","SCALING_FORMAT=MLN","Sort=A","Dates=H","DateFormat=P","Fill=—","Direction=H","UseDPDF=Y")</f>
        <v>-121.721</v>
      </c>
      <c r="L38" s="19">
        <f>_xll.BDH("SRPT US Equity","ARD_TOT_CASHFLOWS_FROM_INVESTING","FQ1 2021","FQ1 2021","Currency=USD","Period=FQ","BEST_FPERIOD_OVERRIDE=FQ","FILING_STATUS=MR","SCALING_FORMAT=MLN","Sort=A","Dates=H","DateFormat=P","Fill=—","Direction=H","UseDPDF=Y")</f>
        <v>156.666</v>
      </c>
      <c r="M38" s="19">
        <f>_xll.BDH("SRPT US Equity","ARD_TOT_CASHFLOWS_FROM_INVESTING","FQ2 2021","FQ2 2021","Currency=USD","Period=FQ","BEST_FPERIOD_OVERRIDE=FQ","FILING_STATUS=MR","SCALING_FORMAT=MLN","Sort=A","Dates=H","DateFormat=P","Fill=—","Direction=H","UseDPDF=Y")</f>
        <v>477.72500000000002</v>
      </c>
      <c r="N38" s="19">
        <f>_xll.BDH("SRPT US Equity","ARD_TOT_CASHFLOWS_FROM_INVESTING","FQ3 2021","FQ3 2021","Currency=USD","Period=FQ","BEST_FPERIOD_OVERRIDE=FQ","FILING_STATUS=MR","SCALING_FORMAT=MLN","Sort=A","Dates=H","DateFormat=P","Fill=—","Direction=H","UseDPDF=Y")</f>
        <v>497.99</v>
      </c>
      <c r="O38" s="19">
        <f>_xll.BDH("SRPT US Equity","ARD_TOT_CASHFLOWS_FROM_INVESTING","FQ4 2021","FQ4 2021","Currency=USD","Period=FQ","BEST_FPERIOD_OVERRIDE=FQ","FILING_STATUS=MR","SCALING_FORMAT=MLN","Sort=A","Dates=H","DateFormat=P","Fill=—","Direction=H","UseDPDF=Y")</f>
        <v>495.41300000000001</v>
      </c>
      <c r="P38" s="19">
        <f>_xll.BDH("SRPT US Equity","ARD_TOT_CASHFLOWS_FROM_INVESTING","FQ1 2022","FQ1 2022","Currency=USD","Period=FQ","BEST_FPERIOD_OVERRIDE=FQ","FILING_STATUS=MR","SCALING_FORMAT=MLN","Sort=A","Dates=H","DateFormat=P","Fill=—","Direction=H","UseDPDF=Y")</f>
        <v>-785.80700000000002</v>
      </c>
      <c r="Q38" s="19">
        <f>_xll.BDH("SRPT US Equity","ARD_TOT_CASHFLOWS_FROM_INVESTING","FQ2 2022","FQ2 2022","Currency=USD","Period=FQ","BEST_FPERIOD_OVERRIDE=FQ","FILING_STATUS=MR","SCALING_FORMAT=MLN","Sort=A","Dates=H","DateFormat=P","Fill=—","Direction=H","UseDPDF=Y")</f>
        <v>-1075.798</v>
      </c>
      <c r="R38" s="19">
        <f>_xll.BDH("SRPT US Equity","ARD_TOT_CASHFLOWS_FROM_INVESTING","FQ3 2022","FQ3 2022","Currency=USD","Period=FQ","BEST_FPERIOD_OVERRIDE=FQ","FILING_STATUS=MR","SCALING_FORMAT=MLN","Sort=A","Dates=H","DateFormat=P","Fill=—","Direction=H","UseDPDF=Y")</f>
        <v>-1056.6790000000001</v>
      </c>
      <c r="S38" s="19">
        <f>_xll.BDH("SRPT US Equity","ARD_TOT_CASHFLOWS_FROM_INVESTING","FQ4 2022","FQ4 2022","Currency=USD","Period=FQ","BEST_FPERIOD_OVERRIDE=FQ","FILING_STATUS=MR","SCALING_FORMAT=MLN","Sort=A","Dates=H","DateFormat=P","Fill=—","Direction=H","UseDPDF=Y")</f>
        <v>-1046.883</v>
      </c>
      <c r="T38" s="19">
        <f>_xll.BDH("SRPT US Equity","ARD_TOT_CASHFLOWS_FROM_INVESTING","FQ1 2023","FQ1 2023","Currency=USD","Period=FQ","BEST_FPERIOD_OVERRIDE=FQ","FILING_STATUS=MR","SCALING_FORMAT=MLN","Sort=A","Dates=H","DateFormat=P","Fill=—","Direction=H","UseDPDF=Y")</f>
        <v>12.492000000000001</v>
      </c>
      <c r="U38" s="19">
        <f>_xll.BDH("SRPT US Equity","ARD_TOT_CASHFLOWS_FROM_INVESTING","FQ2 2023","FQ2 2023","Currency=USD","Period=FQ","BEST_FPERIOD_OVERRIDE=FQ","FILING_STATUS=MR","SCALING_FORMAT=MLN","Sort=A","Dates=H","DateFormat=P","Fill=—","Direction=H","UseDPDF=Y")</f>
        <v>109.126</v>
      </c>
      <c r="V38" s="19">
        <f>_xll.BDH("SRPT US Equity","ARD_TOT_CASHFLOWS_FROM_INVESTING","FQ3 2023","FQ3 2023","Currency=USD","Period=FQ","BEST_FPERIOD_OVERRIDE=FQ","FILING_STATUS=MR","SCALING_FORMAT=MLN","Sort=A","Dates=H","DateFormat=P","Fill=—","Direction=H","UseDPDF=Y")</f>
        <v>-101.44499999999999</v>
      </c>
      <c r="W38" s="19">
        <f>_xll.BDH("SRPT US Equity","ARD_TOT_CASHFLOWS_FROM_INVESTING","FQ4 2023","FQ4 2023","Currency=USD","Period=FQ","BEST_FPERIOD_OVERRIDE=FQ","FILING_STATUS=MR","SCALING_FORMAT=MLN","Sort=A","Dates=H","DateFormat=P","Fill=—","Direction=H","UseDPDF=Y")</f>
        <v>-165.803</v>
      </c>
      <c r="X38" s="19">
        <f>_xll.BDH("SRPT US Equity","ARD_TOT_CASHFLOWS_FROM_INVESTING","FQ1 2024","FQ1 2024","Currency=USD","Period=FQ","BEST_FPERIOD_OVERRIDE=FQ","FILING_STATUS=MR","SCALING_FORMAT=MLN","Sort=A","Dates=H","DateFormat=P","Fill=—","Direction=H","UseDPDF=Y")</f>
        <v>218.79599999999999</v>
      </c>
      <c r="Y38" s="19">
        <f>_xll.BDH("SRPT US Equity","ARD_TOT_CASHFLOWS_FROM_INVESTING","FQ2 2024","FQ2 2024","Currency=USD","Period=FQ","BEST_FPERIOD_OVERRIDE=FQ","FILING_STATUS=MR","SCALING_FORMAT=MLN","Sort=A","Dates=H","DateFormat=P","Fill=—","Direction=H","UseDPDF=Y")</f>
        <v>120.268</v>
      </c>
      <c r="Z38" s="19">
        <f>_xll.BDH("SRPT US Equity","ARD_TOT_CASHFLOWS_FROM_INVESTING","FQ3 2024","FQ3 2024","Currency=USD","Period=FQ","BEST_FPERIOD_OVERRIDE=FQ","FILING_STATUS=MR","SCALING_FORMAT=MLN","Sort=A","Dates=H","DateFormat=P","Fill=—","Direction=H","UseDPDF=Y")</f>
        <v>-8.5570000000000004</v>
      </c>
      <c r="AA38" s="19">
        <f>_xll.BDH("SRPT US Equity","ARD_TOT_CASHFLOWS_FROM_INVESTING","FQ4 2024","FQ4 2024","Currency=USD","Period=FQ","BEST_FPERIOD_OVERRIDE=FQ","FILING_STATUS=MR","SCALING_FORMAT=MLN","Sort=A","Dates=H","DateFormat=P","Fill=—","Direction=H","UseDPDF=Y")</f>
        <v>755.56100000000004</v>
      </c>
    </row>
    <row r="39" spans="1:27" x14ac:dyDescent="0.25">
      <c r="A39" s="10" t="s">
        <v>1326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25">
      <c r="A40" s="10" t="s">
        <v>1327</v>
      </c>
      <c r="B40" s="10" t="s">
        <v>1328</v>
      </c>
      <c r="C40" s="13" t="str">
        <f>_xll.BDH("SRPT US Equity","ARD_DECR_IN_ST_BORROW","FQ4 2018","FQ4 2018","Currency=USD","Period=FQ","BEST_FPERIOD_OVERRIDE=FQ","FILING_STATUS=MR","SCALING_FORMAT=MLN","Sort=A","Dates=H","DateFormat=P","Fill=—","Direction=H","UseDPDF=Y")</f>
        <v>—</v>
      </c>
      <c r="D40" s="13" t="str">
        <f>_xll.BDH("SRPT US Equity","ARD_DECR_IN_ST_BORROW","FQ1 2019","FQ1 2019","Currency=USD","Period=FQ","BEST_FPERIOD_OVERRIDE=FQ","FILING_STATUS=MR","SCALING_FORMAT=MLN","Sort=A","Dates=H","DateFormat=P","Fill=—","Direction=H","UseDPDF=Y")</f>
        <v>—</v>
      </c>
      <c r="E40" s="13" t="str">
        <f>_xll.BDH("SRPT US Equity","ARD_DECR_IN_ST_BORROW","FQ2 2019","FQ2 2019","Currency=USD","Period=FQ","BEST_FPERIOD_OVERRIDE=FQ","FILING_STATUS=MR","SCALING_FORMAT=MLN","Sort=A","Dates=H","DateFormat=P","Fill=—","Direction=H","UseDPDF=Y")</f>
        <v>—</v>
      </c>
      <c r="F40" s="13" t="str">
        <f>_xll.BDH("SRPT US Equity","ARD_DECR_IN_ST_BORROW","FQ3 2019","FQ3 2019","Currency=USD","Period=FQ","BEST_FPERIOD_OVERRIDE=FQ","FILING_STATUS=MR","SCALING_FORMAT=MLN","Sort=A","Dates=H","DateFormat=P","Fill=—","Direction=H","UseDPDF=Y")</f>
        <v>—</v>
      </c>
      <c r="G40" s="13" t="str">
        <f>_xll.BDH("SRPT US Equity","ARD_DECR_IN_ST_BORROW","FQ4 2019","FQ4 2019","Currency=USD","Period=FQ","BEST_FPERIOD_OVERRIDE=FQ","FILING_STATUS=MR","SCALING_FORMAT=MLN","Sort=A","Dates=H","DateFormat=P","Fill=—","Direction=H","UseDPDF=Y")</f>
        <v>—</v>
      </c>
      <c r="H40" s="13" t="str">
        <f>_xll.BDH("SRPT US Equity","ARD_DECR_IN_ST_BORROW","FQ1 2020","FQ1 2020","Currency=USD","Period=FQ","BEST_FPERIOD_OVERRIDE=FQ","FILING_STATUS=MR","SCALING_FORMAT=MLN","Sort=A","Dates=H","DateFormat=P","Fill=—","Direction=H","UseDPDF=Y")</f>
        <v>—</v>
      </c>
      <c r="I40" s="13" t="str">
        <f>_xll.BDH("SRPT US Equity","ARD_DECR_IN_ST_BORROW","FQ2 2020","FQ2 2020","Currency=USD","Period=FQ","BEST_FPERIOD_OVERRIDE=FQ","FILING_STATUS=MR","SCALING_FORMAT=MLN","Sort=A","Dates=H","DateFormat=P","Fill=—","Direction=H","UseDPDF=Y")</f>
        <v>—</v>
      </c>
      <c r="J40" s="13" t="str">
        <f>_xll.BDH("SRPT US Equity","ARD_DECR_IN_ST_BORROW","FQ3 2020","FQ3 2020","Currency=USD","Period=FQ","BEST_FPERIOD_OVERRIDE=FQ","FILING_STATUS=MR","SCALING_FORMAT=MLN","Sort=A","Dates=H","DateFormat=P","Fill=—","Direction=H","UseDPDF=Y")</f>
        <v>—</v>
      </c>
      <c r="K40" s="13" t="str">
        <f>_xll.BDH("SRPT US Equity","ARD_DECR_IN_ST_BORROW","FQ4 2020","FQ4 2020","Currency=USD","Period=FQ","BEST_FPERIOD_OVERRIDE=FQ","FILING_STATUS=MR","SCALING_FORMAT=MLN","Sort=A","Dates=H","DateFormat=P","Fill=—","Direction=H","UseDPDF=Y")</f>
        <v>—</v>
      </c>
      <c r="L40" s="13" t="str">
        <f>_xll.BDH("SRPT US Equity","ARD_DECR_IN_ST_BORROW","FQ1 2021","FQ1 2021","Currency=USD","Period=FQ","BEST_FPERIOD_OVERRIDE=FQ","FILING_STATUS=MR","SCALING_FORMAT=MLN","Sort=A","Dates=H","DateFormat=P","Fill=—","Direction=H","UseDPDF=Y")</f>
        <v>—</v>
      </c>
      <c r="M40" s="13" t="str">
        <f>_xll.BDH("SRPT US Equity","ARD_DECR_IN_ST_BORROW","FQ2 2021","FQ2 2021","Currency=USD","Period=FQ","BEST_FPERIOD_OVERRIDE=FQ","FILING_STATUS=MR","SCALING_FORMAT=MLN","Sort=A","Dates=H","DateFormat=P","Fill=—","Direction=H","UseDPDF=Y")</f>
        <v>—</v>
      </c>
      <c r="N40" s="13" t="str">
        <f>_xll.BDH("SRPT US Equity","ARD_DECR_IN_ST_BORROW","FQ3 2021","FQ3 2021","Currency=USD","Period=FQ","BEST_FPERIOD_OVERRIDE=FQ","FILING_STATUS=MR","SCALING_FORMAT=MLN","Sort=A","Dates=H","DateFormat=P","Fill=—","Direction=H","UseDPDF=Y")</f>
        <v>—</v>
      </c>
      <c r="O40" s="13" t="str">
        <f>_xll.BDH("SRPT US Equity","ARD_DECR_IN_ST_BORROW","FQ4 2021","FQ4 2021","Currency=USD","Period=FQ","BEST_FPERIOD_OVERRIDE=FQ","FILING_STATUS=MR","SCALING_FORMAT=MLN","Sort=A","Dates=H","DateFormat=P","Fill=—","Direction=H","UseDPDF=Y")</f>
        <v>—</v>
      </c>
      <c r="P40" s="13" t="str">
        <f>_xll.BDH("SRPT US Equity","ARD_DECR_IN_ST_BORROW","FQ1 2022","FQ1 2022","Currency=USD","Period=FQ","BEST_FPERIOD_OVERRIDE=FQ","FILING_STATUS=MR","SCALING_FORMAT=MLN","Sort=A","Dates=H","DateFormat=P","Fill=—","Direction=H","UseDPDF=Y")</f>
        <v>—</v>
      </c>
      <c r="Q40" s="13" t="str">
        <f>_xll.BDH("SRPT US Equity","ARD_DECR_IN_ST_BORROW","FQ2 2022","FQ2 2022","Currency=USD","Period=FQ","BEST_FPERIOD_OVERRIDE=FQ","FILING_STATUS=MR","SCALING_FORMAT=MLN","Sort=A","Dates=H","DateFormat=P","Fill=—","Direction=H","UseDPDF=Y")</f>
        <v>—</v>
      </c>
      <c r="R40" s="13">
        <f>_xll.BDH("SRPT US Equity","ARD_DECR_IN_ST_BORROW","FQ3 2022","FQ3 2022","Currency=USD","Period=FQ","BEST_FPERIOD_OVERRIDE=FQ","FILING_STATUS=MR","SCALING_FORMAT=MLN","Sort=A","Dates=H","DateFormat=P","Fill=—","Direction=H","UseDPDF=Y")</f>
        <v>-25.364000000000001</v>
      </c>
      <c r="S40" s="13">
        <f>_xll.BDH("SRPT US Equity","ARD_DECR_IN_ST_BORROW","FQ4 2022","FQ4 2022","Currency=USD","Period=FQ","BEST_FPERIOD_OVERRIDE=FQ","FILING_STATUS=MR","SCALING_FORMAT=MLN","Sort=A","Dates=H","DateFormat=P","Fill=—","Direction=H","UseDPDF=Y")</f>
        <v>-25.364000000000001</v>
      </c>
      <c r="T40" s="13" t="str">
        <f>_xll.BDH("SRPT US Equity","ARD_DECR_IN_ST_BORROW","FQ1 2023","FQ1 2023","Currency=USD","Period=FQ","BEST_FPERIOD_OVERRIDE=FQ","FILING_STATUS=MR","SCALING_FORMAT=MLN","Sort=A","Dates=H","DateFormat=P","Fill=—","Direction=H","UseDPDF=Y")</f>
        <v>—</v>
      </c>
      <c r="U40" s="13" t="str">
        <f>_xll.BDH("SRPT US Equity","ARD_DECR_IN_ST_BORROW","FQ2 2023","FQ2 2023","Currency=USD","Period=FQ","BEST_FPERIOD_OVERRIDE=FQ","FILING_STATUS=MR","SCALING_FORMAT=MLN","Sort=A","Dates=H","DateFormat=P","Fill=—","Direction=H","UseDPDF=Y")</f>
        <v>—</v>
      </c>
      <c r="V40" s="13">
        <f>_xll.BDH("SRPT US Equity","ARD_DECR_IN_ST_BORROW","FQ3 2023","FQ3 2023","Currency=USD","Period=FQ","BEST_FPERIOD_OVERRIDE=FQ","FILING_STATUS=MR","SCALING_FORMAT=MLN","Sort=A","Dates=H","DateFormat=P","Fill=—","Direction=H","UseDPDF=Y")</f>
        <v>0</v>
      </c>
      <c r="W40" s="13">
        <f>_xll.BDH("SRPT US Equity","ARD_DECR_IN_ST_BORROW","FQ4 2023","FQ4 2023","Currency=USD","Period=FQ","BEST_FPERIOD_OVERRIDE=FQ","FILING_STATUS=MR","SCALING_FORMAT=MLN","Sort=A","Dates=H","DateFormat=P","Fill=—","Direction=H","UseDPDF=Y")</f>
        <v>0</v>
      </c>
      <c r="X40" s="13" t="str">
        <f>_xll.BDH("SRPT US Equity","ARD_DECR_IN_ST_BORROW","FQ1 2024","FQ1 2024","Currency=USD","Period=FQ","BEST_FPERIOD_OVERRIDE=FQ","FILING_STATUS=MR","SCALING_FORMAT=MLN","Sort=A","Dates=H","DateFormat=P","Fill=—","Direction=H","UseDPDF=Y")</f>
        <v>—</v>
      </c>
      <c r="Y40" s="13" t="str">
        <f>_xll.BDH("SRPT US Equity","ARD_DECR_IN_ST_BORROW","FQ2 2024","FQ2 2024","Currency=USD","Period=FQ","BEST_FPERIOD_OVERRIDE=FQ","FILING_STATUS=MR","SCALING_FORMAT=MLN","Sort=A","Dates=H","DateFormat=P","Fill=—","Direction=H","UseDPDF=Y")</f>
        <v>—</v>
      </c>
      <c r="Z40" s="13" t="str">
        <f>_xll.BDH("SRPT US Equity","ARD_DECR_IN_ST_BORROW","FQ3 2024","FQ3 2024","Currency=USD","Period=FQ","BEST_FPERIOD_OVERRIDE=FQ","FILING_STATUS=MR","SCALING_FORMAT=MLN","Sort=A","Dates=H","DateFormat=P","Fill=—","Direction=H","UseDPDF=Y")</f>
        <v>—</v>
      </c>
      <c r="AA40" s="13">
        <f>_xll.BDH("SRPT US Equity","ARD_DECR_IN_ST_BORROW","FQ4 2024","FQ4 2024","Currency=USD","Period=FQ","BEST_FPERIOD_OVERRIDE=FQ","FILING_STATUS=MR","SCALING_FORMAT=MLN","Sort=A","Dates=H","DateFormat=P","Fill=—","Direction=H","UseDPDF=Y")</f>
        <v>0</v>
      </c>
    </row>
    <row r="41" spans="1:27" x14ac:dyDescent="0.25">
      <c r="A41" s="10" t="s">
        <v>1329</v>
      </c>
      <c r="B41" s="10" t="s">
        <v>1330</v>
      </c>
      <c r="C41" s="13">
        <f>_xll.BDH("SRPT US Equity","ARD_INCR_IN_LT_BORROW","FQ4 2018","FQ4 2018","Currency=USD","Period=FQ","BEST_FPERIOD_OVERRIDE=FQ","FILING_STATUS=MR","SCALING_FORMAT=MLN","Sort=A","Dates=H","DateFormat=P","Fill=—","Direction=H","UseDPDF=Y")</f>
        <v>235.87200000000001</v>
      </c>
      <c r="D41" s="13">
        <f>_xll.BDH("SRPT US Equity","ARD_INCR_IN_LT_BORROW","FQ1 2019","FQ1 2019","Currency=USD","Period=FQ","BEST_FPERIOD_OVERRIDE=FQ","FILING_STATUS=MR","SCALING_FORMAT=MLN","Sort=A","Dates=H","DateFormat=P","Fill=—","Direction=H","UseDPDF=Y")</f>
        <v>0</v>
      </c>
      <c r="E41" s="13">
        <f>_xll.BDH("SRPT US Equity","ARD_INCR_IN_LT_BORROW","FQ2 2019","FQ2 2019","Currency=USD","Period=FQ","BEST_FPERIOD_OVERRIDE=FQ","FILING_STATUS=MR","SCALING_FORMAT=MLN","Sort=A","Dates=H","DateFormat=P","Fill=—","Direction=H","UseDPDF=Y")</f>
        <v>0</v>
      </c>
      <c r="F41" s="13">
        <f>_xll.BDH("SRPT US Equity","ARD_INCR_IN_LT_BORROW","FQ3 2019","FQ3 2019","Currency=USD","Period=FQ","BEST_FPERIOD_OVERRIDE=FQ","FILING_STATUS=MR","SCALING_FORMAT=MLN","Sort=A","Dates=H","DateFormat=P","Fill=—","Direction=H","UseDPDF=Y")</f>
        <v>0</v>
      </c>
      <c r="G41" s="13">
        <f>_xll.BDH("SRPT US Equity","ARD_INCR_IN_LT_BORROW","FQ4 2019","FQ4 2019","Currency=USD","Period=FQ","BEST_FPERIOD_OVERRIDE=FQ","FILING_STATUS=MR","SCALING_FORMAT=MLN","Sort=A","Dates=H","DateFormat=P","Fill=—","Direction=H","UseDPDF=Y")</f>
        <v>245.625</v>
      </c>
      <c r="H41" s="13" t="str">
        <f>_xll.BDH("SRPT US Equity","ARD_INCR_IN_LT_BORROW","FQ1 2020","FQ1 2020","Currency=USD","Period=FQ","BEST_FPERIOD_OVERRIDE=FQ","FILING_STATUS=MR","SCALING_FORMAT=MLN","Sort=A","Dates=H","DateFormat=P","Fill=—","Direction=H","UseDPDF=Y")</f>
        <v>—</v>
      </c>
      <c r="I41" s="13" t="str">
        <f>_xll.BDH("SRPT US Equity","ARD_INCR_IN_LT_BORROW","FQ2 2020","FQ2 2020","Currency=USD","Period=FQ","BEST_FPERIOD_OVERRIDE=FQ","FILING_STATUS=MR","SCALING_FORMAT=MLN","Sort=A","Dates=H","DateFormat=P","Fill=—","Direction=H","UseDPDF=Y")</f>
        <v>—</v>
      </c>
      <c r="J41" s="13">
        <f>_xll.BDH("SRPT US Equity","ARD_INCR_IN_LT_BORROW","FQ3 2020","FQ3 2020","Currency=USD","Period=FQ","BEST_FPERIOD_OVERRIDE=FQ","FILING_STATUS=MR","SCALING_FORMAT=MLN","Sort=A","Dates=H","DateFormat=P","Fill=—","Direction=H","UseDPDF=Y")</f>
        <v>312.053</v>
      </c>
      <c r="K41" s="13">
        <f>_xll.BDH("SRPT US Equity","ARD_INCR_IN_LT_BORROW","FQ4 2020","FQ4 2020","Currency=USD","Period=FQ","BEST_FPERIOD_OVERRIDE=FQ","FILING_STATUS=MR","SCALING_FORMAT=MLN","Sort=A","Dates=H","DateFormat=P","Fill=—","Direction=H","UseDPDF=Y")</f>
        <v>291.14999999999998</v>
      </c>
      <c r="L41" s="13" t="str">
        <f>_xll.BDH("SRPT US Equity","ARD_INCR_IN_LT_BORROW","FQ1 2021","FQ1 2021","Currency=USD","Period=FQ","BEST_FPERIOD_OVERRIDE=FQ","FILING_STATUS=MR","SCALING_FORMAT=MLN","Sort=A","Dates=H","DateFormat=P","Fill=—","Direction=H","UseDPDF=Y")</f>
        <v>—</v>
      </c>
      <c r="M41" s="13" t="str">
        <f>_xll.BDH("SRPT US Equity","ARD_INCR_IN_LT_BORROW","FQ2 2021","FQ2 2021","Currency=USD","Period=FQ","BEST_FPERIOD_OVERRIDE=FQ","FILING_STATUS=MR","SCALING_FORMAT=MLN","Sort=A","Dates=H","DateFormat=P","Fill=—","Direction=H","UseDPDF=Y")</f>
        <v>—</v>
      </c>
      <c r="N41" s="13" t="str">
        <f>_xll.BDH("SRPT US Equity","ARD_INCR_IN_LT_BORROW","FQ3 2021","FQ3 2021","Currency=USD","Period=FQ","BEST_FPERIOD_OVERRIDE=FQ","FILING_STATUS=MR","SCALING_FORMAT=MLN","Sort=A","Dates=H","DateFormat=P","Fill=—","Direction=H","UseDPDF=Y")</f>
        <v>—</v>
      </c>
      <c r="O41" s="13">
        <f>_xll.BDH("SRPT US Equity","ARD_INCR_IN_LT_BORROW","FQ4 2021","FQ4 2021","Currency=USD","Period=FQ","BEST_FPERIOD_OVERRIDE=FQ","FILING_STATUS=MR","SCALING_FORMAT=MLN","Sort=A","Dates=H","DateFormat=P","Fill=—","Direction=H","UseDPDF=Y")</f>
        <v>0</v>
      </c>
      <c r="P41" s="13" t="str">
        <f>_xll.BDH("SRPT US Equity","ARD_INCR_IN_LT_BORROW","FQ1 2022","FQ1 2022","Currency=USD","Period=FQ","BEST_FPERIOD_OVERRIDE=FQ","FILING_STATUS=MR","SCALING_FORMAT=MLN","Sort=A","Dates=H","DateFormat=P","Fill=—","Direction=H","UseDPDF=Y")</f>
        <v>—</v>
      </c>
      <c r="Q41" s="13" t="str">
        <f>_xll.BDH("SRPT US Equity","ARD_INCR_IN_LT_BORROW","FQ2 2022","FQ2 2022","Currency=USD","Period=FQ","BEST_FPERIOD_OVERRIDE=FQ","FILING_STATUS=MR","SCALING_FORMAT=MLN","Sort=A","Dates=H","DateFormat=P","Fill=—","Direction=H","UseDPDF=Y")</f>
        <v>—</v>
      </c>
      <c r="R41" s="13">
        <f>_xll.BDH("SRPT US Equity","ARD_INCR_IN_LT_BORROW","FQ3 2022","FQ3 2022","Currency=USD","Period=FQ","BEST_FPERIOD_OVERRIDE=FQ","FILING_STATUS=MR","SCALING_FORMAT=MLN","Sort=A","Dates=H","DateFormat=P","Fill=—","Direction=H","UseDPDF=Y")</f>
        <v>1127.4000000000001</v>
      </c>
      <c r="S41" s="13">
        <f>_xll.BDH("SRPT US Equity","ARD_INCR_IN_LT_BORROW","FQ4 2022","FQ4 2022","Currency=USD","Period=FQ","BEST_FPERIOD_OVERRIDE=FQ","FILING_STATUS=MR","SCALING_FORMAT=MLN","Sort=A","Dates=H","DateFormat=P","Fill=—","Direction=H","UseDPDF=Y")</f>
        <v>1127.4000000000001</v>
      </c>
      <c r="T41" s="13" t="str">
        <f>_xll.BDH("SRPT US Equity","ARD_INCR_IN_LT_BORROW","FQ1 2023","FQ1 2023","Currency=USD","Period=FQ","BEST_FPERIOD_OVERRIDE=FQ","FILING_STATUS=MR","SCALING_FORMAT=MLN","Sort=A","Dates=H","DateFormat=P","Fill=—","Direction=H","UseDPDF=Y")</f>
        <v>—</v>
      </c>
      <c r="U41" s="13" t="str">
        <f>_xll.BDH("SRPT US Equity","ARD_INCR_IN_LT_BORROW","FQ2 2023","FQ2 2023","Currency=USD","Period=FQ","BEST_FPERIOD_OVERRIDE=FQ","FILING_STATUS=MR","SCALING_FORMAT=MLN","Sort=A","Dates=H","DateFormat=P","Fill=—","Direction=H","UseDPDF=Y")</f>
        <v>—</v>
      </c>
      <c r="V41" s="13">
        <f>_xll.BDH("SRPT US Equity","ARD_INCR_IN_LT_BORROW","FQ3 2023","FQ3 2023","Currency=USD","Period=FQ","BEST_FPERIOD_OVERRIDE=FQ","FILING_STATUS=MR","SCALING_FORMAT=MLN","Sort=A","Dates=H","DateFormat=P","Fill=—","Direction=H","UseDPDF=Y")</f>
        <v>0</v>
      </c>
      <c r="W41" s="13">
        <f>_xll.BDH("SRPT US Equity","ARD_INCR_IN_LT_BORROW","FQ4 2023","FQ4 2023","Currency=USD","Period=FQ","BEST_FPERIOD_OVERRIDE=FQ","FILING_STATUS=MR","SCALING_FORMAT=MLN","Sort=A","Dates=H","DateFormat=P","Fill=—","Direction=H","UseDPDF=Y")</f>
        <v>0</v>
      </c>
      <c r="X41" s="13" t="str">
        <f>_xll.BDH("SRPT US Equity","ARD_INCR_IN_LT_BORROW","FQ1 2024","FQ1 2024","Currency=USD","Period=FQ","BEST_FPERIOD_OVERRIDE=FQ","FILING_STATUS=MR","SCALING_FORMAT=MLN","Sort=A","Dates=H","DateFormat=P","Fill=—","Direction=H","UseDPDF=Y")</f>
        <v>—</v>
      </c>
      <c r="Y41" s="13" t="str">
        <f>_xll.BDH("SRPT US Equity","ARD_INCR_IN_LT_BORROW","FQ2 2024","FQ2 2024","Currency=USD","Period=FQ","BEST_FPERIOD_OVERRIDE=FQ","FILING_STATUS=MR","SCALING_FORMAT=MLN","Sort=A","Dates=H","DateFormat=P","Fill=—","Direction=H","UseDPDF=Y")</f>
        <v>—</v>
      </c>
      <c r="Z41" s="13" t="str">
        <f>_xll.BDH("SRPT US Equity","ARD_INCR_IN_LT_BORROW","FQ3 2024","FQ3 2024","Currency=USD","Period=FQ","BEST_FPERIOD_OVERRIDE=FQ","FILING_STATUS=MR","SCALING_FORMAT=MLN","Sort=A","Dates=H","DateFormat=P","Fill=—","Direction=H","UseDPDF=Y")</f>
        <v>—</v>
      </c>
      <c r="AA41" s="13">
        <f>_xll.BDH("SRPT US Equity","ARD_INCR_IN_LT_BORROW","FQ4 2024","FQ4 2024","Currency=USD","Period=FQ","BEST_FPERIOD_OVERRIDE=FQ","FILING_STATUS=MR","SCALING_FORMAT=MLN","Sort=A","Dates=H","DateFormat=P","Fill=—","Direction=H","UseDPDF=Y")</f>
        <v>0</v>
      </c>
    </row>
    <row r="42" spans="1:27" x14ac:dyDescent="0.25">
      <c r="A42" s="10" t="s">
        <v>1331</v>
      </c>
      <c r="B42" s="10" t="s">
        <v>1332</v>
      </c>
      <c r="C42" s="13">
        <f>_xll.BDH("SRPT US Equity","ARD_DECR_IN_LT_BORROW","FQ4 2018","FQ4 2018","Currency=USD","Period=FQ","BEST_FPERIOD_OVERRIDE=FQ","FILING_STATUS=MR","SCALING_FORMAT=MLN","Sort=A","Dates=H","DateFormat=P","Fill=—","Direction=H","UseDPDF=Y")</f>
        <v>-237.21899999999999</v>
      </c>
      <c r="D42" s="13">
        <f>_xll.BDH("SRPT US Equity","ARD_DECR_IN_LT_BORROW","FQ1 2019","FQ1 2019","Currency=USD","Period=FQ","BEST_FPERIOD_OVERRIDE=FQ","FILING_STATUS=MR","SCALING_FORMAT=MLN","Sort=A","Dates=H","DateFormat=P","Fill=—","Direction=H","UseDPDF=Y")</f>
        <v>0</v>
      </c>
      <c r="E42" s="13">
        <f>_xll.BDH("SRPT US Equity","ARD_DECR_IN_LT_BORROW","FQ2 2019","FQ2 2019","Currency=USD","Period=FQ","BEST_FPERIOD_OVERRIDE=FQ","FILING_STATUS=MR","SCALING_FORMAT=MLN","Sort=A","Dates=H","DateFormat=P","Fill=—","Direction=H","UseDPDF=Y")</f>
        <v>0</v>
      </c>
      <c r="F42" s="13">
        <f>_xll.BDH("SRPT US Equity","ARD_DECR_IN_LT_BORROW","FQ3 2019","FQ3 2019","Currency=USD","Period=FQ","BEST_FPERIOD_OVERRIDE=FQ","FILING_STATUS=MR","SCALING_FORMAT=MLN","Sort=A","Dates=H","DateFormat=P","Fill=—","Direction=H","UseDPDF=Y")</f>
        <v>0</v>
      </c>
      <c r="G42" s="13">
        <f>_xll.BDH("SRPT US Equity","ARD_DECR_IN_LT_BORROW","FQ4 2019","FQ4 2019","Currency=USD","Period=FQ","BEST_FPERIOD_OVERRIDE=FQ","FILING_STATUS=MR","SCALING_FORMAT=MLN","Sort=A","Dates=H","DateFormat=P","Fill=—","Direction=H","UseDPDF=Y")</f>
        <v>0</v>
      </c>
      <c r="H42" s="13" t="str">
        <f>_xll.BDH("SRPT US Equity","ARD_DECR_IN_LT_BORROW","FQ1 2020","FQ1 2020","Currency=USD","Period=FQ","BEST_FPERIOD_OVERRIDE=FQ","FILING_STATUS=MR","SCALING_FORMAT=MLN","Sort=A","Dates=H","DateFormat=P","Fill=—","Direction=H","UseDPDF=Y")</f>
        <v>—</v>
      </c>
      <c r="I42" s="13" t="str">
        <f>_xll.BDH("SRPT US Equity","ARD_DECR_IN_LT_BORROW","FQ2 2020","FQ2 2020","Currency=USD","Period=FQ","BEST_FPERIOD_OVERRIDE=FQ","FILING_STATUS=MR","SCALING_FORMAT=MLN","Sort=A","Dates=H","DateFormat=P","Fill=—","Direction=H","UseDPDF=Y")</f>
        <v>—</v>
      </c>
      <c r="J42" s="13" t="str">
        <f>_xll.BDH("SRPT US Equity","ARD_DECR_IN_LT_BORROW","FQ3 2020","FQ3 2020","Currency=USD","Period=FQ","BEST_FPERIOD_OVERRIDE=FQ","FILING_STATUS=MR","SCALING_FORMAT=MLN","Sort=A","Dates=H","DateFormat=P","Fill=—","Direction=H","UseDPDF=Y")</f>
        <v>—</v>
      </c>
      <c r="K42" s="13">
        <f>_xll.BDH("SRPT US Equity","ARD_DECR_IN_LT_BORROW","FQ4 2020","FQ4 2020","Currency=USD","Period=FQ","BEST_FPERIOD_OVERRIDE=FQ","FILING_STATUS=MR","SCALING_FORMAT=MLN","Sort=A","Dates=H","DateFormat=P","Fill=—","Direction=H","UseDPDF=Y")</f>
        <v>0</v>
      </c>
      <c r="L42" s="13" t="str">
        <f>_xll.BDH("SRPT US Equity","ARD_DECR_IN_LT_BORROW","FQ1 2021","FQ1 2021","Currency=USD","Period=FQ","BEST_FPERIOD_OVERRIDE=FQ","FILING_STATUS=MR","SCALING_FORMAT=MLN","Sort=A","Dates=H","DateFormat=P","Fill=—","Direction=H","UseDPDF=Y")</f>
        <v>—</v>
      </c>
      <c r="M42" s="13" t="str">
        <f>_xll.BDH("SRPT US Equity","ARD_DECR_IN_LT_BORROW","FQ2 2021","FQ2 2021","Currency=USD","Period=FQ","BEST_FPERIOD_OVERRIDE=FQ","FILING_STATUS=MR","SCALING_FORMAT=MLN","Sort=A","Dates=H","DateFormat=P","Fill=—","Direction=H","UseDPDF=Y")</f>
        <v>—</v>
      </c>
      <c r="N42" s="13" t="str">
        <f>_xll.BDH("SRPT US Equity","ARD_DECR_IN_LT_BORROW","FQ3 2021","FQ3 2021","Currency=USD","Period=FQ","BEST_FPERIOD_OVERRIDE=FQ","FILING_STATUS=MR","SCALING_FORMAT=MLN","Sort=A","Dates=H","DateFormat=P","Fill=—","Direction=H","UseDPDF=Y")</f>
        <v>—</v>
      </c>
      <c r="O42" s="13" t="str">
        <f>_xll.BDH("SRPT US Equity","ARD_DECR_IN_LT_BORROW","FQ4 2021","FQ4 2021","Currency=USD","Period=FQ","BEST_FPERIOD_OVERRIDE=FQ","FILING_STATUS=MR","SCALING_FORMAT=MLN","Sort=A","Dates=H","DateFormat=P","Fill=—","Direction=H","UseDPDF=Y")</f>
        <v>—</v>
      </c>
      <c r="P42" s="13" t="str">
        <f>_xll.BDH("SRPT US Equity","ARD_DECR_IN_LT_BORROW","FQ1 2022","FQ1 2022","Currency=USD","Period=FQ","BEST_FPERIOD_OVERRIDE=FQ","FILING_STATUS=MR","SCALING_FORMAT=MLN","Sort=A","Dates=H","DateFormat=P","Fill=—","Direction=H","UseDPDF=Y")</f>
        <v>—</v>
      </c>
      <c r="Q42" s="13" t="str">
        <f>_xll.BDH("SRPT US Equity","ARD_DECR_IN_LT_BORROW","FQ2 2022","FQ2 2022","Currency=USD","Period=FQ","BEST_FPERIOD_OVERRIDE=FQ","FILING_STATUS=MR","SCALING_FORMAT=MLN","Sort=A","Dates=H","DateFormat=P","Fill=—","Direction=H","UseDPDF=Y")</f>
        <v>—</v>
      </c>
      <c r="R42" s="13">
        <f>_xll.BDH("SRPT US Equity","ARD_DECR_IN_LT_BORROW","FQ3 2022","FQ3 2022","Currency=USD","Period=FQ","BEST_FPERIOD_OVERRIDE=FQ","FILING_STATUS=MR","SCALING_FORMAT=MLN","Sort=A","Dates=H","DateFormat=P","Fill=—","Direction=H","UseDPDF=Y")</f>
        <v>-797.86800000000005</v>
      </c>
      <c r="S42" s="13">
        <f>_xll.BDH("SRPT US Equity","ARD_DECR_IN_LT_BORROW","FQ4 2022","FQ4 2022","Currency=USD","Period=FQ","BEST_FPERIOD_OVERRIDE=FQ","FILING_STATUS=MR","SCALING_FORMAT=MLN","Sort=A","Dates=H","DateFormat=P","Fill=—","Direction=H","UseDPDF=Y")</f>
        <v>-797.86800000000005</v>
      </c>
      <c r="T42" s="13">
        <f>_xll.BDH("SRPT US Equity","ARD_DECR_IN_LT_BORROW","FQ1 2023","FQ1 2023","Currency=USD","Period=FQ","BEST_FPERIOD_OVERRIDE=FQ","FILING_STATUS=MR","SCALING_FORMAT=MLN","Sort=A","Dates=H","DateFormat=P","Fill=—","Direction=H","UseDPDF=Y")</f>
        <v>-6.8869999999999996</v>
      </c>
      <c r="U42" s="13">
        <f>_xll.BDH("SRPT US Equity","ARD_DECR_IN_LT_BORROW","FQ2 2023","FQ2 2023","Currency=USD","Period=FQ","BEST_FPERIOD_OVERRIDE=FQ","FILING_STATUS=MR","SCALING_FORMAT=MLN","Sort=A","Dates=H","DateFormat=P","Fill=—","Direction=H","UseDPDF=Y")</f>
        <v>-6.8869999999999996</v>
      </c>
      <c r="V42" s="13">
        <f>_xll.BDH("SRPT US Equity","ARD_DECR_IN_LT_BORROW","FQ3 2023","FQ3 2023","Currency=USD","Period=FQ","BEST_FPERIOD_OVERRIDE=FQ","FILING_STATUS=MR","SCALING_FORMAT=MLN","Sort=A","Dates=H","DateFormat=P","Fill=—","Direction=H","UseDPDF=Y")</f>
        <v>0</v>
      </c>
      <c r="W42" s="13">
        <f>_xll.BDH("SRPT US Equity","ARD_DECR_IN_LT_BORROW","FQ4 2023","FQ4 2023","Currency=USD","Period=FQ","BEST_FPERIOD_OVERRIDE=FQ","FILING_STATUS=MR","SCALING_FORMAT=MLN","Sort=A","Dates=H","DateFormat=P","Fill=—","Direction=H","UseDPDF=Y")</f>
        <v>0</v>
      </c>
      <c r="X42" s="13">
        <f>_xll.BDH("SRPT US Equity","ARD_DECR_IN_LT_BORROW","FQ1 2024","FQ1 2024","Currency=USD","Period=FQ","BEST_FPERIOD_OVERRIDE=FQ","FILING_STATUS=MR","SCALING_FORMAT=MLN","Sort=A","Dates=H","DateFormat=P","Fill=—","Direction=H","UseDPDF=Y")</f>
        <v>0</v>
      </c>
      <c r="Y42" s="13">
        <f>_xll.BDH("SRPT US Equity","ARD_DECR_IN_LT_BORROW","FQ2 2024","FQ2 2024","Currency=USD","Period=FQ","BEST_FPERIOD_OVERRIDE=FQ","FILING_STATUS=MR","SCALING_FORMAT=MLN","Sort=A","Dates=H","DateFormat=P","Fill=—","Direction=H","UseDPDF=Y")</f>
        <v>0</v>
      </c>
      <c r="Z42" s="13">
        <f>_xll.BDH("SRPT US Equity","ARD_DECR_IN_LT_BORROW","FQ3 2024","FQ3 2024","Currency=USD","Period=FQ","BEST_FPERIOD_OVERRIDE=FQ","FILING_STATUS=MR","SCALING_FORMAT=MLN","Sort=A","Dates=H","DateFormat=P","Fill=—","Direction=H","UseDPDF=Y")</f>
        <v>0</v>
      </c>
      <c r="AA42" s="13" t="str">
        <f>_xll.BDH("SRPT US Equity","ARD_DECR_IN_LT_BORROW","FQ4 2024","FQ4 2024","Currency=USD","Period=FQ","BEST_FPERIOD_OVERRIDE=FQ","FILING_STATUS=MR","SCALING_FORMAT=MLN","Sort=A","Dates=H","DateFormat=P","Fill=—","Direction=H","UseDPDF=Y")</f>
        <v>—</v>
      </c>
    </row>
    <row r="43" spans="1:27" x14ac:dyDescent="0.25">
      <c r="A43" s="10" t="s">
        <v>1333</v>
      </c>
      <c r="B43" s="10" t="s">
        <v>1334</v>
      </c>
      <c r="C43" s="13">
        <f>_xll.BDH("SRPT US Equity","ARD_ISSUANCE_OF_COMMON_STOCK","FQ4 2018","FQ4 2018","Currency=USD","Period=FQ","BEST_FPERIOD_OVERRIDE=FQ","FILING_STATUS=MR","SCALING_FORMAT=MLN","Sort=A","Dates=H","DateFormat=P","Fill=—","Direction=H","UseDPDF=Y")</f>
        <v>513.40899999999999</v>
      </c>
      <c r="D43" s="13">
        <f>_xll.BDH("SRPT US Equity","ARD_ISSUANCE_OF_COMMON_STOCK","FQ1 2019","FQ1 2019","Currency=USD","Period=FQ","BEST_FPERIOD_OVERRIDE=FQ","FILING_STATUS=MR","SCALING_FORMAT=MLN","Sort=A","Dates=H","DateFormat=P","Fill=—","Direction=H","UseDPDF=Y")</f>
        <v>365.26400000000001</v>
      </c>
      <c r="E43" s="13">
        <f>_xll.BDH("SRPT US Equity","ARD_ISSUANCE_OF_COMMON_STOCK","FQ2 2019","FQ2 2019","Currency=USD","Period=FQ","BEST_FPERIOD_OVERRIDE=FQ","FILING_STATUS=MR","SCALING_FORMAT=MLN","Sort=A","Dates=H","DateFormat=P","Fill=—","Direction=H","UseDPDF=Y")</f>
        <v>365.35300000000001</v>
      </c>
      <c r="F43" s="13">
        <f>_xll.BDH("SRPT US Equity","ARD_ISSUANCE_OF_COMMON_STOCK","FQ3 2019","FQ3 2019","Currency=USD","Period=FQ","BEST_FPERIOD_OVERRIDE=FQ","FILING_STATUS=MR","SCALING_FORMAT=MLN","Sort=A","Dates=H","DateFormat=P","Fill=—","Direction=H","UseDPDF=Y")</f>
        <v>365.35300000000001</v>
      </c>
      <c r="G43" s="13">
        <f>_xll.BDH("SRPT US Equity","ARD_ISSUANCE_OF_COMMON_STOCK","FQ4 2019","FQ4 2019","Currency=USD","Period=FQ","BEST_FPERIOD_OVERRIDE=FQ","FILING_STATUS=MR","SCALING_FORMAT=MLN","Sort=A","Dates=H","DateFormat=P","Fill=—","Direction=H","UseDPDF=Y")</f>
        <v>365.35399999999998</v>
      </c>
      <c r="H43" s="13">
        <f>_xll.BDH("SRPT US Equity","ARD_ISSUANCE_OF_COMMON_STOCK","FQ1 2020","FQ1 2020","Currency=USD","Period=FQ","BEST_FPERIOD_OVERRIDE=FQ","FILING_STATUS=MR","SCALING_FORMAT=MLN","Sort=A","Dates=H","DateFormat=P","Fill=—","Direction=H","UseDPDF=Y")</f>
        <v>316.33800000000002</v>
      </c>
      <c r="I43" s="13">
        <f>_xll.BDH("SRPT US Equity","ARD_ISSUANCE_OF_COMMON_STOCK","FQ2 2020","FQ2 2020","Currency=USD","Period=FQ","BEST_FPERIOD_OVERRIDE=FQ","FILING_STATUS=MR","SCALING_FORMAT=MLN","Sort=A","Dates=H","DateFormat=P","Fill=—","Direction=H","UseDPDF=Y")</f>
        <v>312.053</v>
      </c>
      <c r="J43" s="13">
        <f>_xll.BDH("SRPT US Equity","ARD_ISSUANCE_OF_COMMON_STOCK","FQ3 2020","FQ3 2020","Currency=USD","Period=FQ","BEST_FPERIOD_OVERRIDE=FQ","FILING_STATUS=MR","SCALING_FORMAT=MLN","Sort=A","Dates=H","DateFormat=P","Fill=—","Direction=H","UseDPDF=Y")</f>
        <v>0</v>
      </c>
      <c r="K43" s="13">
        <f>_xll.BDH("SRPT US Equity","ARD_ISSUANCE_OF_COMMON_STOCK","FQ4 2020","FQ4 2020","Currency=USD","Period=FQ","BEST_FPERIOD_OVERRIDE=FQ","FILING_STATUS=MR","SCALING_FORMAT=MLN","Sort=A","Dates=H","DateFormat=P","Fill=—","Direction=H","UseDPDF=Y")</f>
        <v>312.053</v>
      </c>
      <c r="L43" s="13">
        <f>_xll.BDH("SRPT US Equity","ARD_ISSUANCE_OF_COMMON_STOCK","FQ1 2021","FQ1 2021","Currency=USD","Period=FQ","BEST_FPERIOD_OVERRIDE=FQ","FILING_STATUS=MR","SCALING_FORMAT=MLN","Sort=A","Dates=H","DateFormat=P","Fill=—","Direction=H","UseDPDF=Y")</f>
        <v>0</v>
      </c>
      <c r="M43" s="13">
        <f>_xll.BDH("SRPT US Equity","ARD_ISSUANCE_OF_COMMON_STOCK","FQ2 2021","FQ2 2021","Currency=USD","Period=FQ","BEST_FPERIOD_OVERRIDE=FQ","FILING_STATUS=MR","SCALING_FORMAT=MLN","Sort=A","Dates=H","DateFormat=P","Fill=—","Direction=H","UseDPDF=Y")</f>
        <v>0</v>
      </c>
      <c r="N43" s="13" t="str">
        <f>_xll.BDH("SRPT US Equity","ARD_ISSUANCE_OF_COMMON_STOCK","FQ3 2021","FQ3 2021","Currency=USD","Period=FQ","BEST_FPERIOD_OVERRIDE=FQ","FILING_STATUS=MR","SCALING_FORMAT=MLN","Sort=A","Dates=H","DateFormat=P","Fill=—","Direction=H","UseDPDF=Y")</f>
        <v>—</v>
      </c>
      <c r="O43" s="13">
        <f>_xll.BDH("SRPT US Equity","ARD_ISSUANCE_OF_COMMON_STOCK","FQ4 2021","FQ4 2021","Currency=USD","Period=FQ","BEST_FPERIOD_OVERRIDE=FQ","FILING_STATUS=MR","SCALING_FORMAT=MLN","Sort=A","Dates=H","DateFormat=P","Fill=—","Direction=H","UseDPDF=Y")</f>
        <v>548.53200000000004</v>
      </c>
      <c r="P43" s="13" t="str">
        <f>_xll.BDH("SRPT US Equity","ARD_ISSUANCE_OF_COMMON_STOCK","FQ1 2022","FQ1 2022","Currency=USD","Period=FQ","BEST_FPERIOD_OVERRIDE=FQ","FILING_STATUS=MR","SCALING_FORMAT=MLN","Sort=A","Dates=H","DateFormat=P","Fill=—","Direction=H","UseDPDF=Y")</f>
        <v>—</v>
      </c>
      <c r="Q43" s="13" t="str">
        <f>_xll.BDH("SRPT US Equity","ARD_ISSUANCE_OF_COMMON_STOCK","FQ2 2022","FQ2 2022","Currency=USD","Period=FQ","BEST_FPERIOD_OVERRIDE=FQ","FILING_STATUS=MR","SCALING_FORMAT=MLN","Sort=A","Dates=H","DateFormat=P","Fill=—","Direction=H","UseDPDF=Y")</f>
        <v>—</v>
      </c>
      <c r="R43" s="13" t="str">
        <f>_xll.BDH("SRPT US Equity","ARD_ISSUANCE_OF_COMMON_STOCK","FQ3 2022","FQ3 2022","Currency=USD","Period=FQ","BEST_FPERIOD_OVERRIDE=FQ","FILING_STATUS=MR","SCALING_FORMAT=MLN","Sort=A","Dates=H","DateFormat=P","Fill=—","Direction=H","UseDPDF=Y")</f>
        <v>—</v>
      </c>
      <c r="S43" s="13">
        <f>_xll.BDH("SRPT US Equity","ARD_ISSUANCE_OF_COMMON_STOCK","FQ4 2022","FQ4 2022","Currency=USD","Period=FQ","BEST_FPERIOD_OVERRIDE=FQ","FILING_STATUS=MR","SCALING_FORMAT=MLN","Sort=A","Dates=H","DateFormat=P","Fill=—","Direction=H","UseDPDF=Y")</f>
        <v>0</v>
      </c>
      <c r="T43" s="13" t="str">
        <f>_xll.BDH("SRPT US Equity","ARD_ISSUANCE_OF_COMMON_STOCK","FQ1 2023","FQ1 2023","Currency=USD","Period=FQ","BEST_FPERIOD_OVERRIDE=FQ","FILING_STATUS=MR","SCALING_FORMAT=MLN","Sort=A","Dates=H","DateFormat=P","Fill=—","Direction=H","UseDPDF=Y")</f>
        <v>—</v>
      </c>
      <c r="U43" s="13" t="str">
        <f>_xll.BDH("SRPT US Equity","ARD_ISSUANCE_OF_COMMON_STOCK","FQ2 2023","FQ2 2023","Currency=USD","Period=FQ","BEST_FPERIOD_OVERRIDE=FQ","FILING_STATUS=MR","SCALING_FORMAT=MLN","Sort=A","Dates=H","DateFormat=P","Fill=—","Direction=H","UseDPDF=Y")</f>
        <v>—</v>
      </c>
      <c r="V43" s="13" t="str">
        <f>_xll.BDH("SRPT US Equity","ARD_ISSUANCE_OF_COMMON_STOCK","FQ3 2023","FQ3 2023","Currency=USD","Period=FQ","BEST_FPERIOD_OVERRIDE=FQ","FILING_STATUS=MR","SCALING_FORMAT=MLN","Sort=A","Dates=H","DateFormat=P","Fill=—","Direction=H","UseDPDF=Y")</f>
        <v>—</v>
      </c>
      <c r="W43" s="13">
        <f>_xll.BDH("SRPT US Equity","ARD_ISSUANCE_OF_COMMON_STOCK","FQ4 2023","FQ4 2023","Currency=USD","Period=FQ","BEST_FPERIOD_OVERRIDE=FQ","FILING_STATUS=MR","SCALING_FORMAT=MLN","Sort=A","Dates=H","DateFormat=P","Fill=—","Direction=H","UseDPDF=Y")</f>
        <v>0</v>
      </c>
      <c r="X43" s="13" t="str">
        <f>_xll.BDH("SRPT US Equity","ARD_ISSUANCE_OF_COMMON_STOCK","FQ1 2024","FQ1 2024","Currency=USD","Period=FQ","BEST_FPERIOD_OVERRIDE=FQ","FILING_STATUS=MR","SCALING_FORMAT=MLN","Sort=A","Dates=H","DateFormat=P","Fill=—","Direction=H","UseDPDF=Y")</f>
        <v>—</v>
      </c>
      <c r="Y43" s="13" t="str">
        <f>_xll.BDH("SRPT US Equity","ARD_ISSUANCE_OF_COMMON_STOCK","FQ2 2024","FQ2 2024","Currency=USD","Period=FQ","BEST_FPERIOD_OVERRIDE=FQ","FILING_STATUS=MR","SCALING_FORMAT=MLN","Sort=A","Dates=H","DateFormat=P","Fill=—","Direction=H","UseDPDF=Y")</f>
        <v>—</v>
      </c>
      <c r="Z43" s="13" t="str">
        <f>_xll.BDH("SRPT US Equity","ARD_ISSUANCE_OF_COMMON_STOCK","FQ3 2024","FQ3 2024","Currency=USD","Period=FQ","BEST_FPERIOD_OVERRIDE=FQ","FILING_STATUS=MR","SCALING_FORMAT=MLN","Sort=A","Dates=H","DateFormat=P","Fill=—","Direction=H","UseDPDF=Y")</f>
        <v>—</v>
      </c>
      <c r="AA43" s="13" t="str">
        <f>_xll.BDH("SRPT US Equity","ARD_ISSUANCE_OF_COMMON_STOCK","FQ4 2024","FQ4 2024","Currency=USD","Period=FQ","BEST_FPERIOD_OVERRIDE=FQ","FILING_STATUS=MR","SCALING_FORMAT=MLN","Sort=A","Dates=H","DateFormat=P","Fill=—","Direction=H","UseDPDF=Y")</f>
        <v>—</v>
      </c>
    </row>
    <row r="44" spans="1:27" x14ac:dyDescent="0.25">
      <c r="A44" s="10" t="s">
        <v>1335</v>
      </c>
      <c r="B44" s="10" t="s">
        <v>1336</v>
      </c>
      <c r="C44" s="13" t="str">
        <f>_xll.BDH("SRPT US Equity","ARD_REPURCHASE_OF_COMMON_STOCK","FQ4 2018","FQ4 2018","Currency=USD","Period=FQ","BEST_FPERIOD_OVERRIDE=FQ","FILING_STATUS=MR","SCALING_FORMAT=MLN","Sort=A","Dates=H","DateFormat=P","Fill=—","Direction=H","UseDPDF=Y")</f>
        <v>—</v>
      </c>
      <c r="D44" s="13" t="str">
        <f>_xll.BDH("SRPT US Equity","ARD_REPURCHASE_OF_COMMON_STOCK","FQ1 2019","FQ1 2019","Currency=USD","Period=FQ","BEST_FPERIOD_OVERRIDE=FQ","FILING_STATUS=MR","SCALING_FORMAT=MLN","Sort=A","Dates=H","DateFormat=P","Fill=—","Direction=H","UseDPDF=Y")</f>
        <v>—</v>
      </c>
      <c r="E44" s="13" t="str">
        <f>_xll.BDH("SRPT US Equity","ARD_REPURCHASE_OF_COMMON_STOCK","FQ2 2019","FQ2 2019","Currency=USD","Period=FQ","BEST_FPERIOD_OVERRIDE=FQ","FILING_STATUS=MR","SCALING_FORMAT=MLN","Sort=A","Dates=H","DateFormat=P","Fill=—","Direction=H","UseDPDF=Y")</f>
        <v>—</v>
      </c>
      <c r="F44" s="13" t="str">
        <f>_xll.BDH("SRPT US Equity","ARD_REPURCHASE_OF_COMMON_STOCK","FQ3 2019","FQ3 2019","Currency=USD","Period=FQ","BEST_FPERIOD_OVERRIDE=FQ","FILING_STATUS=MR","SCALING_FORMAT=MLN","Sort=A","Dates=H","DateFormat=P","Fill=—","Direction=H","UseDPDF=Y")</f>
        <v>—</v>
      </c>
      <c r="G44" s="13" t="str">
        <f>_xll.BDH("SRPT US Equity","ARD_REPURCHASE_OF_COMMON_STOCK","FQ4 2019","FQ4 2019","Currency=USD","Period=FQ","BEST_FPERIOD_OVERRIDE=FQ","FILING_STATUS=MR","SCALING_FORMAT=MLN","Sort=A","Dates=H","DateFormat=P","Fill=—","Direction=H","UseDPDF=Y")</f>
        <v>—</v>
      </c>
      <c r="H44" s="13" t="str">
        <f>_xll.BDH("SRPT US Equity","ARD_REPURCHASE_OF_COMMON_STOCK","FQ1 2020","FQ1 2020","Currency=USD","Period=FQ","BEST_FPERIOD_OVERRIDE=FQ","FILING_STATUS=MR","SCALING_FORMAT=MLN","Sort=A","Dates=H","DateFormat=P","Fill=—","Direction=H","UseDPDF=Y")</f>
        <v>—</v>
      </c>
      <c r="I44" s="13" t="str">
        <f>_xll.BDH("SRPT US Equity","ARD_REPURCHASE_OF_COMMON_STOCK","FQ2 2020","FQ2 2020","Currency=USD","Period=FQ","BEST_FPERIOD_OVERRIDE=FQ","FILING_STATUS=MR","SCALING_FORMAT=MLN","Sort=A","Dates=H","DateFormat=P","Fill=—","Direction=H","UseDPDF=Y")</f>
        <v>—</v>
      </c>
      <c r="J44" s="13" t="str">
        <f>_xll.BDH("SRPT US Equity","ARD_REPURCHASE_OF_COMMON_STOCK","FQ3 2020","FQ3 2020","Currency=USD","Period=FQ","BEST_FPERIOD_OVERRIDE=FQ","FILING_STATUS=MR","SCALING_FORMAT=MLN","Sort=A","Dates=H","DateFormat=P","Fill=—","Direction=H","UseDPDF=Y")</f>
        <v>—</v>
      </c>
      <c r="K44" s="13" t="str">
        <f>_xll.BDH("SRPT US Equity","ARD_REPURCHASE_OF_COMMON_STOCK","FQ4 2020","FQ4 2020","Currency=USD","Period=FQ","BEST_FPERIOD_OVERRIDE=FQ","FILING_STATUS=MR","SCALING_FORMAT=MLN","Sort=A","Dates=H","DateFormat=P","Fill=—","Direction=H","UseDPDF=Y")</f>
        <v>—</v>
      </c>
      <c r="L44" s="13" t="str">
        <f>_xll.BDH("SRPT US Equity","ARD_REPURCHASE_OF_COMMON_STOCK","FQ1 2021","FQ1 2021","Currency=USD","Period=FQ","BEST_FPERIOD_OVERRIDE=FQ","FILING_STATUS=MR","SCALING_FORMAT=MLN","Sort=A","Dates=H","DateFormat=P","Fill=—","Direction=H","UseDPDF=Y")</f>
        <v>—</v>
      </c>
      <c r="M44" s="13" t="str">
        <f>_xll.BDH("SRPT US Equity","ARD_REPURCHASE_OF_COMMON_STOCK","FQ2 2021","FQ2 2021","Currency=USD","Period=FQ","BEST_FPERIOD_OVERRIDE=FQ","FILING_STATUS=MR","SCALING_FORMAT=MLN","Sort=A","Dates=H","DateFormat=P","Fill=—","Direction=H","UseDPDF=Y")</f>
        <v>—</v>
      </c>
      <c r="N44" s="13" t="str">
        <f>_xll.BDH("SRPT US Equity","ARD_REPURCHASE_OF_COMMON_STOCK","FQ3 2021","FQ3 2021","Currency=USD","Period=FQ","BEST_FPERIOD_OVERRIDE=FQ","FILING_STATUS=MR","SCALING_FORMAT=MLN","Sort=A","Dates=H","DateFormat=P","Fill=—","Direction=H","UseDPDF=Y")</f>
        <v>—</v>
      </c>
      <c r="O44" s="13" t="str">
        <f>_xll.BDH("SRPT US Equity","ARD_REPURCHASE_OF_COMMON_STOCK","FQ4 2021","FQ4 2021","Currency=USD","Period=FQ","BEST_FPERIOD_OVERRIDE=FQ","FILING_STATUS=MR","SCALING_FORMAT=MLN","Sort=A","Dates=H","DateFormat=P","Fill=—","Direction=H","UseDPDF=Y")</f>
        <v>—</v>
      </c>
      <c r="P44" s="13" t="str">
        <f>_xll.BDH("SRPT US Equity","ARD_REPURCHASE_OF_COMMON_STOCK","FQ1 2022","FQ1 2022","Currency=USD","Period=FQ","BEST_FPERIOD_OVERRIDE=FQ","FILING_STATUS=MR","SCALING_FORMAT=MLN","Sort=A","Dates=H","DateFormat=P","Fill=—","Direction=H","UseDPDF=Y")</f>
        <v>—</v>
      </c>
      <c r="Q44" s="13" t="str">
        <f>_xll.BDH("SRPT US Equity","ARD_REPURCHASE_OF_COMMON_STOCK","FQ2 2022","FQ2 2022","Currency=USD","Period=FQ","BEST_FPERIOD_OVERRIDE=FQ","FILING_STATUS=MR","SCALING_FORMAT=MLN","Sort=A","Dates=H","DateFormat=P","Fill=—","Direction=H","UseDPDF=Y")</f>
        <v>—</v>
      </c>
      <c r="R44" s="13">
        <f>_xll.BDH("SRPT US Equity","ARD_REPURCHASE_OF_COMMON_STOCK","FQ3 2022","FQ3 2022","Currency=USD","Period=FQ","BEST_FPERIOD_OVERRIDE=FQ","FILING_STATUS=MR","SCALING_FORMAT=MLN","Sort=A","Dates=H","DateFormat=P","Fill=—","Direction=H","UseDPDF=Y")</f>
        <v>-127.30500000000001</v>
      </c>
      <c r="S44" s="13">
        <f>_xll.BDH("SRPT US Equity","ARD_REPURCHASE_OF_COMMON_STOCK","FQ4 2022","FQ4 2022","Currency=USD","Period=FQ","BEST_FPERIOD_OVERRIDE=FQ","FILING_STATUS=MR","SCALING_FORMAT=MLN","Sort=A","Dates=H","DateFormat=P","Fill=—","Direction=H","UseDPDF=Y")</f>
        <v>-127.30500000000001</v>
      </c>
      <c r="T44" s="13" t="str">
        <f>_xll.BDH("SRPT US Equity","ARD_REPURCHASE_OF_COMMON_STOCK","FQ1 2023","FQ1 2023","Currency=USD","Period=FQ","BEST_FPERIOD_OVERRIDE=FQ","FILING_STATUS=MR","SCALING_FORMAT=MLN","Sort=A","Dates=H","DateFormat=P","Fill=—","Direction=H","UseDPDF=Y")</f>
        <v>—</v>
      </c>
      <c r="U44" s="13" t="str">
        <f>_xll.BDH("SRPT US Equity","ARD_REPURCHASE_OF_COMMON_STOCK","FQ2 2023","FQ2 2023","Currency=USD","Period=FQ","BEST_FPERIOD_OVERRIDE=FQ","FILING_STATUS=MR","SCALING_FORMAT=MLN","Sort=A","Dates=H","DateFormat=P","Fill=—","Direction=H","UseDPDF=Y")</f>
        <v>—</v>
      </c>
      <c r="V44" s="13" t="str">
        <f>_xll.BDH("SRPT US Equity","ARD_REPURCHASE_OF_COMMON_STOCK","FQ3 2023","FQ3 2023","Currency=USD","Period=FQ","BEST_FPERIOD_OVERRIDE=FQ","FILING_STATUS=MR","SCALING_FORMAT=MLN","Sort=A","Dates=H","DateFormat=P","Fill=—","Direction=H","UseDPDF=Y")</f>
        <v>—</v>
      </c>
      <c r="W44" s="13" t="str">
        <f>_xll.BDH("SRPT US Equity","ARD_REPURCHASE_OF_COMMON_STOCK","FQ4 2023","FQ4 2023","Currency=USD","Period=FQ","BEST_FPERIOD_OVERRIDE=FQ","FILING_STATUS=MR","SCALING_FORMAT=MLN","Sort=A","Dates=H","DateFormat=P","Fill=—","Direction=H","UseDPDF=Y")</f>
        <v>—</v>
      </c>
      <c r="X44" s="13" t="str">
        <f>_xll.BDH("SRPT US Equity","ARD_REPURCHASE_OF_COMMON_STOCK","FQ1 2024","FQ1 2024","Currency=USD","Period=FQ","BEST_FPERIOD_OVERRIDE=FQ","FILING_STATUS=MR","SCALING_FORMAT=MLN","Sort=A","Dates=H","DateFormat=P","Fill=—","Direction=H","UseDPDF=Y")</f>
        <v>—</v>
      </c>
      <c r="Y44" s="13" t="str">
        <f>_xll.BDH("SRPT US Equity","ARD_REPURCHASE_OF_COMMON_STOCK","FQ2 2024","FQ2 2024","Currency=USD","Period=FQ","BEST_FPERIOD_OVERRIDE=FQ","FILING_STATUS=MR","SCALING_FORMAT=MLN","Sort=A","Dates=H","DateFormat=P","Fill=—","Direction=H","UseDPDF=Y")</f>
        <v>—</v>
      </c>
      <c r="Z44" s="13" t="str">
        <f>_xll.BDH("SRPT US Equity","ARD_REPURCHASE_OF_COMMON_STOCK","FQ3 2024","FQ3 2024","Currency=USD","Period=FQ","BEST_FPERIOD_OVERRIDE=FQ","FILING_STATUS=MR","SCALING_FORMAT=MLN","Sort=A","Dates=H","DateFormat=P","Fill=—","Direction=H","UseDPDF=Y")</f>
        <v>—</v>
      </c>
      <c r="AA44" s="13">
        <f>_xll.BDH("SRPT US Equity","ARD_REPURCHASE_OF_COMMON_STOCK","FQ4 2024","FQ4 2024","Currency=USD","Period=FQ","BEST_FPERIOD_OVERRIDE=FQ","FILING_STATUS=MR","SCALING_FORMAT=MLN","Sort=A","Dates=H","DateFormat=P","Fill=—","Direction=H","UseDPDF=Y")</f>
        <v>0</v>
      </c>
    </row>
    <row r="45" spans="1:27" x14ac:dyDescent="0.25">
      <c r="A45" s="10" t="s">
        <v>1337</v>
      </c>
      <c r="B45" s="10" t="s">
        <v>1338</v>
      </c>
      <c r="C45" s="13" t="str">
        <f>_xll.BDH("SRPT US Equity","ARD_DEBT_FIN_ISSUANCE_COSTS","FQ4 2018","FQ4 2018","Currency=USD","Period=FQ","BEST_FPERIOD_OVERRIDE=FQ","FILING_STATUS=MR","SCALING_FORMAT=MLN","Sort=A","Dates=H","DateFormat=P","Fill=—","Direction=H","UseDPDF=Y")</f>
        <v>—</v>
      </c>
      <c r="D45" s="13" t="str">
        <f>_xll.BDH("SRPT US Equity","ARD_DEBT_FIN_ISSUANCE_COSTS","FQ1 2019","FQ1 2019","Currency=USD","Period=FQ","BEST_FPERIOD_OVERRIDE=FQ","FILING_STATUS=MR","SCALING_FORMAT=MLN","Sort=A","Dates=H","DateFormat=P","Fill=—","Direction=H","UseDPDF=Y")</f>
        <v>—</v>
      </c>
      <c r="E45" s="13" t="str">
        <f>_xll.BDH("SRPT US Equity","ARD_DEBT_FIN_ISSUANCE_COSTS","FQ2 2019","FQ2 2019","Currency=USD","Period=FQ","BEST_FPERIOD_OVERRIDE=FQ","FILING_STATUS=MR","SCALING_FORMAT=MLN","Sort=A","Dates=H","DateFormat=P","Fill=—","Direction=H","UseDPDF=Y")</f>
        <v>—</v>
      </c>
      <c r="F45" s="13" t="str">
        <f>_xll.BDH("SRPT US Equity","ARD_DEBT_FIN_ISSUANCE_COSTS","FQ3 2019","FQ3 2019","Currency=USD","Period=FQ","BEST_FPERIOD_OVERRIDE=FQ","FILING_STATUS=MR","SCALING_FORMAT=MLN","Sort=A","Dates=H","DateFormat=P","Fill=—","Direction=H","UseDPDF=Y")</f>
        <v>—</v>
      </c>
      <c r="G45" s="13">
        <f>_xll.BDH("SRPT US Equity","ARD_DEBT_FIN_ISSUANCE_COSTS","FQ4 2019","FQ4 2019","Currency=USD","Period=FQ","BEST_FPERIOD_OVERRIDE=FQ","FILING_STATUS=MR","SCALING_FORMAT=MLN","Sort=A","Dates=H","DateFormat=P","Fill=—","Direction=H","UseDPDF=Y")</f>
        <v>-0.68899999999999995</v>
      </c>
      <c r="H45" s="13" t="str">
        <f>_xll.BDH("SRPT US Equity","ARD_DEBT_FIN_ISSUANCE_COSTS","FQ1 2020","FQ1 2020","Currency=USD","Period=FQ","BEST_FPERIOD_OVERRIDE=FQ","FILING_STATUS=MR","SCALING_FORMAT=MLN","Sort=A","Dates=H","DateFormat=P","Fill=—","Direction=H","UseDPDF=Y")</f>
        <v>—</v>
      </c>
      <c r="I45" s="13" t="str">
        <f>_xll.BDH("SRPT US Equity","ARD_DEBT_FIN_ISSUANCE_COSTS","FQ2 2020","FQ2 2020","Currency=USD","Period=FQ","BEST_FPERIOD_OVERRIDE=FQ","FILING_STATUS=MR","SCALING_FORMAT=MLN","Sort=A","Dates=H","DateFormat=P","Fill=—","Direction=H","UseDPDF=Y")</f>
        <v>—</v>
      </c>
      <c r="J45" s="13" t="str">
        <f>_xll.BDH("SRPT US Equity","ARD_DEBT_FIN_ISSUANCE_COSTS","FQ3 2020","FQ3 2020","Currency=USD","Period=FQ","BEST_FPERIOD_OVERRIDE=FQ","FILING_STATUS=MR","SCALING_FORMAT=MLN","Sort=A","Dates=H","DateFormat=P","Fill=—","Direction=H","UseDPDF=Y")</f>
        <v>—</v>
      </c>
      <c r="K45" s="13">
        <f>_xll.BDH("SRPT US Equity","ARD_DEBT_FIN_ISSUANCE_COSTS","FQ4 2020","FQ4 2020","Currency=USD","Period=FQ","BEST_FPERIOD_OVERRIDE=FQ","FILING_STATUS=MR","SCALING_FORMAT=MLN","Sort=A","Dates=H","DateFormat=P","Fill=—","Direction=H","UseDPDF=Y")</f>
        <v>-3.9E-2</v>
      </c>
      <c r="L45" s="13" t="str">
        <f>_xll.BDH("SRPT US Equity","ARD_DEBT_FIN_ISSUANCE_COSTS","FQ1 2021","FQ1 2021","Currency=USD","Period=FQ","BEST_FPERIOD_OVERRIDE=FQ","FILING_STATUS=MR","SCALING_FORMAT=MLN","Sort=A","Dates=H","DateFormat=P","Fill=—","Direction=H","UseDPDF=Y")</f>
        <v>—</v>
      </c>
      <c r="M45" s="13" t="str">
        <f>_xll.BDH("SRPT US Equity","ARD_DEBT_FIN_ISSUANCE_COSTS","FQ2 2021","FQ2 2021","Currency=USD","Period=FQ","BEST_FPERIOD_OVERRIDE=FQ","FILING_STATUS=MR","SCALING_FORMAT=MLN","Sort=A","Dates=H","DateFormat=P","Fill=—","Direction=H","UseDPDF=Y")</f>
        <v>—</v>
      </c>
      <c r="N45" s="13" t="str">
        <f>_xll.BDH("SRPT US Equity","ARD_DEBT_FIN_ISSUANCE_COSTS","FQ3 2021","FQ3 2021","Currency=USD","Period=FQ","BEST_FPERIOD_OVERRIDE=FQ","FILING_STATUS=MR","SCALING_FORMAT=MLN","Sort=A","Dates=H","DateFormat=P","Fill=—","Direction=H","UseDPDF=Y")</f>
        <v>—</v>
      </c>
      <c r="O45" s="13">
        <f>_xll.BDH("SRPT US Equity","ARD_DEBT_FIN_ISSUANCE_COSTS","FQ4 2021","FQ4 2021","Currency=USD","Period=FQ","BEST_FPERIOD_OVERRIDE=FQ","FILING_STATUS=MR","SCALING_FORMAT=MLN","Sort=A","Dates=H","DateFormat=P","Fill=—","Direction=H","UseDPDF=Y")</f>
        <v>0</v>
      </c>
      <c r="P45" s="13" t="str">
        <f>_xll.BDH("SRPT US Equity","ARD_DEBT_FIN_ISSUANCE_COSTS","FQ1 2022","FQ1 2022","Currency=USD","Period=FQ","BEST_FPERIOD_OVERRIDE=FQ","FILING_STATUS=MR","SCALING_FORMAT=MLN","Sort=A","Dates=H","DateFormat=P","Fill=—","Direction=H","UseDPDF=Y")</f>
        <v>—</v>
      </c>
      <c r="Q45" s="13" t="str">
        <f>_xll.BDH("SRPT US Equity","ARD_DEBT_FIN_ISSUANCE_COSTS","FQ2 2022","FQ2 2022","Currency=USD","Period=FQ","BEST_FPERIOD_OVERRIDE=FQ","FILING_STATUS=MR","SCALING_FORMAT=MLN","Sort=A","Dates=H","DateFormat=P","Fill=—","Direction=H","UseDPDF=Y")</f>
        <v>—</v>
      </c>
      <c r="R45" s="13">
        <f>_xll.BDH("SRPT US Equity","ARD_DEBT_FIN_ISSUANCE_COSTS","FQ3 2022","FQ3 2022","Currency=USD","Period=FQ","BEST_FPERIOD_OVERRIDE=FQ","FILING_STATUS=MR","SCALING_FORMAT=MLN","Sort=A","Dates=H","DateFormat=P","Fill=—","Direction=H","UseDPDF=Y")</f>
        <v>-0.16200000000000001</v>
      </c>
      <c r="S45" s="13">
        <f>_xll.BDH("SRPT US Equity","ARD_DEBT_FIN_ISSUANCE_COSTS","FQ4 2022","FQ4 2022","Currency=USD","Period=FQ","BEST_FPERIOD_OVERRIDE=FQ","FILING_STATUS=MR","SCALING_FORMAT=MLN","Sort=A","Dates=H","DateFormat=P","Fill=—","Direction=H","UseDPDF=Y")</f>
        <v>-0.71599999999999997</v>
      </c>
      <c r="T45" s="13" t="str">
        <f>_xll.BDH("SRPT US Equity","ARD_DEBT_FIN_ISSUANCE_COSTS","FQ1 2023","FQ1 2023","Currency=USD","Period=FQ","BEST_FPERIOD_OVERRIDE=FQ","FILING_STATUS=MR","SCALING_FORMAT=MLN","Sort=A","Dates=H","DateFormat=P","Fill=—","Direction=H","UseDPDF=Y")</f>
        <v>—</v>
      </c>
      <c r="U45" s="13" t="str">
        <f>_xll.BDH("SRPT US Equity","ARD_DEBT_FIN_ISSUANCE_COSTS","FQ2 2023","FQ2 2023","Currency=USD","Period=FQ","BEST_FPERIOD_OVERRIDE=FQ","FILING_STATUS=MR","SCALING_FORMAT=MLN","Sort=A","Dates=H","DateFormat=P","Fill=—","Direction=H","UseDPDF=Y")</f>
        <v>—</v>
      </c>
      <c r="V45" s="13">
        <f>_xll.BDH("SRPT US Equity","ARD_DEBT_FIN_ISSUANCE_COSTS","FQ3 2023","FQ3 2023","Currency=USD","Period=FQ","BEST_FPERIOD_OVERRIDE=FQ","FILING_STATUS=MR","SCALING_FORMAT=MLN","Sort=A","Dates=H","DateFormat=P","Fill=—","Direction=H","UseDPDF=Y")</f>
        <v>-6.8869999999999996</v>
      </c>
      <c r="W45" s="13">
        <f>_xll.BDH("SRPT US Equity","ARD_DEBT_FIN_ISSUANCE_COSTS","FQ4 2023","FQ4 2023","Currency=USD","Period=FQ","BEST_FPERIOD_OVERRIDE=FQ","FILING_STATUS=MR","SCALING_FORMAT=MLN","Sort=A","Dates=H","DateFormat=P","Fill=—","Direction=H","UseDPDF=Y")</f>
        <v>0</v>
      </c>
      <c r="X45" s="13" t="str">
        <f>_xll.BDH("SRPT US Equity","ARD_DEBT_FIN_ISSUANCE_COSTS","FQ1 2024","FQ1 2024","Currency=USD","Period=FQ","BEST_FPERIOD_OVERRIDE=FQ","FILING_STATUS=MR","SCALING_FORMAT=MLN","Sort=A","Dates=H","DateFormat=P","Fill=—","Direction=H","UseDPDF=Y")</f>
        <v>—</v>
      </c>
      <c r="Y45" s="13" t="str">
        <f>_xll.BDH("SRPT US Equity","ARD_DEBT_FIN_ISSUANCE_COSTS","FQ2 2024","FQ2 2024","Currency=USD","Period=FQ","BEST_FPERIOD_OVERRIDE=FQ","FILING_STATUS=MR","SCALING_FORMAT=MLN","Sort=A","Dates=H","DateFormat=P","Fill=—","Direction=H","UseDPDF=Y")</f>
        <v>—</v>
      </c>
      <c r="Z45" s="13" t="str">
        <f>_xll.BDH("SRPT US Equity","ARD_DEBT_FIN_ISSUANCE_COSTS","FQ3 2024","FQ3 2024","Currency=USD","Period=FQ","BEST_FPERIOD_OVERRIDE=FQ","FILING_STATUS=MR","SCALING_FORMAT=MLN","Sort=A","Dates=H","DateFormat=P","Fill=—","Direction=H","UseDPDF=Y")</f>
        <v>—</v>
      </c>
      <c r="AA45" s="13">
        <f>_xll.BDH("SRPT US Equity","ARD_DEBT_FIN_ISSUANCE_COSTS","FQ4 2024","FQ4 2024","Currency=USD","Period=FQ","BEST_FPERIOD_OVERRIDE=FQ","FILING_STATUS=MR","SCALING_FORMAT=MLN","Sort=A","Dates=H","DateFormat=P","Fill=—","Direction=H","UseDPDF=Y")</f>
        <v>0</v>
      </c>
    </row>
    <row r="46" spans="1:27" x14ac:dyDescent="0.25">
      <c r="A46" s="10" t="s">
        <v>1339</v>
      </c>
      <c r="B46" s="10" t="s">
        <v>1340</v>
      </c>
      <c r="C46" s="13">
        <f>_xll.BDH("SRPT US Equity","ARD_OTHER_FINANCING_ACTIVITIES","FQ4 2018","FQ4 2018","Currency=USD","Period=FQ","BEST_FPERIOD_OVERRIDE=FQ","FILING_STATUS=MR","SCALING_FORMAT=MLN","Sort=A","Dates=H","DateFormat=P","Fill=—","Direction=H","UseDPDF=Y")</f>
        <v>-32.134</v>
      </c>
      <c r="D46" s="13" t="str">
        <f>_xll.BDH("SRPT US Equity","ARD_OTHER_FINANCING_ACTIVITIES","FQ1 2019","FQ1 2019","Currency=USD","Period=FQ","BEST_FPERIOD_OVERRIDE=FQ","FILING_STATUS=MR","SCALING_FORMAT=MLN","Sort=A","Dates=H","DateFormat=P","Fill=—","Direction=H","UseDPDF=Y")</f>
        <v>—</v>
      </c>
      <c r="E46" s="13">
        <f>_xll.BDH("SRPT US Equity","ARD_OTHER_FINANCING_ACTIVITIES","FQ2 2019","FQ2 2019","Currency=USD","Period=FQ","BEST_FPERIOD_OVERRIDE=FQ","FILING_STATUS=MR","SCALING_FORMAT=MLN","Sort=A","Dates=H","DateFormat=P","Fill=—","Direction=H","UseDPDF=Y")</f>
        <v>-0.88900000000000001</v>
      </c>
      <c r="F46" s="13">
        <f>_xll.BDH("SRPT US Equity","ARD_OTHER_FINANCING_ACTIVITIES","FQ3 2019","FQ3 2019","Currency=USD","Period=FQ","BEST_FPERIOD_OVERRIDE=FQ","FILING_STATUS=MR","SCALING_FORMAT=MLN","Sort=A","Dates=H","DateFormat=P","Fill=—","Direction=H","UseDPDF=Y")</f>
        <v>-4.3369999999999997</v>
      </c>
      <c r="G46" s="13">
        <f>_xll.BDH("SRPT US Equity","ARD_OTHER_FINANCING_ACTIVITIES","FQ4 2019","FQ4 2019","Currency=USD","Period=FQ","BEST_FPERIOD_OVERRIDE=FQ","FILING_STATUS=MR","SCALING_FORMAT=MLN","Sort=A","Dates=H","DateFormat=P","Fill=—","Direction=H","UseDPDF=Y")</f>
        <v>-4.3369999999999997</v>
      </c>
      <c r="H46" s="13">
        <f>_xll.BDH("SRPT US Equity","ARD_OTHER_FINANCING_ACTIVITIES","FQ1 2020","FQ1 2020","Currency=USD","Period=FQ","BEST_FPERIOD_OVERRIDE=FQ","FILING_STATUS=MR","SCALING_FORMAT=MLN","Sort=A","Dates=H","DateFormat=P","Fill=—","Direction=H","UseDPDF=Y")</f>
        <v>-4.798</v>
      </c>
      <c r="I46" s="13">
        <f>_xll.BDH("SRPT US Equity","ARD_OTHER_FINANCING_ACTIVITIES","FQ2 2020","FQ2 2020","Currency=USD","Period=FQ","BEST_FPERIOD_OVERRIDE=FQ","FILING_STATUS=MR","SCALING_FORMAT=MLN","Sort=A","Dates=H","DateFormat=P","Fill=—","Direction=H","UseDPDF=Y")</f>
        <v>-4.798</v>
      </c>
      <c r="J46" s="13">
        <f>_xll.BDH("SRPT US Equity","ARD_OTHER_FINANCING_ACTIVITIES","FQ3 2020","FQ3 2020","Currency=USD","Period=FQ","BEST_FPERIOD_OVERRIDE=FQ","FILING_STATUS=MR","SCALING_FORMAT=MLN","Sort=A","Dates=H","DateFormat=P","Fill=—","Direction=H","UseDPDF=Y")</f>
        <v>-4.798</v>
      </c>
      <c r="K46" s="13">
        <f>_xll.BDH("SRPT US Equity","ARD_OTHER_FINANCING_ACTIVITIES","FQ4 2020","FQ4 2020","Currency=USD","Period=FQ","BEST_FPERIOD_OVERRIDE=FQ","FILING_STATUS=MR","SCALING_FORMAT=MLN","Sort=A","Dates=H","DateFormat=P","Fill=—","Direction=H","UseDPDF=Y")</f>
        <v>-4.798</v>
      </c>
      <c r="L46" s="13">
        <f>_xll.BDH("SRPT US Equity","ARD_OTHER_FINANCING_ACTIVITIES","FQ1 2021","FQ1 2021","Currency=USD","Period=FQ","BEST_FPERIOD_OVERRIDE=FQ","FILING_STATUS=MR","SCALING_FORMAT=MLN","Sort=A","Dates=H","DateFormat=P","Fill=—","Direction=H","UseDPDF=Y")</f>
        <v>-6.3330000000000002</v>
      </c>
      <c r="M46" s="13">
        <f>_xll.BDH("SRPT US Equity","ARD_OTHER_FINANCING_ACTIVITIES","FQ2 2021","FQ2 2021","Currency=USD","Period=FQ","BEST_FPERIOD_OVERRIDE=FQ","FILING_STATUS=MR","SCALING_FORMAT=MLN","Sort=A","Dates=H","DateFormat=P","Fill=—","Direction=H","UseDPDF=Y")</f>
        <v>-6.3330000000000002</v>
      </c>
      <c r="N46" s="13">
        <f>_xll.BDH("SRPT US Equity","ARD_OTHER_FINANCING_ACTIVITIES","FQ3 2021","FQ3 2021","Currency=USD","Period=FQ","BEST_FPERIOD_OVERRIDE=FQ","FILING_STATUS=MR","SCALING_FORMAT=MLN","Sort=A","Dates=H","DateFormat=P","Fill=—","Direction=H","UseDPDF=Y")</f>
        <v>-6.3330000000000002</v>
      </c>
      <c r="O46" s="13">
        <f>_xll.BDH("SRPT US Equity","ARD_OTHER_FINANCING_ACTIVITIES","FQ4 2021","FQ4 2021","Currency=USD","Period=FQ","BEST_FPERIOD_OVERRIDE=FQ","FILING_STATUS=MR","SCALING_FORMAT=MLN","Sort=A","Dates=H","DateFormat=P","Fill=—","Direction=H","UseDPDF=Y")</f>
        <v>-7.7649999999999997</v>
      </c>
      <c r="P46" s="13" t="str">
        <f>_xll.BDH("SRPT US Equity","ARD_OTHER_FINANCING_ACTIVITIES","FQ1 2022","FQ1 2022","Currency=USD","Period=FQ","BEST_FPERIOD_OVERRIDE=FQ","FILING_STATUS=MR","SCALING_FORMAT=MLN","Sort=A","Dates=H","DateFormat=P","Fill=—","Direction=H","UseDPDF=Y")</f>
        <v>—</v>
      </c>
      <c r="Q46" s="13" t="str">
        <f>_xll.BDH("SRPT US Equity","ARD_OTHER_FINANCING_ACTIVITIES","FQ2 2022","FQ2 2022","Currency=USD","Period=FQ","BEST_FPERIOD_OVERRIDE=FQ","FILING_STATUS=MR","SCALING_FORMAT=MLN","Sort=A","Dates=H","DateFormat=P","Fill=—","Direction=H","UseDPDF=Y")</f>
        <v>—</v>
      </c>
      <c r="R46" s="13" t="str">
        <f>_xll.BDH("SRPT US Equity","ARD_OTHER_FINANCING_ACTIVITIES","FQ3 2022","FQ3 2022","Currency=USD","Period=FQ","BEST_FPERIOD_OVERRIDE=FQ","FILING_STATUS=MR","SCALING_FORMAT=MLN","Sort=A","Dates=H","DateFormat=P","Fill=—","Direction=H","UseDPDF=Y")</f>
        <v>—</v>
      </c>
      <c r="S46" s="13" t="str">
        <f>_xll.BDH("SRPT US Equity","ARD_OTHER_FINANCING_ACTIVITIES","FQ4 2022","FQ4 2022","Currency=USD","Period=FQ","BEST_FPERIOD_OVERRIDE=FQ","FILING_STATUS=MR","SCALING_FORMAT=MLN","Sort=A","Dates=H","DateFormat=P","Fill=—","Direction=H","UseDPDF=Y")</f>
        <v>—</v>
      </c>
      <c r="T46" s="13">
        <f>_xll.BDH("SRPT US Equity","ARD_OTHER_FINANCING_ACTIVITIES","FQ1 2023","FQ1 2023","Currency=USD","Period=FQ","BEST_FPERIOD_OVERRIDE=FQ","FILING_STATUS=MR","SCALING_FORMAT=MLN","Sort=A","Dates=H","DateFormat=P","Fill=—","Direction=H","UseDPDF=Y")</f>
        <v>80.644999999999996</v>
      </c>
      <c r="U46" s="13">
        <f>_xll.BDH("SRPT US Equity","ARD_OTHER_FINANCING_ACTIVITIES","FQ2 2023","FQ2 2023","Currency=USD","Period=FQ","BEST_FPERIOD_OVERRIDE=FQ","FILING_STATUS=MR","SCALING_FORMAT=MLN","Sort=A","Dates=H","DateFormat=P","Fill=—","Direction=H","UseDPDF=Y")</f>
        <v>80.644999999999996</v>
      </c>
      <c r="V46" s="13">
        <f>_xll.BDH("SRPT US Equity","ARD_OTHER_FINANCING_ACTIVITIES","FQ3 2023","FQ3 2023","Currency=USD","Period=FQ","BEST_FPERIOD_OVERRIDE=FQ","FILING_STATUS=MR","SCALING_FORMAT=MLN","Sort=A","Dates=H","DateFormat=P","Fill=—","Direction=H","UseDPDF=Y")</f>
        <v>80.644999999999996</v>
      </c>
      <c r="W46" s="13">
        <f>_xll.BDH("SRPT US Equity","ARD_OTHER_FINANCING_ACTIVITIES","FQ4 2023","FQ4 2023","Currency=USD","Period=FQ","BEST_FPERIOD_OVERRIDE=FQ","FILING_STATUS=MR","SCALING_FORMAT=MLN","Sort=A","Dates=H","DateFormat=P","Fill=—","Direction=H","UseDPDF=Y")</f>
        <v>73.757999999999996</v>
      </c>
      <c r="X46" s="13">
        <f>_xll.BDH("SRPT US Equity","ARD_OTHER_FINANCING_ACTIVITIES","FQ1 2024","FQ1 2024","Currency=USD","Period=FQ","BEST_FPERIOD_OVERRIDE=FQ","FILING_STATUS=MR","SCALING_FORMAT=MLN","Sort=A","Dates=H","DateFormat=P","Fill=—","Direction=H","UseDPDF=Y")</f>
        <v>0</v>
      </c>
      <c r="Y46" s="13">
        <f>_xll.BDH("SRPT US Equity","ARD_OTHER_FINANCING_ACTIVITIES","FQ2 2024","FQ2 2024","Currency=USD","Period=FQ","BEST_FPERIOD_OVERRIDE=FQ","FILING_STATUS=MR","SCALING_FORMAT=MLN","Sort=A","Dates=H","DateFormat=P","Fill=—","Direction=H","UseDPDF=Y")</f>
        <v>0</v>
      </c>
      <c r="Z46" s="13">
        <f>_xll.BDH("SRPT US Equity","ARD_OTHER_FINANCING_ACTIVITIES","FQ3 2024","FQ3 2024","Currency=USD","Period=FQ","BEST_FPERIOD_OVERRIDE=FQ","FILING_STATUS=MR","SCALING_FORMAT=MLN","Sort=A","Dates=H","DateFormat=P","Fill=—","Direction=H","UseDPDF=Y")</f>
        <v>0</v>
      </c>
      <c r="AA46" s="13">
        <f>_xll.BDH("SRPT US Equity","ARD_OTHER_FINANCING_ACTIVITIES","FQ4 2024","FQ4 2024","Currency=USD","Period=FQ","BEST_FPERIOD_OVERRIDE=FQ","FILING_STATUS=MR","SCALING_FORMAT=MLN","Sort=A","Dates=H","DateFormat=P","Fill=—","Direction=H","UseDPDF=Y")</f>
        <v>45.280999999999999</v>
      </c>
    </row>
    <row r="47" spans="1:27" x14ac:dyDescent="0.25">
      <c r="A47" s="10" t="s">
        <v>1341</v>
      </c>
      <c r="B47" s="10" t="s">
        <v>1342</v>
      </c>
      <c r="C47" s="13" t="str">
        <f>_xll.BDH("SRPT US Equity","ARD_CASH_PAID_FOR_TAXES","FQ4 2018","FQ4 2018","Currency=USD","Period=FQ","BEST_FPERIOD_OVERRIDE=FQ","FILING_STATUS=MR","SCALING_FORMAT=MLN","Sort=A","Dates=H","DateFormat=P","Fill=—","Direction=H","UseDPDF=Y")</f>
        <v>—</v>
      </c>
      <c r="D47" s="13" t="str">
        <f>_xll.BDH("SRPT US Equity","ARD_CASH_PAID_FOR_TAXES","FQ1 2019","FQ1 2019","Currency=USD","Period=FQ","BEST_FPERIOD_OVERRIDE=FQ","FILING_STATUS=MR","SCALING_FORMAT=MLN","Sort=A","Dates=H","DateFormat=P","Fill=—","Direction=H","UseDPDF=Y")</f>
        <v>—</v>
      </c>
      <c r="E47" s="13" t="str">
        <f>_xll.BDH("SRPT US Equity","ARD_CASH_PAID_FOR_TAXES","FQ2 2019","FQ2 2019","Currency=USD","Period=FQ","BEST_FPERIOD_OVERRIDE=FQ","FILING_STATUS=MR","SCALING_FORMAT=MLN","Sort=A","Dates=H","DateFormat=P","Fill=—","Direction=H","UseDPDF=Y")</f>
        <v>—</v>
      </c>
      <c r="F47" s="13" t="str">
        <f>_xll.BDH("SRPT US Equity","ARD_CASH_PAID_FOR_TAXES","FQ3 2019","FQ3 2019","Currency=USD","Period=FQ","BEST_FPERIOD_OVERRIDE=FQ","FILING_STATUS=MR","SCALING_FORMAT=MLN","Sort=A","Dates=H","DateFormat=P","Fill=—","Direction=H","UseDPDF=Y")</f>
        <v>—</v>
      </c>
      <c r="G47" s="13" t="str">
        <f>_xll.BDH("SRPT US Equity","ARD_CASH_PAID_FOR_TAXES","FQ4 2019","FQ4 2019","Currency=USD","Period=FQ","BEST_FPERIOD_OVERRIDE=FQ","FILING_STATUS=MR","SCALING_FORMAT=MLN","Sort=A","Dates=H","DateFormat=P","Fill=—","Direction=H","UseDPDF=Y")</f>
        <v>—</v>
      </c>
      <c r="H47" s="13" t="str">
        <f>_xll.BDH("SRPT US Equity","ARD_CASH_PAID_FOR_TAXES","FQ1 2020","FQ1 2020","Currency=USD","Period=FQ","BEST_FPERIOD_OVERRIDE=FQ","FILING_STATUS=MR","SCALING_FORMAT=MLN","Sort=A","Dates=H","DateFormat=P","Fill=—","Direction=H","UseDPDF=Y")</f>
        <v>—</v>
      </c>
      <c r="I47" s="13" t="str">
        <f>_xll.BDH("SRPT US Equity","ARD_CASH_PAID_FOR_TAXES","FQ2 2020","FQ2 2020","Currency=USD","Period=FQ","BEST_FPERIOD_OVERRIDE=FQ","FILING_STATUS=MR","SCALING_FORMAT=MLN","Sort=A","Dates=H","DateFormat=P","Fill=—","Direction=H","UseDPDF=Y")</f>
        <v>—</v>
      </c>
      <c r="J47" s="13" t="str">
        <f>_xll.BDH("SRPT US Equity","ARD_CASH_PAID_FOR_TAXES","FQ3 2020","FQ3 2020","Currency=USD","Period=FQ","BEST_FPERIOD_OVERRIDE=FQ","FILING_STATUS=MR","SCALING_FORMAT=MLN","Sort=A","Dates=H","DateFormat=P","Fill=—","Direction=H","UseDPDF=Y")</f>
        <v>—</v>
      </c>
      <c r="K47" s="13" t="str">
        <f>_xll.BDH("SRPT US Equity","ARD_CASH_PAID_FOR_TAXES","FQ4 2020","FQ4 2020","Currency=USD","Period=FQ","BEST_FPERIOD_OVERRIDE=FQ","FILING_STATUS=MR","SCALING_FORMAT=MLN","Sort=A","Dates=H","DateFormat=P","Fill=—","Direction=H","UseDPDF=Y")</f>
        <v>—</v>
      </c>
      <c r="L47" s="13" t="str">
        <f>_xll.BDH("SRPT US Equity","ARD_CASH_PAID_FOR_TAXES","FQ1 2021","FQ1 2021","Currency=USD","Period=FQ","BEST_FPERIOD_OVERRIDE=FQ","FILING_STATUS=MR","SCALING_FORMAT=MLN","Sort=A","Dates=H","DateFormat=P","Fill=—","Direction=H","UseDPDF=Y")</f>
        <v>—</v>
      </c>
      <c r="M47" s="13" t="str">
        <f>_xll.BDH("SRPT US Equity","ARD_CASH_PAID_FOR_TAXES","FQ2 2021","FQ2 2021","Currency=USD","Period=FQ","BEST_FPERIOD_OVERRIDE=FQ","FILING_STATUS=MR","SCALING_FORMAT=MLN","Sort=A","Dates=H","DateFormat=P","Fill=—","Direction=H","UseDPDF=Y")</f>
        <v>—</v>
      </c>
      <c r="N47" s="13" t="str">
        <f>_xll.BDH("SRPT US Equity","ARD_CASH_PAID_FOR_TAXES","FQ3 2021","FQ3 2021","Currency=USD","Period=FQ","BEST_FPERIOD_OVERRIDE=FQ","FILING_STATUS=MR","SCALING_FORMAT=MLN","Sort=A","Dates=H","DateFormat=P","Fill=—","Direction=H","UseDPDF=Y")</f>
        <v>—</v>
      </c>
      <c r="O47" s="13">
        <f>_xll.BDH("SRPT US Equity","ARD_CASH_PAID_FOR_TAXES","FQ4 2021","FQ4 2021","Currency=USD","Period=FQ","BEST_FPERIOD_OVERRIDE=FQ","FILING_STATUS=MR","SCALING_FORMAT=MLN","Sort=A","Dates=H","DateFormat=P","Fill=—","Direction=H","UseDPDF=Y")</f>
        <v>0.58299999999999996</v>
      </c>
      <c r="P47" s="13" t="str">
        <f>_xll.BDH("SRPT US Equity","ARD_CASH_PAID_FOR_TAXES","FQ1 2022","FQ1 2022","Currency=USD","Period=FQ","BEST_FPERIOD_OVERRIDE=FQ","FILING_STATUS=MR","SCALING_FORMAT=MLN","Sort=A","Dates=H","DateFormat=P","Fill=—","Direction=H","UseDPDF=Y")</f>
        <v>—</v>
      </c>
      <c r="Q47" s="13" t="str">
        <f>_xll.BDH("SRPT US Equity","ARD_CASH_PAID_FOR_TAXES","FQ2 2022","FQ2 2022","Currency=USD","Period=FQ","BEST_FPERIOD_OVERRIDE=FQ","FILING_STATUS=MR","SCALING_FORMAT=MLN","Sort=A","Dates=H","DateFormat=P","Fill=—","Direction=H","UseDPDF=Y")</f>
        <v>—</v>
      </c>
      <c r="R47" s="13" t="str">
        <f>_xll.BDH("SRPT US Equity","ARD_CASH_PAID_FOR_TAXES","FQ3 2022","FQ3 2022","Currency=USD","Period=FQ","BEST_FPERIOD_OVERRIDE=FQ","FILING_STATUS=MR","SCALING_FORMAT=MLN","Sort=A","Dates=H","DateFormat=P","Fill=—","Direction=H","UseDPDF=Y")</f>
        <v>—</v>
      </c>
      <c r="S47" s="13">
        <f>_xll.BDH("SRPT US Equity","ARD_CASH_PAID_FOR_TAXES","FQ4 2022","FQ4 2022","Currency=USD","Period=FQ","BEST_FPERIOD_OVERRIDE=FQ","FILING_STATUS=MR","SCALING_FORMAT=MLN","Sort=A","Dates=H","DateFormat=P","Fill=—","Direction=H","UseDPDF=Y")</f>
        <v>1.6950000000000001</v>
      </c>
      <c r="T47" s="13" t="str">
        <f>_xll.BDH("SRPT US Equity","ARD_CASH_PAID_FOR_TAXES","FQ1 2023","FQ1 2023","Currency=USD","Period=FQ","BEST_FPERIOD_OVERRIDE=FQ","FILING_STATUS=MR","SCALING_FORMAT=MLN","Sort=A","Dates=H","DateFormat=P","Fill=—","Direction=H","UseDPDF=Y")</f>
        <v>—</v>
      </c>
      <c r="U47" s="13" t="str">
        <f>_xll.BDH("SRPT US Equity","ARD_CASH_PAID_FOR_TAXES","FQ2 2023","FQ2 2023","Currency=USD","Period=FQ","BEST_FPERIOD_OVERRIDE=FQ","FILING_STATUS=MR","SCALING_FORMAT=MLN","Sort=A","Dates=H","DateFormat=P","Fill=—","Direction=H","UseDPDF=Y")</f>
        <v>—</v>
      </c>
      <c r="V47" s="13">
        <f>_xll.BDH("SRPT US Equity","ARD_CASH_PAID_FOR_TAXES","FQ3 2023","FQ3 2023","Currency=USD","Period=FQ","BEST_FPERIOD_OVERRIDE=FQ","FILING_STATUS=MR","SCALING_FORMAT=MLN","Sort=A","Dates=H","DateFormat=P","Fill=—","Direction=H","UseDPDF=Y")</f>
        <v>9.5690000000000008</v>
      </c>
      <c r="W47" s="13">
        <f>_xll.BDH("SRPT US Equity","ARD_CASH_PAID_FOR_TAXES","FQ4 2023","FQ4 2023","Currency=USD","Period=FQ","BEST_FPERIOD_OVERRIDE=FQ","FILING_STATUS=MR","SCALING_FORMAT=MLN","Sort=A","Dates=H","DateFormat=P","Fill=—","Direction=H","UseDPDF=Y")</f>
        <v>15.081</v>
      </c>
      <c r="X47" s="13">
        <f>_xll.BDH("SRPT US Equity","ARD_CASH_PAID_FOR_TAXES","FQ1 2024","FQ1 2024","Currency=USD","Period=FQ","BEST_FPERIOD_OVERRIDE=FQ","FILING_STATUS=MR","SCALING_FORMAT=MLN","Sort=A","Dates=H","DateFormat=P","Fill=—","Direction=H","UseDPDF=Y")</f>
        <v>0.90900000000000003</v>
      </c>
      <c r="Y47" s="13">
        <f>_xll.BDH("SRPT US Equity","ARD_CASH_PAID_FOR_TAXES","FQ2 2024","FQ2 2024","Currency=USD","Period=FQ","BEST_FPERIOD_OVERRIDE=FQ","FILING_STATUS=MR","SCALING_FORMAT=MLN","Sort=A","Dates=H","DateFormat=P","Fill=—","Direction=H","UseDPDF=Y")</f>
        <v>7.99</v>
      </c>
      <c r="Z47" s="13">
        <f>_xll.BDH("SRPT US Equity","ARD_CASH_PAID_FOR_TAXES","FQ3 2024","FQ3 2024","Currency=USD","Period=FQ","BEST_FPERIOD_OVERRIDE=FQ","FILING_STATUS=MR","SCALING_FORMAT=MLN","Sort=A","Dates=H","DateFormat=P","Fill=—","Direction=H","UseDPDF=Y")</f>
        <v>11.614000000000001</v>
      </c>
      <c r="AA47" s="13">
        <f>_xll.BDH("SRPT US Equity","ARD_CASH_PAID_FOR_TAXES","FQ4 2024","FQ4 2024","Currency=USD","Period=FQ","BEST_FPERIOD_OVERRIDE=FQ","FILING_STATUS=MR","SCALING_FORMAT=MLN","Sort=A","Dates=H","DateFormat=P","Fill=—","Direction=H","UseDPDF=Y")</f>
        <v>22.587</v>
      </c>
    </row>
    <row r="48" spans="1:27" x14ac:dyDescent="0.25">
      <c r="A48" s="10" t="s">
        <v>1343</v>
      </c>
      <c r="B48" s="10" t="s">
        <v>1344</v>
      </c>
      <c r="C48" s="13">
        <f>_xll.BDH("SRPT US Equity","ARD_CASH_PAID_FOR_INTEREST","FQ4 2018","FQ4 2018","Currency=USD","Period=FQ","BEST_FPERIOD_OVERRIDE=FQ","FILING_STATUS=MR","SCALING_FORMAT=MLN","Sort=A","Dates=H","DateFormat=P","Fill=—","Direction=H","UseDPDF=Y")</f>
        <v>11.308</v>
      </c>
      <c r="D48" s="13">
        <f>_xll.BDH("SRPT US Equity","ARD_CASH_PAID_FOR_INTEREST","FQ1 2019","FQ1 2019","Currency=USD","Period=FQ","BEST_FPERIOD_OVERRIDE=FQ","FILING_STATUS=MR","SCALING_FORMAT=MLN","Sort=A","Dates=H","DateFormat=P","Fill=—","Direction=H","UseDPDF=Y")</f>
        <v>0</v>
      </c>
      <c r="E48" s="13">
        <f>_xll.BDH("SRPT US Equity","ARD_CASH_PAID_FOR_INTEREST","FQ2 2019","FQ2 2019","Currency=USD","Period=FQ","BEST_FPERIOD_OVERRIDE=FQ","FILING_STATUS=MR","SCALING_FORMAT=MLN","Sort=A","Dates=H","DateFormat=P","Fill=—","Direction=H","UseDPDF=Y")</f>
        <v>4.2750000000000004</v>
      </c>
      <c r="F48" s="13">
        <f>_xll.BDH("SRPT US Equity","ARD_CASH_PAID_FOR_INTEREST","FQ3 2019","FQ3 2019","Currency=USD","Period=FQ","BEST_FPERIOD_OVERRIDE=FQ","FILING_STATUS=MR","SCALING_FORMAT=MLN","Sort=A","Dates=H","DateFormat=P","Fill=—","Direction=H","UseDPDF=Y")</f>
        <v>4.2750000000000004</v>
      </c>
      <c r="G48" s="13">
        <f>_xll.BDH("SRPT US Equity","ARD_CASH_PAID_FOR_INTEREST","FQ4 2019","FQ4 2019","Currency=USD","Period=FQ","BEST_FPERIOD_OVERRIDE=FQ","FILING_STATUS=MR","SCALING_FORMAT=MLN","Sort=A","Dates=H","DateFormat=P","Fill=—","Direction=H","UseDPDF=Y")</f>
        <v>9.4830000000000005</v>
      </c>
      <c r="H48" s="13">
        <f>_xll.BDH("SRPT US Equity","ARD_CASH_PAID_FOR_INTEREST","FQ1 2020","FQ1 2020","Currency=USD","Period=FQ","BEST_FPERIOD_OVERRIDE=FQ","FILING_STATUS=MR","SCALING_FORMAT=MLN","Sort=A","Dates=H","DateFormat=P","Fill=—","Direction=H","UseDPDF=Y")</f>
        <v>5.3849999999999998</v>
      </c>
      <c r="I48" s="13">
        <f>_xll.BDH("SRPT US Equity","ARD_CASH_PAID_FOR_INTEREST","FQ2 2020","FQ2 2020","Currency=USD","Period=FQ","BEST_FPERIOD_OVERRIDE=FQ","FILING_STATUS=MR","SCALING_FORMAT=MLN","Sort=A","Dates=H","DateFormat=P","Fill=—","Direction=H","UseDPDF=Y")</f>
        <v>15.032</v>
      </c>
      <c r="J48" s="13">
        <f>_xll.BDH("SRPT US Equity","ARD_CASH_PAID_FOR_INTEREST","FQ3 2020","FQ3 2020","Currency=USD","Period=FQ","BEST_FPERIOD_OVERRIDE=FQ","FILING_STATUS=MR","SCALING_FORMAT=MLN","Sort=A","Dates=H","DateFormat=P","Fill=—","Direction=H","UseDPDF=Y")</f>
        <v>20.462</v>
      </c>
      <c r="K48" s="13">
        <f>_xll.BDH("SRPT US Equity","ARD_CASH_PAID_FOR_INTEREST","FQ4 2020","FQ4 2020","Currency=USD","Period=FQ","BEST_FPERIOD_OVERRIDE=FQ","FILING_STATUS=MR","SCALING_FORMAT=MLN","Sort=A","Dates=H","DateFormat=P","Fill=—","Direction=H","UseDPDF=Y")</f>
        <v>36.927999999999997</v>
      </c>
      <c r="L48" s="13">
        <f>_xll.BDH("SRPT US Equity","ARD_CASH_PAID_FOR_INTEREST","FQ1 2021","FQ1 2021","Currency=USD","Period=FQ","BEST_FPERIOD_OVERRIDE=FQ","FILING_STATUS=MR","SCALING_FORMAT=MLN","Sort=A","Dates=H","DateFormat=P","Fill=—","Direction=H","UseDPDF=Y")</f>
        <v>11.688000000000001</v>
      </c>
      <c r="M48" s="13">
        <f>_xll.BDH("SRPT US Equity","ARD_CASH_PAID_FOR_INTEREST","FQ2 2021","FQ2 2021","Currency=USD","Period=FQ","BEST_FPERIOD_OVERRIDE=FQ","FILING_STATUS=MR","SCALING_FORMAT=MLN","Sort=A","Dates=H","DateFormat=P","Fill=—","Direction=H","UseDPDF=Y")</f>
        <v>27.78</v>
      </c>
      <c r="N48" s="13">
        <f>_xll.BDH("SRPT US Equity","ARD_CASH_PAID_FOR_INTEREST","FQ3 2021","FQ3 2021","Currency=USD","Period=FQ","BEST_FPERIOD_OVERRIDE=FQ","FILING_STATUS=MR","SCALING_FORMAT=MLN","Sort=A","Dates=H","DateFormat=P","Fill=—","Direction=H","UseDPDF=Y")</f>
        <v>39.726999999999997</v>
      </c>
      <c r="O48" s="13">
        <f>_xll.BDH("SRPT US Equity","ARD_CASH_PAID_FOR_INTEREST","FQ4 2021","FQ4 2021","Currency=USD","Period=FQ","BEST_FPERIOD_OVERRIDE=FQ","FILING_STATUS=MR","SCALING_FORMAT=MLN","Sort=A","Dates=H","DateFormat=P","Fill=—","Direction=H","UseDPDF=Y")</f>
        <v>55.948999999999998</v>
      </c>
      <c r="P48" s="13">
        <f>_xll.BDH("SRPT US Equity","ARD_CASH_PAID_FOR_INTEREST","FQ1 2022","FQ1 2022","Currency=USD","Period=FQ","BEST_FPERIOD_OVERRIDE=FQ","FILING_STATUS=MR","SCALING_FORMAT=MLN","Sort=A","Dates=H","DateFormat=P","Fill=—","Direction=H","UseDPDF=Y")</f>
        <v>11.688000000000001</v>
      </c>
      <c r="Q48" s="13">
        <f>_xll.BDH("SRPT US Equity","ARD_CASH_PAID_FOR_INTEREST","FQ2 2022","FQ2 2022","Currency=USD","Period=FQ","BEST_FPERIOD_OVERRIDE=FQ","FILING_STATUS=MR","SCALING_FORMAT=MLN","Sort=A","Dates=H","DateFormat=P","Fill=—","Direction=H","UseDPDF=Y")</f>
        <v>27.78</v>
      </c>
      <c r="R48" s="13">
        <f>_xll.BDH("SRPT US Equity","ARD_CASH_PAID_FOR_INTEREST","FQ3 2022","FQ3 2022","Currency=USD","Period=FQ","BEST_FPERIOD_OVERRIDE=FQ","FILING_STATUS=MR","SCALING_FORMAT=MLN","Sort=A","Dates=H","DateFormat=P","Fill=—","Direction=H","UseDPDF=Y")</f>
        <v>41.273000000000003</v>
      </c>
      <c r="S48" s="13">
        <f>_xll.BDH("SRPT US Equity","ARD_CASH_PAID_FOR_INTEREST","FQ4 2022","FQ4 2022","Currency=USD","Period=FQ","BEST_FPERIOD_OVERRIDE=FQ","FILING_STATUS=MR","SCALING_FORMAT=MLN","Sort=A","Dates=H","DateFormat=P","Fill=—","Direction=H","UseDPDF=Y")</f>
        <v>44.417999999999999</v>
      </c>
      <c r="T48" s="13">
        <f>_xll.BDH("SRPT US Equity","ARD_CASH_PAID_FOR_INTEREST","FQ1 2023","FQ1 2023","Currency=USD","Period=FQ","BEST_FPERIOD_OVERRIDE=FQ","FILING_STATUS=MR","SCALING_FORMAT=MLN","Sort=A","Dates=H","DateFormat=P","Fill=—","Direction=H","UseDPDF=Y")</f>
        <v>7.0229999999999997</v>
      </c>
      <c r="U48" s="13">
        <f>_xll.BDH("SRPT US Equity","ARD_CASH_PAID_FOR_INTEREST","FQ2 2023","FQ2 2023","Currency=USD","Period=FQ","BEST_FPERIOD_OVERRIDE=FQ","FILING_STATUS=MR","SCALING_FORMAT=MLN","Sort=A","Dates=H","DateFormat=P","Fill=—","Direction=H","UseDPDF=Y")</f>
        <v>7.8170000000000002</v>
      </c>
      <c r="V48" s="13">
        <f>_xll.BDH("SRPT US Equity","ARD_CASH_PAID_FOR_INTEREST","FQ3 2023","FQ3 2023","Currency=USD","Period=FQ","BEST_FPERIOD_OVERRIDE=FQ","FILING_STATUS=MR","SCALING_FORMAT=MLN","Sort=A","Dates=H","DateFormat=P","Fill=—","Direction=H","UseDPDF=Y")</f>
        <v>15.129</v>
      </c>
      <c r="W48" s="13">
        <f>_xll.BDH("SRPT US Equity","ARD_CASH_PAID_FOR_INTEREST","FQ4 2023","FQ4 2023","Currency=USD","Period=FQ","BEST_FPERIOD_OVERRIDE=FQ","FILING_STATUS=MR","SCALING_FORMAT=MLN","Sort=A","Dates=H","DateFormat=P","Fill=—","Direction=H","UseDPDF=Y")</f>
        <v>15.923</v>
      </c>
      <c r="X48" s="13">
        <f>_xll.BDH("SRPT US Equity","ARD_CASH_PAID_FOR_INTEREST","FQ1 2024","FQ1 2024","Currency=USD","Period=FQ","BEST_FPERIOD_OVERRIDE=FQ","FILING_STATUS=MR","SCALING_FORMAT=MLN","Sort=A","Dates=H","DateFormat=P","Fill=—","Direction=H","UseDPDF=Y")</f>
        <v>7.1879999999999997</v>
      </c>
      <c r="Y48" s="13">
        <f>_xll.BDH("SRPT US Equity","ARD_CASH_PAID_FOR_INTEREST","FQ2 2024","FQ2 2024","Currency=USD","Period=FQ","BEST_FPERIOD_OVERRIDE=FQ","FILING_STATUS=MR","SCALING_FORMAT=MLN","Sort=A","Dates=H","DateFormat=P","Fill=—","Direction=H","UseDPDF=Y")</f>
        <v>7.9809999999999999</v>
      </c>
      <c r="Z48" s="13">
        <f>_xll.BDH("SRPT US Equity","ARD_CASH_PAID_FOR_INTEREST","FQ3 2024","FQ3 2024","Currency=USD","Period=FQ","BEST_FPERIOD_OVERRIDE=FQ","FILING_STATUS=MR","SCALING_FORMAT=MLN","Sort=A","Dates=H","DateFormat=P","Fill=—","Direction=H","UseDPDF=Y")</f>
        <v>15.169</v>
      </c>
      <c r="AA48" s="13">
        <f>_xll.BDH("SRPT US Equity","ARD_CASH_PAID_FOR_INTEREST","FQ4 2024","FQ4 2024","Currency=USD","Period=FQ","BEST_FPERIOD_OVERRIDE=FQ","FILING_STATUS=MR","SCALING_FORMAT=MLN","Sort=A","Dates=H","DateFormat=P","Fill=—","Direction=H","UseDPDF=Y")</f>
        <v>15.856</v>
      </c>
    </row>
    <row r="49" spans="1:27" x14ac:dyDescent="0.25">
      <c r="A49" s="10" t="s">
        <v>1345</v>
      </c>
      <c r="B49" s="10" t="s">
        <v>1346</v>
      </c>
      <c r="C49" s="13">
        <f>_xll.BDH("SRPT US Equity","ARD_EXERCISE_OF_STOCK_OPTIONS","FQ4 2018","FQ4 2018","Currency=USD","Period=FQ","BEST_FPERIOD_OVERRIDE=FQ","FILING_STATUS=MR","SCALING_FORMAT=MLN","Sort=A","Dates=H","DateFormat=P","Fill=—","Direction=H","UseDPDF=Y")</f>
        <v>50.222000000000001</v>
      </c>
      <c r="D49" s="13">
        <f>_xll.BDH("SRPT US Equity","ARD_EXERCISE_OF_STOCK_OPTIONS","FQ1 2019","FQ1 2019","Currency=USD","Period=FQ","BEST_FPERIOD_OVERRIDE=FQ","FILING_STATUS=MR","SCALING_FORMAT=MLN","Sort=A","Dates=H","DateFormat=P","Fill=—","Direction=H","UseDPDF=Y")</f>
        <v>12.298999999999999</v>
      </c>
      <c r="E49" s="13">
        <f>_xll.BDH("SRPT US Equity","ARD_EXERCISE_OF_STOCK_OPTIONS","FQ2 2019","FQ2 2019","Currency=USD","Period=FQ","BEST_FPERIOD_OVERRIDE=FQ","FILING_STATUS=MR","SCALING_FORMAT=MLN","Sort=A","Dates=H","DateFormat=P","Fill=—","Direction=H","UseDPDF=Y")</f>
        <v>19.390999999999998</v>
      </c>
      <c r="F49" s="13">
        <f>_xll.BDH("SRPT US Equity","ARD_EXERCISE_OF_STOCK_OPTIONS","FQ3 2019","FQ3 2019","Currency=USD","Period=FQ","BEST_FPERIOD_OVERRIDE=FQ","FILING_STATUS=MR","SCALING_FORMAT=MLN","Sort=A","Dates=H","DateFormat=P","Fill=—","Direction=H","UseDPDF=Y")</f>
        <v>24.571999999999999</v>
      </c>
      <c r="G49" s="13">
        <f>_xll.BDH("SRPT US Equity","ARD_EXERCISE_OF_STOCK_OPTIONS","FQ4 2019","FQ4 2019","Currency=USD","Period=FQ","BEST_FPERIOD_OVERRIDE=FQ","FILING_STATUS=MR","SCALING_FORMAT=MLN","Sort=A","Dates=H","DateFormat=P","Fill=—","Direction=H","UseDPDF=Y")</f>
        <v>36.600999999999999</v>
      </c>
      <c r="H49" s="13">
        <f>_xll.BDH("SRPT US Equity","ARD_EXERCISE_OF_STOCK_OPTIONS","FQ1 2020","FQ1 2020","Currency=USD","Period=FQ","BEST_FPERIOD_OVERRIDE=FQ","FILING_STATUS=MR","SCALING_FORMAT=MLN","Sort=A","Dates=H","DateFormat=P","Fill=—","Direction=H","UseDPDF=Y")</f>
        <v>7.4820000000000002</v>
      </c>
      <c r="I49" s="13">
        <f>_xll.BDH("SRPT US Equity","ARD_EXERCISE_OF_STOCK_OPTIONS","FQ2 2020","FQ2 2020","Currency=USD","Period=FQ","BEST_FPERIOD_OVERRIDE=FQ","FILING_STATUS=MR","SCALING_FORMAT=MLN","Sort=A","Dates=H","DateFormat=P","Fill=—","Direction=H","UseDPDF=Y")</f>
        <v>29.341999999999999</v>
      </c>
      <c r="J49" s="13">
        <f>_xll.BDH("SRPT US Equity","ARD_EXERCISE_OF_STOCK_OPTIONS","FQ3 2020","FQ3 2020","Currency=USD","Period=FQ","BEST_FPERIOD_OVERRIDE=FQ","FILING_STATUS=MR","SCALING_FORMAT=MLN","Sort=A","Dates=H","DateFormat=P","Fill=—","Direction=H","UseDPDF=Y")</f>
        <v>48.131</v>
      </c>
      <c r="K49" s="13">
        <f>_xll.BDH("SRPT US Equity","ARD_EXERCISE_OF_STOCK_OPTIONS","FQ4 2020","FQ4 2020","Currency=USD","Period=FQ","BEST_FPERIOD_OVERRIDE=FQ","FILING_STATUS=MR","SCALING_FORMAT=MLN","Sort=A","Dates=H","DateFormat=P","Fill=—","Direction=H","UseDPDF=Y")</f>
        <v>83.956999999999994</v>
      </c>
      <c r="L49" s="13">
        <f>_xll.BDH("SRPT US Equity","ARD_EXERCISE_OF_STOCK_OPTIONS","FQ1 2021","FQ1 2021","Currency=USD","Period=FQ","BEST_FPERIOD_OVERRIDE=FQ","FILING_STATUS=MR","SCALING_FORMAT=MLN","Sort=A","Dates=H","DateFormat=P","Fill=—","Direction=H","UseDPDF=Y")</f>
        <v>9.2260000000000009</v>
      </c>
      <c r="M49" s="13">
        <f>_xll.BDH("SRPT US Equity","ARD_EXERCISE_OF_STOCK_OPTIONS","FQ2 2021","FQ2 2021","Currency=USD","Period=FQ","BEST_FPERIOD_OVERRIDE=FQ","FILING_STATUS=MR","SCALING_FORMAT=MLN","Sort=A","Dates=H","DateFormat=P","Fill=—","Direction=H","UseDPDF=Y")</f>
        <v>12.752000000000001</v>
      </c>
      <c r="N49" s="13">
        <f>_xll.BDH("SRPT US Equity","ARD_EXERCISE_OF_STOCK_OPTIONS","FQ3 2021","FQ3 2021","Currency=USD","Period=FQ","BEST_FPERIOD_OVERRIDE=FQ","FILING_STATUS=MR","SCALING_FORMAT=MLN","Sort=A","Dates=H","DateFormat=P","Fill=—","Direction=H","UseDPDF=Y")</f>
        <v>18.654</v>
      </c>
      <c r="O49" s="13">
        <f>_xll.BDH("SRPT US Equity","ARD_EXERCISE_OF_STOCK_OPTIONS","FQ4 2021","FQ4 2021","Currency=USD","Period=FQ","BEST_FPERIOD_OVERRIDE=FQ","FILING_STATUS=MR","SCALING_FORMAT=MLN","Sort=A","Dates=H","DateFormat=P","Fill=—","Direction=H","UseDPDF=Y")</f>
        <v>20.802</v>
      </c>
      <c r="P49" s="13">
        <f>_xll.BDH("SRPT US Equity","ARD_EXERCISE_OF_STOCK_OPTIONS","FQ1 2022","FQ1 2022","Currency=USD","Period=FQ","BEST_FPERIOD_OVERRIDE=FQ","FILING_STATUS=MR","SCALING_FORMAT=MLN","Sort=A","Dates=H","DateFormat=P","Fill=—","Direction=H","UseDPDF=Y")</f>
        <v>4.99</v>
      </c>
      <c r="Q49" s="13">
        <f>_xll.BDH("SRPT US Equity","ARD_EXERCISE_OF_STOCK_OPTIONS","FQ2 2022","FQ2 2022","Currency=USD","Period=FQ","BEST_FPERIOD_OVERRIDE=FQ","FILING_STATUS=MR","SCALING_FORMAT=MLN","Sort=A","Dates=H","DateFormat=P","Fill=—","Direction=H","UseDPDF=Y")</f>
        <v>5.3289999999999997</v>
      </c>
      <c r="R49" s="13">
        <f>_xll.BDH("SRPT US Equity","ARD_EXERCISE_OF_STOCK_OPTIONS","FQ3 2022","FQ3 2022","Currency=USD","Period=FQ","BEST_FPERIOD_OVERRIDE=FQ","FILING_STATUS=MR","SCALING_FORMAT=MLN","Sort=A","Dates=H","DateFormat=P","Fill=—","Direction=H","UseDPDF=Y")</f>
        <v>45.057000000000002</v>
      </c>
      <c r="S49" s="13">
        <f>_xll.BDH("SRPT US Equity","ARD_EXERCISE_OF_STOCK_OPTIONS","FQ4 2022","FQ4 2022","Currency=USD","Period=FQ","BEST_FPERIOD_OVERRIDE=FQ","FILING_STATUS=MR","SCALING_FORMAT=MLN","Sort=A","Dates=H","DateFormat=P","Fill=—","Direction=H","UseDPDF=Y")</f>
        <v>56.36</v>
      </c>
      <c r="T49" s="13">
        <f>_xll.BDH("SRPT US Equity","ARD_EXERCISE_OF_STOCK_OPTIONS","FQ1 2023","FQ1 2023","Currency=USD","Period=FQ","BEST_FPERIOD_OVERRIDE=FQ","FILING_STATUS=MR","SCALING_FORMAT=MLN","Sort=A","Dates=H","DateFormat=P","Fill=—","Direction=H","UseDPDF=Y")</f>
        <v>28.036999999999999</v>
      </c>
      <c r="U49" s="13">
        <f>_xll.BDH("SRPT US Equity","ARD_EXERCISE_OF_STOCK_OPTIONS","FQ2 2023","FQ2 2023","Currency=USD","Period=FQ","BEST_FPERIOD_OVERRIDE=FQ","FILING_STATUS=MR","SCALING_FORMAT=MLN","Sort=A","Dates=H","DateFormat=P","Fill=—","Direction=H","UseDPDF=Y")</f>
        <v>33.898000000000003</v>
      </c>
      <c r="V49" s="13">
        <f>_xll.BDH("SRPT US Equity","ARD_EXERCISE_OF_STOCK_OPTIONS","FQ3 2023","FQ3 2023","Currency=USD","Period=FQ","BEST_FPERIOD_OVERRIDE=FQ","FILING_STATUS=MR","SCALING_FORMAT=MLN","Sort=A","Dates=H","DateFormat=P","Fill=—","Direction=H","UseDPDF=Y")</f>
        <v>49.302999999999997</v>
      </c>
      <c r="W49" s="13">
        <f>_xll.BDH("SRPT US Equity","ARD_EXERCISE_OF_STOCK_OPTIONS","FQ4 2023","FQ4 2023","Currency=USD","Period=FQ","BEST_FPERIOD_OVERRIDE=FQ","FILING_STATUS=MR","SCALING_FORMAT=MLN","Sort=A","Dates=H","DateFormat=P","Fill=—","Direction=H","UseDPDF=Y")</f>
        <v>51.246000000000002</v>
      </c>
      <c r="X49" s="13">
        <f>_xll.BDH("SRPT US Equity","ARD_EXERCISE_OF_STOCK_OPTIONS","FQ1 2024","FQ1 2024","Currency=USD","Period=FQ","BEST_FPERIOD_OVERRIDE=FQ","FILING_STATUS=MR","SCALING_FORMAT=MLN","Sort=A","Dates=H","DateFormat=P","Fill=—","Direction=H","UseDPDF=Y")</f>
        <v>22.14</v>
      </c>
      <c r="Y49" s="13">
        <f>_xll.BDH("SRPT US Equity","ARD_EXERCISE_OF_STOCK_OPTIONS","FQ2 2024","FQ2 2024","Currency=USD","Period=FQ","BEST_FPERIOD_OVERRIDE=FQ","FILING_STATUS=MR","SCALING_FORMAT=MLN","Sort=A","Dates=H","DateFormat=P","Fill=—","Direction=H","UseDPDF=Y")</f>
        <v>62.058</v>
      </c>
      <c r="Z49" s="13">
        <f>_xll.BDH("SRPT US Equity","ARD_EXERCISE_OF_STOCK_OPTIONS","FQ3 2024","FQ3 2024","Currency=USD","Period=FQ","BEST_FPERIOD_OVERRIDE=FQ","FILING_STATUS=MR","SCALING_FORMAT=MLN","Sort=A","Dates=H","DateFormat=P","Fill=—","Direction=H","UseDPDF=Y")</f>
        <v>75.814999999999998</v>
      </c>
      <c r="AA49" s="13">
        <f>_xll.BDH("SRPT US Equity","ARD_EXERCISE_OF_STOCK_OPTIONS","FQ4 2024","FQ4 2024","Currency=USD","Period=FQ","BEST_FPERIOD_OVERRIDE=FQ","FILING_STATUS=MR","SCALING_FORMAT=MLN","Sort=A","Dates=H","DateFormat=P","Fill=—","Direction=H","UseDPDF=Y")</f>
        <v>79.525000000000006</v>
      </c>
    </row>
    <row r="50" spans="1:27" x14ac:dyDescent="0.25">
      <c r="A50" s="10" t="s">
        <v>1347</v>
      </c>
      <c r="B50" s="10" t="s">
        <v>1348</v>
      </c>
      <c r="C50" s="13">
        <f>_xll.BDH("SRPT US Equity","ARD_NET_CHANGE_IN_CASH","FQ4 2018","FQ4 2018","Currency=USD","Period=FQ","BEST_FPERIOD_OVERRIDE=FQ","FILING_STATUS=MR","SCALING_FORMAT=MLN","Sort=A","Dates=H","DateFormat=P","Fill=—","Direction=H","UseDPDF=Y")</f>
        <v>-228.99799999999999</v>
      </c>
      <c r="D50" s="13">
        <f>_xll.BDH("SRPT US Equity","ARD_NET_CHANGE_IN_CASH","FQ1 2019","FQ1 2019","Currency=USD","Period=FQ","BEST_FPERIOD_OVERRIDE=FQ","FILING_STATUS=MR","SCALING_FORMAT=MLN","Sort=A","Dates=H","DateFormat=P","Fill=—","Direction=H","UseDPDF=Y")</f>
        <v>366.56099999999998</v>
      </c>
      <c r="E50" s="13">
        <f>_xll.BDH("SRPT US Equity","ARD_NET_CHANGE_IN_CASH","FQ2 2019","FQ2 2019","Currency=USD","Period=FQ","BEST_FPERIOD_OVERRIDE=FQ","FILING_STATUS=MR","SCALING_FORMAT=MLN","Sort=A","Dates=H","DateFormat=P","Fill=—","Direction=H","UseDPDF=Y")</f>
        <v>446.22199999999998</v>
      </c>
      <c r="F50" s="13">
        <f>_xll.BDH("SRPT US Equity","ARD_NET_CHANGE_IN_CASH","FQ3 2019","FQ3 2019","Currency=USD","Period=FQ","BEST_FPERIOD_OVERRIDE=FQ","FILING_STATUS=MR","SCALING_FORMAT=MLN","Sort=A","Dates=H","DateFormat=P","Fill=—","Direction=H","UseDPDF=Y")</f>
        <v>362.565</v>
      </c>
      <c r="G50" s="13">
        <f>_xll.BDH("SRPT US Equity","ARD_NET_CHANGE_IN_CASH","FQ4 2019","FQ4 2019","Currency=USD","Period=FQ","BEST_FPERIOD_OVERRIDE=FQ","FILING_STATUS=MR","SCALING_FORMAT=MLN","Sort=A","Dates=H","DateFormat=P","Fill=—","Direction=H","UseDPDF=Y")</f>
        <v>472.81599999999997</v>
      </c>
      <c r="H50" s="13">
        <f>_xll.BDH("SRPT US Equity","ARD_NET_CHANGE_IN_CASH","FQ1 2020","FQ1 2020","Currency=USD","Period=FQ","BEST_FPERIOD_OVERRIDE=FQ","FILING_STATUS=MR","SCALING_FORMAT=MLN","Sort=A","Dates=H","DateFormat=P","Fill=—","Direction=H","UseDPDF=Y")</f>
        <v>929.13199999999995</v>
      </c>
      <c r="I50" s="13">
        <f>_xll.BDH("SRPT US Equity","ARD_NET_CHANGE_IN_CASH","FQ2 2020","FQ2 2020","Currency=USD","Period=FQ","BEST_FPERIOD_OVERRIDE=FQ","FILING_STATUS=MR","SCALING_FORMAT=MLN","Sort=A","Dates=H","DateFormat=P","Fill=—","Direction=H","UseDPDF=Y")</f>
        <v>804.87900000000002</v>
      </c>
      <c r="J50" s="13">
        <f>_xll.BDH("SRPT US Equity","ARD_NET_CHANGE_IN_CASH","FQ3 2020","FQ3 2020","Currency=USD","Period=FQ","BEST_FPERIOD_OVERRIDE=FQ","FILING_STATUS=MR","SCALING_FORMAT=MLN","Sort=A","Dates=H","DateFormat=P","Fill=—","Direction=H","UseDPDF=Y")</f>
        <v>639.55700000000002</v>
      </c>
      <c r="K50" s="13">
        <f>_xll.BDH("SRPT US Equity","ARD_NET_CHANGE_IN_CASH","FQ4 2020","FQ4 2020","Currency=USD","Period=FQ","BEST_FPERIOD_OVERRIDE=FQ","FILING_STATUS=MR","SCALING_FORMAT=MLN","Sort=A","Dates=H","DateFormat=P","Fill=—","Direction=H","UseDPDF=Y")</f>
        <v>668.06799999999998</v>
      </c>
      <c r="L50" s="13">
        <f>_xll.BDH("SRPT US Equity","ARD_NET_CHANGE_IN_CASH","FQ1 2021","FQ1 2021","Currency=USD","Period=FQ","BEST_FPERIOD_OVERRIDE=FQ","FILING_STATUS=MR","SCALING_FORMAT=MLN","Sort=A","Dates=H","DateFormat=P","Fill=—","Direction=H","UseDPDF=Y")</f>
        <v>-20.812000000000001</v>
      </c>
      <c r="M50" s="13">
        <f>_xll.BDH("SRPT US Equity","ARD_NET_CHANGE_IN_CASH","FQ2 2021","FQ2 2021","Currency=USD","Period=FQ","BEST_FPERIOD_OVERRIDE=FQ","FILING_STATUS=MR","SCALING_FORMAT=MLN","Sort=A","Dates=H","DateFormat=P","Fill=—","Direction=H","UseDPDF=Y")</f>
        <v>194.62700000000001</v>
      </c>
      <c r="N50" s="13">
        <f>_xll.BDH("SRPT US Equity","ARD_NET_CHANGE_IN_CASH","FQ3 2021","FQ3 2021","Currency=USD","Period=FQ","BEST_FPERIOD_OVERRIDE=FQ","FILING_STATUS=MR","SCALING_FORMAT=MLN","Sort=A","Dates=H","DateFormat=P","Fill=—","Direction=H","UseDPDF=Y")</f>
        <v>96.465000000000003</v>
      </c>
      <c r="O50" s="13">
        <f>_xll.BDH("SRPT US Equity","ARD_NET_CHANGE_IN_CASH","FQ4 2021","FQ4 2021","Currency=USD","Period=FQ","BEST_FPERIOD_OVERRIDE=FQ","FILING_STATUS=MR","SCALING_FORMAT=MLN","Sort=A","Dates=H","DateFormat=P","Fill=—","Direction=H","UseDPDF=Y")</f>
        <v>613.80999999999995</v>
      </c>
      <c r="P50" s="13">
        <f>_xll.BDH("SRPT US Equity","ARD_NET_CHANGE_IN_CASH","FQ1 2022","FQ1 2022","Currency=USD","Period=FQ","BEST_FPERIOD_OVERRIDE=FQ","FILING_STATUS=MR","SCALING_FORMAT=MLN","Sort=A","Dates=H","DateFormat=P","Fill=—","Direction=H","UseDPDF=Y")</f>
        <v>-881.99199999999996</v>
      </c>
      <c r="Q50" s="13">
        <f>_xll.BDH("SRPT US Equity","ARD_NET_CHANGE_IN_CASH","FQ2 2022","FQ2 2022","Currency=USD","Period=FQ","BEST_FPERIOD_OVERRIDE=FQ","FILING_STATUS=MR","SCALING_FORMAT=MLN","Sort=A","Dates=H","DateFormat=P","Fill=—","Direction=H","UseDPDF=Y")</f>
        <v>-1238.4590000000001</v>
      </c>
      <c r="R50" s="13">
        <f>_xll.BDH("SRPT US Equity","ARD_NET_CHANGE_IN_CASH","FQ3 2022","FQ3 2022","Currency=USD","Period=FQ","BEST_FPERIOD_OVERRIDE=FQ","FILING_STATUS=MR","SCALING_FORMAT=MLN","Sort=A","Dates=H","DateFormat=P","Fill=—","Direction=H","UseDPDF=Y")</f>
        <v>-1067.875</v>
      </c>
      <c r="S50" s="13">
        <f>_xll.BDH("SRPT US Equity","ARD_NET_CHANGE_IN_CASH","FQ4 2022","FQ4 2022","Currency=USD","Period=FQ","BEST_FPERIOD_OVERRIDE=FQ","FILING_STATUS=MR","SCALING_FORMAT=MLN","Sort=A","Dates=H","DateFormat=P","Fill=—","Direction=H","UseDPDF=Y")</f>
        <v>-1139.722</v>
      </c>
      <c r="T50" s="13">
        <f>_xll.BDH("SRPT US Equity","ARD_NET_CHANGE_IN_CASH","FQ1 2023","FQ1 2023","Currency=USD","Period=FQ","BEST_FPERIOD_OVERRIDE=FQ","FILING_STATUS=MR","SCALING_FORMAT=MLN","Sort=A","Dates=H","DateFormat=P","Fill=—","Direction=H","UseDPDF=Y")</f>
        <v>-95.108999999999995</v>
      </c>
      <c r="U50" s="13">
        <f>_xll.BDH("SRPT US Equity","ARD_NET_CHANGE_IN_CASH","FQ2 2023","FQ2 2023","Currency=USD","Period=FQ","BEST_FPERIOD_OVERRIDE=FQ","FILING_STATUS=MR","SCALING_FORMAT=MLN","Sort=A","Dates=H","DateFormat=P","Fill=—","Direction=H","UseDPDF=Y")</f>
        <v>-114.848</v>
      </c>
      <c r="V50" s="13">
        <f>_xll.BDH("SRPT US Equity","ARD_NET_CHANGE_IN_CASH","FQ3 2023","FQ3 2023","Currency=USD","Period=FQ","BEST_FPERIOD_OVERRIDE=FQ","FILING_STATUS=MR","SCALING_FORMAT=MLN","Sort=A","Dates=H","DateFormat=P","Fill=—","Direction=H","UseDPDF=Y")</f>
        <v>-424.72</v>
      </c>
      <c r="W50" s="13">
        <f>_xll.BDH("SRPT US Equity","ARD_NET_CHANGE_IN_CASH","FQ4 2023","FQ4 2023","Currency=USD","Period=FQ","BEST_FPERIOD_OVERRIDE=FQ","FILING_STATUS=MR","SCALING_FORMAT=MLN","Sort=A","Dates=H","DateFormat=P","Fill=—","Direction=H","UseDPDF=Y")</f>
        <v>-541.79200000000003</v>
      </c>
      <c r="X50" s="13">
        <f>_xll.BDH("SRPT US Equity","ARD_NET_CHANGE_IN_CASH","FQ1 2024","FQ1 2024","Currency=USD","Period=FQ","BEST_FPERIOD_OVERRIDE=FQ","FILING_STATUS=MR","SCALING_FORMAT=MLN","Sort=A","Dates=H","DateFormat=P","Fill=—","Direction=H","UseDPDF=Y")</f>
        <v>-1.1399999999999999</v>
      </c>
      <c r="Y50" s="13">
        <f>_xll.BDH("SRPT US Equity","ARD_NET_CHANGE_IN_CASH","FQ2 2024","FQ2 2024","Currency=USD","Period=FQ","BEST_FPERIOD_OVERRIDE=FQ","FILING_STATUS=MR","SCALING_FORMAT=MLN","Sort=A","Dates=H","DateFormat=P","Fill=—","Direction=H","UseDPDF=Y")</f>
        <v>-44.808</v>
      </c>
      <c r="Z50" s="13">
        <f>_xll.BDH("SRPT US Equity","ARD_NET_CHANGE_IN_CASH","FQ3 2024","FQ3 2024","Currency=USD","Period=FQ","BEST_FPERIOD_OVERRIDE=FQ","FILING_STATUS=MR","SCALING_FORMAT=MLN","Sort=A","Dates=H","DateFormat=P","Fill=—","Direction=H","UseDPDF=Y")</f>
        <v>-230.57499999999999</v>
      </c>
      <c r="AA50" s="13">
        <f>_xll.BDH("SRPT US Equity","ARD_NET_CHANGE_IN_CASH","FQ4 2024","FQ4 2024","Currency=USD","Period=FQ","BEST_FPERIOD_OVERRIDE=FQ","FILING_STATUS=MR","SCALING_FORMAT=MLN","Sort=A","Dates=H","DateFormat=P","Fill=—","Direction=H","UseDPDF=Y")</f>
        <v>674.58</v>
      </c>
    </row>
    <row r="51" spans="1:27" x14ac:dyDescent="0.25">
      <c r="A51" s="10" t="s">
        <v>1349</v>
      </c>
      <c r="B51" s="10" t="s">
        <v>1350</v>
      </c>
      <c r="C51" s="13">
        <f>_xll.BDH("SRPT US Equity","ARD_CASH_CASH_EQUIV_END_OF_PER","FQ4 2018","FQ4 2018","Currency=USD","Period=FQ","BEST_FPERIOD_OVERRIDE=FQ","FILING_STATUS=MR","SCALING_FORMAT=MLN","Sort=A","Dates=H","DateFormat=P","Fill=—","Direction=H","UseDPDF=Y")</f>
        <v>370.82900000000001</v>
      </c>
      <c r="D51" s="13">
        <f>_xll.BDH("SRPT US Equity","ARD_CASH_CASH_EQUIV_END_OF_PER","FQ1 2019","FQ1 2019","Currency=USD","Period=FQ","BEST_FPERIOD_OVERRIDE=FQ","FILING_STATUS=MR","SCALING_FORMAT=MLN","Sort=A","Dates=H","DateFormat=P","Fill=—","Direction=H","UseDPDF=Y")</f>
        <v>737.39</v>
      </c>
      <c r="E51" s="13">
        <f>_xll.BDH("SRPT US Equity","ARD_CASH_CASH_EQUIV_END_OF_PER","FQ2 2019","FQ2 2019","Currency=USD","Period=FQ","BEST_FPERIOD_OVERRIDE=FQ","FILING_STATUS=MR","SCALING_FORMAT=MLN","Sort=A","Dates=H","DateFormat=P","Fill=—","Direction=H","UseDPDF=Y")</f>
        <v>817.05100000000004</v>
      </c>
      <c r="F51" s="13">
        <f>_xll.BDH("SRPT US Equity","ARD_CASH_CASH_EQUIV_END_OF_PER","FQ3 2019","FQ3 2019","Currency=USD","Period=FQ","BEST_FPERIOD_OVERRIDE=FQ","FILING_STATUS=MR","SCALING_FORMAT=MLN","Sort=A","Dates=H","DateFormat=P","Fill=—","Direction=H","UseDPDF=Y")</f>
        <v>733.39400000000001</v>
      </c>
      <c r="G51" s="13">
        <f>_xll.BDH("SRPT US Equity","ARD_CASH_CASH_EQUIV_END_OF_PER","FQ4 2019","FQ4 2019","Currency=USD","Period=FQ","BEST_FPERIOD_OVERRIDE=FQ","FILING_STATUS=MR","SCALING_FORMAT=MLN","Sort=A","Dates=H","DateFormat=P","Fill=—","Direction=H","UseDPDF=Y")</f>
        <v>843.64499999999998</v>
      </c>
      <c r="H51" s="13">
        <f>_xll.BDH("SRPT US Equity","ARD_CASH_CASH_EQUIV_END_OF_PER","FQ1 2020","FQ1 2020","Currency=USD","Period=FQ","BEST_FPERIOD_OVERRIDE=FQ","FILING_STATUS=MR","SCALING_FORMAT=MLN","Sort=A","Dates=H","DateFormat=P","Fill=—","Direction=H","UseDPDF=Y")</f>
        <v>1772.777</v>
      </c>
      <c r="I51" s="13">
        <f>_xll.BDH("SRPT US Equity","ARD_CASH_CASH_EQUIV_END_OF_PER","FQ2 2020","FQ2 2020","Currency=USD","Period=FQ","BEST_FPERIOD_OVERRIDE=FQ","FILING_STATUS=MR","SCALING_FORMAT=MLN","Sort=A","Dates=H","DateFormat=P","Fill=—","Direction=H","UseDPDF=Y")</f>
        <v>1648.5239999999999</v>
      </c>
      <c r="J51" s="13">
        <f>_xll.BDH("SRPT US Equity","ARD_CASH_CASH_EQUIV_END_OF_PER","FQ3 2020","FQ3 2020","Currency=USD","Period=FQ","BEST_FPERIOD_OVERRIDE=FQ","FILING_STATUS=MR","SCALING_FORMAT=MLN","Sort=A","Dates=H","DateFormat=P","Fill=—","Direction=H","UseDPDF=Y")</f>
        <v>1483.202</v>
      </c>
      <c r="K51" s="13">
        <f>_xll.BDH("SRPT US Equity","ARD_CASH_CASH_EQUIV_END_OF_PER","FQ4 2020","FQ4 2020","Currency=USD","Period=FQ","BEST_FPERIOD_OVERRIDE=FQ","FILING_STATUS=MR","SCALING_FORMAT=MLN","Sort=A","Dates=H","DateFormat=P","Fill=—","Direction=H","UseDPDF=Y")</f>
        <v>1511.713</v>
      </c>
      <c r="L51" s="13">
        <f>_xll.BDH("SRPT US Equity","ARD_CASH_CASH_EQUIV_END_OF_PER","FQ1 2021","FQ1 2021","Currency=USD","Period=FQ","BEST_FPERIOD_OVERRIDE=FQ","FILING_STATUS=MR","SCALING_FORMAT=MLN","Sort=A","Dates=H","DateFormat=P","Fill=—","Direction=H","UseDPDF=Y")</f>
        <v>1490.9010000000001</v>
      </c>
      <c r="M51" s="13">
        <f>_xll.BDH("SRPT US Equity","ARD_CASH_CASH_EQUIV_END_OF_PER","FQ2 2021","FQ2 2021","Currency=USD","Period=FQ","BEST_FPERIOD_OVERRIDE=FQ","FILING_STATUS=MR","SCALING_FORMAT=MLN","Sort=A","Dates=H","DateFormat=P","Fill=—","Direction=H","UseDPDF=Y")</f>
        <v>1706.34</v>
      </c>
      <c r="N51" s="13">
        <f>_xll.BDH("SRPT US Equity","ARD_CASH_CASH_EQUIV_END_OF_PER","FQ3 2021","FQ3 2021","Currency=USD","Period=FQ","BEST_FPERIOD_OVERRIDE=FQ","FILING_STATUS=MR","SCALING_FORMAT=MLN","Sort=A","Dates=H","DateFormat=P","Fill=—","Direction=H","UseDPDF=Y")</f>
        <v>1608.1780000000001</v>
      </c>
      <c r="O51" s="13">
        <f>_xll.BDH("SRPT US Equity","ARD_CASH_CASH_EQUIV_END_OF_PER","FQ4 2021","FQ4 2021","Currency=USD","Period=FQ","BEST_FPERIOD_OVERRIDE=FQ","FILING_STATUS=MR","SCALING_FORMAT=MLN","Sort=A","Dates=H","DateFormat=P","Fill=—","Direction=H","UseDPDF=Y")</f>
        <v>2125.5230000000001</v>
      </c>
      <c r="P51" s="13">
        <f>_xll.BDH("SRPT US Equity","ARD_CASH_CASH_EQUIV_END_OF_PER","FQ1 2022","FQ1 2022","Currency=USD","Period=FQ","BEST_FPERIOD_OVERRIDE=FQ","FILING_STATUS=MR","SCALING_FORMAT=MLN","Sort=A","Dates=H","DateFormat=P","Fill=—","Direction=H","UseDPDF=Y")</f>
        <v>1243.5309999999999</v>
      </c>
      <c r="Q51" s="13">
        <f>_xll.BDH("SRPT US Equity","ARD_CASH_CASH_EQUIV_END_OF_PER","FQ2 2022","FQ2 2022","Currency=USD","Period=FQ","BEST_FPERIOD_OVERRIDE=FQ","FILING_STATUS=MR","SCALING_FORMAT=MLN","Sort=A","Dates=H","DateFormat=P","Fill=—","Direction=H","UseDPDF=Y")</f>
        <v>887.06399999999996</v>
      </c>
      <c r="R51" s="13">
        <f>_xll.BDH("SRPT US Equity","ARD_CASH_CASH_EQUIV_END_OF_PER","FQ3 2022","FQ3 2022","Currency=USD","Period=FQ","BEST_FPERIOD_OVERRIDE=FQ","FILING_STATUS=MR","SCALING_FORMAT=MLN","Sort=A","Dates=H","DateFormat=P","Fill=—","Direction=H","UseDPDF=Y")</f>
        <v>1057.6479999999999</v>
      </c>
      <c r="S51" s="13">
        <f>_xll.BDH("SRPT US Equity","ARD_CASH_CASH_EQUIV_END_OF_PER","FQ4 2022","FQ4 2022","Currency=USD","Period=FQ","BEST_FPERIOD_OVERRIDE=FQ","FILING_STATUS=MR","SCALING_FORMAT=MLN","Sort=A","Dates=H","DateFormat=P","Fill=—","Direction=H","UseDPDF=Y")</f>
        <v>985.80100000000004</v>
      </c>
      <c r="T51" s="13">
        <f>_xll.BDH("SRPT US Equity","ARD_CASH_CASH_EQUIV_END_OF_PER","FQ1 2023","FQ1 2023","Currency=USD","Period=FQ","BEST_FPERIOD_OVERRIDE=FQ","FILING_STATUS=MR","SCALING_FORMAT=MLN","Sort=A","Dates=H","DateFormat=P","Fill=—","Direction=H","UseDPDF=Y")</f>
        <v>890.69200000000001</v>
      </c>
      <c r="U51" s="13">
        <f>_xll.BDH("SRPT US Equity","ARD_CASH_CASH_EQUIV_END_OF_PER","FQ2 2023","FQ2 2023","Currency=USD","Period=FQ","BEST_FPERIOD_OVERRIDE=FQ","FILING_STATUS=MR","SCALING_FORMAT=MLN","Sort=A","Dates=H","DateFormat=P","Fill=—","Direction=H","UseDPDF=Y")</f>
        <v>870.95299999999997</v>
      </c>
      <c r="V51" s="13">
        <f>_xll.BDH("SRPT US Equity","ARD_CASH_CASH_EQUIV_END_OF_PER","FQ3 2023","FQ3 2023","Currency=USD","Period=FQ","BEST_FPERIOD_OVERRIDE=FQ","FILING_STATUS=MR","SCALING_FORMAT=MLN","Sort=A","Dates=H","DateFormat=P","Fill=—","Direction=H","UseDPDF=Y")</f>
        <v>561.08100000000002</v>
      </c>
      <c r="W51" s="13">
        <f>_xll.BDH("SRPT US Equity","ARD_CASH_CASH_EQUIV_END_OF_PER","FQ4 2023","FQ4 2023","Currency=USD","Period=FQ","BEST_FPERIOD_OVERRIDE=FQ","FILING_STATUS=MR","SCALING_FORMAT=MLN","Sort=A","Dates=H","DateFormat=P","Fill=—","Direction=H","UseDPDF=Y")</f>
        <v>444.00900000000001</v>
      </c>
      <c r="X51" s="13">
        <f>_xll.BDH("SRPT US Equity","ARD_CASH_CASH_EQUIV_END_OF_PER","FQ1 2024","FQ1 2024","Currency=USD","Period=FQ","BEST_FPERIOD_OVERRIDE=FQ","FILING_STATUS=MR","SCALING_FORMAT=MLN","Sort=A","Dates=H","DateFormat=P","Fill=—","Direction=H","UseDPDF=Y")</f>
        <v>442.86900000000003</v>
      </c>
      <c r="Y51" s="13">
        <f>_xll.BDH("SRPT US Equity","ARD_CASH_CASH_EQUIV_END_OF_PER","FQ2 2024","FQ2 2024","Currency=USD","Period=FQ","BEST_FPERIOD_OVERRIDE=FQ","FILING_STATUS=MR","SCALING_FORMAT=MLN","Sort=A","Dates=H","DateFormat=P","Fill=—","Direction=H","UseDPDF=Y")</f>
        <v>399.20100000000002</v>
      </c>
      <c r="Z51" s="13">
        <f>_xll.BDH("SRPT US Equity","ARD_CASH_CASH_EQUIV_END_OF_PER","FQ3 2024","FQ3 2024","Currency=USD","Period=FQ","BEST_FPERIOD_OVERRIDE=FQ","FILING_STATUS=MR","SCALING_FORMAT=MLN","Sort=A","Dates=H","DateFormat=P","Fill=—","Direction=H","UseDPDF=Y")</f>
        <v>213.434</v>
      </c>
      <c r="AA51" s="13">
        <f>_xll.BDH("SRPT US Equity","ARD_CASH_CASH_EQUIV_END_OF_PER","FQ4 2024","FQ4 2024","Currency=USD","Period=FQ","BEST_FPERIOD_OVERRIDE=FQ","FILING_STATUS=MR","SCALING_FORMAT=MLN","Sort=A","Dates=H","DateFormat=P","Fill=—","Direction=H","UseDPDF=Y")</f>
        <v>1118.5889999999999</v>
      </c>
    </row>
    <row r="52" spans="1:27" x14ac:dyDescent="0.25">
      <c r="A52" s="10" t="s">
        <v>1351</v>
      </c>
      <c r="B52" s="10" t="s">
        <v>1352</v>
      </c>
      <c r="C52" s="13">
        <f>_xll.BDH("SRPT US Equity","ARD_CASH_CASH_EQUIV_BEG_OF_PER","FQ4 2018","FQ4 2018","Currency=USD","Period=FQ","BEST_FPERIOD_OVERRIDE=FQ","FILING_STATUS=MR","SCALING_FORMAT=MLN","Sort=A","Dates=H","DateFormat=P","Fill=—","Direction=H","UseDPDF=Y")</f>
        <v>599.827</v>
      </c>
      <c r="D52" s="13">
        <f>_xll.BDH("SRPT US Equity","ARD_CASH_CASH_EQUIV_BEG_OF_PER","FQ1 2019","FQ1 2019","Currency=USD","Period=FQ","BEST_FPERIOD_OVERRIDE=FQ","FILING_STATUS=MR","SCALING_FORMAT=MLN","Sort=A","Dates=H","DateFormat=P","Fill=—","Direction=H","UseDPDF=Y")</f>
        <v>370.82900000000001</v>
      </c>
      <c r="E52" s="13">
        <f>_xll.BDH("SRPT US Equity","ARD_CASH_CASH_EQUIV_BEG_OF_PER","FQ2 2019","FQ2 2019","Currency=USD","Period=FQ","BEST_FPERIOD_OVERRIDE=FQ","FILING_STATUS=MR","SCALING_FORMAT=MLN","Sort=A","Dates=H","DateFormat=P","Fill=—","Direction=H","UseDPDF=Y")</f>
        <v>370.82900000000001</v>
      </c>
      <c r="F52" s="13">
        <f>_xll.BDH("SRPT US Equity","ARD_CASH_CASH_EQUIV_BEG_OF_PER","FQ3 2019","FQ3 2019","Currency=USD","Period=FQ","BEST_FPERIOD_OVERRIDE=FQ","FILING_STATUS=MR","SCALING_FORMAT=MLN","Sort=A","Dates=H","DateFormat=P","Fill=—","Direction=H","UseDPDF=Y")</f>
        <v>370.82900000000001</v>
      </c>
      <c r="G52" s="13">
        <f>_xll.BDH("SRPT US Equity","ARD_CASH_CASH_EQUIV_BEG_OF_PER","FQ4 2019","FQ4 2019","Currency=USD","Period=FQ","BEST_FPERIOD_OVERRIDE=FQ","FILING_STATUS=MR","SCALING_FORMAT=MLN","Sort=A","Dates=H","DateFormat=P","Fill=—","Direction=H","UseDPDF=Y")</f>
        <v>370.82900000000001</v>
      </c>
      <c r="H52" s="13">
        <f>_xll.BDH("SRPT US Equity","ARD_CASH_CASH_EQUIV_BEG_OF_PER","FQ1 2020","FQ1 2020","Currency=USD","Period=FQ","BEST_FPERIOD_OVERRIDE=FQ","FILING_STATUS=MR","SCALING_FORMAT=MLN","Sort=A","Dates=H","DateFormat=P","Fill=—","Direction=H","UseDPDF=Y")</f>
        <v>843.64499999999998</v>
      </c>
      <c r="I52" s="13">
        <f>_xll.BDH("SRPT US Equity","ARD_CASH_CASH_EQUIV_BEG_OF_PER","FQ2 2020","FQ2 2020","Currency=USD","Period=FQ","BEST_FPERIOD_OVERRIDE=FQ","FILING_STATUS=MR","SCALING_FORMAT=MLN","Sort=A","Dates=H","DateFormat=P","Fill=—","Direction=H","UseDPDF=Y")</f>
        <v>843.64499999999998</v>
      </c>
      <c r="J52" s="13">
        <f>_xll.BDH("SRPT US Equity","ARD_CASH_CASH_EQUIV_BEG_OF_PER","FQ3 2020","FQ3 2020","Currency=USD","Period=FQ","BEST_FPERIOD_OVERRIDE=FQ","FILING_STATUS=MR","SCALING_FORMAT=MLN","Sort=A","Dates=H","DateFormat=P","Fill=—","Direction=H","UseDPDF=Y")</f>
        <v>843.64499999999998</v>
      </c>
      <c r="K52" s="13">
        <f>_xll.BDH("SRPT US Equity","ARD_CASH_CASH_EQUIV_BEG_OF_PER","FQ4 2020","FQ4 2020","Currency=USD","Period=FQ","BEST_FPERIOD_OVERRIDE=FQ","FILING_STATUS=MR","SCALING_FORMAT=MLN","Sort=A","Dates=H","DateFormat=P","Fill=—","Direction=H","UseDPDF=Y")</f>
        <v>843.64499999999998</v>
      </c>
      <c r="L52" s="13">
        <f>_xll.BDH("SRPT US Equity","ARD_CASH_CASH_EQUIV_BEG_OF_PER","FQ1 2021","FQ1 2021","Currency=USD","Period=FQ","BEST_FPERIOD_OVERRIDE=FQ","FILING_STATUS=MR","SCALING_FORMAT=MLN","Sort=A","Dates=H","DateFormat=P","Fill=—","Direction=H","UseDPDF=Y")</f>
        <v>1511.713</v>
      </c>
      <c r="M52" s="13">
        <f>_xll.BDH("SRPT US Equity","ARD_CASH_CASH_EQUIV_BEG_OF_PER","FQ2 2021","FQ2 2021","Currency=USD","Period=FQ","BEST_FPERIOD_OVERRIDE=FQ","FILING_STATUS=MR","SCALING_FORMAT=MLN","Sort=A","Dates=H","DateFormat=P","Fill=—","Direction=H","UseDPDF=Y")</f>
        <v>1511.713</v>
      </c>
      <c r="N52" s="13">
        <f>_xll.BDH("SRPT US Equity","ARD_CASH_CASH_EQUIV_BEG_OF_PER","FQ3 2021","FQ3 2021","Currency=USD","Period=FQ","BEST_FPERIOD_OVERRIDE=FQ","FILING_STATUS=MR","SCALING_FORMAT=MLN","Sort=A","Dates=H","DateFormat=P","Fill=—","Direction=H","UseDPDF=Y")</f>
        <v>1511.713</v>
      </c>
      <c r="O52" s="13">
        <f>_xll.BDH("SRPT US Equity","ARD_CASH_CASH_EQUIV_BEG_OF_PER","FQ4 2021","FQ4 2021","Currency=USD","Period=FQ","BEST_FPERIOD_OVERRIDE=FQ","FILING_STATUS=MR","SCALING_FORMAT=MLN","Sort=A","Dates=H","DateFormat=P","Fill=—","Direction=H","UseDPDF=Y")</f>
        <v>1511.713</v>
      </c>
      <c r="P52" s="13">
        <f>_xll.BDH("SRPT US Equity","ARD_CASH_CASH_EQUIV_BEG_OF_PER","FQ1 2022","FQ1 2022","Currency=USD","Period=FQ","BEST_FPERIOD_OVERRIDE=FQ","FILING_STATUS=MR","SCALING_FORMAT=MLN","Sort=A","Dates=H","DateFormat=P","Fill=—","Direction=H","UseDPDF=Y")</f>
        <v>2125.5230000000001</v>
      </c>
      <c r="Q52" s="13">
        <f>_xll.BDH("SRPT US Equity","ARD_CASH_CASH_EQUIV_BEG_OF_PER","FQ2 2022","FQ2 2022","Currency=USD","Period=FQ","BEST_FPERIOD_OVERRIDE=FQ","FILING_STATUS=MR","SCALING_FORMAT=MLN","Sort=A","Dates=H","DateFormat=P","Fill=—","Direction=H","UseDPDF=Y")</f>
        <v>2125.5230000000001</v>
      </c>
      <c r="R52" s="13">
        <f>_xll.BDH("SRPT US Equity","ARD_CASH_CASH_EQUIV_BEG_OF_PER","FQ3 2022","FQ3 2022","Currency=USD","Period=FQ","BEST_FPERIOD_OVERRIDE=FQ","FILING_STATUS=MR","SCALING_FORMAT=MLN","Sort=A","Dates=H","DateFormat=P","Fill=—","Direction=H","UseDPDF=Y")</f>
        <v>2125.5230000000001</v>
      </c>
      <c r="S52" s="13">
        <f>_xll.BDH("SRPT US Equity","ARD_CASH_CASH_EQUIV_BEG_OF_PER","FQ4 2022","FQ4 2022","Currency=USD","Period=FQ","BEST_FPERIOD_OVERRIDE=FQ","FILING_STATUS=MR","SCALING_FORMAT=MLN","Sort=A","Dates=H","DateFormat=P","Fill=—","Direction=H","UseDPDF=Y")</f>
        <v>2125.5230000000001</v>
      </c>
      <c r="T52" s="13">
        <f>_xll.BDH("SRPT US Equity","ARD_CASH_CASH_EQUIV_BEG_OF_PER","FQ1 2023","FQ1 2023","Currency=USD","Period=FQ","BEST_FPERIOD_OVERRIDE=FQ","FILING_STATUS=MR","SCALING_FORMAT=MLN","Sort=A","Dates=H","DateFormat=P","Fill=—","Direction=H","UseDPDF=Y")</f>
        <v>985.80100000000004</v>
      </c>
      <c r="U52" s="13">
        <f>_xll.BDH("SRPT US Equity","ARD_CASH_CASH_EQUIV_BEG_OF_PER","FQ2 2023","FQ2 2023","Currency=USD","Period=FQ","BEST_FPERIOD_OVERRIDE=FQ","FILING_STATUS=MR","SCALING_FORMAT=MLN","Sort=A","Dates=H","DateFormat=P","Fill=—","Direction=H","UseDPDF=Y")</f>
        <v>985.80100000000004</v>
      </c>
      <c r="V52" s="13">
        <f>_xll.BDH("SRPT US Equity","ARD_CASH_CASH_EQUIV_BEG_OF_PER","FQ3 2023","FQ3 2023","Currency=USD","Period=FQ","BEST_FPERIOD_OVERRIDE=FQ","FILING_STATUS=MR","SCALING_FORMAT=MLN","Sort=A","Dates=H","DateFormat=P","Fill=—","Direction=H","UseDPDF=Y")</f>
        <v>985.80100000000004</v>
      </c>
      <c r="W52" s="13">
        <f>_xll.BDH("SRPT US Equity","ARD_CASH_CASH_EQUIV_BEG_OF_PER","FQ4 2023","FQ4 2023","Currency=USD","Period=FQ","BEST_FPERIOD_OVERRIDE=FQ","FILING_STATUS=MR","SCALING_FORMAT=MLN","Sort=A","Dates=H","DateFormat=P","Fill=—","Direction=H","UseDPDF=Y")</f>
        <v>985.80100000000004</v>
      </c>
      <c r="X52" s="13">
        <f>_xll.BDH("SRPT US Equity","ARD_CASH_CASH_EQUIV_BEG_OF_PER","FQ1 2024","FQ1 2024","Currency=USD","Period=FQ","BEST_FPERIOD_OVERRIDE=FQ","FILING_STATUS=MR","SCALING_FORMAT=MLN","Sort=A","Dates=H","DateFormat=P","Fill=—","Direction=H","UseDPDF=Y")</f>
        <v>444.00900000000001</v>
      </c>
      <c r="Y52" s="13">
        <f>_xll.BDH("SRPT US Equity","ARD_CASH_CASH_EQUIV_BEG_OF_PER","FQ2 2024","FQ2 2024","Currency=USD","Period=FQ","BEST_FPERIOD_OVERRIDE=FQ","FILING_STATUS=MR","SCALING_FORMAT=MLN","Sort=A","Dates=H","DateFormat=P","Fill=—","Direction=H","UseDPDF=Y")</f>
        <v>444.00900000000001</v>
      </c>
      <c r="Z52" s="13">
        <f>_xll.BDH("SRPT US Equity","ARD_CASH_CASH_EQUIV_BEG_OF_PER","FQ3 2024","FQ3 2024","Currency=USD","Period=FQ","BEST_FPERIOD_OVERRIDE=FQ","FILING_STATUS=MR","SCALING_FORMAT=MLN","Sort=A","Dates=H","DateFormat=P","Fill=—","Direction=H","UseDPDF=Y")</f>
        <v>444.00900000000001</v>
      </c>
      <c r="AA52" s="13">
        <f>_xll.BDH("SRPT US Equity","ARD_CASH_CASH_EQUIV_BEG_OF_PER","FQ4 2024","FQ4 2024","Currency=USD","Period=FQ","BEST_FPERIOD_OVERRIDE=FQ","FILING_STATUS=MR","SCALING_FORMAT=MLN","Sort=A","Dates=H","DateFormat=P","Fill=—","Direction=H","UseDPDF=Y")</f>
        <v>444.00900000000001</v>
      </c>
    </row>
    <row r="53" spans="1:27" x14ac:dyDescent="0.25">
      <c r="A53" s="6" t="s">
        <v>1353</v>
      </c>
      <c r="B53" s="6" t="s">
        <v>1354</v>
      </c>
      <c r="C53" s="19">
        <f>_xll.BDH("SRPT US Equity","ARD_TOT_CASHFLOWS_FROM_FINANCING","FQ4 2018","FQ4 2018","Currency=USD","Period=FQ","BEST_FPERIOD_OVERRIDE=FQ","FILING_STATUS=MR","SCALING_FORMAT=MLN","Sort=A","Dates=H","DateFormat=P","Fill=—","Direction=H","UseDPDF=Y")</f>
        <v>530.15</v>
      </c>
      <c r="D53" s="19">
        <f>_xll.BDH("SRPT US Equity","ARD_TOT_CASHFLOWS_FROM_FINANCING","FQ1 2019","FQ1 2019","Currency=USD","Period=FQ","BEST_FPERIOD_OVERRIDE=FQ","FILING_STATUS=MR","SCALING_FORMAT=MLN","Sort=A","Dates=H","DateFormat=P","Fill=—","Direction=H","UseDPDF=Y")</f>
        <v>377.56299999999999</v>
      </c>
      <c r="E53" s="19">
        <f>_xll.BDH("SRPT US Equity","ARD_TOT_CASHFLOWS_FROM_FINANCING","FQ2 2019","FQ2 2019","Currency=USD","Period=FQ","BEST_FPERIOD_OVERRIDE=FQ","FILING_STATUS=MR","SCALING_FORMAT=MLN","Sort=A","Dates=H","DateFormat=P","Fill=—","Direction=H","UseDPDF=Y")</f>
        <v>383.85500000000002</v>
      </c>
      <c r="F53" s="19">
        <f>_xll.BDH("SRPT US Equity","ARD_TOT_CASHFLOWS_FROM_FINANCING","FQ3 2019","FQ3 2019","Currency=USD","Period=FQ","BEST_FPERIOD_OVERRIDE=FQ","FILING_STATUS=MR","SCALING_FORMAT=MLN","Sort=A","Dates=H","DateFormat=P","Fill=—","Direction=H","UseDPDF=Y")</f>
        <v>385.58800000000002</v>
      </c>
      <c r="G53" s="19">
        <f>_xll.BDH("SRPT US Equity","ARD_TOT_CASHFLOWS_FROM_FINANCING","FQ4 2019","FQ4 2019","Currency=USD","Period=FQ","BEST_FPERIOD_OVERRIDE=FQ","FILING_STATUS=MR","SCALING_FORMAT=MLN","Sort=A","Dates=H","DateFormat=P","Fill=—","Direction=H","UseDPDF=Y")</f>
        <v>642.55399999999997</v>
      </c>
      <c r="H53" s="19">
        <f>_xll.BDH("SRPT US Equity","ARD_TOT_CASHFLOWS_FROM_FINANCING","FQ1 2020","FQ1 2020","Currency=USD","Period=FQ","BEST_FPERIOD_OVERRIDE=FQ","FILING_STATUS=MR","SCALING_FORMAT=MLN","Sort=A","Dates=H","DateFormat=P","Fill=—","Direction=H","UseDPDF=Y")</f>
        <v>319.02199999999999</v>
      </c>
      <c r="I53" s="19">
        <f>_xll.BDH("SRPT US Equity","ARD_TOT_CASHFLOWS_FROM_FINANCING","FQ2 2020","FQ2 2020","Currency=USD","Period=FQ","BEST_FPERIOD_OVERRIDE=FQ","FILING_STATUS=MR","SCALING_FORMAT=MLN","Sort=A","Dates=H","DateFormat=P","Fill=—","Direction=H","UseDPDF=Y")</f>
        <v>336.59699999999998</v>
      </c>
      <c r="J53" s="19">
        <f>_xll.BDH("SRPT US Equity","ARD_TOT_CASHFLOWS_FROM_FINANCING","FQ3 2020","FQ3 2020","Currency=USD","Period=FQ","BEST_FPERIOD_OVERRIDE=FQ","FILING_STATUS=MR","SCALING_FORMAT=MLN","Sort=A","Dates=H","DateFormat=P","Fill=—","Direction=H","UseDPDF=Y")</f>
        <v>355.38600000000002</v>
      </c>
      <c r="K53" s="19">
        <f>_xll.BDH("SRPT US Equity","ARD_TOT_CASHFLOWS_FROM_FINANCING","FQ4 2020","FQ4 2020","Currency=USD","Period=FQ","BEST_FPERIOD_OVERRIDE=FQ","FILING_STATUS=MR","SCALING_FORMAT=MLN","Sort=A","Dates=H","DateFormat=P","Fill=—","Direction=H","UseDPDF=Y")</f>
        <v>682.32299999999998</v>
      </c>
      <c r="L53" s="19">
        <f>_xll.BDH("SRPT US Equity","ARD_TOT_CASHFLOWS_FROM_FINANCING","FQ1 2021","FQ1 2021","Currency=USD","Period=FQ","BEST_FPERIOD_OVERRIDE=FQ","FILING_STATUS=MR","SCALING_FORMAT=MLN","Sort=A","Dates=H","DateFormat=P","Fill=—","Direction=H","UseDPDF=Y")</f>
        <v>2.8929999999999998</v>
      </c>
      <c r="M53" s="19">
        <f>_xll.BDH("SRPT US Equity","ARD_TOT_CASHFLOWS_FROM_FINANCING","FQ2 2021","FQ2 2021","Currency=USD","Period=FQ","BEST_FPERIOD_OVERRIDE=FQ","FILING_STATUS=MR","SCALING_FORMAT=MLN","Sort=A","Dates=H","DateFormat=P","Fill=—","Direction=H","UseDPDF=Y")</f>
        <v>6.4189999999999996</v>
      </c>
      <c r="N53" s="19">
        <f>_xll.BDH("SRPT US Equity","ARD_TOT_CASHFLOWS_FROM_FINANCING","FQ3 2021","FQ3 2021","Currency=USD","Period=FQ","BEST_FPERIOD_OVERRIDE=FQ","FILING_STATUS=MR","SCALING_FORMAT=MLN","Sort=A","Dates=H","DateFormat=P","Fill=—","Direction=H","UseDPDF=Y")</f>
        <v>12.321</v>
      </c>
      <c r="O53" s="19">
        <f>_xll.BDH("SRPT US Equity","ARD_TOT_CASHFLOWS_FROM_FINANCING","FQ4 2021","FQ4 2021","Currency=USD","Period=FQ","BEST_FPERIOD_OVERRIDE=FQ","FILING_STATUS=MR","SCALING_FORMAT=MLN","Sort=A","Dates=H","DateFormat=P","Fill=—","Direction=H","UseDPDF=Y")</f>
        <v>561.56899999999996</v>
      </c>
      <c r="P53" s="19">
        <f>_xll.BDH("SRPT US Equity","ARD_TOT_CASHFLOWS_FROM_FINANCING","FQ1 2022","FQ1 2022","Currency=USD","Period=FQ","BEST_FPERIOD_OVERRIDE=FQ","FILING_STATUS=MR","SCALING_FORMAT=MLN","Sort=A","Dates=H","DateFormat=P","Fill=—","Direction=H","UseDPDF=Y")</f>
        <v>4.99</v>
      </c>
      <c r="Q53" s="19">
        <f>_xll.BDH("SRPT US Equity","ARD_TOT_CASHFLOWS_FROM_FINANCING","FQ2 2022","FQ2 2022","Currency=USD","Period=FQ","BEST_FPERIOD_OVERRIDE=FQ","FILING_STATUS=MR","SCALING_FORMAT=MLN","Sort=A","Dates=H","DateFormat=P","Fill=—","Direction=H","UseDPDF=Y")</f>
        <v>5.3289999999999997</v>
      </c>
      <c r="R53" s="19">
        <f>_xll.BDH("SRPT US Equity","ARD_TOT_CASHFLOWS_FROM_FINANCING","FQ3 2022","FQ3 2022","Currency=USD","Period=FQ","BEST_FPERIOD_OVERRIDE=FQ","FILING_STATUS=MR","SCALING_FORMAT=MLN","Sort=A","Dates=H","DateFormat=P","Fill=—","Direction=H","UseDPDF=Y")</f>
        <v>221.75800000000001</v>
      </c>
      <c r="S53" s="19">
        <f>_xll.BDH("SRPT US Equity","ARD_TOT_CASHFLOWS_FROM_FINANCING","FQ4 2022","FQ4 2022","Currency=USD","Period=FQ","BEST_FPERIOD_OVERRIDE=FQ","FILING_STATUS=MR","SCALING_FORMAT=MLN","Sort=A","Dates=H","DateFormat=P","Fill=—","Direction=H","UseDPDF=Y")</f>
        <v>232.50700000000001</v>
      </c>
      <c r="T53" s="19">
        <f>_xll.BDH("SRPT US Equity","ARD_TOT_CASHFLOWS_FROM_FINANCING","FQ1 2023","FQ1 2023","Currency=USD","Period=FQ","BEST_FPERIOD_OVERRIDE=FQ","FILING_STATUS=MR","SCALING_FORMAT=MLN","Sort=A","Dates=H","DateFormat=P","Fill=—","Direction=H","UseDPDF=Y")</f>
        <v>101.795</v>
      </c>
      <c r="U53" s="19">
        <f>_xll.BDH("SRPT US Equity","ARD_TOT_CASHFLOWS_FROM_FINANCING","FQ2 2023","FQ2 2023","Currency=USD","Period=FQ","BEST_FPERIOD_OVERRIDE=FQ","FILING_STATUS=MR","SCALING_FORMAT=MLN","Sort=A","Dates=H","DateFormat=P","Fill=—","Direction=H","UseDPDF=Y")</f>
        <v>107.65600000000001</v>
      </c>
      <c r="V53" s="19">
        <f>_xll.BDH("SRPT US Equity","ARD_TOT_CASHFLOWS_FROM_FINANCING","FQ3 2023","FQ3 2023","Currency=USD","Period=FQ","BEST_FPERIOD_OVERRIDE=FQ","FILING_STATUS=MR","SCALING_FORMAT=MLN","Sort=A","Dates=H","DateFormat=P","Fill=—","Direction=H","UseDPDF=Y")</f>
        <v>123.06100000000001</v>
      </c>
      <c r="W53" s="19">
        <f>_xll.BDH("SRPT US Equity","ARD_TOT_CASHFLOWS_FROM_FINANCING","FQ4 2023","FQ4 2023","Currency=USD","Period=FQ","BEST_FPERIOD_OVERRIDE=FQ","FILING_STATUS=MR","SCALING_FORMAT=MLN","Sort=A","Dates=H","DateFormat=P","Fill=—","Direction=H","UseDPDF=Y")</f>
        <v>125.004</v>
      </c>
      <c r="X53" s="19">
        <f>_xll.BDH("SRPT US Equity","ARD_TOT_CASHFLOWS_FROM_FINANCING","FQ1 2024","FQ1 2024","Currency=USD","Period=FQ","BEST_FPERIOD_OVERRIDE=FQ","FILING_STATUS=MR","SCALING_FORMAT=MLN","Sort=A","Dates=H","DateFormat=P","Fill=—","Direction=H","UseDPDF=Y")</f>
        <v>22.14</v>
      </c>
      <c r="Y53" s="19">
        <f>_xll.BDH("SRPT US Equity","ARD_TOT_CASHFLOWS_FROM_FINANCING","FQ2 2024","FQ2 2024","Currency=USD","Period=FQ","BEST_FPERIOD_OVERRIDE=FQ","FILING_STATUS=MR","SCALING_FORMAT=MLN","Sort=A","Dates=H","DateFormat=P","Fill=—","Direction=H","UseDPDF=Y")</f>
        <v>62.058</v>
      </c>
      <c r="Z53" s="19">
        <f>_xll.BDH("SRPT US Equity","ARD_TOT_CASHFLOWS_FROM_FINANCING","FQ3 2024","FQ3 2024","Currency=USD","Period=FQ","BEST_FPERIOD_OVERRIDE=FQ","FILING_STATUS=MR","SCALING_FORMAT=MLN","Sort=A","Dates=H","DateFormat=P","Fill=—","Direction=H","UseDPDF=Y")</f>
        <v>75.814999999999998</v>
      </c>
      <c r="AA53" s="19">
        <f>_xll.BDH("SRPT US Equity","ARD_TOT_CASHFLOWS_FROM_FINANCING","FQ4 2024","FQ4 2024","Currency=USD","Period=FQ","BEST_FPERIOD_OVERRIDE=FQ","FILING_STATUS=MR","SCALING_FORMAT=MLN","Sort=A","Dates=H","DateFormat=P","Fill=—","Direction=H","UseDPDF=Y")</f>
        <v>124.806</v>
      </c>
    </row>
    <row r="54" spans="1:27" x14ac:dyDescent="0.25">
      <c r="A54" s="7" t="s">
        <v>90</v>
      </c>
      <c r="B54" s="7"/>
      <c r="C54" s="7" t="s">
        <v>5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26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1355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1356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1357</v>
      </c>
      <c r="B7" s="10" t="s">
        <v>1358</v>
      </c>
      <c r="C7" s="14">
        <f>_xll.BDH("SRPT US Equity","RETURN_COM_EQY","FQ4 2018","FQ4 2018","Currency=USD","Period=FQ","BEST_FPERIOD_OVERRIDE=FQ","FILING_STATUS=MR","FA_ADJUSTED=GAAP","Sort=A","Dates=H","DateFormat=P","Fill=—","Direction=H","UseDPDF=Y")</f>
        <v>-39.738599999999998</v>
      </c>
      <c r="D7" s="14">
        <f>_xll.BDH("SRPT US Equity","RETURN_COM_EQY","FQ1 2019","FQ1 2019","Currency=USD","Period=FQ","BEST_FPERIOD_OVERRIDE=FQ","FILING_STATUS=MR","FA_ADJUSTED=GAAP","Sort=A","Dates=H","DateFormat=P","Fill=—","Direction=H","UseDPDF=Y")</f>
        <v>-37.942300000000003</v>
      </c>
      <c r="E7" s="14">
        <f>_xll.BDH("SRPT US Equity","RETURN_COM_EQY","FQ2 2019","FQ2 2019","Currency=USD","Period=FQ","BEST_FPERIOD_OVERRIDE=FQ","FILING_STATUS=MR","FA_ADJUSTED=GAAP","Sort=A","Dates=H","DateFormat=P","Fill=—","Direction=H","UseDPDF=Y")</f>
        <v>-63.433399999999999</v>
      </c>
      <c r="F7" s="14">
        <f>_xll.BDH("SRPT US Equity","RETURN_COM_EQY","FQ3 2019","FQ3 2019","Currency=USD","Period=FQ","BEST_FPERIOD_OVERRIDE=FQ","FILING_STATUS=MR","FA_ADJUSTED=GAAP","Sort=A","Dates=H","DateFormat=P","Fill=—","Direction=H","UseDPDF=Y")</f>
        <v>-75.871200000000002</v>
      </c>
      <c r="G7" s="14">
        <f>_xll.BDH("SRPT US Equity","RETURN_COM_EQY","FQ4 2019","FQ4 2019","Currency=USD","Period=FQ","BEST_FPERIOD_OVERRIDE=FQ","FILING_STATUS=MR","FA_ADJUSTED=GAAP","Sort=A","Dates=H","DateFormat=P","Fill=—","Direction=H","UseDPDF=Y")</f>
        <v>-77.286100000000005</v>
      </c>
      <c r="H7" s="14">
        <f>_xll.BDH("SRPT US Equity","RETURN_COM_EQY","FQ1 2020","FQ1 2020","Currency=USD","Period=FQ","BEST_FPERIOD_OVERRIDE=FQ","FILING_STATUS=MR","FA_ADJUSTED=GAAP","Sort=A","Dates=H","DateFormat=P","Fill=—","Direction=H","UseDPDF=Y")</f>
        <v>-52.613</v>
      </c>
      <c r="I7" s="14">
        <f>_xll.BDH("SRPT US Equity","RETURN_COM_EQY","FQ2 2020","FQ2 2020","Currency=USD","Period=FQ","BEST_FPERIOD_OVERRIDE=FQ","FILING_STATUS=MR","FA_ADJUSTED=GAAP","Sort=A","Dates=H","DateFormat=P","Fill=—","Direction=H","UseDPDF=Y")</f>
        <v>-49.517499999999998</v>
      </c>
      <c r="J7" s="14">
        <f>_xll.BDH("SRPT US Equity","RETURN_COM_EQY","FQ3 2020","FQ3 2020","Currency=USD","Period=FQ","BEST_FPERIOD_OVERRIDE=FQ","FILING_STATUS=MR","FA_ADJUSTED=GAAP","Sort=A","Dates=H","DateFormat=P","Fill=—","Direction=H","UseDPDF=Y")</f>
        <v>-63.639000000000003</v>
      </c>
      <c r="K7" s="14">
        <f>_xll.BDH("SRPT US Equity","RETURN_COM_EQY","FQ4 2020","FQ4 2020","Currency=USD","Period=FQ","BEST_FPERIOD_OVERRIDE=FQ","FILING_STATUS=MR","FA_ADJUSTED=GAAP","Sort=A","Dates=H","DateFormat=P","Fill=—","Direction=H","UseDPDF=Y")</f>
        <v>-70.145200000000003</v>
      </c>
      <c r="L7" s="14">
        <f>_xll.BDH("SRPT US Equity","RETURN_COM_EQY","FQ1 2021","FQ1 2021","Currency=USD","Period=FQ","BEST_FPERIOD_OVERRIDE=FQ","FILING_STATUS=MR","FA_ADJUSTED=GAAP","Sort=A","Dates=H","DateFormat=P","Fill=—","Direction=H","UseDPDF=Y")</f>
        <v>-83.782300000000006</v>
      </c>
      <c r="M7" s="14">
        <f>_xll.BDH("SRPT US Equity","RETURN_COM_EQY","FQ2 2021","FQ2 2021","Currency=USD","Period=FQ","BEST_FPERIOD_OVERRIDE=FQ","FILING_STATUS=MR","FA_ADJUSTED=GAAP","Sort=A","Dates=H","DateFormat=P","Fill=—","Direction=H","UseDPDF=Y")</f>
        <v>-83.047399999999996</v>
      </c>
      <c r="N7" s="14">
        <f>_xll.BDH("SRPT US Equity","RETURN_COM_EQY","FQ3 2021","FQ3 2021","Currency=USD","Period=FQ","BEST_FPERIOD_OVERRIDE=FQ","FILING_STATUS=MR","FA_ADJUSTED=GAAP","Sort=A","Dates=H","DateFormat=P","Fill=—","Direction=H","UseDPDF=Y")</f>
        <v>-71.405000000000001</v>
      </c>
      <c r="O7" s="14">
        <f>_xll.BDH("SRPT US Equity","RETURN_COM_EQY","FQ4 2021","FQ4 2021","Currency=USD","Period=FQ","BEST_FPERIOD_OVERRIDE=FQ","FILING_STATUS=MR","FA_ADJUSTED=GAAP","Sort=A","Dates=H","DateFormat=P","Fill=—","Direction=H","UseDPDF=Y")</f>
        <v>-49.566600000000001</v>
      </c>
      <c r="P7" s="14">
        <f>_xll.BDH("SRPT US Equity","RETURN_COM_EQY","FQ1 2022","FQ1 2022","Currency=USD","Period=FQ","BEST_FPERIOD_OVERRIDE=FQ","FILING_STATUS=MR","FA_ADJUSTED=GAAP","Sort=A","Dates=H","DateFormat=P","Fill=—","Direction=H","UseDPDF=Y")</f>
        <v>-51.216999999999999</v>
      </c>
      <c r="Q7" s="14">
        <f>_xll.BDH("SRPT US Equity","RETURN_COM_EQY","FQ2 2022","FQ2 2022","Currency=USD","Period=FQ","BEST_FPERIOD_OVERRIDE=FQ","FILING_STATUS=MR","FA_ADJUSTED=GAAP","Sort=A","Dates=H","DateFormat=P","Fill=—","Direction=H","UseDPDF=Y")</f>
        <v>-83.632499999999993</v>
      </c>
      <c r="R7" s="14">
        <f>_xll.BDH("SRPT US Equity","RETURN_COM_EQY","FQ3 2022","FQ3 2022","Currency=USD","Period=FQ","BEST_FPERIOD_OVERRIDE=FQ","FILING_STATUS=MR","FA_ADJUSTED=GAAP","Sort=A","Dates=H","DateFormat=P","Fill=—","Direction=H","UseDPDF=Y")</f>
        <v>-159.09610000000001</v>
      </c>
      <c r="S7" s="14">
        <f>_xll.BDH("SRPT US Equity","RETURN_COM_EQY","FQ4 2022","FQ4 2022","Currency=USD","Period=FQ","BEST_FPERIOD_OVERRIDE=FQ","FILING_STATUS=MR","FA_ADJUSTED=GAAP","Sort=A","Dates=H","DateFormat=P","Fill=—","Direction=H","UseDPDF=Y")</f>
        <v>-107.16070000000001</v>
      </c>
      <c r="T7" s="14">
        <f>_xll.BDH("SRPT US Equity","RETURN_COM_EQY","FQ1 2023","FQ1 2023","Currency=USD","Period=FQ","BEST_FPERIOD_OVERRIDE=FQ","FILING_STATUS=MR","FA_ADJUSTED=GAAP","Sort=A","Dates=H","DateFormat=P","Fill=—","Direction=H","UseDPDF=Y")</f>
        <v>-142.09899999999999</v>
      </c>
      <c r="U7" s="14">
        <f>_xll.BDH("SRPT US Equity","RETURN_COM_EQY","FQ2 2023","FQ2 2023","Currency=USD","Period=FQ","BEST_FPERIOD_OVERRIDE=FQ","FILING_STATUS=MR","FA_ADJUSTED=GAAP","Sort=A","Dates=H","DateFormat=P","Fill=—","Direction=H","UseDPDF=Y")</f>
        <v>-123.6728</v>
      </c>
      <c r="V7" s="14">
        <f>_xll.BDH("SRPT US Equity","RETURN_COM_EQY","FQ3 2023","FQ3 2023","Currency=USD","Period=FQ","BEST_FPERIOD_OVERRIDE=FQ","FILING_STATUS=MR","FA_ADJUSTED=GAAP","Sort=A","Dates=H","DateFormat=P","Fill=—","Direction=H","UseDPDF=Y")</f>
        <v>-115.6087</v>
      </c>
      <c r="W7" s="14">
        <f>_xll.BDH("SRPT US Equity","RETURN_COM_EQY","FQ4 2023","FQ4 2023","Currency=USD","Period=FQ","BEST_FPERIOD_OVERRIDE=FQ","FILING_STATUS=MR","FA_ADJUSTED=GAAP","Sort=A","Dates=H","DateFormat=P","Fill=—","Direction=H","UseDPDF=Y")</f>
        <v>-86.150099999999995</v>
      </c>
      <c r="X7" s="14">
        <f>_xll.BDH("SRPT US Equity","RETURN_COM_EQY","FQ1 2024","FQ1 2024","Currency=USD","Period=FQ","BEST_FPERIOD_OVERRIDE=FQ","FILING_STATUS=MR","FA_ADJUSTED=GAAP","Sort=A","Dates=H","DateFormat=P","Fill=—","Direction=H","UseDPDF=Y")</f>
        <v>2.0188000000000001</v>
      </c>
      <c r="Y7" s="14">
        <f>_xll.BDH("SRPT US Equity","RETURN_COM_EQY","FQ2 2024","FQ2 2024","Currency=USD","Period=FQ","BEST_FPERIOD_OVERRIDE=FQ","FILING_STATUS=MR","FA_ADJUSTED=GAAP","Sort=A","Dates=H","DateFormat=P","Fill=—","Direction=H","UseDPDF=Y")</f>
        <v>5.2018000000000004</v>
      </c>
      <c r="Z7" s="14">
        <f>_xll.BDH("SRPT US Equity","RETURN_COM_EQY","FQ3 2024","FQ3 2024","Currency=USD","Period=FQ","BEST_FPERIOD_OVERRIDE=FQ","FILING_STATUS=MR","FA_ADJUSTED=GAAP","Sort=A","Dates=H","DateFormat=P","Fill=—","Direction=H","UseDPDF=Y")</f>
        <v>12.273899999999999</v>
      </c>
      <c r="AA7" s="14">
        <f>_xll.BDH("SRPT US Equity","RETURN_COM_EQY","FQ4 2024","FQ4 2024","Currency=USD","Period=FQ","BEST_FPERIOD_OVERRIDE=FQ","FILING_STATUS=MR","FA_ADJUSTED=GAAP","Sort=A","Dates=H","DateFormat=P","Fill=—","Direction=H","UseDPDF=Y")</f>
        <v>19.709399999999999</v>
      </c>
    </row>
    <row r="8" spans="1:27" x14ac:dyDescent="0.25">
      <c r="A8" s="10" t="s">
        <v>1359</v>
      </c>
      <c r="B8" s="10" t="s">
        <v>1360</v>
      </c>
      <c r="C8" s="14">
        <f>_xll.BDH("SRPT US Equity","RETURN_ON_ASSET","FQ4 2018","FQ4 2018","Currency=USD","Period=FQ","BEST_FPERIOD_OVERRIDE=FQ","FILING_STATUS=MR","FA_ADJUSTED=GAAP","Sort=A","Dates=H","DateFormat=P","Fill=—","Direction=H","UseDPDF=Y")</f>
        <v>-24.5365</v>
      </c>
      <c r="D8" s="14">
        <f>_xll.BDH("SRPT US Equity","RETURN_ON_ASSET","FQ1 2019","FQ1 2019","Currency=USD","Period=FQ","BEST_FPERIOD_OVERRIDE=FQ","FILING_STATUS=MR","FA_ADJUSTED=GAAP","Sort=A","Dates=H","DateFormat=P","Fill=—","Direction=H","UseDPDF=Y")</f>
        <v>-24.7044</v>
      </c>
      <c r="E8" s="14">
        <f>_xll.BDH("SRPT US Equity","RETURN_ON_ASSET","FQ2 2019","FQ2 2019","Currency=USD","Period=FQ","BEST_FPERIOD_OVERRIDE=FQ","FILING_STATUS=MR","FA_ADJUSTED=GAAP","Sort=A","Dates=H","DateFormat=P","Fill=—","Direction=H","UseDPDF=Y")</f>
        <v>-38.086799999999997</v>
      </c>
      <c r="F8" s="14">
        <f>_xll.BDH("SRPT US Equity","RETURN_ON_ASSET","FQ3 2019","FQ3 2019","Currency=USD","Period=FQ","BEST_FPERIOD_OVERRIDE=FQ","FILING_STATUS=MR","FA_ADJUSTED=GAAP","Sort=A","Dates=H","DateFormat=P","Fill=—","Direction=H","UseDPDF=Y")</f>
        <v>-42.9938</v>
      </c>
      <c r="G8" s="14">
        <f>_xll.BDH("SRPT US Equity","RETURN_ON_ASSET","FQ4 2019","FQ4 2019","Currency=USD","Period=FQ","BEST_FPERIOD_OVERRIDE=FQ","FILING_STATUS=MR","FA_ADJUSTED=GAAP","Sort=A","Dates=H","DateFormat=P","Fill=—","Direction=H","UseDPDF=Y")</f>
        <v>-41.275399999999998</v>
      </c>
      <c r="H8" s="14">
        <f>_xll.BDH("SRPT US Equity","RETURN_ON_ASSET","FQ1 2020","FQ1 2020","Currency=USD","Period=FQ","BEST_FPERIOD_OVERRIDE=FQ","FILING_STATUS=MR","FA_ADJUSTED=GAAP","Sort=A","Dates=H","DateFormat=P","Fill=—","Direction=H","UseDPDF=Y")</f>
        <v>-26.710899999999999</v>
      </c>
      <c r="I8" s="14">
        <f>_xll.BDH("SRPT US Equity","RETURN_ON_ASSET","FQ2 2020","FQ2 2020","Currency=USD","Period=FQ","BEST_FPERIOD_OVERRIDE=FQ","FILING_STATUS=MR","FA_ADJUSTED=GAAP","Sort=A","Dates=H","DateFormat=P","Fill=—","Direction=H","UseDPDF=Y")</f>
        <v>-22.905000000000001</v>
      </c>
      <c r="J8" s="14">
        <f>_xll.BDH("SRPT US Equity","RETURN_ON_ASSET","FQ3 2020","FQ3 2020","Currency=USD","Period=FQ","BEST_FPERIOD_OVERRIDE=FQ","FILING_STATUS=MR","FA_ADJUSTED=GAAP","Sort=A","Dates=H","DateFormat=P","Fill=—","Direction=H","UseDPDF=Y")</f>
        <v>-26.789899999999999</v>
      </c>
      <c r="K8" s="14">
        <f>_xll.BDH("SRPT US Equity","RETURN_ON_ASSET","FQ4 2020","FQ4 2020","Currency=USD","Period=FQ","BEST_FPERIOD_OVERRIDE=FQ","FILING_STATUS=MR","FA_ADJUSTED=GAAP","Sort=A","Dates=H","DateFormat=P","Fill=—","Direction=H","UseDPDF=Y")</f>
        <v>-23.052499999999998</v>
      </c>
      <c r="L8" s="14">
        <f>_xll.BDH("SRPT US Equity","RETURN_ON_ASSET","FQ1 2021","FQ1 2021","Currency=USD","Period=FQ","BEST_FPERIOD_OVERRIDE=FQ","FILING_STATUS=MR","FA_ADJUSTED=GAAP","Sort=A","Dates=H","DateFormat=P","Fill=—","Direction=H","UseDPDF=Y")</f>
        <v>-24.6432</v>
      </c>
      <c r="M8" s="14">
        <f>_xll.BDH("SRPT US Equity","RETURN_ON_ASSET","FQ2 2021","FQ2 2021","Currency=USD","Period=FQ","BEST_FPERIOD_OVERRIDE=FQ","FILING_STATUS=MR","FA_ADJUSTED=GAAP","Sort=A","Dates=H","DateFormat=P","Fill=—","Direction=H","UseDPDF=Y")</f>
        <v>-22.490500000000001</v>
      </c>
      <c r="N8" s="14">
        <f>_xll.BDH("SRPT US Equity","RETURN_ON_ASSET","FQ3 2021","FQ3 2021","Currency=USD","Period=FQ","BEST_FPERIOD_OVERRIDE=FQ","FILING_STATUS=MR","FA_ADJUSTED=GAAP","Sort=A","Dates=H","DateFormat=P","Fill=—","Direction=H","UseDPDF=Y")</f>
        <v>-17.862400000000001</v>
      </c>
      <c r="O8" s="14">
        <f>_xll.BDH("SRPT US Equity","RETURN_ON_ASSET","FQ4 2021","FQ4 2021","Currency=USD","Period=FQ","BEST_FPERIOD_OVERRIDE=FQ","FILING_STATUS=MR","FA_ADJUSTED=GAAP","Sort=A","Dates=H","DateFormat=P","Fill=—","Direction=H","UseDPDF=Y")</f>
        <v>-13.657299999999999</v>
      </c>
      <c r="P8" s="14">
        <f>_xll.BDH("SRPT US Equity","RETURN_ON_ASSET","FQ1 2022","FQ1 2022","Currency=USD","Period=FQ","BEST_FPERIOD_OVERRIDE=FQ","FILING_STATUS=MR","FA_ADJUSTED=GAAP","Sort=A","Dates=H","DateFormat=P","Fill=—","Direction=H","UseDPDF=Y")</f>
        <v>-12.2498</v>
      </c>
      <c r="Q8" s="14">
        <f>_xll.BDH("SRPT US Equity","RETURN_ON_ASSET","FQ2 2022","FQ2 2022","Currency=USD","Period=FQ","BEST_FPERIOD_OVERRIDE=FQ","FILING_STATUS=MR","FA_ADJUSTED=GAAP","Sort=A","Dates=H","DateFormat=P","Fill=—","Direction=H","UseDPDF=Y")</f>
        <v>-17.6038</v>
      </c>
      <c r="R8" s="14">
        <f>_xll.BDH("SRPT US Equity","RETURN_ON_ASSET","FQ3 2022","FQ3 2022","Currency=USD","Period=FQ","BEST_FPERIOD_OVERRIDE=FQ","FILING_STATUS=MR","FA_ADJUSTED=GAAP","Sort=A","Dates=H","DateFormat=P","Fill=—","Direction=H","UseDPDF=Y")</f>
        <v>-24.619499999999999</v>
      </c>
      <c r="S8" s="14">
        <f>_xll.BDH("SRPT US Equity","RETURN_ON_ASSET","FQ4 2022","FQ4 2022","Currency=USD","Period=FQ","BEST_FPERIOD_OVERRIDE=FQ","FILING_STATUS=MR","FA_ADJUSTED=GAAP","Sort=A","Dates=H","DateFormat=P","Fill=—","Direction=H","UseDPDF=Y")</f>
        <v>-22.417100000000001</v>
      </c>
      <c r="T8" s="14">
        <f>_xll.BDH("SRPT US Equity","RETURN_ON_ASSET","FQ1 2023","FQ1 2023","Currency=USD","Period=FQ","BEST_FPERIOD_OVERRIDE=FQ","FILING_STATUS=MR","FA_ADJUSTED=GAAP","Sort=A","Dates=H","DateFormat=P","Fill=—","Direction=H","UseDPDF=Y")</f>
        <v>-36.469200000000001</v>
      </c>
      <c r="U8" s="14">
        <f>_xll.BDH("SRPT US Equity","RETURN_ON_ASSET","FQ2 2023","FQ2 2023","Currency=USD","Period=FQ","BEST_FPERIOD_OVERRIDE=FQ","FILING_STATUS=MR","FA_ADJUSTED=GAAP","Sort=A","Dates=H","DateFormat=P","Fill=—","Direction=H","UseDPDF=Y")</f>
        <v>-29.6494</v>
      </c>
      <c r="V8" s="14">
        <f>_xll.BDH("SRPT US Equity","RETURN_ON_ASSET","FQ3 2023","FQ3 2023","Currency=USD","Period=FQ","BEST_FPERIOD_OVERRIDE=FQ","FILING_STATUS=MR","FA_ADJUSTED=GAAP","Sort=A","Dates=H","DateFormat=P","Fill=—","Direction=H","UseDPDF=Y")</f>
        <v>-22.052099999999999</v>
      </c>
      <c r="W8" s="14">
        <f>_xll.BDH("SRPT US Equity","RETURN_ON_ASSET","FQ4 2023","FQ4 2023","Currency=USD","Period=FQ","BEST_FPERIOD_OVERRIDE=FQ","FILING_STATUS=MR","FA_ADJUSTED=GAAP","Sort=A","Dates=H","DateFormat=P","Fill=—","Direction=H","UseDPDF=Y")</f>
        <v>-16.767800000000001</v>
      </c>
      <c r="X8" s="14">
        <f>_xll.BDH("SRPT US Equity","RETURN_ON_ASSET","FQ1 2024","FQ1 2024","Currency=USD","Period=FQ","BEST_FPERIOD_OVERRIDE=FQ","FILING_STATUS=MR","FA_ADJUSTED=GAAP","Sort=A","Dates=H","DateFormat=P","Fill=—","Direction=H","UseDPDF=Y")</f>
        <v>0.53779999999999994</v>
      </c>
      <c r="Y8" s="14">
        <f>_xll.BDH("SRPT US Equity","RETURN_ON_ASSET","FQ2 2024","FQ2 2024","Currency=USD","Period=FQ","BEST_FPERIOD_OVERRIDE=FQ","FILING_STATUS=MR","FA_ADJUSTED=GAAP","Sort=A","Dates=H","DateFormat=P","Fill=—","Direction=H","UseDPDF=Y")</f>
        <v>1.4441999999999999</v>
      </c>
      <c r="Z8" s="14">
        <f>_xll.BDH("SRPT US Equity","RETURN_ON_ASSET","FQ3 2024","FQ3 2024","Currency=USD","Period=FQ","BEST_FPERIOD_OVERRIDE=FQ","FILING_STATUS=MR","FA_ADJUSTED=GAAP","Sort=A","Dates=H","DateFormat=P","Fill=—","Direction=H","UseDPDF=Y")</f>
        <v>3.6318999999999999</v>
      </c>
      <c r="AA8" s="14">
        <f>_xll.BDH("SRPT US Equity","RETURN_ON_ASSET","FQ4 2024","FQ4 2024","Currency=USD","Period=FQ","BEST_FPERIOD_OVERRIDE=FQ","FILING_STATUS=MR","FA_ADJUSTED=GAAP","Sort=A","Dates=H","DateFormat=P","Fill=—","Direction=H","UseDPDF=Y")</f>
        <v>6.5092999999999996</v>
      </c>
    </row>
    <row r="9" spans="1:27" x14ac:dyDescent="0.25">
      <c r="A9" s="10" t="s">
        <v>1361</v>
      </c>
      <c r="B9" s="10" t="s">
        <v>1362</v>
      </c>
      <c r="C9" s="14" t="str">
        <f>_xll.BDH("SRPT US Equity","RETURN_ON_CAP","FQ4 2018","FQ4 2018","Currency=USD","Period=FQ","BEST_FPERIOD_OVERRIDE=FQ","FILING_STATUS=MR","FA_ADJUSTED=GAAP","Sort=A","Dates=H","DateFormat=P","Fill=—","Direction=H","UseDPDF=Y")</f>
        <v>—</v>
      </c>
      <c r="D9" s="14" t="str">
        <f>_xll.BDH("SRPT US Equity","RETURN_ON_CAP","FQ1 2019","FQ1 2019","Currency=USD","Period=FQ","BEST_FPERIOD_OVERRIDE=FQ","FILING_STATUS=MR","FA_ADJUSTED=GAAP","Sort=A","Dates=H","DateFormat=P","Fill=—","Direction=H","UseDPDF=Y")</f>
        <v>—</v>
      </c>
      <c r="E9" s="14" t="str">
        <f>_xll.BDH("SRPT US Equity","RETURN_ON_CAP","FQ2 2019","FQ2 2019","Currency=USD","Period=FQ","BEST_FPERIOD_OVERRIDE=FQ","FILING_STATUS=MR","FA_ADJUSTED=GAAP","Sort=A","Dates=H","DateFormat=P","Fill=—","Direction=H","UseDPDF=Y")</f>
        <v>—</v>
      </c>
      <c r="F9" s="14" t="str">
        <f>_xll.BDH("SRPT US Equity","RETURN_ON_CAP","FQ3 2019","FQ3 2019","Currency=USD","Period=FQ","BEST_FPERIOD_OVERRIDE=FQ","FILING_STATUS=MR","FA_ADJUSTED=GAAP","Sort=A","Dates=H","DateFormat=P","Fill=—","Direction=H","UseDPDF=Y")</f>
        <v>—</v>
      </c>
      <c r="G9" s="14" t="str">
        <f>_xll.BDH("SRPT US Equity","RETURN_ON_CAP","FQ4 2019","FQ4 2019","Currency=USD","Period=FQ","BEST_FPERIOD_OVERRIDE=FQ","FILING_STATUS=MR","FA_ADJUSTED=GAAP","Sort=A","Dates=H","DateFormat=P","Fill=—","Direction=H","UseDPDF=Y")</f>
        <v>—</v>
      </c>
      <c r="H9" s="14" t="str">
        <f>_xll.BDH("SRPT US Equity","RETURN_ON_CAP","FQ1 2020","FQ1 2020","Currency=USD","Period=FQ","BEST_FPERIOD_OVERRIDE=FQ","FILING_STATUS=MR","FA_ADJUSTED=GAAP","Sort=A","Dates=H","DateFormat=P","Fill=—","Direction=H","UseDPDF=Y")</f>
        <v>—</v>
      </c>
      <c r="I9" s="14">
        <f>_xll.BDH("SRPT US Equity","RETURN_ON_CAP","FQ2 2020","FQ2 2020","Currency=USD","Period=FQ","BEST_FPERIOD_OVERRIDE=FQ","FILING_STATUS=MR","FA_ADJUSTED=GAAP","Sort=A","Dates=H","DateFormat=P","Fill=—","Direction=H","UseDPDF=Y")</f>
        <v>-29.6968</v>
      </c>
      <c r="J9" s="14">
        <f>_xll.BDH("SRPT US Equity","RETURN_ON_CAP","FQ3 2020","FQ3 2020","Currency=USD","Period=FQ","BEST_FPERIOD_OVERRIDE=FQ","FILING_STATUS=MR","FA_ADJUSTED=GAAP","Sort=A","Dates=H","DateFormat=P","Fill=—","Direction=H","UseDPDF=Y")</f>
        <v>-35.975200000000001</v>
      </c>
      <c r="K9" s="14">
        <f>_xll.BDH("SRPT US Equity","RETURN_ON_CAP","FQ4 2020","FQ4 2020","Currency=USD","Period=FQ","BEST_FPERIOD_OVERRIDE=FQ","FILING_STATUS=MR","FA_ADJUSTED=GAAP","Sort=A","Dates=H","DateFormat=P","Fill=—","Direction=H","UseDPDF=Y")</f>
        <v>-29.92</v>
      </c>
      <c r="L9" s="14">
        <f>_xll.BDH("SRPT US Equity","RETURN_ON_CAP","FQ1 2021","FQ1 2021","Currency=USD","Period=FQ","BEST_FPERIOD_OVERRIDE=FQ","FILING_STATUS=MR","FA_ADJUSTED=GAAP","Sort=A","Dates=H","DateFormat=P","Fill=—","Direction=H","UseDPDF=Y")</f>
        <v>-36.607100000000003</v>
      </c>
      <c r="M9" s="14">
        <f>_xll.BDH("SRPT US Equity","RETURN_ON_CAP","FQ2 2021","FQ2 2021","Currency=USD","Period=FQ","BEST_FPERIOD_OVERRIDE=FQ","FILING_STATUS=MR","FA_ADJUSTED=GAAP","Sort=A","Dates=H","DateFormat=P","Fill=—","Direction=H","UseDPDF=Y")</f>
        <v>-33.8491</v>
      </c>
      <c r="N9" s="14">
        <f>_xll.BDH("SRPT US Equity","RETURN_ON_CAP","FQ3 2021","FQ3 2021","Currency=USD","Period=FQ","BEST_FPERIOD_OVERRIDE=FQ","FILING_STATUS=MR","FA_ADJUSTED=GAAP","Sort=A","Dates=H","DateFormat=P","Fill=—","Direction=H","UseDPDF=Y")</f>
        <v>-26.400500000000001</v>
      </c>
      <c r="O9" s="14">
        <f>_xll.BDH("SRPT US Equity","RETURN_ON_CAP","FQ4 2021","FQ4 2021","Currency=USD","Period=FQ","BEST_FPERIOD_OVERRIDE=FQ","FILING_STATUS=MR","FA_ADJUSTED=GAAP","Sort=A","Dates=H","DateFormat=P","Fill=—","Direction=H","UseDPDF=Y")</f>
        <v>-18.731000000000002</v>
      </c>
      <c r="P9" s="14">
        <f>_xll.BDH("SRPT US Equity","RETURN_ON_CAP","FQ1 2022","FQ1 2022","Currency=USD","Period=FQ","BEST_FPERIOD_OVERRIDE=FQ","FILING_STATUS=MR","FA_ADJUSTED=GAAP","Sort=A","Dates=H","DateFormat=P","Fill=—","Direction=H","UseDPDF=Y")</f>
        <v>-16.638100000000001</v>
      </c>
      <c r="Q9" s="14">
        <f>_xll.BDH("SRPT US Equity","RETURN_ON_CAP","FQ2 2022","FQ2 2022","Currency=USD","Period=FQ","BEST_FPERIOD_OVERRIDE=FQ","FILING_STATUS=MR","FA_ADJUSTED=GAAP","Sort=A","Dates=H","DateFormat=P","Fill=—","Direction=H","UseDPDF=Y")</f>
        <v>-26.052299999999999</v>
      </c>
      <c r="R9" s="14">
        <f>_xll.BDH("SRPT US Equity","RETURN_ON_CAP","FQ3 2022","FQ3 2022","Currency=USD","Period=FQ","BEST_FPERIOD_OVERRIDE=FQ","FILING_STATUS=MR","FA_ADJUSTED=GAAP","Sort=A","Dates=H","DateFormat=P","Fill=—","Direction=H","UseDPDF=Y")</f>
        <v>-36.875700000000002</v>
      </c>
      <c r="S9" s="14">
        <f>_xll.BDH("SRPT US Equity","RETURN_ON_CAP","FQ4 2022","FQ4 2022","Currency=USD","Period=FQ","BEST_FPERIOD_OVERRIDE=FQ","FILING_STATUS=MR","FA_ADJUSTED=GAAP","Sort=A","Dates=H","DateFormat=P","Fill=—","Direction=H","UseDPDF=Y")</f>
        <v>-32.825899999999997</v>
      </c>
      <c r="T9" s="14">
        <f>_xll.BDH("SRPT US Equity","RETURN_ON_CAP","FQ1 2023","FQ1 2023","Currency=USD","Period=FQ","BEST_FPERIOD_OVERRIDE=FQ","FILING_STATUS=MR","FA_ADJUSTED=GAAP","Sort=A","Dates=H","DateFormat=P","Fill=—","Direction=H","UseDPDF=Y")</f>
        <v>-54.537799999999997</v>
      </c>
      <c r="U9" s="14">
        <f>_xll.BDH("SRPT US Equity","RETURN_ON_CAP","FQ2 2023","FQ2 2023","Currency=USD","Period=FQ","BEST_FPERIOD_OVERRIDE=FQ","FILING_STATUS=MR","FA_ADJUSTED=GAAP","Sort=A","Dates=H","DateFormat=P","Fill=—","Direction=H","UseDPDF=Y")</f>
        <v>-44.775599999999997</v>
      </c>
      <c r="V9" s="14">
        <f>_xll.BDH("SRPT US Equity","RETURN_ON_CAP","FQ3 2023","FQ3 2023","Currency=USD","Period=FQ","BEST_FPERIOD_OVERRIDE=FQ","FILING_STATUS=MR","FA_ADJUSTED=GAAP","Sort=A","Dates=H","DateFormat=P","Fill=—","Direction=H","UseDPDF=Y")</f>
        <v>-32.5473</v>
      </c>
      <c r="W9" s="14">
        <f>_xll.BDH("SRPT US Equity","RETURN_ON_CAP","FQ4 2023","FQ4 2023","Currency=USD","Period=FQ","BEST_FPERIOD_OVERRIDE=FQ","FILING_STATUS=MR","FA_ADJUSTED=GAAP","Sort=A","Dates=H","DateFormat=P","Fill=—","Direction=H","UseDPDF=Y")</f>
        <v>-24.355699999999999</v>
      </c>
      <c r="X9" s="14">
        <f>_xll.BDH("SRPT US Equity","RETURN_ON_CAP","FQ1 2024","FQ1 2024","Currency=USD","Period=FQ","BEST_FPERIOD_OVERRIDE=FQ","FILING_STATUS=MR","FA_ADJUSTED=GAAP","Sort=A","Dates=H","DateFormat=P","Fill=—","Direction=H","UseDPDF=Y")</f>
        <v>1.2321</v>
      </c>
      <c r="Y9" s="14">
        <f>_xll.BDH("SRPT US Equity","RETURN_ON_CAP","FQ2 2024","FQ2 2024","Currency=USD","Period=FQ","BEST_FPERIOD_OVERRIDE=FQ","FILING_STATUS=MR","FA_ADJUSTED=GAAP","Sort=A","Dates=H","DateFormat=P","Fill=—","Direction=H","UseDPDF=Y")</f>
        <v>2.7273999999999998</v>
      </c>
      <c r="Z9" s="14">
        <f>_xll.BDH("SRPT US Equity","RETURN_ON_CAP","FQ3 2024","FQ3 2024","Currency=USD","Period=FQ","BEST_FPERIOD_OVERRIDE=FQ","FILING_STATUS=MR","FA_ADJUSTED=GAAP","Sort=A","Dates=H","DateFormat=P","Fill=—","Direction=H","UseDPDF=Y")</f>
        <v>5.8617999999999997</v>
      </c>
      <c r="AA9" s="14">
        <f>_xll.BDH("SRPT US Equity","RETURN_ON_CAP","FQ4 2024","FQ4 2024","Currency=USD","Period=FQ","BEST_FPERIOD_OVERRIDE=FQ","FILING_STATUS=MR","FA_ADJUSTED=GAAP","Sort=A","Dates=H","DateFormat=P","Fill=—","Direction=H","UseDPDF=Y")</f>
        <v>9.8237000000000005</v>
      </c>
    </row>
    <row r="10" spans="1:27" x14ac:dyDescent="0.25">
      <c r="A10" s="10" t="s">
        <v>1363</v>
      </c>
      <c r="B10" s="10" t="s">
        <v>1364</v>
      </c>
      <c r="C10" s="14">
        <f>_xll.BDH("SRPT US Equity","RETURN_ON_INV_CAPITAL","FQ4 2018","FQ4 2018","Currency=USD","Period=FQ","BEST_FPERIOD_OVERRIDE=FQ","FILING_STATUS=MR","FA_ADJUSTED=GAAP","Sort=A","Dates=H","DateFormat=P","Fill=—","Direction=H","UseDPDF=Y")</f>
        <v>-25.956600000000002</v>
      </c>
      <c r="D10" s="14">
        <f>_xll.BDH("SRPT US Equity","RETURN_ON_INV_CAPITAL","FQ1 2019","FQ1 2019","Currency=USD","Period=FQ","BEST_FPERIOD_OVERRIDE=FQ","FILING_STATUS=MR","FA_ADJUSTED=GAAP","Sort=A","Dates=H","DateFormat=P","Fill=—","Direction=H","UseDPDF=Y")</f>
        <v>-25.756900000000002</v>
      </c>
      <c r="E10" s="14">
        <f>_xll.BDH("SRPT US Equity","RETURN_ON_INV_CAPITAL","FQ2 2019","FQ2 2019","Currency=USD","Period=FQ","BEST_FPERIOD_OVERRIDE=FQ","FILING_STATUS=MR","FA_ADJUSTED=GAAP","Sort=A","Dates=H","DateFormat=P","Fill=—","Direction=H","UseDPDF=Y")</f>
        <v>-41.2453</v>
      </c>
      <c r="F10" s="14">
        <f>_xll.BDH("SRPT US Equity","RETURN_ON_INV_CAPITAL","FQ3 2019","FQ3 2019","Currency=USD","Period=FQ","BEST_FPERIOD_OVERRIDE=FQ","FILING_STATUS=MR","FA_ADJUSTED=GAAP","Sort=A","Dates=H","DateFormat=P","Fill=—","Direction=H","UseDPDF=Y")</f>
        <v>-48.394599999999997</v>
      </c>
      <c r="G10" s="14">
        <f>_xll.BDH("SRPT US Equity","RETURN_ON_INV_CAPITAL","FQ4 2019","FQ4 2019","Currency=USD","Period=FQ","BEST_FPERIOD_OVERRIDE=FQ","FILING_STATUS=MR","FA_ADJUSTED=GAAP","Sort=A","Dates=H","DateFormat=P","Fill=—","Direction=H","UseDPDF=Y")</f>
        <v>-47.100499999999997</v>
      </c>
      <c r="H10" s="14">
        <f>_xll.BDH("SRPT US Equity","RETURN_ON_INV_CAPITAL","FQ1 2020","FQ1 2020","Currency=USD","Period=FQ","BEST_FPERIOD_OVERRIDE=FQ","FILING_STATUS=MR","FA_ADJUSTED=GAAP","Sort=A","Dates=H","DateFormat=P","Fill=—","Direction=H","UseDPDF=Y")</f>
        <v>-39.075099999999999</v>
      </c>
      <c r="I10" s="14">
        <f>_xll.BDH("SRPT US Equity","RETURN_ON_INV_CAPITAL","FQ2 2020","FQ2 2020","Currency=USD","Period=FQ","BEST_FPERIOD_OVERRIDE=FQ","FILING_STATUS=MR","FA_ADJUSTED=GAAP","Sort=A","Dates=H","DateFormat=P","Fill=—","Direction=H","UseDPDF=Y")</f>
        <v>-34.9878</v>
      </c>
      <c r="J10" s="14">
        <f>_xll.BDH("SRPT US Equity","RETURN_ON_INV_CAPITAL","FQ3 2020","FQ3 2020","Currency=USD","Period=FQ","BEST_FPERIOD_OVERRIDE=FQ","FILING_STATUS=MR","FA_ADJUSTED=GAAP","Sort=A","Dates=H","DateFormat=P","Fill=—","Direction=H","UseDPDF=Y")</f>
        <v>-39.340000000000003</v>
      </c>
      <c r="K10" s="14">
        <f>_xll.BDH("SRPT US Equity","RETURN_ON_INV_CAPITAL","FQ4 2020","FQ4 2020","Currency=USD","Period=FQ","BEST_FPERIOD_OVERRIDE=FQ","FILING_STATUS=MR","FA_ADJUSTED=GAAP","Sort=A","Dates=H","DateFormat=P","Fill=—","Direction=H","UseDPDF=Y")</f>
        <v>-33.002800000000001</v>
      </c>
      <c r="L10" s="14">
        <f>_xll.BDH("SRPT US Equity","RETURN_ON_INV_CAPITAL","FQ1 2021","FQ1 2021","Currency=USD","Period=FQ","BEST_FPERIOD_OVERRIDE=FQ","FILING_STATUS=MR","FA_ADJUSTED=GAAP","Sort=A","Dates=H","DateFormat=P","Fill=—","Direction=H","UseDPDF=Y")</f>
        <v>-34.634700000000002</v>
      </c>
      <c r="M10" s="14">
        <f>_xll.BDH("SRPT US Equity","RETURN_ON_INV_CAPITAL","FQ2 2021","FQ2 2021","Currency=USD","Period=FQ","BEST_FPERIOD_OVERRIDE=FQ","FILING_STATUS=MR","FA_ADJUSTED=GAAP","Sort=A","Dates=H","DateFormat=P","Fill=—","Direction=H","UseDPDF=Y")</f>
        <v>-36.439100000000003</v>
      </c>
      <c r="N10" s="14">
        <f>_xll.BDH("SRPT US Equity","RETURN_ON_INV_CAPITAL","FQ3 2021","FQ3 2021","Currency=USD","Period=FQ","BEST_FPERIOD_OVERRIDE=FQ","FILING_STATUS=MR","FA_ADJUSTED=GAAP","Sort=A","Dates=H","DateFormat=P","Fill=—","Direction=H","UseDPDF=Y")</f>
        <v>-31.4406</v>
      </c>
      <c r="O10" s="14">
        <f>_xll.BDH("SRPT US Equity","RETURN_ON_INV_CAPITAL","FQ4 2021","FQ4 2021","Currency=USD","Period=FQ","BEST_FPERIOD_OVERRIDE=FQ","FILING_STATUS=MR","FA_ADJUSTED=GAAP","Sort=A","Dates=H","DateFormat=P","Fill=—","Direction=H","UseDPDF=Y")</f>
        <v>-22.91</v>
      </c>
      <c r="P10" s="14">
        <f>_xll.BDH("SRPT US Equity","RETURN_ON_INV_CAPITAL","FQ1 2022","FQ1 2022","Currency=USD","Period=FQ","BEST_FPERIOD_OVERRIDE=FQ","FILING_STATUS=MR","FA_ADJUSTED=GAAP","Sort=A","Dates=H","DateFormat=P","Fill=—","Direction=H","UseDPDF=Y")</f>
        <v>-21.044499999999999</v>
      </c>
      <c r="Q10" s="14">
        <f>_xll.BDH("SRPT US Equity","RETURN_ON_INV_CAPITAL","FQ2 2022","FQ2 2022","Currency=USD","Period=FQ","BEST_FPERIOD_OVERRIDE=FQ","FILING_STATUS=MR","FA_ADJUSTED=GAAP","Sort=A","Dates=H","DateFormat=P","Fill=—","Direction=H","UseDPDF=Y")</f>
        <v>-25.997599999999998</v>
      </c>
      <c r="R10" s="14">
        <f>_xll.BDH("SRPT US Equity","RETURN_ON_INV_CAPITAL","FQ3 2022","FQ3 2022","Currency=USD","Period=FQ","BEST_FPERIOD_OVERRIDE=FQ","FILING_STATUS=MR","FA_ADJUSTED=GAAP","Sort=A","Dates=H","DateFormat=P","Fill=—","Direction=H","UseDPDF=Y")</f>
        <v>-31.7698</v>
      </c>
      <c r="S10" s="14">
        <f>_xll.BDH("SRPT US Equity","RETURN_ON_INV_CAPITAL","FQ4 2022","FQ4 2022","Currency=USD","Period=FQ","BEST_FPERIOD_OVERRIDE=FQ","FILING_STATUS=MR","FA_ADJUSTED=GAAP","Sort=A","Dates=H","DateFormat=P","Fill=—","Direction=H","UseDPDF=Y")</f>
        <v>-28.504000000000001</v>
      </c>
      <c r="T10" s="14">
        <f>_xll.BDH("SRPT US Equity","RETURN_ON_INV_CAPITAL","FQ1 2023","FQ1 2023","Currency=USD","Period=FQ","BEST_FPERIOD_OVERRIDE=FQ","FILING_STATUS=MR","FA_ADJUSTED=GAAP","Sort=A","Dates=H","DateFormat=P","Fill=—","Direction=H","UseDPDF=Y")</f>
        <v>-35.613399999999999</v>
      </c>
      <c r="U10" s="14">
        <f>_xll.BDH("SRPT US Equity","RETURN_ON_INV_CAPITAL","FQ2 2023","FQ2 2023","Currency=USD","Period=FQ","BEST_FPERIOD_OVERRIDE=FQ","FILING_STATUS=MR","FA_ADJUSTED=GAAP","Sort=A","Dates=H","DateFormat=P","Fill=—","Direction=H","UseDPDF=Y")</f>
        <v>-30.771799999999999</v>
      </c>
      <c r="V10" s="14">
        <f>_xll.BDH("SRPT US Equity","RETURN_ON_INV_CAPITAL","FQ3 2023","FQ3 2023","Currency=USD","Period=FQ","BEST_FPERIOD_OVERRIDE=FQ","FILING_STATUS=MR","FA_ADJUSTED=GAAP","Sort=A","Dates=H","DateFormat=P","Fill=—","Direction=H","UseDPDF=Y")</f>
        <v>-23.230699999999999</v>
      </c>
      <c r="W10" s="14">
        <f>_xll.BDH("SRPT US Equity","RETURN_ON_INV_CAPITAL","FQ4 2023","FQ4 2023","Currency=USD","Period=FQ","BEST_FPERIOD_OVERRIDE=FQ","FILING_STATUS=MR","FA_ADJUSTED=GAAP","Sort=A","Dates=H","DateFormat=P","Fill=—","Direction=H","UseDPDF=Y")</f>
        <v>-15.8123</v>
      </c>
      <c r="X10" s="14">
        <f>_xll.BDH("SRPT US Equity","RETURN_ON_INV_CAPITAL","FQ1 2024","FQ1 2024","Currency=USD","Period=FQ","BEST_FPERIOD_OVERRIDE=FQ","FILING_STATUS=MR","FA_ADJUSTED=GAAP","Sort=A","Dates=H","DateFormat=P","Fill=—","Direction=H","UseDPDF=Y")</f>
        <v>-3.9369000000000001</v>
      </c>
      <c r="Y10" s="14">
        <f>_xll.BDH("SRPT US Equity","RETURN_ON_INV_CAPITAL","FQ2 2024","FQ2 2024","Currency=USD","Period=FQ","BEST_FPERIOD_OVERRIDE=FQ","FILING_STATUS=MR","FA_ADJUSTED=GAAP","Sort=A","Dates=H","DateFormat=P","Fill=—","Direction=H","UseDPDF=Y")</f>
        <v>1.4101999999999999</v>
      </c>
      <c r="Z10" s="14">
        <f>_xll.BDH("SRPT US Equity","RETURN_ON_INV_CAPITAL","FQ3 2024","FQ3 2024","Currency=USD","Period=FQ","BEST_FPERIOD_OVERRIDE=FQ","FILING_STATUS=MR","FA_ADJUSTED=GAAP","Sort=A","Dates=H","DateFormat=P","Fill=—","Direction=H","UseDPDF=Y")</f>
        <v>3.5720999999999998</v>
      </c>
      <c r="AA10" s="14">
        <f>_xll.BDH("SRPT US Equity","RETURN_ON_INV_CAPITAL","FQ4 2024","FQ4 2024","Currency=USD","Period=FQ","BEST_FPERIOD_OVERRIDE=FQ","FILING_STATUS=MR","FA_ADJUSTED=GAAP","Sort=A","Dates=H","DateFormat=P","Fill=—","Direction=H","UseDPDF=Y")</f>
        <v>7.8703000000000003</v>
      </c>
    </row>
    <row r="11" spans="1:27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6" t="s">
        <v>1365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x14ac:dyDescent="0.25">
      <c r="A13" s="10" t="s">
        <v>401</v>
      </c>
      <c r="B13" s="10" t="s">
        <v>153</v>
      </c>
      <c r="C13" s="14">
        <f>_xll.BDH("SRPT US Equity","GROSS_MARGIN","FQ4 2018","FQ4 2018","Currency=USD","Period=FQ","BEST_FPERIOD_OVERRIDE=FQ","FILING_STATUS=MR","FA_ADJUSTED=GAAP","Sort=A","Dates=H","DateFormat=P","Fill=—","Direction=H","UseDPDF=Y")</f>
        <v>84.44</v>
      </c>
      <c r="D13" s="14">
        <f>_xll.BDH("SRPT US Equity","GROSS_MARGIN","FQ1 2019","FQ1 2019","Currency=USD","Period=FQ","BEST_FPERIOD_OVERRIDE=FQ","FILING_STATUS=MR","FA_ADJUSTED=GAAP","Sort=A","Dates=H","DateFormat=P","Fill=—","Direction=H","UseDPDF=Y")</f>
        <v>86.136200000000002</v>
      </c>
      <c r="E13" s="14">
        <f>_xll.BDH("SRPT US Equity","GROSS_MARGIN","FQ2 2019","FQ2 2019","Currency=USD","Period=FQ","BEST_FPERIOD_OVERRIDE=FQ","FILING_STATUS=MR","FA_ADJUSTED=GAAP","Sort=A","Dates=H","DateFormat=P","Fill=—","Direction=H","UseDPDF=Y")</f>
        <v>83.184399999999997</v>
      </c>
      <c r="F13" s="14">
        <f>_xll.BDH("SRPT US Equity","GROSS_MARGIN","FQ3 2019","FQ3 2019","Currency=USD","Period=FQ","BEST_FPERIOD_OVERRIDE=FQ","FILING_STATUS=MR","FA_ADJUSTED=GAAP","Sort=A","Dates=H","DateFormat=P","Fill=—","Direction=H","UseDPDF=Y")</f>
        <v>86.836799999999997</v>
      </c>
      <c r="G13" s="14">
        <f>_xll.BDH("SRPT US Equity","GROSS_MARGIN","FQ4 2019","FQ4 2019","Currency=USD","Period=FQ","BEST_FPERIOD_OVERRIDE=FQ","FILING_STATUS=MR","FA_ADJUSTED=GAAP","Sort=A","Dates=H","DateFormat=P","Fill=—","Direction=H","UseDPDF=Y")</f>
        <v>84.450599999999994</v>
      </c>
      <c r="H13" s="14">
        <f>_xll.BDH("SRPT US Equity","GROSS_MARGIN","FQ1 2020","FQ1 2020","Currency=USD","Period=FQ","BEST_FPERIOD_OVERRIDE=FQ","FILING_STATUS=MR","FA_ADJUSTED=GAAP","Sort=A","Dates=H","DateFormat=P","Fill=—","Direction=H","UseDPDF=Y")</f>
        <v>88.896299999999997</v>
      </c>
      <c r="I13" s="14">
        <f>_xll.BDH("SRPT US Equity","GROSS_MARGIN","FQ2 2020","FQ2 2020","Currency=USD","Period=FQ","BEST_FPERIOD_OVERRIDE=FQ","FILING_STATUS=MR","FA_ADJUSTED=GAAP","Sort=A","Dates=H","DateFormat=P","Fill=—","Direction=H","UseDPDF=Y")</f>
        <v>90.287800000000004</v>
      </c>
      <c r="J13" s="14">
        <f>_xll.BDH("SRPT US Equity","GROSS_MARGIN","FQ3 2020","FQ3 2020","Currency=USD","Period=FQ","BEST_FPERIOD_OVERRIDE=FQ","FILING_STATUS=MR","FA_ADJUSTED=GAAP","Sort=A","Dates=H","DateFormat=P","Fill=—","Direction=H","UseDPDF=Y")</f>
        <v>89.567400000000006</v>
      </c>
      <c r="K13" s="14">
        <f>_xll.BDH("SRPT US Equity","GROSS_MARGIN","FQ4 2020","FQ4 2020","Currency=USD","Period=FQ","BEST_FPERIOD_OVERRIDE=FQ","FILING_STATUS=MR","FA_ADJUSTED=GAAP","Sort=A","Dates=H","DateFormat=P","Fill=—","Direction=H","UseDPDF=Y")</f>
        <v>84.563699999999997</v>
      </c>
      <c r="L13" s="14">
        <f>_xll.BDH("SRPT US Equity","GROSS_MARGIN","FQ1 2021","FQ1 2021","Currency=USD","Period=FQ","BEST_FPERIOD_OVERRIDE=FQ","FILING_STATUS=MR","FA_ADJUSTED=GAAP","Sort=A","Dates=H","DateFormat=P","Fill=—","Direction=H","UseDPDF=Y")</f>
        <v>84.791499999999999</v>
      </c>
      <c r="M13" s="14">
        <f>_xll.BDH("SRPT US Equity","GROSS_MARGIN","FQ2 2021","FQ2 2021","Currency=USD","Period=FQ","BEST_FPERIOD_OVERRIDE=FQ","FILING_STATUS=MR","FA_ADJUSTED=GAAP","Sort=A","Dates=H","DateFormat=P","Fill=—","Direction=H","UseDPDF=Y")</f>
        <v>88.107100000000003</v>
      </c>
      <c r="N13" s="14">
        <f>_xll.BDH("SRPT US Equity","GROSS_MARGIN","FQ3 2021","FQ3 2021","Currency=USD","Period=FQ","BEST_FPERIOD_OVERRIDE=FQ","FILING_STATUS=MR","FA_ADJUSTED=GAAP","Sort=A","Dates=H","DateFormat=P","Fill=—","Direction=H","UseDPDF=Y")</f>
        <v>87.622399999999999</v>
      </c>
      <c r="O13" s="14">
        <f>_xll.BDH("SRPT US Equity","GROSS_MARGIN","FQ4 2021","FQ4 2021","Currency=USD","Period=FQ","BEST_FPERIOD_OVERRIDE=FQ","FILING_STATUS=MR","FA_ADJUSTED=GAAP","Sort=A","Dates=H","DateFormat=P","Fill=—","Direction=H","UseDPDF=Y")</f>
        <v>84.243099999999998</v>
      </c>
      <c r="P13" s="14">
        <f>_xll.BDH("SRPT US Equity","GROSS_MARGIN","FQ1 2022","FQ1 2022","Currency=USD","Period=FQ","BEST_FPERIOD_OVERRIDE=FQ","FILING_STATUS=MR","FA_ADJUSTED=GAAP","Sort=A","Dates=H","DateFormat=P","Fill=—","Direction=H","UseDPDF=Y")</f>
        <v>85.086100000000002</v>
      </c>
      <c r="Q13" s="14">
        <f>_xll.BDH("SRPT US Equity","GROSS_MARGIN","FQ2 2022","FQ2 2022","Currency=USD","Period=FQ","BEST_FPERIOD_OVERRIDE=FQ","FILING_STATUS=MR","FA_ADJUSTED=GAAP","Sort=A","Dates=H","DateFormat=P","Fill=—","Direction=H","UseDPDF=Y")</f>
        <v>83.812799999999996</v>
      </c>
      <c r="R13" s="14">
        <f>_xll.BDH("SRPT US Equity","GROSS_MARGIN","FQ3 2022","FQ3 2022","Currency=USD","Period=FQ","BEST_FPERIOD_OVERRIDE=FQ","FILING_STATUS=MR","FA_ADJUSTED=GAAP","Sort=A","Dates=H","DateFormat=P","Fill=—","Direction=H","UseDPDF=Y")</f>
        <v>82.649900000000002</v>
      </c>
      <c r="S13" s="14">
        <f>_xll.BDH("SRPT US Equity","GROSS_MARGIN","FQ4 2022","FQ4 2022","Currency=USD","Period=FQ","BEST_FPERIOD_OVERRIDE=FQ","FILING_STATUS=MR","FA_ADJUSTED=GAAP","Sort=A","Dates=H","DateFormat=P","Fill=—","Direction=H","UseDPDF=Y")</f>
        <v>88.082099999999997</v>
      </c>
      <c r="T13" s="14">
        <f>_xll.BDH("SRPT US Equity","GROSS_MARGIN","FQ1 2023","FQ1 2023","Currency=USD","Period=FQ","BEST_FPERIOD_OVERRIDE=FQ","FILING_STATUS=MR","FA_ADJUSTED=GAAP","Sort=A","Dates=H","DateFormat=P","Fill=—","Direction=H","UseDPDF=Y")</f>
        <v>86.186599999999999</v>
      </c>
      <c r="U13" s="14">
        <f>_xll.BDH("SRPT US Equity","GROSS_MARGIN","FQ2 2023","FQ2 2023","Currency=USD","Period=FQ","BEST_FPERIOD_OVERRIDE=FQ","FILING_STATUS=MR","FA_ADJUSTED=GAAP","Sort=A","Dates=H","DateFormat=P","Fill=—","Direction=H","UseDPDF=Y")</f>
        <v>86.937600000000003</v>
      </c>
      <c r="V13" s="14">
        <f>_xll.BDH("SRPT US Equity","GROSS_MARGIN","FQ3 2023","FQ3 2023","Currency=USD","Period=FQ","BEST_FPERIOD_OVERRIDE=FQ","FILING_STATUS=MR","FA_ADJUSTED=GAAP","Sort=A","Dates=H","DateFormat=P","Fill=—","Direction=H","UseDPDF=Y")</f>
        <v>88.841399999999993</v>
      </c>
      <c r="W13" s="14">
        <f>_xll.BDH("SRPT US Equity","GROSS_MARGIN","FQ4 2023","FQ4 2023","Currency=USD","Period=FQ","BEST_FPERIOD_OVERRIDE=FQ","FILING_STATUS=MR","FA_ADJUSTED=GAAP","Sort=A","Dates=H","DateFormat=P","Fill=—","Direction=H","UseDPDF=Y")</f>
        <v>88.866399999999999</v>
      </c>
      <c r="X13" s="14">
        <f>_xll.BDH("SRPT US Equity","GROSS_MARGIN","FQ1 2024","FQ1 2024","Currency=USD","Period=FQ","BEST_FPERIOD_OVERRIDE=FQ","FILING_STATUS=MR","FA_ADJUSTED=GAAP","Sort=A","Dates=H","DateFormat=P","Fill=—","Direction=H","UseDPDF=Y")</f>
        <v>87.771799999999999</v>
      </c>
      <c r="Y13" s="14">
        <f>_xll.BDH("SRPT US Equity","GROSS_MARGIN","FQ2 2024","FQ2 2024","Currency=USD","Period=FQ","BEST_FPERIOD_OVERRIDE=FQ","FILING_STATUS=MR","FA_ADJUSTED=GAAP","Sort=A","Dates=H","DateFormat=P","Fill=—","Direction=H","UseDPDF=Y")</f>
        <v>87.726299999999995</v>
      </c>
      <c r="Z13" s="14">
        <f>_xll.BDH("SRPT US Equity","GROSS_MARGIN","FQ3 2024","FQ3 2024","Currency=USD","Period=FQ","BEST_FPERIOD_OVERRIDE=FQ","FILING_STATUS=MR","FA_ADJUSTED=GAAP","Sort=A","Dates=H","DateFormat=P","Fill=—","Direction=H","UseDPDF=Y")</f>
        <v>80.373199999999997</v>
      </c>
      <c r="AA13" s="14">
        <f>_xll.BDH("SRPT US Equity","GROSS_MARGIN","FQ4 2024","FQ4 2024","Currency=USD","Period=FQ","BEST_FPERIOD_OVERRIDE=FQ","FILING_STATUS=MR","FA_ADJUSTED=GAAP","Sort=A","Dates=H","DateFormat=P","Fill=—","Direction=H","UseDPDF=Y")</f>
        <v>79.905600000000007</v>
      </c>
    </row>
    <row r="14" spans="1:27" x14ac:dyDescent="0.25">
      <c r="A14" s="10" t="s">
        <v>1366</v>
      </c>
      <c r="B14" s="10" t="s">
        <v>1367</v>
      </c>
      <c r="C14" s="14">
        <f>_xll.BDH("SRPT US Equity","EBITDA_TO_REVENUE","FQ4 2018","FQ4 2018","Currency=USD","Period=FQ","BEST_FPERIOD_OVERRIDE=FQ","FILING_STATUS=MR","FA_ADJUSTED=GAAP","Sort=A","Dates=H","DateFormat=P","Fill=—","Direction=H","UseDPDF=Y")</f>
        <v>-160.9145</v>
      </c>
      <c r="D14" s="14">
        <f>_xll.BDH("SRPT US Equity","EBITDA_TO_REVENUE","FQ1 2019","FQ1 2019","Currency=USD","Period=FQ","BEST_FPERIOD_OVERRIDE=FQ","FILING_STATUS=MR","FA_ADJUSTED=GAAP","Sort=A","Dates=H","DateFormat=P","Fill=—","Direction=H","UseDPDF=Y")</f>
        <v>-77.478700000000003</v>
      </c>
      <c r="E14" s="14">
        <f>_xll.BDH("SRPT US Equity","EBITDA_TO_REVENUE","FQ2 2019","FQ2 2019","Currency=USD","Period=FQ","BEST_FPERIOD_OVERRIDE=FQ","FILING_STATUS=MR","FA_ADJUSTED=GAAP","Sort=A","Dates=H","DateFormat=P","Fill=—","Direction=H","UseDPDF=Y")</f>
        <v>-280.07670000000002</v>
      </c>
      <c r="F14" s="14">
        <f>_xll.BDH("SRPT US Equity","EBITDA_TO_REVENUE","FQ3 2019","FQ3 2019","Currency=USD","Period=FQ","BEST_FPERIOD_OVERRIDE=FQ","FILING_STATUS=MR","FA_ADJUSTED=GAAP","Sort=A","Dates=H","DateFormat=P","Fill=—","Direction=H","UseDPDF=Y")</f>
        <v>-113.7983</v>
      </c>
      <c r="G14" s="14">
        <f>_xll.BDH("SRPT US Equity","EBITDA_TO_REVENUE","FQ4 2019","FQ4 2019","Currency=USD","Period=FQ","BEST_FPERIOD_OVERRIDE=FQ","FILING_STATUS=MR","FA_ADJUSTED=GAAP","Sort=A","Dates=H","DateFormat=P","Fill=—","Direction=H","UseDPDF=Y")</f>
        <v>-219.16829999999999</v>
      </c>
      <c r="H14" s="14">
        <f>_xll.BDH("SRPT US Equity","EBITDA_TO_REVENUE","FQ1 2020","FQ1 2020","Currency=USD","Period=FQ","BEST_FPERIOD_OVERRIDE=FQ","FILING_STATUS=MR","FA_ADJUSTED=GAAP","Sort=A","Dates=H","DateFormat=P","Fill=—","Direction=H","UseDPDF=Y")</f>
        <v>-97.381100000000004</v>
      </c>
      <c r="I14" s="14">
        <f>_xll.BDH("SRPT US Equity","EBITDA_TO_REVENUE","FQ2 2020","FQ2 2020","Currency=USD","Period=FQ","BEST_FPERIOD_OVERRIDE=FQ","FILING_STATUS=MR","FA_ADJUSTED=GAAP","Sort=A","Dates=H","DateFormat=P","Fill=—","Direction=H","UseDPDF=Y")</f>
        <v>-94.550899999999999</v>
      </c>
      <c r="J14" s="14">
        <f>_xll.BDH("SRPT US Equity","EBITDA_TO_REVENUE","FQ3 2020","FQ3 2020","Currency=USD","Period=FQ","BEST_FPERIOD_OVERRIDE=FQ","FILING_STATUS=MR","FA_ADJUSTED=GAAP","Sort=A","Dates=H","DateFormat=P","Fill=—","Direction=H","UseDPDF=Y")</f>
        <v>-89.108800000000002</v>
      </c>
      <c r="K14" s="14">
        <f>_xll.BDH("SRPT US Equity","EBITDA_TO_REVENUE","FQ4 2020","FQ4 2020","Currency=USD","Period=FQ","BEST_FPERIOD_OVERRIDE=FQ","FILING_STATUS=MR","FA_ADJUSTED=GAAP","Sort=A","Dates=H","DateFormat=P","Fill=—","Direction=H","UseDPDF=Y")</f>
        <v>-102.971</v>
      </c>
      <c r="L14" s="14">
        <f>_xll.BDH("SRPT US Equity","EBITDA_TO_REVENUE","FQ1 2021","FQ1 2021","Currency=USD","Period=FQ","BEST_FPERIOD_OVERRIDE=FQ","FILING_STATUS=MR","FA_ADJUSTED=GAAP","Sort=A","Dates=H","DateFormat=P","Fill=—","Direction=H","UseDPDF=Y")</f>
        <v>-97.2804</v>
      </c>
      <c r="M14" s="14">
        <f>_xll.BDH("SRPT US Equity","EBITDA_TO_REVENUE","FQ2 2021","FQ2 2021","Currency=USD","Period=FQ","BEST_FPERIOD_OVERRIDE=FQ","FILING_STATUS=MR","FA_ADJUSTED=GAAP","Sort=A","Dates=H","DateFormat=P","Fill=—","Direction=H","UseDPDF=Y")</f>
        <v>-96.975999999999999</v>
      </c>
      <c r="N14" s="14">
        <f>_xll.BDH("SRPT US Equity","EBITDA_TO_REVENUE","FQ3 2021","FQ3 2021","Currency=USD","Period=FQ","BEST_FPERIOD_OVERRIDE=FQ","FILING_STATUS=MR","FA_ADJUSTED=GAAP","Sort=A","Dates=H","DateFormat=P","Fill=—","Direction=H","UseDPDF=Y")</f>
        <v>-12.6517</v>
      </c>
      <c r="O14" s="14">
        <f>_xll.BDH("SRPT US Equity","EBITDA_TO_REVENUE","FQ4 2021","FQ4 2021","Currency=USD","Period=FQ","BEST_FPERIOD_OVERRIDE=FQ","FILING_STATUS=MR","FA_ADJUSTED=GAAP","Sort=A","Dates=H","DateFormat=P","Fill=—","Direction=H","UseDPDF=Y")</f>
        <v>-47.487099999999998</v>
      </c>
      <c r="P14" s="14">
        <f>_xll.BDH("SRPT US Equity","EBITDA_TO_REVENUE","FQ1 2022","FQ1 2022","Currency=USD","Period=FQ","BEST_FPERIOD_OVERRIDE=FQ","FILING_STATUS=MR","FA_ADJUSTED=GAAP","Sort=A","Dates=H","DateFormat=P","Fill=—","Direction=H","UseDPDF=Y")</f>
        <v>-36.1248</v>
      </c>
      <c r="Q14" s="14">
        <f>_xll.BDH("SRPT US Equity","EBITDA_TO_REVENUE","FQ2 2022","FQ2 2022","Currency=USD","Period=FQ","BEST_FPERIOD_OVERRIDE=FQ","FILING_STATUS=MR","FA_ADJUSTED=GAAP","Sort=A","Dates=H","DateFormat=P","Fill=—","Direction=H","UseDPDF=Y")</f>
        <v>-86.190200000000004</v>
      </c>
      <c r="R14" s="14">
        <f>_xll.BDH("SRPT US Equity","EBITDA_TO_REVENUE","FQ3 2022","FQ3 2022","Currency=USD","Period=FQ","BEST_FPERIOD_OVERRIDE=FQ","FILING_STATUS=MR","FA_ADJUSTED=GAAP","Sort=A","Dates=H","DateFormat=P","Fill=—","Direction=H","UseDPDF=Y")</f>
        <v>-52.396099999999997</v>
      </c>
      <c r="S14" s="14">
        <f>_xll.BDH("SRPT US Equity","EBITDA_TO_REVENUE","FQ4 2022","FQ4 2022","Currency=USD","Period=FQ","BEST_FPERIOD_OVERRIDE=FQ","FILING_STATUS=MR","FA_ADJUSTED=GAAP","Sort=A","Dates=H","DateFormat=P","Fill=—","Direction=H","UseDPDF=Y")</f>
        <v>-37.2562</v>
      </c>
      <c r="T14" s="14">
        <f>_xll.BDH("SRPT US Equity","EBITDA_TO_REVENUE","FQ1 2023","FQ1 2023","Currency=USD","Period=FQ","BEST_FPERIOD_OVERRIDE=FQ","FILING_STATUS=MR","FA_ADJUSTED=GAAP","Sort=A","Dates=H","DateFormat=P","Fill=—","Direction=H","UseDPDF=Y")</f>
        <v>-50.012999999999998</v>
      </c>
      <c r="U14" s="14">
        <f>_xll.BDH("SRPT US Equity","EBITDA_TO_REVENUE","FQ2 2023","FQ2 2023","Currency=USD","Period=FQ","BEST_FPERIOD_OVERRIDE=FQ","FILING_STATUS=MR","FA_ADJUSTED=GAAP","Sort=A","Dates=H","DateFormat=P","Fill=—","Direction=H","UseDPDF=Y")</f>
        <v>-46.978999999999999</v>
      </c>
      <c r="V14" s="14">
        <f>_xll.BDH("SRPT US Equity","EBITDA_TO_REVENUE","FQ3 2023","FQ3 2023","Currency=USD","Period=FQ","BEST_FPERIOD_OVERRIDE=FQ","FILING_STATUS=MR","FA_ADJUSTED=GAAP","Sort=A","Dates=H","DateFormat=P","Fill=—","Direction=H","UseDPDF=Y")</f>
        <v>-2.9878</v>
      </c>
      <c r="W14" s="14">
        <f>_xll.BDH("SRPT US Equity","EBITDA_TO_REVENUE","FQ4 2023","FQ4 2023","Currency=USD","Period=FQ","BEST_FPERIOD_OVERRIDE=FQ","FILING_STATUS=MR","FA_ADJUSTED=GAAP","Sort=A","Dates=H","DateFormat=P","Fill=—","Direction=H","UseDPDF=Y")</f>
        <v>9.0723000000000003</v>
      </c>
      <c r="X14" s="14">
        <f>_xll.BDH("SRPT US Equity","EBITDA_TO_REVENUE","FQ1 2024","FQ1 2024","Currency=USD","Period=FQ","BEST_FPERIOD_OVERRIDE=FQ","FILING_STATUS=MR","FA_ADJUSTED=GAAP","Sort=A","Dates=H","DateFormat=P","Fill=—","Direction=H","UseDPDF=Y")</f>
        <v>10.556900000000001</v>
      </c>
      <c r="Y14" s="14">
        <f>_xll.BDH("SRPT US Equity","EBITDA_TO_REVENUE","FQ2 2024","FQ2 2024","Currency=USD","Period=FQ","BEST_FPERIOD_OVERRIDE=FQ","FILING_STATUS=MR","FA_ADJUSTED=GAAP","Sort=A","Dates=H","DateFormat=P","Fill=—","Direction=H","UseDPDF=Y")</f>
        <v>2.2092000000000001</v>
      </c>
      <c r="Z14" s="14">
        <f>_xll.BDH("SRPT US Equity","EBITDA_TO_REVENUE","FQ3 2024","FQ3 2024","Currency=USD","Period=FQ","BEST_FPERIOD_OVERRIDE=FQ","FILING_STATUS=MR","FA_ADJUSTED=GAAP","Sort=A","Dates=H","DateFormat=P","Fill=—","Direction=H","UseDPDF=Y")</f>
        <v>6.8502000000000001</v>
      </c>
      <c r="AA14" s="14">
        <f>_xll.BDH("SRPT US Equity","EBITDA_TO_REVENUE","FQ4 2024","FQ4 2024","Currency=USD","Period=FQ","BEST_FPERIOD_OVERRIDE=FQ","FILING_STATUS=MR","FA_ADJUSTED=GAAP","Sort=A","Dates=H","DateFormat=P","Fill=—","Direction=H","UseDPDF=Y")</f>
        <v>26.144100000000002</v>
      </c>
    </row>
    <row r="15" spans="1:27" x14ac:dyDescent="0.25">
      <c r="A15" s="10" t="s">
        <v>402</v>
      </c>
      <c r="B15" s="10" t="s">
        <v>403</v>
      </c>
      <c r="C15" s="14">
        <f>_xll.BDH("SRPT US Equity","OPER_MARGIN","FQ4 2018","FQ4 2018","Currency=USD","Period=FQ","BEST_FPERIOD_OVERRIDE=FQ","FILING_STATUS=MR","FA_ADJUSTED=GAAP","Sort=A","Dates=H","DateFormat=P","Fill=—","Direction=H","UseDPDF=Y")</f>
        <v>-165.09270000000001</v>
      </c>
      <c r="D15" s="14">
        <f>_xll.BDH("SRPT US Equity","OPER_MARGIN","FQ1 2019","FQ1 2019","Currency=USD","Period=FQ","BEST_FPERIOD_OVERRIDE=FQ","FILING_STATUS=MR","FA_ADJUSTED=GAAP","Sort=A","Dates=H","DateFormat=P","Fill=—","Direction=H","UseDPDF=Y")</f>
        <v>-87.79</v>
      </c>
      <c r="E15" s="14">
        <f>_xll.BDH("SRPT US Equity","OPER_MARGIN","FQ2 2019","FQ2 2019","Currency=USD","Period=FQ","BEST_FPERIOD_OVERRIDE=FQ","FILING_STATUS=MR","FA_ADJUSTED=GAAP","Sort=A","Dates=H","DateFormat=P","Fill=—","Direction=H","UseDPDF=Y")</f>
        <v>-290.87650000000002</v>
      </c>
      <c r="F15" s="14">
        <f>_xll.BDH("SRPT US Equity","OPER_MARGIN","FQ3 2019","FQ3 2019","Currency=USD","Period=FQ","BEST_FPERIOD_OVERRIDE=FQ","FILING_STATUS=MR","FA_ADJUSTED=GAAP","Sort=A","Dates=H","DateFormat=P","Fill=—","Direction=H","UseDPDF=Y")</f>
        <v>-124.7867</v>
      </c>
      <c r="G15" s="14">
        <f>_xll.BDH("SRPT US Equity","OPER_MARGIN","FQ4 2019","FQ4 2019","Currency=USD","Period=FQ","BEST_FPERIOD_OVERRIDE=FQ","FILING_STATUS=MR","FA_ADJUSTED=GAAP","Sort=A","Dates=H","DateFormat=P","Fill=—","Direction=H","UseDPDF=Y")</f>
        <v>-229.95910000000001</v>
      </c>
      <c r="H15" s="14">
        <f>_xll.BDH("SRPT US Equity","OPER_MARGIN","FQ1 2020","FQ1 2020","Currency=USD","Period=FQ","BEST_FPERIOD_OVERRIDE=FQ","FILING_STATUS=MR","FA_ADJUSTED=GAAP","Sort=A","Dates=H","DateFormat=P","Fill=—","Direction=H","UseDPDF=Y")</f>
        <v>-103.82850000000001</v>
      </c>
      <c r="I15" s="14">
        <f>_xll.BDH("SRPT US Equity","OPER_MARGIN","FQ2 2020","FQ2 2020","Currency=USD","Period=FQ","BEST_FPERIOD_OVERRIDE=FQ","FILING_STATUS=MR","FA_ADJUSTED=GAAP","Sort=A","Dates=H","DateFormat=P","Fill=—","Direction=H","UseDPDF=Y")</f>
        <v>-100.72069999999999</v>
      </c>
      <c r="J15" s="14">
        <f>_xll.BDH("SRPT US Equity","OPER_MARGIN","FQ3 2020","FQ3 2020","Currency=USD","Period=FQ","BEST_FPERIOD_OVERRIDE=FQ","FILING_STATUS=MR","FA_ADJUSTED=GAAP","Sort=A","Dates=H","DateFormat=P","Fill=—","Direction=H","UseDPDF=Y")</f>
        <v>-95.236400000000003</v>
      </c>
      <c r="K15" s="14">
        <f>_xll.BDH("SRPT US Equity","OPER_MARGIN","FQ4 2020","FQ4 2020","Currency=USD","Period=FQ","BEST_FPERIOD_OVERRIDE=FQ","FILING_STATUS=MR","FA_ADJUSTED=GAAP","Sort=A","Dates=H","DateFormat=P","Fill=—","Direction=H","UseDPDF=Y")</f>
        <v>-117.6232</v>
      </c>
      <c r="L15" s="14">
        <f>_xll.BDH("SRPT US Equity","OPER_MARGIN","FQ1 2021","FQ1 2021","Currency=USD","Period=FQ","BEST_FPERIOD_OVERRIDE=FQ","FILING_STATUS=MR","FA_ADJUSTED=GAAP","Sort=A","Dates=H","DateFormat=P","Fill=—","Direction=H","UseDPDF=Y")</f>
        <v>-103.358</v>
      </c>
      <c r="M15" s="14">
        <f>_xll.BDH("SRPT US Equity","OPER_MARGIN","FQ2 2021","FQ2 2021","Currency=USD","Period=FQ","BEST_FPERIOD_OVERRIDE=FQ","FILING_STATUS=MR","FA_ADJUSTED=GAAP","Sort=A","Dates=H","DateFormat=P","Fill=—","Direction=H","UseDPDF=Y")</f>
        <v>-102.1238</v>
      </c>
      <c r="N15" s="14">
        <f>_xll.BDH("SRPT US Equity","OPER_MARGIN","FQ3 2021","FQ3 2021","Currency=USD","Period=FQ","BEST_FPERIOD_OVERRIDE=FQ","FILING_STATUS=MR","FA_ADJUSTED=GAAP","Sort=A","Dates=H","DateFormat=P","Fill=—","Direction=H","UseDPDF=Y")</f>
        <v>-18.192699999999999</v>
      </c>
      <c r="O15" s="14">
        <f>_xll.BDH("SRPT US Equity","OPER_MARGIN","FQ4 2021","FQ4 2021","Currency=USD","Period=FQ","BEST_FPERIOD_OVERRIDE=FQ","FILING_STATUS=MR","FA_ADJUSTED=GAAP","Sort=A","Dates=H","DateFormat=P","Fill=—","Direction=H","UseDPDF=Y")</f>
        <v>-52.522799999999997</v>
      </c>
      <c r="P15" s="14">
        <f>_xll.BDH("SRPT US Equity","OPER_MARGIN","FQ1 2022","FQ1 2022","Currency=USD","Period=FQ","BEST_FPERIOD_OVERRIDE=FQ","FILING_STATUS=MR","FA_ADJUSTED=GAAP","Sort=A","Dates=H","DateFormat=P","Fill=—","Direction=H","UseDPDF=Y")</f>
        <v>-41.209000000000003</v>
      </c>
      <c r="Q15" s="14">
        <f>_xll.BDH("SRPT US Equity","OPER_MARGIN","FQ2 2022","FQ2 2022","Currency=USD","Period=FQ","BEST_FPERIOD_OVERRIDE=FQ","FILING_STATUS=MR","FA_ADJUSTED=GAAP","Sort=A","Dates=H","DateFormat=P","Fill=—","Direction=H","UseDPDF=Y")</f>
        <v>-90.425600000000003</v>
      </c>
      <c r="R15" s="14">
        <f>_xll.BDH("SRPT US Equity","OPER_MARGIN","FQ3 2022","FQ3 2022","Currency=USD","Period=FQ","BEST_FPERIOD_OVERRIDE=FQ","FILING_STATUS=MR","FA_ADJUSTED=GAAP","Sort=A","Dates=H","DateFormat=P","Fill=—","Direction=H","UseDPDF=Y")</f>
        <v>-57.044199999999996</v>
      </c>
      <c r="S15" s="14">
        <f>_xll.BDH("SRPT US Equity","OPER_MARGIN","FQ4 2022","FQ4 2022","Currency=USD","Period=FQ","BEST_FPERIOD_OVERRIDE=FQ","FILING_STATUS=MR","FA_ADJUSTED=GAAP","Sort=A","Dates=H","DateFormat=P","Fill=—","Direction=H","UseDPDF=Y")</f>
        <v>-41.339700000000001</v>
      </c>
      <c r="T15" s="14">
        <f>_xll.BDH("SRPT US Equity","OPER_MARGIN","FQ1 2023","FQ1 2023","Currency=USD","Period=FQ","BEST_FPERIOD_OVERRIDE=FQ","FILING_STATUS=MR","FA_ADJUSTED=GAAP","Sort=A","Dates=H","DateFormat=P","Fill=—","Direction=H","UseDPDF=Y")</f>
        <v>-54.4726</v>
      </c>
      <c r="U15" s="14">
        <f>_xll.BDH("SRPT US Equity","OPER_MARGIN","FQ2 2023","FQ2 2023","Currency=USD","Period=FQ","BEST_FPERIOD_OVERRIDE=FQ","FILING_STATUS=MR","FA_ADJUSTED=GAAP","Sort=A","Dates=H","DateFormat=P","Fill=—","Direction=H","UseDPDF=Y")</f>
        <v>-51.110100000000003</v>
      </c>
      <c r="V15" s="14">
        <f>_xll.BDH("SRPT US Equity","OPER_MARGIN","FQ3 2023","FQ3 2023","Currency=USD","Period=FQ","BEST_FPERIOD_OVERRIDE=FQ","FILING_STATUS=MR","FA_ADJUSTED=GAAP","Sort=A","Dates=H","DateFormat=P","Fill=—","Direction=H","UseDPDF=Y")</f>
        <v>-6.2812000000000001</v>
      </c>
      <c r="W15" s="14">
        <f>_xll.BDH("SRPT US Equity","OPER_MARGIN","FQ4 2023","FQ4 2023","Currency=USD","Period=FQ","BEST_FPERIOD_OVERRIDE=FQ","FILING_STATUS=MR","FA_ADJUSTED=GAAP","Sort=A","Dates=H","DateFormat=P","Fill=—","Direction=H","UseDPDF=Y")</f>
        <v>6.2061999999999999</v>
      </c>
      <c r="X15" s="14">
        <f>_xll.BDH("SRPT US Equity","OPER_MARGIN","FQ1 2024","FQ1 2024","Currency=USD","Period=FQ","BEST_FPERIOD_OVERRIDE=FQ","FILING_STATUS=MR","FA_ADJUSTED=GAAP","Sort=A","Dates=H","DateFormat=P","Fill=—","Direction=H","UseDPDF=Y")</f>
        <v>8.4420999999999999</v>
      </c>
      <c r="Y15" s="14">
        <f>_xll.BDH("SRPT US Equity","OPER_MARGIN","FQ2 2024","FQ2 2024","Currency=USD","Period=FQ","BEST_FPERIOD_OVERRIDE=FQ","FILING_STATUS=MR","FA_ADJUSTED=GAAP","Sort=A","Dates=H","DateFormat=P","Fill=—","Direction=H","UseDPDF=Y")</f>
        <v>-0.19309999999999999</v>
      </c>
      <c r="Z15" s="14">
        <f>_xll.BDH("SRPT US Equity","OPER_MARGIN","FQ3 2024","FQ3 2024","Currency=USD","Period=FQ","BEST_FPERIOD_OVERRIDE=FQ","FILING_STATUS=MR","FA_ADJUSTED=GAAP","Sort=A","Dates=H","DateFormat=P","Fill=—","Direction=H","UseDPDF=Y")</f>
        <v>4.7511000000000001</v>
      </c>
      <c r="AA15" s="14">
        <f>_xll.BDH("SRPT US Equity","OPER_MARGIN","FQ4 2024","FQ4 2024","Currency=USD","Period=FQ","BEST_FPERIOD_OVERRIDE=FQ","FILING_STATUS=MR","FA_ADJUSTED=GAAP","Sort=A","Dates=H","DateFormat=P","Fill=—","Direction=H","UseDPDF=Y")</f>
        <v>24.5562</v>
      </c>
    </row>
    <row r="16" spans="1:27" x14ac:dyDescent="0.25">
      <c r="A16" s="10" t="s">
        <v>1368</v>
      </c>
      <c r="B16" s="10" t="s">
        <v>1369</v>
      </c>
      <c r="C16" s="14" t="str">
        <f>_xll.BDH("SRPT US Equity","INCREMENTAL_OPERATING_MARGIN","FQ4 2018","FQ4 2018","Currency=USD","Period=FQ","BEST_FPERIOD_OVERRIDE=FQ","FILING_STATUS=MR","FA_ADJUSTED=GAAP","Sort=A","Dates=H","DateFormat=P","Fill=—","Direction=H","UseDPDF=Y")</f>
        <v>—</v>
      </c>
      <c r="D16" s="14" t="str">
        <f>_xll.BDH("SRPT US Equity","INCREMENTAL_OPERATING_MARGIN","FQ1 2019","FQ1 2019","Currency=USD","Period=FQ","BEST_FPERIOD_OVERRIDE=FQ","FILING_STATUS=MR","FA_ADJUSTED=GAAP","Sort=A","Dates=H","DateFormat=P","Fill=—","Direction=H","UseDPDF=Y")</f>
        <v>—</v>
      </c>
      <c r="E16" s="14" t="str">
        <f>_xll.BDH("SRPT US Equity","INCREMENTAL_OPERATING_MARGIN","FQ2 2019","FQ2 2019","Currency=USD","Period=FQ","BEST_FPERIOD_OVERRIDE=FQ","FILING_STATUS=MR","FA_ADJUSTED=GAAP","Sort=A","Dates=H","DateFormat=P","Fill=—","Direction=H","UseDPDF=Y")</f>
        <v>—</v>
      </c>
      <c r="F16" s="14" t="str">
        <f>_xll.BDH("SRPT US Equity","INCREMENTAL_OPERATING_MARGIN","FQ3 2019","FQ3 2019","Currency=USD","Period=FQ","BEST_FPERIOD_OVERRIDE=FQ","FILING_STATUS=MR","FA_ADJUSTED=GAAP","Sort=A","Dates=H","DateFormat=P","Fill=—","Direction=H","UseDPDF=Y")</f>
        <v>—</v>
      </c>
      <c r="G16" s="14" t="str">
        <f>_xll.BDH("SRPT US Equity","INCREMENTAL_OPERATING_MARGIN","FQ4 2019","FQ4 2019","Currency=USD","Period=FQ","BEST_FPERIOD_OVERRIDE=FQ","FILING_STATUS=MR","FA_ADJUSTED=GAAP","Sort=A","Dates=H","DateFormat=P","Fill=—","Direction=H","UseDPDF=Y")</f>
        <v>—</v>
      </c>
      <c r="H16" s="14" t="str">
        <f>_xll.BDH("SRPT US Equity","INCREMENTAL_OPERATING_MARGIN","FQ1 2020","FQ1 2020","Currency=USD","Period=FQ","BEST_FPERIOD_OVERRIDE=FQ","FILING_STATUS=MR","FA_ADJUSTED=GAAP","Sort=A","Dates=H","DateFormat=P","Fill=—","Direction=H","UseDPDF=Y")</f>
        <v>—</v>
      </c>
      <c r="I16" s="14">
        <f>_xll.BDH("SRPT US Equity","INCREMENTAL_OPERATING_MARGIN","FQ2 2020","FQ2 2020","Currency=USD","Period=FQ","BEST_FPERIOD_OVERRIDE=FQ","FILING_STATUS=MR","FA_ADJUSTED=GAAP","Sort=A","Dates=H","DateFormat=P","Fill=—","Direction=H","UseDPDF=Y")</f>
        <v>320.9135</v>
      </c>
      <c r="J16" s="14" t="str">
        <f>_xll.BDH("SRPT US Equity","INCREMENTAL_OPERATING_MARGIN","FQ3 2020","FQ3 2020","Currency=USD","Period=FQ","BEST_FPERIOD_OVERRIDE=FQ","FILING_STATUS=MR","FA_ADJUSTED=GAAP","Sort=A","Dates=H","DateFormat=P","Fill=—","Direction=H","UseDPDF=Y")</f>
        <v>—</v>
      </c>
      <c r="K16" s="14">
        <f>_xll.BDH("SRPT US Equity","INCREMENTAL_OPERATING_MARGIN","FQ4 2020","FQ4 2020","Currency=USD","Period=FQ","BEST_FPERIOD_OVERRIDE=FQ","FILING_STATUS=MR","FA_ADJUSTED=GAAP","Sort=A","Dates=H","DateFormat=P","Fill=—","Direction=H","UseDPDF=Y")</f>
        <v>132.15549999999999</v>
      </c>
      <c r="L16" s="14" t="str">
        <f>_xll.BDH("SRPT US Equity","INCREMENTAL_OPERATING_MARGIN","FQ1 2021","FQ1 2021","Currency=USD","Period=FQ","BEST_FPERIOD_OVERRIDE=FQ","FILING_STATUS=MR","FA_ADJUSTED=GAAP","Sort=A","Dates=H","DateFormat=P","Fill=—","Direction=H","UseDPDF=Y")</f>
        <v>—</v>
      </c>
      <c r="M16" s="14" t="str">
        <f>_xll.BDH("SRPT US Equity","INCREMENTAL_OPERATING_MARGIN","FQ2 2021","FQ2 2021","Currency=USD","Period=FQ","BEST_FPERIOD_OVERRIDE=FQ","FILING_STATUS=MR","FA_ADJUSTED=GAAP","Sort=A","Dates=H","DateFormat=P","Fill=—","Direction=H","UseDPDF=Y")</f>
        <v>—</v>
      </c>
      <c r="N16" s="14">
        <f>_xll.BDH("SRPT US Equity","INCREMENTAL_OPERATING_MARGIN","FQ3 2021","FQ3 2021","Currency=USD","Period=FQ","BEST_FPERIOD_OVERRIDE=FQ","FILING_STATUS=MR","FA_ADJUSTED=GAAP","Sort=A","Dates=H","DateFormat=P","Fill=—","Direction=H","UseDPDF=Y")</f>
        <v>225.60570000000001</v>
      </c>
      <c r="O16" s="14">
        <f>_xll.BDH("SRPT US Equity","INCREMENTAL_OPERATING_MARGIN","FQ4 2021","FQ4 2021","Currency=USD","Period=FQ","BEST_FPERIOD_OVERRIDE=FQ","FILING_STATUS=MR","FA_ADJUSTED=GAAP","Sort=A","Dates=H","DateFormat=P","Fill=—","Direction=H","UseDPDF=Y")</f>
        <v>115.2336</v>
      </c>
      <c r="P16" s="14">
        <f>_xll.BDH("SRPT US Equity","INCREMENTAL_OPERATING_MARGIN","FQ1 2022","FQ1 2022","Currency=USD","Period=FQ","BEST_FPERIOD_OVERRIDE=FQ","FILING_STATUS=MR","FA_ADJUSTED=GAAP","Sort=A","Dates=H","DateFormat=P","Fill=—","Direction=H","UseDPDF=Y")</f>
        <v>101.69799999999999</v>
      </c>
      <c r="Q16" s="14" t="str">
        <f>_xll.BDH("SRPT US Equity","INCREMENTAL_OPERATING_MARGIN","FQ2 2022","FQ2 2022","Currency=USD","Period=FQ","BEST_FPERIOD_OVERRIDE=FQ","FILING_STATUS=MR","FA_ADJUSTED=GAAP","Sort=A","Dates=H","DateFormat=P","Fill=—","Direction=H","UseDPDF=Y")</f>
        <v>—</v>
      </c>
      <c r="R16" s="14" t="str">
        <f>_xll.BDH("SRPT US Equity","INCREMENTAL_OPERATING_MARGIN","FQ3 2022","FQ3 2022","Currency=USD","Period=FQ","BEST_FPERIOD_OVERRIDE=FQ","FILING_STATUS=MR","FA_ADJUSTED=GAAP","Sort=A","Dates=H","DateFormat=P","Fill=—","Direction=H","UseDPDF=Y")</f>
        <v>—</v>
      </c>
      <c r="S16" s="14" t="str">
        <f>_xll.BDH("SRPT US Equity","INCREMENTAL_OPERATING_MARGIN","FQ4 2022","FQ4 2022","Currency=USD","Period=FQ","BEST_FPERIOD_OVERRIDE=FQ","FILING_STATUS=MR","FA_ADJUSTED=GAAP","Sort=A","Dates=H","DateFormat=P","Fill=—","Direction=H","UseDPDF=Y")</f>
        <v>—</v>
      </c>
      <c r="T16" s="14" t="str">
        <f>_xll.BDH("SRPT US Equity","INCREMENTAL_OPERATING_MARGIN","FQ1 2023","FQ1 2023","Currency=USD","Period=FQ","BEST_FPERIOD_OVERRIDE=FQ","FILING_STATUS=MR","FA_ADJUSTED=GAAP","Sort=A","Dates=H","DateFormat=P","Fill=—","Direction=H","UseDPDF=Y")</f>
        <v>—</v>
      </c>
      <c r="U16" s="14">
        <f>_xll.BDH("SRPT US Equity","INCREMENTAL_OPERATING_MARGIN","FQ2 2023","FQ2 2023","Currency=USD","Period=FQ","BEST_FPERIOD_OVERRIDE=FQ","FILING_STATUS=MR","FA_ADJUSTED=GAAP","Sort=A","Dates=H","DateFormat=P","Fill=—","Direction=H","UseDPDF=Y")</f>
        <v>279.6764</v>
      </c>
      <c r="V16" s="14">
        <f>_xll.BDH("SRPT US Equity","INCREMENTAL_OPERATING_MARGIN","FQ3 2023","FQ3 2023","Currency=USD","Period=FQ","BEST_FPERIOD_OVERRIDE=FQ","FILING_STATUS=MR","FA_ADJUSTED=GAAP","Sort=A","Dates=H","DateFormat=P","Fill=—","Direction=H","UseDPDF=Y")</f>
        <v>108.8283</v>
      </c>
      <c r="W16" s="14">
        <f>_xll.BDH("SRPT US Equity","INCREMENTAL_OPERATING_MARGIN","FQ4 2023","FQ4 2023","Currency=USD","Period=FQ","BEST_FPERIOD_OVERRIDE=FQ","FILING_STATUS=MR","FA_ADJUSTED=GAAP","Sort=A","Dates=H","DateFormat=P","Fill=—","Direction=H","UseDPDF=Y")</f>
        <v>95.015699999999995</v>
      </c>
      <c r="X16" s="14">
        <f>_xll.BDH("SRPT US Equity","INCREMENTAL_OPERATING_MARGIN","FQ1 2024","FQ1 2024","Currency=USD","Period=FQ","BEST_FPERIOD_OVERRIDE=FQ","FILING_STATUS=MR","FA_ADJUSTED=GAAP","Sort=A","Dates=H","DateFormat=P","Fill=—","Direction=H","UseDPDF=Y")</f>
        <v>108.145</v>
      </c>
      <c r="Y16" s="14">
        <f>_xll.BDH("SRPT US Equity","INCREMENTAL_OPERATING_MARGIN","FQ2 2024","FQ2 2024","Currency=USD","Period=FQ","BEST_FPERIOD_OVERRIDE=FQ","FILING_STATUS=MR","FA_ADJUSTED=GAAP","Sort=A","Dates=H","DateFormat=P","Fill=—","Direction=H","UseDPDF=Y")</f>
        <v>130.60679999999999</v>
      </c>
      <c r="Z16" s="14">
        <f>_xll.BDH("SRPT US Equity","INCREMENTAL_OPERATING_MARGIN","FQ3 2024","FQ3 2024","Currency=USD","Period=FQ","BEST_FPERIOD_OVERRIDE=FQ","FILING_STATUS=MR","FA_ADJUSTED=GAAP","Sort=A","Dates=H","DateFormat=P","Fill=—","Direction=H","UseDPDF=Y")</f>
        <v>31.796399999999998</v>
      </c>
      <c r="AA16" s="14">
        <f>_xll.BDH("SRPT US Equity","INCREMENTAL_OPERATING_MARGIN","FQ4 2024","FQ4 2024","Currency=USD","Period=FQ","BEST_FPERIOD_OVERRIDE=FQ","FILING_STATUS=MR","FA_ADJUSTED=GAAP","Sort=A","Dates=H","DateFormat=P","Fill=—","Direction=H","UseDPDF=Y")</f>
        <v>52.385199999999998</v>
      </c>
    </row>
    <row r="17" spans="1:27" x14ac:dyDescent="0.25">
      <c r="A17" s="10" t="s">
        <v>1370</v>
      </c>
      <c r="B17" s="10" t="s">
        <v>1371</v>
      </c>
      <c r="C17" s="14">
        <f>_xll.BDH("SRPT US Equity","PRETAX_INC_TO_NET_SALES","FQ4 2018","FQ4 2018","Currency=USD","Period=FQ","BEST_FPERIOD_OVERRIDE=FQ","FILING_STATUS=MR","FA_ADJUSTED=GAAP","Sort=A","Dates=H","DateFormat=P","Fill=—","Direction=H","UseDPDF=Y")</f>
        <v>-167.8304</v>
      </c>
      <c r="D17" s="14">
        <f>_xll.BDH("SRPT US Equity","PRETAX_INC_TO_NET_SALES","FQ1 2019","FQ1 2019","Currency=USD","Period=FQ","BEST_FPERIOD_OVERRIDE=FQ","FILING_STATUS=MR","FA_ADJUSTED=GAAP","Sort=A","Dates=H","DateFormat=P","Fill=—","Direction=H","UseDPDF=Y")</f>
        <v>-87.987700000000004</v>
      </c>
      <c r="E17" s="14">
        <f>_xll.BDH("SRPT US Equity","PRETAX_INC_TO_NET_SALES","FQ2 2019","FQ2 2019","Currency=USD","Period=FQ","BEST_FPERIOD_OVERRIDE=FQ","FILING_STATUS=MR","FA_ADJUSTED=GAAP","Sort=A","Dates=H","DateFormat=P","Fill=—","Direction=H","UseDPDF=Y")</f>
        <v>-291.78710000000001</v>
      </c>
      <c r="F17" s="14">
        <f>_xll.BDH("SRPT US Equity","PRETAX_INC_TO_NET_SALES","FQ3 2019","FQ3 2019","Currency=USD","Period=FQ","BEST_FPERIOD_OVERRIDE=FQ","FILING_STATUS=MR","FA_ADJUSTED=GAAP","Sort=A","Dates=H","DateFormat=P","Fill=—","Direction=H","UseDPDF=Y")</f>
        <v>-127.321</v>
      </c>
      <c r="G17" s="14">
        <f>_xll.BDH("SRPT US Equity","PRETAX_INC_TO_NET_SALES","FQ4 2019","FQ4 2019","Currency=USD","Period=FQ","BEST_FPERIOD_OVERRIDE=FQ","FILING_STATUS=MR","FA_ADJUSTED=GAAP","Sort=A","Dates=H","DateFormat=P","Fill=—","Direction=H","UseDPDF=Y")</f>
        <v>-234.7268</v>
      </c>
      <c r="H17" s="14">
        <f>_xll.BDH("SRPT US Equity","PRETAX_INC_TO_NET_SALES","FQ1 2020","FQ1 2020","Currency=USD","Period=FQ","BEST_FPERIOD_OVERRIDE=FQ","FILING_STATUS=MR","FA_ADJUSTED=GAAP","Sort=A","Dates=H","DateFormat=P","Fill=—","Direction=H","UseDPDF=Y")</f>
        <v>-15.2867</v>
      </c>
      <c r="I17" s="14">
        <f>_xll.BDH("SRPT US Equity","PRETAX_INC_TO_NET_SALES","FQ2 2020","FQ2 2020","Currency=USD","Period=FQ","BEST_FPERIOD_OVERRIDE=FQ","FILING_STATUS=MR","FA_ADJUSTED=GAAP","Sort=A","Dates=H","DateFormat=P","Fill=—","Direction=H","UseDPDF=Y")</f>
        <v>-109.7821</v>
      </c>
      <c r="J17" s="14">
        <f>_xll.BDH("SRPT US Equity","PRETAX_INC_TO_NET_SALES","FQ3 2020","FQ3 2020","Currency=USD","Period=FQ","BEST_FPERIOD_OVERRIDE=FQ","FILING_STATUS=MR","FA_ADJUSTED=GAAP","Sort=A","Dates=H","DateFormat=P","Fill=—","Direction=H","UseDPDF=Y")</f>
        <v>-136.46299999999999</v>
      </c>
      <c r="K17" s="14">
        <f>_xll.BDH("SRPT US Equity","PRETAX_INC_TO_NET_SALES","FQ4 2020","FQ4 2020","Currency=USD","Period=FQ","BEST_FPERIOD_OVERRIDE=FQ","FILING_STATUS=MR","FA_ADJUSTED=GAAP","Sort=A","Dates=H","DateFormat=P","Fill=—","Direction=H","UseDPDF=Y")</f>
        <v>-129.86609999999999</v>
      </c>
      <c r="L17" s="14">
        <f>_xll.BDH("SRPT US Equity","PRETAX_INC_TO_NET_SALES","FQ1 2021","FQ1 2021","Currency=USD","Period=FQ","BEST_FPERIOD_OVERRIDE=FQ","FILING_STATUS=MR","FA_ADJUSTED=GAAP","Sort=A","Dates=H","DateFormat=P","Fill=—","Direction=H","UseDPDF=Y")</f>
        <v>-113.9263</v>
      </c>
      <c r="M17" s="14">
        <f>_xll.BDH("SRPT US Equity","PRETAX_INC_TO_NET_SALES","FQ2 2021","FQ2 2021","Currency=USD","Period=FQ","BEST_FPERIOD_OVERRIDE=FQ","FILING_STATUS=MR","FA_ADJUSTED=GAAP","Sort=A","Dates=H","DateFormat=P","Fill=—","Direction=H","UseDPDF=Y")</f>
        <v>-49.826000000000001</v>
      </c>
      <c r="N17" s="14">
        <f>_xll.BDH("SRPT US Equity","PRETAX_INC_TO_NET_SALES","FQ3 2021","FQ3 2021","Currency=USD","Period=FQ","BEST_FPERIOD_OVERRIDE=FQ","FILING_STATUS=MR","FA_ADJUSTED=GAAP","Sort=A","Dates=H","DateFormat=P","Fill=—","Direction=H","UseDPDF=Y")</f>
        <v>-25.293299999999999</v>
      </c>
      <c r="O17" s="14">
        <f>_xll.BDH("SRPT US Equity","PRETAX_INC_TO_NET_SALES","FQ4 2021","FQ4 2021","Currency=USD","Period=FQ","BEST_FPERIOD_OVERRIDE=FQ","FILING_STATUS=MR","FA_ADJUSTED=GAAP","Sort=A","Dates=H","DateFormat=P","Fill=—","Direction=H","UseDPDF=Y")</f>
        <v>-60.502499999999998</v>
      </c>
      <c r="P17" s="14">
        <f>_xll.BDH("SRPT US Equity","PRETAX_INC_TO_NET_SALES","FQ1 2022","FQ1 2022","Currency=USD","Period=FQ","BEST_FPERIOD_OVERRIDE=FQ","FILING_STATUS=MR","FA_ADJUSTED=GAAP","Sort=A","Dates=H","DateFormat=P","Fill=—","Direction=H","UseDPDF=Y")</f>
        <v>-49.398099999999999</v>
      </c>
      <c r="Q17" s="14">
        <f>_xll.BDH("SRPT US Equity","PRETAX_INC_TO_NET_SALES","FQ2 2022","FQ2 2022","Currency=USD","Period=FQ","BEST_FPERIOD_OVERRIDE=FQ","FILING_STATUS=MR","FA_ADJUSTED=GAAP","Sort=A","Dates=H","DateFormat=P","Fill=—","Direction=H","UseDPDF=Y")</f>
        <v>-97.689800000000005</v>
      </c>
      <c r="R17" s="14">
        <f>_xll.BDH("SRPT US Equity","PRETAX_INC_TO_NET_SALES","FQ3 2022","FQ3 2022","Currency=USD","Period=FQ","BEST_FPERIOD_OVERRIDE=FQ","FILING_STATUS=MR","FA_ADJUSTED=GAAP","Sort=A","Dates=H","DateFormat=P","Fill=—","Direction=H","UseDPDF=Y")</f>
        <v>-111.3558</v>
      </c>
      <c r="S17" s="14">
        <f>_xll.BDH("SRPT US Equity","PRETAX_INC_TO_NET_SALES","FQ4 2022","FQ4 2022","Currency=USD","Period=FQ","BEST_FPERIOD_OVERRIDE=FQ","FILING_STATUS=MR","FA_ADJUSTED=GAAP","Sort=A","Dates=H","DateFormat=P","Fill=—","Direction=H","UseDPDF=Y")</f>
        <v>-39.201000000000001</v>
      </c>
      <c r="T17" s="14">
        <f>_xll.BDH("SRPT US Equity","PRETAX_INC_TO_NET_SALES","FQ1 2023","FQ1 2023","Currency=USD","Period=FQ","BEST_FPERIOD_OVERRIDE=FQ","FILING_STATUS=MR","FA_ADJUSTED=GAAP","Sort=A","Dates=H","DateFormat=P","Fill=—","Direction=H","UseDPDF=Y")</f>
        <v>-202.2525</v>
      </c>
      <c r="U17" s="14">
        <f>_xll.BDH("SRPT US Equity","PRETAX_INC_TO_NET_SALES","FQ2 2023","FQ2 2023","Currency=USD","Period=FQ","BEST_FPERIOD_OVERRIDE=FQ","FILING_STATUS=MR","FA_ADJUSTED=GAAP","Sort=A","Dates=H","DateFormat=P","Fill=—","Direction=H","UseDPDF=Y")</f>
        <v>-5.5830000000000002</v>
      </c>
      <c r="V17" s="14">
        <f>_xll.BDH("SRPT US Equity","PRETAX_INC_TO_NET_SALES","FQ3 2023","FQ3 2023","Currency=USD","Period=FQ","BEST_FPERIOD_OVERRIDE=FQ","FILING_STATUS=MR","FA_ADJUSTED=GAAP","Sort=A","Dates=H","DateFormat=P","Fill=—","Direction=H","UseDPDF=Y")</f>
        <v>-9.9977</v>
      </c>
      <c r="W17" s="14">
        <f>_xll.BDH("SRPT US Equity","PRETAX_INC_TO_NET_SALES","FQ4 2023","FQ4 2023","Currency=USD","Period=FQ","BEST_FPERIOD_OVERRIDE=FQ","FILING_STATUS=MR","FA_ADJUSTED=GAAP","Sort=A","Dates=H","DateFormat=P","Fill=—","Direction=H","UseDPDF=Y")</f>
        <v>10.1746</v>
      </c>
      <c r="X17" s="14">
        <f>_xll.BDH("SRPT US Equity","PRETAX_INC_TO_NET_SALES","FQ1 2024","FQ1 2024","Currency=USD","Period=FQ","BEST_FPERIOD_OVERRIDE=FQ","FILING_STATUS=MR","FA_ADJUSTED=GAAP","Sort=A","Dates=H","DateFormat=P","Fill=—","Direction=H","UseDPDF=Y")</f>
        <v>10.0246</v>
      </c>
      <c r="Y17" s="14">
        <f>_xll.BDH("SRPT US Equity","PRETAX_INC_TO_NET_SALES","FQ2 2024","FQ2 2024","Currency=USD","Period=FQ","BEST_FPERIOD_OVERRIDE=FQ","FILING_STATUS=MR","FA_ADJUSTED=GAAP","Sort=A","Dates=H","DateFormat=P","Fill=—","Direction=H","UseDPDF=Y")</f>
        <v>3.7408999999999999</v>
      </c>
      <c r="Z17" s="14">
        <f>_xll.BDH("SRPT US Equity","PRETAX_INC_TO_NET_SALES","FQ3 2024","FQ3 2024","Currency=USD","Period=FQ","BEST_FPERIOD_OVERRIDE=FQ","FILING_STATUS=MR","FA_ADJUSTED=GAAP","Sort=A","Dates=H","DateFormat=P","Fill=—","Direction=H","UseDPDF=Y")</f>
        <v>7.2790999999999997</v>
      </c>
      <c r="AA17" s="14">
        <f>_xll.BDH("SRPT US Equity","PRETAX_INC_TO_NET_SALES","FQ4 2024","FQ4 2024","Currency=USD","Period=FQ","BEST_FPERIOD_OVERRIDE=FQ","FILING_STATUS=MR","FA_ADJUSTED=GAAP","Sort=A","Dates=H","DateFormat=P","Fill=—","Direction=H","UseDPDF=Y")</f>
        <v>26.084399999999999</v>
      </c>
    </row>
    <row r="18" spans="1:27" x14ac:dyDescent="0.25">
      <c r="A18" s="10" t="s">
        <v>1372</v>
      </c>
      <c r="B18" s="10" t="s">
        <v>1373</v>
      </c>
      <c r="C18" s="14">
        <f>_xll.BDH("SRPT US Equity","INC_BEF_XO_ITEMS_TO_NET_SALES","FQ4 2018","FQ4 2018","Currency=USD","Period=FQ","BEST_FPERIOD_OVERRIDE=FQ","FILING_STATUS=MR","FA_ADJUSTED=GAAP","Sort=A","Dates=H","DateFormat=P","Fill=—","Direction=H","UseDPDF=Y")</f>
        <v>-166.9075</v>
      </c>
      <c r="D18" s="14">
        <f>_xll.BDH("SRPT US Equity","INC_BEF_XO_ITEMS_TO_NET_SALES","FQ1 2019","FQ1 2019","Currency=USD","Period=FQ","BEST_FPERIOD_OVERRIDE=FQ","FILING_STATUS=MR","FA_ADJUSTED=GAAP","Sort=A","Dates=H","DateFormat=P","Fill=—","Direction=H","UseDPDF=Y")</f>
        <v>-88.084299999999999</v>
      </c>
      <c r="E18" s="14">
        <f>_xll.BDH("SRPT US Equity","INC_BEF_XO_ITEMS_TO_NET_SALES","FQ2 2019","FQ2 2019","Currency=USD","Period=FQ","BEST_FPERIOD_OVERRIDE=FQ","FILING_STATUS=MR","FA_ADJUSTED=GAAP","Sort=A","Dates=H","DateFormat=P","Fill=—","Direction=H","UseDPDF=Y")</f>
        <v>-291.97089999999997</v>
      </c>
      <c r="F18" s="14">
        <f>_xll.BDH("SRPT US Equity","INC_BEF_XO_ITEMS_TO_NET_SALES","FQ3 2019","FQ3 2019","Currency=USD","Period=FQ","BEST_FPERIOD_OVERRIDE=FQ","FILING_STATUS=MR","FA_ADJUSTED=GAAP","Sort=A","Dates=H","DateFormat=P","Fill=—","Direction=H","UseDPDF=Y")</f>
        <v>-127.5492</v>
      </c>
      <c r="G18" s="14">
        <f>_xll.BDH("SRPT US Equity","INC_BEF_XO_ITEMS_TO_NET_SALES","FQ4 2019","FQ4 2019","Currency=USD","Period=FQ","BEST_FPERIOD_OVERRIDE=FQ","FILING_STATUS=MR","FA_ADJUSTED=GAAP","Sort=A","Dates=H","DateFormat=P","Fill=—","Direction=H","UseDPDF=Y")</f>
        <v>-235.43700000000001</v>
      </c>
      <c r="H18" s="14">
        <f>_xll.BDH("SRPT US Equity","INC_BEF_XO_ITEMS_TO_NET_SALES","FQ1 2020","FQ1 2020","Currency=USD","Period=FQ","BEST_FPERIOD_OVERRIDE=FQ","FILING_STATUS=MR","FA_ADJUSTED=GAAP","Sort=A","Dates=H","DateFormat=P","Fill=—","Direction=H","UseDPDF=Y")</f>
        <v>-15.3879</v>
      </c>
      <c r="I18" s="14">
        <f>_xll.BDH("SRPT US Equity","INC_BEF_XO_ITEMS_TO_NET_SALES","FQ2 2020","FQ2 2020","Currency=USD","Period=FQ","BEST_FPERIOD_OVERRIDE=FQ","FILING_STATUS=MR","FA_ADJUSTED=GAAP","Sort=A","Dates=H","DateFormat=P","Fill=—","Direction=H","UseDPDF=Y")</f>
        <v>-109.7967</v>
      </c>
      <c r="J18" s="14">
        <f>_xll.BDH("SRPT US Equity","INC_BEF_XO_ITEMS_TO_NET_SALES","FQ3 2020","FQ3 2020","Currency=USD","Period=FQ","BEST_FPERIOD_OVERRIDE=FQ","FILING_STATUS=MR","FA_ADJUSTED=GAAP","Sort=A","Dates=H","DateFormat=P","Fill=—","Direction=H","UseDPDF=Y")</f>
        <v>-136.52969999999999</v>
      </c>
      <c r="K18" s="14">
        <f>_xll.BDH("SRPT US Equity","INC_BEF_XO_ITEMS_TO_NET_SALES","FQ4 2020","FQ4 2020","Currency=USD","Period=FQ","BEST_FPERIOD_OVERRIDE=FQ","FILING_STATUS=MR","FA_ADJUSTED=GAAP","Sort=A","Dates=H","DateFormat=P","Fill=—","Direction=H","UseDPDF=Y")</f>
        <v>-130.4393</v>
      </c>
      <c r="L18" s="14">
        <f>_xll.BDH("SRPT US Equity","INC_BEF_XO_ITEMS_TO_NET_SALES","FQ1 2021","FQ1 2021","Currency=USD","Period=FQ","BEST_FPERIOD_OVERRIDE=FQ","FILING_STATUS=MR","FA_ADJUSTED=GAAP","Sort=A","Dates=H","DateFormat=P","Fill=—","Direction=H","UseDPDF=Y")</f>
        <v>-113.8289</v>
      </c>
      <c r="M18" s="14">
        <f>_xll.BDH("SRPT US Equity","INC_BEF_XO_ITEMS_TO_NET_SALES","FQ2 2021","FQ2 2021","Currency=USD","Period=FQ","BEST_FPERIOD_OVERRIDE=FQ","FILING_STATUS=MR","FA_ADJUSTED=GAAP","Sort=A","Dates=H","DateFormat=P","Fill=—","Direction=H","UseDPDF=Y")</f>
        <v>-49.610300000000002</v>
      </c>
      <c r="N18" s="14">
        <f>_xll.BDH("SRPT US Equity","INC_BEF_XO_ITEMS_TO_NET_SALES","FQ3 2021","FQ3 2021","Currency=USD","Period=FQ","BEST_FPERIOD_OVERRIDE=FQ","FILING_STATUS=MR","FA_ADJUSTED=GAAP","Sort=A","Dates=H","DateFormat=P","Fill=—","Direction=H","UseDPDF=Y")</f>
        <v>-25.418399999999998</v>
      </c>
      <c r="O18" s="14">
        <f>_xll.BDH("SRPT US Equity","INC_BEF_XO_ITEMS_TO_NET_SALES","FQ4 2021","FQ4 2021","Currency=USD","Period=FQ","BEST_FPERIOD_OVERRIDE=FQ","FILING_STATUS=MR","FA_ADJUSTED=GAAP","Sort=A","Dates=H","DateFormat=P","Fill=—","Direction=H","UseDPDF=Y")</f>
        <v>-60.548200000000001</v>
      </c>
      <c r="P18" s="14">
        <f>_xll.BDH("SRPT US Equity","INC_BEF_XO_ITEMS_TO_NET_SALES","FQ1 2022","FQ1 2022","Currency=USD","Period=FQ","BEST_FPERIOD_OVERRIDE=FQ","FILING_STATUS=MR","FA_ADJUSTED=GAAP","Sort=A","Dates=H","DateFormat=P","Fill=—","Direction=H","UseDPDF=Y")</f>
        <v>-49.814999999999998</v>
      </c>
      <c r="Q18" s="14">
        <f>_xll.BDH("SRPT US Equity","INC_BEF_XO_ITEMS_TO_NET_SALES","FQ2 2022","FQ2 2022","Currency=USD","Period=FQ","BEST_FPERIOD_OVERRIDE=FQ","FILING_STATUS=MR","FA_ADJUSTED=GAAP","Sort=A","Dates=H","DateFormat=P","Fill=—","Direction=H","UseDPDF=Y")</f>
        <v>-99.140900000000002</v>
      </c>
      <c r="R18" s="14">
        <f>_xll.BDH("SRPT US Equity","INC_BEF_XO_ITEMS_TO_NET_SALES","FQ3 2022","FQ3 2022","Currency=USD","Period=FQ","BEST_FPERIOD_OVERRIDE=FQ","FILING_STATUS=MR","FA_ADJUSTED=GAAP","Sort=A","Dates=H","DateFormat=P","Fill=—","Direction=H","UseDPDF=Y")</f>
        <v>-111.92910000000001</v>
      </c>
      <c r="S18" s="14">
        <f>_xll.BDH("SRPT US Equity","INC_BEF_XO_ITEMS_TO_NET_SALES","FQ4 2022","FQ4 2022","Currency=USD","Period=FQ","BEST_FPERIOD_OVERRIDE=FQ","FILING_STATUS=MR","FA_ADJUSTED=GAAP","Sort=A","Dates=H","DateFormat=P","Fill=—","Direction=H","UseDPDF=Y")</f>
        <v>-42.2727</v>
      </c>
      <c r="T18" s="14">
        <f>_xll.BDH("SRPT US Equity","INC_BEF_XO_ITEMS_TO_NET_SALES","FQ1 2023","FQ1 2023","Currency=USD","Period=FQ","BEST_FPERIOD_OVERRIDE=FQ","FILING_STATUS=MR","FA_ADJUSTED=GAAP","Sort=A","Dates=H","DateFormat=P","Fill=—","Direction=H","UseDPDF=Y")</f>
        <v>-203.84809999999999</v>
      </c>
      <c r="U18" s="14">
        <f>_xll.BDH("SRPT US Equity","INC_BEF_XO_ITEMS_TO_NET_SALES","FQ2 2023","FQ2 2023","Currency=USD","Period=FQ","BEST_FPERIOD_OVERRIDE=FQ","FILING_STATUS=MR","FA_ADJUSTED=GAAP","Sort=A","Dates=H","DateFormat=P","Fill=—","Direction=H","UseDPDF=Y")</f>
        <v>-9.1640999999999995</v>
      </c>
      <c r="V18" s="14">
        <f>_xll.BDH("SRPT US Equity","INC_BEF_XO_ITEMS_TO_NET_SALES","FQ3 2023","FQ3 2023","Currency=USD","Period=FQ","BEST_FPERIOD_OVERRIDE=FQ","FILING_STATUS=MR","FA_ADJUSTED=GAAP","Sort=A","Dates=H","DateFormat=P","Fill=—","Direction=H","UseDPDF=Y")</f>
        <v>-12.337199999999999</v>
      </c>
      <c r="W18" s="14">
        <f>_xll.BDH("SRPT US Equity","INC_BEF_XO_ITEMS_TO_NET_SALES","FQ4 2023","FQ4 2023","Currency=USD","Period=FQ","BEST_FPERIOD_OVERRIDE=FQ","FILING_STATUS=MR","FA_ADJUSTED=GAAP","Sort=A","Dates=H","DateFormat=P","Fill=—","Direction=H","UseDPDF=Y")</f>
        <v>11.5063</v>
      </c>
      <c r="X18" s="14">
        <f>_xll.BDH("SRPT US Equity","INC_BEF_XO_ITEMS_TO_NET_SALES","FQ1 2024","FQ1 2024","Currency=USD","Period=FQ","BEST_FPERIOD_OVERRIDE=FQ","FILING_STATUS=MR","FA_ADJUSTED=GAAP","Sort=A","Dates=H","DateFormat=P","Fill=—","Direction=H","UseDPDF=Y")</f>
        <v>8.7356999999999996</v>
      </c>
      <c r="Y18" s="14">
        <f>_xll.BDH("SRPT US Equity","INC_BEF_XO_ITEMS_TO_NET_SALES","FQ2 2024","FQ2 2024","Currency=USD","Period=FQ","BEST_FPERIOD_OVERRIDE=FQ","FILING_STATUS=MR","FA_ADJUSTED=GAAP","Sort=A","Dates=H","DateFormat=P","Fill=—","Direction=H","UseDPDF=Y")</f>
        <v>1.78</v>
      </c>
      <c r="Z18" s="14">
        <f>_xll.BDH("SRPT US Equity","INC_BEF_XO_ITEMS_TO_NET_SALES","FQ3 2024","FQ3 2024","Currency=USD","Period=FQ","BEST_FPERIOD_OVERRIDE=FQ","FILING_STATUS=MR","FA_ADJUSTED=GAAP","Sort=A","Dates=H","DateFormat=P","Fill=—","Direction=H","UseDPDF=Y")</f>
        <v>7.1946000000000003</v>
      </c>
      <c r="AA18" s="14">
        <f>_xll.BDH("SRPT US Equity","INC_BEF_XO_ITEMS_TO_NET_SALES","FQ4 2024","FQ4 2024","Currency=USD","Period=FQ","BEST_FPERIOD_OVERRIDE=FQ","FILING_STATUS=MR","FA_ADJUSTED=GAAP","Sort=A","Dates=H","DateFormat=P","Fill=—","Direction=H","UseDPDF=Y")</f>
        <v>24.156500000000001</v>
      </c>
    </row>
    <row r="19" spans="1:27" x14ac:dyDescent="0.25">
      <c r="A19" s="10" t="s">
        <v>1374</v>
      </c>
      <c r="B19" s="10" t="s">
        <v>405</v>
      </c>
      <c r="C19" s="14">
        <f>_xll.BDH("SRPT US Equity","PROF_MARGIN","FQ4 2018","FQ4 2018","Currency=USD","Period=FQ","BEST_FPERIOD_OVERRIDE=FQ","FILING_STATUS=MR","FA_ADJUSTED=GAAP","Sort=A","Dates=H","DateFormat=P","Fill=—","Direction=H","UseDPDF=Y")</f>
        <v>-166.9075</v>
      </c>
      <c r="D19" s="14">
        <f>_xll.BDH("SRPT US Equity","PROF_MARGIN","FQ1 2019","FQ1 2019","Currency=USD","Period=FQ","BEST_FPERIOD_OVERRIDE=FQ","FILING_STATUS=MR","FA_ADJUSTED=GAAP","Sort=A","Dates=H","DateFormat=P","Fill=—","Direction=H","UseDPDF=Y")</f>
        <v>-88.084299999999999</v>
      </c>
      <c r="E19" s="14">
        <f>_xll.BDH("SRPT US Equity","PROF_MARGIN","FQ2 2019","FQ2 2019","Currency=USD","Period=FQ","BEST_FPERIOD_OVERRIDE=FQ","FILING_STATUS=MR","FA_ADJUSTED=GAAP","Sort=A","Dates=H","DateFormat=P","Fill=—","Direction=H","UseDPDF=Y")</f>
        <v>-291.97089999999997</v>
      </c>
      <c r="F19" s="14">
        <f>_xll.BDH("SRPT US Equity","PROF_MARGIN","FQ3 2019","FQ3 2019","Currency=USD","Period=FQ","BEST_FPERIOD_OVERRIDE=FQ","FILING_STATUS=MR","FA_ADJUSTED=GAAP","Sort=A","Dates=H","DateFormat=P","Fill=—","Direction=H","UseDPDF=Y")</f>
        <v>-127.5492</v>
      </c>
      <c r="G19" s="14">
        <f>_xll.BDH("SRPT US Equity","PROF_MARGIN","FQ4 2019","FQ4 2019","Currency=USD","Period=FQ","BEST_FPERIOD_OVERRIDE=FQ","FILING_STATUS=MR","FA_ADJUSTED=GAAP","Sort=A","Dates=H","DateFormat=P","Fill=—","Direction=H","UseDPDF=Y")</f>
        <v>-235.43700000000001</v>
      </c>
      <c r="H19" s="14">
        <f>_xll.BDH("SRPT US Equity","PROF_MARGIN","FQ1 2020","FQ1 2020","Currency=USD","Period=FQ","BEST_FPERIOD_OVERRIDE=FQ","FILING_STATUS=MR","FA_ADJUSTED=GAAP","Sort=A","Dates=H","DateFormat=P","Fill=—","Direction=H","UseDPDF=Y")</f>
        <v>-15.3879</v>
      </c>
      <c r="I19" s="14">
        <f>_xll.BDH("SRPT US Equity","PROF_MARGIN","FQ2 2020","FQ2 2020","Currency=USD","Period=FQ","BEST_FPERIOD_OVERRIDE=FQ","FILING_STATUS=MR","FA_ADJUSTED=GAAP","Sort=A","Dates=H","DateFormat=P","Fill=—","Direction=H","UseDPDF=Y")</f>
        <v>-109.7967</v>
      </c>
      <c r="J19" s="14">
        <f>_xll.BDH("SRPT US Equity","PROF_MARGIN","FQ3 2020","FQ3 2020","Currency=USD","Period=FQ","BEST_FPERIOD_OVERRIDE=FQ","FILING_STATUS=MR","FA_ADJUSTED=GAAP","Sort=A","Dates=H","DateFormat=P","Fill=—","Direction=H","UseDPDF=Y")</f>
        <v>-136.52969999999999</v>
      </c>
      <c r="K19" s="14">
        <f>_xll.BDH("SRPT US Equity","PROF_MARGIN","FQ4 2020","FQ4 2020","Currency=USD","Period=FQ","BEST_FPERIOD_OVERRIDE=FQ","FILING_STATUS=MR","FA_ADJUSTED=GAAP","Sort=A","Dates=H","DateFormat=P","Fill=—","Direction=H","UseDPDF=Y")</f>
        <v>-130.4393</v>
      </c>
      <c r="L19" s="14">
        <f>_xll.BDH("SRPT US Equity","PROF_MARGIN","FQ1 2021","FQ1 2021","Currency=USD","Period=FQ","BEST_FPERIOD_OVERRIDE=FQ","FILING_STATUS=MR","FA_ADJUSTED=GAAP","Sort=A","Dates=H","DateFormat=P","Fill=—","Direction=H","UseDPDF=Y")</f>
        <v>-113.8289</v>
      </c>
      <c r="M19" s="14">
        <f>_xll.BDH("SRPT US Equity","PROF_MARGIN","FQ2 2021","FQ2 2021","Currency=USD","Period=FQ","BEST_FPERIOD_OVERRIDE=FQ","FILING_STATUS=MR","FA_ADJUSTED=GAAP","Sort=A","Dates=H","DateFormat=P","Fill=—","Direction=H","UseDPDF=Y")</f>
        <v>-49.610300000000002</v>
      </c>
      <c r="N19" s="14">
        <f>_xll.BDH("SRPT US Equity","PROF_MARGIN","FQ3 2021","FQ3 2021","Currency=USD","Period=FQ","BEST_FPERIOD_OVERRIDE=FQ","FILING_STATUS=MR","FA_ADJUSTED=GAAP","Sort=A","Dates=H","DateFormat=P","Fill=—","Direction=H","UseDPDF=Y")</f>
        <v>-25.418399999999998</v>
      </c>
      <c r="O19" s="14">
        <f>_xll.BDH("SRPT US Equity","PROF_MARGIN","FQ4 2021","FQ4 2021","Currency=USD","Period=FQ","BEST_FPERIOD_OVERRIDE=FQ","FILING_STATUS=MR","FA_ADJUSTED=GAAP","Sort=A","Dates=H","DateFormat=P","Fill=—","Direction=H","UseDPDF=Y")</f>
        <v>-60.548200000000001</v>
      </c>
      <c r="P19" s="14">
        <f>_xll.BDH("SRPT US Equity","PROF_MARGIN","FQ1 2022","FQ1 2022","Currency=USD","Period=FQ","BEST_FPERIOD_OVERRIDE=FQ","FILING_STATUS=MR","FA_ADJUSTED=GAAP","Sort=A","Dates=H","DateFormat=P","Fill=—","Direction=H","UseDPDF=Y")</f>
        <v>-49.814999999999998</v>
      </c>
      <c r="Q19" s="14">
        <f>_xll.BDH("SRPT US Equity","PROF_MARGIN","FQ2 2022","FQ2 2022","Currency=USD","Period=FQ","BEST_FPERIOD_OVERRIDE=FQ","FILING_STATUS=MR","FA_ADJUSTED=GAAP","Sort=A","Dates=H","DateFormat=P","Fill=—","Direction=H","UseDPDF=Y")</f>
        <v>-99.140900000000002</v>
      </c>
      <c r="R19" s="14">
        <f>_xll.BDH("SRPT US Equity","PROF_MARGIN","FQ3 2022","FQ3 2022","Currency=USD","Period=FQ","BEST_FPERIOD_OVERRIDE=FQ","FILING_STATUS=MR","FA_ADJUSTED=GAAP","Sort=A","Dates=H","DateFormat=P","Fill=—","Direction=H","UseDPDF=Y")</f>
        <v>-111.92910000000001</v>
      </c>
      <c r="S19" s="14">
        <f>_xll.BDH("SRPT US Equity","PROF_MARGIN","FQ4 2022","FQ4 2022","Currency=USD","Period=FQ","BEST_FPERIOD_OVERRIDE=FQ","FILING_STATUS=MR","FA_ADJUSTED=GAAP","Sort=A","Dates=H","DateFormat=P","Fill=—","Direction=H","UseDPDF=Y")</f>
        <v>-42.2727</v>
      </c>
      <c r="T19" s="14">
        <f>_xll.BDH("SRPT US Equity","PROF_MARGIN","FQ1 2023","FQ1 2023","Currency=USD","Period=FQ","BEST_FPERIOD_OVERRIDE=FQ","FILING_STATUS=MR","FA_ADJUSTED=GAAP","Sort=A","Dates=H","DateFormat=P","Fill=—","Direction=H","UseDPDF=Y")</f>
        <v>-203.84809999999999</v>
      </c>
      <c r="U19" s="14">
        <f>_xll.BDH("SRPT US Equity","PROF_MARGIN","FQ2 2023","FQ2 2023","Currency=USD","Period=FQ","BEST_FPERIOD_OVERRIDE=FQ","FILING_STATUS=MR","FA_ADJUSTED=GAAP","Sort=A","Dates=H","DateFormat=P","Fill=—","Direction=H","UseDPDF=Y")</f>
        <v>-9.1640999999999995</v>
      </c>
      <c r="V19" s="14">
        <f>_xll.BDH("SRPT US Equity","PROF_MARGIN","FQ3 2023","FQ3 2023","Currency=USD","Period=FQ","BEST_FPERIOD_OVERRIDE=FQ","FILING_STATUS=MR","FA_ADJUSTED=GAAP","Sort=A","Dates=H","DateFormat=P","Fill=—","Direction=H","UseDPDF=Y")</f>
        <v>-12.337199999999999</v>
      </c>
      <c r="W19" s="14">
        <f>_xll.BDH("SRPT US Equity","PROF_MARGIN","FQ4 2023","FQ4 2023","Currency=USD","Period=FQ","BEST_FPERIOD_OVERRIDE=FQ","FILING_STATUS=MR","FA_ADJUSTED=GAAP","Sort=A","Dates=H","DateFormat=P","Fill=—","Direction=H","UseDPDF=Y")</f>
        <v>11.5063</v>
      </c>
      <c r="X19" s="14">
        <f>_xll.BDH("SRPT US Equity","PROF_MARGIN","FQ1 2024","FQ1 2024","Currency=USD","Period=FQ","BEST_FPERIOD_OVERRIDE=FQ","FILING_STATUS=MR","FA_ADJUSTED=GAAP","Sort=A","Dates=H","DateFormat=P","Fill=—","Direction=H","UseDPDF=Y")</f>
        <v>8.7356999999999996</v>
      </c>
      <c r="Y19" s="14">
        <f>_xll.BDH("SRPT US Equity","PROF_MARGIN","FQ2 2024","FQ2 2024","Currency=USD","Period=FQ","BEST_FPERIOD_OVERRIDE=FQ","FILING_STATUS=MR","FA_ADJUSTED=GAAP","Sort=A","Dates=H","DateFormat=P","Fill=—","Direction=H","UseDPDF=Y")</f>
        <v>1.78</v>
      </c>
      <c r="Z19" s="14">
        <f>_xll.BDH("SRPT US Equity","PROF_MARGIN","FQ3 2024","FQ3 2024","Currency=USD","Period=FQ","BEST_FPERIOD_OVERRIDE=FQ","FILING_STATUS=MR","FA_ADJUSTED=GAAP","Sort=A","Dates=H","DateFormat=P","Fill=—","Direction=H","UseDPDF=Y")</f>
        <v>7.1946000000000003</v>
      </c>
      <c r="AA19" s="14">
        <f>_xll.BDH("SRPT US Equity","PROF_MARGIN","FQ4 2024","FQ4 2024","Currency=USD","Period=FQ","BEST_FPERIOD_OVERRIDE=FQ","FILING_STATUS=MR","FA_ADJUSTED=GAAP","Sort=A","Dates=H","DateFormat=P","Fill=—","Direction=H","UseDPDF=Y")</f>
        <v>24.156500000000001</v>
      </c>
    </row>
    <row r="20" spans="1:27" x14ac:dyDescent="0.25">
      <c r="A20" s="10" t="s">
        <v>1375</v>
      </c>
      <c r="B20" s="10" t="s">
        <v>1376</v>
      </c>
      <c r="C20" s="14">
        <f>_xll.BDH("SRPT US Equity","NET_INCOME_TO_COMMON_MARGIN","FQ4 2018","FQ4 2018","Currency=USD","Period=FQ","BEST_FPERIOD_OVERRIDE=FQ","FILING_STATUS=MR","FA_ADJUSTED=GAAP","Sort=A","Dates=H","DateFormat=P","Fill=—","Direction=H","UseDPDF=Y")</f>
        <v>-166.9075</v>
      </c>
      <c r="D20" s="14">
        <f>_xll.BDH("SRPT US Equity","NET_INCOME_TO_COMMON_MARGIN","FQ1 2019","FQ1 2019","Currency=USD","Period=FQ","BEST_FPERIOD_OVERRIDE=FQ","FILING_STATUS=MR","FA_ADJUSTED=GAAP","Sort=A","Dates=H","DateFormat=P","Fill=—","Direction=H","UseDPDF=Y")</f>
        <v>-88.084299999999999</v>
      </c>
      <c r="E20" s="14">
        <f>_xll.BDH("SRPT US Equity","NET_INCOME_TO_COMMON_MARGIN","FQ2 2019","FQ2 2019","Currency=USD","Period=FQ","BEST_FPERIOD_OVERRIDE=FQ","FILING_STATUS=MR","FA_ADJUSTED=GAAP","Sort=A","Dates=H","DateFormat=P","Fill=—","Direction=H","UseDPDF=Y")</f>
        <v>-291.97089999999997</v>
      </c>
      <c r="F20" s="14">
        <f>_xll.BDH("SRPT US Equity","NET_INCOME_TO_COMMON_MARGIN","FQ3 2019","FQ3 2019","Currency=USD","Period=FQ","BEST_FPERIOD_OVERRIDE=FQ","FILING_STATUS=MR","FA_ADJUSTED=GAAP","Sort=A","Dates=H","DateFormat=P","Fill=—","Direction=H","UseDPDF=Y")</f>
        <v>-127.5492</v>
      </c>
      <c r="G20" s="14">
        <f>_xll.BDH("SRPT US Equity","NET_INCOME_TO_COMMON_MARGIN","FQ4 2019","FQ4 2019","Currency=USD","Period=FQ","BEST_FPERIOD_OVERRIDE=FQ","FILING_STATUS=MR","FA_ADJUSTED=GAAP","Sort=A","Dates=H","DateFormat=P","Fill=—","Direction=H","UseDPDF=Y")</f>
        <v>-235.43700000000001</v>
      </c>
      <c r="H20" s="14">
        <f>_xll.BDH("SRPT US Equity","NET_INCOME_TO_COMMON_MARGIN","FQ1 2020","FQ1 2020","Currency=USD","Period=FQ","BEST_FPERIOD_OVERRIDE=FQ","FILING_STATUS=MR","FA_ADJUSTED=GAAP","Sort=A","Dates=H","DateFormat=P","Fill=—","Direction=H","UseDPDF=Y")</f>
        <v>-15.3879</v>
      </c>
      <c r="I20" s="14">
        <f>_xll.BDH("SRPT US Equity","NET_INCOME_TO_COMMON_MARGIN","FQ2 2020","FQ2 2020","Currency=USD","Period=FQ","BEST_FPERIOD_OVERRIDE=FQ","FILING_STATUS=MR","FA_ADJUSTED=GAAP","Sort=A","Dates=H","DateFormat=P","Fill=—","Direction=H","UseDPDF=Y")</f>
        <v>-109.7967</v>
      </c>
      <c r="J20" s="14">
        <f>_xll.BDH("SRPT US Equity","NET_INCOME_TO_COMMON_MARGIN","FQ3 2020","FQ3 2020","Currency=USD","Period=FQ","BEST_FPERIOD_OVERRIDE=FQ","FILING_STATUS=MR","FA_ADJUSTED=GAAP","Sort=A","Dates=H","DateFormat=P","Fill=—","Direction=H","UseDPDF=Y")</f>
        <v>-136.52969999999999</v>
      </c>
      <c r="K20" s="14">
        <f>_xll.BDH("SRPT US Equity","NET_INCOME_TO_COMMON_MARGIN","FQ4 2020","FQ4 2020","Currency=USD","Period=FQ","BEST_FPERIOD_OVERRIDE=FQ","FILING_STATUS=MR","FA_ADJUSTED=GAAP","Sort=A","Dates=H","DateFormat=P","Fill=—","Direction=H","UseDPDF=Y")</f>
        <v>-130.4393</v>
      </c>
      <c r="L20" s="14">
        <f>_xll.BDH("SRPT US Equity","NET_INCOME_TO_COMMON_MARGIN","FQ1 2021","FQ1 2021","Currency=USD","Period=FQ","BEST_FPERIOD_OVERRIDE=FQ","FILING_STATUS=MR","FA_ADJUSTED=GAAP","Sort=A","Dates=H","DateFormat=P","Fill=—","Direction=H","UseDPDF=Y")</f>
        <v>-113.8289</v>
      </c>
      <c r="M20" s="14">
        <f>_xll.BDH("SRPT US Equity","NET_INCOME_TO_COMMON_MARGIN","FQ2 2021","FQ2 2021","Currency=USD","Period=FQ","BEST_FPERIOD_OVERRIDE=FQ","FILING_STATUS=MR","FA_ADJUSTED=GAAP","Sort=A","Dates=H","DateFormat=P","Fill=—","Direction=H","UseDPDF=Y")</f>
        <v>-49.610300000000002</v>
      </c>
      <c r="N20" s="14">
        <f>_xll.BDH("SRPT US Equity","NET_INCOME_TO_COMMON_MARGIN","FQ3 2021","FQ3 2021","Currency=USD","Period=FQ","BEST_FPERIOD_OVERRIDE=FQ","FILING_STATUS=MR","FA_ADJUSTED=GAAP","Sort=A","Dates=H","DateFormat=P","Fill=—","Direction=H","UseDPDF=Y")</f>
        <v>-25.418399999999998</v>
      </c>
      <c r="O20" s="14">
        <f>_xll.BDH("SRPT US Equity","NET_INCOME_TO_COMMON_MARGIN","FQ4 2021","FQ4 2021","Currency=USD","Period=FQ","BEST_FPERIOD_OVERRIDE=FQ","FILING_STATUS=MR","FA_ADJUSTED=GAAP","Sort=A","Dates=H","DateFormat=P","Fill=—","Direction=H","UseDPDF=Y")</f>
        <v>-60.548200000000001</v>
      </c>
      <c r="P20" s="14">
        <f>_xll.BDH("SRPT US Equity","NET_INCOME_TO_COMMON_MARGIN","FQ1 2022","FQ1 2022","Currency=USD","Period=FQ","BEST_FPERIOD_OVERRIDE=FQ","FILING_STATUS=MR","FA_ADJUSTED=GAAP","Sort=A","Dates=H","DateFormat=P","Fill=—","Direction=H","UseDPDF=Y")</f>
        <v>-49.814999999999998</v>
      </c>
      <c r="Q20" s="14">
        <f>_xll.BDH("SRPT US Equity","NET_INCOME_TO_COMMON_MARGIN","FQ2 2022","FQ2 2022","Currency=USD","Period=FQ","BEST_FPERIOD_OVERRIDE=FQ","FILING_STATUS=MR","FA_ADJUSTED=GAAP","Sort=A","Dates=H","DateFormat=P","Fill=—","Direction=H","UseDPDF=Y")</f>
        <v>-99.140900000000002</v>
      </c>
      <c r="R20" s="14">
        <f>_xll.BDH("SRPT US Equity","NET_INCOME_TO_COMMON_MARGIN","FQ3 2022","FQ3 2022","Currency=USD","Period=FQ","BEST_FPERIOD_OVERRIDE=FQ","FILING_STATUS=MR","FA_ADJUSTED=GAAP","Sort=A","Dates=H","DateFormat=P","Fill=—","Direction=H","UseDPDF=Y")</f>
        <v>-111.92910000000001</v>
      </c>
      <c r="S20" s="14">
        <f>_xll.BDH("SRPT US Equity","NET_INCOME_TO_COMMON_MARGIN","FQ4 2022","FQ4 2022","Currency=USD","Period=FQ","BEST_FPERIOD_OVERRIDE=FQ","FILING_STATUS=MR","FA_ADJUSTED=GAAP","Sort=A","Dates=H","DateFormat=P","Fill=—","Direction=H","UseDPDF=Y")</f>
        <v>-42.2727</v>
      </c>
      <c r="T20" s="14">
        <f>_xll.BDH("SRPT US Equity","NET_INCOME_TO_COMMON_MARGIN","FQ1 2023","FQ1 2023","Currency=USD","Period=FQ","BEST_FPERIOD_OVERRIDE=FQ","FILING_STATUS=MR","FA_ADJUSTED=GAAP","Sort=A","Dates=H","DateFormat=P","Fill=—","Direction=H","UseDPDF=Y")</f>
        <v>-203.84809999999999</v>
      </c>
      <c r="U20" s="14">
        <f>_xll.BDH("SRPT US Equity","NET_INCOME_TO_COMMON_MARGIN","FQ2 2023","FQ2 2023","Currency=USD","Period=FQ","BEST_FPERIOD_OVERRIDE=FQ","FILING_STATUS=MR","FA_ADJUSTED=GAAP","Sort=A","Dates=H","DateFormat=P","Fill=—","Direction=H","UseDPDF=Y")</f>
        <v>-9.1640999999999995</v>
      </c>
      <c r="V20" s="14">
        <f>_xll.BDH("SRPT US Equity","NET_INCOME_TO_COMMON_MARGIN","FQ3 2023","FQ3 2023","Currency=USD","Period=FQ","BEST_FPERIOD_OVERRIDE=FQ","FILING_STATUS=MR","FA_ADJUSTED=GAAP","Sort=A","Dates=H","DateFormat=P","Fill=—","Direction=H","UseDPDF=Y")</f>
        <v>-12.337199999999999</v>
      </c>
      <c r="W20" s="14">
        <f>_xll.BDH("SRPT US Equity","NET_INCOME_TO_COMMON_MARGIN","FQ4 2023","FQ4 2023","Currency=USD","Period=FQ","BEST_FPERIOD_OVERRIDE=FQ","FILING_STATUS=MR","FA_ADJUSTED=GAAP","Sort=A","Dates=H","DateFormat=P","Fill=—","Direction=H","UseDPDF=Y")</f>
        <v>11.5063</v>
      </c>
      <c r="X20" s="14">
        <f>_xll.BDH("SRPT US Equity","NET_INCOME_TO_COMMON_MARGIN","FQ1 2024","FQ1 2024","Currency=USD","Period=FQ","BEST_FPERIOD_OVERRIDE=FQ","FILING_STATUS=MR","FA_ADJUSTED=GAAP","Sort=A","Dates=H","DateFormat=P","Fill=—","Direction=H","UseDPDF=Y")</f>
        <v>8.7356999999999996</v>
      </c>
      <c r="Y20" s="14">
        <f>_xll.BDH("SRPT US Equity","NET_INCOME_TO_COMMON_MARGIN","FQ2 2024","FQ2 2024","Currency=USD","Period=FQ","BEST_FPERIOD_OVERRIDE=FQ","FILING_STATUS=MR","FA_ADJUSTED=GAAP","Sort=A","Dates=H","DateFormat=P","Fill=—","Direction=H","UseDPDF=Y")</f>
        <v>1.78</v>
      </c>
      <c r="Z20" s="14">
        <f>_xll.BDH("SRPT US Equity","NET_INCOME_TO_COMMON_MARGIN","FQ3 2024","FQ3 2024","Currency=USD","Period=FQ","BEST_FPERIOD_OVERRIDE=FQ","FILING_STATUS=MR","FA_ADJUSTED=GAAP","Sort=A","Dates=H","DateFormat=P","Fill=—","Direction=H","UseDPDF=Y")</f>
        <v>7.1946000000000003</v>
      </c>
      <c r="AA20" s="14">
        <f>_xll.BDH("SRPT US Equity","NET_INCOME_TO_COMMON_MARGIN","FQ4 2024","FQ4 2024","Currency=USD","Period=FQ","BEST_FPERIOD_OVERRIDE=FQ","FILING_STATUS=MR","FA_ADJUSTED=GAAP","Sort=A","Dates=H","DateFormat=P","Fill=—","Direction=H","UseDPDF=Y")</f>
        <v>24.156500000000001</v>
      </c>
    </row>
    <row r="21" spans="1:27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6" t="s">
        <v>1377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x14ac:dyDescent="0.25">
      <c r="A23" s="10" t="s">
        <v>1378</v>
      </c>
      <c r="B23" s="10" t="s">
        <v>1379</v>
      </c>
      <c r="C23" s="14" t="str">
        <f>_xll.BDH("SRPT US Equity","EFF_TAX_RATE","FQ4 2018","FQ4 2018","Currency=USD","Period=FQ","BEST_FPERIOD_OVERRIDE=FQ","FILING_STATUS=MR","FA_ADJUSTED=GAAP","Sort=A","Dates=H","DateFormat=P","Fill=—","Direction=H","UseDPDF=Y")</f>
        <v>—</v>
      </c>
      <c r="D23" s="14" t="str">
        <f>_xll.BDH("SRPT US Equity","EFF_TAX_RATE","FQ1 2019","FQ1 2019","Currency=USD","Period=FQ","BEST_FPERIOD_OVERRIDE=FQ","FILING_STATUS=MR","FA_ADJUSTED=GAAP","Sort=A","Dates=H","DateFormat=P","Fill=—","Direction=H","UseDPDF=Y")</f>
        <v>—</v>
      </c>
      <c r="E23" s="14" t="str">
        <f>_xll.BDH("SRPT US Equity","EFF_TAX_RATE","FQ2 2019","FQ2 2019","Currency=USD","Period=FQ","BEST_FPERIOD_OVERRIDE=FQ","FILING_STATUS=MR","FA_ADJUSTED=GAAP","Sort=A","Dates=H","DateFormat=P","Fill=—","Direction=H","UseDPDF=Y")</f>
        <v>—</v>
      </c>
      <c r="F23" s="14" t="str">
        <f>_xll.BDH("SRPT US Equity","EFF_TAX_RATE","FQ3 2019","FQ3 2019","Currency=USD","Period=FQ","BEST_FPERIOD_OVERRIDE=FQ","FILING_STATUS=MR","FA_ADJUSTED=GAAP","Sort=A","Dates=H","DateFormat=P","Fill=—","Direction=H","UseDPDF=Y")</f>
        <v>—</v>
      </c>
      <c r="G23" s="14" t="str">
        <f>_xll.BDH("SRPT US Equity","EFF_TAX_RATE","FQ4 2019","FQ4 2019","Currency=USD","Period=FQ","BEST_FPERIOD_OVERRIDE=FQ","FILING_STATUS=MR","FA_ADJUSTED=GAAP","Sort=A","Dates=H","DateFormat=P","Fill=—","Direction=H","UseDPDF=Y")</f>
        <v>—</v>
      </c>
      <c r="H23" s="14" t="str">
        <f>_xll.BDH("SRPT US Equity","EFF_TAX_RATE","FQ1 2020","FQ1 2020","Currency=USD","Period=FQ","BEST_FPERIOD_OVERRIDE=FQ","FILING_STATUS=MR","FA_ADJUSTED=GAAP","Sort=A","Dates=H","DateFormat=P","Fill=—","Direction=H","UseDPDF=Y")</f>
        <v>—</v>
      </c>
      <c r="I23" s="14" t="str">
        <f>_xll.BDH("SRPT US Equity","EFF_TAX_RATE","FQ2 2020","FQ2 2020","Currency=USD","Period=FQ","BEST_FPERIOD_OVERRIDE=FQ","FILING_STATUS=MR","FA_ADJUSTED=GAAP","Sort=A","Dates=H","DateFormat=P","Fill=—","Direction=H","UseDPDF=Y")</f>
        <v>—</v>
      </c>
      <c r="J23" s="14" t="str">
        <f>_xll.BDH("SRPT US Equity","EFF_TAX_RATE","FQ3 2020","FQ3 2020","Currency=USD","Period=FQ","BEST_FPERIOD_OVERRIDE=FQ","FILING_STATUS=MR","FA_ADJUSTED=GAAP","Sort=A","Dates=H","DateFormat=P","Fill=—","Direction=H","UseDPDF=Y")</f>
        <v>—</v>
      </c>
      <c r="K23" s="14" t="str">
        <f>_xll.BDH("SRPT US Equity","EFF_TAX_RATE","FQ4 2020","FQ4 2020","Currency=USD","Period=FQ","BEST_FPERIOD_OVERRIDE=FQ","FILING_STATUS=MR","FA_ADJUSTED=GAAP","Sort=A","Dates=H","DateFormat=P","Fill=—","Direction=H","UseDPDF=Y")</f>
        <v>—</v>
      </c>
      <c r="L23" s="14" t="str">
        <f>_xll.BDH("SRPT US Equity","EFF_TAX_RATE","FQ1 2021","FQ1 2021","Currency=USD","Period=FQ","BEST_FPERIOD_OVERRIDE=FQ","FILING_STATUS=MR","FA_ADJUSTED=GAAP","Sort=A","Dates=H","DateFormat=P","Fill=—","Direction=H","UseDPDF=Y")</f>
        <v>—</v>
      </c>
      <c r="M23" s="14" t="str">
        <f>_xll.BDH("SRPT US Equity","EFF_TAX_RATE","FQ2 2021","FQ2 2021","Currency=USD","Period=FQ","BEST_FPERIOD_OVERRIDE=FQ","FILING_STATUS=MR","FA_ADJUSTED=GAAP","Sort=A","Dates=H","DateFormat=P","Fill=—","Direction=H","UseDPDF=Y")</f>
        <v>—</v>
      </c>
      <c r="N23" s="14" t="str">
        <f>_xll.BDH("SRPT US Equity","EFF_TAX_RATE","FQ3 2021","FQ3 2021","Currency=USD","Period=FQ","BEST_FPERIOD_OVERRIDE=FQ","FILING_STATUS=MR","FA_ADJUSTED=GAAP","Sort=A","Dates=H","DateFormat=P","Fill=—","Direction=H","UseDPDF=Y")</f>
        <v>—</v>
      </c>
      <c r="O23" s="14" t="str">
        <f>_xll.BDH("SRPT US Equity","EFF_TAX_RATE","FQ4 2021","FQ4 2021","Currency=USD","Period=FQ","BEST_FPERIOD_OVERRIDE=FQ","FILING_STATUS=MR","FA_ADJUSTED=GAAP","Sort=A","Dates=H","DateFormat=P","Fill=—","Direction=H","UseDPDF=Y")</f>
        <v>—</v>
      </c>
      <c r="P23" s="14" t="str">
        <f>_xll.BDH("SRPT US Equity","EFF_TAX_RATE","FQ1 2022","FQ1 2022","Currency=USD","Period=FQ","BEST_FPERIOD_OVERRIDE=FQ","FILING_STATUS=MR","FA_ADJUSTED=GAAP","Sort=A","Dates=H","DateFormat=P","Fill=—","Direction=H","UseDPDF=Y")</f>
        <v>—</v>
      </c>
      <c r="Q23" s="14" t="str">
        <f>_xll.BDH("SRPT US Equity","EFF_TAX_RATE","FQ2 2022","FQ2 2022","Currency=USD","Period=FQ","BEST_FPERIOD_OVERRIDE=FQ","FILING_STATUS=MR","FA_ADJUSTED=GAAP","Sort=A","Dates=H","DateFormat=P","Fill=—","Direction=H","UseDPDF=Y")</f>
        <v>—</v>
      </c>
      <c r="R23" s="14" t="str">
        <f>_xll.BDH("SRPT US Equity","EFF_TAX_RATE","FQ3 2022","FQ3 2022","Currency=USD","Period=FQ","BEST_FPERIOD_OVERRIDE=FQ","FILING_STATUS=MR","FA_ADJUSTED=GAAP","Sort=A","Dates=H","DateFormat=P","Fill=—","Direction=H","UseDPDF=Y")</f>
        <v>—</v>
      </c>
      <c r="S23" s="14" t="str">
        <f>_xll.BDH("SRPT US Equity","EFF_TAX_RATE","FQ4 2022","FQ4 2022","Currency=USD","Period=FQ","BEST_FPERIOD_OVERRIDE=FQ","FILING_STATUS=MR","FA_ADJUSTED=GAAP","Sort=A","Dates=H","DateFormat=P","Fill=—","Direction=H","UseDPDF=Y")</f>
        <v>—</v>
      </c>
      <c r="T23" s="14" t="str">
        <f>_xll.BDH("SRPT US Equity","EFF_TAX_RATE","FQ1 2023","FQ1 2023","Currency=USD","Period=FQ","BEST_FPERIOD_OVERRIDE=FQ","FILING_STATUS=MR","FA_ADJUSTED=GAAP","Sort=A","Dates=H","DateFormat=P","Fill=—","Direction=H","UseDPDF=Y")</f>
        <v>—</v>
      </c>
      <c r="U23" s="14" t="str">
        <f>_xll.BDH("SRPT US Equity","EFF_TAX_RATE","FQ2 2023","FQ2 2023","Currency=USD","Period=FQ","BEST_FPERIOD_OVERRIDE=FQ","FILING_STATUS=MR","FA_ADJUSTED=GAAP","Sort=A","Dates=H","DateFormat=P","Fill=—","Direction=H","UseDPDF=Y")</f>
        <v>—</v>
      </c>
      <c r="V23" s="14" t="str">
        <f>_xll.BDH("SRPT US Equity","EFF_TAX_RATE","FQ3 2023","FQ3 2023","Currency=USD","Period=FQ","BEST_FPERIOD_OVERRIDE=FQ","FILING_STATUS=MR","FA_ADJUSTED=GAAP","Sort=A","Dates=H","DateFormat=P","Fill=—","Direction=H","UseDPDF=Y")</f>
        <v>—</v>
      </c>
      <c r="W23" s="14" t="str">
        <f>_xll.BDH("SRPT US Equity","EFF_TAX_RATE","FQ4 2023","FQ4 2023","Currency=USD","Period=FQ","BEST_FPERIOD_OVERRIDE=FQ","FILING_STATUS=MR","FA_ADJUSTED=GAAP","Sort=A","Dates=H","DateFormat=P","Fill=—","Direction=H","UseDPDF=Y")</f>
        <v>—</v>
      </c>
      <c r="X23" s="14">
        <f>_xll.BDH("SRPT US Equity","EFF_TAX_RATE","FQ1 2024","FQ1 2024","Currency=USD","Period=FQ","BEST_FPERIOD_OVERRIDE=FQ","FILING_STATUS=MR","FA_ADJUSTED=GAAP","Sort=A","Dates=H","DateFormat=P","Fill=—","Direction=H","UseDPDF=Y")</f>
        <v>12.857100000000001</v>
      </c>
      <c r="Y23" s="14">
        <f>_xll.BDH("SRPT US Equity","EFF_TAX_RATE","FQ2 2024","FQ2 2024","Currency=USD","Period=FQ","BEST_FPERIOD_OVERRIDE=FQ","FILING_STATUS=MR","FA_ADJUSTED=GAAP","Sort=A","Dates=H","DateFormat=P","Fill=—","Direction=H","UseDPDF=Y")</f>
        <v>52.419499999999999</v>
      </c>
      <c r="Z23" s="14">
        <f>_xll.BDH("SRPT US Equity","EFF_TAX_RATE","FQ3 2024","FQ3 2024","Currency=USD","Period=FQ","BEST_FPERIOD_OVERRIDE=FQ","FILING_STATUS=MR","FA_ADJUSTED=GAAP","Sort=A","Dates=H","DateFormat=P","Fill=—","Direction=H","UseDPDF=Y")</f>
        <v>1.1616</v>
      </c>
      <c r="AA23" s="14">
        <f>_xll.BDH("SRPT US Equity","EFF_TAX_RATE","FQ4 2024","FQ4 2024","Currency=USD","Period=FQ","BEST_FPERIOD_OVERRIDE=FQ","FILING_STATUS=MR","FA_ADJUSTED=GAAP","Sort=A","Dates=H","DateFormat=P","Fill=—","Direction=H","UseDPDF=Y")</f>
        <v>7.3913000000000002</v>
      </c>
    </row>
    <row r="24" spans="1:27" x14ac:dyDescent="0.25">
      <c r="A24" s="10" t="s">
        <v>1380</v>
      </c>
      <c r="B24" s="10" t="s">
        <v>1381</v>
      </c>
      <c r="C24" s="14" t="str">
        <f>_xll.BDH("SRPT US Equity","DVD_PAYOUT_RATIO","FQ4 2018","FQ4 2018","Currency=USD","Period=FQ","BEST_FPERIOD_OVERRIDE=FQ","FILING_STATUS=MR","FA_ADJUSTED=GAAP","Sort=A","Dates=H","DateFormat=P","Fill=—","Direction=H","UseDPDF=Y")</f>
        <v>—</v>
      </c>
      <c r="D24" s="14" t="str">
        <f>_xll.BDH("SRPT US Equity","DVD_PAYOUT_RATIO","FQ1 2019","FQ1 2019","Currency=USD","Period=FQ","BEST_FPERIOD_OVERRIDE=FQ","FILING_STATUS=MR","FA_ADJUSTED=GAAP","Sort=A","Dates=H","DateFormat=P","Fill=—","Direction=H","UseDPDF=Y")</f>
        <v>—</v>
      </c>
      <c r="E24" s="14" t="str">
        <f>_xll.BDH("SRPT US Equity","DVD_PAYOUT_RATIO","FQ2 2019","FQ2 2019","Currency=USD","Period=FQ","BEST_FPERIOD_OVERRIDE=FQ","FILING_STATUS=MR","FA_ADJUSTED=GAAP","Sort=A","Dates=H","DateFormat=P","Fill=—","Direction=H","UseDPDF=Y")</f>
        <v>—</v>
      </c>
      <c r="F24" s="14" t="str">
        <f>_xll.BDH("SRPT US Equity","DVD_PAYOUT_RATIO","FQ3 2019","FQ3 2019","Currency=USD","Period=FQ","BEST_FPERIOD_OVERRIDE=FQ","FILING_STATUS=MR","FA_ADJUSTED=GAAP","Sort=A","Dates=H","DateFormat=P","Fill=—","Direction=H","UseDPDF=Y")</f>
        <v>—</v>
      </c>
      <c r="G24" s="14" t="str">
        <f>_xll.BDH("SRPT US Equity","DVD_PAYOUT_RATIO","FQ4 2019","FQ4 2019","Currency=USD","Period=FQ","BEST_FPERIOD_OVERRIDE=FQ","FILING_STATUS=MR","FA_ADJUSTED=GAAP","Sort=A","Dates=H","DateFormat=P","Fill=—","Direction=H","UseDPDF=Y")</f>
        <v>—</v>
      </c>
      <c r="H24" s="14" t="str">
        <f>_xll.BDH("SRPT US Equity","DVD_PAYOUT_RATIO","FQ1 2020","FQ1 2020","Currency=USD","Period=FQ","BEST_FPERIOD_OVERRIDE=FQ","FILING_STATUS=MR","FA_ADJUSTED=GAAP","Sort=A","Dates=H","DateFormat=P","Fill=—","Direction=H","UseDPDF=Y")</f>
        <v>—</v>
      </c>
      <c r="I24" s="14" t="str">
        <f>_xll.BDH("SRPT US Equity","DVD_PAYOUT_RATIO","FQ2 2020","FQ2 2020","Currency=USD","Period=FQ","BEST_FPERIOD_OVERRIDE=FQ","FILING_STATUS=MR","FA_ADJUSTED=GAAP","Sort=A","Dates=H","DateFormat=P","Fill=—","Direction=H","UseDPDF=Y")</f>
        <v>—</v>
      </c>
      <c r="J24" s="14" t="str">
        <f>_xll.BDH("SRPT US Equity","DVD_PAYOUT_RATIO","FQ3 2020","FQ3 2020","Currency=USD","Period=FQ","BEST_FPERIOD_OVERRIDE=FQ","FILING_STATUS=MR","FA_ADJUSTED=GAAP","Sort=A","Dates=H","DateFormat=P","Fill=—","Direction=H","UseDPDF=Y")</f>
        <v>—</v>
      </c>
      <c r="K24" s="14" t="str">
        <f>_xll.BDH("SRPT US Equity","DVD_PAYOUT_RATIO","FQ4 2020","FQ4 2020","Currency=USD","Period=FQ","BEST_FPERIOD_OVERRIDE=FQ","FILING_STATUS=MR","FA_ADJUSTED=GAAP","Sort=A","Dates=H","DateFormat=P","Fill=—","Direction=H","UseDPDF=Y")</f>
        <v>—</v>
      </c>
      <c r="L24" s="14" t="str">
        <f>_xll.BDH("SRPT US Equity","DVD_PAYOUT_RATIO","FQ1 2021","FQ1 2021","Currency=USD","Period=FQ","BEST_FPERIOD_OVERRIDE=FQ","FILING_STATUS=MR","FA_ADJUSTED=GAAP","Sort=A","Dates=H","DateFormat=P","Fill=—","Direction=H","UseDPDF=Y")</f>
        <v>—</v>
      </c>
      <c r="M24" s="14" t="str">
        <f>_xll.BDH("SRPT US Equity","DVD_PAYOUT_RATIO","FQ2 2021","FQ2 2021","Currency=USD","Period=FQ","BEST_FPERIOD_OVERRIDE=FQ","FILING_STATUS=MR","FA_ADJUSTED=GAAP","Sort=A","Dates=H","DateFormat=P","Fill=—","Direction=H","UseDPDF=Y")</f>
        <v>—</v>
      </c>
      <c r="N24" s="14" t="str">
        <f>_xll.BDH("SRPT US Equity","DVD_PAYOUT_RATIO","FQ3 2021","FQ3 2021","Currency=USD","Period=FQ","BEST_FPERIOD_OVERRIDE=FQ","FILING_STATUS=MR","FA_ADJUSTED=GAAP","Sort=A","Dates=H","DateFormat=P","Fill=—","Direction=H","UseDPDF=Y")</f>
        <v>—</v>
      </c>
      <c r="O24" s="14" t="str">
        <f>_xll.BDH("SRPT US Equity","DVD_PAYOUT_RATIO","FQ4 2021","FQ4 2021","Currency=USD","Period=FQ","BEST_FPERIOD_OVERRIDE=FQ","FILING_STATUS=MR","FA_ADJUSTED=GAAP","Sort=A","Dates=H","DateFormat=P","Fill=—","Direction=H","UseDPDF=Y")</f>
        <v>—</v>
      </c>
      <c r="P24" s="14" t="str">
        <f>_xll.BDH("SRPT US Equity","DVD_PAYOUT_RATIO","FQ1 2022","FQ1 2022","Currency=USD","Period=FQ","BEST_FPERIOD_OVERRIDE=FQ","FILING_STATUS=MR","FA_ADJUSTED=GAAP","Sort=A","Dates=H","DateFormat=P","Fill=—","Direction=H","UseDPDF=Y")</f>
        <v>—</v>
      </c>
      <c r="Q24" s="14" t="str">
        <f>_xll.BDH("SRPT US Equity","DVD_PAYOUT_RATIO","FQ2 2022","FQ2 2022","Currency=USD","Period=FQ","BEST_FPERIOD_OVERRIDE=FQ","FILING_STATUS=MR","FA_ADJUSTED=GAAP","Sort=A","Dates=H","DateFormat=P","Fill=—","Direction=H","UseDPDF=Y")</f>
        <v>—</v>
      </c>
      <c r="R24" s="14" t="str">
        <f>_xll.BDH("SRPT US Equity","DVD_PAYOUT_RATIO","FQ3 2022","FQ3 2022","Currency=USD","Period=FQ","BEST_FPERIOD_OVERRIDE=FQ","FILING_STATUS=MR","FA_ADJUSTED=GAAP","Sort=A","Dates=H","DateFormat=P","Fill=—","Direction=H","UseDPDF=Y")</f>
        <v>—</v>
      </c>
      <c r="S24" s="14" t="str">
        <f>_xll.BDH("SRPT US Equity","DVD_PAYOUT_RATIO","FQ4 2022","FQ4 2022","Currency=USD","Period=FQ","BEST_FPERIOD_OVERRIDE=FQ","FILING_STATUS=MR","FA_ADJUSTED=GAAP","Sort=A","Dates=H","DateFormat=P","Fill=—","Direction=H","UseDPDF=Y")</f>
        <v>—</v>
      </c>
      <c r="T24" s="14" t="str">
        <f>_xll.BDH("SRPT US Equity","DVD_PAYOUT_RATIO","FQ1 2023","FQ1 2023","Currency=USD","Period=FQ","BEST_FPERIOD_OVERRIDE=FQ","FILING_STATUS=MR","FA_ADJUSTED=GAAP","Sort=A","Dates=H","DateFormat=P","Fill=—","Direction=H","UseDPDF=Y")</f>
        <v>—</v>
      </c>
      <c r="U24" s="14" t="str">
        <f>_xll.BDH("SRPT US Equity","DVD_PAYOUT_RATIO","FQ2 2023","FQ2 2023","Currency=USD","Period=FQ","BEST_FPERIOD_OVERRIDE=FQ","FILING_STATUS=MR","FA_ADJUSTED=GAAP","Sort=A","Dates=H","DateFormat=P","Fill=—","Direction=H","UseDPDF=Y")</f>
        <v>—</v>
      </c>
      <c r="V24" s="14" t="str">
        <f>_xll.BDH("SRPT US Equity","DVD_PAYOUT_RATIO","FQ3 2023","FQ3 2023","Currency=USD","Period=FQ","BEST_FPERIOD_OVERRIDE=FQ","FILING_STATUS=MR","FA_ADJUSTED=GAAP","Sort=A","Dates=H","DateFormat=P","Fill=—","Direction=H","UseDPDF=Y")</f>
        <v>—</v>
      </c>
      <c r="W24" s="14">
        <f>_xll.BDH("SRPT US Equity","DVD_PAYOUT_RATIO","FQ4 2023","FQ4 2023","Currency=USD","Period=FQ","BEST_FPERIOD_OVERRIDE=FQ","FILING_STATUS=MR","FA_ADJUSTED=GAAP","Sort=A","Dates=H","DateFormat=P","Fill=—","Direction=H","UseDPDF=Y")</f>
        <v>0</v>
      </c>
      <c r="X24" s="14">
        <f>_xll.BDH("SRPT US Equity","DVD_PAYOUT_RATIO","FQ1 2024","FQ1 2024","Currency=USD","Period=FQ","BEST_FPERIOD_OVERRIDE=FQ","FILING_STATUS=MR","FA_ADJUSTED=GAAP","Sort=A","Dates=H","DateFormat=P","Fill=—","Direction=H","UseDPDF=Y")</f>
        <v>0</v>
      </c>
      <c r="Y24" s="14">
        <f>_xll.BDH("SRPT US Equity","DVD_PAYOUT_RATIO","FQ2 2024","FQ2 2024","Currency=USD","Period=FQ","BEST_FPERIOD_OVERRIDE=FQ","FILING_STATUS=MR","FA_ADJUSTED=GAAP","Sort=A","Dates=H","DateFormat=P","Fill=—","Direction=H","UseDPDF=Y")</f>
        <v>0</v>
      </c>
      <c r="Z24" s="14">
        <f>_xll.BDH("SRPT US Equity","DVD_PAYOUT_RATIO","FQ3 2024","FQ3 2024","Currency=USD","Period=FQ","BEST_FPERIOD_OVERRIDE=FQ","FILING_STATUS=MR","FA_ADJUSTED=GAAP","Sort=A","Dates=H","DateFormat=P","Fill=—","Direction=H","UseDPDF=Y")</f>
        <v>0</v>
      </c>
      <c r="AA24" s="14">
        <f>_xll.BDH("SRPT US Equity","DVD_PAYOUT_RATIO","FQ4 2024","FQ4 2024","Currency=USD","Period=FQ","BEST_FPERIOD_OVERRIDE=FQ","FILING_STATUS=MR","FA_ADJUSTED=GAAP","Sort=A","Dates=H","DateFormat=P","Fill=—","Direction=H","UseDPDF=Y")</f>
        <v>0</v>
      </c>
    </row>
    <row r="25" spans="1:27" x14ac:dyDescent="0.25">
      <c r="A25" s="10" t="s">
        <v>1382</v>
      </c>
      <c r="B25" s="10" t="s">
        <v>1383</v>
      </c>
      <c r="C25" s="14" t="str">
        <f>_xll.BDH("SRPT US Equity","SUSTAIN_GROWTH_RT","FQ4 2018","FQ4 2018","Currency=USD","Period=FQ","BEST_FPERIOD_OVERRIDE=FQ","FILING_STATUS=MR","FA_ADJUSTED=GAAP","Sort=A","Dates=H","DateFormat=P","Fill=—","Direction=H","UseDPDF=Y")</f>
        <v>—</v>
      </c>
      <c r="D25" s="14" t="str">
        <f>_xll.BDH("SRPT US Equity","SUSTAIN_GROWTH_RT","FQ1 2019","FQ1 2019","Currency=USD","Period=FQ","BEST_FPERIOD_OVERRIDE=FQ","FILING_STATUS=MR","FA_ADJUSTED=GAAP","Sort=A","Dates=H","DateFormat=P","Fill=—","Direction=H","UseDPDF=Y")</f>
        <v>—</v>
      </c>
      <c r="E25" s="14" t="str">
        <f>_xll.BDH("SRPT US Equity","SUSTAIN_GROWTH_RT","FQ2 2019","FQ2 2019","Currency=USD","Period=FQ","BEST_FPERIOD_OVERRIDE=FQ","FILING_STATUS=MR","FA_ADJUSTED=GAAP","Sort=A","Dates=H","DateFormat=P","Fill=—","Direction=H","UseDPDF=Y")</f>
        <v>—</v>
      </c>
      <c r="F25" s="14" t="str">
        <f>_xll.BDH("SRPT US Equity","SUSTAIN_GROWTH_RT","FQ3 2019","FQ3 2019","Currency=USD","Period=FQ","BEST_FPERIOD_OVERRIDE=FQ","FILING_STATUS=MR","FA_ADJUSTED=GAAP","Sort=A","Dates=H","DateFormat=P","Fill=—","Direction=H","UseDPDF=Y")</f>
        <v>—</v>
      </c>
      <c r="G25" s="14" t="str">
        <f>_xll.BDH("SRPT US Equity","SUSTAIN_GROWTH_RT","FQ4 2019","FQ4 2019","Currency=USD","Period=FQ","BEST_FPERIOD_OVERRIDE=FQ","FILING_STATUS=MR","FA_ADJUSTED=GAAP","Sort=A","Dates=H","DateFormat=P","Fill=—","Direction=H","UseDPDF=Y")</f>
        <v>—</v>
      </c>
      <c r="H25" s="14" t="str">
        <f>_xll.BDH("SRPT US Equity","SUSTAIN_GROWTH_RT","FQ1 2020","FQ1 2020","Currency=USD","Period=FQ","BEST_FPERIOD_OVERRIDE=FQ","FILING_STATUS=MR","FA_ADJUSTED=GAAP","Sort=A","Dates=H","DateFormat=P","Fill=—","Direction=H","UseDPDF=Y")</f>
        <v>—</v>
      </c>
      <c r="I25" s="14" t="str">
        <f>_xll.BDH("SRPT US Equity","SUSTAIN_GROWTH_RT","FQ2 2020","FQ2 2020","Currency=USD","Period=FQ","BEST_FPERIOD_OVERRIDE=FQ","FILING_STATUS=MR","FA_ADJUSTED=GAAP","Sort=A","Dates=H","DateFormat=P","Fill=—","Direction=H","UseDPDF=Y")</f>
        <v>—</v>
      </c>
      <c r="J25" s="14" t="str">
        <f>_xll.BDH("SRPT US Equity","SUSTAIN_GROWTH_RT","FQ3 2020","FQ3 2020","Currency=USD","Period=FQ","BEST_FPERIOD_OVERRIDE=FQ","FILING_STATUS=MR","FA_ADJUSTED=GAAP","Sort=A","Dates=H","DateFormat=P","Fill=—","Direction=H","UseDPDF=Y")</f>
        <v>—</v>
      </c>
      <c r="K25" s="14" t="str">
        <f>_xll.BDH("SRPT US Equity","SUSTAIN_GROWTH_RT","FQ4 2020","FQ4 2020","Currency=USD","Period=FQ","BEST_FPERIOD_OVERRIDE=FQ","FILING_STATUS=MR","FA_ADJUSTED=GAAP","Sort=A","Dates=H","DateFormat=P","Fill=—","Direction=H","UseDPDF=Y")</f>
        <v>—</v>
      </c>
      <c r="L25" s="14" t="str">
        <f>_xll.BDH("SRPT US Equity","SUSTAIN_GROWTH_RT","FQ1 2021","FQ1 2021","Currency=USD","Period=FQ","BEST_FPERIOD_OVERRIDE=FQ","FILING_STATUS=MR","FA_ADJUSTED=GAAP","Sort=A","Dates=H","DateFormat=P","Fill=—","Direction=H","UseDPDF=Y")</f>
        <v>—</v>
      </c>
      <c r="M25" s="14" t="str">
        <f>_xll.BDH("SRPT US Equity","SUSTAIN_GROWTH_RT","FQ2 2021","FQ2 2021","Currency=USD","Period=FQ","BEST_FPERIOD_OVERRIDE=FQ","FILING_STATUS=MR","FA_ADJUSTED=GAAP","Sort=A","Dates=H","DateFormat=P","Fill=—","Direction=H","UseDPDF=Y")</f>
        <v>—</v>
      </c>
      <c r="N25" s="14" t="str">
        <f>_xll.BDH("SRPT US Equity","SUSTAIN_GROWTH_RT","FQ3 2021","FQ3 2021","Currency=USD","Period=FQ","BEST_FPERIOD_OVERRIDE=FQ","FILING_STATUS=MR","FA_ADJUSTED=GAAP","Sort=A","Dates=H","DateFormat=P","Fill=—","Direction=H","UseDPDF=Y")</f>
        <v>—</v>
      </c>
      <c r="O25" s="14" t="str">
        <f>_xll.BDH("SRPT US Equity","SUSTAIN_GROWTH_RT","FQ4 2021","FQ4 2021","Currency=USD","Period=FQ","BEST_FPERIOD_OVERRIDE=FQ","FILING_STATUS=MR","FA_ADJUSTED=GAAP","Sort=A","Dates=H","DateFormat=P","Fill=—","Direction=H","UseDPDF=Y")</f>
        <v>—</v>
      </c>
      <c r="P25" s="14" t="str">
        <f>_xll.BDH("SRPT US Equity","SUSTAIN_GROWTH_RT","FQ1 2022","FQ1 2022","Currency=USD","Period=FQ","BEST_FPERIOD_OVERRIDE=FQ","FILING_STATUS=MR","FA_ADJUSTED=GAAP","Sort=A","Dates=H","DateFormat=P","Fill=—","Direction=H","UseDPDF=Y")</f>
        <v>—</v>
      </c>
      <c r="Q25" s="14" t="str">
        <f>_xll.BDH("SRPT US Equity","SUSTAIN_GROWTH_RT","FQ2 2022","FQ2 2022","Currency=USD","Period=FQ","BEST_FPERIOD_OVERRIDE=FQ","FILING_STATUS=MR","FA_ADJUSTED=GAAP","Sort=A","Dates=H","DateFormat=P","Fill=—","Direction=H","UseDPDF=Y")</f>
        <v>—</v>
      </c>
      <c r="R25" s="14" t="str">
        <f>_xll.BDH("SRPT US Equity","SUSTAIN_GROWTH_RT","FQ3 2022","FQ3 2022","Currency=USD","Period=FQ","BEST_FPERIOD_OVERRIDE=FQ","FILING_STATUS=MR","FA_ADJUSTED=GAAP","Sort=A","Dates=H","DateFormat=P","Fill=—","Direction=H","UseDPDF=Y")</f>
        <v>—</v>
      </c>
      <c r="S25" s="14" t="str">
        <f>_xll.BDH("SRPT US Equity","SUSTAIN_GROWTH_RT","FQ4 2022","FQ4 2022","Currency=USD","Period=FQ","BEST_FPERIOD_OVERRIDE=FQ","FILING_STATUS=MR","FA_ADJUSTED=GAAP","Sort=A","Dates=H","DateFormat=P","Fill=—","Direction=H","UseDPDF=Y")</f>
        <v>—</v>
      </c>
      <c r="T25" s="14" t="str">
        <f>_xll.BDH("SRPT US Equity","SUSTAIN_GROWTH_RT","FQ1 2023","FQ1 2023","Currency=USD","Period=FQ","BEST_FPERIOD_OVERRIDE=FQ","FILING_STATUS=MR","FA_ADJUSTED=GAAP","Sort=A","Dates=H","DateFormat=P","Fill=—","Direction=H","UseDPDF=Y")</f>
        <v>—</v>
      </c>
      <c r="U25" s="14" t="str">
        <f>_xll.BDH("SRPT US Equity","SUSTAIN_GROWTH_RT","FQ2 2023","FQ2 2023","Currency=USD","Period=FQ","BEST_FPERIOD_OVERRIDE=FQ","FILING_STATUS=MR","FA_ADJUSTED=GAAP","Sort=A","Dates=H","DateFormat=P","Fill=—","Direction=H","UseDPDF=Y")</f>
        <v>—</v>
      </c>
      <c r="V25" s="14" t="str">
        <f>_xll.BDH("SRPT US Equity","SUSTAIN_GROWTH_RT","FQ3 2023","FQ3 2023","Currency=USD","Period=FQ","BEST_FPERIOD_OVERRIDE=FQ","FILING_STATUS=MR","FA_ADJUSTED=GAAP","Sort=A","Dates=H","DateFormat=P","Fill=—","Direction=H","UseDPDF=Y")</f>
        <v>—</v>
      </c>
      <c r="W25" s="14">
        <f>_xll.BDH("SRPT US Equity","SUSTAIN_GROWTH_RT","FQ4 2023","FQ4 2023","Currency=USD","Period=FQ","BEST_FPERIOD_OVERRIDE=FQ","FILING_STATUS=MR","FA_ADJUSTED=GAAP","Sort=A","Dates=H","DateFormat=P","Fill=—","Direction=H","UseDPDF=Y")</f>
        <v>-86.150099999999995</v>
      </c>
      <c r="X25" s="14">
        <f>_xll.BDH("SRPT US Equity","SUSTAIN_GROWTH_RT","FQ1 2024","FQ1 2024","Currency=USD","Period=FQ","BEST_FPERIOD_OVERRIDE=FQ","FILING_STATUS=MR","FA_ADJUSTED=GAAP","Sort=A","Dates=H","DateFormat=P","Fill=—","Direction=H","UseDPDF=Y")</f>
        <v>2.0188000000000001</v>
      </c>
      <c r="Y25" s="14">
        <f>_xll.BDH("SRPT US Equity","SUSTAIN_GROWTH_RT","FQ2 2024","FQ2 2024","Currency=USD","Period=FQ","BEST_FPERIOD_OVERRIDE=FQ","FILING_STATUS=MR","FA_ADJUSTED=GAAP","Sort=A","Dates=H","DateFormat=P","Fill=—","Direction=H","UseDPDF=Y")</f>
        <v>5.2018000000000004</v>
      </c>
      <c r="Z25" s="14">
        <f>_xll.BDH("SRPT US Equity","SUSTAIN_GROWTH_RT","FQ3 2024","FQ3 2024","Currency=USD","Period=FQ","BEST_FPERIOD_OVERRIDE=FQ","FILING_STATUS=MR","FA_ADJUSTED=GAAP","Sort=A","Dates=H","DateFormat=P","Fill=—","Direction=H","UseDPDF=Y")</f>
        <v>12.273899999999999</v>
      </c>
      <c r="AA25" s="14">
        <f>_xll.BDH("SRPT US Equity","SUSTAIN_GROWTH_RT","FQ4 2024","FQ4 2024","Currency=USD","Period=FQ","BEST_FPERIOD_OVERRIDE=FQ","FILING_STATUS=MR","FA_ADJUSTED=GAAP","Sort=A","Dates=H","DateFormat=P","Fill=—","Direction=H","UseDPDF=Y")</f>
        <v>19.709399999999999</v>
      </c>
    </row>
    <row r="26" spans="1:27" x14ac:dyDescent="0.25">
      <c r="A26" s="7" t="s">
        <v>90</v>
      </c>
      <c r="B26" s="7"/>
      <c r="C26" s="7" t="s">
        <v>5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79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1384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1385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0</v>
      </c>
      <c r="B7" s="10" t="s">
        <v>73</v>
      </c>
      <c r="C7" s="14">
        <f>_xll.BDH("SRPT US Equity","SALES_GROWTH","FQ4 2018","FQ4 2018","Currency=USD","Period=FQ","BEST_FPERIOD_OVERRIDE=FQ","FILING_STATUS=MR","FA_ADJUSTED=GAAP","Sort=A","Dates=H","DateFormat=P","Fill=—","Direction=H","UseDPDF=Y")</f>
        <v>47.380299999999998</v>
      </c>
      <c r="D7" s="14">
        <f>_xll.BDH("SRPT US Equity","SALES_GROWTH","FQ1 2019","FQ1 2019","Currency=USD","Period=FQ","BEST_FPERIOD_OVERRIDE=FQ","FILING_STATUS=MR","FA_ADJUSTED=GAAP","Sort=A","Dates=H","DateFormat=P","Fill=—","Direction=H","UseDPDF=Y")</f>
        <v>34.683599999999998</v>
      </c>
      <c r="E7" s="14">
        <f>_xll.BDH("SRPT US Equity","SALES_GROWTH","FQ2 2019","FQ2 2019","Currency=USD","Period=FQ","BEST_FPERIOD_OVERRIDE=FQ","FILING_STATUS=MR","FA_ADJUSTED=GAAP","Sort=A","Dates=H","DateFormat=P","Fill=—","Direction=H","UseDPDF=Y")</f>
        <v>28.749199999999998</v>
      </c>
      <c r="F7" s="14">
        <f>_xll.BDH("SRPT US Equity","SALES_GROWTH","FQ3 2019","FQ3 2019","Currency=USD","Period=FQ","BEST_FPERIOD_OVERRIDE=FQ","FILING_STATUS=MR","FA_ADJUSTED=GAAP","Sort=A","Dates=H","DateFormat=P","Fill=—","Direction=H","UseDPDF=Y")</f>
        <v>26.189399999999999</v>
      </c>
      <c r="G7" s="14">
        <f>_xll.BDH("SRPT US Equity","SALES_GROWTH","FQ4 2019","FQ4 2019","Currency=USD","Period=FQ","BEST_FPERIOD_OVERRIDE=FQ","FILING_STATUS=MR","FA_ADJUSTED=GAAP","Sort=A","Dates=H","DateFormat=P","Fill=—","Direction=H","UseDPDF=Y")</f>
        <v>18.5962</v>
      </c>
      <c r="H7" s="14">
        <f>_xll.BDH("SRPT US Equity","SALES_GROWTH","FQ1 2020","FQ1 2020","Currency=USD","Period=FQ","BEST_FPERIOD_OVERRIDE=FQ","FILING_STATUS=MR","FA_ADJUSTED=GAAP","Sort=A","Dates=H","DateFormat=P","Fill=—","Direction=H","UseDPDF=Y")</f>
        <v>30.6433</v>
      </c>
      <c r="I7" s="14">
        <f>_xll.BDH("SRPT US Equity","SALES_GROWTH","FQ2 2020","FQ2 2020","Currency=USD","Period=FQ","BEST_FPERIOD_OVERRIDE=FQ","FILING_STATUS=MR","FA_ADJUSTED=GAAP","Sort=A","Dates=H","DateFormat=P","Fill=—","Direction=H","UseDPDF=Y")</f>
        <v>45.099699999999999</v>
      </c>
      <c r="J7" s="14">
        <f>_xll.BDH("SRPT US Equity","SALES_GROWTH","FQ3 2020","FQ3 2020","Currency=USD","Period=FQ","BEST_FPERIOD_OVERRIDE=FQ","FILING_STATUS=MR","FA_ADJUSTED=GAAP","Sort=A","Dates=H","DateFormat=P","Fill=—","Direction=H","UseDPDF=Y")</f>
        <v>45.317599999999999</v>
      </c>
      <c r="K7" s="14">
        <f>_xll.BDH("SRPT US Equity","SALES_GROWTH","FQ4 2020","FQ4 2020","Currency=USD","Period=FQ","BEST_FPERIOD_OVERRIDE=FQ","FILING_STATUS=MR","FA_ADJUSTED=GAAP","Sort=A","Dates=H","DateFormat=P","Fill=—","Direction=H","UseDPDF=Y")</f>
        <v>44.974200000000003</v>
      </c>
      <c r="L7" s="14">
        <f>_xll.BDH("SRPT US Equity","SALES_GROWTH","FQ1 2021","FQ1 2021","Currency=USD","Period=FQ","BEST_FPERIOD_OVERRIDE=FQ","FILING_STATUS=MR","FA_ADJUSTED=GAAP","Sort=A","Dates=H","DateFormat=P","Fill=—","Direction=H","UseDPDF=Y")</f>
        <v>29.256499999999999</v>
      </c>
      <c r="M7" s="14">
        <f>_xll.BDH("SRPT US Equity","SALES_GROWTH","FQ2 2021","FQ2 2021","Currency=USD","Period=FQ","BEST_FPERIOD_OVERRIDE=FQ","FILING_STATUS=MR","FA_ADJUSTED=GAAP","Sort=A","Dates=H","DateFormat=P","Fill=—","Direction=H","UseDPDF=Y")</f>
        <v>19.456499999999998</v>
      </c>
      <c r="N7" s="14">
        <f>_xll.BDH("SRPT US Equity","SALES_GROWTH","FQ3 2021","FQ3 2021","Currency=USD","Period=FQ","BEST_FPERIOD_OVERRIDE=FQ","FILING_STATUS=MR","FA_ADJUSTED=GAAP","Sort=A","Dates=H","DateFormat=P","Fill=—","Direction=H","UseDPDF=Y")</f>
        <v>31.601400000000002</v>
      </c>
      <c r="O7" s="14">
        <f>_xll.BDH("SRPT US Equity","SALES_GROWTH","FQ4 2021","FQ4 2021","Currency=USD","Period=FQ","BEST_FPERIOD_OVERRIDE=FQ","FILING_STATUS=MR","FA_ADJUSTED=GAAP","Sort=A","Dates=H","DateFormat=P","Fill=—","Direction=H","UseDPDF=Y")</f>
        <v>38.8065</v>
      </c>
      <c r="P7" s="14">
        <f>_xll.BDH("SRPT US Equity","SALES_GROWTH","FQ1 2022","FQ1 2022","Currency=USD","Period=FQ","BEST_FPERIOD_OVERRIDE=FQ","FILING_STATUS=MR","FA_ADJUSTED=GAAP","Sort=A","Dates=H","DateFormat=P","Fill=—","Direction=H","UseDPDF=Y")</f>
        <v>43.489100000000001</v>
      </c>
      <c r="Q7" s="14">
        <f>_xll.BDH("SRPT US Equity","SALES_GROWTH","FQ2 2022","FQ2 2022","Currency=USD","Period=FQ","BEST_FPERIOD_OVERRIDE=FQ","FILING_STATUS=MR","FA_ADJUSTED=GAAP","Sort=A","Dates=H","DateFormat=P","Fill=—","Direction=H","UseDPDF=Y")</f>
        <v>42.292900000000003</v>
      </c>
      <c r="R7" s="14">
        <f>_xll.BDH("SRPT US Equity","SALES_GROWTH","FQ3 2022","FQ3 2022","Currency=USD","Period=FQ","BEST_FPERIOD_OVERRIDE=FQ","FILING_STATUS=MR","FA_ADJUSTED=GAAP","Sort=A","Dates=H","DateFormat=P","Fill=—","Direction=H","UseDPDF=Y")</f>
        <v>21.574300000000001</v>
      </c>
      <c r="S7" s="14">
        <f>_xll.BDH("SRPT US Equity","SALES_GROWTH","FQ4 2022","FQ4 2022","Currency=USD","Period=FQ","BEST_FPERIOD_OVERRIDE=FQ","FILING_STATUS=MR","FA_ADJUSTED=GAAP","Sort=A","Dates=H","DateFormat=P","Fill=—","Direction=H","UseDPDF=Y")</f>
        <v>28.276399999999999</v>
      </c>
      <c r="T7" s="14">
        <f>_xll.BDH("SRPT US Equity","SALES_GROWTH","FQ1 2023","FQ1 2023","Currency=USD","Period=FQ","BEST_FPERIOD_OVERRIDE=FQ","FILING_STATUS=MR","FA_ADJUSTED=GAAP","Sort=A","Dates=H","DateFormat=P","Fill=—","Direction=H","UseDPDF=Y")</f>
        <v>20.239100000000001</v>
      </c>
      <c r="U7" s="14">
        <f>_xll.BDH("SRPT US Equity","SALES_GROWTH","FQ2 2023","FQ2 2023","Currency=USD","Period=FQ","BEST_FPERIOD_OVERRIDE=FQ","FILING_STATUS=MR","FA_ADJUSTED=GAAP","Sort=A","Dates=H","DateFormat=P","Fill=—","Direction=H","UseDPDF=Y")</f>
        <v>11.8855</v>
      </c>
      <c r="V7" s="14">
        <f>_xll.BDH("SRPT US Equity","SALES_GROWTH","FQ3 2023","FQ3 2023","Currency=USD","Period=FQ","BEST_FPERIOD_OVERRIDE=FQ","FILING_STATUS=MR","FA_ADJUSTED=GAAP","Sort=A","Dates=H","DateFormat=P","Fill=—","Direction=H","UseDPDF=Y")</f>
        <v>44.099699999999999</v>
      </c>
      <c r="W7" s="14">
        <f>_xll.BDH("SRPT US Equity","SALES_GROWTH","FQ4 2023","FQ4 2023","Currency=USD","Period=FQ","BEST_FPERIOD_OVERRIDE=FQ","FILING_STATUS=MR","FA_ADJUSTED=GAAP","Sort=A","Dates=H","DateFormat=P","Fill=—","Direction=H","UseDPDF=Y")</f>
        <v>53.536999999999999</v>
      </c>
      <c r="X7" s="14">
        <f>_xll.BDH("SRPT US Equity","SALES_GROWTH","FQ1 2024","FQ1 2024","Currency=USD","Period=FQ","BEST_FPERIOD_OVERRIDE=FQ","FILING_STATUS=MR","FA_ADJUSTED=GAAP","Sort=A","Dates=H","DateFormat=P","Fill=—","Direction=H","UseDPDF=Y")</f>
        <v>63.102200000000003</v>
      </c>
      <c r="Y7" s="14">
        <f>_xll.BDH("SRPT US Equity","SALES_GROWTH","FQ2 2024","FQ2 2024","Currency=USD","Period=FQ","BEST_FPERIOD_OVERRIDE=FQ","FILING_STATUS=MR","FA_ADJUSTED=GAAP","Sort=A","Dates=H","DateFormat=P","Fill=—","Direction=H","UseDPDF=Y")</f>
        <v>38.927300000000002</v>
      </c>
      <c r="Z7" s="14">
        <f>_xll.BDH("SRPT US Equity","SALES_GROWTH","FQ3 2024","FQ3 2024","Currency=USD","Period=FQ","BEST_FPERIOD_OVERRIDE=FQ","FILING_STATUS=MR","FA_ADJUSTED=GAAP","Sort=A","Dates=H","DateFormat=P","Fill=—","Direction=H","UseDPDF=Y")</f>
        <v>40.792099999999998</v>
      </c>
      <c r="AA7" s="14">
        <f>_xll.BDH("SRPT US Equity","SALES_GROWTH","FQ4 2024","FQ4 2024","Currency=USD","Period=FQ","BEST_FPERIOD_OVERRIDE=FQ","FILING_STATUS=MR","FA_ADJUSTED=GAAP","Sort=A","Dates=H","DateFormat=P","Fill=—","Direction=H","UseDPDF=Y")</f>
        <v>65.938400000000001</v>
      </c>
    </row>
    <row r="8" spans="1:27" x14ac:dyDescent="0.25">
      <c r="A8" s="10" t="s">
        <v>78</v>
      </c>
      <c r="B8" s="10" t="s">
        <v>1386</v>
      </c>
      <c r="C8" s="14">
        <f>_xll.BDH("SRPT US Equity","EBITDA_GROWTH","FQ4 2018","FQ4 2018","Currency=USD","Period=FQ","BEST_FPERIOD_OVERRIDE=FQ","FILING_STATUS=MR","FA_ADJUSTED=GAAP","Sort=A","Dates=H","DateFormat=P","Fill=—","Direction=H","UseDPDF=Y")</f>
        <v>-546.13040000000001</v>
      </c>
      <c r="D8" s="14">
        <f>_xll.BDH("SRPT US Equity","EBITDA_GROWTH","FQ1 2019","FQ1 2019","Currency=USD","Period=FQ","BEST_FPERIOD_OVERRIDE=FQ","FILING_STATUS=MR","FA_ADJUSTED=GAAP","Sort=A","Dates=H","DateFormat=P","Fill=—","Direction=H","UseDPDF=Y")</f>
        <v>-136.65180000000001</v>
      </c>
      <c r="E8" s="14">
        <f>_xll.BDH("SRPT US Equity","EBITDA_GROWTH","FQ2 2019","FQ2 2019","Currency=USD","Period=FQ","BEST_FPERIOD_OVERRIDE=FQ","FILING_STATUS=MR","FA_ADJUSTED=GAAP","Sort=A","Dates=H","DateFormat=P","Fill=—","Direction=H","UseDPDF=Y")</f>
        <v>-163.68219999999999</v>
      </c>
      <c r="F8" s="14">
        <f>_xll.BDH("SRPT US Equity","EBITDA_GROWTH","FQ3 2019","FQ3 2019","Currency=USD","Period=FQ","BEST_FPERIOD_OVERRIDE=FQ","FILING_STATUS=MR","FA_ADJUSTED=GAAP","Sort=A","Dates=H","DateFormat=P","Fill=—","Direction=H","UseDPDF=Y")</f>
        <v>-69.468900000000005</v>
      </c>
      <c r="G8" s="14">
        <f>_xll.BDH("SRPT US Equity","EBITDA_GROWTH","FQ4 2019","FQ4 2019","Currency=USD","Period=FQ","BEST_FPERIOD_OVERRIDE=FQ","FILING_STATUS=MR","FA_ADJUSTED=GAAP","Sort=A","Dates=H","DateFormat=P","Fill=—","Direction=H","UseDPDF=Y")</f>
        <v>-61.530099999999997</v>
      </c>
      <c r="H8" s="14">
        <f>_xll.BDH("SRPT US Equity","EBITDA_GROWTH","FQ1 2020","FQ1 2020","Currency=USD","Period=FQ","BEST_FPERIOD_OVERRIDE=FQ","FILING_STATUS=MR","FA_ADJUSTED=GAAP","Sort=A","Dates=H","DateFormat=P","Fill=—","Direction=H","UseDPDF=Y")</f>
        <v>-64.202299999999994</v>
      </c>
      <c r="I8" s="14">
        <f>_xll.BDH("SRPT US Equity","EBITDA_GROWTH","FQ2 2020","FQ2 2020","Currency=USD","Period=FQ","BEST_FPERIOD_OVERRIDE=FQ","FILING_STATUS=MR","FA_ADJUSTED=GAAP","Sort=A","Dates=H","DateFormat=P","Fill=—","Direction=H","UseDPDF=Y")</f>
        <v>51.015900000000002</v>
      </c>
      <c r="J8" s="14">
        <f>_xll.BDH("SRPT US Equity","EBITDA_GROWTH","FQ3 2020","FQ3 2020","Currency=USD","Period=FQ","BEST_FPERIOD_OVERRIDE=FQ","FILING_STATUS=MR","FA_ADJUSTED=GAAP","Sort=A","Dates=H","DateFormat=P","Fill=—","Direction=H","UseDPDF=Y")</f>
        <v>-13.7897</v>
      </c>
      <c r="K8" s="14">
        <f>_xll.BDH("SRPT US Equity","EBITDA_GROWTH","FQ4 2020","FQ4 2020","Currency=USD","Period=FQ","BEST_FPERIOD_OVERRIDE=FQ","FILING_STATUS=MR","FA_ADJUSTED=GAAP","Sort=A","Dates=H","DateFormat=P","Fill=—","Direction=H","UseDPDF=Y")</f>
        <v>31.8874</v>
      </c>
      <c r="L8" s="14">
        <f>_xll.BDH("SRPT US Equity","EBITDA_GROWTH","FQ1 2021","FQ1 2021","Currency=USD","Period=FQ","BEST_FPERIOD_OVERRIDE=FQ","FILING_STATUS=MR","FA_ADJUSTED=GAAP","Sort=A","Dates=H","DateFormat=P","Fill=—","Direction=H","UseDPDF=Y")</f>
        <v>-29.122699999999998</v>
      </c>
      <c r="M8" s="14">
        <f>_xll.BDH("SRPT US Equity","EBITDA_GROWTH","FQ2 2021","FQ2 2021","Currency=USD","Period=FQ","BEST_FPERIOD_OVERRIDE=FQ","FILING_STATUS=MR","FA_ADJUSTED=GAAP","Sort=A","Dates=H","DateFormat=P","Fill=—","Direction=H","UseDPDF=Y")</f>
        <v>-22.520399999999999</v>
      </c>
      <c r="N8" s="14">
        <f>_xll.BDH("SRPT US Equity","EBITDA_GROWTH","FQ3 2021","FQ3 2021","Currency=USD","Period=FQ","BEST_FPERIOD_OVERRIDE=FQ","FILING_STATUS=MR","FA_ADJUSTED=GAAP","Sort=A","Dates=H","DateFormat=P","Fill=—","Direction=H","UseDPDF=Y")</f>
        <v>81.315299999999993</v>
      </c>
      <c r="O8" s="14">
        <f>_xll.BDH("SRPT US Equity","EBITDA_GROWTH","FQ4 2021","FQ4 2021","Currency=USD","Period=FQ","BEST_FPERIOD_OVERRIDE=FQ","FILING_STATUS=MR","FA_ADJUSTED=GAAP","Sort=A","Dates=H","DateFormat=P","Fill=—","Direction=H","UseDPDF=Y")</f>
        <v>35.986600000000003</v>
      </c>
      <c r="P8" s="14">
        <f>_xll.BDH("SRPT US Equity","EBITDA_GROWTH","FQ1 2022","FQ1 2022","Currency=USD","Period=FQ","BEST_FPERIOD_OVERRIDE=FQ","FILING_STATUS=MR","FA_ADJUSTED=GAAP","Sort=A","Dates=H","DateFormat=P","Fill=—","Direction=H","UseDPDF=Y")</f>
        <v>46.715600000000002</v>
      </c>
      <c r="Q8" s="14">
        <f>_xll.BDH("SRPT US Equity","EBITDA_GROWTH","FQ2 2022","FQ2 2022","Currency=USD","Period=FQ","BEST_FPERIOD_OVERRIDE=FQ","FILING_STATUS=MR","FA_ADJUSTED=GAAP","Sort=A","Dates=H","DateFormat=P","Fill=—","Direction=H","UseDPDF=Y")</f>
        <v>-26.466899999999999</v>
      </c>
      <c r="R8" s="14">
        <f>_xll.BDH("SRPT US Equity","EBITDA_GROWTH","FQ3 2022","FQ3 2022","Currency=USD","Period=FQ","BEST_FPERIOD_OVERRIDE=FQ","FILING_STATUS=MR","FA_ADJUSTED=GAAP","Sort=A","Dates=H","DateFormat=P","Fill=—","Direction=H","UseDPDF=Y")</f>
        <v>-403.49290000000002</v>
      </c>
      <c r="S8" s="14">
        <f>_xll.BDH("SRPT US Equity","EBITDA_GROWTH","FQ4 2022","FQ4 2022","Currency=USD","Period=FQ","BEST_FPERIOD_OVERRIDE=FQ","FILING_STATUS=MR","FA_ADJUSTED=GAAP","Sort=A","Dates=H","DateFormat=P","Fill=—","Direction=H","UseDPDF=Y")</f>
        <v>-0.63970000000000005</v>
      </c>
      <c r="T8" s="14">
        <f>_xll.BDH("SRPT US Equity","EBITDA_GROWTH","FQ1 2023","FQ1 2023","Currency=USD","Period=FQ","BEST_FPERIOD_OVERRIDE=FQ","FILING_STATUS=MR","FA_ADJUSTED=GAAP","Sort=A","Dates=H","DateFormat=P","Fill=—","Direction=H","UseDPDF=Y")</f>
        <v>-66.4649</v>
      </c>
      <c r="U8" s="14">
        <f>_xll.BDH("SRPT US Equity","EBITDA_GROWTH","FQ2 2023","FQ2 2023","Currency=USD","Period=FQ","BEST_FPERIOD_OVERRIDE=FQ","FILING_STATUS=MR","FA_ADJUSTED=GAAP","Sort=A","Dates=H","DateFormat=P","Fill=—","Direction=H","UseDPDF=Y")</f>
        <v>39.015500000000003</v>
      </c>
      <c r="V8" s="14">
        <f>_xll.BDH("SRPT US Equity","EBITDA_GROWTH","FQ3 2023","FQ3 2023","Currency=USD","Period=FQ","BEST_FPERIOD_OVERRIDE=FQ","FILING_STATUS=MR","FA_ADJUSTED=GAAP","Sort=A","Dates=H","DateFormat=P","Fill=—","Direction=H","UseDPDF=Y")</f>
        <v>91.783000000000001</v>
      </c>
      <c r="W8" s="14" t="str">
        <f>_xll.BDH("SRPT US Equity","EBITDA_GROWTH","FQ4 2023","FQ4 2023","Currency=USD","Period=FQ","BEST_FPERIOD_OVERRIDE=FQ","FILING_STATUS=MR","FA_ADJUSTED=GAAP","Sort=A","Dates=H","DateFormat=P","Fill=—","Direction=H","UseDPDF=Y")</f>
        <v>—</v>
      </c>
      <c r="X8" s="14" t="str">
        <f>_xll.BDH("SRPT US Equity","EBITDA_GROWTH","FQ1 2024","FQ1 2024","Currency=USD","Period=FQ","BEST_FPERIOD_OVERRIDE=FQ","FILING_STATUS=MR","FA_ADJUSTED=GAAP","Sort=A","Dates=H","DateFormat=P","Fill=—","Direction=H","UseDPDF=Y")</f>
        <v>—</v>
      </c>
      <c r="Y8" s="14" t="str">
        <f>_xll.BDH("SRPT US Equity","EBITDA_GROWTH","FQ2 2024","FQ2 2024","Currency=USD","Period=FQ","BEST_FPERIOD_OVERRIDE=FQ","FILING_STATUS=MR","FA_ADJUSTED=GAAP","Sort=A","Dates=H","DateFormat=P","Fill=—","Direction=H","UseDPDF=Y")</f>
        <v>—</v>
      </c>
      <c r="Z8" s="14" t="str">
        <f>_xll.BDH("SRPT US Equity","EBITDA_GROWTH","FQ3 2024","FQ3 2024","Currency=USD","Period=FQ","BEST_FPERIOD_OVERRIDE=FQ","FILING_STATUS=MR","FA_ADJUSTED=GAAP","Sort=A","Dates=H","DateFormat=P","Fill=—","Direction=H","UseDPDF=Y")</f>
        <v>—</v>
      </c>
      <c r="AA8" s="14">
        <f>_xll.BDH("SRPT US Equity","EBITDA_GROWTH","FQ4 2024","FQ4 2024","Currency=USD","Period=FQ","BEST_FPERIOD_OVERRIDE=FQ","FILING_STATUS=MR","FA_ADJUSTED=GAAP","Sort=A","Dates=H","DateFormat=P","Fill=—","Direction=H","UseDPDF=Y")</f>
        <v>378.19540000000001</v>
      </c>
    </row>
    <row r="9" spans="1:27" x14ac:dyDescent="0.25">
      <c r="A9" s="10" t="s">
        <v>98</v>
      </c>
      <c r="B9" s="10" t="s">
        <v>1387</v>
      </c>
      <c r="C9" s="14">
        <f>_xll.BDH("SRPT US Equity","OPER_INC_GROWTH","FQ4 2018","FQ4 2018","Currency=USD","Period=FQ","BEST_FPERIOD_OVERRIDE=FQ","FILING_STATUS=MR","FA_ADJUSTED=GAAP","Sort=A","Dates=H","DateFormat=P","Fill=—","Direction=H","UseDPDF=Y")</f>
        <v>-502.07799999999997</v>
      </c>
      <c r="D9" s="14">
        <f>_xll.BDH("SRPT US Equity","OPER_INC_GROWTH","FQ1 2019","FQ1 2019","Currency=USD","Period=FQ","BEST_FPERIOD_OVERRIDE=FQ","FILING_STATUS=MR","FA_ADJUSTED=GAAP","Sort=A","Dates=H","DateFormat=P","Fill=—","Direction=H","UseDPDF=Y")</f>
        <v>-148.50190000000001</v>
      </c>
      <c r="E9" s="14">
        <f>_xll.BDH("SRPT US Equity","OPER_INC_GROWTH","FQ2 2019","FQ2 2019","Currency=USD","Period=FQ","BEST_FPERIOD_OVERRIDE=FQ","FILING_STATUS=MR","FA_ADJUSTED=GAAP","Sort=A","Dates=H","DateFormat=P","Fill=—","Direction=H","UseDPDF=Y")</f>
        <v>-166.24289999999999</v>
      </c>
      <c r="F9" s="14">
        <f>_xll.BDH("SRPT US Equity","OPER_INC_GROWTH","FQ3 2019","FQ3 2019","Currency=USD","Period=FQ","BEST_FPERIOD_OVERRIDE=FQ","FILING_STATUS=MR","FA_ADJUSTED=GAAP","Sort=A","Dates=H","DateFormat=P","Fill=—","Direction=H","UseDPDF=Y")</f>
        <v>-76.3078</v>
      </c>
      <c r="G9" s="14">
        <f>_xll.BDH("SRPT US Equity","OPER_INC_GROWTH","FQ4 2019","FQ4 2019","Currency=USD","Period=FQ","BEST_FPERIOD_OVERRIDE=FQ","FILING_STATUS=MR","FA_ADJUSTED=GAAP","Sort=A","Dates=H","DateFormat=P","Fill=—","Direction=H","UseDPDF=Y")</f>
        <v>-65.193799999999996</v>
      </c>
      <c r="H9" s="14">
        <f>_xll.BDH("SRPT US Equity","OPER_INC_GROWTH","FQ1 2020","FQ1 2020","Currency=USD","Period=FQ","BEST_FPERIOD_OVERRIDE=FQ","FILING_STATUS=MR","FA_ADJUSTED=GAAP","Sort=A","Dates=H","DateFormat=P","Fill=—","Direction=H","UseDPDF=Y")</f>
        <v>-54.510599999999997</v>
      </c>
      <c r="I9" s="14">
        <f>_xll.BDH("SRPT US Equity","OPER_INC_GROWTH","FQ2 2020","FQ2 2020","Currency=USD","Period=FQ","BEST_FPERIOD_OVERRIDE=FQ","FILING_STATUS=MR","FA_ADJUSTED=GAAP","Sort=A","Dates=H","DateFormat=P","Fill=—","Direction=H","UseDPDF=Y")</f>
        <v>49.756900000000002</v>
      </c>
      <c r="J9" s="14">
        <f>_xll.BDH("SRPT US Equity","OPER_INC_GROWTH","FQ3 2020","FQ3 2020","Currency=USD","Period=FQ","BEST_FPERIOD_OVERRIDE=FQ","FILING_STATUS=MR","FA_ADJUSTED=GAAP","Sort=A","Dates=H","DateFormat=P","Fill=—","Direction=H","UseDPDF=Y")</f>
        <v>-10.9054</v>
      </c>
      <c r="K9" s="14">
        <f>_xll.BDH("SRPT US Equity","OPER_INC_GROWTH","FQ4 2020","FQ4 2020","Currency=USD","Period=FQ","BEST_FPERIOD_OVERRIDE=FQ","FILING_STATUS=MR","FA_ADJUSTED=GAAP","Sort=A","Dates=H","DateFormat=P","Fill=—","Direction=H","UseDPDF=Y")</f>
        <v>25.846299999999999</v>
      </c>
      <c r="L9" s="14">
        <f>_xll.BDH("SRPT US Equity","OPER_INC_GROWTH","FQ1 2021","FQ1 2021","Currency=USD","Period=FQ","BEST_FPERIOD_OVERRIDE=FQ","FILING_STATUS=MR","FA_ADJUSTED=GAAP","Sort=A","Dates=H","DateFormat=P","Fill=—","Direction=H","UseDPDF=Y")</f>
        <v>-28.6708</v>
      </c>
      <c r="M9" s="14">
        <f>_xll.BDH("SRPT US Equity","OPER_INC_GROWTH","FQ2 2021","FQ2 2021","Currency=USD","Period=FQ","BEST_FPERIOD_OVERRIDE=FQ","FILING_STATUS=MR","FA_ADJUSTED=GAAP","Sort=A","Dates=H","DateFormat=P","Fill=—","Direction=H","UseDPDF=Y")</f>
        <v>-21.1206</v>
      </c>
      <c r="N9" s="14">
        <f>_xll.BDH("SRPT US Equity","OPER_INC_GROWTH","FQ3 2021","FQ3 2021","Currency=USD","Period=FQ","BEST_FPERIOD_OVERRIDE=FQ","FILING_STATUS=MR","FA_ADJUSTED=GAAP","Sort=A","Dates=H","DateFormat=P","Fill=—","Direction=H","UseDPDF=Y")</f>
        <v>74.860699999999994</v>
      </c>
      <c r="O9" s="14">
        <f>_xll.BDH("SRPT US Equity","OPER_INC_GROWTH","FQ4 2021","FQ4 2021","Currency=USD","Period=FQ","BEST_FPERIOD_OVERRIDE=FQ","FILING_STATUS=MR","FA_ADJUSTED=GAAP","Sort=A","Dates=H","DateFormat=P","Fill=—","Direction=H","UseDPDF=Y")</f>
        <v>38.018099999999997</v>
      </c>
      <c r="P9" s="14">
        <f>_xll.BDH("SRPT US Equity","OPER_INC_GROWTH","FQ1 2022","FQ1 2022","Currency=USD","Period=FQ","BEST_FPERIOD_OVERRIDE=FQ","FILING_STATUS=MR","FA_ADJUSTED=GAAP","Sort=A","Dates=H","DateFormat=P","Fill=—","Direction=H","UseDPDF=Y")</f>
        <v>42.790599999999998</v>
      </c>
      <c r="Q9" s="14">
        <f>_xll.BDH("SRPT US Equity","OPER_INC_GROWTH","FQ2 2022","FQ2 2022","Currency=USD","Period=FQ","BEST_FPERIOD_OVERRIDE=FQ","FILING_STATUS=MR","FA_ADJUSTED=GAAP","Sort=A","Dates=H","DateFormat=P","Fill=—","Direction=H","UseDPDF=Y")</f>
        <v>-25.993300000000001</v>
      </c>
      <c r="R9" s="14">
        <f>_xll.BDH("SRPT US Equity","OPER_INC_GROWTH","FQ3 2022","FQ3 2022","Currency=USD","Period=FQ","BEST_FPERIOD_OVERRIDE=FQ","FILING_STATUS=MR","FA_ADJUSTED=GAAP","Sort=A","Dates=H","DateFormat=P","Fill=—","Direction=H","UseDPDF=Y")</f>
        <v>-281.20319999999998</v>
      </c>
      <c r="S9" s="14">
        <f>_xll.BDH("SRPT US Equity","OPER_INC_GROWTH","FQ4 2022","FQ4 2022","Currency=USD","Period=FQ","BEST_FPERIOD_OVERRIDE=FQ","FILING_STATUS=MR","FA_ADJUSTED=GAAP","Sort=A","Dates=H","DateFormat=P","Fill=—","Direction=H","UseDPDF=Y")</f>
        <v>-0.96399999999999997</v>
      </c>
      <c r="T9" s="14">
        <f>_xll.BDH("SRPT US Equity","OPER_INC_GROWTH","FQ1 2023","FQ1 2023","Currency=USD","Period=FQ","BEST_FPERIOD_OVERRIDE=FQ","FILING_STATUS=MR","FA_ADJUSTED=GAAP","Sort=A","Dates=H","DateFormat=P","Fill=—","Direction=H","UseDPDF=Y")</f>
        <v>-58.9392</v>
      </c>
      <c r="U9" s="14">
        <f>_xll.BDH("SRPT US Equity","OPER_INC_GROWTH","FQ2 2023","FQ2 2023","Currency=USD","Period=FQ","BEST_FPERIOD_OVERRIDE=FQ","FILING_STATUS=MR","FA_ADJUSTED=GAAP","Sort=A","Dates=H","DateFormat=P","Fill=—","Direction=H","UseDPDF=Y")</f>
        <v>36.760399999999997</v>
      </c>
      <c r="V9" s="14">
        <f>_xll.BDH("SRPT US Equity","OPER_INC_GROWTH","FQ3 2023","FQ3 2023","Currency=USD","Period=FQ","BEST_FPERIOD_OVERRIDE=FQ","FILING_STATUS=MR","FA_ADJUSTED=GAAP","Sort=A","Dates=H","DateFormat=P","Fill=—","Direction=H","UseDPDF=Y")</f>
        <v>84.133099999999999</v>
      </c>
      <c r="W9" s="14" t="str">
        <f>_xll.BDH("SRPT US Equity","OPER_INC_GROWTH","FQ4 2023","FQ4 2023","Currency=USD","Period=FQ","BEST_FPERIOD_OVERRIDE=FQ","FILING_STATUS=MR","FA_ADJUSTED=GAAP","Sort=A","Dates=H","DateFormat=P","Fill=—","Direction=H","UseDPDF=Y")</f>
        <v>—</v>
      </c>
      <c r="X9" s="14" t="str">
        <f>_xll.BDH("SRPT US Equity","OPER_INC_GROWTH","FQ1 2024","FQ1 2024","Currency=USD","Period=FQ","BEST_FPERIOD_OVERRIDE=FQ","FILING_STATUS=MR","FA_ADJUSTED=GAAP","Sort=A","Dates=H","DateFormat=P","Fill=—","Direction=H","UseDPDF=Y")</f>
        <v>—</v>
      </c>
      <c r="Y9" s="14">
        <f>_xll.BDH("SRPT US Equity","OPER_INC_GROWTH","FQ2 2024","FQ2 2024","Currency=USD","Period=FQ","BEST_FPERIOD_OVERRIDE=FQ","FILING_STATUS=MR","FA_ADJUSTED=GAAP","Sort=A","Dates=H","DateFormat=P","Fill=—","Direction=H","UseDPDF=Y")</f>
        <v>99.474999999999994</v>
      </c>
      <c r="Z9" s="14" t="str">
        <f>_xll.BDH("SRPT US Equity","OPER_INC_GROWTH","FQ3 2024","FQ3 2024","Currency=USD","Period=FQ","BEST_FPERIOD_OVERRIDE=FQ","FILING_STATUS=MR","FA_ADJUSTED=GAAP","Sort=A","Dates=H","DateFormat=P","Fill=—","Direction=H","UseDPDF=Y")</f>
        <v>—</v>
      </c>
      <c r="AA9" s="14">
        <f>_xll.BDH("SRPT US Equity","OPER_INC_GROWTH","FQ4 2024","FQ4 2024","Currency=USD","Period=FQ","BEST_FPERIOD_OVERRIDE=FQ","FILING_STATUS=MR","FA_ADJUSTED=GAAP","Sort=A","Dates=H","DateFormat=P","Fill=—","Direction=H","UseDPDF=Y")</f>
        <v>556.57259999999997</v>
      </c>
    </row>
    <row r="10" spans="1:27" x14ac:dyDescent="0.25">
      <c r="A10" s="10" t="s">
        <v>100</v>
      </c>
      <c r="B10" s="10" t="s">
        <v>1388</v>
      </c>
      <c r="C10" s="14">
        <f>_xll.BDH("SRPT US Equity","EARN_FOR_COM_GROWTH","FQ4 2018","FQ4 2018","Currency=USD","Period=FQ","BEST_FPERIOD_OVERRIDE=FQ","FILING_STATUS=MR","FA_ADJUSTED=GAAP","Sort=A","Dates=H","DateFormat=P","Fill=—","Direction=H","UseDPDF=Y")</f>
        <v>-487.1114</v>
      </c>
      <c r="D10" s="14">
        <f>_xll.BDH("SRPT US Equity","EARN_FOR_COM_GROWTH","FQ1 2019","FQ1 2019","Currency=USD","Period=FQ","BEST_FPERIOD_OVERRIDE=FQ","FILING_STATUS=MR","FA_ADJUSTED=GAAP","Sort=A","Dates=H","DateFormat=P","Fill=—","Direction=H","UseDPDF=Y")</f>
        <v>-116.73220000000001</v>
      </c>
      <c r="E10" s="14">
        <f>_xll.BDH("SRPT US Equity","EARN_FOR_COM_GROWTH","FQ2 2019","FQ2 2019","Currency=USD","Period=FQ","BEST_FPERIOD_OVERRIDE=FQ","FILING_STATUS=MR","FA_ADJUSTED=GAAP","Sort=A","Dates=H","DateFormat=P","Fill=—","Direction=H","UseDPDF=Y")</f>
        <v>-152.96109999999999</v>
      </c>
      <c r="F10" s="14">
        <f>_xll.BDH("SRPT US Equity","EARN_FOR_COM_GROWTH","FQ3 2019","FQ3 2019","Currency=USD","Period=FQ","BEST_FPERIOD_OVERRIDE=FQ","FILING_STATUS=MR","FA_ADJUSTED=GAAP","Sort=A","Dates=H","DateFormat=P","Fill=—","Direction=H","UseDPDF=Y")</f>
        <v>-65.363299999999995</v>
      </c>
      <c r="G10" s="14">
        <f>_xll.BDH("SRPT US Equity","EARN_FOR_COM_GROWTH","FQ4 2019","FQ4 2019","Currency=USD","Period=FQ","BEST_FPERIOD_OVERRIDE=FQ","FILING_STATUS=MR","FA_ADJUSTED=GAAP","Sort=A","Dates=H","DateFormat=P","Fill=—","Direction=H","UseDPDF=Y")</f>
        <v>-67.2898</v>
      </c>
      <c r="H10" s="14">
        <f>_xll.BDH("SRPT US Equity","EARN_FOR_COM_GROWTH","FQ1 2020","FQ1 2020","Currency=USD","Period=FQ","BEST_FPERIOD_OVERRIDE=FQ","FILING_STATUS=MR","FA_ADJUSTED=GAAP","Sort=A","Dates=H","DateFormat=P","Fill=—","Direction=H","UseDPDF=Y")</f>
        <v>77.177300000000002</v>
      </c>
      <c r="I10" s="14">
        <f>_xll.BDH("SRPT US Equity","EARN_FOR_COM_GROWTH","FQ2 2020","FQ2 2020","Currency=USD","Period=FQ","BEST_FPERIOD_OVERRIDE=FQ","FILING_STATUS=MR","FA_ADJUSTED=GAAP","Sort=A","Dates=H","DateFormat=P","Fill=—","Direction=H","UseDPDF=Y")</f>
        <v>45.434699999999999</v>
      </c>
      <c r="J10" s="14">
        <f>_xll.BDH("SRPT US Equity","EARN_FOR_COM_GROWTH","FQ3 2020","FQ3 2020","Currency=USD","Period=FQ","BEST_FPERIOD_OVERRIDE=FQ","FILING_STATUS=MR","FA_ADJUSTED=GAAP","Sort=A","Dates=H","DateFormat=P","Fill=—","Direction=H","UseDPDF=Y")</f>
        <v>-55.549100000000003</v>
      </c>
      <c r="K10" s="14">
        <f>_xll.BDH("SRPT US Equity","EARN_FOR_COM_GROWTH","FQ4 2020","FQ4 2020","Currency=USD","Period=FQ","BEST_FPERIOD_OVERRIDE=FQ","FILING_STATUS=MR","FA_ADJUSTED=GAAP","Sort=A","Dates=H","DateFormat=P","Fill=—","Direction=H","UseDPDF=Y")</f>
        <v>19.6799</v>
      </c>
      <c r="L10" s="14">
        <f>_xll.BDH("SRPT US Equity","EARN_FOR_COM_GROWTH","FQ1 2021","FQ1 2021","Currency=USD","Period=FQ","BEST_FPERIOD_OVERRIDE=FQ","FILING_STATUS=MR","FA_ADJUSTED=GAAP","Sort=A","Dates=H","DateFormat=P","Fill=—","Direction=H","UseDPDF=Y")</f>
        <v>-856.15139999999997</v>
      </c>
      <c r="M10" s="14">
        <f>_xll.BDH("SRPT US Equity","EARN_FOR_COM_GROWTH","FQ2 2021","FQ2 2021","Currency=USD","Period=FQ","BEST_FPERIOD_OVERRIDE=FQ","FILING_STATUS=MR","FA_ADJUSTED=GAAP","Sort=A","Dates=H","DateFormat=P","Fill=—","Direction=H","UseDPDF=Y")</f>
        <v>46.025100000000002</v>
      </c>
      <c r="N10" s="14">
        <f>_xll.BDH("SRPT US Equity","EARN_FOR_COM_GROWTH","FQ3 2021","FQ3 2021","Currency=USD","Period=FQ","BEST_FPERIOD_OVERRIDE=FQ","FILING_STATUS=MR","FA_ADJUSTED=GAAP","Sort=A","Dates=H","DateFormat=P","Fill=—","Direction=H","UseDPDF=Y")</f>
        <v>75.499099999999999</v>
      </c>
      <c r="O10" s="14">
        <f>_xll.BDH("SRPT US Equity","EARN_FOR_COM_GROWTH","FQ4 2021","FQ4 2021","Currency=USD","Period=FQ","BEST_FPERIOD_OVERRIDE=FQ","FILING_STATUS=MR","FA_ADJUSTED=GAAP","Sort=A","Dates=H","DateFormat=P","Fill=—","Direction=H","UseDPDF=Y")</f>
        <v>35.567900000000002</v>
      </c>
      <c r="P10" s="14">
        <f>_xll.BDH("SRPT US Equity","EARN_FOR_COM_GROWTH","FQ1 2022","FQ1 2022","Currency=USD","Period=FQ","BEST_FPERIOD_OVERRIDE=FQ","FILING_STATUS=MR","FA_ADJUSTED=GAAP","Sort=A","Dates=H","DateFormat=P","Fill=—","Direction=H","UseDPDF=Y")</f>
        <v>37.204799999999999</v>
      </c>
      <c r="Q10" s="14">
        <f>_xll.BDH("SRPT US Equity","EARN_FOR_COM_GROWTH","FQ2 2022","FQ2 2022","Currency=USD","Period=FQ","BEST_FPERIOD_OVERRIDE=FQ","FILING_STATUS=MR","FA_ADJUSTED=GAAP","Sort=A","Dates=H","DateFormat=P","Fill=—","Direction=H","UseDPDF=Y")</f>
        <v>-184.35720000000001</v>
      </c>
      <c r="R10" s="14">
        <f>_xll.BDH("SRPT US Equity","EARN_FOR_COM_GROWTH","FQ3 2022","FQ3 2022","Currency=USD","Period=FQ","BEST_FPERIOD_OVERRIDE=FQ","FILING_STATUS=MR","FA_ADJUSTED=GAAP","Sort=A","Dates=H","DateFormat=P","Fill=—","Direction=H","UseDPDF=Y")</f>
        <v>-435.34809999999999</v>
      </c>
      <c r="S10" s="14">
        <f>_xll.BDH("SRPT US Equity","EARN_FOR_COM_GROWTH","FQ4 2022","FQ4 2022","Currency=USD","Period=FQ","BEST_FPERIOD_OVERRIDE=FQ","FILING_STATUS=MR","FA_ADJUSTED=GAAP","Sort=A","Dates=H","DateFormat=P","Fill=—","Direction=H","UseDPDF=Y")</f>
        <v>10.441800000000001</v>
      </c>
      <c r="T10" s="14">
        <f>_xll.BDH("SRPT US Equity","EARN_FOR_COM_GROWTH","FQ1 2023","FQ1 2023","Currency=USD","Period=FQ","BEST_FPERIOD_OVERRIDE=FQ","FILING_STATUS=MR","FA_ADJUSTED=GAAP","Sort=A","Dates=H","DateFormat=P","Fill=—","Direction=H","UseDPDF=Y")</f>
        <v>-392.03050000000002</v>
      </c>
      <c r="U10" s="14">
        <f>_xll.BDH("SRPT US Equity","EARN_FOR_COM_GROWTH","FQ2 2023","FQ2 2023","Currency=USD","Period=FQ","BEST_FPERIOD_OVERRIDE=FQ","FILING_STATUS=MR","FA_ADJUSTED=GAAP","Sort=A","Dates=H","DateFormat=P","Fill=—","Direction=H","UseDPDF=Y")</f>
        <v>89.657899999999998</v>
      </c>
      <c r="V10" s="14">
        <f>_xll.BDH("SRPT US Equity","EARN_FOR_COM_GROWTH","FQ3 2023","FQ3 2023","Currency=USD","Period=FQ","BEST_FPERIOD_OVERRIDE=FQ","FILING_STATUS=MR","FA_ADJUSTED=GAAP","Sort=A","Dates=H","DateFormat=P","Fill=—","Direction=H","UseDPDF=Y")</f>
        <v>84.116799999999998</v>
      </c>
      <c r="W10" s="14" t="str">
        <f>_xll.BDH("SRPT US Equity","EARN_FOR_COM_GROWTH","FQ4 2023","FQ4 2023","Currency=USD","Period=FQ","BEST_FPERIOD_OVERRIDE=FQ","FILING_STATUS=MR","FA_ADJUSTED=GAAP","Sort=A","Dates=H","DateFormat=P","Fill=—","Direction=H","UseDPDF=Y")</f>
        <v>—</v>
      </c>
      <c r="X10" s="14" t="str">
        <f>_xll.BDH("SRPT US Equity","EARN_FOR_COM_GROWTH","FQ1 2024","FQ1 2024","Currency=USD","Period=FQ","BEST_FPERIOD_OVERRIDE=FQ","FILING_STATUS=MR","FA_ADJUSTED=GAAP","Sort=A","Dates=H","DateFormat=P","Fill=—","Direction=H","UseDPDF=Y")</f>
        <v>—</v>
      </c>
      <c r="Y10" s="14" t="str">
        <f>_xll.BDH("SRPT US Equity","EARN_FOR_COM_GROWTH","FQ2 2024","FQ2 2024","Currency=USD","Period=FQ","BEST_FPERIOD_OVERRIDE=FQ","FILING_STATUS=MR","FA_ADJUSTED=GAAP","Sort=A","Dates=H","DateFormat=P","Fill=—","Direction=H","UseDPDF=Y")</f>
        <v>—</v>
      </c>
      <c r="Z10" s="14" t="str">
        <f>_xll.BDH("SRPT US Equity","EARN_FOR_COM_GROWTH","FQ3 2024","FQ3 2024","Currency=USD","Period=FQ","BEST_FPERIOD_OVERRIDE=FQ","FILING_STATUS=MR","FA_ADJUSTED=GAAP","Sort=A","Dates=H","DateFormat=P","Fill=—","Direction=H","UseDPDF=Y")</f>
        <v>—</v>
      </c>
      <c r="AA10" s="14">
        <f>_xll.BDH("SRPT US Equity","EARN_FOR_COM_GROWTH","FQ4 2024","FQ4 2024","Currency=USD","Period=FQ","BEST_FPERIOD_OVERRIDE=FQ","FILING_STATUS=MR","FA_ADJUSTED=GAAP","Sort=A","Dates=H","DateFormat=P","Fill=—","Direction=H","UseDPDF=Y")</f>
        <v>248.3715</v>
      </c>
    </row>
    <row r="11" spans="1:27" x14ac:dyDescent="0.25">
      <c r="A11" s="10" t="s">
        <v>1389</v>
      </c>
      <c r="B11" s="10" t="s">
        <v>83</v>
      </c>
      <c r="C11" s="14">
        <f>_xll.BDH("SRPT US Equity","DILUTED_EPS_AFT_XO_ITEMS_GROWTH","FQ4 2018","FQ4 2018","Currency=USD","Period=FQ","BEST_FPERIOD_OVERRIDE=FQ","FILING_STATUS=MR","FA_ADJUSTED=GAAP","Sort=A","Dates=H","DateFormat=P","Fill=—","Direction=H","UseDPDF=Y")</f>
        <v>-454.05410000000001</v>
      </c>
      <c r="D11" s="14">
        <f>_xll.BDH("SRPT US Equity","DILUTED_EPS_AFT_XO_ITEMS_GROWTH","FQ1 2019","FQ1 2019","Currency=USD","Period=FQ","BEST_FPERIOD_OVERRIDE=FQ","FILING_STATUS=MR","FA_ADJUSTED=GAAP","Sort=A","Dates=H","DateFormat=P","Fill=—","Direction=H","UseDPDF=Y")</f>
        <v>-94.545500000000004</v>
      </c>
      <c r="E11" s="14">
        <f>_xll.BDH("SRPT US Equity","DILUTED_EPS_AFT_XO_ITEMS_GROWTH","FQ2 2019","FQ2 2019","Currency=USD","Period=FQ","BEST_FPERIOD_OVERRIDE=FQ","FILING_STATUS=MR","FA_ADJUSTED=GAAP","Sort=A","Dates=H","DateFormat=P","Fill=—","Direction=H","UseDPDF=Y")</f>
        <v>-123.9521</v>
      </c>
      <c r="F11" s="14">
        <f>_xll.BDH("SRPT US Equity","DILUTED_EPS_AFT_XO_ITEMS_GROWTH","FQ3 2019","FQ3 2019","Currency=USD","Period=FQ","BEST_FPERIOD_OVERRIDE=FQ","FILING_STATUS=MR","FA_ADJUSTED=GAAP","Sort=A","Dates=H","DateFormat=P","Fill=—","Direction=H","UseDPDF=Y")</f>
        <v>-47.826099999999997</v>
      </c>
      <c r="G11" s="14">
        <f>_xll.BDH("SRPT US Equity","DILUTED_EPS_AFT_XO_ITEMS_GROWTH","FQ4 2019","FQ4 2019","Currency=USD","Period=FQ","BEST_FPERIOD_OVERRIDE=FQ","FILING_STATUS=MR","FA_ADJUSTED=GAAP","Sort=A","Dates=H","DateFormat=P","Fill=—","Direction=H","UseDPDF=Y")</f>
        <v>-54.146299999999997</v>
      </c>
      <c r="H11" s="14">
        <f>_xll.BDH("SRPT US Equity","DILUTED_EPS_AFT_XO_ITEMS_GROWTH","FQ1 2020","FQ1 2020","Currency=USD","Period=FQ","BEST_FPERIOD_OVERRIDE=FQ","FILING_STATUS=MR","FA_ADJUSTED=GAAP","Sort=A","Dates=H","DateFormat=P","Fill=—","Direction=H","UseDPDF=Y")</f>
        <v>78.5047</v>
      </c>
      <c r="I11" s="14">
        <f>_xll.BDH("SRPT US Equity","DILUTED_EPS_AFT_XO_ITEMS_GROWTH","FQ2 2020","FQ2 2020","Currency=USD","Period=FQ","BEST_FPERIOD_OVERRIDE=FQ","FILING_STATUS=MR","FA_ADJUSTED=GAAP","Sort=A","Dates=H","DateFormat=P","Fill=—","Direction=H","UseDPDF=Y")</f>
        <v>48.395699999999998</v>
      </c>
      <c r="J11" s="14">
        <f>_xll.BDH("SRPT US Equity","DILUTED_EPS_AFT_XO_ITEMS_GROWTH","FQ3 2020","FQ3 2020","Currency=USD","Period=FQ","BEST_FPERIOD_OVERRIDE=FQ","FILING_STATUS=MR","FA_ADJUSTED=GAAP","Sort=A","Dates=H","DateFormat=P","Fill=—","Direction=H","UseDPDF=Y")</f>
        <v>-47.058799999999998</v>
      </c>
      <c r="K11" s="14">
        <f>_xll.BDH("SRPT US Equity","DILUTED_EPS_AFT_XO_ITEMS_GROWTH","FQ4 2020","FQ4 2020","Currency=USD","Period=FQ","BEST_FPERIOD_OVERRIDE=FQ","FILING_STATUS=MR","FA_ADJUSTED=GAAP","Sort=A","Dates=H","DateFormat=P","Fill=—","Direction=H","UseDPDF=Y")</f>
        <v>24.050599999999999</v>
      </c>
      <c r="L11" s="14">
        <f>_xll.BDH("SRPT US Equity","DILUTED_EPS_AFT_XO_ITEMS_GROWTH","FQ1 2021","FQ1 2021","Currency=USD","Period=FQ","BEST_FPERIOD_OVERRIDE=FQ","FILING_STATUS=MR","FA_ADJUSTED=GAAP","Sort=A","Dates=H","DateFormat=P","Fill=—","Direction=H","UseDPDF=Y")</f>
        <v>-813.04349999999999</v>
      </c>
      <c r="M11" s="14">
        <f>_xll.BDH("SRPT US Equity","DILUTED_EPS_AFT_XO_ITEMS_GROWTH","FQ2 2021","FQ2 2021","Currency=USD","Period=FQ","BEST_FPERIOD_OVERRIDE=FQ","FILING_STATUS=MR","FA_ADJUSTED=GAAP","Sort=A","Dates=H","DateFormat=P","Fill=—","Direction=H","UseDPDF=Y")</f>
        <v>47.150300000000001</v>
      </c>
      <c r="N11" s="14">
        <f>_xll.BDH("SRPT US Equity","DILUTED_EPS_AFT_XO_ITEMS_GROWTH","FQ3 2021","FQ3 2021","Currency=USD","Period=FQ","BEST_FPERIOD_OVERRIDE=FQ","FILING_STATUS=MR","FA_ADJUSTED=GAAP","Sort=A","Dates=H","DateFormat=P","Fill=—","Direction=H","UseDPDF=Y")</f>
        <v>76</v>
      </c>
      <c r="O11" s="14">
        <f>_xll.BDH("SRPT US Equity","DILUTED_EPS_AFT_XO_ITEMS_GROWTH","FQ4 2021","FQ4 2021","Currency=USD","Period=FQ","BEST_FPERIOD_OVERRIDE=FQ","FILING_STATUS=MR","FA_ADJUSTED=GAAP","Sort=A","Dates=H","DateFormat=P","Fill=—","Direction=H","UseDPDF=Y")</f>
        <v>40.833300000000001</v>
      </c>
      <c r="P11" s="14">
        <f>_xll.BDH("SRPT US Equity","DILUTED_EPS_AFT_XO_ITEMS_GROWTH","FQ1 2022","FQ1 2022","Currency=USD","Period=FQ","BEST_FPERIOD_OVERRIDE=FQ","FILING_STATUS=MR","FA_ADJUSTED=GAAP","Sort=A","Dates=H","DateFormat=P","Fill=—","Direction=H","UseDPDF=Y")</f>
        <v>42.857100000000003</v>
      </c>
      <c r="Q11" s="14">
        <f>_xll.BDH("SRPT US Equity","DILUTED_EPS_AFT_XO_ITEMS_GROWTH","FQ2 2022","FQ2 2022","Currency=USD","Period=FQ","BEST_FPERIOD_OVERRIDE=FQ","FILING_STATUS=MR","FA_ADJUSTED=GAAP","Sort=A","Dates=H","DateFormat=P","Fill=—","Direction=H","UseDPDF=Y")</f>
        <v>-159.8039</v>
      </c>
      <c r="R11" s="14">
        <f>_xll.BDH("SRPT US Equity","DILUTED_EPS_AFT_XO_ITEMS_GROWTH","FQ3 2022","FQ3 2022","Currency=USD","Period=FQ","BEST_FPERIOD_OVERRIDE=FQ","FILING_STATUS=MR","FA_ADJUSTED=GAAP","Sort=A","Dates=H","DateFormat=P","Fill=—","Direction=H","UseDPDF=Y")</f>
        <v>-390</v>
      </c>
      <c r="S11" s="14">
        <f>_xll.BDH("SRPT US Equity","DILUTED_EPS_AFT_XO_ITEMS_GROWTH","FQ4 2022","FQ4 2022","Currency=USD","Period=FQ","BEST_FPERIOD_OVERRIDE=FQ","FILING_STATUS=MR","FA_ADJUSTED=GAAP","Sort=A","Dates=H","DateFormat=P","Fill=—","Direction=H","UseDPDF=Y")</f>
        <v>12.6761</v>
      </c>
      <c r="T11" s="14">
        <f>_xll.BDH("SRPT US Equity","DILUTED_EPS_AFT_XO_ITEMS_GROWTH","FQ1 2023","FQ1 2023","Currency=USD","Period=FQ","BEST_FPERIOD_OVERRIDE=FQ","FILING_STATUS=MR","FA_ADJUSTED=GAAP","Sort=A","Dates=H","DateFormat=P","Fill=—","Direction=H","UseDPDF=Y")</f>
        <v>-388.33330000000001</v>
      </c>
      <c r="U11" s="14">
        <f>_xll.BDH("SRPT US Equity","DILUTED_EPS_AFT_XO_ITEMS_GROWTH","FQ2 2023","FQ2 2023","Currency=USD","Period=FQ","BEST_FPERIOD_OVERRIDE=FQ","FILING_STATUS=MR","FA_ADJUSTED=GAAP","Sort=A","Dates=H","DateFormat=P","Fill=—","Direction=H","UseDPDF=Y")</f>
        <v>89.811300000000003</v>
      </c>
      <c r="V11" s="14">
        <f>_xll.BDH("SRPT US Equity","DILUTED_EPS_AFT_XO_ITEMS_GROWTH","FQ3 2023","FQ3 2023","Currency=USD","Period=FQ","BEST_FPERIOD_OVERRIDE=FQ","FILING_STATUS=MR","FA_ADJUSTED=GAAP","Sort=A","Dates=H","DateFormat=P","Fill=—","Direction=H","UseDPDF=Y")</f>
        <v>84.353700000000003</v>
      </c>
      <c r="W11" s="14" t="str">
        <f>_xll.BDH("SRPT US Equity","DILUTED_EPS_AFT_XO_ITEMS_GROWTH","FQ4 2023","FQ4 2023","Currency=USD","Period=FQ","BEST_FPERIOD_OVERRIDE=FQ","FILING_STATUS=MR","FA_ADJUSTED=GAAP","Sort=A","Dates=H","DateFormat=P","Fill=—","Direction=H","UseDPDF=Y")</f>
        <v>—</v>
      </c>
      <c r="X11" s="14" t="str">
        <f>_xll.BDH("SRPT US Equity","DILUTED_EPS_AFT_XO_ITEMS_GROWTH","FQ1 2024","FQ1 2024","Currency=USD","Period=FQ","BEST_FPERIOD_OVERRIDE=FQ","FILING_STATUS=MR","FA_ADJUSTED=GAAP","Sort=A","Dates=H","DateFormat=P","Fill=—","Direction=H","UseDPDF=Y")</f>
        <v>—</v>
      </c>
      <c r="Y11" s="14" t="str">
        <f>_xll.BDH("SRPT US Equity","DILUTED_EPS_AFT_XO_ITEMS_GROWTH","FQ2 2024","FQ2 2024","Currency=USD","Period=FQ","BEST_FPERIOD_OVERRIDE=FQ","FILING_STATUS=MR","FA_ADJUSTED=GAAP","Sort=A","Dates=H","DateFormat=P","Fill=—","Direction=H","UseDPDF=Y")</f>
        <v>—</v>
      </c>
      <c r="Z11" s="14" t="str">
        <f>_xll.BDH("SRPT US Equity","DILUTED_EPS_AFT_XO_ITEMS_GROWTH","FQ3 2024","FQ3 2024","Currency=USD","Period=FQ","BEST_FPERIOD_OVERRIDE=FQ","FILING_STATUS=MR","FA_ADJUSTED=GAAP","Sort=A","Dates=H","DateFormat=P","Fill=—","Direction=H","UseDPDF=Y")</f>
        <v>—</v>
      </c>
      <c r="AA11" s="14">
        <f>_xll.BDH("SRPT US Equity","DILUTED_EPS_AFT_XO_ITEMS_GROWTH","FQ4 2024","FQ4 2024","Currency=USD","Period=FQ","BEST_FPERIOD_OVERRIDE=FQ","FILING_STATUS=MR","FA_ADJUSTED=GAAP","Sort=A","Dates=H","DateFormat=P","Fill=—","Direction=H","UseDPDF=Y")</f>
        <v>219.1489</v>
      </c>
    </row>
    <row r="12" spans="1:27" x14ac:dyDescent="0.25">
      <c r="A12" s="10" t="s">
        <v>1390</v>
      </c>
      <c r="B12" s="10" t="s">
        <v>1391</v>
      </c>
      <c r="C12" s="14">
        <f>_xll.BDH("SRPT US Equity","DILUTED_EPS_BEF_XO_ITEMS_GROWTH","FQ4 2018","FQ4 2018","Currency=USD","Period=FQ","BEST_FPERIOD_OVERRIDE=FQ","FILING_STATUS=MR","Sort=A","Dates=H","DateFormat=P","Fill=—","Direction=H","UseDPDF=Y")</f>
        <v>-454.05410000000001</v>
      </c>
      <c r="D12" s="14">
        <f>_xll.BDH("SRPT US Equity","DILUTED_EPS_BEF_XO_ITEMS_GROWTH","FQ1 2019","FQ1 2019","Currency=USD","Period=FQ","BEST_FPERIOD_OVERRIDE=FQ","FILING_STATUS=MR","Sort=A","Dates=H","DateFormat=P","Fill=—","Direction=H","UseDPDF=Y")</f>
        <v>-94.545500000000004</v>
      </c>
      <c r="E12" s="14">
        <f>_xll.BDH("SRPT US Equity","DILUTED_EPS_BEF_XO_ITEMS_GROWTH","FQ2 2019","FQ2 2019","Currency=USD","Period=FQ","BEST_FPERIOD_OVERRIDE=FQ","FILING_STATUS=MR","Sort=A","Dates=H","DateFormat=P","Fill=—","Direction=H","UseDPDF=Y")</f>
        <v>-123.9521</v>
      </c>
      <c r="F12" s="14">
        <f>_xll.BDH("SRPT US Equity","DILUTED_EPS_BEF_XO_ITEMS_GROWTH","FQ3 2019","FQ3 2019","Currency=USD","Period=FQ","BEST_FPERIOD_OVERRIDE=FQ","FILING_STATUS=MR","Sort=A","Dates=H","DateFormat=P","Fill=—","Direction=H","UseDPDF=Y")</f>
        <v>-47.826099999999997</v>
      </c>
      <c r="G12" s="14">
        <f>_xll.BDH("SRPT US Equity","DILUTED_EPS_BEF_XO_ITEMS_GROWTH","FQ4 2019","FQ4 2019","Currency=USD","Period=FQ","BEST_FPERIOD_OVERRIDE=FQ","FILING_STATUS=MR","Sort=A","Dates=H","DateFormat=P","Fill=—","Direction=H","UseDPDF=Y")</f>
        <v>-54.146299999999997</v>
      </c>
      <c r="H12" s="14">
        <f>_xll.BDH("SRPT US Equity","DILUTED_EPS_BEF_XO_ITEMS_GROWTH","FQ1 2020","FQ1 2020","Currency=USD","Period=FQ","BEST_FPERIOD_OVERRIDE=FQ","FILING_STATUS=MR","Sort=A","Dates=H","DateFormat=P","Fill=—","Direction=H","UseDPDF=Y")</f>
        <v>78.5047</v>
      </c>
      <c r="I12" s="14">
        <f>_xll.BDH("SRPT US Equity","DILUTED_EPS_BEF_XO_ITEMS_GROWTH","FQ2 2020","FQ2 2020","Currency=USD","Period=FQ","BEST_FPERIOD_OVERRIDE=FQ","FILING_STATUS=MR","Sort=A","Dates=H","DateFormat=P","Fill=—","Direction=H","UseDPDF=Y")</f>
        <v>48.395699999999998</v>
      </c>
      <c r="J12" s="14">
        <f>_xll.BDH("SRPT US Equity","DILUTED_EPS_BEF_XO_ITEMS_GROWTH","FQ3 2020","FQ3 2020","Currency=USD","Period=FQ","BEST_FPERIOD_OVERRIDE=FQ","FILING_STATUS=MR","Sort=A","Dates=H","DateFormat=P","Fill=—","Direction=H","UseDPDF=Y")</f>
        <v>-47.058799999999998</v>
      </c>
      <c r="K12" s="14">
        <f>_xll.BDH("SRPT US Equity","DILUTED_EPS_BEF_XO_ITEMS_GROWTH","FQ4 2020","FQ4 2020","Currency=USD","Period=FQ","BEST_FPERIOD_OVERRIDE=FQ","FILING_STATUS=MR","Sort=A","Dates=H","DateFormat=P","Fill=—","Direction=H","UseDPDF=Y")</f>
        <v>24.050599999999999</v>
      </c>
      <c r="L12" s="14">
        <f>_xll.BDH("SRPT US Equity","DILUTED_EPS_BEF_XO_ITEMS_GROWTH","FQ1 2021","FQ1 2021","Currency=USD","Period=FQ","BEST_FPERIOD_OVERRIDE=FQ","FILING_STATUS=MR","Sort=A","Dates=H","DateFormat=P","Fill=—","Direction=H","UseDPDF=Y")</f>
        <v>-813.04349999999999</v>
      </c>
      <c r="M12" s="14">
        <f>_xll.BDH("SRPT US Equity","DILUTED_EPS_BEF_XO_ITEMS_GROWTH","FQ2 2021","FQ2 2021","Currency=USD","Period=FQ","BEST_FPERIOD_OVERRIDE=FQ","FILING_STATUS=MR","Sort=A","Dates=H","DateFormat=P","Fill=—","Direction=H","UseDPDF=Y")</f>
        <v>47.150300000000001</v>
      </c>
      <c r="N12" s="14">
        <f>_xll.BDH("SRPT US Equity","DILUTED_EPS_BEF_XO_ITEMS_GROWTH","FQ3 2021","FQ3 2021","Currency=USD","Period=FQ","BEST_FPERIOD_OVERRIDE=FQ","FILING_STATUS=MR","Sort=A","Dates=H","DateFormat=P","Fill=—","Direction=H","UseDPDF=Y")</f>
        <v>76</v>
      </c>
      <c r="O12" s="14">
        <f>_xll.BDH("SRPT US Equity","DILUTED_EPS_BEF_XO_ITEMS_GROWTH","FQ4 2021","FQ4 2021","Currency=USD","Period=FQ","BEST_FPERIOD_OVERRIDE=FQ","FILING_STATUS=MR","Sort=A","Dates=H","DateFormat=P","Fill=—","Direction=H","UseDPDF=Y")</f>
        <v>40.833300000000001</v>
      </c>
      <c r="P12" s="14">
        <f>_xll.BDH("SRPT US Equity","DILUTED_EPS_BEF_XO_ITEMS_GROWTH","FQ1 2022","FQ1 2022","Currency=USD","Period=FQ","BEST_FPERIOD_OVERRIDE=FQ","FILING_STATUS=MR","Sort=A","Dates=H","DateFormat=P","Fill=—","Direction=H","UseDPDF=Y")</f>
        <v>42.857100000000003</v>
      </c>
      <c r="Q12" s="14">
        <f>_xll.BDH("SRPT US Equity","DILUTED_EPS_BEF_XO_ITEMS_GROWTH","FQ2 2022","FQ2 2022","Currency=USD","Period=FQ","BEST_FPERIOD_OVERRIDE=FQ","FILING_STATUS=MR","Sort=A","Dates=H","DateFormat=P","Fill=—","Direction=H","UseDPDF=Y")</f>
        <v>-159.8039</v>
      </c>
      <c r="R12" s="14">
        <f>_xll.BDH("SRPT US Equity","DILUTED_EPS_BEF_XO_ITEMS_GROWTH","FQ3 2022","FQ3 2022","Currency=USD","Period=FQ","BEST_FPERIOD_OVERRIDE=FQ","FILING_STATUS=MR","Sort=A","Dates=H","DateFormat=P","Fill=—","Direction=H","UseDPDF=Y")</f>
        <v>-390</v>
      </c>
      <c r="S12" s="14">
        <f>_xll.BDH("SRPT US Equity","DILUTED_EPS_BEF_XO_ITEMS_GROWTH","FQ4 2022","FQ4 2022","Currency=USD","Period=FQ","BEST_FPERIOD_OVERRIDE=FQ","FILING_STATUS=MR","Sort=A","Dates=H","DateFormat=P","Fill=—","Direction=H","UseDPDF=Y")</f>
        <v>12.6761</v>
      </c>
      <c r="T12" s="14">
        <f>_xll.BDH("SRPT US Equity","DILUTED_EPS_BEF_XO_ITEMS_GROWTH","FQ1 2023","FQ1 2023","Currency=USD","Period=FQ","BEST_FPERIOD_OVERRIDE=FQ","FILING_STATUS=MR","Sort=A","Dates=H","DateFormat=P","Fill=—","Direction=H","UseDPDF=Y")</f>
        <v>-388.33330000000001</v>
      </c>
      <c r="U12" s="14">
        <f>_xll.BDH("SRPT US Equity","DILUTED_EPS_BEF_XO_ITEMS_GROWTH","FQ2 2023","FQ2 2023","Currency=USD","Period=FQ","BEST_FPERIOD_OVERRIDE=FQ","FILING_STATUS=MR","Sort=A","Dates=H","DateFormat=P","Fill=—","Direction=H","UseDPDF=Y")</f>
        <v>89.811300000000003</v>
      </c>
      <c r="V12" s="14">
        <f>_xll.BDH("SRPT US Equity","DILUTED_EPS_BEF_XO_ITEMS_GROWTH","FQ3 2023","FQ3 2023","Currency=USD","Period=FQ","BEST_FPERIOD_OVERRIDE=FQ","FILING_STATUS=MR","Sort=A","Dates=H","DateFormat=P","Fill=—","Direction=H","UseDPDF=Y")</f>
        <v>84.353700000000003</v>
      </c>
      <c r="W12" s="14" t="str">
        <f>_xll.BDH("SRPT US Equity","DILUTED_EPS_BEF_XO_ITEMS_GROWTH","FQ4 2023","FQ4 2023","Currency=USD","Period=FQ","BEST_FPERIOD_OVERRIDE=FQ","FILING_STATUS=MR","Sort=A","Dates=H","DateFormat=P","Fill=—","Direction=H","UseDPDF=Y")</f>
        <v>—</v>
      </c>
      <c r="X12" s="14" t="str">
        <f>_xll.BDH("SRPT US Equity","DILUTED_EPS_BEF_XO_ITEMS_GROWTH","FQ1 2024","FQ1 2024","Currency=USD","Period=FQ","BEST_FPERIOD_OVERRIDE=FQ","FILING_STATUS=MR","Sort=A","Dates=H","DateFormat=P","Fill=—","Direction=H","UseDPDF=Y")</f>
        <v>—</v>
      </c>
      <c r="Y12" s="14" t="str">
        <f>_xll.BDH("SRPT US Equity","DILUTED_EPS_BEF_XO_ITEMS_GROWTH","FQ2 2024","FQ2 2024","Currency=USD","Period=FQ","BEST_FPERIOD_OVERRIDE=FQ","FILING_STATUS=MR","Sort=A","Dates=H","DateFormat=P","Fill=—","Direction=H","UseDPDF=Y")</f>
        <v>—</v>
      </c>
      <c r="Z12" s="14" t="str">
        <f>_xll.BDH("SRPT US Equity","DILUTED_EPS_BEF_XO_ITEMS_GROWTH","FQ3 2024","FQ3 2024","Currency=USD","Period=FQ","BEST_FPERIOD_OVERRIDE=FQ","FILING_STATUS=MR","Sort=A","Dates=H","DateFormat=P","Fill=—","Direction=H","UseDPDF=Y")</f>
        <v>—</v>
      </c>
      <c r="AA12" s="14">
        <f>_xll.BDH("SRPT US Equity","DILUTED_EPS_BEF_XO_ITEMS_GROWTH","FQ4 2024","FQ4 2024","Currency=USD","Period=FQ","BEST_FPERIOD_OVERRIDE=FQ","FILING_STATUS=MR","Sort=A","Dates=H","DateFormat=P","Fill=—","Direction=H","UseDPDF=Y")</f>
        <v>219.1489</v>
      </c>
    </row>
    <row r="13" spans="1:27" x14ac:dyDescent="0.25">
      <c r="A13" s="10" t="s">
        <v>1392</v>
      </c>
      <c r="B13" s="10" t="s">
        <v>1393</v>
      </c>
      <c r="C13" s="14">
        <f>_xll.BDH("SRPT US Equity","RR_DIL_EPS_CONT_OPS_GROWTH","FQ4 2018","FQ4 2018","Currency=USD","Period=FQ","BEST_FPERIOD_OVERRIDE=FQ","FILING_STATUS=MR","Sort=A","Dates=H","DateFormat=P","Fill=—","Direction=H","UseDPDF=Y")</f>
        <v>-442.2998</v>
      </c>
      <c r="D13" s="14">
        <f>_xll.BDH("SRPT US Equity","RR_DIL_EPS_CONT_OPS_GROWTH","FQ1 2019","FQ1 2019","Currency=USD","Period=FQ","BEST_FPERIOD_OVERRIDE=FQ","FILING_STATUS=MR","Sort=A","Dates=H","DateFormat=P","Fill=—","Direction=H","UseDPDF=Y")</f>
        <v>-92.165199999999999</v>
      </c>
      <c r="E13" s="14">
        <f>_xll.BDH("SRPT US Equity","RR_DIL_EPS_CONT_OPS_GROWTH","FQ2 2019","FQ2 2019","Currency=USD","Period=FQ","BEST_FPERIOD_OVERRIDE=FQ","FILING_STATUS=MR","Sort=A","Dates=H","DateFormat=P","Fill=—","Direction=H","UseDPDF=Y")</f>
        <v>-22.729600000000001</v>
      </c>
      <c r="F13" s="14">
        <f>_xll.BDH("SRPT US Equity","RR_DIL_EPS_CONT_OPS_GROWTH","FQ3 2019","FQ3 2019","Currency=USD","Period=FQ","BEST_FPERIOD_OVERRIDE=FQ","FILING_STATUS=MR","Sort=A","Dates=H","DateFormat=P","Fill=—","Direction=H","UseDPDF=Y")</f>
        <v>-83.381</v>
      </c>
      <c r="G13" s="14">
        <f>_xll.BDH("SRPT US Equity","RR_DIL_EPS_CONT_OPS_GROWTH","FQ4 2019","FQ4 2019","Currency=USD","Period=FQ","BEST_FPERIOD_OVERRIDE=FQ","FILING_STATUS=MR","Sort=A","Dates=H","DateFormat=P","Fill=—","Direction=H","UseDPDF=Y")</f>
        <v>-12.6806</v>
      </c>
      <c r="H13" s="14">
        <f>_xll.BDH("SRPT US Equity","RR_DIL_EPS_CONT_OPS_GROWTH","FQ1 2020","FQ1 2020","Currency=USD","Period=FQ","BEST_FPERIOD_OVERRIDE=FQ","FILING_STATUS=MR","Sort=A","Dates=H","DateFormat=P","Fill=—","Direction=H","UseDPDF=Y")</f>
        <v>-41.372900000000001</v>
      </c>
      <c r="I13" s="14">
        <f>_xll.BDH("SRPT US Equity","RR_DIL_EPS_CONT_OPS_GROWTH","FQ2 2020","FQ2 2020","Currency=USD","Period=FQ","BEST_FPERIOD_OVERRIDE=FQ","FILING_STATUS=MR","Sort=A","Dates=H","DateFormat=P","Fill=—","Direction=H","UseDPDF=Y")</f>
        <v>-61.679900000000004</v>
      </c>
      <c r="J13" s="14">
        <f>_xll.BDH("SRPT US Equity","RR_DIL_EPS_CONT_OPS_GROWTH","FQ3 2020","FQ3 2020","Currency=USD","Period=FQ","BEST_FPERIOD_OVERRIDE=FQ","FILING_STATUS=MR","Sort=A","Dates=H","DateFormat=P","Fill=—","Direction=H","UseDPDF=Y")</f>
        <v>-20.453700000000001</v>
      </c>
      <c r="K13" s="14">
        <f>_xll.BDH("SRPT US Equity","RR_DIL_EPS_CONT_OPS_GROWTH","FQ4 2020","FQ4 2020","Currency=USD","Period=FQ","BEST_FPERIOD_OVERRIDE=FQ","FILING_STATUS=MR","Sort=A","Dates=H","DateFormat=P","Fill=—","Direction=H","UseDPDF=Y")</f>
        <v>-1.369</v>
      </c>
      <c r="L13" s="14">
        <f>_xll.BDH("SRPT US Equity","RR_DIL_EPS_CONT_OPS_GROWTH","FQ1 2021","FQ1 2021","Currency=USD","Period=FQ","BEST_FPERIOD_OVERRIDE=FQ","FILING_STATUS=MR","Sort=A","Dates=H","DateFormat=P","Fill=—","Direction=H","UseDPDF=Y")</f>
        <v>-29.152799999999999</v>
      </c>
      <c r="M13" s="14">
        <f>_xll.BDH("SRPT US Equity","RR_DIL_EPS_CONT_OPS_GROWTH","FQ2 2021","FQ2 2021","Currency=USD","Period=FQ","BEST_FPERIOD_OVERRIDE=FQ","FILING_STATUS=MR","Sort=A","Dates=H","DateFormat=P","Fill=—","Direction=H","UseDPDF=Y")</f>
        <v>1.4176</v>
      </c>
      <c r="N13" s="14">
        <f>_xll.BDH("SRPT US Equity","RR_DIL_EPS_CONT_OPS_GROWTH","FQ3 2021","FQ3 2021","Currency=USD","Period=FQ","BEST_FPERIOD_OVERRIDE=FQ","FILING_STATUS=MR","Sort=A","Dates=H","DateFormat=P","Fill=—","Direction=H","UseDPDF=Y")</f>
        <v>70.545900000000003</v>
      </c>
      <c r="O13" s="14">
        <f>_xll.BDH("SRPT US Equity","RR_DIL_EPS_CONT_OPS_GROWTH","FQ4 2021","FQ4 2021","Currency=USD","Period=FQ","BEST_FPERIOD_OVERRIDE=FQ","FILING_STATUS=MR","Sort=A","Dates=H","DateFormat=P","Fill=—","Direction=H","UseDPDF=Y")</f>
        <v>38.090000000000003</v>
      </c>
      <c r="P13" s="14">
        <f>_xll.BDH("SRPT US Equity","RR_DIL_EPS_CONT_OPS_GROWTH","FQ1 2022","FQ1 2022","Currency=USD","Period=FQ","BEST_FPERIOD_OVERRIDE=FQ","FILING_STATUS=MR","Sort=A","Dates=H","DateFormat=P","Fill=—","Direction=H","UseDPDF=Y")</f>
        <v>37.802900000000001</v>
      </c>
      <c r="Q13" s="14">
        <f>_xll.BDH("SRPT US Equity","RR_DIL_EPS_CONT_OPS_GROWTH","FQ2 2022","FQ2 2022","Currency=USD","Period=FQ","BEST_FPERIOD_OVERRIDE=FQ","FILING_STATUS=MR","Sort=A","Dates=H","DateFormat=P","Fill=—","Direction=H","UseDPDF=Y")</f>
        <v>-39.280099999999997</v>
      </c>
      <c r="R13" s="14">
        <f>_xll.BDH("SRPT US Equity","RR_DIL_EPS_CONT_OPS_GROWTH","FQ3 2022","FQ3 2022","Currency=USD","Period=FQ","BEST_FPERIOD_OVERRIDE=FQ","FILING_STATUS=MR","Sort=A","Dates=H","DateFormat=P","Fill=—","Direction=H","UseDPDF=Y")</f>
        <v>-235.07409999999999</v>
      </c>
      <c r="S13" s="14">
        <f>_xll.BDH("SRPT US Equity","RR_DIL_EPS_CONT_OPS_GROWTH","FQ4 2022","FQ4 2022","Currency=USD","Period=FQ","BEST_FPERIOD_OVERRIDE=FQ","FILING_STATUS=MR","Sort=A","Dates=H","DateFormat=P","Fill=—","Direction=H","UseDPDF=Y")</f>
        <v>14.0465</v>
      </c>
      <c r="T13" s="14">
        <f>_xll.BDH("SRPT US Equity","RR_DIL_EPS_CONT_OPS_GROWTH","FQ1 2023","FQ1 2023","Currency=USD","Period=FQ","BEST_FPERIOD_OVERRIDE=FQ","FILING_STATUS=MR","Sort=A","Dates=H","DateFormat=P","Fill=—","Direction=H","UseDPDF=Y")</f>
        <v>-99.181299999999993</v>
      </c>
      <c r="U13" s="14">
        <f>_xll.BDH("SRPT US Equity","RR_DIL_EPS_CONT_OPS_GROWTH","FQ2 2023","FQ2 2023","Currency=USD","Period=FQ","BEST_FPERIOD_OVERRIDE=FQ","FILING_STATUS=MR","Sort=A","Dates=H","DateFormat=P","Fill=—","Direction=H","UseDPDF=Y")</f>
        <v>55.277799999999999</v>
      </c>
      <c r="V13" s="14">
        <f>_xll.BDH("SRPT US Equity","RR_DIL_EPS_CONT_OPS_GROWTH","FQ3 2023","FQ3 2023","Currency=USD","Period=FQ","BEST_FPERIOD_OVERRIDE=FQ","FILING_STATUS=MR","Sort=A","Dates=H","DateFormat=P","Fill=—","Direction=H","UseDPDF=Y")</f>
        <v>76.332499999999996</v>
      </c>
      <c r="W13" s="14" t="str">
        <f>_xll.BDH("SRPT US Equity","RR_DIL_EPS_CONT_OPS_GROWTH","FQ4 2023","FQ4 2023","Currency=USD","Period=FQ","BEST_FPERIOD_OVERRIDE=FQ","FILING_STATUS=MR","Sort=A","Dates=H","DateFormat=P","Fill=—","Direction=H","UseDPDF=Y")</f>
        <v>—</v>
      </c>
      <c r="X13" s="14" t="str">
        <f>_xll.BDH("SRPT US Equity","RR_DIL_EPS_CONT_OPS_GROWTH","FQ1 2024","FQ1 2024","Currency=USD","Period=FQ","BEST_FPERIOD_OVERRIDE=FQ","FILING_STATUS=MR","Sort=A","Dates=H","DateFormat=P","Fill=—","Direction=H","UseDPDF=Y")</f>
        <v>—</v>
      </c>
      <c r="Y13" s="14" t="str">
        <f>_xll.BDH("SRPT US Equity","RR_DIL_EPS_CONT_OPS_GROWTH","FQ2 2024","FQ2 2024","Currency=USD","Period=FQ","BEST_FPERIOD_OVERRIDE=FQ","FILING_STATUS=MR","Sort=A","Dates=H","DateFormat=P","Fill=—","Direction=H","UseDPDF=Y")</f>
        <v>—</v>
      </c>
      <c r="Z13" s="14" t="str">
        <f>_xll.BDH("SRPT US Equity","RR_DIL_EPS_CONT_OPS_GROWTH","FQ3 2024","FQ3 2024","Currency=USD","Period=FQ","BEST_FPERIOD_OVERRIDE=FQ","FILING_STATUS=MR","Sort=A","Dates=H","DateFormat=P","Fill=—","Direction=H","UseDPDF=Y")</f>
        <v>—</v>
      </c>
      <c r="AA13" s="14">
        <f>_xll.BDH("SRPT US Equity","RR_DIL_EPS_CONT_OPS_GROWTH","FQ4 2024","FQ4 2024","Currency=USD","Period=FQ","BEST_FPERIOD_OVERRIDE=FQ","FILING_STATUS=MR","Sort=A","Dates=H","DateFormat=P","Fill=—","Direction=H","UseDPDF=Y")</f>
        <v>217.75530000000001</v>
      </c>
    </row>
    <row r="14" spans="1:27" x14ac:dyDescent="0.25">
      <c r="A14" s="10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5">
      <c r="A15" s="10" t="s">
        <v>1394</v>
      </c>
      <c r="B15" s="10" t="s">
        <v>1395</v>
      </c>
      <c r="C15" s="14">
        <f>_xll.BDH("SRPT US Equity","ACCOUNTS_RECEIVABLE_GROWTH","FQ4 2018","FQ4 2018","Currency=USD","Period=FQ","BEST_FPERIOD_OVERRIDE=FQ","FILING_STATUS=MR","Sort=A","Dates=H","DateFormat=P","Fill=—","Direction=H","UseDPDF=Y")</f>
        <v>66.431399999999996</v>
      </c>
      <c r="D15" s="14">
        <f>_xll.BDH("SRPT US Equity","ACCOUNTS_RECEIVABLE_GROWTH","FQ1 2019","FQ1 2019","Currency=USD","Period=FQ","BEST_FPERIOD_OVERRIDE=FQ","FILING_STATUS=MR","Sort=A","Dates=H","DateFormat=P","Fill=—","Direction=H","UseDPDF=Y")</f>
        <v>26.756699999999999</v>
      </c>
      <c r="E15" s="14">
        <f>_xll.BDH("SRPT US Equity","ACCOUNTS_RECEIVABLE_GROWTH","FQ2 2019","FQ2 2019","Currency=USD","Period=FQ","BEST_FPERIOD_OVERRIDE=FQ","FILING_STATUS=MR","Sort=A","Dates=H","DateFormat=P","Fill=—","Direction=H","UseDPDF=Y")</f>
        <v>32.560200000000002</v>
      </c>
      <c r="F15" s="14">
        <f>_xll.BDH("SRPT US Equity","ACCOUNTS_RECEIVABLE_GROWTH","FQ3 2019","FQ3 2019","Currency=USD","Period=FQ","BEST_FPERIOD_OVERRIDE=FQ","FILING_STATUS=MR","Sort=A","Dates=H","DateFormat=P","Fill=—","Direction=H","UseDPDF=Y")</f>
        <v>39.980699999999999</v>
      </c>
      <c r="G15" s="14">
        <f>_xll.BDH("SRPT US Equity","ACCOUNTS_RECEIVABLE_GROWTH","FQ4 2019","FQ4 2019","Currency=USD","Period=FQ","BEST_FPERIOD_OVERRIDE=FQ","FILING_STATUS=MR","Sort=A","Dates=H","DateFormat=P","Fill=—","Direction=H","UseDPDF=Y")</f>
        <v>85.301000000000002</v>
      </c>
      <c r="H15" s="14">
        <f>_xll.BDH("SRPT US Equity","ACCOUNTS_RECEIVABLE_GROWTH","FQ1 2020","FQ1 2020","Currency=USD","Period=FQ","BEST_FPERIOD_OVERRIDE=FQ","FILING_STATUS=MR","Sort=A","Dates=H","DateFormat=P","Fill=—","Direction=H","UseDPDF=Y")</f>
        <v>111.59180000000001</v>
      </c>
      <c r="I15" s="14">
        <f>_xll.BDH("SRPT US Equity","ACCOUNTS_RECEIVABLE_GROWTH","FQ2 2020","FQ2 2020","Currency=USD","Period=FQ","BEST_FPERIOD_OVERRIDE=FQ","FILING_STATUS=MR","Sort=A","Dates=H","DateFormat=P","Fill=—","Direction=H","UseDPDF=Y")</f>
        <v>82.566100000000006</v>
      </c>
      <c r="J15" s="14">
        <f>_xll.BDH("SRPT US Equity","ACCOUNTS_RECEIVABLE_GROWTH","FQ3 2020","FQ3 2020","Currency=USD","Period=FQ","BEST_FPERIOD_OVERRIDE=FQ","FILING_STATUS=MR","Sort=A","Dates=H","DateFormat=P","Fill=—","Direction=H","UseDPDF=Y")</f>
        <v>79.073099999999997</v>
      </c>
      <c r="K15" s="14">
        <f>_xll.BDH("SRPT US Equity","ACCOUNTS_RECEIVABLE_GROWTH","FQ4 2020","FQ4 2020","Currency=USD","Period=FQ","BEST_FPERIOD_OVERRIDE=FQ","FILING_STATUS=MR","Sort=A","Dates=H","DateFormat=P","Fill=—","Direction=H","UseDPDF=Y")</f>
        <v>11.510899999999999</v>
      </c>
      <c r="L15" s="14">
        <f>_xll.BDH("SRPT US Equity","ACCOUNTS_RECEIVABLE_GROWTH","FQ1 2021","FQ1 2021","Currency=USD","Period=FQ","BEST_FPERIOD_OVERRIDE=FQ","FILING_STATUS=MR","Sort=A","Dates=H","DateFormat=P","Fill=—","Direction=H","UseDPDF=Y")</f>
        <v>10.599299999999999</v>
      </c>
      <c r="M15" s="14">
        <f>_xll.BDH("SRPT US Equity","ACCOUNTS_RECEIVABLE_GROWTH","FQ2 2021","FQ2 2021","Currency=USD","Period=FQ","BEST_FPERIOD_OVERRIDE=FQ","FILING_STATUS=MR","Sort=A","Dates=H","DateFormat=P","Fill=—","Direction=H","UseDPDF=Y")</f>
        <v>22.5824</v>
      </c>
      <c r="N15" s="14">
        <f>_xll.BDH("SRPT US Equity","ACCOUNTS_RECEIVABLE_GROWTH","FQ3 2021","FQ3 2021","Currency=USD","Period=FQ","BEST_FPERIOD_OVERRIDE=FQ","FILING_STATUS=MR","Sort=A","Dates=H","DateFormat=P","Fill=—","Direction=H","UseDPDF=Y")</f>
        <v>22.950600000000001</v>
      </c>
      <c r="O15" s="14">
        <f>_xll.BDH("SRPT US Equity","ACCOUNTS_RECEIVABLE_GROWTH","FQ4 2021","FQ4 2021","Currency=USD","Period=FQ","BEST_FPERIOD_OVERRIDE=FQ","FILING_STATUS=MR","Sort=A","Dates=H","DateFormat=P","Fill=—","Direction=H","UseDPDF=Y")</f>
        <v>50.966999999999999</v>
      </c>
      <c r="P15" s="14">
        <f>_xll.BDH("SRPT US Equity","ACCOUNTS_RECEIVABLE_GROWTH","FQ1 2022","FQ1 2022","Currency=USD","Period=FQ","BEST_FPERIOD_OVERRIDE=FQ","FILING_STATUS=MR","Sort=A","Dates=H","DateFormat=P","Fill=—","Direction=H","UseDPDF=Y")</f>
        <v>50.752499999999998</v>
      </c>
      <c r="Q15" s="14">
        <f>_xll.BDH("SRPT US Equity","ACCOUNTS_RECEIVABLE_GROWTH","FQ2 2022","FQ2 2022","Currency=USD","Period=FQ","BEST_FPERIOD_OVERRIDE=FQ","FILING_STATUS=MR","Sort=A","Dates=H","DateFormat=P","Fill=—","Direction=H","UseDPDF=Y")</f>
        <v>59.860399999999998</v>
      </c>
      <c r="R15" s="14">
        <f>_xll.BDH("SRPT US Equity","ACCOUNTS_RECEIVABLE_GROWTH","FQ3 2022","FQ3 2022","Currency=USD","Period=FQ","BEST_FPERIOD_OVERRIDE=FQ","FILING_STATUS=MR","Sort=A","Dates=H","DateFormat=P","Fill=—","Direction=H","UseDPDF=Y")</f>
        <v>34.5304</v>
      </c>
      <c r="S15" s="14">
        <f>_xll.BDH("SRPT US Equity","ACCOUNTS_RECEIVABLE_GROWTH","FQ4 2022","FQ4 2022","Currency=USD","Period=FQ","BEST_FPERIOD_OVERRIDE=FQ","FILING_STATUS=MR","Sort=A","Dates=H","DateFormat=P","Fill=—","Direction=H","UseDPDF=Y")</f>
        <v>40.288899999999998</v>
      </c>
      <c r="T15" s="14">
        <f>_xll.BDH("SRPT US Equity","ACCOUNTS_RECEIVABLE_GROWTH","FQ1 2023","FQ1 2023","Currency=USD","Period=FQ","BEST_FPERIOD_OVERRIDE=FQ","FILING_STATUS=MR","Sort=A","Dates=H","DateFormat=P","Fill=—","Direction=H","UseDPDF=Y")</f>
        <v>25.613700000000001</v>
      </c>
      <c r="U15" s="14">
        <f>_xll.BDH("SRPT US Equity","ACCOUNTS_RECEIVABLE_GROWTH","FQ2 2023","FQ2 2023","Currency=USD","Period=FQ","BEST_FPERIOD_OVERRIDE=FQ","FILING_STATUS=MR","Sort=A","Dates=H","DateFormat=P","Fill=—","Direction=H","UseDPDF=Y")</f>
        <v>16.165500000000002</v>
      </c>
      <c r="V15" s="14">
        <f>_xll.BDH("SRPT US Equity","ACCOUNTS_RECEIVABLE_GROWTH","FQ3 2023","FQ3 2023","Currency=USD","Period=FQ","BEST_FPERIOD_OVERRIDE=FQ","FILING_STATUS=MR","Sort=A","Dates=H","DateFormat=P","Fill=—","Direction=H","UseDPDF=Y")</f>
        <v>58.233600000000003</v>
      </c>
      <c r="W15" s="14">
        <f>_xll.BDH("SRPT US Equity","ACCOUNTS_RECEIVABLE_GROWTH","FQ4 2023","FQ4 2023","Currency=USD","Period=FQ","BEST_FPERIOD_OVERRIDE=FQ","FILING_STATUS=MR","Sort=A","Dates=H","DateFormat=P","Fill=—","Direction=H","UseDPDF=Y")</f>
        <v>86.521299999999997</v>
      </c>
      <c r="X15" s="14">
        <f>_xll.BDH("SRPT US Equity","ACCOUNTS_RECEIVABLE_GROWTH","FQ1 2024","FQ1 2024","Currency=USD","Period=FQ","BEST_FPERIOD_OVERRIDE=FQ","FILING_STATUS=MR","Sort=A","Dates=H","DateFormat=P","Fill=—","Direction=H","UseDPDF=Y")</f>
        <v>69.233699999999999</v>
      </c>
      <c r="Y15" s="14">
        <f>_xll.BDH("SRPT US Equity","ACCOUNTS_RECEIVABLE_GROWTH","FQ2 2024","FQ2 2024","Currency=USD","Period=FQ","BEST_FPERIOD_OVERRIDE=FQ","FILING_STATUS=MR","Sort=A","Dates=H","DateFormat=P","Fill=—","Direction=H","UseDPDF=Y")</f>
        <v>52.020600000000002</v>
      </c>
      <c r="Z15" s="14">
        <f>_xll.BDH("SRPT US Equity","ACCOUNTS_RECEIVABLE_GROWTH","FQ3 2024","FQ3 2024","Currency=USD","Period=FQ","BEST_FPERIOD_OVERRIDE=FQ","FILING_STATUS=MR","Sort=A","Dates=H","DateFormat=P","Fill=—","Direction=H","UseDPDF=Y")</f>
        <v>36.276400000000002</v>
      </c>
      <c r="AA15" s="14">
        <f>_xll.BDH("SRPT US Equity","ACCOUNTS_RECEIVABLE_GROWTH","FQ4 2024","FQ4 2024","Currency=USD","Period=FQ","BEST_FPERIOD_OVERRIDE=FQ","FILING_STATUS=MR","Sort=A","Dates=H","DateFormat=P","Fill=—","Direction=H","UseDPDF=Y")</f>
        <v>50.374099999999999</v>
      </c>
    </row>
    <row r="16" spans="1:27" x14ac:dyDescent="0.25">
      <c r="A16" s="10" t="s">
        <v>1396</v>
      </c>
      <c r="B16" s="10" t="s">
        <v>1397</v>
      </c>
      <c r="C16" s="14">
        <f>_xll.BDH("SRPT US Equity","INVENTORY_GROWTH","FQ4 2018","FQ4 2018","Currency=USD","Period=FQ","BEST_FPERIOD_OVERRIDE=FQ","FILING_STATUS=MR","Sort=A","Dates=H","DateFormat=P","Fill=—","Direction=H","UseDPDF=Y")</f>
        <v>50.044899999999998</v>
      </c>
      <c r="D16" s="14">
        <f>_xll.BDH("SRPT US Equity","INVENTORY_GROWTH","FQ1 2019","FQ1 2019","Currency=USD","Period=FQ","BEST_FPERIOD_OVERRIDE=FQ","FILING_STATUS=MR","Sort=A","Dates=H","DateFormat=P","Fill=—","Direction=H","UseDPDF=Y")</f>
        <v>41.3504</v>
      </c>
      <c r="E16" s="14">
        <f>_xll.BDH("SRPT US Equity","INVENTORY_GROWTH","FQ2 2019","FQ2 2019","Currency=USD","Period=FQ","BEST_FPERIOD_OVERRIDE=FQ","FILING_STATUS=MR","Sort=A","Dates=H","DateFormat=P","Fill=—","Direction=H","UseDPDF=Y")</f>
        <v>50.364899999999999</v>
      </c>
      <c r="F16" s="14">
        <f>_xll.BDH("SRPT US Equity","INVENTORY_GROWTH","FQ3 2019","FQ3 2019","Currency=USD","Period=FQ","BEST_FPERIOD_OVERRIDE=FQ","FILING_STATUS=MR","Sort=A","Dates=H","DateFormat=P","Fill=—","Direction=H","UseDPDF=Y")</f>
        <v>43.641599999999997</v>
      </c>
      <c r="G16" s="14">
        <f>_xll.BDH("SRPT US Equity","INVENTORY_GROWTH","FQ4 2019","FQ4 2019","Currency=USD","Period=FQ","BEST_FPERIOD_OVERRIDE=FQ","FILING_STATUS=MR","Sort=A","Dates=H","DateFormat=P","Fill=—","Direction=H","UseDPDF=Y")</f>
        <v>36.616799999999998</v>
      </c>
      <c r="H16" s="14">
        <f>_xll.BDH("SRPT US Equity","INVENTORY_GROWTH","FQ1 2020","FQ1 2020","Currency=USD","Period=FQ","BEST_FPERIOD_OVERRIDE=FQ","FILING_STATUS=MR","Sort=A","Dates=H","DateFormat=P","Fill=—","Direction=H","UseDPDF=Y")</f>
        <v>23.280200000000001</v>
      </c>
      <c r="I16" s="14">
        <f>_xll.BDH("SRPT US Equity","INVENTORY_GROWTH","FQ2 2020","FQ2 2020","Currency=USD","Period=FQ","BEST_FPERIOD_OVERRIDE=FQ","FILING_STATUS=MR","Sort=A","Dates=H","DateFormat=P","Fill=—","Direction=H","UseDPDF=Y")</f>
        <v>14.7417</v>
      </c>
      <c r="J16" s="14">
        <f>_xll.BDH("SRPT US Equity","INVENTORY_GROWTH","FQ3 2020","FQ3 2020","Currency=USD","Period=FQ","BEST_FPERIOD_OVERRIDE=FQ","FILING_STATUS=MR","Sort=A","Dates=H","DateFormat=P","Fill=—","Direction=H","UseDPDF=Y")</f>
        <v>32.314300000000003</v>
      </c>
      <c r="K16" s="14">
        <f>_xll.BDH("SRPT US Equity","INVENTORY_GROWTH","FQ4 2020","FQ4 2020","Currency=USD","Period=FQ","BEST_FPERIOD_OVERRIDE=FQ","FILING_STATUS=MR","Sort=A","Dates=H","DateFormat=P","Fill=—","Direction=H","UseDPDF=Y")</f>
        <v>35.349699999999999</v>
      </c>
      <c r="L16" s="14">
        <f>_xll.BDH("SRPT US Equity","INVENTORY_GROWTH","FQ1 2021","FQ1 2021","Currency=USD","Period=FQ","BEST_FPERIOD_OVERRIDE=FQ","FILING_STATUS=MR","Sort=A","Dates=H","DateFormat=P","Fill=—","Direction=H","UseDPDF=Y")</f>
        <v>38.786000000000001</v>
      </c>
      <c r="M16" s="14">
        <f>_xll.BDH("SRPT US Equity","INVENTORY_GROWTH","FQ2 2021","FQ2 2021","Currency=USD","Period=FQ","BEST_FPERIOD_OVERRIDE=FQ","FILING_STATUS=MR","Sort=A","Dates=H","DateFormat=P","Fill=—","Direction=H","UseDPDF=Y")</f>
        <v>49.599800000000002</v>
      </c>
      <c r="N16" s="14">
        <f>_xll.BDH("SRPT US Equity","INVENTORY_GROWTH","FQ3 2021","FQ3 2021","Currency=USD","Period=FQ","BEST_FPERIOD_OVERRIDE=FQ","FILING_STATUS=MR","Sort=A","Dates=H","DateFormat=P","Fill=—","Direction=H","UseDPDF=Y")</f>
        <v>31.052</v>
      </c>
      <c r="O16" s="14">
        <f>_xll.BDH("SRPT US Equity","INVENTORY_GROWTH","FQ4 2021","FQ4 2021","Currency=USD","Period=FQ","BEST_FPERIOD_OVERRIDE=FQ","FILING_STATUS=MR","Sort=A","Dates=H","DateFormat=P","Fill=—","Direction=H","UseDPDF=Y")</f>
        <v>-19.7227</v>
      </c>
      <c r="P16" s="14">
        <f>_xll.BDH("SRPT US Equity","INVENTORY_GROWTH","FQ1 2022","FQ1 2022","Currency=USD","Period=FQ","BEST_FPERIOD_OVERRIDE=FQ","FILING_STATUS=MR","Sort=A","Dates=H","DateFormat=P","Fill=—","Direction=H","UseDPDF=Y")</f>
        <v>-17.1995</v>
      </c>
      <c r="Q16" s="14">
        <f>_xll.BDH("SRPT US Equity","INVENTORY_GROWTH","FQ2 2022","FQ2 2022","Currency=USD","Period=FQ","BEST_FPERIOD_OVERRIDE=FQ","FILING_STATUS=MR","Sort=A","Dates=H","DateFormat=P","Fill=—","Direction=H","UseDPDF=Y")</f>
        <v>-22.571000000000002</v>
      </c>
      <c r="R16" s="14">
        <f>_xll.BDH("SRPT US Equity","INVENTORY_GROWTH","FQ3 2022","FQ3 2022","Currency=USD","Period=FQ","BEST_FPERIOD_OVERRIDE=FQ","FILING_STATUS=MR","Sort=A","Dates=H","DateFormat=P","Fill=—","Direction=H","UseDPDF=Y")</f>
        <v>-23.322099999999999</v>
      </c>
      <c r="S16" s="14">
        <f>_xll.BDH("SRPT US Equity","INVENTORY_GROWTH","FQ4 2022","FQ4 2022","Currency=USD","Period=FQ","BEST_FPERIOD_OVERRIDE=FQ","FILING_STATUS=MR","Sort=A","Dates=H","DateFormat=P","Fill=—","Direction=H","UseDPDF=Y")</f>
        <v>9.5353999999999992</v>
      </c>
      <c r="T16" s="14">
        <f>_xll.BDH("SRPT US Equity","INVENTORY_GROWTH","FQ1 2023","FQ1 2023","Currency=USD","Period=FQ","BEST_FPERIOD_OVERRIDE=FQ","FILING_STATUS=MR","Sort=A","Dates=H","DateFormat=P","Fill=—","Direction=H","UseDPDF=Y")</f>
        <v>1.8483000000000001</v>
      </c>
      <c r="U16" s="14">
        <f>_xll.BDH("SRPT US Equity","INVENTORY_GROWTH","FQ2 2023","FQ2 2023","Currency=USD","Period=FQ","BEST_FPERIOD_OVERRIDE=FQ","FILING_STATUS=MR","Sort=A","Dates=H","DateFormat=P","Fill=—","Direction=H","UseDPDF=Y")</f>
        <v>9.0251999999999999</v>
      </c>
      <c r="V16" s="14">
        <f>_xll.BDH("SRPT US Equity","INVENTORY_GROWTH","FQ3 2023","FQ3 2023","Currency=USD","Period=FQ","BEST_FPERIOD_OVERRIDE=FQ","FILING_STATUS=MR","Sort=A","Dates=H","DateFormat=P","Fill=—","Direction=H","UseDPDF=Y")</f>
        <v>10.3164</v>
      </c>
      <c r="W16" s="14">
        <f>_xll.BDH("SRPT US Equity","INVENTORY_GROWTH","FQ4 2023","FQ4 2023","Currency=USD","Period=FQ","BEST_FPERIOD_OVERRIDE=FQ","FILING_STATUS=MR","Sort=A","Dates=H","DateFormat=P","Fill=—","Direction=H","UseDPDF=Y")</f>
        <v>58.289000000000001</v>
      </c>
      <c r="X16" s="14">
        <f>_xll.BDH("SRPT US Equity","INVENTORY_GROWTH","FQ1 2024","FQ1 2024","Currency=USD","Period=FQ","BEST_FPERIOD_OVERRIDE=FQ","FILING_STATUS=MR","Sort=A","Dates=H","DateFormat=P","Fill=—","Direction=H","UseDPDF=Y")</f>
        <v>84.3</v>
      </c>
      <c r="Y16" s="14">
        <f>_xll.BDH("SRPT US Equity","INVENTORY_GROWTH","FQ2 2024","FQ2 2024","Currency=USD","Period=FQ","BEST_FPERIOD_OVERRIDE=FQ","FILING_STATUS=MR","Sort=A","Dates=H","DateFormat=P","Fill=—","Direction=H","UseDPDF=Y")</f>
        <v>114.1236</v>
      </c>
      <c r="Z16" s="14">
        <f>_xll.BDH("SRPT US Equity","INVENTORY_GROWTH","FQ3 2024","FQ3 2024","Currency=USD","Period=FQ","BEST_FPERIOD_OVERRIDE=FQ","FILING_STATUS=MR","Sort=A","Dates=H","DateFormat=P","Fill=—","Direction=H","UseDPDF=Y")</f>
        <v>131.9256</v>
      </c>
      <c r="AA16" s="14">
        <f>_xll.BDH("SRPT US Equity","INVENTORY_GROWTH","FQ4 2024","FQ4 2024","Currency=USD","Period=FQ","BEST_FPERIOD_OVERRIDE=FQ","FILING_STATUS=MR","Sort=A","Dates=H","DateFormat=P","Fill=—","Direction=H","UseDPDF=Y")</f>
        <v>132.28720000000001</v>
      </c>
    </row>
    <row r="17" spans="1:27" x14ac:dyDescent="0.25">
      <c r="A17" s="10" t="s">
        <v>1398</v>
      </c>
      <c r="B17" s="10" t="s">
        <v>1399</v>
      </c>
      <c r="C17" s="14">
        <f>_xll.BDH("SRPT US Equity","NET_FIXED_ASSETS_1_YEAR_GROWTH","FQ4 2018","FQ4 2018","Currency=USD","Period=FQ","BEST_FPERIOD_OVERRIDE=FQ","FILING_STATUS=MR","Sort=A","Dates=H","DateFormat=P","Fill=—","Direction=H","UseDPDF=Y")</f>
        <v>124.8216</v>
      </c>
      <c r="D17" s="14">
        <f>_xll.BDH("SRPT US Equity","NET_FIXED_ASSETS_1_YEAR_GROWTH","FQ1 2019","FQ1 2019","Currency=USD","Period=FQ","BEST_FPERIOD_OVERRIDE=FQ","FILING_STATUS=MR","Sort=A","Dates=H","DateFormat=P","Fill=—","Direction=H","UseDPDF=Y")</f>
        <v>173.29169999999999</v>
      </c>
      <c r="E17" s="14">
        <f>_xll.BDH("SRPT US Equity","NET_FIXED_ASSETS_1_YEAR_GROWTH","FQ2 2019","FQ2 2019","Currency=USD","Period=FQ","BEST_FPERIOD_OVERRIDE=FQ","FILING_STATUS=MR","Sort=A","Dates=H","DateFormat=P","Fill=—","Direction=H","UseDPDF=Y")</f>
        <v>171.8485</v>
      </c>
      <c r="F17" s="14">
        <f>_xll.BDH("SRPT US Equity","NET_FIXED_ASSETS_1_YEAR_GROWTH","FQ3 2019","FQ3 2019","Currency=USD","Period=FQ","BEST_FPERIOD_OVERRIDE=FQ","FILING_STATUS=MR","Sort=A","Dates=H","DateFormat=P","Fill=—","Direction=H","UseDPDF=Y")</f>
        <v>106.9533</v>
      </c>
      <c r="G17" s="14">
        <f>_xll.BDH("SRPT US Equity","NET_FIXED_ASSETS_1_YEAR_GROWTH","FQ4 2019","FQ4 2019","Currency=USD","Period=FQ","BEST_FPERIOD_OVERRIDE=FQ","FILING_STATUS=MR","Sort=A","Dates=H","DateFormat=P","Fill=—","Direction=H","UseDPDF=Y")</f>
        <v>72.692300000000003</v>
      </c>
      <c r="H17" s="14">
        <f>_xll.BDH("SRPT US Equity","NET_FIXED_ASSETS_1_YEAR_GROWTH","FQ1 2020","FQ1 2020","Currency=USD","Period=FQ","BEST_FPERIOD_OVERRIDE=FQ","FILING_STATUS=MR","Sort=A","Dates=H","DateFormat=P","Fill=—","Direction=H","UseDPDF=Y")</f>
        <v>35.991799999999998</v>
      </c>
      <c r="I17" s="14">
        <f>_xll.BDH("SRPT US Equity","NET_FIXED_ASSETS_1_YEAR_GROWTH","FQ2 2020","FQ2 2020","Currency=USD","Period=FQ","BEST_FPERIOD_OVERRIDE=FQ","FILING_STATUS=MR","Sort=A","Dates=H","DateFormat=P","Fill=—","Direction=H","UseDPDF=Y")</f>
        <v>45.251800000000003</v>
      </c>
      <c r="J17" s="14">
        <f>_xll.BDH("SRPT US Equity","NET_FIXED_ASSETS_1_YEAR_GROWTH","FQ3 2020","FQ3 2020","Currency=USD","Period=FQ","BEST_FPERIOD_OVERRIDE=FQ","FILING_STATUS=MR","Sort=A","Dates=H","DateFormat=P","Fill=—","Direction=H","UseDPDF=Y")</f>
        <v>52.680399999999999</v>
      </c>
      <c r="K17" s="14">
        <f>_xll.BDH("SRPT US Equity","NET_FIXED_ASSETS_1_YEAR_GROWTH","FQ4 2020","FQ4 2020","Currency=USD","Period=FQ","BEST_FPERIOD_OVERRIDE=FQ","FILING_STATUS=MR","Sort=A","Dates=H","DateFormat=P","Fill=—","Direction=H","UseDPDF=Y")</f>
        <v>68.418899999999994</v>
      </c>
      <c r="L17" s="14">
        <f>_xll.BDH("SRPT US Equity","NET_FIXED_ASSETS_1_YEAR_GROWTH","FQ1 2021","FQ1 2021","Currency=USD","Period=FQ","BEST_FPERIOD_OVERRIDE=FQ","FILING_STATUS=MR","Sort=A","Dates=H","DateFormat=P","Fill=—","Direction=H","UseDPDF=Y")</f>
        <v>33.805199999999999</v>
      </c>
      <c r="M17" s="14">
        <f>_xll.BDH("SRPT US Equity","NET_FIXED_ASSETS_1_YEAR_GROWTH","FQ2 2021","FQ2 2021","Currency=USD","Period=FQ","BEST_FPERIOD_OVERRIDE=FQ","FILING_STATUS=MR","Sort=A","Dates=H","DateFormat=P","Fill=—","Direction=H","UseDPDF=Y")</f>
        <v>21.385999999999999</v>
      </c>
      <c r="N17" s="14">
        <f>_xll.BDH("SRPT US Equity","NET_FIXED_ASSETS_1_YEAR_GROWTH","FQ3 2021","FQ3 2021","Currency=USD","Period=FQ","BEST_FPERIOD_OVERRIDE=FQ","FILING_STATUS=MR","Sort=A","Dates=H","DateFormat=P","Fill=—","Direction=H","UseDPDF=Y")</f>
        <v>11.9901</v>
      </c>
      <c r="O17" s="14">
        <f>_xll.BDH("SRPT US Equity","NET_FIXED_ASSETS_1_YEAR_GROWTH","FQ4 2021","FQ4 2021","Currency=USD","Period=FQ","BEST_FPERIOD_OVERRIDE=FQ","FILING_STATUS=MR","Sort=A","Dates=H","DateFormat=P","Fill=—","Direction=H","UseDPDF=Y")</f>
        <v>-16.1252</v>
      </c>
      <c r="P17" s="14">
        <f>_xll.BDH("SRPT US Equity","NET_FIXED_ASSETS_1_YEAR_GROWTH","FQ1 2022","FQ1 2022","Currency=USD","Period=FQ","BEST_FPERIOD_OVERRIDE=FQ","FILING_STATUS=MR","Sort=A","Dates=H","DateFormat=P","Fill=—","Direction=H","UseDPDF=Y")</f>
        <v>-13.0307</v>
      </c>
      <c r="Q17" s="14">
        <f>_xll.BDH("SRPT US Equity","NET_FIXED_ASSETS_1_YEAR_GROWTH","FQ2 2022","FQ2 2022","Currency=USD","Period=FQ","BEST_FPERIOD_OVERRIDE=FQ","FILING_STATUS=MR","Sort=A","Dates=H","DateFormat=P","Fill=—","Direction=H","UseDPDF=Y")</f>
        <v>-16.620999999999999</v>
      </c>
      <c r="R17" s="14">
        <f>_xll.BDH("SRPT US Equity","NET_FIXED_ASSETS_1_YEAR_GROWTH","FQ3 2022","FQ3 2022","Currency=USD","Period=FQ","BEST_FPERIOD_OVERRIDE=FQ","FILING_STATUS=MR","Sort=A","Dates=H","DateFormat=P","Fill=—","Direction=H","UseDPDF=Y")</f>
        <v>-17.606100000000001</v>
      </c>
      <c r="S17" s="14">
        <f>_xll.BDH("SRPT US Equity","NET_FIXED_ASSETS_1_YEAR_GROWTH","FQ4 2022","FQ4 2022","Currency=USD","Period=FQ","BEST_FPERIOD_OVERRIDE=FQ","FILING_STATUS=MR","Sort=A","Dates=H","DateFormat=P","Fill=—","Direction=H","UseDPDF=Y")</f>
        <v>13.4739</v>
      </c>
      <c r="T17" s="14">
        <f>_xll.BDH("SRPT US Equity","NET_FIXED_ASSETS_1_YEAR_GROWTH","FQ1 2023","FQ1 2023","Currency=USD","Period=FQ","BEST_FPERIOD_OVERRIDE=FQ","FILING_STATUS=MR","Sort=A","Dates=H","DateFormat=P","Fill=—","Direction=H","UseDPDF=Y")</f>
        <v>4.9942000000000002</v>
      </c>
      <c r="U17" s="14">
        <f>_xll.BDH("SRPT US Equity","NET_FIXED_ASSETS_1_YEAR_GROWTH","FQ2 2023","FQ2 2023","Currency=USD","Period=FQ","BEST_FPERIOD_OVERRIDE=FQ","FILING_STATUS=MR","Sort=A","Dates=H","DateFormat=P","Fill=—","Direction=H","UseDPDF=Y")</f>
        <v>40.518700000000003</v>
      </c>
      <c r="V17" s="14">
        <f>_xll.BDH("SRPT US Equity","NET_FIXED_ASSETS_1_YEAR_GROWTH","FQ3 2023","FQ3 2023","Currency=USD","Period=FQ","BEST_FPERIOD_OVERRIDE=FQ","FILING_STATUS=MR","Sort=A","Dates=H","DateFormat=P","Fill=—","Direction=H","UseDPDF=Y")</f>
        <v>54.357500000000002</v>
      </c>
      <c r="W17" s="14">
        <f>_xll.BDH("SRPT US Equity","NET_FIXED_ASSETS_1_YEAR_GROWTH","FQ4 2023","FQ4 2023","Currency=USD","Period=FQ","BEST_FPERIOD_OVERRIDE=FQ","FILING_STATUS=MR","Sort=A","Dates=H","DateFormat=P","Fill=—","Direction=H","UseDPDF=Y")</f>
        <v>32.9617</v>
      </c>
      <c r="X17" s="14">
        <f>_xll.BDH("SRPT US Equity","NET_FIXED_ASSETS_1_YEAR_GROWTH","FQ1 2024","FQ1 2024","Currency=USD","Period=FQ","BEST_FPERIOD_OVERRIDE=FQ","FILING_STATUS=MR","Sort=A","Dates=H","DateFormat=P","Fill=—","Direction=H","UseDPDF=Y")</f>
        <v>53.370699999999999</v>
      </c>
      <c r="Y17" s="14">
        <f>_xll.BDH("SRPT US Equity","NET_FIXED_ASSETS_1_YEAR_GROWTH","FQ2 2024","FQ2 2024","Currency=USD","Period=FQ","BEST_FPERIOD_OVERRIDE=FQ","FILING_STATUS=MR","Sort=A","Dates=H","DateFormat=P","Fill=—","Direction=H","UseDPDF=Y")</f>
        <v>23.6707</v>
      </c>
      <c r="Z17" s="14">
        <f>_xll.BDH("SRPT US Equity","NET_FIXED_ASSETS_1_YEAR_GROWTH","FQ3 2024","FQ3 2024","Currency=USD","Period=FQ","BEST_FPERIOD_OVERRIDE=FQ","FILING_STATUS=MR","Sort=A","Dates=H","DateFormat=P","Fill=—","Direction=H","UseDPDF=Y")</f>
        <v>29.166799999999999</v>
      </c>
      <c r="AA17" s="14">
        <f>_xll.BDH("SRPT US Equity","NET_FIXED_ASSETS_1_YEAR_GROWTH","FQ4 2024","FQ4 2024","Currency=USD","Period=FQ","BEST_FPERIOD_OVERRIDE=FQ","FILING_STATUS=MR","Sort=A","Dates=H","DateFormat=P","Fill=—","Direction=H","UseDPDF=Y")</f>
        <v>36.835000000000001</v>
      </c>
    </row>
    <row r="18" spans="1:27" x14ac:dyDescent="0.25">
      <c r="A18" s="10" t="s">
        <v>112</v>
      </c>
      <c r="B18" s="10" t="s">
        <v>1400</v>
      </c>
      <c r="C18" s="14">
        <f>_xll.BDH("SRPT US Equity","ASSET_GROWTH","FQ4 2018","FQ4 2018","Currency=USD","Period=FQ","BEST_FPERIOD_OVERRIDE=FQ","FILING_STATUS=MR","Sort=A","Dates=H","DateFormat=P","Fill=—","Direction=H","UseDPDF=Y")</f>
        <v>25.5444</v>
      </c>
      <c r="D18" s="14">
        <f>_xll.BDH("SRPT US Equity","ASSET_GROWTH","FQ1 2019","FQ1 2019","Currency=USD","Period=FQ","BEST_FPERIOD_OVERRIDE=FQ","FILING_STATUS=MR","Sort=A","Dates=H","DateFormat=P","Fill=—","Direction=H","UseDPDF=Y")</f>
        <v>51.036000000000001</v>
      </c>
      <c r="E18" s="14">
        <f>_xll.BDH("SRPT US Equity","ASSET_GROWTH","FQ2 2019","FQ2 2019","Currency=USD","Period=FQ","BEST_FPERIOD_OVERRIDE=FQ","FILING_STATUS=MR","Sort=A","Dates=H","DateFormat=P","Fill=—","Direction=H","UseDPDF=Y")</f>
        <v>40.138599999999997</v>
      </c>
      <c r="F18" s="14">
        <f>_xll.BDH("SRPT US Equity","ASSET_GROWTH","FQ3 2019","FQ3 2019","Currency=USD","Period=FQ","BEST_FPERIOD_OVERRIDE=FQ","FILING_STATUS=MR","Sort=A","Dates=H","DateFormat=P","Fill=—","Direction=H","UseDPDF=Y")</f>
        <v>43.922699999999999</v>
      </c>
      <c r="G18" s="14">
        <f>_xll.BDH("SRPT US Equity","ASSET_GROWTH","FQ4 2019","FQ4 2019","Currency=USD","Period=FQ","BEST_FPERIOD_OVERRIDE=FQ","FILING_STATUS=MR","Sort=A","Dates=H","DateFormat=P","Fill=—","Direction=H","UseDPDF=Y")</f>
        <v>11.007199999999999</v>
      </c>
      <c r="H18" s="14">
        <f>_xll.BDH("SRPT US Equity","ASSET_GROWTH","FQ1 2020","FQ1 2020","Currency=USD","Period=FQ","BEST_FPERIOD_OVERRIDE=FQ","FILING_STATUS=MR","Sort=A","Dates=H","DateFormat=P","Fill=—","Direction=H","UseDPDF=Y")</f>
        <v>50.078699999999998</v>
      </c>
      <c r="I18" s="14">
        <f>_xll.BDH("SRPT US Equity","ASSET_GROWTH","FQ2 2020","FQ2 2020","Currency=USD","Period=FQ","BEST_FPERIOD_OVERRIDE=FQ","FILING_STATUS=MR","Sort=A","Dates=H","DateFormat=P","Fill=—","Direction=H","UseDPDF=Y")</f>
        <v>64.957099999999997</v>
      </c>
      <c r="J18" s="14">
        <f>_xll.BDH("SRPT US Equity","ASSET_GROWTH","FQ3 2020","FQ3 2020","Currency=USD","Period=FQ","BEST_FPERIOD_OVERRIDE=FQ","FILING_STATUS=MR","Sort=A","Dates=H","DateFormat=P","Fill=—","Direction=H","UseDPDF=Y")</f>
        <v>63.331200000000003</v>
      </c>
      <c r="K18" s="14">
        <f>_xll.BDH("SRPT US Equity","ASSET_GROWTH","FQ4 2020","FQ4 2020","Currency=USD","Period=FQ","BEST_FPERIOD_OVERRIDE=FQ","FILING_STATUS=MR","Sort=A","Dates=H","DateFormat=P","Fill=—","Direction=H","UseDPDF=Y")</f>
        <v>63.741599999999998</v>
      </c>
      <c r="L18" s="14">
        <f>_xll.BDH("SRPT US Equity","ASSET_GROWTH","FQ1 2021","FQ1 2021","Currency=USD","Period=FQ","BEST_FPERIOD_OVERRIDE=FQ","FILING_STATUS=MR","Sort=A","Dates=H","DateFormat=P","Fill=—","Direction=H","UseDPDF=Y")</f>
        <v>-6.1802000000000001</v>
      </c>
      <c r="M18" s="14">
        <f>_xll.BDH("SRPT US Equity","ASSET_GROWTH","FQ2 2021","FQ2 2021","Currency=USD","Period=FQ","BEST_FPERIOD_OVERRIDE=FQ","FILING_STATUS=MR","Sort=A","Dates=H","DateFormat=P","Fill=—","Direction=H","UseDPDF=Y")</f>
        <v>-4.3</v>
      </c>
      <c r="N18" s="14">
        <f>_xll.BDH("SRPT US Equity","ASSET_GROWTH","FQ3 2021","FQ3 2021","Currency=USD","Period=FQ","BEST_FPERIOD_OVERRIDE=FQ","FILING_STATUS=MR","Sort=A","Dates=H","DateFormat=P","Fill=—","Direction=H","UseDPDF=Y")</f>
        <v>-4.2595999999999998</v>
      </c>
      <c r="O18" s="14">
        <f>_xll.BDH("SRPT US Equity","ASSET_GROWTH","FQ4 2021","FQ4 2021","Currency=USD","Period=FQ","BEST_FPERIOD_OVERRIDE=FQ","FILING_STATUS=MR","Sort=A","Dates=H","DateFormat=P","Fill=—","Direction=H","UseDPDF=Y")</f>
        <v>5.4696999999999996</v>
      </c>
      <c r="P18" s="14">
        <f>_xll.BDH("SRPT US Equity","ASSET_GROWTH","FQ1 2022","FQ1 2022","Currency=USD","Period=FQ","BEST_FPERIOD_OVERRIDE=FQ","FILING_STATUS=MR","Sort=A","Dates=H","DateFormat=P","Fill=—","Direction=H","UseDPDF=Y")</f>
        <v>10.5207</v>
      </c>
      <c r="Q18" s="14">
        <f>_xll.BDH("SRPT US Equity","ASSET_GROWTH","FQ2 2022","FQ2 2022","Currency=USD","Period=FQ","BEST_FPERIOD_OVERRIDE=FQ","FILING_STATUS=MR","Sort=A","Dates=H","DateFormat=P","Fill=—","Direction=H","UseDPDF=Y")</f>
        <v>8.6181000000000001</v>
      </c>
      <c r="R18" s="14">
        <f>_xll.BDH("SRPT US Equity","ASSET_GROWTH","FQ3 2022","FQ3 2022","Currency=USD","Period=FQ","BEST_FPERIOD_OVERRIDE=FQ","FILING_STATUS=MR","Sort=A","Dates=H","DateFormat=P","Fill=—","Direction=H","UseDPDF=Y")</f>
        <v>18.5534</v>
      </c>
      <c r="S18" s="14">
        <f>_xll.BDH("SRPT US Equity","ASSET_GROWTH","FQ4 2022","FQ4 2022","Currency=USD","Period=FQ","BEST_FPERIOD_OVERRIDE=FQ","FILING_STATUS=MR","Sort=A","Dates=H","DateFormat=P","Fill=—","Direction=H","UseDPDF=Y")</f>
        <v>-0.62290000000000001</v>
      </c>
      <c r="T18" s="14">
        <f>_xll.BDH("SRPT US Equity","ASSET_GROWTH","FQ1 2023","FQ1 2023","Currency=USD","Period=FQ","BEST_FPERIOD_OVERRIDE=FQ","FILING_STATUS=MR","Sort=A","Dates=H","DateFormat=P","Fill=—","Direction=H","UseDPDF=Y")</f>
        <v>0.1188</v>
      </c>
      <c r="U18" s="14">
        <f>_xll.BDH("SRPT US Equity","ASSET_GROWTH","FQ2 2023","FQ2 2023","Currency=USD","Period=FQ","BEST_FPERIOD_OVERRIDE=FQ","FILING_STATUS=MR","Sort=A","Dates=H","DateFormat=P","Fill=—","Direction=H","UseDPDF=Y")</f>
        <v>4.3057999999999996</v>
      </c>
      <c r="V18" s="14">
        <f>_xll.BDH("SRPT US Equity","ASSET_GROWTH","FQ3 2023","FQ3 2023","Currency=USD","Period=FQ","BEST_FPERIOD_OVERRIDE=FQ","FILING_STATUS=MR","Sort=A","Dates=H","DateFormat=P","Fill=—","Direction=H","UseDPDF=Y")</f>
        <v>-1.4715</v>
      </c>
      <c r="W18" s="14">
        <f>_xll.BDH("SRPT US Equity","ASSET_GROWTH","FQ4 2023","FQ4 2023","Currency=USD","Period=FQ","BEST_FPERIOD_OVERRIDE=FQ","FILING_STATUS=MR","Sort=A","Dates=H","DateFormat=P","Fill=—","Direction=H","UseDPDF=Y")</f>
        <v>4.3540000000000001</v>
      </c>
      <c r="X18" s="14">
        <f>_xll.BDH("SRPT US Equity","ASSET_GROWTH","FQ1 2024","FQ1 2024","Currency=USD","Period=FQ","BEST_FPERIOD_OVERRIDE=FQ","FILING_STATUS=MR","Sort=A","Dates=H","DateFormat=P","Fill=—","Direction=H","UseDPDF=Y")</f>
        <v>5.3794000000000004</v>
      </c>
      <c r="Y18" s="14">
        <f>_xll.BDH("SRPT US Equity","ASSET_GROWTH","FQ2 2024","FQ2 2024","Currency=USD","Period=FQ","BEST_FPERIOD_OVERRIDE=FQ","FILING_STATUS=MR","Sort=A","Dates=H","DateFormat=P","Fill=—","Direction=H","UseDPDF=Y")</f>
        <v>9.5449999999999999</v>
      </c>
      <c r="Z18" s="14">
        <f>_xll.BDH("SRPT US Equity","ASSET_GROWTH","FQ3 2024","FQ3 2024","Currency=USD","Period=FQ","BEST_FPERIOD_OVERRIDE=FQ","FILING_STATUS=MR","Sort=A","Dates=H","DateFormat=P","Fill=—","Direction=H","UseDPDF=Y")</f>
        <v>15.7644</v>
      </c>
      <c r="AA18" s="14">
        <f>_xll.BDH("SRPT US Equity","ASSET_GROWTH","FQ4 2024","FQ4 2024","Currency=USD","Period=FQ","BEST_FPERIOD_OVERRIDE=FQ","FILING_STATUS=MR","Sort=A","Dates=H","DateFormat=P","Fill=—","Direction=H","UseDPDF=Y")</f>
        <v>21.3993</v>
      </c>
    </row>
    <row r="19" spans="1:27" x14ac:dyDescent="0.25">
      <c r="A19" s="10" t="s">
        <v>1401</v>
      </c>
      <c r="B19" s="10" t="s">
        <v>1402</v>
      </c>
      <c r="C19" s="14">
        <f>_xll.BDH("SRPT US Equity","MODIFIED_WORK_CAP_GROWTH","FQ4 2018","FQ4 2018","Currency=USD","Period=FQ","BEST_FPERIOD_OVERRIDE=FQ","FILING_STATUS=MR","Sort=A","Dates=H","DateFormat=P","Fill=—","Direction=H","UseDPDF=Y")</f>
        <v>34.466500000000003</v>
      </c>
      <c r="D19" s="14">
        <f>_xll.BDH("SRPT US Equity","MODIFIED_WORK_CAP_GROWTH","FQ1 2019","FQ1 2019","Currency=USD","Period=FQ","BEST_FPERIOD_OVERRIDE=FQ","FILING_STATUS=MR","Sort=A","Dates=H","DateFormat=P","Fill=—","Direction=H","UseDPDF=Y")</f>
        <v>34.990600000000001</v>
      </c>
      <c r="E19" s="14">
        <f>_xll.BDH("SRPT US Equity","MODIFIED_WORK_CAP_GROWTH","FQ2 2019","FQ2 2019","Currency=USD","Period=FQ","BEST_FPERIOD_OVERRIDE=FQ","FILING_STATUS=MR","Sort=A","Dates=H","DateFormat=P","Fill=—","Direction=H","UseDPDF=Y")</f>
        <v>30.660799999999998</v>
      </c>
      <c r="F19" s="14">
        <f>_xll.BDH("SRPT US Equity","MODIFIED_WORK_CAP_GROWTH","FQ3 2019","FQ3 2019","Currency=USD","Period=FQ","BEST_FPERIOD_OVERRIDE=FQ","FILING_STATUS=MR","Sort=A","Dates=H","DateFormat=P","Fill=—","Direction=H","UseDPDF=Y")</f>
        <v>5.8586999999999998</v>
      </c>
      <c r="G19" s="14">
        <f>_xll.BDH("SRPT US Equity","MODIFIED_WORK_CAP_GROWTH","FQ4 2019","FQ4 2019","Currency=USD","Period=FQ","BEST_FPERIOD_OVERRIDE=FQ","FILING_STATUS=MR","Sort=A","Dates=H","DateFormat=P","Fill=—","Direction=H","UseDPDF=Y")</f>
        <v>38.037799999999997</v>
      </c>
      <c r="H19" s="14">
        <f>_xll.BDH("SRPT US Equity","MODIFIED_WORK_CAP_GROWTH","FQ1 2020","FQ1 2020","Currency=USD","Period=FQ","BEST_FPERIOD_OVERRIDE=FQ","FILING_STATUS=MR","Sort=A","Dates=H","DateFormat=P","Fill=—","Direction=H","UseDPDF=Y")</f>
        <v>54.092300000000002</v>
      </c>
      <c r="I19" s="14">
        <f>_xll.BDH("SRPT US Equity","MODIFIED_WORK_CAP_GROWTH","FQ2 2020","FQ2 2020","Currency=USD","Period=FQ","BEST_FPERIOD_OVERRIDE=FQ","FILING_STATUS=MR","Sort=A","Dates=H","DateFormat=P","Fill=—","Direction=H","UseDPDF=Y")</f>
        <v>13.281599999999999</v>
      </c>
      <c r="J19" s="14">
        <f>_xll.BDH("SRPT US Equity","MODIFIED_WORK_CAP_GROWTH","FQ3 2020","FQ3 2020","Currency=USD","Period=FQ","BEST_FPERIOD_OVERRIDE=FQ","FILING_STATUS=MR","Sort=A","Dates=H","DateFormat=P","Fill=—","Direction=H","UseDPDF=Y")</f>
        <v>75.417500000000004</v>
      </c>
      <c r="K19" s="14">
        <f>_xll.BDH("SRPT US Equity","MODIFIED_WORK_CAP_GROWTH","FQ4 2020","FQ4 2020","Currency=USD","Period=FQ","BEST_FPERIOD_OVERRIDE=FQ","FILING_STATUS=MR","Sort=A","Dates=H","DateFormat=P","Fill=—","Direction=H","UseDPDF=Y")</f>
        <v>14.445</v>
      </c>
      <c r="L19" s="14">
        <f>_xll.BDH("SRPT US Equity","MODIFIED_WORK_CAP_GROWTH","FQ1 2021","FQ1 2021","Currency=USD","Period=FQ","BEST_FPERIOD_OVERRIDE=FQ","FILING_STATUS=MR","Sort=A","Dates=H","DateFormat=P","Fill=—","Direction=H","UseDPDF=Y")</f>
        <v>11.2201</v>
      </c>
      <c r="M19" s="14">
        <f>_xll.BDH("SRPT US Equity","MODIFIED_WORK_CAP_GROWTH","FQ2 2021","FQ2 2021","Currency=USD","Period=FQ","BEST_FPERIOD_OVERRIDE=FQ","FILING_STATUS=MR","Sort=A","Dates=H","DateFormat=P","Fill=—","Direction=H","UseDPDF=Y")</f>
        <v>66.440100000000001</v>
      </c>
      <c r="N19" s="14">
        <f>_xll.BDH("SRPT US Equity","MODIFIED_WORK_CAP_GROWTH","FQ3 2021","FQ3 2021","Currency=USD","Period=FQ","BEST_FPERIOD_OVERRIDE=FQ","FILING_STATUS=MR","Sort=A","Dates=H","DateFormat=P","Fill=—","Direction=H","UseDPDF=Y")</f>
        <v>47.370199999999997</v>
      </c>
      <c r="O19" s="14">
        <f>_xll.BDH("SRPT US Equity","MODIFIED_WORK_CAP_GROWTH","FQ4 2021","FQ4 2021","Currency=USD","Period=FQ","BEST_FPERIOD_OVERRIDE=FQ","FILING_STATUS=MR","Sort=A","Dates=H","DateFormat=P","Fill=—","Direction=H","UseDPDF=Y")</f>
        <v>18.113399999999999</v>
      </c>
      <c r="P19" s="14">
        <f>_xll.BDH("SRPT US Equity","MODIFIED_WORK_CAP_GROWTH","FQ1 2022","FQ1 2022","Currency=USD","Period=FQ","BEST_FPERIOD_OVERRIDE=FQ","FILING_STATUS=MR","Sort=A","Dates=H","DateFormat=P","Fill=—","Direction=H","UseDPDF=Y")</f>
        <v>14.651</v>
      </c>
      <c r="Q19" s="14">
        <f>_xll.BDH("SRPT US Equity","MODIFIED_WORK_CAP_GROWTH","FQ2 2022","FQ2 2022","Currency=USD","Period=FQ","BEST_FPERIOD_OVERRIDE=FQ","FILING_STATUS=MR","Sort=A","Dates=H","DateFormat=P","Fill=—","Direction=H","UseDPDF=Y")</f>
        <v>11.3103</v>
      </c>
      <c r="R19" s="14">
        <f>_xll.BDH("SRPT US Equity","MODIFIED_WORK_CAP_GROWTH","FQ3 2022","FQ3 2022","Currency=USD","Period=FQ","BEST_FPERIOD_OVERRIDE=FQ","FILING_STATUS=MR","Sort=A","Dates=H","DateFormat=P","Fill=—","Direction=H","UseDPDF=Y")</f>
        <v>-22.799900000000001</v>
      </c>
      <c r="S19" s="14">
        <f>_xll.BDH("SRPT US Equity","MODIFIED_WORK_CAP_GROWTH","FQ4 2022","FQ4 2022","Currency=USD","Period=FQ","BEST_FPERIOD_OVERRIDE=FQ","FILING_STATUS=MR","Sort=A","Dates=H","DateFormat=P","Fill=—","Direction=H","UseDPDF=Y")</f>
        <v>22.959599999999998</v>
      </c>
      <c r="T19" s="14">
        <f>_xll.BDH("SRPT US Equity","MODIFIED_WORK_CAP_GROWTH","FQ1 2023","FQ1 2023","Currency=USD","Period=FQ","BEST_FPERIOD_OVERRIDE=FQ","FILING_STATUS=MR","Sort=A","Dates=H","DateFormat=P","Fill=—","Direction=H","UseDPDF=Y")</f>
        <v>-1.0468</v>
      </c>
      <c r="U19" s="14">
        <f>_xll.BDH("SRPT US Equity","MODIFIED_WORK_CAP_GROWTH","FQ2 2023","FQ2 2023","Currency=USD","Period=FQ","BEST_FPERIOD_OVERRIDE=FQ","FILING_STATUS=MR","Sort=A","Dates=H","DateFormat=P","Fill=—","Direction=H","UseDPDF=Y")</f>
        <v>-0.5212</v>
      </c>
      <c r="V19" s="14">
        <f>_xll.BDH("SRPT US Equity","MODIFIED_WORK_CAP_GROWTH","FQ3 2023","FQ3 2023","Currency=USD","Period=FQ","BEST_FPERIOD_OVERRIDE=FQ","FILING_STATUS=MR","Sort=A","Dates=H","DateFormat=P","Fill=—","Direction=H","UseDPDF=Y")</f>
        <v>56.099800000000002</v>
      </c>
      <c r="W19" s="14">
        <f>_xll.BDH("SRPT US Equity","MODIFIED_WORK_CAP_GROWTH","FQ4 2023","FQ4 2023","Currency=USD","Period=FQ","BEST_FPERIOD_OVERRIDE=FQ","FILING_STATUS=MR","Sort=A","Dates=H","DateFormat=P","Fill=—","Direction=H","UseDPDF=Y")</f>
        <v>72.987799999999993</v>
      </c>
      <c r="X19" s="14">
        <f>_xll.BDH("SRPT US Equity","MODIFIED_WORK_CAP_GROWTH","FQ1 2024","FQ1 2024","Currency=USD","Period=FQ","BEST_FPERIOD_OVERRIDE=FQ","FILING_STATUS=MR","Sort=A","Dates=H","DateFormat=P","Fill=—","Direction=H","UseDPDF=Y")</f>
        <v>106.6285</v>
      </c>
      <c r="Y19" s="14">
        <f>_xll.BDH("SRPT US Equity","MODIFIED_WORK_CAP_GROWTH","FQ2 2024","FQ2 2024","Currency=USD","Period=FQ","BEST_FPERIOD_OVERRIDE=FQ","FILING_STATUS=MR","Sort=A","Dates=H","DateFormat=P","Fill=—","Direction=H","UseDPDF=Y")</f>
        <v>108.6465</v>
      </c>
      <c r="Z19" s="14">
        <f>_xll.BDH("SRPT US Equity","MODIFIED_WORK_CAP_GROWTH","FQ3 2024","FQ3 2024","Currency=USD","Period=FQ","BEST_FPERIOD_OVERRIDE=FQ","FILING_STATUS=MR","Sort=A","Dates=H","DateFormat=P","Fill=—","Direction=H","UseDPDF=Y")</f>
        <v>85.647599999999997</v>
      </c>
      <c r="AA19" s="14">
        <f>_xll.BDH("SRPT US Equity","MODIFIED_WORK_CAP_GROWTH","FQ4 2024","FQ4 2024","Currency=USD","Period=FQ","BEST_FPERIOD_OVERRIDE=FQ","FILING_STATUS=MR","Sort=A","Dates=H","DateFormat=P","Fill=—","Direction=H","UseDPDF=Y")</f>
        <v>103.7563</v>
      </c>
    </row>
    <row r="20" spans="1:27" x14ac:dyDescent="0.25">
      <c r="A20" s="10" t="s">
        <v>1403</v>
      </c>
      <c r="B20" s="10" t="s">
        <v>1404</v>
      </c>
      <c r="C20" s="14">
        <f>_xll.BDH("SRPT US Equity","WORK_CAP_GROWTH","FQ4 2018","FQ4 2018","Currency=USD","Period=FQ","BEST_FPERIOD_OVERRIDE=FQ","FILING_STATUS=MR","Sort=A","Dates=H","DateFormat=P","Fill=—","Direction=H","UseDPDF=Y")</f>
        <v>9.8376999999999999</v>
      </c>
      <c r="D20" s="14">
        <f>_xll.BDH("SRPT US Equity","WORK_CAP_GROWTH","FQ1 2019","FQ1 2019","Currency=USD","Period=FQ","BEST_FPERIOD_OVERRIDE=FQ","FILING_STATUS=MR","Sort=A","Dates=H","DateFormat=P","Fill=—","Direction=H","UseDPDF=Y")</f>
        <v>35.971299999999999</v>
      </c>
      <c r="E20" s="14">
        <f>_xll.BDH("SRPT US Equity","WORK_CAP_GROWTH","FQ2 2019","FQ2 2019","Currency=USD","Period=FQ","BEST_FPERIOD_OVERRIDE=FQ","FILING_STATUS=MR","Sort=A","Dates=H","DateFormat=P","Fill=—","Direction=H","UseDPDF=Y")</f>
        <v>22.3064</v>
      </c>
      <c r="F20" s="14">
        <f>_xll.BDH("SRPT US Equity","WORK_CAP_GROWTH","FQ3 2019","FQ3 2019","Currency=USD","Period=FQ","BEST_FPERIOD_OVERRIDE=FQ","FILING_STATUS=MR","Sort=A","Dates=H","DateFormat=P","Fill=—","Direction=H","UseDPDF=Y")</f>
        <v>27.711200000000002</v>
      </c>
      <c r="G20" s="14">
        <f>_xll.BDH("SRPT US Equity","WORK_CAP_GROWTH","FQ4 2019","FQ4 2019","Currency=USD","Period=FQ","BEST_FPERIOD_OVERRIDE=FQ","FILING_STATUS=MR","Sort=A","Dates=H","DateFormat=P","Fill=—","Direction=H","UseDPDF=Y")</f>
        <v>-3.8601000000000001</v>
      </c>
      <c r="H20" s="14">
        <f>_xll.BDH("SRPT US Equity","WORK_CAP_GROWTH","FQ1 2020","FQ1 2020","Currency=USD","Period=FQ","BEST_FPERIOD_OVERRIDE=FQ","FILING_STATUS=MR","Sort=A","Dates=H","DateFormat=P","Fill=—","Direction=H","UseDPDF=Y")</f>
        <v>46.0779</v>
      </c>
      <c r="I20" s="14">
        <f>_xll.BDH("SRPT US Equity","WORK_CAP_GROWTH","FQ2 2020","FQ2 2020","Currency=USD","Period=FQ","BEST_FPERIOD_OVERRIDE=FQ","FILING_STATUS=MR","Sort=A","Dates=H","DateFormat=P","Fill=—","Direction=H","UseDPDF=Y")</f>
        <v>66.322400000000002</v>
      </c>
      <c r="J20" s="14">
        <f>_xll.BDH("SRPT US Equity","WORK_CAP_GROWTH","FQ3 2020","FQ3 2020","Currency=USD","Period=FQ","BEST_FPERIOD_OVERRIDE=FQ","FILING_STATUS=MR","Sort=A","Dates=H","DateFormat=P","Fill=—","Direction=H","UseDPDF=Y")</f>
        <v>69.592799999999997</v>
      </c>
      <c r="K20" s="14">
        <f>_xll.BDH("SRPT US Equity","WORK_CAP_GROWTH","FQ4 2020","FQ4 2020","Currency=USD","Period=FQ","BEST_FPERIOD_OVERRIDE=FQ","FILING_STATUS=MR","Sort=A","Dates=H","DateFormat=P","Fill=—","Direction=H","UseDPDF=Y")</f>
        <v>71.837100000000007</v>
      </c>
      <c r="L20" s="14">
        <f>_xll.BDH("SRPT US Equity","WORK_CAP_GROWTH","FQ1 2021","FQ1 2021","Currency=USD","Period=FQ","BEST_FPERIOD_OVERRIDE=FQ","FILING_STATUS=MR","Sort=A","Dates=H","DateFormat=P","Fill=—","Direction=H","UseDPDF=Y")</f>
        <v>-14.918200000000001</v>
      </c>
      <c r="M20" s="14">
        <f>_xll.BDH("SRPT US Equity","WORK_CAP_GROWTH","FQ2 2021","FQ2 2021","Currency=USD","Period=FQ","BEST_FPERIOD_OVERRIDE=FQ","FILING_STATUS=MR","Sort=A","Dates=H","DateFormat=P","Fill=—","Direction=H","UseDPDF=Y")</f>
        <v>-12.5601</v>
      </c>
      <c r="N20" s="14">
        <f>_xll.BDH("SRPT US Equity","WORK_CAP_GROWTH","FQ3 2021","FQ3 2021","Currency=USD","Period=FQ","BEST_FPERIOD_OVERRIDE=FQ","FILING_STATUS=MR","Sort=A","Dates=H","DateFormat=P","Fill=—","Direction=H","UseDPDF=Y")</f>
        <v>-6.8106</v>
      </c>
      <c r="O20" s="14">
        <f>_xll.BDH("SRPT US Equity","WORK_CAP_GROWTH","FQ4 2021","FQ4 2021","Currency=USD","Period=FQ","BEST_FPERIOD_OVERRIDE=FQ","FILING_STATUS=MR","Sort=A","Dates=H","DateFormat=P","Fill=—","Direction=H","UseDPDF=Y")</f>
        <v>3.9723999999999999</v>
      </c>
      <c r="P20" s="14">
        <f>_xll.BDH("SRPT US Equity","WORK_CAP_GROWTH","FQ1 2022","FQ1 2022","Currency=USD","Period=FQ","BEST_FPERIOD_OVERRIDE=FQ","FILING_STATUS=MR","Sort=A","Dates=H","DateFormat=P","Fill=—","Direction=H","UseDPDF=Y")</f>
        <v>8.8833000000000002</v>
      </c>
      <c r="Q20" s="14">
        <f>_xll.BDH("SRPT US Equity","WORK_CAP_GROWTH","FQ2 2022","FQ2 2022","Currency=USD","Period=FQ","BEST_FPERIOD_OVERRIDE=FQ","FILING_STATUS=MR","Sort=A","Dates=H","DateFormat=P","Fill=—","Direction=H","UseDPDF=Y")</f>
        <v>4.5396999999999998</v>
      </c>
      <c r="R20" s="14">
        <f>_xll.BDH("SRPT US Equity","WORK_CAP_GROWTH","FQ3 2022","FQ3 2022","Currency=USD","Period=FQ","BEST_FPERIOD_OVERRIDE=FQ","FILING_STATUS=MR","Sort=A","Dates=H","DateFormat=P","Fill=—","Direction=H","UseDPDF=Y")</f>
        <v>11.653499999999999</v>
      </c>
      <c r="S20" s="14">
        <f>_xll.BDH("SRPT US Equity","WORK_CAP_GROWTH","FQ4 2022","FQ4 2022","Currency=USD","Period=FQ","BEST_FPERIOD_OVERRIDE=FQ","FILING_STATUS=MR","Sort=A","Dates=H","DateFormat=P","Fill=—","Direction=H","UseDPDF=Y")</f>
        <v>-9.9057999999999993</v>
      </c>
      <c r="T20" s="14">
        <f>_xll.BDH("SRPT US Equity","WORK_CAP_GROWTH","FQ1 2023","FQ1 2023","Currency=USD","Period=FQ","BEST_FPERIOD_OVERRIDE=FQ","FILING_STATUS=MR","Sort=A","Dates=H","DateFormat=P","Fill=—","Direction=H","UseDPDF=Y")</f>
        <v>-5.9968000000000004</v>
      </c>
      <c r="U20" s="14">
        <f>_xll.BDH("SRPT US Equity","WORK_CAP_GROWTH","FQ2 2023","FQ2 2023","Currency=USD","Period=FQ","BEST_FPERIOD_OVERRIDE=FQ","FILING_STATUS=MR","Sort=A","Dates=H","DateFormat=P","Fill=—","Direction=H","UseDPDF=Y")</f>
        <v>2.6109</v>
      </c>
      <c r="V20" s="14">
        <f>_xll.BDH("SRPT US Equity","WORK_CAP_GROWTH","FQ3 2023","FQ3 2023","Currency=USD","Period=FQ","BEST_FPERIOD_OVERRIDE=FQ","FILING_STATUS=MR","Sort=A","Dates=H","DateFormat=P","Fill=—","Direction=H","UseDPDF=Y")</f>
        <v>-1.1323000000000001</v>
      </c>
      <c r="W20" s="14">
        <f>_xll.BDH("SRPT US Equity","WORK_CAP_GROWTH","FQ4 2023","FQ4 2023","Currency=USD","Period=FQ","BEST_FPERIOD_OVERRIDE=FQ","FILING_STATUS=MR","Sort=A","Dates=H","DateFormat=P","Fill=—","Direction=H","UseDPDF=Y")</f>
        <v>-0.64929999999999999</v>
      </c>
      <c r="X20" s="14">
        <f>_xll.BDH("SRPT US Equity","WORK_CAP_GROWTH","FQ1 2024","FQ1 2024","Currency=USD","Period=FQ","BEST_FPERIOD_OVERRIDE=FQ","FILING_STATUS=MR","Sort=A","Dates=H","DateFormat=P","Fill=—","Direction=H","UseDPDF=Y")</f>
        <v>-4.8853</v>
      </c>
      <c r="Y20" s="14">
        <f>_xll.BDH("SRPT US Equity","WORK_CAP_GROWTH","FQ2 2024","FQ2 2024","Currency=USD","Period=FQ","BEST_FPERIOD_OVERRIDE=FQ","FILING_STATUS=MR","Sort=A","Dates=H","DateFormat=P","Fill=—","Direction=H","UseDPDF=Y")</f>
        <v>1.0732999999999999</v>
      </c>
      <c r="Z20" s="14">
        <f>_xll.BDH("SRPT US Equity","WORK_CAP_GROWTH","FQ3 2024","FQ3 2024","Currency=USD","Period=FQ","BEST_FPERIOD_OVERRIDE=FQ","FILING_STATUS=MR","Sort=A","Dates=H","DateFormat=P","Fill=—","Direction=H","UseDPDF=Y")</f>
        <v>-0.71130000000000004</v>
      </c>
      <c r="AA20" s="14">
        <f>_xll.BDH("SRPT US Equity","WORK_CAP_GROWTH","FQ4 2024","FQ4 2024","Currency=USD","Period=FQ","BEST_FPERIOD_OVERRIDE=FQ","FILING_STATUS=MR","Sort=A","Dates=H","DateFormat=P","Fill=—","Direction=H","UseDPDF=Y")</f>
        <v>21.6084</v>
      </c>
    </row>
    <row r="21" spans="1:27" x14ac:dyDescent="0.25">
      <c r="A21" s="10" t="s">
        <v>1405</v>
      </c>
      <c r="B21" s="10" t="s">
        <v>1406</v>
      </c>
      <c r="C21" s="14">
        <f>_xll.BDH("SRPT US Equity","EMPL_GROWTH","FQ4 2018","FQ4 2018","Currency=USD","Period=FQ","BEST_FPERIOD_OVERRIDE=FQ","FILING_STATUS=MR","Sort=A","Dates=H","DateFormat=P","Fill=—","Direction=H","UseDPDF=Y")</f>
        <v>95.686300000000003</v>
      </c>
      <c r="D21" s="14" t="str">
        <f>_xll.BDH("SRPT US Equity","EMPL_GROWTH","FQ1 2019","FQ1 2019","Currency=USD","Period=FQ","BEST_FPERIOD_OVERRIDE=FQ","FILING_STATUS=MR","Sort=A","Dates=H","DateFormat=P","Fill=—","Direction=H","UseDPDF=Y")</f>
        <v>—</v>
      </c>
      <c r="E21" s="14" t="str">
        <f>_xll.BDH("SRPT US Equity","EMPL_GROWTH","FQ2 2019","FQ2 2019","Currency=USD","Period=FQ","BEST_FPERIOD_OVERRIDE=FQ","FILING_STATUS=MR","Sort=A","Dates=H","DateFormat=P","Fill=—","Direction=H","UseDPDF=Y")</f>
        <v>—</v>
      </c>
      <c r="F21" s="14" t="str">
        <f>_xll.BDH("SRPT US Equity","EMPL_GROWTH","FQ3 2019","FQ3 2019","Currency=USD","Period=FQ","BEST_FPERIOD_OVERRIDE=FQ","FILING_STATUS=MR","Sort=A","Dates=H","DateFormat=P","Fill=—","Direction=H","UseDPDF=Y")</f>
        <v>—</v>
      </c>
      <c r="G21" s="14">
        <f>_xll.BDH("SRPT US Equity","EMPL_GROWTH","FQ4 2019","FQ4 2019","Currency=USD","Period=FQ","BEST_FPERIOD_OVERRIDE=FQ","FILING_STATUS=MR","Sort=A","Dates=H","DateFormat=P","Fill=—","Direction=H","UseDPDF=Y")</f>
        <v>48.897799999999997</v>
      </c>
      <c r="H21" s="14" t="str">
        <f>_xll.BDH("SRPT US Equity","EMPL_GROWTH","FQ1 2020","FQ1 2020","Currency=USD","Period=FQ","BEST_FPERIOD_OVERRIDE=FQ","FILING_STATUS=MR","Sort=A","Dates=H","DateFormat=P","Fill=—","Direction=H","UseDPDF=Y")</f>
        <v>—</v>
      </c>
      <c r="I21" s="14" t="str">
        <f>_xll.BDH("SRPT US Equity","EMPL_GROWTH","FQ2 2020","FQ2 2020","Currency=USD","Period=FQ","BEST_FPERIOD_OVERRIDE=FQ","FILING_STATUS=MR","Sort=A","Dates=H","DateFormat=P","Fill=—","Direction=H","UseDPDF=Y")</f>
        <v>—</v>
      </c>
      <c r="J21" s="14" t="str">
        <f>_xll.BDH("SRPT US Equity","EMPL_GROWTH","FQ3 2020","FQ3 2020","Currency=USD","Period=FQ","BEST_FPERIOD_OVERRIDE=FQ","FILING_STATUS=MR","Sort=A","Dates=H","DateFormat=P","Fill=—","Direction=H","UseDPDF=Y")</f>
        <v>—</v>
      </c>
      <c r="K21" s="14">
        <f>_xll.BDH("SRPT US Equity","EMPL_GROWTH","FQ4 2020","FQ4 2020","Currency=USD","Period=FQ","BEST_FPERIOD_OVERRIDE=FQ","FILING_STATUS=MR","Sort=A","Dates=H","DateFormat=P","Fill=—","Direction=H","UseDPDF=Y")</f>
        <v>16.554500000000001</v>
      </c>
      <c r="L21" s="14" t="str">
        <f>_xll.BDH("SRPT US Equity","EMPL_GROWTH","FQ1 2021","FQ1 2021","Currency=USD","Period=FQ","BEST_FPERIOD_OVERRIDE=FQ","FILING_STATUS=MR","Sort=A","Dates=H","DateFormat=P","Fill=—","Direction=H","UseDPDF=Y")</f>
        <v>—</v>
      </c>
      <c r="M21" s="14" t="str">
        <f>_xll.BDH("SRPT US Equity","EMPL_GROWTH","FQ2 2021","FQ2 2021","Currency=USD","Period=FQ","BEST_FPERIOD_OVERRIDE=FQ","FILING_STATUS=MR","Sort=A","Dates=H","DateFormat=P","Fill=—","Direction=H","UseDPDF=Y")</f>
        <v>—</v>
      </c>
      <c r="N21" s="14" t="str">
        <f>_xll.BDH("SRPT US Equity","EMPL_GROWTH","FQ3 2021","FQ3 2021","Currency=USD","Period=FQ","BEST_FPERIOD_OVERRIDE=FQ","FILING_STATUS=MR","Sort=A","Dates=H","DateFormat=P","Fill=—","Direction=H","UseDPDF=Y")</f>
        <v>—</v>
      </c>
      <c r="O21" s="14">
        <f>_xll.BDH("SRPT US Equity","EMPL_GROWTH","FQ4 2021","FQ4 2021","Currency=USD","Period=FQ","BEST_FPERIOD_OVERRIDE=FQ","FILING_STATUS=MR","Sort=A","Dates=H","DateFormat=P","Fill=—","Direction=H","UseDPDF=Y")</f>
        <v>-3.0023</v>
      </c>
      <c r="P21" s="14" t="str">
        <f>_xll.BDH("SRPT US Equity","EMPL_GROWTH","FQ1 2022","FQ1 2022","Currency=USD","Period=FQ","BEST_FPERIOD_OVERRIDE=FQ","FILING_STATUS=MR","Sort=A","Dates=H","DateFormat=P","Fill=—","Direction=H","UseDPDF=Y")</f>
        <v>—</v>
      </c>
      <c r="Q21" s="14" t="str">
        <f>_xll.BDH("SRPT US Equity","EMPL_GROWTH","FQ2 2022","FQ2 2022","Currency=USD","Period=FQ","BEST_FPERIOD_OVERRIDE=FQ","FILING_STATUS=MR","Sort=A","Dates=H","DateFormat=P","Fill=—","Direction=H","UseDPDF=Y")</f>
        <v>—</v>
      </c>
      <c r="R21" s="14" t="str">
        <f>_xll.BDH("SRPT US Equity","EMPL_GROWTH","FQ3 2022","FQ3 2022","Currency=USD","Period=FQ","BEST_FPERIOD_OVERRIDE=FQ","FILING_STATUS=MR","Sort=A","Dates=H","DateFormat=P","Fill=—","Direction=H","UseDPDF=Y")</f>
        <v>—</v>
      </c>
      <c r="S21" s="14">
        <f>_xll.BDH("SRPT US Equity","EMPL_GROWTH","FQ4 2022","FQ4 2022","Currency=USD","Period=FQ","BEST_FPERIOD_OVERRIDE=FQ","FILING_STATUS=MR","Sort=A","Dates=H","DateFormat=P","Fill=—","Direction=H","UseDPDF=Y")</f>
        <v>38.333300000000001</v>
      </c>
      <c r="T21" s="14" t="str">
        <f>_xll.BDH("SRPT US Equity","EMPL_GROWTH","FQ1 2023","FQ1 2023","Currency=USD","Period=FQ","BEST_FPERIOD_OVERRIDE=FQ","FILING_STATUS=MR","Sort=A","Dates=H","DateFormat=P","Fill=—","Direction=H","UseDPDF=Y")</f>
        <v>—</v>
      </c>
      <c r="U21" s="14" t="str">
        <f>_xll.BDH("SRPT US Equity","EMPL_GROWTH","FQ2 2023","FQ2 2023","Currency=USD","Period=FQ","BEST_FPERIOD_OVERRIDE=FQ","FILING_STATUS=MR","Sort=A","Dates=H","DateFormat=P","Fill=—","Direction=H","UseDPDF=Y")</f>
        <v>—</v>
      </c>
      <c r="V21" s="14" t="str">
        <f>_xll.BDH("SRPT US Equity","EMPL_GROWTH","FQ3 2023","FQ3 2023","Currency=USD","Period=FQ","BEST_FPERIOD_OVERRIDE=FQ","FILING_STATUS=MR","Sort=A","Dates=H","DateFormat=P","Fill=—","Direction=H","UseDPDF=Y")</f>
        <v>—</v>
      </c>
      <c r="W21" s="14">
        <f>_xll.BDH("SRPT US Equity","EMPL_GROWTH","FQ4 2023","FQ4 2023","Currency=USD","Period=FQ","BEST_FPERIOD_OVERRIDE=FQ","FILING_STATUS=MR","Sort=A","Dates=H","DateFormat=P","Fill=—","Direction=H","UseDPDF=Y")</f>
        <v>13.0809</v>
      </c>
      <c r="X21" s="14" t="str">
        <f>_xll.BDH("SRPT US Equity","EMPL_GROWTH","FQ1 2024","FQ1 2024","Currency=USD","Period=FQ","BEST_FPERIOD_OVERRIDE=FQ","FILING_STATUS=MR","Sort=A","Dates=H","DateFormat=P","Fill=—","Direction=H","UseDPDF=Y")</f>
        <v>—</v>
      </c>
      <c r="Y21" s="14" t="str">
        <f>_xll.BDH("SRPT US Equity","EMPL_GROWTH","FQ2 2024","FQ2 2024","Currency=USD","Period=FQ","BEST_FPERIOD_OVERRIDE=FQ","FILING_STATUS=MR","Sort=A","Dates=H","DateFormat=P","Fill=—","Direction=H","UseDPDF=Y")</f>
        <v>—</v>
      </c>
      <c r="Z21" s="14" t="str">
        <f>_xll.BDH("SRPT US Equity","EMPL_GROWTH","FQ3 2024","FQ3 2024","Currency=USD","Period=FQ","BEST_FPERIOD_OVERRIDE=FQ","FILING_STATUS=MR","Sort=A","Dates=H","DateFormat=P","Fill=—","Direction=H","UseDPDF=Y")</f>
        <v>—</v>
      </c>
      <c r="AA21" s="14">
        <f>_xll.BDH("SRPT US Equity","EMPL_GROWTH","FQ4 2024","FQ4 2024","Currency=USD","Period=FQ","BEST_FPERIOD_OVERRIDE=FQ","FILING_STATUS=MR","Sort=A","Dates=H","DateFormat=P","Fill=—","Direction=H","UseDPDF=Y")</f>
        <v>4.4139999999999997</v>
      </c>
    </row>
    <row r="22" spans="1:27" x14ac:dyDescent="0.25">
      <c r="A22" s="10" t="s">
        <v>1407</v>
      </c>
      <c r="B22" s="10" t="s">
        <v>1408</v>
      </c>
      <c r="C22" s="14">
        <f>_xll.BDH("SRPT US Equity","ACCOUNTS_PAYABLE_GROWTH_1YR","FQ4 2018","FQ4 2018","Currency=USD","Period=FQ","BEST_FPERIOD_OVERRIDE=FQ","FILING_STATUS=MR","Sort=A","Dates=H","DateFormat=P","Fill=—","Direction=H","UseDPDF=Y")</f>
        <v>299.5394</v>
      </c>
      <c r="D22" s="14">
        <f>_xll.BDH("SRPT US Equity","ACCOUNTS_PAYABLE_GROWTH_1YR","FQ1 2019","FQ1 2019","Currency=USD","Period=FQ","BEST_FPERIOD_OVERRIDE=FQ","FILING_STATUS=MR","Sort=A","Dates=H","DateFormat=P","Fill=—","Direction=H","UseDPDF=Y")</f>
        <v>52.4771</v>
      </c>
      <c r="E22" s="14">
        <f>_xll.BDH("SRPT US Equity","ACCOUNTS_PAYABLE_GROWTH_1YR","FQ2 2019","FQ2 2019","Currency=USD","Period=FQ","BEST_FPERIOD_OVERRIDE=FQ","FILING_STATUS=MR","Sort=A","Dates=H","DateFormat=P","Fill=—","Direction=H","UseDPDF=Y")</f>
        <v>153.39429999999999</v>
      </c>
      <c r="F22" s="14">
        <f>_xll.BDH("SRPT US Equity","ACCOUNTS_PAYABLE_GROWTH_1YR","FQ3 2019","FQ3 2019","Currency=USD","Period=FQ","BEST_FPERIOD_OVERRIDE=FQ","FILING_STATUS=MR","Sort=A","Dates=H","DateFormat=P","Fill=—","Direction=H","UseDPDF=Y")</f>
        <v>301.53859999999997</v>
      </c>
      <c r="G22" s="14">
        <f>_xll.BDH("SRPT US Equity","ACCOUNTS_PAYABLE_GROWTH_1YR","FQ4 2019","FQ4 2019","Currency=USD","Period=FQ","BEST_FPERIOD_OVERRIDE=FQ","FILING_STATUS=MR","Sort=A","Dates=H","DateFormat=P","Fill=—","Direction=H","UseDPDF=Y")</f>
        <v>101.28879999999999</v>
      </c>
      <c r="H22" s="14">
        <f>_xll.BDH("SRPT US Equity","ACCOUNTS_PAYABLE_GROWTH_1YR","FQ1 2020","FQ1 2020","Currency=USD","Period=FQ","BEST_FPERIOD_OVERRIDE=FQ","FILING_STATUS=MR","Sort=A","Dates=H","DateFormat=P","Fill=—","Direction=H","UseDPDF=Y")</f>
        <v>0.36230000000000001</v>
      </c>
      <c r="I22" s="14">
        <f>_xll.BDH("SRPT US Equity","ACCOUNTS_PAYABLE_GROWTH_1YR","FQ2 2020","FQ2 2020","Currency=USD","Period=FQ","BEST_FPERIOD_OVERRIDE=FQ","FILING_STATUS=MR","Sort=A","Dates=H","DateFormat=P","Fill=—","Direction=H","UseDPDF=Y")</f>
        <v>108.1053</v>
      </c>
      <c r="J22" s="14">
        <f>_xll.BDH("SRPT US Equity","ACCOUNTS_PAYABLE_GROWTH_1YR","FQ3 2020","FQ3 2020","Currency=USD","Period=FQ","BEST_FPERIOD_OVERRIDE=FQ","FILING_STATUS=MR","Sort=A","Dates=H","DateFormat=P","Fill=—","Direction=H","UseDPDF=Y")</f>
        <v>-9.0523000000000007</v>
      </c>
      <c r="K22" s="14">
        <f>_xll.BDH("SRPT US Equity","ACCOUNTS_PAYABLE_GROWTH_1YR","FQ4 2020","FQ4 2020","Currency=USD","Period=FQ","BEST_FPERIOD_OVERRIDE=FQ","FILING_STATUS=MR","Sort=A","Dates=H","DateFormat=P","Fill=—","Direction=H","UseDPDF=Y")</f>
        <v>63.142099999999999</v>
      </c>
      <c r="L22" s="14">
        <f>_xll.BDH("SRPT US Equity","ACCOUNTS_PAYABLE_GROWTH_1YR","FQ1 2021","FQ1 2021","Currency=USD","Period=FQ","BEST_FPERIOD_OVERRIDE=FQ","FILING_STATUS=MR","Sort=A","Dates=H","DateFormat=P","Fill=—","Direction=H","UseDPDF=Y")</f>
        <v>188.2158</v>
      </c>
      <c r="M22" s="14">
        <f>_xll.BDH("SRPT US Equity","ACCOUNTS_PAYABLE_GROWTH_1YR","FQ2 2021","FQ2 2021","Currency=USD","Period=FQ","BEST_FPERIOD_OVERRIDE=FQ","FILING_STATUS=MR","Sort=A","Dates=H","DateFormat=P","Fill=—","Direction=H","UseDPDF=Y")</f>
        <v>-16.341899999999999</v>
      </c>
      <c r="N22" s="14">
        <f>_xll.BDH("SRPT US Equity","ACCOUNTS_PAYABLE_GROWTH_1YR","FQ3 2021","FQ3 2021","Currency=USD","Period=FQ","BEST_FPERIOD_OVERRIDE=FQ","FILING_STATUS=MR","Sort=A","Dates=H","DateFormat=P","Fill=—","Direction=H","UseDPDF=Y")</f>
        <v>-40.743099999999998</v>
      </c>
      <c r="O22" s="14">
        <f>_xll.BDH("SRPT US Equity","ACCOUNTS_PAYABLE_GROWTH_1YR","FQ4 2021","FQ4 2021","Currency=USD","Period=FQ","BEST_FPERIOD_OVERRIDE=FQ","FILING_STATUS=MR","Sort=A","Dates=H","DateFormat=P","Fill=—","Direction=H","UseDPDF=Y")</f>
        <v>-30.92</v>
      </c>
      <c r="P22" s="14">
        <f>_xll.BDH("SRPT US Equity","ACCOUNTS_PAYABLE_GROWTH_1YR","FQ1 2022","FQ1 2022","Currency=USD","Period=FQ","BEST_FPERIOD_OVERRIDE=FQ","FILING_STATUS=MR","Sort=A","Dates=H","DateFormat=P","Fill=—","Direction=H","UseDPDF=Y")</f>
        <v>-29.541699999999999</v>
      </c>
      <c r="Q22" s="14">
        <f>_xll.BDH("SRPT US Equity","ACCOUNTS_PAYABLE_GROWTH_1YR","FQ2 2022","FQ2 2022","Currency=USD","Period=FQ","BEST_FPERIOD_OVERRIDE=FQ","FILING_STATUS=MR","Sort=A","Dates=H","DateFormat=P","Fill=—","Direction=H","UseDPDF=Y")</f>
        <v>-26.700199999999999</v>
      </c>
      <c r="R22" s="14">
        <f>_xll.BDH("SRPT US Equity","ACCOUNTS_PAYABLE_GROWTH_1YR","FQ3 2022","FQ3 2022","Currency=USD","Period=FQ","BEST_FPERIOD_OVERRIDE=FQ","FILING_STATUS=MR","Sort=A","Dates=H","DateFormat=P","Fill=—","Direction=H","UseDPDF=Y")</f>
        <v>168.23589999999999</v>
      </c>
      <c r="S22" s="14">
        <f>_xll.BDH("SRPT US Equity","ACCOUNTS_PAYABLE_GROWTH_1YR","FQ4 2022","FQ4 2022","Currency=USD","Period=FQ","BEST_FPERIOD_OVERRIDE=FQ","FILING_STATUS=MR","Sort=A","Dates=H","DateFormat=P","Fill=—","Direction=H","UseDPDF=Y")</f>
        <v>24.933199999999999</v>
      </c>
      <c r="T22" s="14">
        <f>_xll.BDH("SRPT US Equity","ACCOUNTS_PAYABLE_GROWTH_1YR","FQ1 2023","FQ1 2023","Currency=USD","Period=FQ","BEST_FPERIOD_OVERRIDE=FQ","FILING_STATUS=MR","Sort=A","Dates=H","DateFormat=P","Fill=—","Direction=H","UseDPDF=Y")</f>
        <v>97.585499999999996</v>
      </c>
      <c r="U22" s="14">
        <f>_xll.BDH("SRPT US Equity","ACCOUNTS_PAYABLE_GROWTH_1YR","FQ2 2023","FQ2 2023","Currency=USD","Period=FQ","BEST_FPERIOD_OVERRIDE=FQ","FILING_STATUS=MR","Sort=A","Dates=H","DateFormat=P","Fill=—","Direction=H","UseDPDF=Y")</f>
        <v>95.342200000000005</v>
      </c>
      <c r="V22" s="14">
        <f>_xll.BDH("SRPT US Equity","ACCOUNTS_PAYABLE_GROWTH_1YR","FQ3 2023","FQ3 2023","Currency=USD","Period=FQ","BEST_FPERIOD_OVERRIDE=FQ","FILING_STATUS=MR","Sort=A","Dates=H","DateFormat=P","Fill=—","Direction=H","UseDPDF=Y")</f>
        <v>-25.7578</v>
      </c>
      <c r="W22" s="14">
        <f>_xll.BDH("SRPT US Equity","ACCOUNTS_PAYABLE_GROWTH_1YR","FQ4 2023","FQ4 2023","Currency=USD","Period=FQ","BEST_FPERIOD_OVERRIDE=FQ","FILING_STATUS=MR","Sort=A","Dates=H","DateFormat=P","Fill=—","Direction=H","UseDPDF=Y")</f>
        <v>72.013599999999997</v>
      </c>
      <c r="X22" s="14">
        <f>_xll.BDH("SRPT US Equity","ACCOUNTS_PAYABLE_GROWTH_1YR","FQ1 2024","FQ1 2024","Currency=USD","Period=FQ","BEST_FPERIOD_OVERRIDE=FQ","FILING_STATUS=MR","Sort=A","Dates=H","DateFormat=P","Fill=—","Direction=H","UseDPDF=Y")</f>
        <v>-14.219799999999999</v>
      </c>
      <c r="Y22" s="14">
        <f>_xll.BDH("SRPT US Equity","ACCOUNTS_PAYABLE_GROWTH_1YR","FQ2 2024","FQ2 2024","Currency=USD","Period=FQ","BEST_FPERIOD_OVERRIDE=FQ","FILING_STATUS=MR","Sort=A","Dates=H","DateFormat=P","Fill=—","Direction=H","UseDPDF=Y")</f>
        <v>-2.1667000000000001</v>
      </c>
      <c r="Z22" s="14">
        <f>_xll.BDH("SRPT US Equity","ACCOUNTS_PAYABLE_GROWTH_1YR","FQ3 2024","FQ3 2024","Currency=USD","Period=FQ","BEST_FPERIOD_OVERRIDE=FQ","FILING_STATUS=MR","Sort=A","Dates=H","DateFormat=P","Fill=—","Direction=H","UseDPDF=Y")</f>
        <v>35.0503</v>
      </c>
      <c r="AA22" s="14">
        <f>_xll.BDH("SRPT US Equity","ACCOUNTS_PAYABLE_GROWTH_1YR","FQ4 2024","FQ4 2024","Currency=USD","Period=FQ","BEST_FPERIOD_OVERRIDE=FQ","FILING_STATUS=MR","Sort=A","Dates=H","DateFormat=P","Fill=—","Direction=H","UseDPDF=Y")</f>
        <v>30.029499999999999</v>
      </c>
    </row>
    <row r="23" spans="1:27" x14ac:dyDescent="0.25">
      <c r="A23" s="10" t="s">
        <v>1409</v>
      </c>
      <c r="B23" s="10" t="s">
        <v>1410</v>
      </c>
      <c r="C23" s="14" t="str">
        <f>_xll.BDH("SRPT US Equity","SHORT_TERM_DEBT_1_YEAR_GROWTH","FQ4 2018","FQ4 2018","Currency=USD","Period=FQ","BEST_FPERIOD_OVERRIDE=FQ","FILING_STATUS=MR","Sort=A","Dates=H","DateFormat=P","Fill=—","Direction=H","UseDPDF=Y")</f>
        <v>—</v>
      </c>
      <c r="D23" s="14">
        <f>_xll.BDH("SRPT US Equity","SHORT_TERM_DEBT_1_YEAR_GROWTH","FQ1 2019","FQ1 2019","Currency=USD","Period=FQ","BEST_FPERIOD_OVERRIDE=FQ","FILING_STATUS=MR","Sort=A","Dates=H","DateFormat=P","Fill=—","Direction=H","UseDPDF=Y")</f>
        <v>96.285499999999999</v>
      </c>
      <c r="E23" s="14">
        <f>_xll.BDH("SRPT US Equity","SHORT_TERM_DEBT_1_YEAR_GROWTH","FQ2 2019","FQ2 2019","Currency=USD","Period=FQ","BEST_FPERIOD_OVERRIDE=FQ","FILING_STATUS=MR","Sort=A","Dates=H","DateFormat=P","Fill=—","Direction=H","UseDPDF=Y")</f>
        <v>-24.731999999999999</v>
      </c>
      <c r="F23" s="14" t="str">
        <f>_xll.BDH("SRPT US Equity","SHORT_TERM_DEBT_1_YEAR_GROWTH","FQ3 2019","FQ3 2019","Currency=USD","Period=FQ","BEST_FPERIOD_OVERRIDE=FQ","FILING_STATUS=MR","Sort=A","Dates=H","DateFormat=P","Fill=—","Direction=H","UseDPDF=Y")</f>
        <v>—</v>
      </c>
      <c r="G23" s="14" t="str">
        <f>_xll.BDH("SRPT US Equity","SHORT_TERM_DEBT_1_YEAR_GROWTH","FQ4 2019","FQ4 2019","Currency=USD","Period=FQ","BEST_FPERIOD_OVERRIDE=FQ","FILING_STATUS=MR","Sort=A","Dates=H","DateFormat=P","Fill=—","Direction=H","UseDPDF=Y")</f>
        <v>—</v>
      </c>
      <c r="H23" s="14" t="str">
        <f>_xll.BDH("SRPT US Equity","SHORT_TERM_DEBT_1_YEAR_GROWTH","FQ1 2020","FQ1 2020","Currency=USD","Period=FQ","BEST_FPERIOD_OVERRIDE=FQ","FILING_STATUS=MR","Sort=A","Dates=H","DateFormat=P","Fill=—","Direction=H","UseDPDF=Y")</f>
        <v>—</v>
      </c>
      <c r="I23" s="14" t="str">
        <f>_xll.BDH("SRPT US Equity","SHORT_TERM_DEBT_1_YEAR_GROWTH","FQ2 2020","FQ2 2020","Currency=USD","Period=FQ","BEST_FPERIOD_OVERRIDE=FQ","FILING_STATUS=MR","Sort=A","Dates=H","DateFormat=P","Fill=—","Direction=H","UseDPDF=Y")</f>
        <v>—</v>
      </c>
      <c r="J23" s="14" t="str">
        <f>_xll.BDH("SRPT US Equity","SHORT_TERM_DEBT_1_YEAR_GROWTH","FQ3 2020","FQ3 2020","Currency=USD","Period=FQ","BEST_FPERIOD_OVERRIDE=FQ","FILING_STATUS=MR","Sort=A","Dates=H","DateFormat=P","Fill=—","Direction=H","UseDPDF=Y")</f>
        <v>—</v>
      </c>
      <c r="K23" s="14">
        <f>_xll.BDH("SRPT US Equity","SHORT_TERM_DEBT_1_YEAR_GROWTH","FQ4 2020","FQ4 2020","Currency=USD","Period=FQ","BEST_FPERIOD_OVERRIDE=FQ","FILING_STATUS=MR","Sort=A","Dates=H","DateFormat=P","Fill=—","Direction=H","UseDPDF=Y")</f>
        <v>166.76009999999999</v>
      </c>
      <c r="L23" s="14" t="str">
        <f>_xll.BDH("SRPT US Equity","SHORT_TERM_DEBT_1_YEAR_GROWTH","FQ1 2021","FQ1 2021","Currency=USD","Period=FQ","BEST_FPERIOD_OVERRIDE=FQ","FILING_STATUS=MR","Sort=A","Dates=H","DateFormat=P","Fill=—","Direction=H","UseDPDF=Y")</f>
        <v>—</v>
      </c>
      <c r="M23" s="14" t="str">
        <f>_xll.BDH("SRPT US Equity","SHORT_TERM_DEBT_1_YEAR_GROWTH","FQ2 2021","FQ2 2021","Currency=USD","Period=FQ","BEST_FPERIOD_OVERRIDE=FQ","FILING_STATUS=MR","Sort=A","Dates=H","DateFormat=P","Fill=—","Direction=H","UseDPDF=Y")</f>
        <v>—</v>
      </c>
      <c r="N23" s="14" t="str">
        <f>_xll.BDH("SRPT US Equity","SHORT_TERM_DEBT_1_YEAR_GROWTH","FQ3 2021","FQ3 2021","Currency=USD","Period=FQ","BEST_FPERIOD_OVERRIDE=FQ","FILING_STATUS=MR","Sort=A","Dates=H","DateFormat=P","Fill=—","Direction=H","UseDPDF=Y")</f>
        <v>—</v>
      </c>
      <c r="O23" s="14">
        <f>_xll.BDH("SRPT US Equity","SHORT_TERM_DEBT_1_YEAR_GROWTH","FQ4 2021","FQ4 2021","Currency=USD","Period=FQ","BEST_FPERIOD_OVERRIDE=FQ","FILING_STATUS=MR","Sort=A","Dates=H","DateFormat=P","Fill=—","Direction=H","UseDPDF=Y")</f>
        <v>-28.098400000000002</v>
      </c>
      <c r="P23" s="14" t="str">
        <f>_xll.BDH("SRPT US Equity","SHORT_TERM_DEBT_1_YEAR_GROWTH","FQ1 2022","FQ1 2022","Currency=USD","Period=FQ","BEST_FPERIOD_OVERRIDE=FQ","FILING_STATUS=MR","Sort=A","Dates=H","DateFormat=P","Fill=—","Direction=H","UseDPDF=Y")</f>
        <v>—</v>
      </c>
      <c r="Q23" s="14" t="str">
        <f>_xll.BDH("SRPT US Equity","SHORT_TERM_DEBT_1_YEAR_GROWTH","FQ2 2022","FQ2 2022","Currency=USD","Period=FQ","BEST_FPERIOD_OVERRIDE=FQ","FILING_STATUS=MR","Sort=A","Dates=H","DateFormat=P","Fill=—","Direction=H","UseDPDF=Y")</f>
        <v>—</v>
      </c>
      <c r="R23" s="14" t="str">
        <f>_xll.BDH("SRPT US Equity","SHORT_TERM_DEBT_1_YEAR_GROWTH","FQ3 2022","FQ3 2022","Currency=USD","Period=FQ","BEST_FPERIOD_OVERRIDE=FQ","FILING_STATUS=MR","Sort=A","Dates=H","DateFormat=P","Fill=—","Direction=H","UseDPDF=Y")</f>
        <v>—</v>
      </c>
      <c r="S23" s="14">
        <f>_xll.BDH("SRPT US Equity","SHORT_TERM_DEBT_1_YEAR_GROWTH","FQ4 2022","FQ4 2022","Currency=USD","Period=FQ","BEST_FPERIOD_OVERRIDE=FQ","FILING_STATUS=MR","Sort=A","Dates=H","DateFormat=P","Fill=—","Direction=H","UseDPDF=Y")</f>
        <v>2.9238</v>
      </c>
      <c r="T23" s="14" t="str">
        <f>_xll.BDH("SRPT US Equity","SHORT_TERM_DEBT_1_YEAR_GROWTH","FQ1 2023","FQ1 2023","Currency=USD","Period=FQ","BEST_FPERIOD_OVERRIDE=FQ","FILING_STATUS=MR","Sort=A","Dates=H","DateFormat=P","Fill=—","Direction=H","UseDPDF=Y")</f>
        <v>—</v>
      </c>
      <c r="U23" s="14" t="str">
        <f>_xll.BDH("SRPT US Equity","SHORT_TERM_DEBT_1_YEAR_GROWTH","FQ2 2023","FQ2 2023","Currency=USD","Period=FQ","BEST_FPERIOD_OVERRIDE=FQ","FILING_STATUS=MR","Sort=A","Dates=H","DateFormat=P","Fill=—","Direction=H","UseDPDF=Y")</f>
        <v>—</v>
      </c>
      <c r="V23" s="14" t="str">
        <f>_xll.BDH("SRPT US Equity","SHORT_TERM_DEBT_1_YEAR_GROWTH","FQ3 2023","FQ3 2023","Currency=USD","Period=FQ","BEST_FPERIOD_OVERRIDE=FQ","FILING_STATUS=MR","Sort=A","Dates=H","DateFormat=P","Fill=—","Direction=H","UseDPDF=Y")</f>
        <v>—</v>
      </c>
      <c r="W23" s="14">
        <f>_xll.BDH("SRPT US Equity","SHORT_TERM_DEBT_1_YEAR_GROWTH","FQ4 2023","FQ4 2023","Currency=USD","Period=FQ","BEST_FPERIOD_OVERRIDE=FQ","FILING_STATUS=MR","Sort=A","Dates=H","DateFormat=P","Fill=—","Direction=H","UseDPDF=Y")</f>
        <v>696.2296</v>
      </c>
      <c r="X23" s="14" t="str">
        <f>_xll.BDH("SRPT US Equity","SHORT_TERM_DEBT_1_YEAR_GROWTH","FQ1 2024","FQ1 2024","Currency=USD","Period=FQ","BEST_FPERIOD_OVERRIDE=FQ","FILING_STATUS=MR","Sort=A","Dates=H","DateFormat=P","Fill=—","Direction=H","UseDPDF=Y")</f>
        <v>—</v>
      </c>
      <c r="Y23" s="14" t="str">
        <f>_xll.BDH("SRPT US Equity","SHORT_TERM_DEBT_1_YEAR_GROWTH","FQ2 2024","FQ2 2024","Currency=USD","Period=FQ","BEST_FPERIOD_OVERRIDE=FQ","FILING_STATUS=MR","Sort=A","Dates=H","DateFormat=P","Fill=—","Direction=H","UseDPDF=Y")</f>
        <v>—</v>
      </c>
      <c r="Z23" s="14">
        <f>_xll.BDH("SRPT US Equity","SHORT_TERM_DEBT_1_YEAR_GROWTH","FQ3 2024","FQ3 2024","Currency=USD","Period=FQ","BEST_FPERIOD_OVERRIDE=FQ","FILING_STATUS=MR","Sort=A","Dates=H","DateFormat=P","Fill=—","Direction=H","UseDPDF=Y")</f>
        <v>410.25009999999997</v>
      </c>
      <c r="AA23" s="14">
        <f>_xll.BDH("SRPT US Equity","SHORT_TERM_DEBT_1_YEAR_GROWTH","FQ4 2024","FQ4 2024","Currency=USD","Period=FQ","BEST_FPERIOD_OVERRIDE=FQ","FILING_STATUS=MR","Sort=A","Dates=H","DateFormat=P","Fill=—","Direction=H","UseDPDF=Y")</f>
        <v>-89.075500000000005</v>
      </c>
    </row>
    <row r="24" spans="1:27" x14ac:dyDescent="0.25">
      <c r="A24" s="10" t="s">
        <v>1411</v>
      </c>
      <c r="B24" s="10" t="s">
        <v>1412</v>
      </c>
      <c r="C24" s="14">
        <f>_xll.BDH("SRPT US Equity","TOTAL_DEBT_1_YEAR_GROWTH","FQ4 2018","FQ4 2018","Currency=USD","Period=FQ","BEST_FPERIOD_OVERRIDE=FQ","FILING_STATUS=MR","Sort=A","Dates=H","DateFormat=P","Fill=—","Direction=H","UseDPDF=Y")</f>
        <v>-2.4352</v>
      </c>
      <c r="D24" s="14">
        <f>_xll.BDH("SRPT US Equity","TOTAL_DEBT_1_YEAR_GROWTH","FQ1 2019","FQ1 2019","Currency=USD","Period=FQ","BEST_FPERIOD_OVERRIDE=FQ","FILING_STATUS=MR","Sort=A","Dates=H","DateFormat=P","Fill=—","Direction=H","UseDPDF=Y")</f>
        <v>12.504300000000001</v>
      </c>
      <c r="E24" s="14">
        <f>_xll.BDH("SRPT US Equity","TOTAL_DEBT_1_YEAR_GROWTH","FQ2 2019","FQ2 2019","Currency=USD","Period=FQ","BEST_FPERIOD_OVERRIDE=FQ","FILING_STATUS=MR","Sort=A","Dates=H","DateFormat=P","Fill=—","Direction=H","UseDPDF=Y")</f>
        <v>11.144</v>
      </c>
      <c r="F24" s="14">
        <f>_xll.BDH("SRPT US Equity","TOTAL_DEBT_1_YEAR_GROWTH","FQ3 2019","FQ3 2019","Currency=USD","Period=FQ","BEST_FPERIOD_OVERRIDE=FQ","FILING_STATUS=MR","Sort=A","Dates=H","DateFormat=P","Fill=—","Direction=H","UseDPDF=Y")</f>
        <v>18.850100000000001</v>
      </c>
      <c r="G24" s="14">
        <f>_xll.BDH("SRPT US Equity","TOTAL_DEBT_1_YEAR_GROWTH","FQ4 2019","FQ4 2019","Currency=USD","Period=FQ","BEST_FPERIOD_OVERRIDE=FQ","FILING_STATUS=MR","Sort=A","Dates=H","DateFormat=P","Fill=—","Direction=H","UseDPDF=Y")</f>
        <v>75.355800000000002</v>
      </c>
      <c r="H24" s="14">
        <f>_xll.BDH("SRPT US Equity","TOTAL_DEBT_1_YEAR_GROWTH","FQ1 2020","FQ1 2020","Currency=USD","Period=FQ","BEST_FPERIOD_OVERRIDE=FQ","FILING_STATUS=MR","Sort=A","Dates=H","DateFormat=P","Fill=—","Direction=H","UseDPDF=Y")</f>
        <v>55.404499999999999</v>
      </c>
      <c r="I24" s="14">
        <f>_xll.BDH("SRPT US Equity","TOTAL_DEBT_1_YEAR_GROWTH","FQ2 2020","FQ2 2020","Currency=USD","Period=FQ","BEST_FPERIOD_OVERRIDE=FQ","FILING_STATUS=MR","Sort=A","Dates=H","DateFormat=P","Fill=—","Direction=H","UseDPDF=Y")</f>
        <v>56.9495</v>
      </c>
      <c r="J24" s="14">
        <f>_xll.BDH("SRPT US Equity","TOTAL_DEBT_1_YEAR_GROWTH","FQ3 2020","FQ3 2020","Currency=USD","Period=FQ","BEST_FPERIOD_OVERRIDE=FQ","FILING_STATUS=MR","Sort=A","Dates=H","DateFormat=P","Fill=—","Direction=H","UseDPDF=Y")</f>
        <v>55.683399999999999</v>
      </c>
      <c r="K24" s="14">
        <f>_xll.BDH("SRPT US Equity","TOTAL_DEBT_1_YEAR_GROWTH","FQ4 2020","FQ4 2020","Currency=USD","Period=FQ","BEST_FPERIOD_OVERRIDE=FQ","FILING_STATUS=MR","Sort=A","Dates=H","DateFormat=P","Fill=—","Direction=H","UseDPDF=Y")</f>
        <v>48.317300000000003</v>
      </c>
      <c r="L24" s="14">
        <f>_xll.BDH("SRPT US Equity","TOTAL_DEBT_1_YEAR_GROWTH","FQ1 2021","FQ1 2021","Currency=USD","Period=FQ","BEST_FPERIOD_OVERRIDE=FQ","FILING_STATUS=MR","Sort=A","Dates=H","DateFormat=P","Fill=—","Direction=H","UseDPDF=Y")</f>
        <v>52.915599999999998</v>
      </c>
      <c r="M24" s="14">
        <f>_xll.BDH("SRPT US Equity","TOTAL_DEBT_1_YEAR_GROWTH","FQ2 2021","FQ2 2021","Currency=USD","Period=FQ","BEST_FPERIOD_OVERRIDE=FQ","FILING_STATUS=MR","Sort=A","Dates=H","DateFormat=P","Fill=—","Direction=H","UseDPDF=Y")</f>
        <v>51.100299999999997</v>
      </c>
      <c r="N24" s="14">
        <f>_xll.BDH("SRPT US Equity","TOTAL_DEBT_1_YEAR_GROWTH","FQ3 2021","FQ3 2021","Currency=USD","Period=FQ","BEST_FPERIOD_OVERRIDE=FQ","FILING_STATUS=MR","Sort=A","Dates=H","DateFormat=P","Fill=—","Direction=H","UseDPDF=Y")</f>
        <v>50.688400000000001</v>
      </c>
      <c r="O24" s="14">
        <f>_xll.BDH("SRPT US Equity","TOTAL_DEBT_1_YEAR_GROWTH","FQ4 2021","FQ4 2021","Currency=USD","Period=FQ","BEST_FPERIOD_OVERRIDE=FQ","FILING_STATUS=MR","Sort=A","Dates=H","DateFormat=P","Fill=—","Direction=H","UseDPDF=Y")</f>
        <v>5.4531999999999998</v>
      </c>
      <c r="P24" s="14">
        <f>_xll.BDH("SRPT US Equity","TOTAL_DEBT_1_YEAR_GROWTH","FQ1 2022","FQ1 2022","Currency=USD","Period=FQ","BEST_FPERIOD_OVERRIDE=FQ","FILING_STATUS=MR","Sort=A","Dates=H","DateFormat=P","Fill=—","Direction=H","UseDPDF=Y")</f>
        <v>-1.2431000000000001</v>
      </c>
      <c r="Q24" s="14">
        <f>_xll.BDH("SRPT US Equity","TOTAL_DEBT_1_YEAR_GROWTH","FQ2 2022","FQ2 2022","Currency=USD","Period=FQ","BEST_FPERIOD_OVERRIDE=FQ","FILING_STATUS=MR","Sort=A","Dates=H","DateFormat=P","Fill=—","Direction=H","UseDPDF=Y")</f>
        <v>-1.5565</v>
      </c>
      <c r="R24" s="14">
        <f>_xll.BDH("SRPT US Equity","TOTAL_DEBT_1_YEAR_GROWTH","FQ3 2022","FQ3 2022","Currency=USD","Period=FQ","BEST_FPERIOD_OVERRIDE=FQ","FILING_STATUS=MR","Sort=A","Dates=H","DateFormat=P","Fill=—","Direction=H","UseDPDF=Y")</f>
        <v>36.229300000000002</v>
      </c>
      <c r="S24" s="14">
        <f>_xll.BDH("SRPT US Equity","TOTAL_DEBT_1_YEAR_GROWTH","FQ4 2022","FQ4 2022","Currency=USD","Period=FQ","BEST_FPERIOD_OVERRIDE=FQ","FILING_STATUS=MR","Sort=A","Dates=H","DateFormat=P","Fill=—","Direction=H","UseDPDF=Y")</f>
        <v>40.220799999999997</v>
      </c>
      <c r="T24" s="14">
        <f>_xll.BDH("SRPT US Equity","TOTAL_DEBT_1_YEAR_GROWTH","FQ1 2023","FQ1 2023","Currency=USD","Period=FQ","BEST_FPERIOD_OVERRIDE=FQ","FILING_STATUS=MR","Sort=A","Dates=H","DateFormat=P","Fill=—","Direction=H","UseDPDF=Y")</f>
        <v>13.253</v>
      </c>
      <c r="U24" s="14">
        <f>_xll.BDH("SRPT US Equity","TOTAL_DEBT_1_YEAR_GROWTH","FQ2 2023","FQ2 2023","Currency=USD","Period=FQ","BEST_FPERIOD_OVERRIDE=FQ","FILING_STATUS=MR","Sort=A","Dates=H","DateFormat=P","Fill=—","Direction=H","UseDPDF=Y")</f>
        <v>19.684100000000001</v>
      </c>
      <c r="V24" s="14">
        <f>_xll.BDH("SRPT US Equity","TOTAL_DEBT_1_YEAR_GROWTH","FQ3 2023","FQ3 2023","Currency=USD","Period=FQ","BEST_FPERIOD_OVERRIDE=FQ","FILING_STATUS=MR","Sort=A","Dates=H","DateFormat=P","Fill=—","Direction=H","UseDPDF=Y")</f>
        <v>-11.9481</v>
      </c>
      <c r="W24" s="14">
        <f>_xll.BDH("SRPT US Equity","TOTAL_DEBT_1_YEAR_GROWTH","FQ4 2023","FQ4 2023","Currency=USD","Period=FQ","BEST_FPERIOD_OVERRIDE=FQ","FILING_STATUS=MR","Sort=A","Dates=H","DateFormat=P","Fill=—","Direction=H","UseDPDF=Y")</f>
        <v>-13.6365</v>
      </c>
      <c r="X24" s="14">
        <f>_xll.BDH("SRPT US Equity","TOTAL_DEBT_1_YEAR_GROWTH","FQ1 2024","FQ1 2024","Currency=USD","Period=FQ","BEST_FPERIOD_OVERRIDE=FQ","FILING_STATUS=MR","Sort=A","Dates=H","DateFormat=P","Fill=—","Direction=H","UseDPDF=Y")</f>
        <v>7.0743999999999998</v>
      </c>
      <c r="Y24" s="14">
        <f>_xll.BDH("SRPT US Equity","TOTAL_DEBT_1_YEAR_GROWTH","FQ2 2024","FQ2 2024","Currency=USD","Period=FQ","BEST_FPERIOD_OVERRIDE=FQ","FILING_STATUS=MR","Sort=A","Dates=H","DateFormat=P","Fill=—","Direction=H","UseDPDF=Y")</f>
        <v>0.38319999999999999</v>
      </c>
      <c r="Z24" s="14">
        <f>_xll.BDH("SRPT US Equity","TOTAL_DEBT_1_YEAR_GROWTH","FQ3 2024","FQ3 2024","Currency=USD","Period=FQ","BEST_FPERIOD_OVERRIDE=FQ","FILING_STATUS=MR","Sort=A","Dates=H","DateFormat=P","Fill=—","Direction=H","UseDPDF=Y")</f>
        <v>0.58379999999999999</v>
      </c>
      <c r="AA24" s="14">
        <f>_xll.BDH("SRPT US Equity","TOTAL_DEBT_1_YEAR_GROWTH","FQ4 2024","FQ4 2024","Currency=USD","Period=FQ","BEST_FPERIOD_OVERRIDE=FQ","FILING_STATUS=MR","Sort=A","Dates=H","DateFormat=P","Fill=—","Direction=H","UseDPDF=Y")</f>
        <v>-3.8472</v>
      </c>
    </row>
    <row r="25" spans="1:27" x14ac:dyDescent="0.25">
      <c r="A25" s="10" t="s">
        <v>118</v>
      </c>
      <c r="B25" s="10" t="s">
        <v>1413</v>
      </c>
      <c r="C25" s="14">
        <f>_xll.BDH("SRPT US Equity","TOTAL_EQUITY_1_YEAR_GROWTH","FQ4 2018","FQ4 2018","Currency=USD","Period=FQ","BEST_FPERIOD_OVERRIDE=FQ","FILING_STATUS=MR","Sort=A","Dates=H","DateFormat=P","Fill=—","Direction=H","UseDPDF=Y")</f>
        <v>30.797499999999999</v>
      </c>
      <c r="D25" s="14">
        <f>_xll.BDH("SRPT US Equity","TOTAL_EQUITY_1_YEAR_GROWTH","FQ1 2019","FQ1 2019","Currency=USD","Period=FQ","BEST_FPERIOD_OVERRIDE=FQ","FILING_STATUS=MR","Sort=A","Dates=H","DateFormat=P","Fill=—","Direction=H","UseDPDF=Y")</f>
        <v>73.614000000000004</v>
      </c>
      <c r="E25" s="14">
        <f>_xll.BDH("SRPT US Equity","TOTAL_EQUITY_1_YEAR_GROWTH","FQ2 2019","FQ2 2019","Currency=USD","Period=FQ","BEST_FPERIOD_OVERRIDE=FQ","FILING_STATUS=MR","Sort=A","Dates=H","DateFormat=P","Fill=—","Direction=H","UseDPDF=Y")</f>
        <v>57.237900000000003</v>
      </c>
      <c r="F25" s="14">
        <f>_xll.BDH("SRPT US Equity","TOTAL_EQUITY_1_YEAR_GROWTH","FQ3 2019","FQ3 2019","Currency=USD","Period=FQ","BEST_FPERIOD_OVERRIDE=FQ","FILING_STATUS=MR","Sort=A","Dates=H","DateFormat=P","Fill=—","Direction=H","UseDPDF=Y")</f>
        <v>55.537599999999998</v>
      </c>
      <c r="G25" s="14">
        <f>_xll.BDH("SRPT US Equity","TOTAL_EQUITY_1_YEAR_GROWTH","FQ4 2019","FQ4 2019","Currency=USD","Period=FQ","BEST_FPERIOD_OVERRIDE=FQ","FILING_STATUS=MR","Sort=A","Dates=H","DateFormat=P","Fill=—","Direction=H","UseDPDF=Y")</f>
        <v>-20.7395</v>
      </c>
      <c r="H25" s="14">
        <f>_xll.BDH("SRPT US Equity","TOTAL_EQUITY_1_YEAR_GROWTH","FQ1 2020","FQ1 2020","Currency=USD","Period=FQ","BEST_FPERIOD_OVERRIDE=FQ","FILING_STATUS=MR","Sort=A","Dates=H","DateFormat=P","Fill=—","Direction=H","UseDPDF=Y")</f>
        <v>-15.1076</v>
      </c>
      <c r="I25" s="14">
        <f>_xll.BDH("SRPT US Equity","TOTAL_EQUITY_1_YEAR_GROWTH","FQ2 2020","FQ2 2020","Currency=USD","Period=FQ","BEST_FPERIOD_OVERRIDE=FQ","FILING_STATUS=MR","Sort=A","Dates=H","DateFormat=P","Fill=—","Direction=H","UseDPDF=Y")</f>
        <v>-5.1222000000000003</v>
      </c>
      <c r="J25" s="14">
        <f>_xll.BDH("SRPT US Equity","TOTAL_EQUITY_1_YEAR_GROWTH","FQ3 2020","FQ3 2020","Currency=USD","Period=FQ","BEST_FPERIOD_OVERRIDE=FQ","FILING_STATUS=MR","Sort=A","Dates=H","DateFormat=P","Fill=—","Direction=H","UseDPDF=Y")</f>
        <v>-10.365399999999999</v>
      </c>
      <c r="K25" s="14">
        <f>_xll.BDH("SRPT US Equity","TOTAL_EQUITY_1_YEAR_GROWTH","FQ4 2020","FQ4 2020","Currency=USD","Period=FQ","BEST_FPERIOD_OVERRIDE=FQ","FILING_STATUS=MR","Sort=A","Dates=H","DateFormat=P","Fill=—","Direction=H","UseDPDF=Y")</f>
        <v>-6.8967000000000001</v>
      </c>
      <c r="L25" s="14">
        <f>_xll.BDH("SRPT US Equity","TOTAL_EQUITY_1_YEAR_GROWTH","FQ1 2021","FQ1 2021","Currency=USD","Period=FQ","BEST_FPERIOD_OVERRIDE=FQ","FILING_STATUS=MR","Sort=A","Dates=H","DateFormat=P","Fill=—","Direction=H","UseDPDF=Y")</f>
        <v>-53.229199999999999</v>
      </c>
      <c r="M25" s="14">
        <f>_xll.BDH("SRPT US Equity","TOTAL_EQUITY_1_YEAR_GROWTH","FQ2 2021","FQ2 2021","Currency=USD","Period=FQ","BEST_FPERIOD_OVERRIDE=FQ","FILING_STATUS=MR","Sort=A","Dates=H","DateFormat=P","Fill=—","Direction=H","UseDPDF=Y")</f>
        <v>-53.483199999999997</v>
      </c>
      <c r="N25" s="14">
        <f>_xll.BDH("SRPT US Equity","TOTAL_EQUITY_1_YEAR_GROWTH","FQ3 2021","FQ3 2021","Currency=USD","Period=FQ","BEST_FPERIOD_OVERRIDE=FQ","FILING_STATUS=MR","Sort=A","Dates=H","DateFormat=P","Fill=—","Direction=H","UseDPDF=Y")</f>
        <v>-47.365099999999998</v>
      </c>
      <c r="O25" s="14">
        <f>_xll.BDH("SRPT US Equity","TOTAL_EQUITY_1_YEAR_GROWTH","FQ4 2021","FQ4 2021","Currency=USD","Period=FQ","BEST_FPERIOD_OVERRIDE=FQ","FILING_STATUS=MR","Sort=A","Dates=H","DateFormat=P","Fill=—","Direction=H","UseDPDF=Y")</f>
        <v>21.8245</v>
      </c>
      <c r="P25" s="14">
        <f>_xll.BDH("SRPT US Equity","TOTAL_EQUITY_1_YEAR_GROWTH","FQ1 2022","FQ1 2022","Currency=USD","Period=FQ","BEST_FPERIOD_OVERRIDE=FQ","FILING_STATUS=MR","Sort=A","Dates=H","DateFormat=P","Fill=—","Direction=H","UseDPDF=Y")</f>
        <v>60.032499999999999</v>
      </c>
      <c r="Q25" s="14">
        <f>_xll.BDH("SRPT US Equity","TOTAL_EQUITY_1_YEAR_GROWTH","FQ2 2022","FQ2 2022","Currency=USD","Period=FQ","BEST_FPERIOD_OVERRIDE=FQ","FILING_STATUS=MR","Sort=A","Dates=H","DateFormat=P","Fill=—","Direction=H","UseDPDF=Y")</f>
        <v>49.751600000000003</v>
      </c>
      <c r="R25" s="14">
        <f>_xll.BDH("SRPT US Equity","TOTAL_EQUITY_1_YEAR_GROWTH","FQ3 2022","FQ3 2022","Currency=USD","Period=FQ","BEST_FPERIOD_OVERRIDE=FQ","FILING_STATUS=MR","Sort=A","Dates=H","DateFormat=P","Fill=—","Direction=H","UseDPDF=Y")</f>
        <v>-8.2398000000000007</v>
      </c>
      <c r="S25" s="14">
        <f>_xll.BDH("SRPT US Equity","TOTAL_EQUITY_1_YEAR_GROWTH","FQ4 2022","FQ4 2022","Currency=USD","Period=FQ","BEST_FPERIOD_OVERRIDE=FQ","FILING_STATUS=MR","Sort=A","Dates=H","DateFormat=P","Fill=—","Direction=H","UseDPDF=Y")</f>
        <v>-58.518700000000003</v>
      </c>
      <c r="T25" s="14">
        <f>_xll.BDH("SRPT US Equity","TOTAL_EQUITY_1_YEAR_GROWTH","FQ1 2023","FQ1 2023","Currency=USD","Period=FQ","BEST_FPERIOD_OVERRIDE=FQ","FILING_STATUS=MR","Sort=A","Dates=H","DateFormat=P","Fill=—","Direction=H","UseDPDF=Y")</f>
        <v>-16.821000000000002</v>
      </c>
      <c r="U25" s="14">
        <f>_xll.BDH("SRPT US Equity","TOTAL_EQUITY_1_YEAR_GROWTH","FQ2 2023","FQ2 2023","Currency=USD","Period=FQ","BEST_FPERIOD_OVERRIDE=FQ","FILING_STATUS=MR","Sort=A","Dates=H","DateFormat=P","Fill=—","Direction=H","UseDPDF=Y")</f>
        <v>2.0585</v>
      </c>
      <c r="V25" s="14">
        <f>_xll.BDH("SRPT US Equity","TOTAL_EQUITY_1_YEAR_GROWTH","FQ3 2023","FQ3 2023","Currency=USD","Period=FQ","BEST_FPERIOD_OVERRIDE=FQ","FILING_STATUS=MR","Sort=A","Dates=H","DateFormat=P","Fill=—","Direction=H","UseDPDF=Y")</f>
        <v>77.410899999999998</v>
      </c>
      <c r="W25" s="14">
        <f>_xll.BDH("SRPT US Equity","TOTAL_EQUITY_1_YEAR_GROWTH","FQ4 2023","FQ4 2023","Currency=USD","Period=FQ","BEST_FPERIOD_OVERRIDE=FQ","FILING_STATUS=MR","Sort=A","Dates=H","DateFormat=P","Fill=—","Direction=H","UseDPDF=Y")</f>
        <v>123.2334</v>
      </c>
      <c r="X25" s="14">
        <f>_xll.BDH("SRPT US Equity","TOTAL_EQUITY_1_YEAR_GROWTH","FQ1 2024","FQ1 2024","Currency=USD","Period=FQ","BEST_FPERIOD_OVERRIDE=FQ","FILING_STATUS=MR","Sort=A","Dates=H","DateFormat=P","Fill=—","Direction=H","UseDPDF=Y")</f>
        <v>34.856999999999999</v>
      </c>
      <c r="Y25" s="14">
        <f>_xll.BDH("SRPT US Equity","TOTAL_EQUITY_1_YEAR_GROWTH","FQ2 2024","FQ2 2024","Currency=USD","Period=FQ","BEST_FPERIOD_OVERRIDE=FQ","FILING_STATUS=MR","Sort=A","Dates=H","DateFormat=P","Fill=—","Direction=H","UseDPDF=Y")</f>
        <v>45.2729</v>
      </c>
      <c r="Z25" s="14">
        <f>_xll.BDH("SRPT US Equity","TOTAL_EQUITY_1_YEAR_GROWTH","FQ3 2024","FQ3 2024","Currency=USD","Period=FQ","BEST_FPERIOD_OVERRIDE=FQ","FILING_STATUS=MR","Sort=A","Dates=H","DateFormat=P","Fill=—","Direction=H","UseDPDF=Y")</f>
        <v>59.751399999999997</v>
      </c>
      <c r="AA25" s="14">
        <f>_xll.BDH("SRPT US Equity","TOTAL_EQUITY_1_YEAR_GROWTH","FQ4 2024","FQ4 2024","Currency=USD","Period=FQ","BEST_FPERIOD_OVERRIDE=FQ","FILING_STATUS=MR","Sort=A","Dates=H","DateFormat=P","Fill=—","Direction=H","UseDPDF=Y")</f>
        <v>77.781499999999994</v>
      </c>
    </row>
    <row r="26" spans="1:27" x14ac:dyDescent="0.25">
      <c r="A26" s="10" t="s">
        <v>1414</v>
      </c>
      <c r="B26" s="10" t="s">
        <v>1415</v>
      </c>
      <c r="C26" s="14">
        <f>_xll.BDH("SRPT US Equity","GROWTH_IN_CAP","FQ4 2018","FQ4 2018","Currency=USD","Period=FQ","BEST_FPERIOD_OVERRIDE=FQ","FILING_STATUS=MR","Sort=A","Dates=H","DateFormat=P","Fill=—","Direction=H","UseDPDF=Y")</f>
        <v>19.058299999999999</v>
      </c>
      <c r="D26" s="14">
        <f>_xll.BDH("SRPT US Equity","GROWTH_IN_CAP","FQ1 2019","FQ1 2019","Currency=USD","Period=FQ","BEST_FPERIOD_OVERRIDE=FQ","FILING_STATUS=MR","Sort=A","Dates=H","DateFormat=P","Fill=—","Direction=H","UseDPDF=Y")</f>
        <v>51.812600000000003</v>
      </c>
      <c r="E26" s="14">
        <f>_xll.BDH("SRPT US Equity","GROWTH_IN_CAP","FQ2 2019","FQ2 2019","Currency=USD","Period=FQ","BEST_FPERIOD_OVERRIDE=FQ","FILING_STATUS=MR","Sort=A","Dates=H","DateFormat=P","Fill=—","Direction=H","UseDPDF=Y")</f>
        <v>39.446300000000001</v>
      </c>
      <c r="F26" s="14">
        <f>_xll.BDH("SRPT US Equity","GROWTH_IN_CAP","FQ3 2019","FQ3 2019","Currency=USD","Period=FQ","BEST_FPERIOD_OVERRIDE=FQ","FILING_STATUS=MR","Sort=A","Dates=H","DateFormat=P","Fill=—","Direction=H","UseDPDF=Y")</f>
        <v>41.094499999999996</v>
      </c>
      <c r="G26" s="14">
        <f>_xll.BDH("SRPT US Equity","GROWTH_IN_CAP","FQ4 2019","FQ4 2019","Currency=USD","Period=FQ","BEST_FPERIOD_OVERRIDE=FQ","FILING_STATUS=MR","Sort=A","Dates=H","DateFormat=P","Fill=—","Direction=H","UseDPDF=Y")</f>
        <v>7.0773999999999999</v>
      </c>
      <c r="H26" s="14">
        <f>_xll.BDH("SRPT US Equity","GROWTH_IN_CAP","FQ1 2020","FQ1 2020","Currency=USD","Period=FQ","BEST_FPERIOD_OVERRIDE=FQ","FILING_STATUS=MR","Sort=A","Dates=H","DateFormat=P","Fill=—","Direction=H","UseDPDF=Y")</f>
        <v>3.5347</v>
      </c>
      <c r="I26" s="14">
        <f>_xll.BDH("SRPT US Equity","GROWTH_IN_CAP","FQ2 2020","FQ2 2020","Currency=USD","Period=FQ","BEST_FPERIOD_OVERRIDE=FQ","FILING_STATUS=MR","Sort=A","Dates=H","DateFormat=P","Fill=—","Direction=H","UseDPDF=Y")</f>
        <v>13.9739</v>
      </c>
      <c r="J26" s="14">
        <f>_xll.BDH("SRPT US Equity","GROWTH_IN_CAP","FQ3 2020","FQ3 2020","Currency=USD","Period=FQ","BEST_FPERIOD_OVERRIDE=FQ","FILING_STATUS=MR","Sort=A","Dates=H","DateFormat=P","Fill=—","Direction=H","UseDPDF=Y")</f>
        <v>11.5372</v>
      </c>
      <c r="K26" s="14">
        <f>_xll.BDH("SRPT US Equity","GROWTH_IN_CAP","FQ4 2020","FQ4 2020","Currency=USD","Period=FQ","BEST_FPERIOD_OVERRIDE=FQ","FILING_STATUS=MR","Sort=A","Dates=H","DateFormat=P","Fill=—","Direction=H","UseDPDF=Y")</f>
        <v>19.277799999999999</v>
      </c>
      <c r="L26" s="14">
        <f>_xll.BDH("SRPT US Equity","GROWTH_IN_CAP","FQ1 2021","FQ1 2021","Currency=USD","Period=FQ","BEST_FPERIOD_OVERRIDE=FQ","FILING_STATUS=MR","Sort=A","Dates=H","DateFormat=P","Fill=—","Direction=H","UseDPDF=Y")</f>
        <v>-11.1069</v>
      </c>
      <c r="M26" s="14">
        <f>_xll.BDH("SRPT US Equity","GROWTH_IN_CAP","FQ2 2021","FQ2 2021","Currency=USD","Period=FQ","BEST_FPERIOD_OVERRIDE=FQ","FILING_STATUS=MR","Sort=A","Dates=H","DateFormat=P","Fill=—","Direction=H","UseDPDF=Y")</f>
        <v>-9.1767000000000003</v>
      </c>
      <c r="N26" s="14">
        <f>_xll.BDH("SRPT US Equity","GROWTH_IN_CAP","FQ3 2021","FQ3 2021","Currency=USD","Period=FQ","BEST_FPERIOD_OVERRIDE=FQ","FILING_STATUS=MR","Sort=A","Dates=H","DateFormat=P","Fill=—","Direction=H","UseDPDF=Y")</f>
        <v>-1.9797</v>
      </c>
      <c r="O26" s="14">
        <f>_xll.BDH("SRPT US Equity","GROWTH_IN_CAP","FQ4 2021","FQ4 2021","Currency=USD","Period=FQ","BEST_FPERIOD_OVERRIDE=FQ","FILING_STATUS=MR","Sort=A","Dates=H","DateFormat=P","Fill=—","Direction=H","UseDPDF=Y")</f>
        <v>12.174099999999999</v>
      </c>
      <c r="P26" s="14">
        <f>_xll.BDH("SRPT US Equity","GROWTH_IN_CAP","FQ1 2022","FQ1 2022","Currency=USD","Period=FQ","BEST_FPERIOD_OVERRIDE=FQ","FILING_STATUS=MR","Sort=A","Dates=H","DateFormat=P","Fill=—","Direction=H","UseDPDF=Y")</f>
        <v>18.2028</v>
      </c>
      <c r="Q26" s="14">
        <f>_xll.BDH("SRPT US Equity","GROWTH_IN_CAP","FQ2 2022","FQ2 2022","Currency=USD","Period=FQ","BEST_FPERIOD_OVERRIDE=FQ","FILING_STATUS=MR","Sort=A","Dates=H","DateFormat=P","Fill=—","Direction=H","UseDPDF=Y")</f>
        <v>13.5891</v>
      </c>
      <c r="R26" s="14">
        <f>_xll.BDH("SRPT US Equity","GROWTH_IN_CAP","FQ3 2022","FQ3 2022","Currency=USD","Period=FQ","BEST_FPERIOD_OVERRIDE=FQ","FILING_STATUS=MR","Sort=A","Dates=H","DateFormat=P","Fill=—","Direction=H","UseDPDF=Y")</f>
        <v>23.403099999999998</v>
      </c>
      <c r="S26" s="14">
        <f>_xll.BDH("SRPT US Equity","GROWTH_IN_CAP","FQ4 2022","FQ4 2022","Currency=USD","Period=FQ","BEST_FPERIOD_OVERRIDE=FQ","FILING_STATUS=MR","Sort=A","Dates=H","DateFormat=P","Fill=—","Direction=H","UseDPDF=Y")</f>
        <v>-3.802</v>
      </c>
      <c r="T26" s="14">
        <f>_xll.BDH("SRPT US Equity","GROWTH_IN_CAP","FQ1 2023","FQ1 2023","Currency=USD","Period=FQ","BEST_FPERIOD_OVERRIDE=FQ","FILING_STATUS=MR","Sort=A","Dates=H","DateFormat=P","Fill=—","Direction=H","UseDPDF=Y")</f>
        <v>0.33150000000000002</v>
      </c>
      <c r="U26" s="14">
        <f>_xll.BDH("SRPT US Equity","GROWTH_IN_CAP","FQ2 2023","FQ2 2023","Currency=USD","Period=FQ","BEST_FPERIOD_OVERRIDE=FQ","FILING_STATUS=MR","Sort=A","Dates=H","DateFormat=P","Fill=—","Direction=H","UseDPDF=Y")</f>
        <v>12.8248</v>
      </c>
      <c r="V26" s="14">
        <f>_xll.BDH("SRPT US Equity","GROWTH_IN_CAP","FQ3 2023","FQ3 2023","Currency=USD","Period=FQ","BEST_FPERIOD_OVERRIDE=FQ","FILING_STATUS=MR","Sort=A","Dates=H","DateFormat=P","Fill=—","Direction=H","UseDPDF=Y")</f>
        <v>7.2168999999999999</v>
      </c>
      <c r="W26" s="14">
        <f>_xll.BDH("SRPT US Equity","GROWTH_IN_CAP","FQ4 2023","FQ4 2023","Currency=USD","Period=FQ","BEST_FPERIOD_OVERRIDE=FQ","FILING_STATUS=MR","Sort=A","Dates=H","DateFormat=P","Fill=—","Direction=H","UseDPDF=Y")</f>
        <v>12.677199999999999</v>
      </c>
      <c r="X26" s="14">
        <f>_xll.BDH("SRPT US Equity","GROWTH_IN_CAP","FQ1 2024","FQ1 2024","Currency=USD","Period=FQ","BEST_FPERIOD_OVERRIDE=FQ","FILING_STATUS=MR","Sort=A","Dates=H","DateFormat=P","Fill=—","Direction=H","UseDPDF=Y")</f>
        <v>16.970600000000001</v>
      </c>
      <c r="Y26" s="14">
        <f>_xll.BDH("SRPT US Equity","GROWTH_IN_CAP","FQ2 2024","FQ2 2024","Currency=USD","Period=FQ","BEST_FPERIOD_OVERRIDE=FQ","FILING_STATUS=MR","Sort=A","Dates=H","DateFormat=P","Fill=—","Direction=H","UseDPDF=Y")</f>
        <v>16.185700000000001</v>
      </c>
      <c r="Z26" s="14">
        <f>_xll.BDH("SRPT US Equity","GROWTH_IN_CAP","FQ3 2024","FQ3 2024","Currency=USD","Period=FQ","BEST_FPERIOD_OVERRIDE=FQ","FILING_STATUS=MR","Sort=A","Dates=H","DateFormat=P","Fill=—","Direction=H","UseDPDF=Y")</f>
        <v>21.581499999999998</v>
      </c>
      <c r="AA26" s="14">
        <f>_xll.BDH("SRPT US Equity","GROWTH_IN_CAP","FQ4 2024","FQ4 2024","Currency=USD","Period=FQ","BEST_FPERIOD_OVERRIDE=FQ","FILING_STATUS=MR","Sort=A","Dates=H","DateFormat=P","Fill=—","Direction=H","UseDPDF=Y")</f>
        <v>27.2441</v>
      </c>
    </row>
    <row r="27" spans="1:27" x14ac:dyDescent="0.25">
      <c r="A27" s="10" t="s">
        <v>1416</v>
      </c>
      <c r="B27" s="10" t="s">
        <v>1417</v>
      </c>
      <c r="C27" s="14">
        <f>_xll.BDH("SRPT US Equity","BVPS_GROWTH","FQ4 2018","FQ4 2018","Currency=USD","Period=FQ","BEST_FPERIOD_OVERRIDE=FQ","FILING_STATUS=MR","Sort=A","Dates=H","DateFormat=P","Fill=—","Direction=H","UseDPDF=Y")</f>
        <v>19.239699999999999</v>
      </c>
      <c r="D27" s="14">
        <f>_xll.BDH("SRPT US Equity","BVPS_GROWTH","FQ1 2019","FQ1 2019","Currency=USD","Period=FQ","BEST_FPERIOD_OVERRIDE=FQ","FILING_STATUS=MR","Sort=A","Dates=H","DateFormat=P","Fill=—","Direction=H","UseDPDF=Y")</f>
        <v>53.379399999999997</v>
      </c>
      <c r="E27" s="14">
        <f>_xll.BDH("SRPT US Equity","BVPS_GROWTH","FQ2 2019","FQ2 2019","Currency=USD","Period=FQ","BEST_FPERIOD_OVERRIDE=FQ","FILING_STATUS=MR","Sort=A","Dates=H","DateFormat=P","Fill=—","Direction=H","UseDPDF=Y")</f>
        <v>40.353299999999997</v>
      </c>
      <c r="F27" s="14">
        <f>_xll.BDH("SRPT US Equity","BVPS_GROWTH","FQ3 2019","FQ3 2019","Currency=USD","Period=FQ","BEST_FPERIOD_OVERRIDE=FQ","FILING_STATUS=MR","Sort=A","Dates=H","DateFormat=P","Fill=—","Direction=H","UseDPDF=Y")</f>
        <v>39.230200000000004</v>
      </c>
      <c r="G27" s="14">
        <f>_xll.BDH("SRPT US Equity","BVPS_GROWTH","FQ4 2019","FQ4 2019","Currency=USD","Period=FQ","BEST_FPERIOD_OVERRIDE=FQ","FILING_STATUS=MR","Sort=A","Dates=H","DateFormat=P","Fill=—","Direction=H","UseDPDF=Y")</f>
        <v>-25.075399999999998</v>
      </c>
      <c r="H27" s="14">
        <f>_xll.BDH("SRPT US Equity","BVPS_GROWTH","FQ1 2020","FQ1 2020","Currency=USD","Period=FQ","BEST_FPERIOD_OVERRIDE=FQ","FILING_STATUS=MR","Sort=A","Dates=H","DateFormat=P","Fill=—","Direction=H","UseDPDF=Y")</f>
        <v>-19.272099999999998</v>
      </c>
      <c r="I27" s="14">
        <f>_xll.BDH("SRPT US Equity","BVPS_GROWTH","FQ2 2020","FQ2 2020","Currency=USD","Period=FQ","BEST_FPERIOD_OVERRIDE=FQ","FILING_STATUS=MR","Sort=A","Dates=H","DateFormat=P","Fill=—","Direction=H","UseDPDF=Y")</f>
        <v>-10.087300000000001</v>
      </c>
      <c r="J27" s="14">
        <f>_xll.BDH("SRPT US Equity","BVPS_GROWTH","FQ3 2020","FQ3 2020","Currency=USD","Period=FQ","BEST_FPERIOD_OVERRIDE=FQ","FILING_STATUS=MR","Sort=A","Dates=H","DateFormat=P","Fill=—","Direction=H","UseDPDF=Y")</f>
        <v>-15.2401</v>
      </c>
      <c r="K27" s="14">
        <f>_xll.BDH("SRPT US Equity","BVPS_GROWTH","FQ4 2020","FQ4 2020","Currency=USD","Period=FQ","BEST_FPERIOD_OVERRIDE=FQ","FILING_STATUS=MR","Sort=A","Dates=H","DateFormat=P","Fill=—","Direction=H","UseDPDF=Y")</f>
        <v>-11.810700000000001</v>
      </c>
      <c r="L27" s="14">
        <f>_xll.BDH("SRPT US Equity","BVPS_GROWTH","FQ1 2021","FQ1 2021","Currency=USD","Period=FQ","BEST_FPERIOD_OVERRIDE=FQ","FILING_STATUS=MR","Sort=A","Dates=H","DateFormat=P","Fill=—","Direction=H","UseDPDF=Y")</f>
        <v>-54.279200000000003</v>
      </c>
      <c r="M27" s="14">
        <f>_xll.BDH("SRPT US Equity","BVPS_GROWTH","FQ2 2021","FQ2 2021","Currency=USD","Period=FQ","BEST_FPERIOD_OVERRIDE=FQ","FILING_STATUS=MR","Sort=A","Dates=H","DateFormat=P","Fill=—","Direction=H","UseDPDF=Y")</f>
        <v>-54.297899999999998</v>
      </c>
      <c r="N27" s="14">
        <f>_xll.BDH("SRPT US Equity","BVPS_GROWTH","FQ3 2021","FQ3 2021","Currency=USD","Period=FQ","BEST_FPERIOD_OVERRIDE=FQ","FILING_STATUS=MR","Sort=A","Dates=H","DateFormat=P","Fill=—","Direction=H","UseDPDF=Y")</f>
        <v>-48.134500000000003</v>
      </c>
      <c r="O27" s="14">
        <f>_xll.BDH("SRPT US Equity","BVPS_GROWTH","FQ4 2021","FQ4 2021","Currency=USD","Period=FQ","BEST_FPERIOD_OVERRIDE=FQ","FILING_STATUS=MR","Sort=A","Dates=H","DateFormat=P","Fill=—","Direction=H","UseDPDF=Y")</f>
        <v>10.984299999999999</v>
      </c>
      <c r="P27" s="14">
        <f>_xll.BDH("SRPT US Equity","BVPS_GROWTH","FQ1 2022","FQ1 2022","Currency=USD","Period=FQ","BEST_FPERIOD_OVERRIDE=FQ","FILING_STATUS=MR","Sort=A","Dates=H","DateFormat=P","Fill=—","Direction=H","UseDPDF=Y")</f>
        <v>45.862099999999998</v>
      </c>
      <c r="Q27" s="14">
        <f>_xll.BDH("SRPT US Equity","BVPS_GROWTH","FQ2 2022","FQ2 2022","Currency=USD","Period=FQ","BEST_FPERIOD_OVERRIDE=FQ","FILING_STATUS=MR","Sort=A","Dates=H","DateFormat=P","Fill=—","Direction=H","UseDPDF=Y")</f>
        <v>36.570399999999999</v>
      </c>
      <c r="R27" s="14">
        <f>_xll.BDH("SRPT US Equity","BVPS_GROWTH","FQ3 2022","FQ3 2022","Currency=USD","Period=FQ","BEST_FPERIOD_OVERRIDE=FQ","FILING_STATUS=MR","Sort=A","Dates=H","DateFormat=P","Fill=—","Direction=H","UseDPDF=Y")</f>
        <v>-16.402699999999999</v>
      </c>
      <c r="S27" s="14">
        <f>_xll.BDH("SRPT US Equity","BVPS_GROWTH","FQ4 2022","FQ4 2022","Currency=USD","Period=FQ","BEST_FPERIOD_OVERRIDE=FQ","FILING_STATUS=MR","Sort=A","Dates=H","DateFormat=P","Fill=—","Direction=H","UseDPDF=Y")</f>
        <v>-58.906999999999996</v>
      </c>
      <c r="T27" s="14">
        <f>_xll.BDH("SRPT US Equity","BVPS_GROWTH","FQ1 2023","FQ1 2023","Currency=USD","Period=FQ","BEST_FPERIOD_OVERRIDE=FQ","FILING_STATUS=MR","Sort=A","Dates=H","DateFormat=P","Fill=—","Direction=H","UseDPDF=Y")</f>
        <v>-21.861899999999999</v>
      </c>
      <c r="U27" s="14">
        <f>_xll.BDH("SRPT US Equity","BVPS_GROWTH","FQ2 2023","FQ2 2023","Currency=USD","Period=FQ","BEST_FPERIOD_OVERRIDE=FQ","FILING_STATUS=MR","Sort=A","Dates=H","DateFormat=P","Fill=—","Direction=H","UseDPDF=Y")</f>
        <v>-4.2202000000000002</v>
      </c>
      <c r="V27" s="14">
        <f>_xll.BDH("SRPT US Equity","BVPS_GROWTH","FQ3 2023","FQ3 2023","Currency=USD","Period=FQ","BEST_FPERIOD_OVERRIDE=FQ","FILING_STATUS=MR","Sort=A","Dates=H","DateFormat=P","Fill=—","Direction=H","UseDPDF=Y")</f>
        <v>66.464799999999997</v>
      </c>
      <c r="W27" s="14">
        <f>_xll.BDH("SRPT US Equity","BVPS_GROWTH","FQ4 2023","FQ4 2023","Currency=USD","Period=FQ","BEST_FPERIOD_OVERRIDE=FQ","FILING_STATUS=MR","Sort=A","Dates=H","DateFormat=P","Fill=—","Direction=H","UseDPDF=Y")</f>
        <v>109.4636</v>
      </c>
      <c r="X27" s="14">
        <f>_xll.BDH("SRPT US Equity","BVPS_GROWTH","FQ1 2024","FQ1 2024","Currency=USD","Period=FQ","BEST_FPERIOD_OVERRIDE=FQ","FILING_STATUS=MR","Sort=A","Dates=H","DateFormat=P","Fill=—","Direction=H","UseDPDF=Y")</f>
        <v>32.930300000000003</v>
      </c>
      <c r="Y27" s="14">
        <f>_xll.BDH("SRPT US Equity","BVPS_GROWTH","FQ2 2024","FQ2 2024","Currency=USD","Period=FQ","BEST_FPERIOD_OVERRIDE=FQ","FILING_STATUS=MR","Sort=A","Dates=H","DateFormat=P","Fill=—","Direction=H","UseDPDF=Y")</f>
        <v>42.209699999999998</v>
      </c>
      <c r="Z27" s="14">
        <f>_xll.BDH("SRPT US Equity","BVPS_GROWTH","FQ3 2024","FQ3 2024","Currency=USD","Period=FQ","BEST_FPERIOD_OVERRIDE=FQ","FILING_STATUS=MR","Sort=A","Dates=H","DateFormat=P","Fill=—","Direction=H","UseDPDF=Y")</f>
        <v>56.479799999999997</v>
      </c>
      <c r="AA27" s="14">
        <f>_xll.BDH("SRPT US Equity","BVPS_GROWTH","FQ4 2024","FQ4 2024","Currency=USD","Period=FQ","BEST_FPERIOD_OVERRIDE=FQ","FILING_STATUS=MR","Sort=A","Dates=H","DateFormat=P","Fill=—","Direction=H","UseDPDF=Y")</f>
        <v>71.968000000000004</v>
      </c>
    </row>
    <row r="28" spans="1:27" x14ac:dyDescent="0.25">
      <c r="A28" s="10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25">
      <c r="A29" s="10" t="s">
        <v>124</v>
      </c>
      <c r="B29" s="10" t="s">
        <v>1418</v>
      </c>
      <c r="C29" s="14">
        <f>_xll.BDH("SRPT US Equity","CASH_FLOW_GROWTH","FQ4 2018","FQ4 2018","Currency=USD","Period=FQ","BEST_FPERIOD_OVERRIDE=FQ","FILING_STATUS=MR","Sort=A","Dates=H","DateFormat=P","Fill=—","Direction=H","UseDPDF=Y")</f>
        <v>-294.16579999999999</v>
      </c>
      <c r="D29" s="14">
        <f>_xll.BDH("SRPT US Equity","CASH_FLOW_GROWTH","FQ1 2019","FQ1 2019","Currency=USD","Period=FQ","BEST_FPERIOD_OVERRIDE=FQ","FILING_STATUS=MR","Sort=A","Dates=H","DateFormat=P","Fill=—","Direction=H","UseDPDF=Y")</f>
        <v>-309.9837</v>
      </c>
      <c r="E29" s="14">
        <f>_xll.BDH("SRPT US Equity","CASH_FLOW_GROWTH","FQ2 2019","FQ2 2019","Currency=USD","Period=FQ","BEST_FPERIOD_OVERRIDE=FQ","FILING_STATUS=MR","Sort=A","Dates=H","DateFormat=P","Fill=—","Direction=H","UseDPDF=Y")</f>
        <v>32.621499999999997</v>
      </c>
      <c r="F29" s="14">
        <f>_xll.BDH("SRPT US Equity","CASH_FLOW_GROWTH","FQ3 2019","FQ3 2019","Currency=USD","Period=FQ","BEST_FPERIOD_OVERRIDE=FQ","FILING_STATUS=MR","Sort=A","Dates=H","DateFormat=P","Fill=—","Direction=H","UseDPDF=Y")</f>
        <v>40.494</v>
      </c>
      <c r="G29" s="14">
        <f>_xll.BDH("SRPT US Equity","CASH_FLOW_GROWTH","FQ4 2019","FQ4 2019","Currency=USD","Period=FQ","BEST_FPERIOD_OVERRIDE=FQ","FILING_STATUS=MR","Sort=A","Dates=H","DateFormat=P","Fill=—","Direction=H","UseDPDF=Y")</f>
        <v>-33.797600000000003</v>
      </c>
      <c r="H29" s="14" t="str">
        <f>_xll.BDH("SRPT US Equity","CASH_FLOW_GROWTH","FQ1 2020","FQ1 2020","Currency=USD","Period=FQ","BEST_FPERIOD_OVERRIDE=FQ","FILING_STATUS=MR","Sort=A","Dates=H","DateFormat=P","Fill=—","Direction=H","UseDPDF=Y")</f>
        <v>—</v>
      </c>
      <c r="I29" s="14">
        <f>_xll.BDH("SRPT US Equity","CASH_FLOW_GROWTH","FQ2 2020","FQ2 2020","Currency=USD","Period=FQ","BEST_FPERIOD_OVERRIDE=FQ","FILING_STATUS=MR","Sort=A","Dates=H","DateFormat=P","Fill=—","Direction=H","UseDPDF=Y")</f>
        <v>-36.199399999999997</v>
      </c>
      <c r="J29" s="14">
        <f>_xll.BDH("SRPT US Equity","CASH_FLOW_GROWTH","FQ3 2020","FQ3 2020","Currency=USD","Period=FQ","BEST_FPERIOD_OVERRIDE=FQ","FILING_STATUS=MR","Sort=A","Dates=H","DateFormat=P","Fill=—","Direction=H","UseDPDF=Y")</f>
        <v>-253.22919999999999</v>
      </c>
      <c r="K29" s="14">
        <f>_xll.BDH("SRPT US Equity","CASH_FLOW_GROWTH","FQ4 2020","FQ4 2020","Currency=USD","Period=FQ","BEST_FPERIOD_OVERRIDE=FQ","FILING_STATUS=MR","Sort=A","Dates=H","DateFormat=P","Fill=—","Direction=H","UseDPDF=Y")</f>
        <v>-6.5570000000000004</v>
      </c>
      <c r="L29" s="14" t="str">
        <f>_xll.BDH("SRPT US Equity","CASH_FLOW_GROWTH","FQ1 2021","FQ1 2021","Currency=USD","Period=FQ","BEST_FPERIOD_OVERRIDE=FQ","FILING_STATUS=MR","Sort=A","Dates=H","DateFormat=P","Fill=—","Direction=H","UseDPDF=Y")</f>
        <v>—</v>
      </c>
      <c r="M29" s="14">
        <f>_xll.BDH("SRPT US Equity","CASH_FLOW_GROWTH","FQ2 2021","FQ2 2021","Currency=USD","Period=FQ","BEST_FPERIOD_OVERRIDE=FQ","FILING_STATUS=MR","Sort=A","Dates=H","DateFormat=P","Fill=—","Direction=H","UseDPDF=Y")</f>
        <v>-1.4339999999999999</v>
      </c>
      <c r="N29" s="14">
        <f>_xll.BDH("SRPT US Equity","CASH_FLOW_GROWTH","FQ3 2021","FQ3 2021","Currency=USD","Period=FQ","BEST_FPERIOD_OVERRIDE=FQ","FILING_STATUS=MR","Sort=A","Dates=H","DateFormat=P","Fill=—","Direction=H","UseDPDF=Y")</f>
        <v>47.801699999999997</v>
      </c>
      <c r="O29" s="14">
        <f>_xll.BDH("SRPT US Equity","CASH_FLOW_GROWTH","FQ4 2021","FQ4 2021","Currency=USD","Period=FQ","BEST_FPERIOD_OVERRIDE=FQ","FILING_STATUS=MR","Sort=A","Dates=H","DateFormat=P","Fill=—","Direction=H","UseDPDF=Y")</f>
        <v>83.197599999999994</v>
      </c>
      <c r="P29" s="14">
        <f>_xll.BDH("SRPT US Equity","CASH_FLOW_GROWTH","FQ1 2022","FQ1 2022","Currency=USD","Period=FQ","BEST_FPERIOD_OVERRIDE=FQ","FILING_STATUS=MR","Sort=A","Dates=H","DateFormat=P","Fill=—","Direction=H","UseDPDF=Y")</f>
        <v>43.907299999999999</v>
      </c>
      <c r="Q29" s="14">
        <f>_xll.BDH("SRPT US Equity","CASH_FLOW_GROWTH","FQ2 2022","FQ2 2022","Currency=USD","Period=FQ","BEST_FPERIOD_OVERRIDE=FQ","FILING_STATUS=MR","Sort=A","Dates=H","DateFormat=P","Fill=—","Direction=H","UseDPDF=Y")</f>
        <v>38.783799999999999</v>
      </c>
      <c r="R29" s="14">
        <f>_xll.BDH("SRPT US Equity","CASH_FLOW_GROWTH","FQ3 2022","FQ3 2022","Currency=USD","Period=FQ","BEST_FPERIOD_OVERRIDE=FQ","FILING_STATUS=MR","Sort=A","Dates=H","DateFormat=P","Fill=—","Direction=H","UseDPDF=Y")</f>
        <v>47.7483</v>
      </c>
      <c r="S29" s="14">
        <f>_xll.BDH("SRPT US Equity","CASH_FLOW_GROWTH","FQ4 2022","FQ4 2022","Currency=USD","Period=FQ","BEST_FPERIOD_OVERRIDE=FQ","FILING_STATUS=MR","Sort=A","Dates=H","DateFormat=P","Fill=—","Direction=H","UseDPDF=Y")</f>
        <v>-215.0515</v>
      </c>
      <c r="T29" s="14">
        <f>_xll.BDH("SRPT US Equity","CASH_FLOW_GROWTH","FQ1 2023","FQ1 2023","Currency=USD","Period=FQ","BEST_FPERIOD_OVERRIDE=FQ","FILING_STATUS=MR","Sort=A","Dates=H","DateFormat=P","Fill=—","Direction=H","UseDPDF=Y")</f>
        <v>-106.96420000000001</v>
      </c>
      <c r="U29" s="14">
        <f>_xll.BDH("SRPT US Equity","CASH_FLOW_GROWTH","FQ2 2023","FQ2 2023","Currency=USD","Period=FQ","BEST_FPERIOD_OVERRIDE=FQ","FILING_STATUS=MR","Sort=A","Dates=H","DateFormat=P","Fill=—","Direction=H","UseDPDF=Y")</f>
        <v>-82.943899999999999</v>
      </c>
      <c r="V29" s="14">
        <f>_xll.BDH("SRPT US Equity","CASH_FLOW_GROWTH","FQ3 2023","FQ3 2023","Currency=USD","Period=FQ","BEST_FPERIOD_OVERRIDE=FQ","FILING_STATUS=MR","Sort=A","Dates=H","DateFormat=P","Fill=—","Direction=H","UseDPDF=Y")</f>
        <v>-76.568600000000004</v>
      </c>
      <c r="W29" s="14">
        <f>_xll.BDH("SRPT US Equity","CASH_FLOW_GROWTH","FQ4 2023","FQ4 2023","Currency=USD","Period=FQ","BEST_FPERIOD_OVERRIDE=FQ","FILING_STATUS=MR","Sort=A","Dates=H","DateFormat=P","Fill=—","Direction=H","UseDPDF=Y")</f>
        <v>40.842300000000002</v>
      </c>
      <c r="X29" s="14">
        <f>_xll.BDH("SRPT US Equity","CASH_FLOW_GROWTH","FQ1 2024","FQ1 2024","Currency=USD","Period=FQ","BEST_FPERIOD_OVERRIDE=FQ","FILING_STATUS=MR","Sort=A","Dates=H","DateFormat=P","Fill=—","Direction=H","UseDPDF=Y")</f>
        <v>-15.6068</v>
      </c>
      <c r="Y29" s="14" t="str">
        <f>_xll.BDH("SRPT US Equity","CASH_FLOW_GROWTH","FQ2 2024","FQ2 2024","Currency=USD","Period=FQ","BEST_FPERIOD_OVERRIDE=FQ","FILING_STATUS=MR","Sort=A","Dates=H","DateFormat=P","Fill=—","Direction=H","UseDPDF=Y")</f>
        <v>—</v>
      </c>
      <c r="Z29" s="14">
        <f>_xll.BDH("SRPT US Equity","CASH_FLOW_GROWTH","FQ3 2024","FQ3 2024","Currency=USD","Period=FQ","BEST_FPERIOD_OVERRIDE=FQ","FILING_STATUS=MR","Sort=A","Dates=H","DateFormat=P","Fill=—","Direction=H","UseDPDF=Y")</f>
        <v>38.365000000000002</v>
      </c>
      <c r="AA29" s="14" t="str">
        <f>_xll.BDH("SRPT US Equity","CASH_FLOW_GROWTH","FQ4 2024","FQ4 2024","Currency=USD","Period=FQ","BEST_FPERIOD_OVERRIDE=FQ","FILING_STATUS=MR","Sort=A","Dates=H","DateFormat=P","Fill=—","Direction=H","UseDPDF=Y")</f>
        <v>—</v>
      </c>
    </row>
    <row r="30" spans="1:27" x14ac:dyDescent="0.25">
      <c r="A30" s="10" t="s">
        <v>86</v>
      </c>
      <c r="B30" s="10" t="s">
        <v>1419</v>
      </c>
      <c r="C30" s="14">
        <f>_xll.BDH("SRPT US Equity","TOT_CAP_EXPEND_GROWTH","FQ4 2018","FQ4 2018","Currency=USD","Period=FQ","BEST_FPERIOD_OVERRIDE=FQ","FILING_STATUS=MR","Sort=A","Dates=H","DateFormat=P","Fill=—","Direction=H","UseDPDF=Y")</f>
        <v>418.1585</v>
      </c>
      <c r="D30" s="14">
        <f>_xll.BDH("SRPT US Equity","TOT_CAP_EXPEND_GROWTH","FQ1 2019","FQ1 2019","Currency=USD","Period=FQ","BEST_FPERIOD_OVERRIDE=FQ","FILING_STATUS=MR","Sort=A","Dates=H","DateFormat=P","Fill=—","Direction=H","UseDPDF=Y")</f>
        <v>33.675800000000002</v>
      </c>
      <c r="E30" s="14">
        <f>_xll.BDH("SRPT US Equity","TOT_CAP_EXPEND_GROWTH","FQ2 2019","FQ2 2019","Currency=USD","Period=FQ","BEST_FPERIOD_OVERRIDE=FQ","FILING_STATUS=MR","Sort=A","Dates=H","DateFormat=P","Fill=—","Direction=H","UseDPDF=Y")</f>
        <v>91.813299999999998</v>
      </c>
      <c r="F30" s="14">
        <f>_xll.BDH("SRPT US Equity","TOT_CAP_EXPEND_GROWTH","FQ3 2019","FQ3 2019","Currency=USD","Period=FQ","BEST_FPERIOD_OVERRIDE=FQ","FILING_STATUS=MR","Sort=A","Dates=H","DateFormat=P","Fill=—","Direction=H","UseDPDF=Y")</f>
        <v>-53.0685</v>
      </c>
      <c r="G30" s="14">
        <f>_xll.BDH("SRPT US Equity","TOT_CAP_EXPEND_GROWTH","FQ4 2019","FQ4 2019","Currency=USD","Period=FQ","BEST_FPERIOD_OVERRIDE=FQ","FILING_STATUS=MR","Sort=A","Dates=H","DateFormat=P","Fill=—","Direction=H","UseDPDF=Y")</f>
        <v>-14.582000000000001</v>
      </c>
      <c r="H30" s="14">
        <f>_xll.BDH("SRPT US Equity","TOT_CAP_EXPEND_GROWTH","FQ1 2020","FQ1 2020","Currency=USD","Period=FQ","BEST_FPERIOD_OVERRIDE=FQ","FILING_STATUS=MR","Sort=A","Dates=H","DateFormat=P","Fill=—","Direction=H","UseDPDF=Y")</f>
        <v>-43.921799999999998</v>
      </c>
      <c r="I30" s="14">
        <f>_xll.BDH("SRPT US Equity","TOT_CAP_EXPEND_GROWTH","FQ2 2020","FQ2 2020","Currency=USD","Period=FQ","BEST_FPERIOD_OVERRIDE=FQ","FILING_STATUS=MR","Sort=A","Dates=H","DateFormat=P","Fill=—","Direction=H","UseDPDF=Y")</f>
        <v>14.908300000000001</v>
      </c>
      <c r="J30" s="14">
        <f>_xll.BDH("SRPT US Equity","TOT_CAP_EXPEND_GROWTH","FQ3 2020","FQ3 2020","Currency=USD","Period=FQ","BEST_FPERIOD_OVERRIDE=FQ","FILING_STATUS=MR","Sort=A","Dates=H","DateFormat=P","Fill=—","Direction=H","UseDPDF=Y")</f>
        <v>168.35300000000001</v>
      </c>
      <c r="K30" s="14">
        <f>_xll.BDH("SRPT US Equity","TOT_CAP_EXPEND_GROWTH","FQ4 2020","FQ4 2020","Currency=USD","Period=FQ","BEST_FPERIOD_OVERRIDE=FQ","FILING_STATUS=MR","Sort=A","Dates=H","DateFormat=P","Fill=—","Direction=H","UseDPDF=Y")</f>
        <v>50.744599999999998</v>
      </c>
      <c r="L30" s="14">
        <f>_xll.BDH("SRPT US Equity","TOT_CAP_EXPEND_GROWTH","FQ1 2021","FQ1 2021","Currency=USD","Period=FQ","BEST_FPERIOD_OVERRIDE=FQ","FILING_STATUS=MR","Sort=A","Dates=H","DateFormat=P","Fill=—","Direction=H","UseDPDF=Y")</f>
        <v>131.89689999999999</v>
      </c>
      <c r="M30" s="14">
        <f>_xll.BDH("SRPT US Equity","TOT_CAP_EXPEND_GROWTH","FQ2 2021","FQ2 2021","Currency=USD","Period=FQ","BEST_FPERIOD_OVERRIDE=FQ","FILING_STATUS=MR","Sort=A","Dates=H","DateFormat=P","Fill=—","Direction=H","UseDPDF=Y")</f>
        <v>-69.252399999999994</v>
      </c>
      <c r="N30" s="14">
        <f>_xll.BDH("SRPT US Equity","TOT_CAP_EXPEND_GROWTH","FQ3 2021","FQ3 2021","Currency=USD","Period=FQ","BEST_FPERIOD_OVERRIDE=FQ","FILING_STATUS=MR","Sort=A","Dates=H","DateFormat=P","Fill=—","Direction=H","UseDPDF=Y")</f>
        <v>-63.4786</v>
      </c>
      <c r="O30" s="14">
        <f>_xll.BDH("SRPT US Equity","TOT_CAP_EXPEND_GROWTH","FQ4 2021","FQ4 2021","Currency=USD","Period=FQ","BEST_FPERIOD_OVERRIDE=FQ","FILING_STATUS=MR","Sort=A","Dates=H","DateFormat=P","Fill=—","Direction=H","UseDPDF=Y")</f>
        <v>-91.52</v>
      </c>
      <c r="P30" s="14">
        <f>_xll.BDH("SRPT US Equity","TOT_CAP_EXPEND_GROWTH","FQ1 2022","FQ1 2022","Currency=USD","Period=FQ","BEST_FPERIOD_OVERRIDE=FQ","FILING_STATUS=MR","Sort=A","Dates=H","DateFormat=P","Fill=—","Direction=H","UseDPDF=Y")</f>
        <v>-73.752899999999997</v>
      </c>
      <c r="Q30" s="14">
        <f>_xll.BDH("SRPT US Equity","TOT_CAP_EXPEND_GROWTH","FQ2 2022","FQ2 2022","Currency=USD","Period=FQ","BEST_FPERIOD_OVERRIDE=FQ","FILING_STATUS=MR","Sort=A","Dates=H","DateFormat=P","Fill=—","Direction=H","UseDPDF=Y")</f>
        <v>54.021000000000001</v>
      </c>
      <c r="R30" s="14">
        <f>_xll.BDH("SRPT US Equity","TOT_CAP_EXPEND_GROWTH","FQ3 2022","FQ3 2022","Currency=USD","Period=FQ","BEST_FPERIOD_OVERRIDE=FQ","FILING_STATUS=MR","Sort=A","Dates=H","DateFormat=P","Fill=—","Direction=H","UseDPDF=Y")</f>
        <v>-10.929600000000001</v>
      </c>
      <c r="S30" s="14">
        <f>_xll.BDH("SRPT US Equity","TOT_CAP_EXPEND_GROWTH","FQ4 2022","FQ4 2022","Currency=USD","Period=FQ","BEST_FPERIOD_OVERRIDE=FQ","FILING_STATUS=MR","Sort=A","Dates=H","DateFormat=P","Fill=—","Direction=H","UseDPDF=Y")</f>
        <v>205.48500000000001</v>
      </c>
      <c r="T30" s="14">
        <f>_xll.BDH("SRPT US Equity","TOT_CAP_EXPEND_GROWTH","FQ1 2023","FQ1 2023","Currency=USD","Period=FQ","BEST_FPERIOD_OVERRIDE=FQ","FILING_STATUS=MR","Sort=A","Dates=H","DateFormat=P","Fill=—","Direction=H","UseDPDF=Y")</f>
        <v>70.870099999999994</v>
      </c>
      <c r="U30" s="14">
        <f>_xll.BDH("SRPT US Equity","TOT_CAP_EXPEND_GROWTH","FQ2 2023","FQ2 2023","Currency=USD","Period=FQ","BEST_FPERIOD_OVERRIDE=FQ","FILING_STATUS=MR","Sort=A","Dates=H","DateFormat=P","Fill=—","Direction=H","UseDPDF=Y")</f>
        <v>97.2791</v>
      </c>
      <c r="V30" s="14">
        <f>_xll.BDH("SRPT US Equity","TOT_CAP_EXPEND_GROWTH","FQ3 2023","FQ3 2023","Currency=USD","Period=FQ","BEST_FPERIOD_OVERRIDE=FQ","FILING_STATUS=MR","Sort=A","Dates=H","DateFormat=P","Fill=—","Direction=H","UseDPDF=Y")</f>
        <v>260.50299999999999</v>
      </c>
      <c r="W30" s="14">
        <f>_xll.BDH("SRPT US Equity","TOT_CAP_EXPEND_GROWTH","FQ4 2023","FQ4 2023","Currency=USD","Period=FQ","BEST_FPERIOD_OVERRIDE=FQ","FILING_STATUS=MR","Sort=A","Dates=H","DateFormat=P","Fill=—","Direction=H","UseDPDF=Y")</f>
        <v>182.5197</v>
      </c>
      <c r="X30" s="14">
        <f>_xll.BDH("SRPT US Equity","TOT_CAP_EXPEND_GROWTH","FQ1 2024","FQ1 2024","Currency=USD","Period=FQ","BEST_FPERIOD_OVERRIDE=FQ","FILING_STATUS=MR","Sort=A","Dates=H","DateFormat=P","Fill=—","Direction=H","UseDPDF=Y")</f>
        <v>242.05590000000001</v>
      </c>
      <c r="Y30" s="14">
        <f>_xll.BDH("SRPT US Equity","TOT_CAP_EXPEND_GROWTH","FQ2 2024","FQ2 2024","Currency=USD","Period=FQ","BEST_FPERIOD_OVERRIDE=FQ","FILING_STATUS=MR","Sort=A","Dates=H","DateFormat=P","Fill=—","Direction=H","UseDPDF=Y")</f>
        <v>62.862200000000001</v>
      </c>
      <c r="Z30" s="14">
        <f>_xll.BDH("SRPT US Equity","TOT_CAP_EXPEND_GROWTH","FQ3 2024","FQ3 2024","Currency=USD","Period=FQ","BEST_FPERIOD_OVERRIDE=FQ","FILING_STATUS=MR","Sort=A","Dates=H","DateFormat=P","Fill=—","Direction=H","UseDPDF=Y")</f>
        <v>25.578800000000001</v>
      </c>
      <c r="AA30" s="14">
        <f>_xll.BDH("SRPT US Equity","TOT_CAP_EXPEND_GROWTH","FQ4 2024","FQ4 2024","Currency=USD","Period=FQ","BEST_FPERIOD_OVERRIDE=FQ","FILING_STATUS=MR","Sort=A","Dates=H","DateFormat=P","Fill=—","Direction=H","UseDPDF=Y")</f>
        <v>100.021</v>
      </c>
    </row>
    <row r="31" spans="1:27" x14ac:dyDescent="0.25">
      <c r="A31" s="10" t="s">
        <v>1347</v>
      </c>
      <c r="B31" s="10" t="s">
        <v>1420</v>
      </c>
      <c r="C31" s="14" t="str">
        <f>_xll.BDH("SRPT US Equity","NET_CHANGE_IN_CASH_1_YEAR_GROWTH","FQ4 2018","FQ4 2018","Currency=USD","Period=FQ","BEST_FPERIOD_OVERRIDE=FQ","FILING_STATUS=MR","Sort=A","Dates=H","DateFormat=P","Fill=—","Direction=H","UseDPDF=Y")</f>
        <v>—</v>
      </c>
      <c r="D31" s="14" t="str">
        <f>_xll.BDH("SRPT US Equity","NET_CHANGE_IN_CASH_1_YEAR_GROWTH","FQ1 2019","FQ1 2019","Currency=USD","Period=FQ","BEST_FPERIOD_OVERRIDE=FQ","FILING_STATUS=MR","Sort=A","Dates=H","DateFormat=P","Fill=—","Direction=H","UseDPDF=Y")</f>
        <v>—</v>
      </c>
      <c r="E31" s="14" t="str">
        <f>_xll.BDH("SRPT US Equity","NET_CHANGE_IN_CASH_1_YEAR_GROWTH","FQ2 2019","FQ2 2019","Currency=USD","Period=FQ","BEST_FPERIOD_OVERRIDE=FQ","FILING_STATUS=MR","Sort=A","Dates=H","DateFormat=P","Fill=—","Direction=H","UseDPDF=Y")</f>
        <v>—</v>
      </c>
      <c r="F31" s="14">
        <f>_xll.BDH("SRPT US Equity","NET_CHANGE_IN_CASH_1_YEAR_GROWTH","FQ3 2019","FQ3 2019","Currency=USD","Period=FQ","BEST_FPERIOD_OVERRIDE=FQ","FILING_STATUS=MR","Sort=A","Dates=H","DateFormat=P","Fill=—","Direction=H","UseDPDF=Y")</f>
        <v>58.311799999999998</v>
      </c>
      <c r="G31" s="14">
        <f>_xll.BDH("SRPT US Equity","NET_CHANGE_IN_CASH_1_YEAR_GROWTH","FQ4 2019","FQ4 2019","Currency=USD","Period=FQ","BEST_FPERIOD_OVERRIDE=FQ","FILING_STATUS=MR","Sort=A","Dates=H","DateFormat=P","Fill=—","Direction=H","UseDPDF=Y")</f>
        <v>-31.575099999999999</v>
      </c>
      <c r="H31" s="14">
        <f>_xll.BDH("SRPT US Equity","NET_CHANGE_IN_CASH_1_YEAR_GROWTH","FQ1 2020","FQ1 2020","Currency=USD","Period=FQ","BEST_FPERIOD_OVERRIDE=FQ","FILING_STATUS=MR","Sort=A","Dates=H","DateFormat=P","Fill=—","Direction=H","UseDPDF=Y")</f>
        <v>153.4727</v>
      </c>
      <c r="I31" s="14" t="str">
        <f>_xll.BDH("SRPT US Equity","NET_CHANGE_IN_CASH_1_YEAR_GROWTH","FQ2 2020","FQ2 2020","Currency=USD","Period=FQ","BEST_FPERIOD_OVERRIDE=FQ","FILING_STATUS=MR","Sort=A","Dates=H","DateFormat=P","Fill=—","Direction=H","UseDPDF=Y")</f>
        <v>—</v>
      </c>
      <c r="J31" s="14">
        <f>_xll.BDH("SRPT US Equity","NET_CHANGE_IN_CASH_1_YEAR_GROWTH","FQ3 2020","FQ3 2020","Currency=USD","Period=FQ","BEST_FPERIOD_OVERRIDE=FQ","FILING_STATUS=MR","Sort=A","Dates=H","DateFormat=P","Fill=—","Direction=H","UseDPDF=Y")</f>
        <v>-97.618799999999993</v>
      </c>
      <c r="K31" s="14">
        <f>_xll.BDH("SRPT US Equity","NET_CHANGE_IN_CASH_1_YEAR_GROWTH","FQ4 2020","FQ4 2020","Currency=USD","Period=FQ","BEST_FPERIOD_OVERRIDE=FQ","FILING_STATUS=MR","Sort=A","Dates=H","DateFormat=P","Fill=—","Direction=H","UseDPDF=Y")</f>
        <v>-74.139899999999997</v>
      </c>
      <c r="L31" s="14" t="str">
        <f>_xll.BDH("SRPT US Equity","NET_CHANGE_IN_CASH_1_YEAR_GROWTH","FQ1 2021","FQ1 2021","Currency=USD","Period=FQ","BEST_FPERIOD_OVERRIDE=FQ","FILING_STATUS=MR","Sort=A","Dates=H","DateFormat=P","Fill=—","Direction=H","UseDPDF=Y")</f>
        <v>—</v>
      </c>
      <c r="M31" s="14" t="str">
        <f>_xll.BDH("SRPT US Equity","NET_CHANGE_IN_CASH_1_YEAR_GROWTH","FQ2 2021","FQ2 2021","Currency=USD","Period=FQ","BEST_FPERIOD_OVERRIDE=FQ","FILING_STATUS=MR","Sort=A","Dates=H","DateFormat=P","Fill=—","Direction=H","UseDPDF=Y")</f>
        <v>—</v>
      </c>
      <c r="N31" s="14">
        <f>_xll.BDH("SRPT US Equity","NET_CHANGE_IN_CASH_1_YEAR_GROWTH","FQ3 2021","FQ3 2021","Currency=USD","Period=FQ","BEST_FPERIOD_OVERRIDE=FQ","FILING_STATUS=MR","Sort=A","Dates=H","DateFormat=P","Fill=—","Direction=H","UseDPDF=Y")</f>
        <v>40.623800000000003</v>
      </c>
      <c r="O31" s="14">
        <f>_xll.BDH("SRPT US Equity","NET_CHANGE_IN_CASH_1_YEAR_GROWTH","FQ4 2021","FQ4 2021","Currency=USD","Period=FQ","BEST_FPERIOD_OVERRIDE=FQ","FILING_STATUS=MR","Sort=A","Dates=H","DateFormat=P","Fill=—","Direction=H","UseDPDF=Y")</f>
        <v>1714.5453</v>
      </c>
      <c r="P31" s="14">
        <f>_xll.BDH("SRPT US Equity","NET_CHANGE_IN_CASH_1_YEAR_GROWTH","FQ1 2022","FQ1 2022","Currency=USD","Period=FQ","BEST_FPERIOD_OVERRIDE=FQ","FILING_STATUS=MR","Sort=A","Dates=H","DateFormat=P","Fill=—","Direction=H","UseDPDF=Y")</f>
        <v>-4137.9012000000002</v>
      </c>
      <c r="Q31" s="14" t="str">
        <f>_xll.BDH("SRPT US Equity","NET_CHANGE_IN_CASH_1_YEAR_GROWTH","FQ2 2022","FQ2 2022","Currency=USD","Period=FQ","BEST_FPERIOD_OVERRIDE=FQ","FILING_STATUS=MR","Sort=A","Dates=H","DateFormat=P","Fill=—","Direction=H","UseDPDF=Y")</f>
        <v>—</v>
      </c>
      <c r="R31" s="14" t="str">
        <f>_xll.BDH("SRPT US Equity","NET_CHANGE_IN_CASH_1_YEAR_GROWTH","FQ3 2022","FQ3 2022","Currency=USD","Period=FQ","BEST_FPERIOD_OVERRIDE=FQ","FILING_STATUS=MR","Sort=A","Dates=H","DateFormat=P","Fill=—","Direction=H","UseDPDF=Y")</f>
        <v>—</v>
      </c>
      <c r="S31" s="14" t="str">
        <f>_xll.BDH("SRPT US Equity","NET_CHANGE_IN_CASH_1_YEAR_GROWTH","FQ4 2022","FQ4 2022","Currency=USD","Period=FQ","BEST_FPERIOD_OVERRIDE=FQ","FILING_STATUS=MR","Sort=A","Dates=H","DateFormat=P","Fill=—","Direction=H","UseDPDF=Y")</f>
        <v>—</v>
      </c>
      <c r="T31" s="14">
        <f>_xll.BDH("SRPT US Equity","NET_CHANGE_IN_CASH_1_YEAR_GROWTH","FQ1 2023","FQ1 2023","Currency=USD","Period=FQ","BEST_FPERIOD_OVERRIDE=FQ","FILING_STATUS=MR","Sort=A","Dates=H","DateFormat=P","Fill=—","Direction=H","UseDPDF=Y")</f>
        <v>89.2166</v>
      </c>
      <c r="U31" s="14">
        <f>_xll.BDH("SRPT US Equity","NET_CHANGE_IN_CASH_1_YEAR_GROWTH","FQ2 2023","FQ2 2023","Currency=USD","Period=FQ","BEST_FPERIOD_OVERRIDE=FQ","FILING_STATUS=MR","Sort=A","Dates=H","DateFormat=P","Fill=—","Direction=H","UseDPDF=Y")</f>
        <v>94.462599999999995</v>
      </c>
      <c r="V31" s="14" t="str">
        <f>_xll.BDH("SRPT US Equity","NET_CHANGE_IN_CASH_1_YEAR_GROWTH","FQ3 2023","FQ3 2023","Currency=USD","Period=FQ","BEST_FPERIOD_OVERRIDE=FQ","FILING_STATUS=MR","Sort=A","Dates=H","DateFormat=P","Fill=—","Direction=H","UseDPDF=Y")</f>
        <v>—</v>
      </c>
      <c r="W31" s="14">
        <f>_xll.BDH("SRPT US Equity","NET_CHANGE_IN_CASH_1_YEAR_GROWTH","FQ4 2023","FQ4 2023","Currency=USD","Period=FQ","BEST_FPERIOD_OVERRIDE=FQ","FILING_STATUS=MR","Sort=A","Dates=H","DateFormat=P","Fill=—","Direction=H","UseDPDF=Y")</f>
        <v>-62.946300000000001</v>
      </c>
      <c r="X31" s="14">
        <f>_xll.BDH("SRPT US Equity","NET_CHANGE_IN_CASH_1_YEAR_GROWTH","FQ1 2024","FQ1 2024","Currency=USD","Period=FQ","BEST_FPERIOD_OVERRIDE=FQ","FILING_STATUS=MR","Sort=A","Dates=H","DateFormat=P","Fill=—","Direction=H","UseDPDF=Y")</f>
        <v>98.801400000000001</v>
      </c>
      <c r="Y31" s="14">
        <f>_xll.BDH("SRPT US Equity","NET_CHANGE_IN_CASH_1_YEAR_GROWTH","FQ2 2024","FQ2 2024","Currency=USD","Period=FQ","BEST_FPERIOD_OVERRIDE=FQ","FILING_STATUS=MR","Sort=A","Dates=H","DateFormat=P","Fill=—","Direction=H","UseDPDF=Y")</f>
        <v>-121.227</v>
      </c>
      <c r="Z31" s="14">
        <f>_xll.BDH("SRPT US Equity","NET_CHANGE_IN_CASH_1_YEAR_GROWTH","FQ3 2024","FQ3 2024","Currency=USD","Period=FQ","BEST_FPERIOD_OVERRIDE=FQ","FILING_STATUS=MR","Sort=A","Dates=H","DateFormat=P","Fill=—","Direction=H","UseDPDF=Y")</f>
        <v>40.050400000000003</v>
      </c>
      <c r="AA31" s="14" t="str">
        <f>_xll.BDH("SRPT US Equity","NET_CHANGE_IN_CASH_1_YEAR_GROWTH","FQ4 2024","FQ4 2024","Currency=USD","Period=FQ","BEST_FPERIOD_OVERRIDE=FQ","FILING_STATUS=MR","Sort=A","Dates=H","DateFormat=P","Fill=—","Direction=H","UseDPDF=Y")</f>
        <v>—</v>
      </c>
    </row>
    <row r="32" spans="1:27" x14ac:dyDescent="0.25">
      <c r="A32" s="10" t="s">
        <v>88</v>
      </c>
      <c r="B32" s="10" t="s">
        <v>1421</v>
      </c>
      <c r="C32" s="14">
        <f>_xll.BDH("SRPT US Equity","FREE_CASH_FLOW_1_YEAR_GROWTH","FQ4 2018","FQ4 2018","Currency=USD","Period=FQ","BEST_FPERIOD_OVERRIDE=FQ","FILING_STATUS=MR","Sort=A","Dates=H","DateFormat=P","Fill=—","Direction=H","UseDPDF=Y")</f>
        <v>-307.99549999999999</v>
      </c>
      <c r="D32" s="14">
        <f>_xll.BDH("SRPT US Equity","FREE_CASH_FLOW_1_YEAR_GROWTH","FQ1 2019","FQ1 2019","Currency=USD","Period=FQ","BEST_FPERIOD_OVERRIDE=FQ","FILING_STATUS=MR","Sort=A","Dates=H","DateFormat=P","Fill=—","Direction=H","UseDPDF=Y")</f>
        <v>-239.70820000000001</v>
      </c>
      <c r="E32" s="14">
        <f>_xll.BDH("SRPT US Equity","FREE_CASH_FLOW_1_YEAR_GROWTH","FQ2 2019","FQ2 2019","Currency=USD","Period=FQ","BEST_FPERIOD_OVERRIDE=FQ","FILING_STATUS=MR","Sort=A","Dates=H","DateFormat=P","Fill=—","Direction=H","UseDPDF=Y")</f>
        <v>24.029199999999999</v>
      </c>
      <c r="F32" s="14">
        <f>_xll.BDH("SRPT US Equity","FREE_CASH_FLOW_1_YEAR_GROWTH","FQ3 2019","FQ3 2019","Currency=USD","Period=FQ","BEST_FPERIOD_OVERRIDE=FQ","FILING_STATUS=MR","Sort=A","Dates=H","DateFormat=P","Fill=—","Direction=H","UseDPDF=Y")</f>
        <v>42.387700000000002</v>
      </c>
      <c r="G32" s="14">
        <f>_xll.BDH("SRPT US Equity","FREE_CASH_FLOW_1_YEAR_GROWTH","FQ4 2019","FQ4 2019","Currency=USD","Period=FQ","BEST_FPERIOD_OVERRIDE=FQ","FILING_STATUS=MR","Sort=A","Dates=H","DateFormat=P","Fill=—","Direction=H","UseDPDF=Y")</f>
        <v>-26.944500000000001</v>
      </c>
      <c r="H32" s="14" t="str">
        <f>_xll.BDH("SRPT US Equity","FREE_CASH_FLOW_1_YEAR_GROWTH","FQ1 2020","FQ1 2020","Currency=USD","Period=FQ","BEST_FPERIOD_OVERRIDE=FQ","FILING_STATUS=MR","Sort=A","Dates=H","DateFormat=P","Fill=—","Direction=H","UseDPDF=Y")</f>
        <v>—</v>
      </c>
      <c r="I32" s="14">
        <f>_xll.BDH("SRPT US Equity","FREE_CASH_FLOW_1_YEAR_GROWTH","FQ2 2020","FQ2 2020","Currency=USD","Period=FQ","BEST_FPERIOD_OVERRIDE=FQ","FILING_STATUS=MR","Sort=A","Dates=H","DateFormat=P","Fill=—","Direction=H","UseDPDF=Y")</f>
        <v>-32.487499999999997</v>
      </c>
      <c r="J32" s="14">
        <f>_xll.BDH("SRPT US Equity","FREE_CASH_FLOW_1_YEAR_GROWTH","FQ3 2020","FQ3 2020","Currency=USD","Period=FQ","BEST_FPERIOD_OVERRIDE=FQ","FILING_STATUS=MR","Sort=A","Dates=H","DateFormat=P","Fill=—","Direction=H","UseDPDF=Y")</f>
        <v>-242.8168</v>
      </c>
      <c r="K32" s="14">
        <f>_xll.BDH("SRPT US Equity","FREE_CASH_FLOW_1_YEAR_GROWTH","FQ4 2020","FQ4 2020","Currency=USD","Period=FQ","BEST_FPERIOD_OVERRIDE=FQ","FILING_STATUS=MR","Sort=A","Dates=H","DateFormat=P","Fill=—","Direction=H","UseDPDF=Y")</f>
        <v>-10.768700000000001</v>
      </c>
      <c r="L32" s="14" t="str">
        <f>_xll.BDH("SRPT US Equity","FREE_CASH_FLOW_1_YEAR_GROWTH","FQ1 2021","FQ1 2021","Currency=USD","Period=FQ","BEST_FPERIOD_OVERRIDE=FQ","FILING_STATUS=MR","Sort=A","Dates=H","DateFormat=P","Fill=—","Direction=H","UseDPDF=Y")</f>
        <v>—</v>
      </c>
      <c r="M32" s="14">
        <f>_xll.BDH("SRPT US Equity","FREE_CASH_FLOW_1_YEAR_GROWTH","FQ2 2021","FQ2 2021","Currency=USD","Period=FQ","BEST_FPERIOD_OVERRIDE=FQ","FILING_STATUS=MR","Sort=A","Dates=H","DateFormat=P","Fill=—","Direction=H","UseDPDF=Y")</f>
        <v>9.2544000000000004</v>
      </c>
      <c r="N32" s="14">
        <f>_xll.BDH("SRPT US Equity","FREE_CASH_FLOW_1_YEAR_GROWTH","FQ3 2021","FQ3 2021","Currency=USD","Period=FQ","BEST_FPERIOD_OVERRIDE=FQ","FILING_STATUS=MR","Sort=A","Dates=H","DateFormat=P","Fill=—","Direction=H","UseDPDF=Y")</f>
        <v>49.307200000000002</v>
      </c>
      <c r="O32" s="14">
        <f>_xll.BDH("SRPT US Equity","FREE_CASH_FLOW_1_YEAR_GROWTH","FQ4 2021","FQ4 2021","Currency=USD","Period=FQ","BEST_FPERIOD_OVERRIDE=FQ","FILING_STATUS=MR","Sort=A","Dates=H","DateFormat=P","Fill=—","Direction=H","UseDPDF=Y")</f>
        <v>84.277199999999993</v>
      </c>
      <c r="P32" s="14">
        <f>_xll.BDH("SRPT US Equity","FREE_CASH_FLOW_1_YEAR_GROWTH","FQ1 2022","FQ1 2022","Currency=USD","Period=FQ","BEST_FPERIOD_OVERRIDE=FQ","FILING_STATUS=MR","Sort=A","Dates=H","DateFormat=P","Fill=—","Direction=H","UseDPDF=Y")</f>
        <v>47.039499999999997</v>
      </c>
      <c r="Q32" s="14">
        <f>_xll.BDH("SRPT US Equity","FREE_CASH_FLOW_1_YEAR_GROWTH","FQ2 2022","FQ2 2022","Currency=USD","Period=FQ","BEST_FPERIOD_OVERRIDE=FQ","FILING_STATUS=MR","Sort=A","Dates=H","DateFormat=P","Fill=—","Direction=H","UseDPDF=Y")</f>
        <v>34.029000000000003</v>
      </c>
      <c r="R32" s="14">
        <f>_xll.BDH("SRPT US Equity","FREE_CASH_FLOW_1_YEAR_GROWTH","FQ3 2022","FQ3 2022","Currency=USD","Period=FQ","BEST_FPERIOD_OVERRIDE=FQ","FILING_STATUS=MR","Sort=A","Dates=H","DateFormat=P","Fill=—","Direction=H","UseDPDF=Y")</f>
        <v>45.201000000000001</v>
      </c>
      <c r="S32" s="14">
        <f>_xll.BDH("SRPT US Equity","FREE_CASH_FLOW_1_YEAR_GROWTH","FQ4 2022","FQ4 2022","Currency=USD","Period=FQ","BEST_FPERIOD_OVERRIDE=FQ","FILING_STATUS=MR","Sort=A","Dates=H","DateFormat=P","Fill=—","Direction=H","UseDPDF=Y")</f>
        <v>-214.38220000000001</v>
      </c>
      <c r="T32" s="14">
        <f>_xll.BDH("SRPT US Equity","FREE_CASH_FLOW_1_YEAR_GROWTH","FQ1 2023","FQ1 2023","Currency=USD","Period=FQ","BEST_FPERIOD_OVERRIDE=FQ","FILING_STATUS=MR","Sort=A","Dates=H","DateFormat=P","Fill=—","Direction=H","UseDPDF=Y")</f>
        <v>-105.0869</v>
      </c>
      <c r="U32" s="14">
        <f>_xll.BDH("SRPT US Equity","FREE_CASH_FLOW_1_YEAR_GROWTH","FQ2 2023","FQ2 2023","Currency=USD","Period=FQ","BEST_FPERIOD_OVERRIDE=FQ","FILING_STATUS=MR","Sort=A","Dates=H","DateFormat=P","Fill=—","Direction=H","UseDPDF=Y")</f>
        <v>-84.658699999999996</v>
      </c>
      <c r="V32" s="14">
        <f>_xll.BDH("SRPT US Equity","FREE_CASH_FLOW_1_YEAR_GROWTH","FQ3 2023","FQ3 2023","Currency=USD","Period=FQ","BEST_FPERIOD_OVERRIDE=FQ","FILING_STATUS=MR","Sort=A","Dates=H","DateFormat=P","Fill=—","Direction=H","UseDPDF=Y")</f>
        <v>-97.252499999999998</v>
      </c>
      <c r="W32" s="14">
        <f>_xll.BDH("SRPT US Equity","FREE_CASH_FLOW_1_YEAR_GROWTH","FQ4 2023","FQ4 2023","Currency=USD","Period=FQ","BEST_FPERIOD_OVERRIDE=FQ","FILING_STATUS=MR","Sort=A","Dates=H","DateFormat=P","Fill=—","Direction=H","UseDPDF=Y")</f>
        <v>25.658000000000001</v>
      </c>
      <c r="X32" s="14">
        <f>_xll.BDH("SRPT US Equity","FREE_CASH_FLOW_1_YEAR_GROWTH","FQ1 2024","FQ1 2024","Currency=USD","Period=FQ","BEST_FPERIOD_OVERRIDE=FQ","FILING_STATUS=MR","Sort=A","Dates=H","DateFormat=P","Fill=—","Direction=H","UseDPDF=Y")</f>
        <v>-25.419699999999999</v>
      </c>
      <c r="Y32" s="14">
        <f>_xll.BDH("SRPT US Equity","FREE_CASH_FLOW_1_YEAR_GROWTH","FQ2 2024","FQ2 2024","Currency=USD","Period=FQ","BEST_FPERIOD_OVERRIDE=FQ","FILING_STATUS=MR","Sort=A","Dates=H","DateFormat=P","Fill=—","Direction=H","UseDPDF=Y")</f>
        <v>89.849699999999999</v>
      </c>
      <c r="Z32" s="14">
        <f>_xll.BDH("SRPT US Equity","FREE_CASH_FLOW_1_YEAR_GROWTH","FQ3 2024","FQ3 2024","Currency=USD","Period=FQ","BEST_FPERIOD_OVERRIDE=FQ","FILING_STATUS=MR","Sort=A","Dates=H","DateFormat=P","Fill=—","Direction=H","UseDPDF=Y")</f>
        <v>25.223199999999999</v>
      </c>
      <c r="AA32" s="14" t="str">
        <f>_xll.BDH("SRPT US Equity","FREE_CASH_FLOW_1_YEAR_GROWTH","FQ4 2024","FQ4 2024","Currency=USD","Period=FQ","BEST_FPERIOD_OVERRIDE=FQ","FILING_STATUS=MR","Sort=A","Dates=H","DateFormat=P","Fill=—","Direction=H","UseDPDF=Y")</f>
        <v>—</v>
      </c>
    </row>
    <row r="33" spans="1:27" x14ac:dyDescent="0.25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5">
      <c r="A34" s="6" t="s">
        <v>1422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 x14ac:dyDescent="0.25">
      <c r="A35" s="10" t="s">
        <v>0</v>
      </c>
      <c r="B35" s="10" t="s">
        <v>1423</v>
      </c>
      <c r="C35" s="14">
        <f>_xll.BDH("SRPT US Equity","GEO_GROW_NET_SALES","FQ4 2018","FQ4 2018","Currency=USD","Period=FQ","BEST_FPERIOD_OVERRIDE=FQ","FILING_STATUS=MR","FA_ADJUSTED=GAAP","Sort=A","Dates=H","DateFormat=P","Fill=—","Direction=H","UseDPDF=Y")</f>
        <v>100.182</v>
      </c>
      <c r="D35" s="14">
        <f>_xll.BDH("SRPT US Equity","GEO_GROW_NET_SALES","FQ1 2019","FQ1 2019","Currency=USD","Period=FQ","BEST_FPERIOD_OVERRIDE=FQ","FILING_STATUS=MR","FA_ADJUSTED=GAAP","Sort=A","Dates=H","DateFormat=P","Fill=—","Direction=H","UseDPDF=Y")</f>
        <v>70.223699999999994</v>
      </c>
      <c r="E35" s="14">
        <f>_xll.BDH("SRPT US Equity","GEO_GROW_NET_SALES","FQ2 2019","FQ2 2019","Currency=USD","Period=FQ","BEST_FPERIOD_OVERRIDE=FQ","FILING_STATUS=MR","FA_ADJUSTED=GAAP","Sort=A","Dates=H","DateFormat=P","Fill=—","Direction=H","UseDPDF=Y")</f>
        <v>105.50190000000001</v>
      </c>
      <c r="F35" s="14">
        <f>_xll.BDH("SRPT US Equity","GEO_GROW_NET_SALES","FQ3 2019","FQ3 2019","Currency=USD","Period=FQ","BEST_FPERIOD_OVERRIDE=FQ","FILING_STATUS=MR","FA_ADJUSTED=GAAP","Sort=A","Dates=H","DateFormat=P","Fill=—","Direction=H","UseDPDF=Y")</f>
        <v>147.84710000000001</v>
      </c>
      <c r="G35" s="14">
        <f>_xll.BDH("SRPT US Equity","GEO_GROW_NET_SALES","FQ4 2019","FQ4 2019","Currency=USD","Period=FQ","BEST_FPERIOD_OVERRIDE=FQ","FILING_STATUS=MR","FA_ADJUSTED=GAAP","Sort=A","Dates=H","DateFormat=P","Fill=—","Direction=H","UseDPDF=Y")</f>
        <v>417.39870000000002</v>
      </c>
      <c r="H35" s="14" t="str">
        <f>_xll.BDH("SRPT US Equity","GEO_GROW_NET_SALES","FQ1 2020","FQ1 2020","Currency=USD","Period=FQ","BEST_FPERIOD_OVERRIDE=FQ","FILING_STATUS=MR","FA_ADJUSTED=GAAP","Sort=A","Dates=H","DateFormat=P","Fill=—","Direction=H","UseDPDF=Y")</f>
        <v>—</v>
      </c>
      <c r="I35" s="14" t="str">
        <f>_xll.BDH("SRPT US Equity","GEO_GROW_NET_SALES","FQ2 2020","FQ2 2020","Currency=USD","Period=FQ","BEST_FPERIOD_OVERRIDE=FQ","FILING_STATUS=MR","FA_ADJUSTED=GAAP","Sort=A","Dates=H","DateFormat=P","Fill=—","Direction=H","UseDPDF=Y")</f>
        <v>—</v>
      </c>
      <c r="J35" s="14" t="str">
        <f>_xll.BDH("SRPT US Equity","GEO_GROW_NET_SALES","FQ3 2020","FQ3 2020","Currency=USD","Period=FQ","BEST_FPERIOD_OVERRIDE=FQ","FILING_STATUS=MR","FA_ADJUSTED=GAAP","Sort=A","Dates=H","DateFormat=P","Fill=—","Direction=H","UseDPDF=Y")</f>
        <v>—</v>
      </c>
      <c r="K35" s="14">
        <f>_xll.BDH("SRPT US Equity","GEO_GROW_NET_SALES","FQ4 2020","FQ4 2020","Currency=USD","Period=FQ","BEST_FPERIOD_OVERRIDE=FQ","FILING_STATUS=MR","FA_ADJUSTED=GAAP","Sort=A","Dates=H","DateFormat=P","Fill=—","Direction=H","UseDPDF=Y")</f>
        <v>158.68190000000001</v>
      </c>
      <c r="L35" s="14" t="str">
        <f>_xll.BDH("SRPT US Equity","GEO_GROW_NET_SALES","FQ1 2021","FQ1 2021","Currency=USD","Period=FQ","BEST_FPERIOD_OVERRIDE=FQ","FILING_STATUS=MR","FA_ADJUSTED=GAAP","Sort=A","Dates=H","DateFormat=P","Fill=—","Direction=H","UseDPDF=Y")</f>
        <v>—</v>
      </c>
      <c r="M35" s="14" t="str">
        <f>_xll.BDH("SRPT US Equity","GEO_GROW_NET_SALES","FQ2 2021","FQ2 2021","Currency=USD","Period=FQ","BEST_FPERIOD_OVERRIDE=FQ","FILING_STATUS=MR","FA_ADJUSTED=GAAP","Sort=A","Dates=H","DateFormat=P","Fill=—","Direction=H","UseDPDF=Y")</f>
        <v>—</v>
      </c>
      <c r="N35" s="14" t="str">
        <f>_xll.BDH("SRPT US Equity","GEO_GROW_NET_SALES","FQ3 2021","FQ3 2021","Currency=USD","Period=FQ","BEST_FPERIOD_OVERRIDE=FQ","FILING_STATUS=MR","FA_ADJUSTED=GAAP","Sort=A","Dates=H","DateFormat=P","Fill=—","Direction=H","UseDPDF=Y")</f>
        <v>—</v>
      </c>
      <c r="O35" s="14">
        <f>_xll.BDH("SRPT US Equity","GEO_GROW_NET_SALES","FQ4 2021","FQ4 2021","Currency=USD","Period=FQ","BEST_FPERIOD_OVERRIDE=FQ","FILING_STATUS=MR","FA_ADJUSTED=GAAP","Sort=A","Dates=H","DateFormat=P","Fill=—","Direction=H","UseDPDF=Y")</f>
        <v>106.0736</v>
      </c>
      <c r="P35" s="14">
        <f>_xll.BDH("SRPT US Equity","GEO_GROW_NET_SALES","FQ1 2022","FQ1 2022","Currency=USD","Period=FQ","BEST_FPERIOD_OVERRIDE=FQ","FILING_STATUS=MR","FA_ADJUSTED=GAAP","Sort=A","Dates=H","DateFormat=P","Fill=—","Direction=H","UseDPDF=Y")</f>
        <v>66.772900000000007</v>
      </c>
      <c r="Q35" s="14">
        <f>_xll.BDH("SRPT US Equity","GEO_GROW_NET_SALES","FQ2 2022","FQ2 2022","Currency=USD","Period=FQ","BEST_FPERIOD_OVERRIDE=FQ","FILING_STATUS=MR","FA_ADJUSTED=GAAP","Sort=A","Dates=H","DateFormat=P","Fill=—","Direction=H","UseDPDF=Y")</f>
        <v>46.154299999999999</v>
      </c>
      <c r="R35" s="14">
        <f>_xll.BDH("SRPT US Equity","GEO_GROW_NET_SALES","FQ3 2022","FQ3 2022","Currency=USD","Period=FQ","BEST_FPERIOD_OVERRIDE=FQ","FILING_STATUS=MR","FA_ADJUSTED=GAAP","Sort=A","Dates=H","DateFormat=P","Fill=—","Direction=H","UseDPDF=Y")</f>
        <v>38.032800000000002</v>
      </c>
      <c r="S35" s="14">
        <f>_xll.BDH("SRPT US Equity","GEO_GROW_NET_SALES","FQ4 2022","FQ4 2022","Currency=USD","Period=FQ","BEST_FPERIOD_OVERRIDE=FQ","FILING_STATUS=MR","FA_ADJUSTED=GAAP","Sort=A","Dates=H","DateFormat=P","Fill=—","Direction=H","UseDPDF=Y")</f>
        <v>35.167299999999997</v>
      </c>
      <c r="T35" s="14">
        <f>_xll.BDH("SRPT US Equity","GEO_GROW_NET_SALES","FQ1 2023","FQ1 2023","Currency=USD","Period=FQ","BEST_FPERIOD_OVERRIDE=FQ","FILING_STATUS=MR","FA_ADJUSTED=GAAP","Sort=A","Dates=H","DateFormat=P","Fill=—","Direction=H","UseDPDF=Y")</f>
        <v>31.444900000000001</v>
      </c>
      <c r="U35" s="14">
        <f>_xll.BDH("SRPT US Equity","GEO_GROW_NET_SALES","FQ2 2023","FQ2 2023","Currency=USD","Period=FQ","BEST_FPERIOD_OVERRIDE=FQ","FILING_STATUS=MR","FA_ADJUSTED=GAAP","Sort=A","Dates=H","DateFormat=P","Fill=—","Direction=H","UseDPDF=Y")</f>
        <v>28.859200000000001</v>
      </c>
      <c r="V35" s="14">
        <f>_xll.BDH("SRPT US Equity","GEO_GROW_NET_SALES","FQ3 2023","FQ3 2023","Currency=USD","Period=FQ","BEST_FPERIOD_OVERRIDE=FQ","FILING_STATUS=MR","FA_ADJUSTED=GAAP","Sort=A","Dates=H","DateFormat=P","Fill=—","Direction=H","UseDPDF=Y")</f>
        <v>33.420099999999998</v>
      </c>
      <c r="W35" s="14">
        <f>_xll.BDH("SRPT US Equity","GEO_GROW_NET_SALES","FQ4 2023","FQ4 2023","Currency=USD","Period=FQ","BEST_FPERIOD_OVERRIDE=FQ","FILING_STATUS=MR","FA_ADJUSTED=GAAP","Sort=A","Dates=H","DateFormat=P","Fill=—","Direction=H","UseDPDF=Y")</f>
        <v>36.278199999999998</v>
      </c>
      <c r="X35" s="14">
        <f>_xll.BDH("SRPT US Equity","GEO_GROW_NET_SALES","FQ1 2024","FQ1 2024","Currency=USD","Period=FQ","BEST_FPERIOD_OVERRIDE=FQ","FILING_STATUS=MR","FA_ADJUSTED=GAAP","Sort=A","Dates=H","DateFormat=P","Fill=—","Direction=H","UseDPDF=Y")</f>
        <v>36.575499999999998</v>
      </c>
      <c r="Y35" s="14">
        <f>_xll.BDH("SRPT US Equity","GEO_GROW_NET_SALES","FQ2 2024","FQ2 2024","Currency=USD","Period=FQ","BEST_FPERIOD_OVERRIDE=FQ","FILING_STATUS=MR","FA_ADJUSTED=GAAP","Sort=A","Dates=H","DateFormat=P","Fill=—","Direction=H","UseDPDF=Y")</f>
        <v>30.835100000000001</v>
      </c>
      <c r="Z35" s="14">
        <f>_xll.BDH("SRPT US Equity","GEO_GROW_NET_SALES","FQ3 2024","FQ3 2024","Currency=USD","Period=FQ","BEST_FPERIOD_OVERRIDE=FQ","FILING_STATUS=MR","FA_ADJUSTED=GAAP","Sort=A","Dates=H","DateFormat=P","Fill=—","Direction=H","UseDPDF=Y")</f>
        <v>36.374200000000002</v>
      </c>
      <c r="AA35" s="14">
        <f>_xll.BDH("SRPT US Equity","GEO_GROW_NET_SALES","FQ4 2024","FQ4 2024","Currency=USD","Period=FQ","BEST_FPERIOD_OVERRIDE=FQ","FILING_STATUS=MR","FA_ADJUSTED=GAAP","Sort=A","Dates=H","DateFormat=P","Fill=—","Direction=H","UseDPDF=Y")</f>
        <v>45.747599999999998</v>
      </c>
    </row>
    <row r="36" spans="1:27" x14ac:dyDescent="0.25">
      <c r="A36" s="10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5">
      <c r="A37" s="10" t="s">
        <v>1394</v>
      </c>
      <c r="B37" s="10" t="s">
        <v>1424</v>
      </c>
      <c r="C37" s="14">
        <f>_xll.BDH("SRPT US Equity","ACCOUNTS_RECEIVABLE_5_YR_GROWTH","FQ4 2018","FQ4 2018","Currency=USD","Period=FQ","BEST_FPERIOD_OVERRIDE=FQ","FILING_STATUS=MR","Sort=A","Dates=H","DateFormat=P","Fill=—","Direction=H","UseDPDF=Y")</f>
        <v>69.263099999999994</v>
      </c>
      <c r="D37" s="14">
        <f>_xll.BDH("SRPT US Equity","ACCOUNTS_RECEIVABLE_5_YR_GROWTH","FQ1 2019","FQ1 2019","Currency=USD","Period=FQ","BEST_FPERIOD_OVERRIDE=FQ","FILING_STATUS=MR","Sort=A","Dates=H","DateFormat=P","Fill=—","Direction=H","UseDPDF=Y")</f>
        <v>45.115099999999998</v>
      </c>
      <c r="E37" s="14">
        <f>_xll.BDH("SRPT US Equity","ACCOUNTS_RECEIVABLE_5_YR_GROWTH","FQ2 2019","FQ2 2019","Currency=USD","Period=FQ","BEST_FPERIOD_OVERRIDE=FQ","FILING_STATUS=MR","Sort=A","Dates=H","DateFormat=P","Fill=—","Direction=H","UseDPDF=Y")</f>
        <v>61.254600000000003</v>
      </c>
      <c r="F37" s="14">
        <f>_xll.BDH("SRPT US Equity","ACCOUNTS_RECEIVABLE_5_YR_GROWTH","FQ3 2019","FQ3 2019","Currency=USD","Period=FQ","BEST_FPERIOD_OVERRIDE=FQ","FILING_STATUS=MR","Sort=A","Dates=H","DateFormat=P","Fill=—","Direction=H","UseDPDF=Y")</f>
        <v>82.4833</v>
      </c>
      <c r="G37" s="14">
        <f>_xll.BDH("SRPT US Equity","ACCOUNTS_RECEIVABLE_5_YR_GROWTH","FQ4 2019","FQ4 2019","Currency=USD","Period=FQ","BEST_FPERIOD_OVERRIDE=FQ","FILING_STATUS=MR","Sort=A","Dates=H","DateFormat=P","Fill=—","Direction=H","UseDPDF=Y")</f>
        <v>106.5729</v>
      </c>
      <c r="H37" s="14">
        <f>_xll.BDH("SRPT US Equity","ACCOUNTS_RECEIVABLE_5_YR_GROWTH","FQ1 2020","FQ1 2020","Currency=USD","Period=FQ","BEST_FPERIOD_OVERRIDE=FQ","FILING_STATUS=MR","Sort=A","Dates=H","DateFormat=P","Fill=—","Direction=H","UseDPDF=Y")</f>
        <v>113.381</v>
      </c>
      <c r="I37" s="14">
        <f>_xll.BDH("SRPT US Equity","ACCOUNTS_RECEIVABLE_5_YR_GROWTH","FQ2 2020","FQ2 2020","Currency=USD","Period=FQ","BEST_FPERIOD_OVERRIDE=FQ","FILING_STATUS=MR","Sort=A","Dates=H","DateFormat=P","Fill=—","Direction=H","UseDPDF=Y")</f>
        <v>112.2319</v>
      </c>
      <c r="J37" s="14">
        <f>_xll.BDH("SRPT US Equity","ACCOUNTS_RECEIVABLE_5_YR_GROWTH","FQ3 2020","FQ3 2020","Currency=USD","Period=FQ","BEST_FPERIOD_OVERRIDE=FQ","FILING_STATUS=MR","Sort=A","Dates=H","DateFormat=P","Fill=—","Direction=H","UseDPDF=Y")</f>
        <v>113.708</v>
      </c>
      <c r="K37" s="14">
        <f>_xll.BDH("SRPT US Equity","ACCOUNTS_RECEIVABLE_5_YR_GROWTH","FQ4 2020","FQ4 2020","Currency=USD","Period=FQ","BEST_FPERIOD_OVERRIDE=FQ","FILING_STATUS=MR","Sort=A","Dates=H","DateFormat=P","Fill=—","Direction=H","UseDPDF=Y")</f>
        <v>91.093100000000007</v>
      </c>
      <c r="L37" s="14">
        <f>_xll.BDH("SRPT US Equity","ACCOUNTS_RECEIVABLE_5_YR_GROWTH","FQ1 2021","FQ1 2021","Currency=USD","Period=FQ","BEST_FPERIOD_OVERRIDE=FQ","FILING_STATUS=MR","Sort=A","Dates=H","DateFormat=P","Fill=—","Direction=H","UseDPDF=Y")</f>
        <v>96.938699999999997</v>
      </c>
      <c r="M37" s="14">
        <f>_xll.BDH("SRPT US Equity","ACCOUNTS_RECEIVABLE_5_YR_GROWTH","FQ2 2021","FQ2 2021","Currency=USD","Period=FQ","BEST_FPERIOD_OVERRIDE=FQ","FILING_STATUS=MR","Sort=A","Dates=H","DateFormat=P","Fill=—","Direction=H","UseDPDF=Y")</f>
        <v>100.0301</v>
      </c>
      <c r="N37" s="14">
        <f>_xll.BDH("SRPT US Equity","ACCOUNTS_RECEIVABLE_5_YR_GROWTH","FQ3 2021","FQ3 2021","Currency=USD","Period=FQ","BEST_FPERIOD_OVERRIDE=FQ","FILING_STATUS=MR","Sort=A","Dates=H","DateFormat=P","Fill=—","Direction=H","UseDPDF=Y")</f>
        <v>106.532</v>
      </c>
      <c r="O37" s="14">
        <f>_xll.BDH("SRPT US Equity","ACCOUNTS_RECEIVABLE_5_YR_GROWTH","FQ4 2021","FQ4 2021","Currency=USD","Period=FQ","BEST_FPERIOD_OVERRIDE=FQ","FILING_STATUS=MR","Sort=A","Dates=H","DateFormat=P","Fill=—","Direction=H","UseDPDF=Y")</f>
        <v>96.456100000000006</v>
      </c>
      <c r="P37" s="14">
        <f>_xll.BDH("SRPT US Equity","ACCOUNTS_RECEIVABLE_5_YR_GROWTH","FQ1 2022","FQ1 2022","Currency=USD","Period=FQ","BEST_FPERIOD_OVERRIDE=FQ","FILING_STATUS=MR","Sort=A","Dates=H","DateFormat=P","Fill=—","Direction=H","UseDPDF=Y")</f>
        <v>70.747</v>
      </c>
      <c r="Q37" s="14">
        <f>_xll.BDH("SRPT US Equity","ACCOUNTS_RECEIVABLE_5_YR_GROWTH","FQ2 2022","FQ2 2022","Currency=USD","Period=FQ","BEST_FPERIOD_OVERRIDE=FQ","FILING_STATUS=MR","Sort=A","Dates=H","DateFormat=P","Fill=—","Direction=H","UseDPDF=Y")</f>
        <v>62.863500000000002</v>
      </c>
      <c r="R37" s="14">
        <f>_xll.BDH("SRPT US Equity","ACCOUNTS_RECEIVABLE_5_YR_GROWTH","FQ3 2022","FQ3 2022","Currency=USD","Period=FQ","BEST_FPERIOD_OVERRIDE=FQ","FILING_STATUS=MR","Sort=A","Dates=H","DateFormat=P","Fill=—","Direction=H","UseDPDF=Y")</f>
        <v>52.103900000000003</v>
      </c>
      <c r="S37" s="14">
        <f>_xll.BDH("SRPT US Equity","ACCOUNTS_RECEIVABLE_5_YR_GROWTH","FQ4 2022","FQ4 2022","Currency=USD","Period=FQ","BEST_FPERIOD_OVERRIDE=FQ","FILING_STATUS=MR","Sort=A","Dates=H","DateFormat=P","Fill=—","Direction=H","UseDPDF=Y")</f>
        <v>48.753500000000003</v>
      </c>
      <c r="T37" s="14">
        <f>_xll.BDH("SRPT US Equity","ACCOUNTS_RECEIVABLE_5_YR_GROWTH","FQ1 2023","FQ1 2023","Currency=USD","Period=FQ","BEST_FPERIOD_OVERRIDE=FQ","FILING_STATUS=MR","Sort=A","Dates=H","DateFormat=P","Fill=—","Direction=H","UseDPDF=Y")</f>
        <v>41.222799999999999</v>
      </c>
      <c r="U37" s="14">
        <f>_xll.BDH("SRPT US Equity","ACCOUNTS_RECEIVABLE_5_YR_GROWTH","FQ2 2023","FQ2 2023","Currency=USD","Period=FQ","BEST_FPERIOD_OVERRIDE=FQ","FILING_STATUS=MR","Sort=A","Dates=H","DateFormat=P","Fill=—","Direction=H","UseDPDF=Y")</f>
        <v>40.674700000000001</v>
      </c>
      <c r="V37" s="14">
        <f>_xll.BDH("SRPT US Equity","ACCOUNTS_RECEIVABLE_5_YR_GROWTH","FQ3 2023","FQ3 2023","Currency=USD","Period=FQ","BEST_FPERIOD_OVERRIDE=FQ","FILING_STATUS=MR","Sort=A","Dates=H","DateFormat=P","Fill=—","Direction=H","UseDPDF=Y")</f>
        <v>45.676499999999997</v>
      </c>
      <c r="W37" s="14">
        <f>_xll.BDH("SRPT US Equity","ACCOUNTS_RECEIVABLE_5_YR_GROWTH","FQ4 2023","FQ4 2023","Currency=USD","Period=FQ","BEST_FPERIOD_OVERRIDE=FQ","FILING_STATUS=MR","Sort=A","Dates=H","DateFormat=P","Fill=—","Direction=H","UseDPDF=Y")</f>
        <v>52.182899999999997</v>
      </c>
      <c r="X37" s="14">
        <f>_xll.BDH("SRPT US Equity","ACCOUNTS_RECEIVABLE_5_YR_GROWTH","FQ1 2024","FQ1 2024","Currency=USD","Period=FQ","BEST_FPERIOD_OVERRIDE=FQ","FILING_STATUS=MR","Sort=A","Dates=H","DateFormat=P","Fill=—","Direction=H","UseDPDF=Y")</f>
        <v>49.626300000000001</v>
      </c>
      <c r="Y37" s="14">
        <f>_xll.BDH("SRPT US Equity","ACCOUNTS_RECEIVABLE_5_YR_GROWTH","FQ2 2024","FQ2 2024","Currency=USD","Period=FQ","BEST_FPERIOD_OVERRIDE=FQ","FILING_STATUS=MR","Sort=A","Dates=H","DateFormat=P","Fill=—","Direction=H","UseDPDF=Y")</f>
        <v>44.581800000000001</v>
      </c>
      <c r="Z37" s="14">
        <f>_xll.BDH("SRPT US Equity","ACCOUNTS_RECEIVABLE_5_YR_GROWTH","FQ3 2024","FQ3 2024","Currency=USD","Period=FQ","BEST_FPERIOD_OVERRIDE=FQ","FILING_STATUS=MR","Sort=A","Dates=H","DateFormat=P","Fill=—","Direction=H","UseDPDF=Y")</f>
        <v>44.897199999999998</v>
      </c>
      <c r="AA37" s="14">
        <f>_xll.BDH("SRPT US Equity","ACCOUNTS_RECEIVABLE_5_YR_GROWTH","FQ4 2024","FQ4 2024","Currency=USD","Period=FQ","BEST_FPERIOD_OVERRIDE=FQ","FILING_STATUS=MR","Sort=A","Dates=H","DateFormat=P","Fill=—","Direction=H","UseDPDF=Y")</f>
        <v>45.957000000000001</v>
      </c>
    </row>
    <row r="38" spans="1:27" x14ac:dyDescent="0.25">
      <c r="A38" s="10" t="s">
        <v>1396</v>
      </c>
      <c r="B38" s="10" t="s">
        <v>1425</v>
      </c>
      <c r="C38" s="14" t="str">
        <f>_xll.BDH("SRPT US Equity","INVENTORY_5_YEAR_GROWTH","FQ4 2018","FQ4 2018","Currency=USD","Period=FQ","BEST_FPERIOD_OVERRIDE=FQ","FILING_STATUS=MR","Sort=A","Dates=H","DateFormat=P","Fill=—","Direction=H","UseDPDF=Y")</f>
        <v>—</v>
      </c>
      <c r="D38" s="14" t="str">
        <f>_xll.BDH("SRPT US Equity","INVENTORY_5_YEAR_GROWTH","FQ1 2019","FQ1 2019","Currency=USD","Period=FQ","BEST_FPERIOD_OVERRIDE=FQ","FILING_STATUS=MR","Sort=A","Dates=H","DateFormat=P","Fill=—","Direction=H","UseDPDF=Y")</f>
        <v>—</v>
      </c>
      <c r="E38" s="14" t="str">
        <f>_xll.BDH("SRPT US Equity","INVENTORY_5_YEAR_GROWTH","FQ2 2019","FQ2 2019","Currency=USD","Period=FQ","BEST_FPERIOD_OVERRIDE=FQ","FILING_STATUS=MR","Sort=A","Dates=H","DateFormat=P","Fill=—","Direction=H","UseDPDF=Y")</f>
        <v>—</v>
      </c>
      <c r="F38" s="14" t="str">
        <f>_xll.BDH("SRPT US Equity","INVENTORY_5_YEAR_GROWTH","FQ3 2019","FQ3 2019","Currency=USD","Period=FQ","BEST_FPERIOD_OVERRIDE=FQ","FILING_STATUS=MR","Sort=A","Dates=H","DateFormat=P","Fill=—","Direction=H","UseDPDF=Y")</f>
        <v>—</v>
      </c>
      <c r="G38" s="14" t="str">
        <f>_xll.BDH("SRPT US Equity","INVENTORY_5_YEAR_GROWTH","FQ4 2019","FQ4 2019","Currency=USD","Period=FQ","BEST_FPERIOD_OVERRIDE=FQ","FILING_STATUS=MR","Sort=A","Dates=H","DateFormat=P","Fill=—","Direction=H","UseDPDF=Y")</f>
        <v>—</v>
      </c>
      <c r="H38" s="14" t="str">
        <f>_xll.BDH("SRPT US Equity","INVENTORY_5_YEAR_GROWTH","FQ1 2020","FQ1 2020","Currency=USD","Period=FQ","BEST_FPERIOD_OVERRIDE=FQ","FILING_STATUS=MR","Sort=A","Dates=H","DateFormat=P","Fill=—","Direction=H","UseDPDF=Y")</f>
        <v>—</v>
      </c>
      <c r="I38" s="14" t="str">
        <f>_xll.BDH("SRPT US Equity","INVENTORY_5_YEAR_GROWTH","FQ2 2020","FQ2 2020","Currency=USD","Period=FQ","BEST_FPERIOD_OVERRIDE=FQ","FILING_STATUS=MR","Sort=A","Dates=H","DateFormat=P","Fill=—","Direction=H","UseDPDF=Y")</f>
        <v>—</v>
      </c>
      <c r="J38" s="14" t="str">
        <f>_xll.BDH("SRPT US Equity","INVENTORY_5_YEAR_GROWTH","FQ3 2020","FQ3 2020","Currency=USD","Period=FQ","BEST_FPERIOD_OVERRIDE=FQ","FILING_STATUS=MR","Sort=A","Dates=H","DateFormat=P","Fill=—","Direction=H","UseDPDF=Y")</f>
        <v>—</v>
      </c>
      <c r="K38" s="14" t="str">
        <f>_xll.BDH("SRPT US Equity","INVENTORY_5_YEAR_GROWTH","FQ4 2020","FQ4 2020","Currency=USD","Period=FQ","BEST_FPERIOD_OVERRIDE=FQ","FILING_STATUS=MR","Sort=A","Dates=H","DateFormat=P","Fill=—","Direction=H","UseDPDF=Y")</f>
        <v>—</v>
      </c>
      <c r="L38" s="14" t="str">
        <f>_xll.BDH("SRPT US Equity","INVENTORY_5_YEAR_GROWTH","FQ1 2021","FQ1 2021","Currency=USD","Period=FQ","BEST_FPERIOD_OVERRIDE=FQ","FILING_STATUS=MR","Sort=A","Dates=H","DateFormat=P","Fill=—","Direction=H","UseDPDF=Y")</f>
        <v>—</v>
      </c>
      <c r="M38" s="14" t="str">
        <f>_xll.BDH("SRPT US Equity","INVENTORY_5_YEAR_GROWTH","FQ2 2021","FQ2 2021","Currency=USD","Period=FQ","BEST_FPERIOD_OVERRIDE=FQ","FILING_STATUS=MR","Sort=A","Dates=H","DateFormat=P","Fill=—","Direction=H","UseDPDF=Y")</f>
        <v>—</v>
      </c>
      <c r="N38" s="14">
        <f>_xll.BDH("SRPT US Equity","INVENTORY_5_YEAR_GROWTH","FQ3 2021","FQ3 2021","Currency=USD","Period=FQ","BEST_FPERIOD_OVERRIDE=FQ","FILING_STATUS=MR","Sort=A","Dates=H","DateFormat=P","Fill=—","Direction=H","UseDPDF=Y")</f>
        <v>150.56100000000001</v>
      </c>
      <c r="O38" s="14">
        <f>_xll.BDH("SRPT US Equity","INVENTORY_5_YEAR_GROWTH","FQ4 2021","FQ4 2021","Currency=USD","Period=FQ","BEST_FPERIOD_OVERRIDE=FQ","FILING_STATUS=MR","Sort=A","Dates=H","DateFormat=P","Fill=—","Direction=H","UseDPDF=Y")</f>
        <v>70.793499999999995</v>
      </c>
      <c r="P38" s="14">
        <f>_xll.BDH("SRPT US Equity","INVENTORY_5_YEAR_GROWTH","FQ1 2022","FQ1 2022","Currency=USD","Period=FQ","BEST_FPERIOD_OVERRIDE=FQ","FILING_STATUS=MR","Sort=A","Dates=H","DateFormat=P","Fill=—","Direction=H","UseDPDF=Y")</f>
        <v>45.568100000000001</v>
      </c>
      <c r="Q38" s="14">
        <f>_xll.BDH("SRPT US Equity","INVENTORY_5_YEAR_GROWTH","FQ2 2022","FQ2 2022","Currency=USD","Period=FQ","BEST_FPERIOD_OVERRIDE=FQ","FILING_STATUS=MR","Sort=A","Dates=H","DateFormat=P","Fill=—","Direction=H","UseDPDF=Y")</f>
        <v>37.883600000000001</v>
      </c>
      <c r="R38" s="14">
        <f>_xll.BDH("SRPT US Equity","INVENTORY_5_YEAR_GROWTH","FQ3 2022","FQ3 2022","Currency=USD","Period=FQ","BEST_FPERIOD_OVERRIDE=FQ","FILING_STATUS=MR","Sort=A","Dates=H","DateFormat=P","Fill=—","Direction=H","UseDPDF=Y")</f>
        <v>27.874099999999999</v>
      </c>
      <c r="S38" s="14">
        <f>_xll.BDH("SRPT US Equity","INVENTORY_5_YEAR_GROWTH","FQ4 2022","FQ4 2022","Currency=USD","Period=FQ","BEST_FPERIOD_OVERRIDE=FQ","FILING_STATUS=MR","Sort=A","Dates=H","DateFormat=P","Fill=—","Direction=H","UseDPDF=Y")</f>
        <v>19.527000000000001</v>
      </c>
      <c r="T38" s="14">
        <f>_xll.BDH("SRPT US Equity","INVENTORY_5_YEAR_GROWTH","FQ1 2023","FQ1 2023","Currency=USD","Period=FQ","BEST_FPERIOD_OVERRIDE=FQ","FILING_STATUS=MR","Sort=A","Dates=H","DateFormat=P","Fill=—","Direction=H","UseDPDF=Y")</f>
        <v>15.32</v>
      </c>
      <c r="U38" s="14">
        <f>_xll.BDH("SRPT US Equity","INVENTORY_5_YEAR_GROWTH","FQ2 2023","FQ2 2023","Currency=USD","Period=FQ","BEST_FPERIOD_OVERRIDE=FQ","FILING_STATUS=MR","Sort=A","Dates=H","DateFormat=P","Fill=—","Direction=H","UseDPDF=Y")</f>
        <v>16.854600000000001</v>
      </c>
      <c r="V38" s="14">
        <f>_xll.BDH("SRPT US Equity","INVENTORY_5_YEAR_GROWTH","FQ3 2023","FQ3 2023","Currency=USD","Period=FQ","BEST_FPERIOD_OVERRIDE=FQ","FILING_STATUS=MR","Sort=A","Dates=H","DateFormat=P","Fill=—","Direction=H","UseDPDF=Y")</f>
        <v>16.072199999999999</v>
      </c>
      <c r="W38" s="14">
        <f>_xll.BDH("SRPT US Equity","INVENTORY_5_YEAR_GROWTH","FQ4 2023","FQ4 2023","Currency=USD","Period=FQ","BEST_FPERIOD_OVERRIDE=FQ","FILING_STATUS=MR","Sort=A","Dates=H","DateFormat=P","Fill=—","Direction=H","UseDPDF=Y")</f>
        <v>20.8125</v>
      </c>
      <c r="X38" s="14">
        <f>_xll.BDH("SRPT US Equity","INVENTORY_5_YEAR_GROWTH","FQ1 2024","FQ1 2024","Currency=USD","Period=FQ","BEST_FPERIOD_OVERRIDE=FQ","FILING_STATUS=MR","Sort=A","Dates=H","DateFormat=P","Fill=—","Direction=H","UseDPDF=Y")</f>
        <v>21.604700000000001</v>
      </c>
      <c r="Y38" s="14">
        <f>_xll.BDH("SRPT US Equity","INVENTORY_5_YEAR_GROWTH","FQ2 2024","FQ2 2024","Currency=USD","Period=FQ","BEST_FPERIOD_OVERRIDE=FQ","FILING_STATUS=MR","Sort=A","Dates=H","DateFormat=P","Fill=—","Direction=H","UseDPDF=Y")</f>
        <v>25.414999999999999</v>
      </c>
      <c r="Z38" s="14">
        <f>_xll.BDH("SRPT US Equity","INVENTORY_5_YEAR_GROWTH","FQ3 2024","FQ3 2024","Currency=USD","Period=FQ","BEST_FPERIOD_OVERRIDE=FQ","FILING_STATUS=MR","Sort=A","Dates=H","DateFormat=P","Fill=—","Direction=H","UseDPDF=Y")</f>
        <v>27.744399999999999</v>
      </c>
      <c r="AA38" s="14">
        <f>_xll.BDH("SRPT US Equity","INVENTORY_5_YEAR_GROWTH","FQ4 2024","FQ4 2024","Currency=USD","Period=FQ","BEST_FPERIOD_OVERRIDE=FQ","FILING_STATUS=MR","Sort=A","Dates=H","DateFormat=P","Fill=—","Direction=H","UseDPDF=Y")</f>
        <v>34.343299999999999</v>
      </c>
    </row>
    <row r="39" spans="1:27" x14ac:dyDescent="0.25">
      <c r="A39" s="10" t="s">
        <v>1398</v>
      </c>
      <c r="B39" s="10" t="s">
        <v>1426</v>
      </c>
      <c r="C39" s="14">
        <f>_xll.BDH("SRPT US Equity","NET_FIXED_ASSETS_5_YEAR_GROWTH","FQ4 2018","FQ4 2018","Currency=USD","Period=FQ","BEST_FPERIOD_OVERRIDE=FQ","FILING_STATUS=MR","Sort=A","Dates=H","DateFormat=P","Fill=—","Direction=H","UseDPDF=Y")</f>
        <v>45.1691</v>
      </c>
      <c r="D39" s="14">
        <f>_xll.BDH("SRPT US Equity","NET_FIXED_ASSETS_5_YEAR_GROWTH","FQ1 2019","FQ1 2019","Currency=USD","Period=FQ","BEST_FPERIOD_OVERRIDE=FQ","FILING_STATUS=MR","Sort=A","Dates=H","DateFormat=P","Fill=—","Direction=H","UseDPDF=Y")</f>
        <v>48.907899999999998</v>
      </c>
      <c r="E39" s="14">
        <f>_xll.BDH("SRPT US Equity","NET_FIXED_ASSETS_5_YEAR_GROWTH","FQ2 2019","FQ2 2019","Currency=USD","Period=FQ","BEST_FPERIOD_OVERRIDE=FQ","FILING_STATUS=MR","Sort=A","Dates=H","DateFormat=P","Fill=—","Direction=H","UseDPDF=Y")</f>
        <v>50.686700000000002</v>
      </c>
      <c r="F39" s="14">
        <f>_xll.BDH("SRPT US Equity","NET_FIXED_ASSETS_5_YEAR_GROWTH","FQ3 2019","FQ3 2019","Currency=USD","Period=FQ","BEST_FPERIOD_OVERRIDE=FQ","FILING_STATUS=MR","Sort=A","Dates=H","DateFormat=P","Fill=—","Direction=H","UseDPDF=Y")</f>
        <v>33.732199999999999</v>
      </c>
      <c r="G39" s="14">
        <f>_xll.BDH("SRPT US Equity","NET_FIXED_ASSETS_5_YEAR_GROWTH","FQ4 2019","FQ4 2019","Currency=USD","Period=FQ","BEST_FPERIOD_OVERRIDE=FQ","FILING_STATUS=MR","Sort=A","Dates=H","DateFormat=P","Fill=—","Direction=H","UseDPDF=Y")</f>
        <v>34.194899999999997</v>
      </c>
      <c r="H39" s="14">
        <f>_xll.BDH("SRPT US Equity","NET_FIXED_ASSETS_5_YEAR_GROWTH","FQ1 2020","FQ1 2020","Currency=USD","Period=FQ","BEST_FPERIOD_OVERRIDE=FQ","FILING_STATUS=MR","Sort=A","Dates=H","DateFormat=P","Fill=—","Direction=H","UseDPDF=Y")</f>
        <v>39.631999999999998</v>
      </c>
      <c r="I39" s="14">
        <f>_xll.BDH("SRPT US Equity","NET_FIXED_ASSETS_5_YEAR_GROWTH","FQ2 2020","FQ2 2020","Currency=USD","Period=FQ","BEST_FPERIOD_OVERRIDE=FQ","FILING_STATUS=MR","Sort=A","Dates=H","DateFormat=P","Fill=—","Direction=H","UseDPDF=Y")</f>
        <v>43.651800000000001</v>
      </c>
      <c r="J39" s="14">
        <f>_xll.BDH("SRPT US Equity","NET_FIXED_ASSETS_5_YEAR_GROWTH","FQ3 2020","FQ3 2020","Currency=USD","Period=FQ","BEST_FPERIOD_OVERRIDE=FQ","FILING_STATUS=MR","Sort=A","Dates=H","DateFormat=P","Fill=—","Direction=H","UseDPDF=Y")</f>
        <v>45.386499999999998</v>
      </c>
      <c r="K39" s="14">
        <f>_xll.BDH("SRPT US Equity","NET_FIXED_ASSETS_5_YEAR_GROWTH","FQ4 2020","FQ4 2020","Currency=USD","Period=FQ","BEST_FPERIOD_OVERRIDE=FQ","FILING_STATUS=MR","Sort=A","Dates=H","DateFormat=P","Fill=—","Direction=H","UseDPDF=Y")</f>
        <v>49.852699999999999</v>
      </c>
      <c r="L39" s="14">
        <f>_xll.BDH("SRPT US Equity","NET_FIXED_ASSETS_5_YEAR_GROWTH","FQ1 2021","FQ1 2021","Currency=USD","Period=FQ","BEST_FPERIOD_OVERRIDE=FQ","FILING_STATUS=MR","Sort=A","Dates=H","DateFormat=P","Fill=—","Direction=H","UseDPDF=Y")</f>
        <v>48.622799999999998</v>
      </c>
      <c r="M39" s="14">
        <f>_xll.BDH("SRPT US Equity","NET_FIXED_ASSETS_5_YEAR_GROWTH","FQ2 2021","FQ2 2021","Currency=USD","Period=FQ","BEST_FPERIOD_OVERRIDE=FQ","FILING_STATUS=MR","Sort=A","Dates=H","DateFormat=P","Fill=—","Direction=H","UseDPDF=Y")</f>
        <v>50.176900000000003</v>
      </c>
      <c r="N39" s="14">
        <f>_xll.BDH("SRPT US Equity","NET_FIXED_ASSETS_5_YEAR_GROWTH","FQ3 2021","FQ3 2021","Currency=USD","Period=FQ","BEST_FPERIOD_OVERRIDE=FQ","FILING_STATUS=MR","Sort=A","Dates=H","DateFormat=P","Fill=—","Direction=H","UseDPDF=Y")</f>
        <v>50.157499999999999</v>
      </c>
      <c r="O39" s="14">
        <f>_xll.BDH("SRPT US Equity","NET_FIXED_ASSETS_5_YEAR_GROWTH","FQ4 2021","FQ4 2021","Currency=USD","Period=FQ","BEST_FPERIOD_OVERRIDE=FQ","FILING_STATUS=MR","Sort=A","Dates=H","DateFormat=P","Fill=—","Direction=H","UseDPDF=Y")</f>
        <v>44.322600000000001</v>
      </c>
      <c r="P39" s="14">
        <f>_xll.BDH("SRPT US Equity","NET_FIXED_ASSETS_5_YEAR_GROWTH","FQ1 2022","FQ1 2022","Currency=USD","Period=FQ","BEST_FPERIOD_OVERRIDE=FQ","FILING_STATUS=MR","Sort=A","Dates=H","DateFormat=P","Fill=—","Direction=H","UseDPDF=Y")</f>
        <v>43.437800000000003</v>
      </c>
      <c r="Q39" s="14">
        <f>_xll.BDH("SRPT US Equity","NET_FIXED_ASSETS_5_YEAR_GROWTH","FQ2 2022","FQ2 2022","Currency=USD","Period=FQ","BEST_FPERIOD_OVERRIDE=FQ","FILING_STATUS=MR","Sort=A","Dates=H","DateFormat=P","Fill=—","Direction=H","UseDPDF=Y")</f>
        <v>42.354599999999998</v>
      </c>
      <c r="R39" s="14">
        <f>_xll.BDH("SRPT US Equity","NET_FIXED_ASSETS_5_YEAR_GROWTH","FQ3 2022","FQ3 2022","Currency=USD","Period=FQ","BEST_FPERIOD_OVERRIDE=FQ","FILING_STATUS=MR","Sort=A","Dates=H","DateFormat=P","Fill=—","Direction=H","UseDPDF=Y")</f>
        <v>41.950600000000001</v>
      </c>
      <c r="S39" s="14">
        <f>_xll.BDH("SRPT US Equity","NET_FIXED_ASSETS_5_YEAR_GROWTH","FQ4 2022","FQ4 2022","Currency=USD","Period=FQ","BEST_FPERIOD_OVERRIDE=FQ","FILING_STATUS=MR","Sort=A","Dates=H","DateFormat=P","Fill=—","Direction=H","UseDPDF=Y")</f>
        <v>44.147100000000002</v>
      </c>
      <c r="T39" s="14">
        <f>_xll.BDH("SRPT US Equity","NET_FIXED_ASSETS_5_YEAR_GROWTH","FQ1 2023","FQ1 2023","Currency=USD","Period=FQ","BEST_FPERIOD_OVERRIDE=FQ","FILING_STATUS=MR","Sort=A","Dates=H","DateFormat=P","Fill=—","Direction=H","UseDPDF=Y")</f>
        <v>35.340800000000002</v>
      </c>
      <c r="U39" s="14">
        <f>_xll.BDH("SRPT US Equity","NET_FIXED_ASSETS_5_YEAR_GROWTH","FQ2 2023","FQ2 2023","Currency=USD","Period=FQ","BEST_FPERIOD_OVERRIDE=FQ","FILING_STATUS=MR","Sort=A","Dates=H","DateFormat=P","Fill=—","Direction=H","UseDPDF=Y")</f>
        <v>41.215200000000003</v>
      </c>
      <c r="V39" s="14">
        <f>_xll.BDH("SRPT US Equity","NET_FIXED_ASSETS_5_YEAR_GROWTH","FQ3 2023","FQ3 2023","Currency=USD","Period=FQ","BEST_FPERIOD_OVERRIDE=FQ","FILING_STATUS=MR","Sort=A","Dates=H","DateFormat=P","Fill=—","Direction=H","UseDPDF=Y")</f>
        <v>35.0989</v>
      </c>
      <c r="W39" s="14">
        <f>_xll.BDH("SRPT US Equity","NET_FIXED_ASSETS_5_YEAR_GROWTH","FQ4 2023","FQ4 2023","Currency=USD","Period=FQ","BEST_FPERIOD_OVERRIDE=FQ","FILING_STATUS=MR","Sort=A","Dates=H","DateFormat=P","Fill=—","Direction=H","UseDPDF=Y")</f>
        <v>29.7728</v>
      </c>
      <c r="X39" s="14">
        <f>_xll.BDH("SRPT US Equity","NET_FIXED_ASSETS_5_YEAR_GROWTH","FQ1 2024","FQ1 2024","Currency=USD","Period=FQ","BEST_FPERIOD_OVERRIDE=FQ","FILING_STATUS=MR","Sort=A","Dates=H","DateFormat=P","Fill=—","Direction=H","UseDPDF=Y")</f>
        <v>20.573499999999999</v>
      </c>
      <c r="Y39" s="14">
        <f>_xll.BDH("SRPT US Equity","NET_FIXED_ASSETS_5_YEAR_GROWTH","FQ2 2024","FQ2 2024","Currency=USD","Period=FQ","BEST_FPERIOD_OVERRIDE=FQ","FILING_STATUS=MR","Sort=A","Dates=H","DateFormat=P","Fill=—","Direction=H","UseDPDF=Y")</f>
        <v>20.634</v>
      </c>
      <c r="Z39" s="14">
        <f>_xll.BDH("SRPT US Equity","NET_FIXED_ASSETS_5_YEAR_GROWTH","FQ3 2024","FQ3 2024","Currency=USD","Period=FQ","BEST_FPERIOD_OVERRIDE=FQ","FILING_STATUS=MR","Sort=A","Dates=H","DateFormat=P","Fill=—","Direction=H","UseDPDF=Y")</f>
        <v>22.943999999999999</v>
      </c>
      <c r="AA39" s="14">
        <f>_xll.BDH("SRPT US Equity","NET_FIXED_ASSETS_5_YEAR_GROWTH","FQ4 2024","FQ4 2024","Currency=USD","Period=FQ","BEST_FPERIOD_OVERRIDE=FQ","FILING_STATUS=MR","Sort=A","Dates=H","DateFormat=P","Fill=—","Direction=H","UseDPDF=Y")</f>
        <v>23.870699999999999</v>
      </c>
    </row>
    <row r="40" spans="1:27" x14ac:dyDescent="0.25">
      <c r="A40" s="10" t="s">
        <v>112</v>
      </c>
      <c r="B40" s="10" t="s">
        <v>1427</v>
      </c>
      <c r="C40" s="14">
        <f>_xll.BDH("SRPT US Equity","GEO_GROW_TOT_ASSET","FQ4 2018","FQ4 2018","Currency=USD","Period=FQ","BEST_FPERIOD_OVERRIDE=FQ","FILING_STATUS=MR","Sort=A","Dates=H","DateFormat=P","Fill=—","Direction=H","UseDPDF=Y")</f>
        <v>41.296100000000003</v>
      </c>
      <c r="D40" s="14">
        <f>_xll.BDH("SRPT US Equity","GEO_GROW_TOT_ASSET","FQ1 2019","FQ1 2019","Currency=USD","Period=FQ","BEST_FPERIOD_OVERRIDE=FQ","FILING_STATUS=MR","Sort=A","Dates=H","DateFormat=P","Fill=—","Direction=H","UseDPDF=Y")</f>
        <v>48.127000000000002</v>
      </c>
      <c r="E40" s="14">
        <f>_xll.BDH("SRPT US Equity","GEO_GROW_TOT_ASSET","FQ2 2019","FQ2 2019","Currency=USD","Period=FQ","BEST_FPERIOD_OVERRIDE=FQ","FILING_STATUS=MR","Sort=A","Dates=H","DateFormat=P","Fill=—","Direction=H","UseDPDF=Y")</f>
        <v>38.9602</v>
      </c>
      <c r="F40" s="14">
        <f>_xll.BDH("SRPT US Equity","GEO_GROW_TOT_ASSET","FQ3 2019","FQ3 2019","Currency=USD","Period=FQ","BEST_FPERIOD_OVERRIDE=FQ","FILING_STATUS=MR","Sort=A","Dates=H","DateFormat=P","Fill=—","Direction=H","UseDPDF=Y")</f>
        <v>39.779000000000003</v>
      </c>
      <c r="G40" s="14">
        <f>_xll.BDH("SRPT US Equity","GEO_GROW_TOT_ASSET","FQ4 2019","FQ4 2019","Currency=USD","Period=FQ","BEST_FPERIOD_OVERRIDE=FQ","FILING_STATUS=MR","Sort=A","Dates=H","DateFormat=P","Fill=—","Direction=H","UseDPDF=Y")</f>
        <v>43.937800000000003</v>
      </c>
      <c r="H40" s="14">
        <f>_xll.BDH("SRPT US Equity","GEO_GROW_TOT_ASSET","FQ1 2020","FQ1 2020","Currency=USD","Period=FQ","BEST_FPERIOD_OVERRIDE=FQ","FILING_STATUS=MR","Sort=A","Dates=H","DateFormat=P","Fill=—","Direction=H","UseDPDF=Y")</f>
        <v>64.767200000000003</v>
      </c>
      <c r="I40" s="14">
        <f>_xll.BDH("SRPT US Equity","GEO_GROW_TOT_ASSET","FQ2 2020","FQ2 2020","Currency=USD","Period=FQ","BEST_FPERIOD_OVERRIDE=FQ","FILING_STATUS=MR","Sort=A","Dates=H","DateFormat=P","Fill=—","Direction=H","UseDPDF=Y")</f>
        <v>65.569900000000004</v>
      </c>
      <c r="J40" s="14">
        <f>_xll.BDH("SRPT US Equity","GEO_GROW_TOT_ASSET","FQ3 2020","FQ3 2020","Currency=USD","Period=FQ","BEST_FPERIOD_OVERRIDE=FQ","FILING_STATUS=MR","Sort=A","Dates=H","DateFormat=P","Fill=—","Direction=H","UseDPDF=Y")</f>
        <v>71.993600000000001</v>
      </c>
      <c r="K40" s="14">
        <f>_xll.BDH("SRPT US Equity","GEO_GROW_TOT_ASSET","FQ4 2020","FQ4 2020","Currency=USD","Period=FQ","BEST_FPERIOD_OVERRIDE=FQ","FILING_STATUS=MR","Sort=A","Dates=H","DateFormat=P","Fill=—","Direction=H","UseDPDF=Y")</f>
        <v>61.25</v>
      </c>
      <c r="L40" s="14">
        <f>_xll.BDH("SRPT US Equity","GEO_GROW_TOT_ASSET","FQ1 2021","FQ1 2021","Currency=USD","Period=FQ","BEST_FPERIOD_OVERRIDE=FQ","FILING_STATUS=MR","Sort=A","Dates=H","DateFormat=P","Fill=—","Direction=H","UseDPDF=Y")</f>
        <v>66.925299999999993</v>
      </c>
      <c r="M40" s="14">
        <f>_xll.BDH("SRPT US Equity","GEO_GROW_TOT_ASSET","FQ2 2021","FQ2 2021","Currency=USD","Period=FQ","BEST_FPERIOD_OVERRIDE=FQ","FILING_STATUS=MR","Sort=A","Dates=H","DateFormat=P","Fill=—","Direction=H","UseDPDF=Y")</f>
        <v>68.343999999999994</v>
      </c>
      <c r="N40" s="14">
        <f>_xll.BDH("SRPT US Equity","GEO_GROW_TOT_ASSET","FQ3 2021","FQ3 2021","Currency=USD","Period=FQ","BEST_FPERIOD_OVERRIDE=FQ","FILING_STATUS=MR","Sort=A","Dates=H","DateFormat=P","Fill=—","Direction=H","UseDPDF=Y")</f>
        <v>40.439</v>
      </c>
      <c r="O40" s="14">
        <f>_xll.BDH("SRPT US Equity","GEO_GROW_TOT_ASSET","FQ4 2021","FQ4 2021","Currency=USD","Period=FQ","BEST_FPERIOD_OVERRIDE=FQ","FILING_STATUS=MR","Sort=A","Dates=H","DateFormat=P","Fill=—","Direction=H","UseDPDF=Y")</f>
        <v>49.317900000000002</v>
      </c>
      <c r="P40" s="14">
        <f>_xll.BDH("SRPT US Equity","GEO_GROW_TOT_ASSET","FQ1 2022","FQ1 2022","Currency=USD","Period=FQ","BEST_FPERIOD_OVERRIDE=FQ","FILING_STATUS=MR","Sort=A","Dates=H","DateFormat=P","Fill=—","Direction=H","UseDPDF=Y")</f>
        <v>42.975099999999998</v>
      </c>
      <c r="Q40" s="14">
        <f>_xll.BDH("SRPT US Equity","GEO_GROW_TOT_ASSET","FQ2 2022","FQ2 2022","Currency=USD","Period=FQ","BEST_FPERIOD_OVERRIDE=FQ","FILING_STATUS=MR","Sort=A","Dates=H","DateFormat=P","Fill=—","Direction=H","UseDPDF=Y")</f>
        <v>46.104599999999998</v>
      </c>
      <c r="R40" s="14">
        <f>_xll.BDH("SRPT US Equity","GEO_GROW_TOT_ASSET","FQ3 2022","FQ3 2022","Currency=USD","Period=FQ","BEST_FPERIOD_OVERRIDE=FQ","FILING_STATUS=MR","Sort=A","Dates=H","DateFormat=P","Fill=—","Direction=H","UseDPDF=Y")</f>
        <v>31.5779</v>
      </c>
      <c r="S40" s="14">
        <f>_xll.BDH("SRPT US Equity","GEO_GROW_TOT_ASSET","FQ4 2022","FQ4 2022","Currency=USD","Period=FQ","BEST_FPERIOD_OVERRIDE=FQ","FILING_STATUS=MR","Sort=A","Dates=H","DateFormat=P","Fill=—","Direction=H","UseDPDF=Y")</f>
        <v>19.054099999999998</v>
      </c>
      <c r="T40" s="14">
        <f>_xll.BDH("SRPT US Equity","GEO_GROW_TOT_ASSET","FQ1 2023","FQ1 2023","Currency=USD","Period=FQ","BEST_FPERIOD_OVERRIDE=FQ","FILING_STATUS=MR","Sort=A","Dates=H","DateFormat=P","Fill=—","Direction=H","UseDPDF=Y")</f>
        <v>18.667200000000001</v>
      </c>
      <c r="U40" s="14">
        <f>_xll.BDH("SRPT US Equity","GEO_GROW_TOT_ASSET","FQ2 2023","FQ2 2023","Currency=USD","Period=FQ","BEST_FPERIOD_OVERRIDE=FQ","FILING_STATUS=MR","Sort=A","Dates=H","DateFormat=P","Fill=—","Direction=H","UseDPDF=Y")</f>
        <v>20.1739</v>
      </c>
      <c r="V40" s="14">
        <f>_xll.BDH("SRPT US Equity","GEO_GROW_TOT_ASSET","FQ3 2023","FQ3 2023","Currency=USD","Period=FQ","BEST_FPERIOD_OVERRIDE=FQ","FILING_STATUS=MR","Sort=A","Dates=H","DateFormat=P","Fill=—","Direction=H","UseDPDF=Y")</f>
        <v>21.326000000000001</v>
      </c>
      <c r="W40" s="14">
        <f>_xll.BDH("SRPT US Equity","GEO_GROW_TOT_ASSET","FQ4 2023","FQ4 2023","Currency=USD","Period=FQ","BEST_FPERIOD_OVERRIDE=FQ","FILING_STATUS=MR","Sort=A","Dates=H","DateFormat=P","Fill=—","Direction=H","UseDPDF=Y")</f>
        <v>14.7326</v>
      </c>
      <c r="X40" s="14">
        <f>_xll.BDH("SRPT US Equity","GEO_GROW_TOT_ASSET","FQ1 2024","FQ1 2024","Currency=USD","Period=FQ","BEST_FPERIOD_OVERRIDE=FQ","FILING_STATUS=MR","Sort=A","Dates=H","DateFormat=P","Fill=—","Direction=H","UseDPDF=Y")</f>
        <v>10.4246</v>
      </c>
      <c r="Y40" s="14">
        <f>_xll.BDH("SRPT US Equity","GEO_GROW_TOT_ASSET","FQ2 2024","FQ2 2024","Currency=USD","Period=FQ","BEST_FPERIOD_OVERRIDE=FQ","FILING_STATUS=MR","Sort=A","Dates=H","DateFormat=P","Fill=—","Direction=H","UseDPDF=Y")</f>
        <v>14.3977</v>
      </c>
      <c r="Z40" s="14">
        <f>_xll.BDH("SRPT US Equity","GEO_GROW_TOT_ASSET","FQ3 2024","FQ3 2024","Currency=USD","Period=FQ","BEST_FPERIOD_OVERRIDE=FQ","FILING_STATUS=MR","Sort=A","Dates=H","DateFormat=P","Fill=—","Direction=H","UseDPDF=Y")</f>
        <v>16.156400000000001</v>
      </c>
      <c r="AA40" s="14">
        <f>_xll.BDH("SRPT US Equity","GEO_GROW_TOT_ASSET","FQ4 2024","FQ4 2024","Currency=USD","Period=FQ","BEST_FPERIOD_OVERRIDE=FQ","FILING_STATUS=MR","Sort=A","Dates=H","DateFormat=P","Fill=—","Direction=H","UseDPDF=Y")</f>
        <v>16.804500000000001</v>
      </c>
    </row>
    <row r="41" spans="1:27" x14ac:dyDescent="0.25">
      <c r="A41" s="10" t="s">
        <v>1401</v>
      </c>
      <c r="B41" s="10" t="s">
        <v>1428</v>
      </c>
      <c r="C41" s="14" t="str">
        <f>_xll.BDH("SRPT US Equity","MODIFIED_WORKING_CPTL_5YR_GRWTH","FQ4 2018","FQ4 2018","Currency=USD","Period=FQ","BEST_FPERIOD_OVERRIDE=FQ","FILING_STATUS=MR","Sort=A","Dates=H","DateFormat=P","Fill=—","Direction=H","UseDPDF=Y")</f>
        <v>—</v>
      </c>
      <c r="D41" s="14" t="str">
        <f>_xll.BDH("SRPT US Equity","MODIFIED_WORKING_CPTL_5YR_GRWTH","FQ1 2019","FQ1 2019","Currency=USD","Period=FQ","BEST_FPERIOD_OVERRIDE=FQ","FILING_STATUS=MR","Sort=A","Dates=H","DateFormat=P","Fill=—","Direction=H","UseDPDF=Y")</f>
        <v>—</v>
      </c>
      <c r="E41" s="14" t="str">
        <f>_xll.BDH("SRPT US Equity","MODIFIED_WORKING_CPTL_5YR_GRWTH","FQ2 2019","FQ2 2019","Currency=USD","Period=FQ","BEST_FPERIOD_OVERRIDE=FQ","FILING_STATUS=MR","Sort=A","Dates=H","DateFormat=P","Fill=—","Direction=H","UseDPDF=Y")</f>
        <v>—</v>
      </c>
      <c r="F41" s="14" t="str">
        <f>_xll.BDH("SRPT US Equity","MODIFIED_WORKING_CPTL_5YR_GRWTH","FQ3 2019","FQ3 2019","Currency=USD","Period=FQ","BEST_FPERIOD_OVERRIDE=FQ","FILING_STATUS=MR","Sort=A","Dates=H","DateFormat=P","Fill=—","Direction=H","UseDPDF=Y")</f>
        <v>—</v>
      </c>
      <c r="G41" s="14" t="str">
        <f>_xll.BDH("SRPT US Equity","MODIFIED_WORKING_CPTL_5YR_GRWTH","FQ4 2019","FQ4 2019","Currency=USD","Period=FQ","BEST_FPERIOD_OVERRIDE=FQ","FILING_STATUS=MR","Sort=A","Dates=H","DateFormat=P","Fill=—","Direction=H","UseDPDF=Y")</f>
        <v>—</v>
      </c>
      <c r="H41" s="14" t="str">
        <f>_xll.BDH("SRPT US Equity","MODIFIED_WORKING_CPTL_5YR_GRWTH","FQ1 2020","FQ1 2020","Currency=USD","Period=FQ","BEST_FPERIOD_OVERRIDE=FQ","FILING_STATUS=MR","Sort=A","Dates=H","DateFormat=P","Fill=—","Direction=H","UseDPDF=Y")</f>
        <v>—</v>
      </c>
      <c r="I41" s="14" t="str">
        <f>_xll.BDH("SRPT US Equity","MODIFIED_WORKING_CPTL_5YR_GRWTH","FQ2 2020","FQ2 2020","Currency=USD","Period=FQ","BEST_FPERIOD_OVERRIDE=FQ","FILING_STATUS=MR","Sort=A","Dates=H","DateFormat=P","Fill=—","Direction=H","UseDPDF=Y")</f>
        <v>—</v>
      </c>
      <c r="J41" s="14" t="str">
        <f>_xll.BDH("SRPT US Equity","MODIFIED_WORKING_CPTL_5YR_GRWTH","FQ3 2020","FQ3 2020","Currency=USD","Period=FQ","BEST_FPERIOD_OVERRIDE=FQ","FILING_STATUS=MR","Sort=A","Dates=H","DateFormat=P","Fill=—","Direction=H","UseDPDF=Y")</f>
        <v>—</v>
      </c>
      <c r="K41" s="14" t="str">
        <f>_xll.BDH("SRPT US Equity","MODIFIED_WORKING_CPTL_5YR_GRWTH","FQ4 2020","FQ4 2020","Currency=USD","Period=FQ","BEST_FPERIOD_OVERRIDE=FQ","FILING_STATUS=MR","Sort=A","Dates=H","DateFormat=P","Fill=—","Direction=H","UseDPDF=Y")</f>
        <v>—</v>
      </c>
      <c r="L41" s="14" t="str">
        <f>_xll.BDH("SRPT US Equity","MODIFIED_WORKING_CPTL_5YR_GRWTH","FQ1 2021","FQ1 2021","Currency=USD","Period=FQ","BEST_FPERIOD_OVERRIDE=FQ","FILING_STATUS=MR","Sort=A","Dates=H","DateFormat=P","Fill=—","Direction=H","UseDPDF=Y")</f>
        <v>—</v>
      </c>
      <c r="M41" s="14" t="str">
        <f>_xll.BDH("SRPT US Equity","MODIFIED_WORKING_CPTL_5YR_GRWTH","FQ2 2021","FQ2 2021","Currency=USD","Period=FQ","BEST_FPERIOD_OVERRIDE=FQ","FILING_STATUS=MR","Sort=A","Dates=H","DateFormat=P","Fill=—","Direction=H","UseDPDF=Y")</f>
        <v>—</v>
      </c>
      <c r="N41" s="14" t="str">
        <f>_xll.BDH("SRPT US Equity","MODIFIED_WORKING_CPTL_5YR_GRWTH","FQ3 2021","FQ3 2021","Currency=USD","Period=FQ","BEST_FPERIOD_OVERRIDE=FQ","FILING_STATUS=MR","Sort=A","Dates=H","DateFormat=P","Fill=—","Direction=H","UseDPDF=Y")</f>
        <v>—</v>
      </c>
      <c r="O41" s="14" t="str">
        <f>_xll.BDH("SRPT US Equity","MODIFIED_WORKING_CPTL_5YR_GRWTH","FQ4 2021","FQ4 2021","Currency=USD","Period=FQ","BEST_FPERIOD_OVERRIDE=FQ","FILING_STATUS=MR","Sort=A","Dates=H","DateFormat=P","Fill=—","Direction=H","UseDPDF=Y")</f>
        <v>—</v>
      </c>
      <c r="P41" s="14">
        <f>_xll.BDH("SRPT US Equity","MODIFIED_WORKING_CPTL_5YR_GRWTH","FQ1 2022","FQ1 2022","Currency=USD","Period=FQ","BEST_FPERIOD_OVERRIDE=FQ","FILING_STATUS=MR","Sort=A","Dates=H","DateFormat=P","Fill=—","Direction=H","UseDPDF=Y")</f>
        <v>84.112099999999998</v>
      </c>
      <c r="Q41" s="14">
        <f>_xll.BDH("SRPT US Equity","MODIFIED_WORKING_CPTL_5YR_GRWTH","FQ2 2022","FQ2 2022","Currency=USD","Period=FQ","BEST_FPERIOD_OVERRIDE=FQ","FILING_STATUS=MR","Sort=A","Dates=H","DateFormat=P","Fill=—","Direction=H","UseDPDF=Y")</f>
        <v>48.887</v>
      </c>
      <c r="R41" s="14">
        <f>_xll.BDH("SRPT US Equity","MODIFIED_WORKING_CPTL_5YR_GRWTH","FQ3 2022","FQ3 2022","Currency=USD","Period=FQ","BEST_FPERIOD_OVERRIDE=FQ","FILING_STATUS=MR","Sort=A","Dates=H","DateFormat=P","Fill=—","Direction=H","UseDPDF=Y")</f>
        <v>29.3172</v>
      </c>
      <c r="S41" s="14">
        <f>_xll.BDH("SRPT US Equity","MODIFIED_WORKING_CPTL_5YR_GRWTH","FQ4 2022","FQ4 2022","Currency=USD","Period=FQ","BEST_FPERIOD_OVERRIDE=FQ","FILING_STATUS=MR","Sort=A","Dates=H","DateFormat=P","Fill=—","Direction=H","UseDPDF=Y")</f>
        <v>25.271999999999998</v>
      </c>
      <c r="T41" s="14">
        <f>_xll.BDH("SRPT US Equity","MODIFIED_WORKING_CPTL_5YR_GRWTH","FQ1 2023","FQ1 2023","Currency=USD","Period=FQ","BEST_FPERIOD_OVERRIDE=FQ","FILING_STATUS=MR","Sort=A","Dates=H","DateFormat=P","Fill=—","Direction=H","UseDPDF=Y")</f>
        <v>21.287199999999999</v>
      </c>
      <c r="U41" s="14">
        <f>_xll.BDH("SRPT US Equity","MODIFIED_WORKING_CPTL_5YR_GRWTH","FQ2 2023","FQ2 2023","Currency=USD","Period=FQ","BEST_FPERIOD_OVERRIDE=FQ","FILING_STATUS=MR","Sort=A","Dates=H","DateFormat=P","Fill=—","Direction=H","UseDPDF=Y")</f>
        <v>22.226600000000001</v>
      </c>
      <c r="V41" s="14">
        <f>_xll.BDH("SRPT US Equity","MODIFIED_WORKING_CPTL_5YR_GRWTH","FQ3 2023","FQ3 2023","Currency=USD","Period=FQ","BEST_FPERIOD_OVERRIDE=FQ","FILING_STATUS=MR","Sort=A","Dates=H","DateFormat=P","Fill=—","Direction=H","UseDPDF=Y")</f>
        <v>26.953800000000001</v>
      </c>
      <c r="W41" s="14">
        <f>_xll.BDH("SRPT US Equity","MODIFIED_WORKING_CPTL_5YR_GRWTH","FQ4 2023","FQ4 2023","Currency=USD","Period=FQ","BEST_FPERIOD_OVERRIDE=FQ","FILING_STATUS=MR","Sort=A","Dates=H","DateFormat=P","Fill=—","Direction=H","UseDPDF=Y")</f>
        <v>31.745100000000001</v>
      </c>
      <c r="X41" s="14">
        <f>_xll.BDH("SRPT US Equity","MODIFIED_WORKING_CPTL_5YR_GRWTH","FQ1 2024","FQ1 2024","Currency=USD","Period=FQ","BEST_FPERIOD_OVERRIDE=FQ","FILING_STATUS=MR","Sort=A","Dates=H","DateFormat=P","Fill=—","Direction=H","UseDPDF=Y")</f>
        <v>32.066400000000002</v>
      </c>
      <c r="Y41" s="14">
        <f>_xll.BDH("SRPT US Equity","MODIFIED_WORKING_CPTL_5YR_GRWTH","FQ2 2024","FQ2 2024","Currency=USD","Period=FQ","BEST_FPERIOD_OVERRIDE=FQ","FILING_STATUS=MR","Sort=A","Dates=H","DateFormat=P","Fill=—","Direction=H","UseDPDF=Y")</f>
        <v>34.220500000000001</v>
      </c>
      <c r="Z41" s="14">
        <f>_xll.BDH("SRPT US Equity","MODIFIED_WORKING_CPTL_5YR_GRWTH","FQ3 2024","FQ3 2024","Currency=USD","Period=FQ","BEST_FPERIOD_OVERRIDE=FQ","FILING_STATUS=MR","Sort=A","Dates=H","DateFormat=P","Fill=—","Direction=H","UseDPDF=Y")</f>
        <v>42.049100000000003</v>
      </c>
      <c r="AA41" s="14">
        <f>_xll.BDH("SRPT US Equity","MODIFIED_WORKING_CPTL_5YR_GRWTH","FQ4 2024","FQ4 2024","Currency=USD","Period=FQ","BEST_FPERIOD_OVERRIDE=FQ","FILING_STATUS=MR","Sort=A","Dates=H","DateFormat=P","Fill=—","Direction=H","UseDPDF=Y")</f>
        <v>42.415399999999998</v>
      </c>
    </row>
    <row r="42" spans="1:27" x14ac:dyDescent="0.25">
      <c r="A42" s="10" t="s">
        <v>1403</v>
      </c>
      <c r="B42" s="10" t="s">
        <v>1429</v>
      </c>
      <c r="C42" s="14">
        <f>_xll.BDH("SRPT US Equity","WORKING_CAPITAL_5_YEAR_GROWTH","FQ4 2018","FQ4 2018","Currency=USD","Period=FQ","BEST_FPERIOD_OVERRIDE=FQ","FILING_STATUS=MR","Sort=A","Dates=H","DateFormat=P","Fill=—","Direction=H","UseDPDF=Y")</f>
        <v>39.765700000000002</v>
      </c>
      <c r="D42" s="14">
        <f>_xll.BDH("SRPT US Equity","WORKING_CAPITAL_5_YEAR_GROWTH","FQ1 2019","FQ1 2019","Currency=USD","Period=FQ","BEST_FPERIOD_OVERRIDE=FQ","FILING_STATUS=MR","Sort=A","Dates=H","DateFormat=P","Fill=—","Direction=H","UseDPDF=Y")</f>
        <v>48.614199999999997</v>
      </c>
      <c r="E42" s="14">
        <f>_xll.BDH("SRPT US Equity","WORKING_CAPITAL_5_YEAR_GROWTH","FQ2 2019","FQ2 2019","Currency=USD","Period=FQ","BEST_FPERIOD_OVERRIDE=FQ","FILING_STATUS=MR","Sort=A","Dates=H","DateFormat=P","Fill=—","Direction=H","UseDPDF=Y")</f>
        <v>35.671900000000001</v>
      </c>
      <c r="F42" s="14">
        <f>_xll.BDH("SRPT US Equity","WORKING_CAPITAL_5_YEAR_GROWTH","FQ3 2019","FQ3 2019","Currency=USD","Period=FQ","BEST_FPERIOD_OVERRIDE=FQ","FILING_STATUS=MR","Sort=A","Dates=H","DateFormat=P","Fill=—","Direction=H","UseDPDF=Y")</f>
        <v>35.9251</v>
      </c>
      <c r="G42" s="14">
        <f>_xll.BDH("SRPT US Equity","WORKING_CAPITAL_5_YEAR_GROWTH","FQ4 2019","FQ4 2019","Currency=USD","Period=FQ","BEST_FPERIOD_OVERRIDE=FQ","FILING_STATUS=MR","Sort=A","Dates=H","DateFormat=P","Fill=—","Direction=H","UseDPDF=Y")</f>
        <v>41.68</v>
      </c>
      <c r="H42" s="14">
        <f>_xll.BDH("SRPT US Equity","WORKING_CAPITAL_5_YEAR_GROWTH","FQ1 2020","FQ1 2020","Currency=USD","Period=FQ","BEST_FPERIOD_OVERRIDE=FQ","FILING_STATUS=MR","Sort=A","Dates=H","DateFormat=P","Fill=—","Direction=H","UseDPDF=Y")</f>
        <v>69.7179</v>
      </c>
      <c r="I42" s="14">
        <f>_xll.BDH("SRPT US Equity","WORKING_CAPITAL_5_YEAR_GROWTH","FQ2 2020","FQ2 2020","Currency=USD","Period=FQ","BEST_FPERIOD_OVERRIDE=FQ","FILING_STATUS=MR","Sort=A","Dates=H","DateFormat=P","Fill=—","Direction=H","UseDPDF=Y")</f>
        <v>71.1203</v>
      </c>
      <c r="J42" s="14">
        <f>_xll.BDH("SRPT US Equity","WORKING_CAPITAL_5_YEAR_GROWTH","FQ3 2020","FQ3 2020","Currency=USD","Period=FQ","BEST_FPERIOD_OVERRIDE=FQ","FILING_STATUS=MR","Sort=A","Dates=H","DateFormat=P","Fill=—","Direction=H","UseDPDF=Y")</f>
        <v>87.258399999999995</v>
      </c>
      <c r="K42" s="14">
        <f>_xll.BDH("SRPT US Equity","WORKING_CAPITAL_5_YEAR_GROWTH","FQ4 2020","FQ4 2020","Currency=USD","Period=FQ","BEST_FPERIOD_OVERRIDE=FQ","FILING_STATUS=MR","Sort=A","Dates=H","DateFormat=P","Fill=—","Direction=H","UseDPDF=Y")</f>
        <v>66.388300000000001</v>
      </c>
      <c r="L42" s="14">
        <f>_xll.BDH("SRPT US Equity","WORKING_CAPITAL_5_YEAR_GROWTH","FQ1 2021","FQ1 2021","Currency=USD","Period=FQ","BEST_FPERIOD_OVERRIDE=FQ","FILING_STATUS=MR","Sort=A","Dates=H","DateFormat=P","Fill=—","Direction=H","UseDPDF=Y")</f>
        <v>78.380700000000004</v>
      </c>
      <c r="M42" s="14">
        <f>_xll.BDH("SRPT US Equity","WORKING_CAPITAL_5_YEAR_GROWTH","FQ2 2021","FQ2 2021","Currency=USD","Period=FQ","BEST_FPERIOD_OVERRIDE=FQ","FILING_STATUS=MR","Sort=A","Dates=H","DateFormat=P","Fill=—","Direction=H","UseDPDF=Y")</f>
        <v>84.419499999999999</v>
      </c>
      <c r="N42" s="14">
        <f>_xll.BDH("SRPT US Equity","WORKING_CAPITAL_5_YEAR_GROWTH","FQ3 2021","FQ3 2021","Currency=USD","Period=FQ","BEST_FPERIOD_OVERRIDE=FQ","FILING_STATUS=MR","Sort=A","Dates=H","DateFormat=P","Fill=—","Direction=H","UseDPDF=Y")</f>
        <v>37.413499999999999</v>
      </c>
      <c r="O42" s="14">
        <f>_xll.BDH("SRPT US Equity","WORKING_CAPITAL_5_YEAR_GROWTH","FQ4 2021","FQ4 2021","Currency=USD","Period=FQ","BEST_FPERIOD_OVERRIDE=FQ","FILING_STATUS=MR","Sort=A","Dates=H","DateFormat=P","Fill=—","Direction=H","UseDPDF=Y")</f>
        <v>48.485399999999998</v>
      </c>
      <c r="P42" s="14">
        <f>_xll.BDH("SRPT US Equity","WORKING_CAPITAL_5_YEAR_GROWTH","FQ1 2022","FQ1 2022","Currency=USD","Period=FQ","BEST_FPERIOD_OVERRIDE=FQ","FILING_STATUS=MR","Sort=A","Dates=H","DateFormat=P","Fill=—","Direction=H","UseDPDF=Y")</f>
        <v>40.241999999999997</v>
      </c>
      <c r="Q42" s="14">
        <f>_xll.BDH("SRPT US Equity","WORKING_CAPITAL_5_YEAR_GROWTH","FQ2 2022","FQ2 2022","Currency=USD","Period=FQ","BEST_FPERIOD_OVERRIDE=FQ","FILING_STATUS=MR","Sort=A","Dates=H","DateFormat=P","Fill=—","Direction=H","UseDPDF=Y")</f>
        <v>42.7423</v>
      </c>
      <c r="R42" s="14">
        <f>_xll.BDH("SRPT US Equity","WORKING_CAPITAL_5_YEAR_GROWTH","FQ3 2022","FQ3 2022","Currency=USD","Period=FQ","BEST_FPERIOD_OVERRIDE=FQ","FILING_STATUS=MR","Sort=A","Dates=H","DateFormat=P","Fill=—","Direction=H","UseDPDF=Y")</f>
        <v>24.915800000000001</v>
      </c>
      <c r="S42" s="14">
        <f>_xll.BDH("SRPT US Equity","WORKING_CAPITAL_5_YEAR_GROWTH","FQ4 2022","FQ4 2022","Currency=USD","Period=FQ","BEST_FPERIOD_OVERRIDE=FQ","FILING_STATUS=MR","Sort=A","Dates=H","DateFormat=P","Fill=—","Direction=H","UseDPDF=Y")</f>
        <v>11.193</v>
      </c>
      <c r="T42" s="14">
        <f>_xll.BDH("SRPT US Equity","WORKING_CAPITAL_5_YEAR_GROWTH","FQ1 2023","FQ1 2023","Currency=USD","Period=FQ","BEST_FPERIOD_OVERRIDE=FQ","FILING_STATUS=MR","Sort=A","Dates=H","DateFormat=P","Fill=—","Direction=H","UseDPDF=Y")</f>
        <v>11.582100000000001</v>
      </c>
      <c r="U42" s="14">
        <f>_xll.BDH("SRPT US Equity","WORKING_CAPITAL_5_YEAR_GROWTH","FQ2 2023","FQ2 2023","Currency=USD","Period=FQ","BEST_FPERIOD_OVERRIDE=FQ","FILING_STATUS=MR","Sort=A","Dates=H","DateFormat=P","Fill=—","Direction=H","UseDPDF=Y")</f>
        <v>13.7933</v>
      </c>
      <c r="V42" s="14">
        <f>_xll.BDH("SRPT US Equity","WORKING_CAPITAL_5_YEAR_GROWTH","FQ3 2023","FQ3 2023","Currency=USD","Period=FQ","BEST_FPERIOD_OVERRIDE=FQ","FILING_STATUS=MR","Sort=A","Dates=H","DateFormat=P","Fill=—","Direction=H","UseDPDF=Y")</f>
        <v>17.377800000000001</v>
      </c>
      <c r="W42" s="14">
        <f>_xll.BDH("SRPT US Equity","WORKING_CAPITAL_5_YEAR_GROWTH","FQ4 2023","FQ4 2023","Currency=USD","Period=FQ","BEST_FPERIOD_OVERRIDE=FQ","FILING_STATUS=MR","Sort=A","Dates=H","DateFormat=P","Fill=—","Direction=H","UseDPDF=Y")</f>
        <v>8.9837000000000007</v>
      </c>
      <c r="X42" s="14">
        <f>_xll.BDH("SRPT US Equity","WORKING_CAPITAL_5_YEAR_GROWTH","FQ1 2024","FQ1 2024","Currency=USD","Period=FQ","BEST_FPERIOD_OVERRIDE=FQ","FILING_STATUS=MR","Sort=A","Dates=H","DateFormat=P","Fill=—","Direction=H","UseDPDF=Y")</f>
        <v>3.8854000000000002</v>
      </c>
      <c r="Y42" s="14">
        <f>_xll.BDH("SRPT US Equity","WORKING_CAPITAL_5_YEAR_GROWTH","FQ2 2024","FQ2 2024","Currency=USD","Period=FQ","BEST_FPERIOD_OVERRIDE=FQ","FILING_STATUS=MR","Sort=A","Dates=H","DateFormat=P","Fill=—","Direction=H","UseDPDF=Y")</f>
        <v>9.5352999999999994</v>
      </c>
      <c r="Z42" s="14">
        <f>_xll.BDH("SRPT US Equity","WORKING_CAPITAL_5_YEAR_GROWTH","FQ3 2024","FQ3 2024","Currency=USD","Period=FQ","BEST_FPERIOD_OVERRIDE=FQ","FILING_STATUS=MR","Sort=A","Dates=H","DateFormat=P","Fill=—","Direction=H","UseDPDF=Y")</f>
        <v>11.6144</v>
      </c>
      <c r="AA42" s="14">
        <f>_xll.BDH("SRPT US Equity","WORKING_CAPITAL_5_YEAR_GROWTH","FQ4 2024","FQ4 2024","Currency=USD","Period=FQ","BEST_FPERIOD_OVERRIDE=FQ","FILING_STATUS=MR","Sort=A","Dates=H","DateFormat=P","Fill=—","Direction=H","UseDPDF=Y")</f>
        <v>14.228199999999999</v>
      </c>
    </row>
    <row r="43" spans="1:27" x14ac:dyDescent="0.25">
      <c r="A43" s="10" t="s">
        <v>1405</v>
      </c>
      <c r="B43" s="10" t="s">
        <v>1430</v>
      </c>
      <c r="C43" s="14">
        <f>_xll.BDH("SRPT US Equity","EMPLOYEES_5_YEAR_GROWTH","FQ4 2018","FQ4 2018","Currency=USD","Period=FQ","BEST_FPERIOD_OVERRIDE=FQ","FILING_STATUS=MR","Sort=A","Dates=H","DateFormat=P","Fill=—","Direction=H","UseDPDF=Y")</f>
        <v>27.8644</v>
      </c>
      <c r="D43" s="14" t="str">
        <f>_xll.BDH("SRPT US Equity","EMPLOYEES_5_YEAR_GROWTH","FQ1 2019","FQ1 2019","Currency=USD","Period=FQ","BEST_FPERIOD_OVERRIDE=FQ","FILING_STATUS=MR","Sort=A","Dates=H","DateFormat=P","Fill=—","Direction=H","UseDPDF=Y")</f>
        <v>—</v>
      </c>
      <c r="E43" s="14" t="str">
        <f>_xll.BDH("SRPT US Equity","EMPLOYEES_5_YEAR_GROWTH","FQ2 2019","FQ2 2019","Currency=USD","Period=FQ","BEST_FPERIOD_OVERRIDE=FQ","FILING_STATUS=MR","Sort=A","Dates=H","DateFormat=P","Fill=—","Direction=H","UseDPDF=Y")</f>
        <v>—</v>
      </c>
      <c r="F43" s="14" t="str">
        <f>_xll.BDH("SRPT US Equity","EMPLOYEES_5_YEAR_GROWTH","FQ3 2019","FQ3 2019","Currency=USD","Period=FQ","BEST_FPERIOD_OVERRIDE=FQ","FILING_STATUS=MR","Sort=A","Dates=H","DateFormat=P","Fill=—","Direction=H","UseDPDF=Y")</f>
        <v>—</v>
      </c>
      <c r="G43" s="14">
        <f>_xll.BDH("SRPT US Equity","EMPLOYEES_5_YEAR_GROWTH","FQ4 2019","FQ4 2019","Currency=USD","Period=FQ","BEST_FPERIOD_OVERRIDE=FQ","FILING_STATUS=MR","Sort=A","Dates=H","DateFormat=P","Fill=—","Direction=H","UseDPDF=Y")</f>
        <v>29.500599999999999</v>
      </c>
      <c r="H43" s="14" t="str">
        <f>_xll.BDH("SRPT US Equity","EMPLOYEES_5_YEAR_GROWTH","FQ1 2020","FQ1 2020","Currency=USD","Period=FQ","BEST_FPERIOD_OVERRIDE=FQ","FILING_STATUS=MR","Sort=A","Dates=H","DateFormat=P","Fill=—","Direction=H","UseDPDF=Y")</f>
        <v>—</v>
      </c>
      <c r="I43" s="14" t="str">
        <f>_xll.BDH("SRPT US Equity","EMPLOYEES_5_YEAR_GROWTH","FQ2 2020","FQ2 2020","Currency=USD","Period=FQ","BEST_FPERIOD_OVERRIDE=FQ","FILING_STATUS=MR","Sort=A","Dates=H","DateFormat=P","Fill=—","Direction=H","UseDPDF=Y")</f>
        <v>—</v>
      </c>
      <c r="J43" s="14" t="str">
        <f>_xll.BDH("SRPT US Equity","EMPLOYEES_5_YEAR_GROWTH","FQ3 2020","FQ3 2020","Currency=USD","Period=FQ","BEST_FPERIOD_OVERRIDE=FQ","FILING_STATUS=MR","Sort=A","Dates=H","DateFormat=P","Fill=—","Direction=H","UseDPDF=Y")</f>
        <v>—</v>
      </c>
      <c r="K43" s="14">
        <f>_xll.BDH("SRPT US Equity","EMPLOYEES_5_YEAR_GROWTH","FQ4 2020","FQ4 2020","Currency=USD","Period=FQ","BEST_FPERIOD_OVERRIDE=FQ","FILING_STATUS=MR","Sort=A","Dates=H","DateFormat=P","Fill=—","Direction=H","UseDPDF=Y")</f>
        <v>26.2498</v>
      </c>
      <c r="L43" s="14" t="str">
        <f>_xll.BDH("SRPT US Equity","EMPLOYEES_5_YEAR_GROWTH","FQ1 2021","FQ1 2021","Currency=USD","Period=FQ","BEST_FPERIOD_OVERRIDE=FQ","FILING_STATUS=MR","Sort=A","Dates=H","DateFormat=P","Fill=—","Direction=H","UseDPDF=Y")</f>
        <v>—</v>
      </c>
      <c r="M43" s="14" t="str">
        <f>_xll.BDH("SRPT US Equity","EMPLOYEES_5_YEAR_GROWTH","FQ2 2021","FQ2 2021","Currency=USD","Period=FQ","BEST_FPERIOD_OVERRIDE=FQ","FILING_STATUS=MR","Sort=A","Dates=H","DateFormat=P","Fill=—","Direction=H","UseDPDF=Y")</f>
        <v>—</v>
      </c>
      <c r="N43" s="14" t="str">
        <f>_xll.BDH("SRPT US Equity","EMPLOYEES_5_YEAR_GROWTH","FQ3 2021","FQ3 2021","Currency=USD","Period=FQ","BEST_FPERIOD_OVERRIDE=FQ","FILING_STATUS=MR","Sort=A","Dates=H","DateFormat=P","Fill=—","Direction=H","UseDPDF=Y")</f>
        <v>—</v>
      </c>
      <c r="O43" s="14">
        <f>_xll.BDH("SRPT US Equity","EMPLOYEES_5_YEAR_GROWTH","FQ4 2021","FQ4 2021","Currency=USD","Period=FQ","BEST_FPERIOD_OVERRIDE=FQ","FILING_STATUS=MR","Sort=A","Dates=H","DateFormat=P","Fill=—","Direction=H","UseDPDF=Y")</f>
        <v>33.648000000000003</v>
      </c>
      <c r="P43" s="14" t="str">
        <f>_xll.BDH("SRPT US Equity","EMPLOYEES_5_YEAR_GROWTH","FQ1 2022","FQ1 2022","Currency=USD","Period=FQ","BEST_FPERIOD_OVERRIDE=FQ","FILING_STATUS=MR","Sort=A","Dates=H","DateFormat=P","Fill=—","Direction=H","UseDPDF=Y")</f>
        <v>—</v>
      </c>
      <c r="Q43" s="14" t="str">
        <f>_xll.BDH("SRPT US Equity","EMPLOYEES_5_YEAR_GROWTH","FQ2 2022","FQ2 2022","Currency=USD","Period=FQ","BEST_FPERIOD_OVERRIDE=FQ","FILING_STATUS=MR","Sort=A","Dates=H","DateFormat=P","Fill=—","Direction=H","UseDPDF=Y")</f>
        <v>—</v>
      </c>
      <c r="R43" s="14" t="str">
        <f>_xll.BDH("SRPT US Equity","EMPLOYEES_5_YEAR_GROWTH","FQ3 2022","FQ3 2022","Currency=USD","Period=FQ","BEST_FPERIOD_OVERRIDE=FQ","FILING_STATUS=MR","Sort=A","Dates=H","DateFormat=P","Fill=—","Direction=H","UseDPDF=Y")</f>
        <v>—</v>
      </c>
      <c r="S43" s="14">
        <f>_xll.BDH("SRPT US Equity","EMPLOYEES_5_YEAR_GROWTH","FQ4 2022","FQ4 2022","Currency=USD","Period=FQ","BEST_FPERIOD_OVERRIDE=FQ","FILING_STATUS=MR","Sort=A","Dates=H","DateFormat=P","Fill=—","Direction=H","UseDPDF=Y")</f>
        <v>35.435699999999997</v>
      </c>
      <c r="T43" s="14" t="str">
        <f>_xll.BDH("SRPT US Equity","EMPLOYEES_5_YEAR_GROWTH","FQ1 2023","FQ1 2023","Currency=USD","Period=FQ","BEST_FPERIOD_OVERRIDE=FQ","FILING_STATUS=MR","Sort=A","Dates=H","DateFormat=P","Fill=—","Direction=H","UseDPDF=Y")</f>
        <v>—</v>
      </c>
      <c r="U43" s="14" t="str">
        <f>_xll.BDH("SRPT US Equity","EMPLOYEES_5_YEAR_GROWTH","FQ2 2023","FQ2 2023","Currency=USD","Period=FQ","BEST_FPERIOD_OVERRIDE=FQ","FILING_STATUS=MR","Sort=A","Dates=H","DateFormat=P","Fill=—","Direction=H","UseDPDF=Y")</f>
        <v>—</v>
      </c>
      <c r="V43" s="14" t="str">
        <f>_xll.BDH("SRPT US Equity","EMPLOYEES_5_YEAR_GROWTH","FQ3 2023","FQ3 2023","Currency=USD","Period=FQ","BEST_FPERIOD_OVERRIDE=FQ","FILING_STATUS=MR","Sort=A","Dates=H","DateFormat=P","Fill=—","Direction=H","UseDPDF=Y")</f>
        <v>—</v>
      </c>
      <c r="W43" s="14">
        <f>_xll.BDH("SRPT US Equity","EMPLOYEES_5_YEAR_GROWTH","FQ4 2023","FQ4 2023","Currency=USD","Period=FQ","BEST_FPERIOD_OVERRIDE=FQ","FILING_STATUS=MR","Sort=A","Dates=H","DateFormat=P","Fill=—","Direction=H","UseDPDF=Y")</f>
        <v>21.366499999999998</v>
      </c>
      <c r="X43" s="14" t="str">
        <f>_xll.BDH("SRPT US Equity","EMPLOYEES_5_YEAR_GROWTH","FQ1 2024","FQ1 2024","Currency=USD","Period=FQ","BEST_FPERIOD_OVERRIDE=FQ","FILING_STATUS=MR","Sort=A","Dates=H","DateFormat=P","Fill=—","Direction=H","UseDPDF=Y")</f>
        <v>—</v>
      </c>
      <c r="Y43" s="14" t="str">
        <f>_xll.BDH("SRPT US Equity","EMPLOYEES_5_YEAR_GROWTH","FQ2 2024","FQ2 2024","Currency=USD","Period=FQ","BEST_FPERIOD_OVERRIDE=FQ","FILING_STATUS=MR","Sort=A","Dates=H","DateFormat=P","Fill=—","Direction=H","UseDPDF=Y")</f>
        <v>—</v>
      </c>
      <c r="Z43" s="14" t="str">
        <f>_xll.BDH("SRPT US Equity","EMPLOYEES_5_YEAR_GROWTH","FQ3 2024","FQ3 2024","Currency=USD","Period=FQ","BEST_FPERIOD_OVERRIDE=FQ","FILING_STATUS=MR","Sort=A","Dates=H","DateFormat=P","Fill=—","Direction=H","UseDPDF=Y")</f>
        <v>—</v>
      </c>
      <c r="AA43" s="14">
        <f>_xll.BDH("SRPT US Equity","EMPLOYEES_5_YEAR_GROWTH","FQ4 2024","FQ4 2024","Currency=USD","Period=FQ","BEST_FPERIOD_OVERRIDE=FQ","FILING_STATUS=MR","Sort=A","Dates=H","DateFormat=P","Fill=—","Direction=H","UseDPDF=Y")</f>
        <v>13.050599999999999</v>
      </c>
    </row>
    <row r="44" spans="1:27" x14ac:dyDescent="0.25">
      <c r="A44" s="10" t="s">
        <v>1407</v>
      </c>
      <c r="B44" s="10" t="s">
        <v>1431</v>
      </c>
      <c r="C44" s="14">
        <f>_xll.BDH("SRPT US Equity","ACCOUNTS_PAYABLE_5_YEAR_GROWTH","FQ4 2018","FQ4 2018","Currency=USD","Period=FQ","BEST_FPERIOD_OVERRIDE=FQ","FILING_STATUS=MR","Sort=A","Dates=H","DateFormat=P","Fill=—","Direction=H","UseDPDF=Y")</f>
        <v>13.9168</v>
      </c>
      <c r="D44" s="14">
        <f>_xll.BDH("SRPT US Equity","ACCOUNTS_PAYABLE_5_YEAR_GROWTH","FQ1 2019","FQ1 2019","Currency=USD","Period=FQ","BEST_FPERIOD_OVERRIDE=FQ","FILING_STATUS=MR","Sort=A","Dates=H","DateFormat=P","Fill=—","Direction=H","UseDPDF=Y")</f>
        <v>27.9709</v>
      </c>
      <c r="E44" s="14">
        <f>_xll.BDH("SRPT US Equity","ACCOUNTS_PAYABLE_5_YEAR_GROWTH","FQ2 2019","FQ2 2019","Currency=USD","Period=FQ","BEST_FPERIOD_OVERRIDE=FQ","FILING_STATUS=MR","Sort=A","Dates=H","DateFormat=P","Fill=—","Direction=H","UseDPDF=Y")</f>
        <v>102.01860000000001</v>
      </c>
      <c r="F44" s="14">
        <f>_xll.BDH("SRPT US Equity","ACCOUNTS_PAYABLE_5_YEAR_GROWTH","FQ3 2019","FQ3 2019","Currency=USD","Period=FQ","BEST_FPERIOD_OVERRIDE=FQ","FILING_STATUS=MR","Sort=A","Dates=H","DateFormat=P","Fill=—","Direction=H","UseDPDF=Y")</f>
        <v>143.0078</v>
      </c>
      <c r="G44" s="14">
        <f>_xll.BDH("SRPT US Equity","ACCOUNTS_PAYABLE_5_YEAR_GROWTH","FQ4 2019","FQ4 2019","Currency=USD","Period=FQ","BEST_FPERIOD_OVERRIDE=FQ","FILING_STATUS=MR","Sort=A","Dates=H","DateFormat=P","Fill=—","Direction=H","UseDPDF=Y")</f>
        <v>40.566400000000002</v>
      </c>
      <c r="H44" s="14">
        <f>_xll.BDH("SRPT US Equity","ACCOUNTS_PAYABLE_5_YEAR_GROWTH","FQ1 2020","FQ1 2020","Currency=USD","Period=FQ","BEST_FPERIOD_OVERRIDE=FQ","FILING_STATUS=MR","Sort=A","Dates=H","DateFormat=P","Fill=—","Direction=H","UseDPDF=Y")</f>
        <v>23.337599999999998</v>
      </c>
      <c r="I44" s="14">
        <f>_xll.BDH("SRPT US Equity","ACCOUNTS_PAYABLE_5_YEAR_GROWTH","FQ2 2020","FQ2 2020","Currency=USD","Period=FQ","BEST_FPERIOD_OVERRIDE=FQ","FILING_STATUS=MR","Sort=A","Dates=H","DateFormat=P","Fill=—","Direction=H","UseDPDF=Y")</f>
        <v>45.419600000000003</v>
      </c>
      <c r="J44" s="14">
        <f>_xll.BDH("SRPT US Equity","ACCOUNTS_PAYABLE_5_YEAR_GROWTH","FQ3 2020","FQ3 2020","Currency=USD","Period=FQ","BEST_FPERIOD_OVERRIDE=FQ","FILING_STATUS=MR","Sort=A","Dates=H","DateFormat=P","Fill=—","Direction=H","UseDPDF=Y")</f>
        <v>58.5822</v>
      </c>
      <c r="K44" s="14">
        <f>_xll.BDH("SRPT US Equity","ACCOUNTS_PAYABLE_5_YEAR_GROWTH","FQ4 2020","FQ4 2020","Currency=USD","Period=FQ","BEST_FPERIOD_OVERRIDE=FQ","FILING_STATUS=MR","Sort=A","Dates=H","DateFormat=P","Fill=—","Direction=H","UseDPDF=Y")</f>
        <v>40.578400000000002</v>
      </c>
      <c r="L44" s="14">
        <f>_xll.BDH("SRPT US Equity","ACCOUNTS_PAYABLE_5_YEAR_GROWTH","FQ1 2021","FQ1 2021","Currency=USD","Period=FQ","BEST_FPERIOD_OVERRIDE=FQ","FILING_STATUS=MR","Sort=A","Dates=H","DateFormat=P","Fill=—","Direction=H","UseDPDF=Y")</f>
        <v>32.635800000000003</v>
      </c>
      <c r="M44" s="14">
        <f>_xll.BDH("SRPT US Equity","ACCOUNTS_PAYABLE_5_YEAR_GROWTH","FQ2 2021","FQ2 2021","Currency=USD","Period=FQ","BEST_FPERIOD_OVERRIDE=FQ","FILING_STATUS=MR","Sort=A","Dates=H","DateFormat=P","Fill=—","Direction=H","UseDPDF=Y")</f>
        <v>34.949399999999997</v>
      </c>
      <c r="N44" s="14">
        <f>_xll.BDH("SRPT US Equity","ACCOUNTS_PAYABLE_5_YEAR_GROWTH","FQ3 2021","FQ3 2021","Currency=USD","Period=FQ","BEST_FPERIOD_OVERRIDE=FQ","FILING_STATUS=MR","Sort=A","Dates=H","DateFormat=P","Fill=—","Direction=H","UseDPDF=Y")</f>
        <v>16.381699999999999</v>
      </c>
      <c r="O44" s="14">
        <f>_xll.BDH("SRPT US Equity","ACCOUNTS_PAYABLE_5_YEAR_GROWTH","FQ4 2021","FQ4 2021","Currency=USD","Period=FQ","BEST_FPERIOD_OVERRIDE=FQ","FILING_STATUS=MR","Sort=A","Dates=H","DateFormat=P","Fill=—","Direction=H","UseDPDF=Y")</f>
        <v>20.915900000000001</v>
      </c>
      <c r="P44" s="14">
        <f>_xll.BDH("SRPT US Equity","ACCOUNTS_PAYABLE_5_YEAR_GROWTH","FQ1 2022","FQ1 2022","Currency=USD","Period=FQ","BEST_FPERIOD_OVERRIDE=FQ","FILING_STATUS=MR","Sort=A","Dates=H","DateFormat=P","Fill=—","Direction=H","UseDPDF=Y")</f>
        <v>14.497</v>
      </c>
      <c r="Q44" s="14">
        <f>_xll.BDH("SRPT US Equity","ACCOUNTS_PAYABLE_5_YEAR_GROWTH","FQ2 2022","FQ2 2022","Currency=USD","Period=FQ","BEST_FPERIOD_OVERRIDE=FQ","FILING_STATUS=MR","Sort=A","Dates=H","DateFormat=P","Fill=—","Direction=H","UseDPDF=Y")</f>
        <v>38.773200000000003</v>
      </c>
      <c r="R44" s="14">
        <f>_xll.BDH("SRPT US Equity","ACCOUNTS_PAYABLE_5_YEAR_GROWTH","FQ3 2022","FQ3 2022","Currency=USD","Period=FQ","BEST_FPERIOD_OVERRIDE=FQ","FILING_STATUS=MR","Sort=A","Dates=H","DateFormat=P","Fill=—","Direction=H","UseDPDF=Y")</f>
        <v>86.029499999999999</v>
      </c>
      <c r="S44" s="14">
        <f>_xll.BDH("SRPT US Equity","ACCOUNTS_PAYABLE_5_YEAR_GROWTH","FQ4 2022","FQ4 2022","Currency=USD","Period=FQ","BEST_FPERIOD_OVERRIDE=FQ","FILING_STATUS=MR","Sort=A","Dates=H","DateFormat=P","Fill=—","Direction=H","UseDPDF=Y")</f>
        <v>62.478200000000001</v>
      </c>
      <c r="T44" s="14">
        <f>_xll.BDH("SRPT US Equity","ACCOUNTS_PAYABLE_5_YEAR_GROWTH","FQ1 2023","FQ1 2023","Currency=USD","Period=FQ","BEST_FPERIOD_OVERRIDE=FQ","FILING_STATUS=MR","Sort=A","Dates=H","DateFormat=P","Fill=—","Direction=H","UseDPDF=Y")</f>
        <v>43.759300000000003</v>
      </c>
      <c r="U44" s="14">
        <f>_xll.BDH("SRPT US Equity","ACCOUNTS_PAYABLE_5_YEAR_GROWTH","FQ2 2023","FQ2 2023","Currency=USD","Period=FQ","BEST_FPERIOD_OVERRIDE=FQ","FILING_STATUS=MR","Sort=A","Dates=H","DateFormat=P","Fill=—","Direction=H","UseDPDF=Y")</f>
        <v>44.5764</v>
      </c>
      <c r="V44" s="14">
        <f>_xll.BDH("SRPT US Equity","ACCOUNTS_PAYABLE_5_YEAR_GROWTH","FQ3 2023","FQ3 2023","Currency=USD","Period=FQ","BEST_FPERIOD_OVERRIDE=FQ","FILING_STATUS=MR","Sort=A","Dates=H","DateFormat=P","Fill=—","Direction=H","UseDPDF=Y")</f>
        <v>33.932200000000002</v>
      </c>
      <c r="W44" s="14">
        <f>_xll.BDH("SRPT US Equity","ACCOUNTS_PAYABLE_5_YEAR_GROWTH","FQ4 2023","FQ4 2023","Currency=USD","Period=FQ","BEST_FPERIOD_OVERRIDE=FQ","FILING_STATUS=MR","Sort=A","Dates=H","DateFormat=P","Fill=—","Direction=H","UseDPDF=Y")</f>
        <v>37.276400000000002</v>
      </c>
      <c r="X44" s="14">
        <f>_xll.BDH("SRPT US Equity","ACCOUNTS_PAYABLE_5_YEAR_GROWTH","FQ1 2024","FQ1 2024","Currency=USD","Period=FQ","BEST_FPERIOD_OVERRIDE=FQ","FILING_STATUS=MR","Sort=A","Dates=H","DateFormat=P","Fill=—","Direction=H","UseDPDF=Y")</f>
        <v>28.136399999999998</v>
      </c>
      <c r="Y44" s="14">
        <f>_xll.BDH("SRPT US Equity","ACCOUNTS_PAYABLE_5_YEAR_GROWTH","FQ2 2024","FQ2 2024","Currency=USD","Period=FQ","BEST_FPERIOD_OVERRIDE=FQ","FILING_STATUS=MR","Sort=A","Dates=H","DateFormat=P","Fill=—","Direction=H","UseDPDF=Y")</f>
        <v>19.5185</v>
      </c>
      <c r="Z44" s="14">
        <f>_xll.BDH("SRPT US Equity","ACCOUNTS_PAYABLE_5_YEAR_GROWTH","FQ3 2024","FQ3 2024","Currency=USD","Period=FQ","BEST_FPERIOD_OVERRIDE=FQ","FILING_STATUS=MR","Sort=A","Dates=H","DateFormat=P","Fill=—","Direction=H","UseDPDF=Y")</f>
        <v>7.7057000000000002</v>
      </c>
      <c r="AA44" s="14">
        <f>_xll.BDH("SRPT US Equity","ACCOUNTS_PAYABLE_5_YEAR_GROWTH","FQ4 2024","FQ4 2024","Currency=USD","Period=FQ","BEST_FPERIOD_OVERRIDE=FQ","FILING_STATUS=MR","Sort=A","Dates=H","DateFormat=P","Fill=—","Direction=H","UseDPDF=Y")</f>
        <v>25.7883</v>
      </c>
    </row>
    <row r="45" spans="1:27" x14ac:dyDescent="0.25">
      <c r="A45" s="10" t="s">
        <v>1409</v>
      </c>
      <c r="B45" s="10" t="s">
        <v>1432</v>
      </c>
      <c r="C45" s="14">
        <f>_xll.BDH("SRPT US Equity","SHORT_TERM_DEBT_5_YEAR_GROWTH","FQ4 2018","FQ4 2018","Currency=USD","Period=FQ","BEST_FPERIOD_OVERRIDE=FQ","FILING_STATUS=MR","Sort=A","Dates=H","DateFormat=P","Fill=—","Direction=H","UseDPDF=Y")</f>
        <v>-100</v>
      </c>
      <c r="D45" s="14">
        <f>_xll.BDH("SRPT US Equity","SHORT_TERM_DEBT_5_YEAR_GROWTH","FQ1 2019","FQ1 2019","Currency=USD","Period=FQ","BEST_FPERIOD_OVERRIDE=FQ","FILING_STATUS=MR","Sort=A","Dates=H","DateFormat=P","Fill=—","Direction=H","UseDPDF=Y")</f>
        <v>135.18799999999999</v>
      </c>
      <c r="E45" s="14">
        <f>_xll.BDH("SRPT US Equity","SHORT_TERM_DEBT_5_YEAR_GROWTH","FQ2 2019","FQ2 2019","Currency=USD","Period=FQ","BEST_FPERIOD_OVERRIDE=FQ","FILING_STATUS=MR","Sort=A","Dates=H","DateFormat=P","Fill=—","Direction=H","UseDPDF=Y")</f>
        <v>136.88659999999999</v>
      </c>
      <c r="F45" s="14">
        <f>_xll.BDH("SRPT US Equity","SHORT_TERM_DEBT_5_YEAR_GROWTH","FQ3 2019","FQ3 2019","Currency=USD","Period=FQ","BEST_FPERIOD_OVERRIDE=FQ","FILING_STATUS=MR","Sort=A","Dates=H","DateFormat=P","Fill=—","Direction=H","UseDPDF=Y")</f>
        <v>24.770800000000001</v>
      </c>
      <c r="G45" s="14">
        <f>_xll.BDH("SRPT US Equity","SHORT_TERM_DEBT_5_YEAR_GROWTH","FQ4 2019","FQ4 2019","Currency=USD","Period=FQ","BEST_FPERIOD_OVERRIDE=FQ","FILING_STATUS=MR","Sort=A","Dates=H","DateFormat=P","Fill=—","Direction=H","UseDPDF=Y")</f>
        <v>24.815799999999999</v>
      </c>
      <c r="H45" s="14">
        <f>_xll.BDH("SRPT US Equity","SHORT_TERM_DEBT_5_YEAR_GROWTH","FQ1 2020","FQ1 2020","Currency=USD","Period=FQ","BEST_FPERIOD_OVERRIDE=FQ","FILING_STATUS=MR","Sort=A","Dates=H","DateFormat=P","Fill=—","Direction=H","UseDPDF=Y")</f>
        <v>-100</v>
      </c>
      <c r="I45" s="14">
        <f>_xll.BDH("SRPT US Equity","SHORT_TERM_DEBT_5_YEAR_GROWTH","FQ2 2020","FQ2 2020","Currency=USD","Period=FQ","BEST_FPERIOD_OVERRIDE=FQ","FILING_STATUS=MR","Sort=A","Dates=H","DateFormat=P","Fill=—","Direction=H","UseDPDF=Y")</f>
        <v>-100</v>
      </c>
      <c r="J45" s="14">
        <f>_xll.BDH("SRPT US Equity","SHORT_TERM_DEBT_5_YEAR_GROWTH","FQ3 2020","FQ3 2020","Currency=USD","Period=FQ","BEST_FPERIOD_OVERRIDE=FQ","FILING_STATUS=MR","Sort=A","Dates=H","DateFormat=P","Fill=—","Direction=H","UseDPDF=Y")</f>
        <v>-100</v>
      </c>
      <c r="K45" s="14">
        <f>_xll.BDH("SRPT US Equity","SHORT_TERM_DEBT_5_YEAR_GROWTH","FQ4 2020","FQ4 2020","Currency=USD","Period=FQ","BEST_FPERIOD_OVERRIDE=FQ","FILING_STATUS=MR","Sort=A","Dates=H","DateFormat=P","Fill=—","Direction=H","UseDPDF=Y")</f>
        <v>19.9496</v>
      </c>
      <c r="L45" s="14" t="str">
        <f>_xll.BDH("SRPT US Equity","SHORT_TERM_DEBT_5_YEAR_GROWTH","FQ1 2021","FQ1 2021","Currency=USD","Period=FQ","BEST_FPERIOD_OVERRIDE=FQ","FILING_STATUS=MR","Sort=A","Dates=H","DateFormat=P","Fill=—","Direction=H","UseDPDF=Y")</f>
        <v>—</v>
      </c>
      <c r="M45" s="14">
        <f>_xll.BDH("SRPT US Equity","SHORT_TERM_DEBT_5_YEAR_GROWTH","FQ2 2021","FQ2 2021","Currency=USD","Period=FQ","BEST_FPERIOD_OVERRIDE=FQ","FILING_STATUS=MR","Sort=A","Dates=H","DateFormat=P","Fill=—","Direction=H","UseDPDF=Y")</f>
        <v>-100</v>
      </c>
      <c r="N45" s="14">
        <f>_xll.BDH("SRPT US Equity","SHORT_TERM_DEBT_5_YEAR_GROWTH","FQ3 2021","FQ3 2021","Currency=USD","Period=FQ","BEST_FPERIOD_OVERRIDE=FQ","FILING_STATUS=MR","Sort=A","Dates=H","DateFormat=P","Fill=—","Direction=H","UseDPDF=Y")</f>
        <v>-100</v>
      </c>
      <c r="O45" s="14">
        <f>_xll.BDH("SRPT US Equity","SHORT_TERM_DEBT_5_YEAR_GROWTH","FQ4 2021","FQ4 2021","Currency=USD","Period=FQ","BEST_FPERIOD_OVERRIDE=FQ","FILING_STATUS=MR","Sort=A","Dates=H","DateFormat=P","Fill=—","Direction=H","UseDPDF=Y")</f>
        <v>8.2850000000000001</v>
      </c>
      <c r="P45" s="14" t="str">
        <f>_xll.BDH("SRPT US Equity","SHORT_TERM_DEBT_5_YEAR_GROWTH","FQ1 2022","FQ1 2022","Currency=USD","Period=FQ","BEST_FPERIOD_OVERRIDE=FQ","FILING_STATUS=MR","Sort=A","Dates=H","DateFormat=P","Fill=—","Direction=H","UseDPDF=Y")</f>
        <v>—</v>
      </c>
      <c r="Q45" s="14">
        <f>_xll.BDH("SRPT US Equity","SHORT_TERM_DEBT_5_YEAR_GROWTH","FQ2 2022","FQ2 2022","Currency=USD","Period=FQ","BEST_FPERIOD_OVERRIDE=FQ","FILING_STATUS=MR","Sort=A","Dates=H","DateFormat=P","Fill=—","Direction=H","UseDPDF=Y")</f>
        <v>-100</v>
      </c>
      <c r="R45" s="14">
        <f>_xll.BDH("SRPT US Equity","SHORT_TERM_DEBT_5_YEAR_GROWTH","FQ3 2022","FQ3 2022","Currency=USD","Period=FQ","BEST_FPERIOD_OVERRIDE=FQ","FILING_STATUS=MR","Sort=A","Dates=H","DateFormat=P","Fill=—","Direction=H","UseDPDF=Y")</f>
        <v>-100</v>
      </c>
      <c r="S45" s="14">
        <f>_xll.BDH("SRPT US Equity","SHORT_TERM_DEBT_5_YEAR_GROWTH","FQ4 2022","FQ4 2022","Currency=USD","Period=FQ","BEST_FPERIOD_OVERRIDE=FQ","FILING_STATUS=MR","Sort=A","Dates=H","DateFormat=P","Fill=—","Direction=H","UseDPDF=Y")</f>
        <v>20.192499999999999</v>
      </c>
      <c r="T45" s="14" t="str">
        <f>_xll.BDH("SRPT US Equity","SHORT_TERM_DEBT_5_YEAR_GROWTH","FQ1 2023","FQ1 2023","Currency=USD","Period=FQ","BEST_FPERIOD_OVERRIDE=FQ","FILING_STATUS=MR","Sort=A","Dates=H","DateFormat=P","Fill=—","Direction=H","UseDPDF=Y")</f>
        <v>—</v>
      </c>
      <c r="U45" s="14">
        <f>_xll.BDH("SRPT US Equity","SHORT_TERM_DEBT_5_YEAR_GROWTH","FQ2 2023","FQ2 2023","Currency=USD","Period=FQ","BEST_FPERIOD_OVERRIDE=FQ","FILING_STATUS=MR","Sort=A","Dates=H","DateFormat=P","Fill=—","Direction=H","UseDPDF=Y")</f>
        <v>-100</v>
      </c>
      <c r="V45" s="14" t="str">
        <f>_xll.BDH("SRPT US Equity","SHORT_TERM_DEBT_5_YEAR_GROWTH","FQ3 2023","FQ3 2023","Currency=USD","Period=FQ","BEST_FPERIOD_OVERRIDE=FQ","FILING_STATUS=MR","Sort=A","Dates=H","DateFormat=P","Fill=—","Direction=H","UseDPDF=Y")</f>
        <v>—</v>
      </c>
      <c r="W45" s="14" t="str">
        <f>_xll.BDH("SRPT US Equity","SHORT_TERM_DEBT_5_YEAR_GROWTH","FQ4 2023","FQ4 2023","Currency=USD","Period=FQ","BEST_FPERIOD_OVERRIDE=FQ","FILING_STATUS=MR","Sort=A","Dates=H","DateFormat=P","Fill=—","Direction=H","UseDPDF=Y")</f>
        <v>—</v>
      </c>
      <c r="X45" s="14" t="str">
        <f>_xll.BDH("SRPT US Equity","SHORT_TERM_DEBT_5_YEAR_GROWTH","FQ1 2024","FQ1 2024","Currency=USD","Period=FQ","BEST_FPERIOD_OVERRIDE=FQ","FILING_STATUS=MR","Sort=A","Dates=H","DateFormat=P","Fill=—","Direction=H","UseDPDF=Y")</f>
        <v>—</v>
      </c>
      <c r="Y45" s="14">
        <f>_xll.BDH("SRPT US Equity","SHORT_TERM_DEBT_5_YEAR_GROWTH","FQ2 2024","FQ2 2024","Currency=USD","Period=FQ","BEST_FPERIOD_OVERRIDE=FQ","FILING_STATUS=MR","Sort=A","Dates=H","DateFormat=P","Fill=—","Direction=H","UseDPDF=Y")</f>
        <v>66.453999999999994</v>
      </c>
      <c r="Z45" s="14">
        <f>_xll.BDH("SRPT US Equity","SHORT_TERM_DEBT_5_YEAR_GROWTH","FQ3 2024","FQ3 2024","Currency=USD","Period=FQ","BEST_FPERIOD_OVERRIDE=FQ","FILING_STATUS=MR","Sort=A","Dates=H","DateFormat=P","Fill=—","Direction=H","UseDPDF=Y")</f>
        <v>64.534599999999998</v>
      </c>
      <c r="AA45" s="14">
        <f>_xll.BDH("SRPT US Equity","SHORT_TERM_DEBT_5_YEAR_GROWTH","FQ4 2024","FQ4 2024","Currency=USD","Period=FQ","BEST_FPERIOD_OVERRIDE=FQ","FILING_STATUS=MR","Sort=A","Dates=H","DateFormat=P","Fill=—","Direction=H","UseDPDF=Y")</f>
        <v>11.42</v>
      </c>
    </row>
    <row r="46" spans="1:27" x14ac:dyDescent="0.25">
      <c r="A46" s="10" t="s">
        <v>1411</v>
      </c>
      <c r="B46" s="10" t="s">
        <v>1433</v>
      </c>
      <c r="C46" s="14">
        <f>_xll.BDH("SRPT US Equity","TOTAL_DEBT_5_YEAR_GROWTH","FQ4 2018","FQ4 2018","Currency=USD","Period=FQ","BEST_FPERIOD_OVERRIDE=FQ","FILING_STATUS=MR","Sort=A","Dates=H","DateFormat=P","Fill=—","Direction=H","UseDPDF=Y")</f>
        <v>202.22139999999999</v>
      </c>
      <c r="D46" s="14">
        <f>_xll.BDH("SRPT US Equity","TOTAL_DEBT_5_YEAR_GROWTH","FQ1 2019","FQ1 2019","Currency=USD","Period=FQ","BEST_FPERIOD_OVERRIDE=FQ","FILING_STATUS=MR","Sort=A","Dates=H","DateFormat=P","Fill=—","Direction=H","UseDPDF=Y")</f>
        <v>211.78700000000001</v>
      </c>
      <c r="E46" s="14">
        <f>_xll.BDH("SRPT US Equity","TOTAL_DEBT_5_YEAR_GROWTH","FQ2 2019","FQ2 2019","Currency=USD","Period=FQ","BEST_FPERIOD_OVERRIDE=FQ","FILING_STATUS=MR","Sort=A","Dates=H","DateFormat=P","Fill=—","Direction=H","UseDPDF=Y")</f>
        <v>213.18450000000001</v>
      </c>
      <c r="F46" s="14">
        <f>_xll.BDH("SRPT US Equity","TOTAL_DEBT_5_YEAR_GROWTH","FQ3 2019","FQ3 2019","Currency=USD","Period=FQ","BEST_FPERIOD_OVERRIDE=FQ","FILING_STATUS=MR","Sort=A","Dates=H","DateFormat=P","Fill=—","Direction=H","UseDPDF=Y")</f>
        <v>139.4308</v>
      </c>
      <c r="G46" s="14">
        <f>_xll.BDH("SRPT US Equity","TOTAL_DEBT_5_YEAR_GROWTH","FQ4 2019","FQ4 2019","Currency=USD","Period=FQ","BEST_FPERIOD_OVERRIDE=FQ","FILING_STATUS=MR","Sort=A","Dates=H","DateFormat=P","Fill=—","Direction=H","UseDPDF=Y")</f>
        <v>158.99719999999999</v>
      </c>
      <c r="H46" s="14">
        <f>_xll.BDH("SRPT US Equity","TOTAL_DEBT_5_YEAR_GROWTH","FQ1 2020","FQ1 2020","Currency=USD","Period=FQ","BEST_FPERIOD_OVERRIDE=FQ","FILING_STATUS=MR","Sort=A","Dates=H","DateFormat=P","Fill=—","Direction=H","UseDPDF=Y")</f>
        <v>159.6688</v>
      </c>
      <c r="I46" s="14">
        <f>_xll.BDH("SRPT US Equity","TOTAL_DEBT_5_YEAR_GROWTH","FQ2 2020","FQ2 2020","Currency=USD","Period=FQ","BEST_FPERIOD_OVERRIDE=FQ","FILING_STATUS=MR","Sort=A","Dates=H","DateFormat=P","Fill=—","Direction=H","UseDPDF=Y")</f>
        <v>97.2684</v>
      </c>
      <c r="J46" s="14">
        <f>_xll.BDH("SRPT US Equity","TOTAL_DEBT_5_YEAR_GROWTH","FQ3 2020","FQ3 2020","Currency=USD","Period=FQ","BEST_FPERIOD_OVERRIDE=FQ","FILING_STATUS=MR","Sort=A","Dates=H","DateFormat=P","Fill=—","Direction=H","UseDPDF=Y")</f>
        <v>101.2483</v>
      </c>
      <c r="K46" s="14">
        <f>_xll.BDH("SRPT US Equity","TOTAL_DEBT_5_YEAR_GROWTH","FQ4 2020","FQ4 2020","Currency=USD","Period=FQ","BEST_FPERIOD_OVERRIDE=FQ","FILING_STATUS=MR","Sort=A","Dates=H","DateFormat=P","Fill=—","Direction=H","UseDPDF=Y")</f>
        <v>115.7501</v>
      </c>
      <c r="L46" s="14">
        <f>_xll.BDH("SRPT US Equity","TOTAL_DEBT_5_YEAR_GROWTH","FQ1 2021","FQ1 2021","Currency=USD","Period=FQ","BEST_FPERIOD_OVERRIDE=FQ","FILING_STATUS=MR","Sort=A","Dates=H","DateFormat=P","Fill=—","Direction=H","UseDPDF=Y")</f>
        <v>122.8053</v>
      </c>
      <c r="M46" s="14">
        <f>_xll.BDH("SRPT US Equity","TOTAL_DEBT_5_YEAR_GROWTH","FQ2 2021","FQ2 2021","Currency=USD","Period=FQ","BEST_FPERIOD_OVERRIDE=FQ","FILING_STATUS=MR","Sort=A","Dates=H","DateFormat=P","Fill=—","Direction=H","UseDPDF=Y")</f>
        <v>124.708</v>
      </c>
      <c r="N46" s="14">
        <f>_xll.BDH("SRPT US Equity","TOTAL_DEBT_5_YEAR_GROWTH","FQ3 2021","FQ3 2021","Currency=USD","Period=FQ","BEST_FPERIOD_OVERRIDE=FQ","FILING_STATUS=MR","Sort=A","Dates=H","DateFormat=P","Fill=—","Direction=H","UseDPDF=Y")</f>
        <v>128.49359999999999</v>
      </c>
      <c r="O46" s="14">
        <f>_xll.BDH("SRPT US Equity","TOTAL_DEBT_5_YEAR_GROWTH","FQ4 2021","FQ4 2021","Currency=USD","Period=FQ","BEST_FPERIOD_OVERRIDE=FQ","FILING_STATUS=MR","Sort=A","Dates=H","DateFormat=P","Fill=—","Direction=H","UseDPDF=Y")</f>
        <v>134.83580000000001</v>
      </c>
      <c r="P46" s="14">
        <f>_xll.BDH("SRPT US Equity","TOTAL_DEBT_5_YEAR_GROWTH","FQ1 2022","FQ1 2022","Currency=USD","Period=FQ","BEST_FPERIOD_OVERRIDE=FQ","FILING_STATUS=MR","Sort=A","Dates=H","DateFormat=P","Fill=—","Direction=H","UseDPDF=Y")</f>
        <v>142.05459999999999</v>
      </c>
      <c r="Q46" s="14">
        <f>_xll.BDH("SRPT US Equity","TOTAL_DEBT_5_YEAR_GROWTH","FQ2 2022","FQ2 2022","Currency=USD","Period=FQ","BEST_FPERIOD_OVERRIDE=FQ","FILING_STATUS=MR","Sort=A","Dates=H","DateFormat=P","Fill=—","Direction=H","UseDPDF=Y")</f>
        <v>152.0136</v>
      </c>
      <c r="R46" s="14">
        <f>_xll.BDH("SRPT US Equity","TOTAL_DEBT_5_YEAR_GROWTH","FQ3 2022","FQ3 2022","Currency=USD","Period=FQ","BEST_FPERIOD_OVERRIDE=FQ","FILING_STATUS=MR","Sort=A","Dates=H","DateFormat=P","Fill=—","Direction=H","UseDPDF=Y")</f>
        <v>119.05970000000001</v>
      </c>
      <c r="S46" s="14">
        <f>_xll.BDH("SRPT US Equity","TOTAL_DEBT_5_YEAR_GROWTH","FQ4 2022","FQ4 2022","Currency=USD","Period=FQ","BEST_FPERIOD_OVERRIDE=FQ","FILING_STATUS=MR","Sort=A","Dates=H","DateFormat=P","Fill=—","Direction=H","UseDPDF=Y")</f>
        <v>30.273299999999999</v>
      </c>
      <c r="T46" s="14">
        <f>_xll.BDH("SRPT US Equity","TOTAL_DEBT_5_YEAR_GROWTH","FQ1 2023","FQ1 2023","Currency=USD","Period=FQ","BEST_FPERIOD_OVERRIDE=FQ","FILING_STATUS=MR","Sort=A","Dates=H","DateFormat=P","Fill=—","Direction=H","UseDPDF=Y")</f>
        <v>24.491700000000002</v>
      </c>
      <c r="U46" s="14">
        <f>_xll.BDH("SRPT US Equity","TOTAL_DEBT_5_YEAR_GROWTH","FQ2 2023","FQ2 2023","Currency=USD","Period=FQ","BEST_FPERIOD_OVERRIDE=FQ","FILING_STATUS=MR","Sort=A","Dates=H","DateFormat=P","Fill=—","Direction=H","UseDPDF=Y")</f>
        <v>25.4374</v>
      </c>
      <c r="V46" s="14">
        <f>_xll.BDH("SRPT US Equity","TOTAL_DEBT_5_YEAR_GROWTH","FQ3 2023","FQ3 2023","Currency=USD","Period=FQ","BEST_FPERIOD_OVERRIDE=FQ","FILING_STATUS=MR","Sort=A","Dates=H","DateFormat=P","Fill=—","Direction=H","UseDPDF=Y")</f>
        <v>27.3111</v>
      </c>
      <c r="W46" s="14">
        <f>_xll.BDH("SRPT US Equity","TOTAL_DEBT_5_YEAR_GROWTH","FQ4 2023","FQ4 2023","Currency=USD","Period=FQ","BEST_FPERIOD_OVERRIDE=FQ","FILING_STATUS=MR","Sort=A","Dates=H","DateFormat=P","Fill=—","Direction=H","UseDPDF=Y")</f>
        <v>27.134399999999999</v>
      </c>
      <c r="X46" s="14">
        <f>_xll.BDH("SRPT US Equity","TOTAL_DEBT_5_YEAR_GROWTH","FQ1 2024","FQ1 2024","Currency=USD","Period=FQ","BEST_FPERIOD_OVERRIDE=FQ","FILING_STATUS=MR","Sort=A","Dates=H","DateFormat=P","Fill=—","Direction=H","UseDPDF=Y")</f>
        <v>23.266100000000002</v>
      </c>
      <c r="Y46" s="14">
        <f>_xll.BDH("SRPT US Equity","TOTAL_DEBT_5_YEAR_GROWTH","FQ2 2024","FQ2 2024","Currency=USD","Period=FQ","BEST_FPERIOD_OVERRIDE=FQ","FILING_STATUS=MR","Sort=A","Dates=H","DateFormat=P","Fill=—","Direction=H","UseDPDF=Y")</f>
        <v>22.9085</v>
      </c>
      <c r="Z46" s="14">
        <f>_xll.BDH("SRPT US Equity","TOTAL_DEBT_5_YEAR_GROWTH","FQ3 2024","FQ3 2024","Currency=USD","Period=FQ","BEST_FPERIOD_OVERRIDE=FQ","FILING_STATUS=MR","Sort=A","Dates=H","DateFormat=P","Fill=—","Direction=H","UseDPDF=Y")</f>
        <v>23.132300000000001</v>
      </c>
      <c r="AA46" s="14">
        <f>_xll.BDH("SRPT US Equity","TOTAL_DEBT_5_YEAR_GROWTH","FQ4 2024","FQ4 2024","Currency=USD","Period=FQ","BEST_FPERIOD_OVERRIDE=FQ","FILING_STATUS=MR","Sort=A","Dates=H","DateFormat=P","Fill=—","Direction=H","UseDPDF=Y")</f>
        <v>12.738300000000001</v>
      </c>
    </row>
    <row r="47" spans="1:27" x14ac:dyDescent="0.25">
      <c r="A47" s="10" t="s">
        <v>118</v>
      </c>
      <c r="B47" s="10" t="s">
        <v>1434</v>
      </c>
      <c r="C47" s="14">
        <f>_xll.BDH("SRPT US Equity","GEO_GROW_TOT_SHRHLDR_EQY","FQ4 2018","FQ4 2018","Currency=USD","Period=FQ","BEST_FPERIOD_OVERRIDE=FQ","FILING_STATUS=MR","Sort=A","Dates=H","DateFormat=P","Fill=—","Direction=H","UseDPDF=Y")</f>
        <v>33.092100000000002</v>
      </c>
      <c r="D47" s="14">
        <f>_xll.BDH("SRPT US Equity","GEO_GROW_TOT_SHRHLDR_EQY","FQ1 2019","FQ1 2019","Currency=USD","Period=FQ","BEST_FPERIOD_OVERRIDE=FQ","FILING_STATUS=MR","Sort=A","Dates=H","DateFormat=P","Fill=—","Direction=H","UseDPDF=Y")</f>
        <v>42.567900000000002</v>
      </c>
      <c r="E47" s="14">
        <f>_xll.BDH("SRPT US Equity","GEO_GROW_TOT_SHRHLDR_EQY","FQ2 2019","FQ2 2019","Currency=USD","Period=FQ","BEST_FPERIOD_OVERRIDE=FQ","FILING_STATUS=MR","Sort=A","Dates=H","DateFormat=P","Fill=—","Direction=H","UseDPDF=Y")</f>
        <v>29.6616</v>
      </c>
      <c r="F47" s="14">
        <f>_xll.BDH("SRPT US Equity","GEO_GROW_TOT_SHRHLDR_EQY","FQ3 2019","FQ3 2019","Currency=USD","Period=FQ","BEST_FPERIOD_OVERRIDE=FQ","FILING_STATUS=MR","Sort=A","Dates=H","DateFormat=P","Fill=—","Direction=H","UseDPDF=Y")</f>
        <v>28.306100000000001</v>
      </c>
      <c r="G47" s="14">
        <f>_xll.BDH("SRPT US Equity","GEO_GROW_TOT_SHRHLDR_EQY","FQ4 2019","FQ4 2019","Currency=USD","Period=FQ","BEST_FPERIOD_OVERRIDE=FQ","FILING_STATUS=MR","Sort=A","Dates=H","DateFormat=P","Fill=—","Direction=H","UseDPDF=Y")</f>
        <v>26.999400000000001</v>
      </c>
      <c r="H47" s="14">
        <f>_xll.BDH("SRPT US Equity","GEO_GROW_TOT_SHRHLDR_EQY","FQ1 2020","FQ1 2020","Currency=USD","Period=FQ","BEST_FPERIOD_OVERRIDE=FQ","FILING_STATUS=MR","Sort=A","Dates=H","DateFormat=P","Fill=—","Direction=H","UseDPDF=Y")</f>
        <v>41.648800000000001</v>
      </c>
      <c r="I47" s="14">
        <f>_xll.BDH("SRPT US Equity","GEO_GROW_TOT_SHRHLDR_EQY","FQ2 2020","FQ2 2020","Currency=USD","Period=FQ","BEST_FPERIOD_OVERRIDE=FQ","FILING_STATUS=MR","Sort=A","Dates=H","DateFormat=P","Fill=—","Direction=H","UseDPDF=Y")</f>
        <v>44.527700000000003</v>
      </c>
      <c r="J47" s="14">
        <f>_xll.BDH("SRPT US Equity","GEO_GROW_TOT_SHRHLDR_EQY","FQ3 2020","FQ3 2020","Currency=USD","Period=FQ","BEST_FPERIOD_OVERRIDE=FQ","FILING_STATUS=MR","Sort=A","Dates=H","DateFormat=P","Fill=—","Direction=H","UseDPDF=Y")</f>
        <v>48.569600000000001</v>
      </c>
      <c r="K47" s="14">
        <f>_xll.BDH("SRPT US Equity","GEO_GROW_TOT_SHRHLDR_EQY","FQ4 2020","FQ4 2020","Currency=USD","Period=FQ","BEST_FPERIOD_OVERRIDE=FQ","FILING_STATUS=MR","Sort=A","Dates=H","DateFormat=P","Fill=—","Direction=H","UseDPDF=Y")</f>
        <v>31.9636</v>
      </c>
      <c r="L47" s="14">
        <f>_xll.BDH("SRPT US Equity","GEO_GROW_TOT_SHRHLDR_EQY","FQ1 2021","FQ1 2021","Currency=USD","Period=FQ","BEST_FPERIOD_OVERRIDE=FQ","FILING_STATUS=MR","Sort=A","Dates=H","DateFormat=P","Fill=—","Direction=H","UseDPDF=Y")</f>
        <v>30.967600000000001</v>
      </c>
      <c r="M47" s="14">
        <f>_xll.BDH("SRPT US Equity","GEO_GROW_TOT_SHRHLDR_EQY","FQ2 2021","FQ2 2021","Currency=USD","Period=FQ","BEST_FPERIOD_OVERRIDE=FQ","FILING_STATUS=MR","Sort=A","Dates=H","DateFormat=P","Fill=—","Direction=H","UseDPDF=Y")</f>
        <v>31.911000000000001</v>
      </c>
      <c r="N47" s="14">
        <f>_xll.BDH("SRPT US Equity","GEO_GROW_TOT_SHRHLDR_EQY","FQ3 2021","FQ3 2021","Currency=USD","Period=FQ","BEST_FPERIOD_OVERRIDE=FQ","FILING_STATUS=MR","Sort=A","Dates=H","DateFormat=P","Fill=—","Direction=H","UseDPDF=Y")</f>
        <v>2.8176000000000001</v>
      </c>
      <c r="O47" s="14">
        <f>_xll.BDH("SRPT US Equity","GEO_GROW_TOT_SHRHLDR_EQY","FQ4 2021","FQ4 2021","Currency=USD","Period=FQ","BEST_FPERIOD_OVERRIDE=FQ","FILING_STATUS=MR","Sort=A","Dates=H","DateFormat=P","Fill=—","Direction=H","UseDPDF=Y")</f>
        <v>22.479700000000001</v>
      </c>
      <c r="P47" s="14">
        <f>_xll.BDH("SRPT US Equity","GEO_GROW_TOT_SHRHLDR_EQY","FQ1 2022","FQ1 2022","Currency=USD","Period=FQ","BEST_FPERIOD_OVERRIDE=FQ","FILING_STATUS=MR","Sort=A","Dates=H","DateFormat=P","Fill=—","Direction=H","UseDPDF=Y")</f>
        <v>14.8324</v>
      </c>
      <c r="Q47" s="14">
        <f>_xll.BDH("SRPT US Equity","GEO_GROW_TOT_SHRHLDR_EQY","FQ2 2022","FQ2 2022","Currency=USD","Period=FQ","BEST_FPERIOD_OVERRIDE=FQ","FILING_STATUS=MR","Sort=A","Dates=H","DateFormat=P","Fill=—","Direction=H","UseDPDF=Y")</f>
        <v>13.971399999999999</v>
      </c>
      <c r="R47" s="14">
        <f>_xll.BDH("SRPT US Equity","GEO_GROW_TOT_SHRHLDR_EQY","FQ3 2022","FQ3 2022","Currency=USD","Period=FQ","BEST_FPERIOD_OVERRIDE=FQ","FILING_STATUS=MR","Sort=A","Dates=H","DateFormat=P","Fill=—","Direction=H","UseDPDF=Y")</f>
        <v>-9.1767000000000003</v>
      </c>
      <c r="S47" s="14">
        <f>_xll.BDH("SRPT US Equity","GEO_GROW_TOT_SHRHLDR_EQY","FQ4 2022","FQ4 2022","Currency=USD","Period=FQ","BEST_FPERIOD_OVERRIDE=FQ","FILING_STATUS=MR","Sort=A","Dates=H","DateFormat=P","Fill=—","Direction=H","UseDPDF=Y")</f>
        <v>-13.375299999999999</v>
      </c>
      <c r="T47" s="14">
        <f>_xll.BDH("SRPT US Equity","GEO_GROW_TOT_SHRHLDR_EQY","FQ1 2023","FQ1 2023","Currency=USD","Period=FQ","BEST_FPERIOD_OVERRIDE=FQ","FILING_STATUS=MR","Sort=A","Dates=H","DateFormat=P","Fill=—","Direction=H","UseDPDF=Y")</f>
        <v>-1.7053</v>
      </c>
      <c r="U47" s="14">
        <f>_xll.BDH("SRPT US Equity","GEO_GROW_TOT_SHRHLDR_EQY","FQ2 2023","FQ2 2023","Currency=USD","Period=FQ","BEST_FPERIOD_OVERRIDE=FQ","FILING_STATUS=MR","Sort=A","Dates=H","DateFormat=P","Fill=—","Direction=H","UseDPDF=Y")</f>
        <v>1.1837</v>
      </c>
      <c r="V47" s="14">
        <f>_xll.BDH("SRPT US Equity","GEO_GROW_TOT_SHRHLDR_EQY","FQ3 2023","FQ3 2023","Currency=USD","Period=FQ","BEST_FPERIOD_OVERRIDE=FQ","FILING_STATUS=MR","Sort=A","Dates=H","DateFormat=P","Fill=—","Direction=H","UseDPDF=Y")</f>
        <v>3.6200999999999999</v>
      </c>
      <c r="W47" s="14">
        <f>_xll.BDH("SRPT US Equity","GEO_GROW_TOT_SHRHLDR_EQY","FQ4 2023","FQ4 2023","Currency=USD","Period=FQ","BEST_FPERIOD_OVERRIDE=FQ","FILING_STATUS=MR","Sort=A","Dates=H","DateFormat=P","Fill=—","Direction=H","UseDPDF=Y")</f>
        <v>-3.6008</v>
      </c>
      <c r="X47" s="14">
        <f>_xll.BDH("SRPT US Equity","GEO_GROW_TOT_SHRHLDR_EQY","FQ1 2024","FQ1 2024","Currency=USD","Period=FQ","BEST_FPERIOD_OVERRIDE=FQ","FILING_STATUS=MR","Sort=A","Dates=H","DateFormat=P","Fill=—","Direction=H","UseDPDF=Y")</f>
        <v>-6.5481999999999996</v>
      </c>
      <c r="Y47" s="14">
        <f>_xll.BDH("SRPT US Equity","GEO_GROW_TOT_SHRHLDR_EQY","FQ2 2024","FQ2 2024","Currency=USD","Period=FQ","BEST_FPERIOD_OVERRIDE=FQ","FILING_STATUS=MR","Sort=A","Dates=H","DateFormat=P","Fill=—","Direction=H","UseDPDF=Y")</f>
        <v>-0.40539999999999998</v>
      </c>
      <c r="Z47" s="14">
        <f>_xll.BDH("SRPT US Equity","GEO_GROW_TOT_SHRHLDR_EQY","FQ3 2024","FQ3 2024","Currency=USD","Period=FQ","BEST_FPERIOD_OVERRIDE=FQ","FILING_STATUS=MR","Sort=A","Dates=H","DateFormat=P","Fill=—","Direction=H","UseDPDF=Y")</f>
        <v>4.1755000000000004</v>
      </c>
      <c r="AA47" s="14">
        <f>_xll.BDH("SRPT US Equity","GEO_GROW_TOT_SHRHLDR_EQY","FQ4 2024","FQ4 2024","Currency=USD","Period=FQ","BEST_FPERIOD_OVERRIDE=FQ","FILING_STATUS=MR","Sort=A","Dates=H","DateFormat=P","Fill=—","Direction=H","UseDPDF=Y")</f>
        <v>13.3025</v>
      </c>
    </row>
    <row r="48" spans="1:27" x14ac:dyDescent="0.25">
      <c r="A48" s="10" t="s">
        <v>1435</v>
      </c>
      <c r="B48" s="10" t="s">
        <v>1436</v>
      </c>
      <c r="C48" s="14">
        <f>_xll.BDH("SRPT US Equity","TOTAL_CAPITAL_5_YEAR_GROWTH","FQ4 2018","FQ4 2018","Currency=USD","Period=FQ","BEST_FPERIOD_OVERRIDE=FQ","FILING_STATUS=MR","Sort=A","Dates=H","DateFormat=P","Fill=—","Direction=H","UseDPDF=Y")</f>
        <v>42.315399999999997</v>
      </c>
      <c r="D48" s="14">
        <f>_xll.BDH("SRPT US Equity","TOTAL_CAPITAL_5_YEAR_GROWTH","FQ1 2019","FQ1 2019","Currency=USD","Period=FQ","BEST_FPERIOD_OVERRIDE=FQ","FILING_STATUS=MR","Sort=A","Dates=H","DateFormat=P","Fill=—","Direction=H","UseDPDF=Y")</f>
        <v>51.380400000000002</v>
      </c>
      <c r="E48" s="14">
        <f>_xll.BDH("SRPT US Equity","TOTAL_CAPITAL_5_YEAR_GROWTH","FQ2 2019","FQ2 2019","Currency=USD","Period=FQ","BEST_FPERIOD_OVERRIDE=FQ","FILING_STATUS=MR","Sort=A","Dates=H","DateFormat=P","Fill=—","Direction=H","UseDPDF=Y")</f>
        <v>39.404699999999998</v>
      </c>
      <c r="F48" s="14">
        <f>_xll.BDH("SRPT US Equity","TOTAL_CAPITAL_5_YEAR_GROWTH","FQ3 2019","FQ3 2019","Currency=USD","Period=FQ","BEST_FPERIOD_OVERRIDE=FQ","FILING_STATUS=MR","Sort=A","Dates=H","DateFormat=P","Fill=—","Direction=H","UseDPDF=Y")</f>
        <v>38.470700000000001</v>
      </c>
      <c r="G48" s="14">
        <f>_xll.BDH("SRPT US Equity","TOTAL_CAPITAL_5_YEAR_GROWTH","FQ4 2019","FQ4 2019","Currency=USD","Period=FQ","BEST_FPERIOD_OVERRIDE=FQ","FILING_STATUS=MR","Sort=A","Dates=H","DateFormat=P","Fill=—","Direction=H","UseDPDF=Y")</f>
        <v>43.688600000000001</v>
      </c>
      <c r="H48" s="14">
        <f>_xll.BDH("SRPT US Equity","TOTAL_CAPITAL_5_YEAR_GROWTH","FQ1 2020","FQ1 2020","Currency=USD","Period=FQ","BEST_FPERIOD_OVERRIDE=FQ","FILING_STATUS=MR","Sort=A","Dates=H","DateFormat=P","Fill=—","Direction=H","UseDPDF=Y")</f>
        <v>55.743099999999998</v>
      </c>
      <c r="I48" s="14">
        <f>_xll.BDH("SRPT US Equity","TOTAL_CAPITAL_5_YEAR_GROWTH","FQ2 2020","FQ2 2020","Currency=USD","Period=FQ","BEST_FPERIOD_OVERRIDE=FQ","FILING_STATUS=MR","Sort=A","Dates=H","DateFormat=P","Fill=—","Direction=H","UseDPDF=Y")</f>
        <v>56.777900000000002</v>
      </c>
      <c r="J48" s="14">
        <f>_xll.BDH("SRPT US Equity","TOTAL_CAPITAL_5_YEAR_GROWTH","FQ3 2020","FQ3 2020","Currency=USD","Period=FQ","BEST_FPERIOD_OVERRIDE=FQ","FILING_STATUS=MR","Sort=A","Dates=H","DateFormat=P","Fill=—","Direction=H","UseDPDF=Y")</f>
        <v>62.51</v>
      </c>
      <c r="K48" s="14">
        <f>_xll.BDH("SRPT US Equity","TOTAL_CAPITAL_5_YEAR_GROWTH","FQ4 2020","FQ4 2020","Currency=USD","Period=FQ","BEST_FPERIOD_OVERRIDE=FQ","FILING_STATUS=MR","Sort=A","Dates=H","DateFormat=P","Fill=—","Direction=H","UseDPDF=Y")</f>
        <v>54.069000000000003</v>
      </c>
      <c r="L48" s="14">
        <f>_xll.BDH("SRPT US Equity","TOTAL_CAPITAL_5_YEAR_GROWTH","FQ1 2021","FQ1 2021","Currency=USD","Period=FQ","BEST_FPERIOD_OVERRIDE=FQ","FILING_STATUS=MR","Sort=A","Dates=H","DateFormat=P","Fill=—","Direction=H","UseDPDF=Y")</f>
        <v>60.193199999999997</v>
      </c>
      <c r="M48" s="14">
        <f>_xll.BDH("SRPT US Equity","TOTAL_CAPITAL_5_YEAR_GROWTH","FQ2 2021","FQ2 2021","Currency=USD","Period=FQ","BEST_FPERIOD_OVERRIDE=FQ","FILING_STATUS=MR","Sort=A","Dates=H","DateFormat=P","Fill=—","Direction=H","UseDPDF=Y")</f>
        <v>63.262900000000002</v>
      </c>
      <c r="N48" s="14">
        <f>_xll.BDH("SRPT US Equity","TOTAL_CAPITAL_5_YEAR_GROWTH","FQ3 2021","FQ3 2021","Currency=USD","Period=FQ","BEST_FPERIOD_OVERRIDE=FQ","FILING_STATUS=MR","Sort=A","Dates=H","DateFormat=P","Fill=—","Direction=H","UseDPDF=Y")</f>
        <v>30.6752</v>
      </c>
      <c r="O48" s="14">
        <f>_xll.BDH("SRPT US Equity","TOTAL_CAPITAL_5_YEAR_GROWTH","FQ4 2021","FQ4 2021","Currency=USD","Period=FQ","BEST_FPERIOD_OVERRIDE=FQ","FILING_STATUS=MR","Sort=A","Dates=H","DateFormat=P","Fill=—","Direction=H","UseDPDF=Y")</f>
        <v>42.612400000000001</v>
      </c>
      <c r="P48" s="14">
        <f>_xll.BDH("SRPT US Equity","TOTAL_CAPITAL_5_YEAR_GROWTH","FQ1 2022","FQ1 2022","Currency=USD","Period=FQ","BEST_FPERIOD_OVERRIDE=FQ","FILING_STATUS=MR","Sort=A","Dates=H","DateFormat=P","Fill=—","Direction=H","UseDPDF=Y")</f>
        <v>35.117899999999999</v>
      </c>
      <c r="Q48" s="14">
        <f>_xll.BDH("SRPT US Equity","TOTAL_CAPITAL_5_YEAR_GROWTH","FQ2 2022","FQ2 2022","Currency=USD","Period=FQ","BEST_FPERIOD_OVERRIDE=FQ","FILING_STATUS=MR","Sort=A","Dates=H","DateFormat=P","Fill=—","Direction=H","UseDPDF=Y")</f>
        <v>36.844499999999996</v>
      </c>
      <c r="R48" s="14">
        <f>_xll.BDH("SRPT US Equity","TOTAL_CAPITAL_5_YEAR_GROWTH","FQ3 2022","FQ3 2022","Currency=USD","Period=FQ","BEST_FPERIOD_OVERRIDE=FQ","FILING_STATUS=MR","Sort=A","Dates=H","DateFormat=P","Fill=—","Direction=H","UseDPDF=Y")</f>
        <v>22.492799999999999</v>
      </c>
      <c r="S48" s="14">
        <f>_xll.BDH("SRPT US Equity","TOTAL_CAPITAL_5_YEAR_GROWTH","FQ4 2022","FQ4 2022","Currency=USD","Period=FQ","BEST_FPERIOD_OVERRIDE=FQ","FILING_STATUS=MR","Sort=A","Dates=H","DateFormat=P","Fill=—","Direction=H","UseDPDF=Y")</f>
        <v>10.4117</v>
      </c>
      <c r="T48" s="14">
        <f>_xll.BDH("SRPT US Equity","TOTAL_CAPITAL_5_YEAR_GROWTH","FQ1 2023","FQ1 2023","Currency=USD","Period=FQ","BEST_FPERIOD_OVERRIDE=FQ","FILING_STATUS=MR","Sort=A","Dates=H","DateFormat=P","Fill=—","Direction=H","UseDPDF=Y")</f>
        <v>10.6281</v>
      </c>
      <c r="U48" s="14">
        <f>_xll.BDH("SRPT US Equity","TOTAL_CAPITAL_5_YEAR_GROWTH","FQ2 2023","FQ2 2023","Currency=USD","Period=FQ","BEST_FPERIOD_OVERRIDE=FQ","FILING_STATUS=MR","Sort=A","Dates=H","DateFormat=P","Fill=—","Direction=H","UseDPDF=Y")</f>
        <v>13.0916</v>
      </c>
      <c r="V48" s="14">
        <f>_xll.BDH("SRPT US Equity","TOTAL_CAPITAL_5_YEAR_GROWTH","FQ3 2023","FQ3 2023","Currency=USD","Period=FQ","BEST_FPERIOD_OVERRIDE=FQ","FILING_STATUS=MR","Sort=A","Dates=H","DateFormat=P","Fill=—","Direction=H","UseDPDF=Y")</f>
        <v>15.336600000000001</v>
      </c>
      <c r="W48" s="14">
        <f>_xll.BDH("SRPT US Equity","TOTAL_CAPITAL_5_YEAR_GROWTH","FQ4 2023","FQ4 2023","Currency=USD","Period=FQ","BEST_FPERIOD_OVERRIDE=FQ","FILING_STATUS=MR","Sort=A","Dates=H","DateFormat=P","Fill=—","Direction=H","UseDPDF=Y")</f>
        <v>9.202</v>
      </c>
      <c r="X48" s="14">
        <f>_xll.BDH("SRPT US Equity","TOTAL_CAPITAL_5_YEAR_GROWTH","FQ1 2024","FQ1 2024","Currency=USD","Period=FQ","BEST_FPERIOD_OVERRIDE=FQ","FILING_STATUS=MR","Sort=A","Dates=H","DateFormat=P","Fill=—","Direction=H","UseDPDF=Y")</f>
        <v>5.0072000000000001</v>
      </c>
      <c r="Y48" s="14">
        <f>_xll.BDH("SRPT US Equity","TOTAL_CAPITAL_5_YEAR_GROWTH","FQ2 2024","FQ2 2024","Currency=USD","Period=FQ","BEST_FPERIOD_OVERRIDE=FQ","FILING_STATUS=MR","Sort=A","Dates=H","DateFormat=P","Fill=—","Direction=H","UseDPDF=Y")</f>
        <v>9.0383999999999993</v>
      </c>
      <c r="Z48" s="14">
        <f>_xll.BDH("SRPT US Equity","TOTAL_CAPITAL_5_YEAR_GROWTH","FQ3 2024","FQ3 2024","Currency=USD","Period=FQ","BEST_FPERIOD_OVERRIDE=FQ","FILING_STATUS=MR","Sort=A","Dates=H","DateFormat=P","Fill=—","Direction=H","UseDPDF=Y")</f>
        <v>11.9537</v>
      </c>
      <c r="AA48" s="14">
        <f>_xll.BDH("SRPT US Equity","TOTAL_CAPITAL_5_YEAR_GROWTH","FQ4 2024","FQ4 2024","Currency=USD","Period=FQ","BEST_FPERIOD_OVERRIDE=FQ","FILING_STATUS=MR","Sort=A","Dates=H","DateFormat=P","Fill=—","Direction=H","UseDPDF=Y")</f>
        <v>13.0364</v>
      </c>
    </row>
    <row r="49" spans="1:27" x14ac:dyDescent="0.25">
      <c r="A49" s="10" t="s">
        <v>1416</v>
      </c>
      <c r="B49" s="10" t="s">
        <v>1437</v>
      </c>
      <c r="C49" s="14">
        <f>_xll.BDH("SRPT US Equity","GEO_GROW_BOOK_VAL","FQ4 2018","FQ4 2018","Currency=USD","Period=FQ","BEST_FPERIOD_OVERRIDE=FQ","FILING_STATUS=MR","Sort=A","Dates=H","DateFormat=P","Fill=—","Direction=H","UseDPDF=Y")</f>
        <v>17.273700000000002</v>
      </c>
      <c r="D49" s="14">
        <f>_xll.BDH("SRPT US Equity","GEO_GROW_BOOK_VAL","FQ1 2019","FQ1 2019","Currency=USD","Period=FQ","BEST_FPERIOD_OVERRIDE=FQ","FILING_STATUS=MR","Sort=A","Dates=H","DateFormat=P","Fill=—","Direction=H","UseDPDF=Y")</f>
        <v>24.722100000000001</v>
      </c>
      <c r="E49" s="14">
        <f>_xll.BDH("SRPT US Equity","GEO_GROW_BOOK_VAL","FQ2 2019","FQ2 2019","Currency=USD","Period=FQ","BEST_FPERIOD_OVERRIDE=FQ","FILING_STATUS=MR","Sort=A","Dates=H","DateFormat=P","Fill=—","Direction=H","UseDPDF=Y")</f>
        <v>15.0039</v>
      </c>
      <c r="F49" s="14">
        <f>_xll.BDH("SRPT US Equity","GEO_GROW_BOOK_VAL","FQ3 2019","FQ3 2019","Currency=USD","Period=FQ","BEST_FPERIOD_OVERRIDE=FQ","FILING_STATUS=MR","Sort=A","Dates=H","DateFormat=P","Fill=—","Direction=H","UseDPDF=Y")</f>
        <v>14.027799999999999</v>
      </c>
      <c r="G49" s="14">
        <f>_xll.BDH("SRPT US Equity","GEO_GROW_BOOK_VAL","FQ4 2019","FQ4 2019","Currency=USD","Period=FQ","BEST_FPERIOD_OVERRIDE=FQ","FILING_STATUS=MR","Sort=A","Dates=H","DateFormat=P","Fill=—","Direction=H","UseDPDF=Y")</f>
        <v>12.6652</v>
      </c>
      <c r="H49" s="14">
        <f>_xll.BDH("SRPT US Equity","GEO_GROW_BOOK_VAL","FQ1 2020","FQ1 2020","Currency=USD","Period=FQ","BEST_FPERIOD_OVERRIDE=FQ","FILING_STATUS=MR","Sort=A","Dates=H","DateFormat=P","Fill=—","Direction=H","UseDPDF=Y")</f>
        <v>24.78</v>
      </c>
      <c r="I49" s="14">
        <f>_xll.BDH("SRPT US Equity","GEO_GROW_BOOK_VAL","FQ2 2020","FQ2 2020","Currency=USD","Period=FQ","BEST_FPERIOD_OVERRIDE=FQ","FILING_STATUS=MR","Sort=A","Dates=H","DateFormat=P","Fill=—","Direction=H","UseDPDF=Y")</f>
        <v>27.260899999999999</v>
      </c>
      <c r="J49" s="14">
        <f>_xll.BDH("SRPT US Equity","GEO_GROW_BOOK_VAL","FQ3 2020","FQ3 2020","Currency=USD","Period=FQ","BEST_FPERIOD_OVERRIDE=FQ","FILING_STATUS=MR","Sort=A","Dates=H","DateFormat=P","Fill=—","Direction=H","UseDPDF=Y")</f>
        <v>30.981400000000001</v>
      </c>
      <c r="K49" s="14">
        <f>_xll.BDH("SRPT US Equity","GEO_GROW_BOOK_VAL","FQ4 2020","FQ4 2020","Currency=USD","Period=FQ","BEST_FPERIOD_OVERRIDE=FQ","FILING_STATUS=MR","Sort=A","Dates=H","DateFormat=P","Fill=—","Direction=H","UseDPDF=Y")</f>
        <v>18.132000000000001</v>
      </c>
      <c r="L49" s="14">
        <f>_xll.BDH("SRPT US Equity","GEO_GROW_BOOK_VAL","FQ1 2021","FQ1 2021","Currency=USD","Period=FQ","BEST_FPERIOD_OVERRIDE=FQ","FILING_STATUS=MR","Sort=A","Dates=H","DateFormat=P","Fill=—","Direction=H","UseDPDF=Y")</f>
        <v>17.200900000000001</v>
      </c>
      <c r="M49" s="14">
        <f>_xll.BDH("SRPT US Equity","GEO_GROW_BOOK_VAL","FQ2 2021","FQ2 2021","Currency=USD","Period=FQ","BEST_FPERIOD_OVERRIDE=FQ","FILING_STATUS=MR","Sort=A","Dates=H","DateFormat=P","Fill=—","Direction=H","UseDPDF=Y")</f>
        <v>19.085899999999999</v>
      </c>
      <c r="N49" s="14">
        <f>_xll.BDH("SRPT US Equity","GEO_GROW_BOOK_VAL","FQ3 2021","FQ3 2021","Currency=USD","Period=FQ","BEST_FPERIOD_OVERRIDE=FQ","FILING_STATUS=MR","Sort=A","Dates=H","DateFormat=P","Fill=—","Direction=H","UseDPDF=Y")</f>
        <v>-4.8219000000000003</v>
      </c>
      <c r="O49" s="14">
        <f>_xll.BDH("SRPT US Equity","GEO_GROW_BOOK_VAL","FQ4 2021","FQ4 2021","Currency=USD","Period=FQ","BEST_FPERIOD_OVERRIDE=FQ","FILING_STATUS=MR","Sort=A","Dates=H","DateFormat=P","Fill=—","Direction=H","UseDPDF=Y")</f>
        <v>11.615600000000001</v>
      </c>
      <c r="P49" s="14">
        <f>_xll.BDH("SRPT US Equity","GEO_GROW_BOOK_VAL","FQ1 2022","FQ1 2022","Currency=USD","Period=FQ","BEST_FPERIOD_OVERRIDE=FQ","FILING_STATUS=MR","Sort=A","Dates=H","DateFormat=P","Fill=—","Direction=H","UseDPDF=Y")</f>
        <v>4.6275000000000004</v>
      </c>
      <c r="Q49" s="14">
        <f>_xll.BDH("SRPT US Equity","GEO_GROW_BOOK_VAL","FQ2 2022","FQ2 2022","Currency=USD","Period=FQ","BEST_FPERIOD_OVERRIDE=FQ","FILING_STATUS=MR","Sort=A","Dates=H","DateFormat=P","Fill=—","Direction=H","UseDPDF=Y")</f>
        <v>3.9845999999999999</v>
      </c>
      <c r="R49" s="14">
        <f>_xll.BDH("SRPT US Equity","GEO_GROW_BOOK_VAL","FQ3 2022","FQ3 2022","Currency=USD","Period=FQ","BEST_FPERIOD_OVERRIDE=FQ","FILING_STATUS=MR","Sort=A","Dates=H","DateFormat=P","Fill=—","Direction=H","UseDPDF=Y")</f>
        <v>-14.584899999999999</v>
      </c>
      <c r="S49" s="14">
        <f>_xll.BDH("SRPT US Equity","GEO_GROW_BOOK_VAL","FQ4 2022","FQ4 2022","Currency=USD","Period=FQ","BEST_FPERIOD_OVERRIDE=FQ","FILING_STATUS=MR","Sort=A","Dates=H","DateFormat=P","Fill=—","Direction=H","UseDPDF=Y")</f>
        <v>-18.511199999999999</v>
      </c>
      <c r="T49" s="14">
        <f>_xll.BDH("SRPT US Equity","GEO_GROW_BOOK_VAL","FQ1 2023","FQ1 2023","Currency=USD","Period=FQ","BEST_FPERIOD_OVERRIDE=FQ","FILING_STATUS=MR","Sort=A","Dates=H","DateFormat=P","Fill=—","Direction=H","UseDPDF=Y")</f>
        <v>-8.3902000000000001</v>
      </c>
      <c r="U49" s="14">
        <f>_xll.BDH("SRPT US Equity","GEO_GROW_BOOK_VAL","FQ2 2023","FQ2 2023","Currency=USD","Period=FQ","BEST_FPERIOD_OVERRIDE=FQ","FILING_STATUS=MR","Sort=A","Dates=H","DateFormat=P","Fill=—","Direction=H","UseDPDF=Y")</f>
        <v>-5.4802999999999997</v>
      </c>
      <c r="V49" s="14">
        <f>_xll.BDH("SRPT US Equity","GEO_GROW_BOOK_VAL","FQ3 2023","FQ3 2023","Currency=USD","Period=FQ","BEST_FPERIOD_OVERRIDE=FQ","FILING_STATUS=MR","Sort=A","Dates=H","DateFormat=P","Fill=—","Direction=H","UseDPDF=Y")</f>
        <v>-3.1581000000000001</v>
      </c>
      <c r="W49" s="14">
        <f>_xll.BDH("SRPT US Equity","GEO_GROW_BOOK_VAL","FQ4 2023","FQ4 2023","Currency=USD","Period=FQ","BEST_FPERIOD_OVERRIDE=FQ","FILING_STATUS=MR","Sort=A","Dates=H","DateFormat=P","Fill=—","Direction=H","UseDPDF=Y")</f>
        <v>-8.7913999999999994</v>
      </c>
      <c r="X49" s="14">
        <f>_xll.BDH("SRPT US Equity","GEO_GROW_BOOK_VAL","FQ1 2024","FQ1 2024","Currency=USD","Period=FQ","BEST_FPERIOD_OVERRIDE=FQ","FILING_STATUS=MR","Sort=A","Dates=H","DateFormat=P","Fill=—","Direction=H","UseDPDF=Y")</f>
        <v>-10.9747</v>
      </c>
      <c r="Y49" s="14">
        <f>_xll.BDH("SRPT US Equity","GEO_GROW_BOOK_VAL","FQ2 2024","FQ2 2024","Currency=USD","Period=FQ","BEST_FPERIOD_OVERRIDE=FQ","FILING_STATUS=MR","Sort=A","Dates=H","DateFormat=P","Fill=—","Direction=H","UseDPDF=Y")</f>
        <v>-5.2316000000000003</v>
      </c>
      <c r="Z49" s="14">
        <f>_xll.BDH("SRPT US Equity","GEO_GROW_BOOK_VAL","FQ3 2024","FQ3 2024","Currency=USD","Period=FQ","BEST_FPERIOD_OVERRIDE=FQ","FILING_STATUS=MR","Sort=A","Dates=H","DateFormat=P","Fill=—","Direction=H","UseDPDF=Y")</f>
        <v>-0.86929999999999996</v>
      </c>
      <c r="AA49" s="14">
        <f>_xll.BDH("SRPT US Equity","GEO_GROW_BOOK_VAL","FQ4 2024","FQ4 2024","Currency=USD","Period=FQ","BEST_FPERIOD_OVERRIDE=FQ","FILING_STATUS=MR","Sort=A","Dates=H","DateFormat=P","Fill=—","Direction=H","UseDPDF=Y")</f>
        <v>7.6962000000000002</v>
      </c>
    </row>
    <row r="50" spans="1:27" x14ac:dyDescent="0.25">
      <c r="A50" s="10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x14ac:dyDescent="0.25">
      <c r="A51" s="10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25">
      <c r="A52" s="6" t="s">
        <v>1438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x14ac:dyDescent="0.25">
      <c r="A53" s="10" t="s">
        <v>0</v>
      </c>
      <c r="B53" s="10" t="s">
        <v>1439</v>
      </c>
      <c r="C53" s="14">
        <f>_xll.BDH("SRPT US Equity","REVENUE_SEQUENTIAL_GROWTH","FQ4 2018","FQ4 2018","Currency=USD","Period=FQ","BEST_FPERIOD_OVERRIDE=FQ","FILING_STATUS=MR","FA_ADJUSTED=GAAP","Sort=A","Dates=H","DateFormat=P","Fill=—","Direction=H","UseDPDF=Y")</f>
        <v>7.5541999999999998</v>
      </c>
      <c r="D53" s="14">
        <f>_xll.BDH("SRPT US Equity","REVENUE_SEQUENTIAL_GROWTH","FQ1 2019","FQ1 2019","Currency=USD","Period=FQ","BEST_FPERIOD_OVERRIDE=FQ","FILING_STATUS=MR","FA_ADJUSTED=GAAP","Sort=A","Dates=H","DateFormat=P","Fill=—","Direction=H","UseDPDF=Y")</f>
        <v>3.0752999999999999</v>
      </c>
      <c r="E53" s="14">
        <f>_xll.BDH("SRPT US Equity","REVENUE_SEQUENTIAL_GROWTH","FQ2 2019","FQ2 2019","Currency=USD","Period=FQ","BEST_FPERIOD_OVERRIDE=FQ","FILING_STATUS=MR","FA_ADJUSTED=GAAP","Sort=A","Dates=H","DateFormat=P","Fill=—","Direction=H","UseDPDF=Y")</f>
        <v>8.8000000000000007</v>
      </c>
      <c r="F53" s="14">
        <f>_xll.BDH("SRPT US Equity","REVENUE_SEQUENTIAL_GROWTH","FQ3 2019","FQ3 2019","Currency=USD","Period=FQ","BEST_FPERIOD_OVERRIDE=FQ","FILING_STATUS=MR","FA_ADJUSTED=GAAP","Sort=A","Dates=H","DateFormat=P","Fill=—","Direction=H","UseDPDF=Y")</f>
        <v>4.6193</v>
      </c>
      <c r="G53" s="14">
        <f>_xll.BDH("SRPT US Equity","REVENUE_SEQUENTIAL_GROWTH","FQ4 2019","FQ4 2019","Currency=USD","Period=FQ","BEST_FPERIOD_OVERRIDE=FQ","FILING_STATUS=MR","FA_ADJUSTED=GAAP","Sort=A","Dates=H","DateFormat=P","Fill=—","Direction=H","UseDPDF=Y")</f>
        <v>1.0824</v>
      </c>
      <c r="H53" s="14">
        <f>_xll.BDH("SRPT US Equity","REVENUE_SEQUENTIAL_GROWTH","FQ1 2020","FQ1 2020","Currency=USD","Period=FQ","BEST_FPERIOD_OVERRIDE=FQ","FILING_STATUS=MR","FA_ADJUSTED=GAAP","Sort=A","Dates=H","DateFormat=P","Fill=—","Direction=H","UseDPDF=Y")</f>
        <v>13.5457</v>
      </c>
      <c r="I53" s="14">
        <f>_xll.BDH("SRPT US Equity","REVENUE_SEQUENTIAL_GROWTH","FQ2 2020","FQ2 2020","Currency=USD","Period=FQ","BEST_FPERIOD_OVERRIDE=FQ","FILING_STATUS=MR","FA_ADJUSTED=GAAP","Sort=A","Dates=H","DateFormat=P","Fill=—","Direction=H","UseDPDF=Y")</f>
        <v>20.839400000000001</v>
      </c>
      <c r="J53" s="14">
        <f>_xll.BDH("SRPT US Equity","REVENUE_SEQUENTIAL_GROWTH","FQ3 2020","FQ3 2020","Currency=USD","Period=FQ","BEST_FPERIOD_OVERRIDE=FQ","FILING_STATUS=MR","FA_ADJUSTED=GAAP","Sort=A","Dates=H","DateFormat=P","Fill=—","Direction=H","UseDPDF=Y")</f>
        <v>4.7763999999999998</v>
      </c>
      <c r="K53" s="14">
        <f>_xll.BDH("SRPT US Equity","REVENUE_SEQUENTIAL_GROWTH","FQ4 2020","FQ4 2020","Currency=USD","Period=FQ","BEST_FPERIOD_OVERRIDE=FQ","FILING_STATUS=MR","FA_ADJUSTED=GAAP","Sort=A","Dates=H","DateFormat=P","Fill=—","Direction=H","UseDPDF=Y")</f>
        <v>0.84350000000000003</v>
      </c>
      <c r="L53" s="14">
        <f>_xll.BDH("SRPT US Equity","REVENUE_SEQUENTIAL_GROWTH","FQ1 2021","FQ1 2021","Currency=USD","Period=FQ","BEST_FPERIOD_OVERRIDE=FQ","FILING_STATUS=MR","FA_ADJUSTED=GAAP","Sort=A","Dates=H","DateFormat=P","Fill=—","Direction=H","UseDPDF=Y")</f>
        <v>1.2354000000000001</v>
      </c>
      <c r="M53" s="14">
        <f>_xll.BDH("SRPT US Equity","REVENUE_SEQUENTIAL_GROWTH","FQ2 2021","FQ2 2021","Currency=USD","Period=FQ","BEST_FPERIOD_OVERRIDE=FQ","FILING_STATUS=MR","FA_ADJUSTED=GAAP","Sort=A","Dates=H","DateFormat=P","Fill=—","Direction=H","UseDPDF=Y")</f>
        <v>11.6776</v>
      </c>
      <c r="N53" s="14">
        <f>_xll.BDH("SRPT US Equity","REVENUE_SEQUENTIAL_GROWTH","FQ3 2021","FQ3 2021","Currency=USD","Period=FQ","BEST_FPERIOD_OVERRIDE=FQ","FILING_STATUS=MR","FA_ADJUSTED=GAAP","Sort=A","Dates=H","DateFormat=P","Fill=—","Direction=H","UseDPDF=Y")</f>
        <v>15.428800000000001</v>
      </c>
      <c r="O53" s="14">
        <f>_xll.BDH("SRPT US Equity","REVENUE_SEQUENTIAL_GROWTH","FQ4 2021","FQ4 2021","Currency=USD","Period=FQ","BEST_FPERIOD_OVERRIDE=FQ","FILING_STATUS=MR","FA_ADJUSTED=GAAP","Sort=A","Dates=H","DateFormat=P","Fill=—","Direction=H","UseDPDF=Y")</f>
        <v>6.3646000000000003</v>
      </c>
      <c r="P53" s="14">
        <f>_xll.BDH("SRPT US Equity","REVENUE_SEQUENTIAL_GROWTH","FQ1 2022","FQ1 2022","Currency=USD","Period=FQ","BEST_FPERIOD_OVERRIDE=FQ","FILING_STATUS=MR","FA_ADJUSTED=GAAP","Sort=A","Dates=H","DateFormat=P","Fill=—","Direction=H","UseDPDF=Y")</f>
        <v>4.6505000000000001</v>
      </c>
      <c r="Q53" s="14">
        <f>_xll.BDH("SRPT US Equity","REVENUE_SEQUENTIAL_GROWTH","FQ2 2022","FQ2 2022","Currency=USD","Period=FQ","BEST_FPERIOD_OVERRIDE=FQ","FILING_STATUS=MR","FA_ADJUSTED=GAAP","Sort=A","Dates=H","DateFormat=P","Fill=—","Direction=H","UseDPDF=Y")</f>
        <v>10.746600000000001</v>
      </c>
      <c r="R53" s="14">
        <f>_xll.BDH("SRPT US Equity","REVENUE_SEQUENTIAL_GROWTH","FQ3 2022","FQ3 2022","Currency=USD","Period=FQ","BEST_FPERIOD_OVERRIDE=FQ","FILING_STATUS=MR","FA_ADJUSTED=GAAP","Sort=A","Dates=H","DateFormat=P","Fill=—","Direction=H","UseDPDF=Y")</f>
        <v>-1.3782000000000001</v>
      </c>
      <c r="S53" s="14">
        <f>_xll.BDH("SRPT US Equity","REVENUE_SEQUENTIAL_GROWTH","FQ4 2022","FQ4 2022","Currency=USD","Period=FQ","BEST_FPERIOD_OVERRIDE=FQ","FILING_STATUS=MR","FA_ADJUSTED=GAAP","Sort=A","Dates=H","DateFormat=P","Fill=—","Direction=H","UseDPDF=Y")</f>
        <v>12.228300000000001</v>
      </c>
      <c r="T53" s="14">
        <f>_xll.BDH("SRPT US Equity","REVENUE_SEQUENTIAL_GROWTH","FQ1 2023","FQ1 2023","Currency=USD","Period=FQ","BEST_FPERIOD_OVERRIDE=FQ","FILING_STATUS=MR","FA_ADJUSTED=GAAP","Sort=A","Dates=H","DateFormat=P","Fill=—","Direction=H","UseDPDF=Y")</f>
        <v>-1.9065000000000001</v>
      </c>
      <c r="U53" s="14">
        <f>_xll.BDH("SRPT US Equity","REVENUE_SEQUENTIAL_GROWTH","FQ2 2023","FQ2 2023","Currency=USD","Period=FQ","BEST_FPERIOD_OVERRIDE=FQ","FILING_STATUS=MR","FA_ADJUSTED=GAAP","Sort=A","Dates=H","DateFormat=P","Fill=—","Direction=H","UseDPDF=Y")</f>
        <v>3.0525000000000002</v>
      </c>
      <c r="V53" s="14">
        <f>_xll.BDH("SRPT US Equity","REVENUE_SEQUENTIAL_GROWTH","FQ3 2023","FQ3 2023","Currency=USD","Period=FQ","BEST_FPERIOD_OVERRIDE=FQ","FILING_STATUS=MR","FA_ADJUSTED=GAAP","Sort=A","Dates=H","DateFormat=P","Fill=—","Direction=H","UseDPDF=Y")</f>
        <v>27.017099999999999</v>
      </c>
      <c r="W53" s="14">
        <f>_xll.BDH("SRPT US Equity","REVENUE_SEQUENTIAL_GROWTH","FQ4 2023","FQ4 2023","Currency=USD","Period=FQ","BEST_FPERIOD_OVERRIDE=FQ","FILING_STATUS=MR","FA_ADJUSTED=GAAP","Sort=A","Dates=H","DateFormat=P","Fill=—","Direction=H","UseDPDF=Y")</f>
        <v>19.578299999999999</v>
      </c>
      <c r="X53" s="14">
        <f>_xll.BDH("SRPT US Equity","REVENUE_SEQUENTIAL_GROWTH","FQ1 2024","FQ1 2024","Currency=USD","Period=FQ","BEST_FPERIOD_OVERRIDE=FQ","FILING_STATUS=MR","FA_ADJUSTED=GAAP","Sort=A","Dates=H","DateFormat=P","Fill=—","Direction=H","UseDPDF=Y")</f>
        <v>4.2046000000000001</v>
      </c>
      <c r="Y53" s="14">
        <f>_xll.BDH("SRPT US Equity","REVENUE_SEQUENTIAL_GROWTH","FQ2 2024","FQ2 2024","Currency=USD","Period=FQ","BEST_FPERIOD_OVERRIDE=FQ","FILING_STATUS=MR","FA_ADJUSTED=GAAP","Sort=A","Dates=H","DateFormat=P","Fill=—","Direction=H","UseDPDF=Y")</f>
        <v>-12.2219</v>
      </c>
      <c r="Z53" s="14">
        <f>_xll.BDH("SRPT US Equity","REVENUE_SEQUENTIAL_GROWTH","FQ3 2024","FQ3 2024","Currency=USD","Period=FQ","BEST_FPERIOD_OVERRIDE=FQ","FILING_STATUS=MR","FA_ADJUSTED=GAAP","Sort=A","Dates=H","DateFormat=P","Fill=—","Direction=H","UseDPDF=Y")</f>
        <v>28.722000000000001</v>
      </c>
      <c r="AA53" s="14">
        <f>_xll.BDH("SRPT US Equity","REVENUE_SEQUENTIAL_GROWTH","FQ4 2024","FQ4 2024","Currency=USD","Period=FQ","BEST_FPERIOD_OVERRIDE=FQ","FILING_STATUS=MR","FA_ADJUSTED=GAAP","Sort=A","Dates=H","DateFormat=P","Fill=—","Direction=H","UseDPDF=Y")</f>
        <v>40.935699999999997</v>
      </c>
    </row>
    <row r="54" spans="1:27" x14ac:dyDescent="0.25">
      <c r="A54" s="10" t="s">
        <v>78</v>
      </c>
      <c r="B54" s="10" t="s">
        <v>1440</v>
      </c>
      <c r="C54" s="14" t="str">
        <f>_xll.BDH("SRPT US Equity","EBITDA_SEQUENTIAL_GROWTH","FQ4 2018","FQ4 2018","Currency=USD","Period=FQ","BEST_FPERIOD_OVERRIDE=FQ","FILING_STATUS=MR","FA_ADJUSTED=GAAP","Sort=A","Dates=H","DateFormat=P","Fill=—","Direction=H","UseDPDF=Y")</f>
        <v>—</v>
      </c>
      <c r="D54" s="14" t="str">
        <f>_xll.BDH("SRPT US Equity","EBITDA_SEQUENTIAL_GROWTH","FQ1 2019","FQ1 2019","Currency=USD","Period=FQ","BEST_FPERIOD_OVERRIDE=FQ","FILING_STATUS=MR","FA_ADJUSTED=GAAP","Sort=A","Dates=H","DateFormat=P","Fill=—","Direction=H","UseDPDF=Y")</f>
        <v>—</v>
      </c>
      <c r="E54" s="14" t="str">
        <f>_xll.BDH("SRPT US Equity","EBITDA_SEQUENTIAL_GROWTH","FQ2 2019","FQ2 2019","Currency=USD","Period=FQ","BEST_FPERIOD_OVERRIDE=FQ","FILING_STATUS=MR","FA_ADJUSTED=GAAP","Sort=A","Dates=H","DateFormat=P","Fill=—","Direction=H","UseDPDF=Y")</f>
        <v>—</v>
      </c>
      <c r="F54" s="14" t="str">
        <f>_xll.BDH("SRPT US Equity","EBITDA_SEQUENTIAL_GROWTH","FQ3 2019","FQ3 2019","Currency=USD","Period=FQ","BEST_FPERIOD_OVERRIDE=FQ","FILING_STATUS=MR","FA_ADJUSTED=GAAP","Sort=A","Dates=H","DateFormat=P","Fill=—","Direction=H","UseDPDF=Y")</f>
        <v>—</v>
      </c>
      <c r="G54" s="14" t="str">
        <f>_xll.BDH("SRPT US Equity","EBITDA_SEQUENTIAL_GROWTH","FQ4 2019","FQ4 2019","Currency=USD","Period=FQ","BEST_FPERIOD_OVERRIDE=FQ","FILING_STATUS=MR","FA_ADJUSTED=GAAP","Sort=A","Dates=H","DateFormat=P","Fill=—","Direction=H","UseDPDF=Y")</f>
        <v>—</v>
      </c>
      <c r="H54" s="14" t="str">
        <f>_xll.BDH("SRPT US Equity","EBITDA_SEQUENTIAL_GROWTH","FQ1 2020","FQ1 2020","Currency=USD","Period=FQ","BEST_FPERIOD_OVERRIDE=FQ","FILING_STATUS=MR","FA_ADJUSTED=GAAP","Sort=A","Dates=H","DateFormat=P","Fill=—","Direction=H","UseDPDF=Y")</f>
        <v>—</v>
      </c>
      <c r="I54" s="14" t="str">
        <f>_xll.BDH("SRPT US Equity","EBITDA_SEQUENTIAL_GROWTH","FQ2 2020","FQ2 2020","Currency=USD","Period=FQ","BEST_FPERIOD_OVERRIDE=FQ","FILING_STATUS=MR","FA_ADJUSTED=GAAP","Sort=A","Dates=H","DateFormat=P","Fill=—","Direction=H","UseDPDF=Y")</f>
        <v>—</v>
      </c>
      <c r="J54" s="14" t="str">
        <f>_xll.BDH("SRPT US Equity","EBITDA_SEQUENTIAL_GROWTH","FQ3 2020","FQ3 2020","Currency=USD","Period=FQ","BEST_FPERIOD_OVERRIDE=FQ","FILING_STATUS=MR","FA_ADJUSTED=GAAP","Sort=A","Dates=H","DateFormat=P","Fill=—","Direction=H","UseDPDF=Y")</f>
        <v>—</v>
      </c>
      <c r="K54" s="14" t="str">
        <f>_xll.BDH("SRPT US Equity","EBITDA_SEQUENTIAL_GROWTH","FQ4 2020","FQ4 2020","Currency=USD","Period=FQ","BEST_FPERIOD_OVERRIDE=FQ","FILING_STATUS=MR","FA_ADJUSTED=GAAP","Sort=A","Dates=H","DateFormat=P","Fill=—","Direction=H","UseDPDF=Y")</f>
        <v>—</v>
      </c>
      <c r="L54" s="14" t="str">
        <f>_xll.BDH("SRPT US Equity","EBITDA_SEQUENTIAL_GROWTH","FQ1 2021","FQ1 2021","Currency=USD","Period=FQ","BEST_FPERIOD_OVERRIDE=FQ","FILING_STATUS=MR","FA_ADJUSTED=GAAP","Sort=A","Dates=H","DateFormat=P","Fill=—","Direction=H","UseDPDF=Y")</f>
        <v>—</v>
      </c>
      <c r="M54" s="14" t="str">
        <f>_xll.BDH("SRPT US Equity","EBITDA_SEQUENTIAL_GROWTH","FQ2 2021","FQ2 2021","Currency=USD","Period=FQ","BEST_FPERIOD_OVERRIDE=FQ","FILING_STATUS=MR","FA_ADJUSTED=GAAP","Sort=A","Dates=H","DateFormat=P","Fill=—","Direction=H","UseDPDF=Y")</f>
        <v>—</v>
      </c>
      <c r="N54" s="14" t="str">
        <f>_xll.BDH("SRPT US Equity","EBITDA_SEQUENTIAL_GROWTH","FQ3 2021","FQ3 2021","Currency=USD","Period=FQ","BEST_FPERIOD_OVERRIDE=FQ","FILING_STATUS=MR","FA_ADJUSTED=GAAP","Sort=A","Dates=H","DateFormat=P","Fill=—","Direction=H","UseDPDF=Y")</f>
        <v>—</v>
      </c>
      <c r="O54" s="14" t="str">
        <f>_xll.BDH("SRPT US Equity","EBITDA_SEQUENTIAL_GROWTH","FQ4 2021","FQ4 2021","Currency=USD","Period=FQ","BEST_FPERIOD_OVERRIDE=FQ","FILING_STATUS=MR","FA_ADJUSTED=GAAP","Sort=A","Dates=H","DateFormat=P","Fill=—","Direction=H","UseDPDF=Y")</f>
        <v>—</v>
      </c>
      <c r="P54" s="14" t="str">
        <f>_xll.BDH("SRPT US Equity","EBITDA_SEQUENTIAL_GROWTH","FQ1 2022","FQ1 2022","Currency=USD","Period=FQ","BEST_FPERIOD_OVERRIDE=FQ","FILING_STATUS=MR","FA_ADJUSTED=GAAP","Sort=A","Dates=H","DateFormat=P","Fill=—","Direction=H","UseDPDF=Y")</f>
        <v>—</v>
      </c>
      <c r="Q54" s="14" t="str">
        <f>_xll.BDH("SRPT US Equity","EBITDA_SEQUENTIAL_GROWTH","FQ2 2022","FQ2 2022","Currency=USD","Period=FQ","BEST_FPERIOD_OVERRIDE=FQ","FILING_STATUS=MR","FA_ADJUSTED=GAAP","Sort=A","Dates=H","DateFormat=P","Fill=—","Direction=H","UseDPDF=Y")</f>
        <v>—</v>
      </c>
      <c r="R54" s="14" t="str">
        <f>_xll.BDH("SRPT US Equity","EBITDA_SEQUENTIAL_GROWTH","FQ3 2022","FQ3 2022","Currency=USD","Period=FQ","BEST_FPERIOD_OVERRIDE=FQ","FILING_STATUS=MR","FA_ADJUSTED=GAAP","Sort=A","Dates=H","DateFormat=P","Fill=—","Direction=H","UseDPDF=Y")</f>
        <v>—</v>
      </c>
      <c r="S54" s="14" t="str">
        <f>_xll.BDH("SRPT US Equity","EBITDA_SEQUENTIAL_GROWTH","FQ4 2022","FQ4 2022","Currency=USD","Period=FQ","BEST_FPERIOD_OVERRIDE=FQ","FILING_STATUS=MR","FA_ADJUSTED=GAAP","Sort=A","Dates=H","DateFormat=P","Fill=—","Direction=H","UseDPDF=Y")</f>
        <v>—</v>
      </c>
      <c r="T54" s="14" t="str">
        <f>_xll.BDH("SRPT US Equity","EBITDA_SEQUENTIAL_GROWTH","FQ1 2023","FQ1 2023","Currency=USD","Period=FQ","BEST_FPERIOD_OVERRIDE=FQ","FILING_STATUS=MR","FA_ADJUSTED=GAAP","Sort=A","Dates=H","DateFormat=P","Fill=—","Direction=H","UseDPDF=Y")</f>
        <v>—</v>
      </c>
      <c r="U54" s="14" t="str">
        <f>_xll.BDH("SRPT US Equity","EBITDA_SEQUENTIAL_GROWTH","FQ2 2023","FQ2 2023","Currency=USD","Period=FQ","BEST_FPERIOD_OVERRIDE=FQ","FILING_STATUS=MR","FA_ADJUSTED=GAAP","Sort=A","Dates=H","DateFormat=P","Fill=—","Direction=H","UseDPDF=Y")</f>
        <v>—</v>
      </c>
      <c r="V54" s="14" t="str">
        <f>_xll.BDH("SRPT US Equity","EBITDA_SEQUENTIAL_GROWTH","FQ3 2023","FQ3 2023","Currency=USD","Period=FQ","BEST_FPERIOD_OVERRIDE=FQ","FILING_STATUS=MR","FA_ADJUSTED=GAAP","Sort=A","Dates=H","DateFormat=P","Fill=—","Direction=H","UseDPDF=Y")</f>
        <v>—</v>
      </c>
      <c r="W54" s="14" t="str">
        <f>_xll.BDH("SRPT US Equity","EBITDA_SEQUENTIAL_GROWTH","FQ4 2023","FQ4 2023","Currency=USD","Period=FQ","BEST_FPERIOD_OVERRIDE=FQ","FILING_STATUS=MR","FA_ADJUSTED=GAAP","Sort=A","Dates=H","DateFormat=P","Fill=—","Direction=H","UseDPDF=Y")</f>
        <v>—</v>
      </c>
      <c r="X54" s="14">
        <f>_xll.BDH("SRPT US Equity","EBITDA_SEQUENTIAL_GROWTH","FQ1 2024","FQ1 2024","Currency=USD","Period=FQ","BEST_FPERIOD_OVERRIDE=FQ","FILING_STATUS=MR","FA_ADJUSTED=GAAP","Sort=A","Dates=H","DateFormat=P","Fill=—","Direction=H","UseDPDF=Y")</f>
        <v>21.257300000000001</v>
      </c>
      <c r="Y54" s="14">
        <f>_xll.BDH("SRPT US Equity","EBITDA_SEQUENTIAL_GROWTH","FQ2 2024","FQ2 2024","Currency=USD","Period=FQ","BEST_FPERIOD_OVERRIDE=FQ","FILING_STATUS=MR","FA_ADJUSTED=GAAP","Sort=A","Dates=H","DateFormat=P","Fill=—","Direction=H","UseDPDF=Y")</f>
        <v>-81.630700000000004</v>
      </c>
      <c r="Z54" s="14">
        <f>_xll.BDH("SRPT US Equity","EBITDA_SEQUENTIAL_GROWTH","FQ3 2024","FQ3 2024","Currency=USD","Period=FQ","BEST_FPERIOD_OVERRIDE=FQ","FILING_STATUS=MR","FA_ADJUSTED=GAAP","Sort=A","Dates=H","DateFormat=P","Fill=—","Direction=H","UseDPDF=Y")</f>
        <v>299.12700000000001</v>
      </c>
      <c r="AA54" s="14">
        <f>_xll.BDH("SRPT US Equity","EBITDA_SEQUENTIAL_GROWTH","FQ4 2024","FQ4 2024","Currency=USD","Period=FQ","BEST_FPERIOD_OVERRIDE=FQ","FILING_STATUS=MR","FA_ADJUSTED=GAAP","Sort=A","Dates=H","DateFormat=P","Fill=—","Direction=H","UseDPDF=Y")</f>
        <v>437.89139999999998</v>
      </c>
    </row>
    <row r="55" spans="1:27" x14ac:dyDescent="0.25">
      <c r="A55" s="10" t="s">
        <v>98</v>
      </c>
      <c r="B55" s="10" t="s">
        <v>1441</v>
      </c>
      <c r="C55" s="14" t="str">
        <f>_xll.BDH("SRPT US Equity","OPERATING_INCOME_SEQ_GROWTH","FQ4 2018","FQ4 2018","Currency=USD","Period=FQ","BEST_FPERIOD_OVERRIDE=FQ","FILING_STATUS=MR","FA_ADJUSTED=GAAP","Sort=A","Dates=H","DateFormat=P","Fill=—","Direction=H","UseDPDF=Y")</f>
        <v>—</v>
      </c>
      <c r="D55" s="14" t="str">
        <f>_xll.BDH("SRPT US Equity","OPERATING_INCOME_SEQ_GROWTH","FQ1 2019","FQ1 2019","Currency=USD","Period=FQ","BEST_FPERIOD_OVERRIDE=FQ","FILING_STATUS=MR","FA_ADJUSTED=GAAP","Sort=A","Dates=H","DateFormat=P","Fill=—","Direction=H","UseDPDF=Y")</f>
        <v>—</v>
      </c>
      <c r="E55" s="14" t="str">
        <f>_xll.BDH("SRPT US Equity","OPERATING_INCOME_SEQ_GROWTH","FQ2 2019","FQ2 2019","Currency=USD","Period=FQ","BEST_FPERIOD_OVERRIDE=FQ","FILING_STATUS=MR","FA_ADJUSTED=GAAP","Sort=A","Dates=H","DateFormat=P","Fill=—","Direction=H","UseDPDF=Y")</f>
        <v>—</v>
      </c>
      <c r="F55" s="14" t="str">
        <f>_xll.BDH("SRPT US Equity","OPERATING_INCOME_SEQ_GROWTH","FQ3 2019","FQ3 2019","Currency=USD","Period=FQ","BEST_FPERIOD_OVERRIDE=FQ","FILING_STATUS=MR","FA_ADJUSTED=GAAP","Sort=A","Dates=H","DateFormat=P","Fill=—","Direction=H","UseDPDF=Y")</f>
        <v>—</v>
      </c>
      <c r="G55" s="14" t="str">
        <f>_xll.BDH("SRPT US Equity","OPERATING_INCOME_SEQ_GROWTH","FQ4 2019","FQ4 2019","Currency=USD","Period=FQ","BEST_FPERIOD_OVERRIDE=FQ","FILING_STATUS=MR","FA_ADJUSTED=GAAP","Sort=A","Dates=H","DateFormat=P","Fill=—","Direction=H","UseDPDF=Y")</f>
        <v>—</v>
      </c>
      <c r="H55" s="14" t="str">
        <f>_xll.BDH("SRPT US Equity","OPERATING_INCOME_SEQ_GROWTH","FQ1 2020","FQ1 2020","Currency=USD","Period=FQ","BEST_FPERIOD_OVERRIDE=FQ","FILING_STATUS=MR","FA_ADJUSTED=GAAP","Sort=A","Dates=H","DateFormat=P","Fill=—","Direction=H","UseDPDF=Y")</f>
        <v>—</v>
      </c>
      <c r="I55" s="14" t="str">
        <f>_xll.BDH("SRPT US Equity","OPERATING_INCOME_SEQ_GROWTH","FQ2 2020","FQ2 2020","Currency=USD","Period=FQ","BEST_FPERIOD_OVERRIDE=FQ","FILING_STATUS=MR","FA_ADJUSTED=GAAP","Sort=A","Dates=H","DateFormat=P","Fill=—","Direction=H","UseDPDF=Y")</f>
        <v>—</v>
      </c>
      <c r="J55" s="14" t="str">
        <f>_xll.BDH("SRPT US Equity","OPERATING_INCOME_SEQ_GROWTH","FQ3 2020","FQ3 2020","Currency=USD","Period=FQ","BEST_FPERIOD_OVERRIDE=FQ","FILING_STATUS=MR","FA_ADJUSTED=GAAP","Sort=A","Dates=H","DateFormat=P","Fill=—","Direction=H","UseDPDF=Y")</f>
        <v>—</v>
      </c>
      <c r="K55" s="14" t="str">
        <f>_xll.BDH("SRPT US Equity","OPERATING_INCOME_SEQ_GROWTH","FQ4 2020","FQ4 2020","Currency=USD","Period=FQ","BEST_FPERIOD_OVERRIDE=FQ","FILING_STATUS=MR","FA_ADJUSTED=GAAP","Sort=A","Dates=H","DateFormat=P","Fill=—","Direction=H","UseDPDF=Y")</f>
        <v>—</v>
      </c>
      <c r="L55" s="14" t="str">
        <f>_xll.BDH("SRPT US Equity","OPERATING_INCOME_SEQ_GROWTH","FQ1 2021","FQ1 2021","Currency=USD","Period=FQ","BEST_FPERIOD_OVERRIDE=FQ","FILING_STATUS=MR","FA_ADJUSTED=GAAP","Sort=A","Dates=H","DateFormat=P","Fill=—","Direction=H","UseDPDF=Y")</f>
        <v>—</v>
      </c>
      <c r="M55" s="14" t="str">
        <f>_xll.BDH("SRPT US Equity","OPERATING_INCOME_SEQ_GROWTH","FQ2 2021","FQ2 2021","Currency=USD","Period=FQ","BEST_FPERIOD_OVERRIDE=FQ","FILING_STATUS=MR","FA_ADJUSTED=GAAP","Sort=A","Dates=H","DateFormat=P","Fill=—","Direction=H","UseDPDF=Y")</f>
        <v>—</v>
      </c>
      <c r="N55" s="14" t="str">
        <f>_xll.BDH("SRPT US Equity","OPERATING_INCOME_SEQ_GROWTH","FQ3 2021","FQ3 2021","Currency=USD","Period=FQ","BEST_FPERIOD_OVERRIDE=FQ","FILING_STATUS=MR","FA_ADJUSTED=GAAP","Sort=A","Dates=H","DateFormat=P","Fill=—","Direction=H","UseDPDF=Y")</f>
        <v>—</v>
      </c>
      <c r="O55" s="14" t="str">
        <f>_xll.BDH("SRPT US Equity","OPERATING_INCOME_SEQ_GROWTH","FQ4 2021","FQ4 2021","Currency=USD","Period=FQ","BEST_FPERIOD_OVERRIDE=FQ","FILING_STATUS=MR","FA_ADJUSTED=GAAP","Sort=A","Dates=H","DateFormat=P","Fill=—","Direction=H","UseDPDF=Y")</f>
        <v>—</v>
      </c>
      <c r="P55" s="14" t="str">
        <f>_xll.BDH("SRPT US Equity","OPERATING_INCOME_SEQ_GROWTH","FQ1 2022","FQ1 2022","Currency=USD","Period=FQ","BEST_FPERIOD_OVERRIDE=FQ","FILING_STATUS=MR","FA_ADJUSTED=GAAP","Sort=A","Dates=H","DateFormat=P","Fill=—","Direction=H","UseDPDF=Y")</f>
        <v>—</v>
      </c>
      <c r="Q55" s="14" t="str">
        <f>_xll.BDH("SRPT US Equity","OPERATING_INCOME_SEQ_GROWTH","FQ2 2022","FQ2 2022","Currency=USD","Period=FQ","BEST_FPERIOD_OVERRIDE=FQ","FILING_STATUS=MR","FA_ADJUSTED=GAAP","Sort=A","Dates=H","DateFormat=P","Fill=—","Direction=H","UseDPDF=Y")</f>
        <v>—</v>
      </c>
      <c r="R55" s="14" t="str">
        <f>_xll.BDH("SRPT US Equity","OPERATING_INCOME_SEQ_GROWTH","FQ3 2022","FQ3 2022","Currency=USD","Period=FQ","BEST_FPERIOD_OVERRIDE=FQ","FILING_STATUS=MR","FA_ADJUSTED=GAAP","Sort=A","Dates=H","DateFormat=P","Fill=—","Direction=H","UseDPDF=Y")</f>
        <v>—</v>
      </c>
      <c r="S55" s="14" t="str">
        <f>_xll.BDH("SRPT US Equity","OPERATING_INCOME_SEQ_GROWTH","FQ4 2022","FQ4 2022","Currency=USD","Period=FQ","BEST_FPERIOD_OVERRIDE=FQ","FILING_STATUS=MR","FA_ADJUSTED=GAAP","Sort=A","Dates=H","DateFormat=P","Fill=—","Direction=H","UseDPDF=Y")</f>
        <v>—</v>
      </c>
      <c r="T55" s="14" t="str">
        <f>_xll.BDH("SRPT US Equity","OPERATING_INCOME_SEQ_GROWTH","FQ1 2023","FQ1 2023","Currency=USD","Period=FQ","BEST_FPERIOD_OVERRIDE=FQ","FILING_STATUS=MR","FA_ADJUSTED=GAAP","Sort=A","Dates=H","DateFormat=P","Fill=—","Direction=H","UseDPDF=Y")</f>
        <v>—</v>
      </c>
      <c r="U55" s="14" t="str">
        <f>_xll.BDH("SRPT US Equity","OPERATING_INCOME_SEQ_GROWTH","FQ2 2023","FQ2 2023","Currency=USD","Period=FQ","BEST_FPERIOD_OVERRIDE=FQ","FILING_STATUS=MR","FA_ADJUSTED=GAAP","Sort=A","Dates=H","DateFormat=P","Fill=—","Direction=H","UseDPDF=Y")</f>
        <v>—</v>
      </c>
      <c r="V55" s="14" t="str">
        <f>_xll.BDH("SRPT US Equity","OPERATING_INCOME_SEQ_GROWTH","FQ3 2023","FQ3 2023","Currency=USD","Period=FQ","BEST_FPERIOD_OVERRIDE=FQ","FILING_STATUS=MR","FA_ADJUSTED=GAAP","Sort=A","Dates=H","DateFormat=P","Fill=—","Direction=H","UseDPDF=Y")</f>
        <v>—</v>
      </c>
      <c r="W55" s="14" t="str">
        <f>_xll.BDH("SRPT US Equity","OPERATING_INCOME_SEQ_GROWTH","FQ4 2023","FQ4 2023","Currency=USD","Period=FQ","BEST_FPERIOD_OVERRIDE=FQ","FILING_STATUS=MR","FA_ADJUSTED=GAAP","Sort=A","Dates=H","DateFormat=P","Fill=—","Direction=H","UseDPDF=Y")</f>
        <v>—</v>
      </c>
      <c r="X55" s="14">
        <f>_xll.BDH("SRPT US Equity","OPERATING_INCOME_SEQ_GROWTH","FQ1 2024","FQ1 2024","Currency=USD","Period=FQ","BEST_FPERIOD_OVERRIDE=FQ","FILING_STATUS=MR","FA_ADJUSTED=GAAP","Sort=A","Dates=H","DateFormat=P","Fill=—","Direction=H","UseDPDF=Y")</f>
        <v>41.746200000000002</v>
      </c>
      <c r="Y55" s="14">
        <f>_xll.BDH("SRPT US Equity","OPERATING_INCOME_SEQ_GROWTH","FQ2 2024","FQ2 2024","Currency=USD","Period=FQ","BEST_FPERIOD_OVERRIDE=FQ","FILING_STATUS=MR","FA_ADJUSTED=GAAP","Sort=A","Dates=H","DateFormat=P","Fill=—","Direction=H","UseDPDF=Y")</f>
        <v>-102.00830000000001</v>
      </c>
      <c r="Z55" s="14" t="str">
        <f>_xll.BDH("SRPT US Equity","OPERATING_INCOME_SEQ_GROWTH","FQ3 2024","FQ3 2024","Currency=USD","Period=FQ","BEST_FPERIOD_OVERRIDE=FQ","FILING_STATUS=MR","FA_ADJUSTED=GAAP","Sort=A","Dates=H","DateFormat=P","Fill=—","Direction=H","UseDPDF=Y")</f>
        <v>—</v>
      </c>
      <c r="AA55" s="14">
        <f>_xll.BDH("SRPT US Equity","OPERATING_INCOME_SEQ_GROWTH","FQ4 2024","FQ4 2024","Currency=USD","Period=FQ","BEST_FPERIOD_OVERRIDE=FQ","FILING_STATUS=MR","FA_ADJUSTED=GAAP","Sort=A","Dates=H","DateFormat=P","Fill=—","Direction=H","UseDPDF=Y")</f>
        <v>628.42399999999998</v>
      </c>
    </row>
    <row r="56" spans="1:27" x14ac:dyDescent="0.25">
      <c r="A56" s="10" t="s">
        <v>100</v>
      </c>
      <c r="B56" s="10" t="s">
        <v>1442</v>
      </c>
      <c r="C56" s="14" t="str">
        <f>_xll.BDH("SRPT US Equity","NET_INCOME_TO_COMMON_SEQ_GROWTH","FQ4 2018","FQ4 2018","Currency=USD","Period=FQ","BEST_FPERIOD_OVERRIDE=FQ","FILING_STATUS=MR","FA_ADJUSTED=GAAP","Sort=A","Dates=H","DateFormat=P","Fill=—","Direction=H","UseDPDF=Y")</f>
        <v>—</v>
      </c>
      <c r="D56" s="14" t="str">
        <f>_xll.BDH("SRPT US Equity","NET_INCOME_TO_COMMON_SEQ_GROWTH","FQ1 2019","FQ1 2019","Currency=USD","Period=FQ","BEST_FPERIOD_OVERRIDE=FQ","FILING_STATUS=MR","FA_ADJUSTED=GAAP","Sort=A","Dates=H","DateFormat=P","Fill=—","Direction=H","UseDPDF=Y")</f>
        <v>—</v>
      </c>
      <c r="E56" s="14" t="str">
        <f>_xll.BDH("SRPT US Equity","NET_INCOME_TO_COMMON_SEQ_GROWTH","FQ2 2019","FQ2 2019","Currency=USD","Period=FQ","BEST_FPERIOD_OVERRIDE=FQ","FILING_STATUS=MR","FA_ADJUSTED=GAAP","Sort=A","Dates=H","DateFormat=P","Fill=—","Direction=H","UseDPDF=Y")</f>
        <v>—</v>
      </c>
      <c r="F56" s="14" t="str">
        <f>_xll.BDH("SRPT US Equity","NET_INCOME_TO_COMMON_SEQ_GROWTH","FQ3 2019","FQ3 2019","Currency=USD","Period=FQ","BEST_FPERIOD_OVERRIDE=FQ","FILING_STATUS=MR","FA_ADJUSTED=GAAP","Sort=A","Dates=H","DateFormat=P","Fill=—","Direction=H","UseDPDF=Y")</f>
        <v>—</v>
      </c>
      <c r="G56" s="14" t="str">
        <f>_xll.BDH("SRPT US Equity","NET_INCOME_TO_COMMON_SEQ_GROWTH","FQ4 2019","FQ4 2019","Currency=USD","Period=FQ","BEST_FPERIOD_OVERRIDE=FQ","FILING_STATUS=MR","FA_ADJUSTED=GAAP","Sort=A","Dates=H","DateFormat=P","Fill=—","Direction=H","UseDPDF=Y")</f>
        <v>—</v>
      </c>
      <c r="H56" s="14" t="str">
        <f>_xll.BDH("SRPT US Equity","NET_INCOME_TO_COMMON_SEQ_GROWTH","FQ1 2020","FQ1 2020","Currency=USD","Period=FQ","BEST_FPERIOD_OVERRIDE=FQ","FILING_STATUS=MR","FA_ADJUSTED=GAAP","Sort=A","Dates=H","DateFormat=P","Fill=—","Direction=H","UseDPDF=Y")</f>
        <v>—</v>
      </c>
      <c r="I56" s="14" t="str">
        <f>_xll.BDH("SRPT US Equity","NET_INCOME_TO_COMMON_SEQ_GROWTH","FQ2 2020","FQ2 2020","Currency=USD","Period=FQ","BEST_FPERIOD_OVERRIDE=FQ","FILING_STATUS=MR","FA_ADJUSTED=GAAP","Sort=A","Dates=H","DateFormat=P","Fill=—","Direction=H","UseDPDF=Y")</f>
        <v>—</v>
      </c>
      <c r="J56" s="14" t="str">
        <f>_xll.BDH("SRPT US Equity","NET_INCOME_TO_COMMON_SEQ_GROWTH","FQ3 2020","FQ3 2020","Currency=USD","Period=FQ","BEST_FPERIOD_OVERRIDE=FQ","FILING_STATUS=MR","FA_ADJUSTED=GAAP","Sort=A","Dates=H","DateFormat=P","Fill=—","Direction=H","UseDPDF=Y")</f>
        <v>—</v>
      </c>
      <c r="K56" s="14" t="str">
        <f>_xll.BDH("SRPT US Equity","NET_INCOME_TO_COMMON_SEQ_GROWTH","FQ4 2020","FQ4 2020","Currency=USD","Period=FQ","BEST_FPERIOD_OVERRIDE=FQ","FILING_STATUS=MR","FA_ADJUSTED=GAAP","Sort=A","Dates=H","DateFormat=P","Fill=—","Direction=H","UseDPDF=Y")</f>
        <v>—</v>
      </c>
      <c r="L56" s="14" t="str">
        <f>_xll.BDH("SRPT US Equity","NET_INCOME_TO_COMMON_SEQ_GROWTH","FQ1 2021","FQ1 2021","Currency=USD","Period=FQ","BEST_FPERIOD_OVERRIDE=FQ","FILING_STATUS=MR","FA_ADJUSTED=GAAP","Sort=A","Dates=H","DateFormat=P","Fill=—","Direction=H","UseDPDF=Y")</f>
        <v>—</v>
      </c>
      <c r="M56" s="14" t="str">
        <f>_xll.BDH("SRPT US Equity","NET_INCOME_TO_COMMON_SEQ_GROWTH","FQ2 2021","FQ2 2021","Currency=USD","Period=FQ","BEST_FPERIOD_OVERRIDE=FQ","FILING_STATUS=MR","FA_ADJUSTED=GAAP","Sort=A","Dates=H","DateFormat=P","Fill=—","Direction=H","UseDPDF=Y")</f>
        <v>—</v>
      </c>
      <c r="N56" s="14" t="str">
        <f>_xll.BDH("SRPT US Equity","NET_INCOME_TO_COMMON_SEQ_GROWTH","FQ3 2021","FQ3 2021","Currency=USD","Period=FQ","BEST_FPERIOD_OVERRIDE=FQ","FILING_STATUS=MR","FA_ADJUSTED=GAAP","Sort=A","Dates=H","DateFormat=P","Fill=—","Direction=H","UseDPDF=Y")</f>
        <v>—</v>
      </c>
      <c r="O56" s="14" t="str">
        <f>_xll.BDH("SRPT US Equity","NET_INCOME_TO_COMMON_SEQ_GROWTH","FQ4 2021","FQ4 2021","Currency=USD","Period=FQ","BEST_FPERIOD_OVERRIDE=FQ","FILING_STATUS=MR","FA_ADJUSTED=GAAP","Sort=A","Dates=H","DateFormat=P","Fill=—","Direction=H","UseDPDF=Y")</f>
        <v>—</v>
      </c>
      <c r="P56" s="14" t="str">
        <f>_xll.BDH("SRPT US Equity","NET_INCOME_TO_COMMON_SEQ_GROWTH","FQ1 2022","FQ1 2022","Currency=USD","Period=FQ","BEST_FPERIOD_OVERRIDE=FQ","FILING_STATUS=MR","FA_ADJUSTED=GAAP","Sort=A","Dates=H","DateFormat=P","Fill=—","Direction=H","UseDPDF=Y")</f>
        <v>—</v>
      </c>
      <c r="Q56" s="14" t="str">
        <f>_xll.BDH("SRPT US Equity","NET_INCOME_TO_COMMON_SEQ_GROWTH","FQ2 2022","FQ2 2022","Currency=USD","Period=FQ","BEST_FPERIOD_OVERRIDE=FQ","FILING_STATUS=MR","FA_ADJUSTED=GAAP","Sort=A","Dates=H","DateFormat=P","Fill=—","Direction=H","UseDPDF=Y")</f>
        <v>—</v>
      </c>
      <c r="R56" s="14" t="str">
        <f>_xll.BDH("SRPT US Equity","NET_INCOME_TO_COMMON_SEQ_GROWTH","FQ3 2022","FQ3 2022","Currency=USD","Period=FQ","BEST_FPERIOD_OVERRIDE=FQ","FILING_STATUS=MR","FA_ADJUSTED=GAAP","Sort=A","Dates=H","DateFormat=P","Fill=—","Direction=H","UseDPDF=Y")</f>
        <v>—</v>
      </c>
      <c r="S56" s="14" t="str">
        <f>_xll.BDH("SRPT US Equity","NET_INCOME_TO_COMMON_SEQ_GROWTH","FQ4 2022","FQ4 2022","Currency=USD","Period=FQ","BEST_FPERIOD_OVERRIDE=FQ","FILING_STATUS=MR","FA_ADJUSTED=GAAP","Sort=A","Dates=H","DateFormat=P","Fill=—","Direction=H","UseDPDF=Y")</f>
        <v>—</v>
      </c>
      <c r="T56" s="14" t="str">
        <f>_xll.BDH("SRPT US Equity","NET_INCOME_TO_COMMON_SEQ_GROWTH","FQ1 2023","FQ1 2023","Currency=USD","Period=FQ","BEST_FPERIOD_OVERRIDE=FQ","FILING_STATUS=MR","FA_ADJUSTED=GAAP","Sort=A","Dates=H","DateFormat=P","Fill=—","Direction=H","UseDPDF=Y")</f>
        <v>—</v>
      </c>
      <c r="U56" s="14" t="str">
        <f>_xll.BDH("SRPT US Equity","NET_INCOME_TO_COMMON_SEQ_GROWTH","FQ2 2023","FQ2 2023","Currency=USD","Period=FQ","BEST_FPERIOD_OVERRIDE=FQ","FILING_STATUS=MR","FA_ADJUSTED=GAAP","Sort=A","Dates=H","DateFormat=P","Fill=—","Direction=H","UseDPDF=Y")</f>
        <v>—</v>
      </c>
      <c r="V56" s="14" t="str">
        <f>_xll.BDH("SRPT US Equity","NET_INCOME_TO_COMMON_SEQ_GROWTH","FQ3 2023","FQ3 2023","Currency=USD","Period=FQ","BEST_FPERIOD_OVERRIDE=FQ","FILING_STATUS=MR","FA_ADJUSTED=GAAP","Sort=A","Dates=H","DateFormat=P","Fill=—","Direction=H","UseDPDF=Y")</f>
        <v>—</v>
      </c>
      <c r="W56" s="14" t="str">
        <f>_xll.BDH("SRPT US Equity","NET_INCOME_TO_COMMON_SEQ_GROWTH","FQ4 2023","FQ4 2023","Currency=USD","Period=FQ","BEST_FPERIOD_OVERRIDE=FQ","FILING_STATUS=MR","FA_ADJUSTED=GAAP","Sort=A","Dates=H","DateFormat=P","Fill=—","Direction=H","UseDPDF=Y")</f>
        <v>—</v>
      </c>
      <c r="X56" s="14">
        <f>_xll.BDH("SRPT US Equity","NET_INCOME_TO_COMMON_SEQ_GROWTH","FQ1 2024","FQ1 2024","Currency=USD","Period=FQ","BEST_FPERIOD_OVERRIDE=FQ","FILING_STATUS=MR","FA_ADJUSTED=GAAP","Sort=A","Dates=H","DateFormat=P","Fill=—","Direction=H","UseDPDF=Y")</f>
        <v>-20.8871</v>
      </c>
      <c r="Y56" s="14">
        <f>_xll.BDH("SRPT US Equity","NET_INCOME_TO_COMMON_SEQ_GROWTH","FQ2 2024","FQ2 2024","Currency=USD","Period=FQ","BEST_FPERIOD_OVERRIDE=FQ","FILING_STATUS=MR","FA_ADJUSTED=GAAP","Sort=A","Dates=H","DateFormat=P","Fill=—","Direction=H","UseDPDF=Y")</f>
        <v>-82.114699999999999</v>
      </c>
      <c r="Z56" s="14">
        <f>_xll.BDH("SRPT US Equity","NET_INCOME_TO_COMMON_SEQ_GROWTH","FQ3 2024","FQ3 2024","Currency=USD","Period=FQ","BEST_FPERIOD_OVERRIDE=FQ","FILING_STATUS=MR","FA_ADJUSTED=GAAP","Sort=A","Dates=H","DateFormat=P","Fill=—","Direction=H","UseDPDF=Y")</f>
        <v>420.29410000000001</v>
      </c>
      <c r="AA56" s="14">
        <f>_xll.BDH("SRPT US Equity","NET_INCOME_TO_COMMON_SEQ_GROWTH","FQ4 2024","FQ4 2024","Currency=USD","Period=FQ","BEST_FPERIOD_OVERRIDE=FQ","FILING_STATUS=MR","FA_ADJUSTED=GAAP","Sort=A","Dates=H","DateFormat=P","Fill=—","Direction=H","UseDPDF=Y")</f>
        <v>373.20519999999999</v>
      </c>
    </row>
    <row r="57" spans="1:27" x14ac:dyDescent="0.25">
      <c r="A57" s="10" t="s">
        <v>1389</v>
      </c>
      <c r="B57" s="10" t="s">
        <v>1443</v>
      </c>
      <c r="C57" s="14" t="str">
        <f>_xll.BDH("SRPT US Equity","EPS_DILUTED_SEQUENTIAL_GROWTH","FQ4 2018","FQ4 2018","Currency=USD","Period=FQ","BEST_FPERIOD_OVERRIDE=FQ","FILING_STATUS=MR","FA_ADJUSTED=GAAP","Sort=A","Dates=H","DateFormat=P","Fill=—","Direction=H","UseDPDF=Y")</f>
        <v>—</v>
      </c>
      <c r="D57" s="14" t="str">
        <f>_xll.BDH("SRPT US Equity","EPS_DILUTED_SEQUENTIAL_GROWTH","FQ1 2019","FQ1 2019","Currency=USD","Period=FQ","BEST_FPERIOD_OVERRIDE=FQ","FILING_STATUS=MR","FA_ADJUSTED=GAAP","Sort=A","Dates=H","DateFormat=P","Fill=—","Direction=H","UseDPDF=Y")</f>
        <v>—</v>
      </c>
      <c r="E57" s="14" t="str">
        <f>_xll.BDH("SRPT US Equity","EPS_DILUTED_SEQUENTIAL_GROWTH","FQ2 2019","FQ2 2019","Currency=USD","Period=FQ","BEST_FPERIOD_OVERRIDE=FQ","FILING_STATUS=MR","FA_ADJUSTED=GAAP","Sort=A","Dates=H","DateFormat=P","Fill=—","Direction=H","UseDPDF=Y")</f>
        <v>—</v>
      </c>
      <c r="F57" s="14" t="str">
        <f>_xll.BDH("SRPT US Equity","EPS_DILUTED_SEQUENTIAL_GROWTH","FQ3 2019","FQ3 2019","Currency=USD","Period=FQ","BEST_FPERIOD_OVERRIDE=FQ","FILING_STATUS=MR","FA_ADJUSTED=GAAP","Sort=A","Dates=H","DateFormat=P","Fill=—","Direction=H","UseDPDF=Y")</f>
        <v>—</v>
      </c>
      <c r="G57" s="14" t="str">
        <f>_xll.BDH("SRPT US Equity","EPS_DILUTED_SEQUENTIAL_GROWTH","FQ4 2019","FQ4 2019","Currency=USD","Period=FQ","BEST_FPERIOD_OVERRIDE=FQ","FILING_STATUS=MR","FA_ADJUSTED=GAAP","Sort=A","Dates=H","DateFormat=P","Fill=—","Direction=H","UseDPDF=Y")</f>
        <v>—</v>
      </c>
      <c r="H57" s="14" t="str">
        <f>_xll.BDH("SRPT US Equity","EPS_DILUTED_SEQUENTIAL_GROWTH","FQ1 2020","FQ1 2020","Currency=USD","Period=FQ","BEST_FPERIOD_OVERRIDE=FQ","FILING_STATUS=MR","FA_ADJUSTED=GAAP","Sort=A","Dates=H","DateFormat=P","Fill=—","Direction=H","UseDPDF=Y")</f>
        <v>—</v>
      </c>
      <c r="I57" s="14" t="str">
        <f>_xll.BDH("SRPT US Equity","EPS_DILUTED_SEQUENTIAL_GROWTH","FQ2 2020","FQ2 2020","Currency=USD","Period=FQ","BEST_FPERIOD_OVERRIDE=FQ","FILING_STATUS=MR","FA_ADJUSTED=GAAP","Sort=A","Dates=H","DateFormat=P","Fill=—","Direction=H","UseDPDF=Y")</f>
        <v>—</v>
      </c>
      <c r="J57" s="14" t="str">
        <f>_xll.BDH("SRPT US Equity","EPS_DILUTED_SEQUENTIAL_GROWTH","FQ3 2020","FQ3 2020","Currency=USD","Period=FQ","BEST_FPERIOD_OVERRIDE=FQ","FILING_STATUS=MR","FA_ADJUSTED=GAAP","Sort=A","Dates=H","DateFormat=P","Fill=—","Direction=H","UseDPDF=Y")</f>
        <v>—</v>
      </c>
      <c r="K57" s="14" t="str">
        <f>_xll.BDH("SRPT US Equity","EPS_DILUTED_SEQUENTIAL_GROWTH","FQ4 2020","FQ4 2020","Currency=USD","Period=FQ","BEST_FPERIOD_OVERRIDE=FQ","FILING_STATUS=MR","FA_ADJUSTED=GAAP","Sort=A","Dates=H","DateFormat=P","Fill=—","Direction=H","UseDPDF=Y")</f>
        <v>—</v>
      </c>
      <c r="L57" s="14" t="str">
        <f>_xll.BDH("SRPT US Equity","EPS_DILUTED_SEQUENTIAL_GROWTH","FQ1 2021","FQ1 2021","Currency=USD","Period=FQ","BEST_FPERIOD_OVERRIDE=FQ","FILING_STATUS=MR","FA_ADJUSTED=GAAP","Sort=A","Dates=H","DateFormat=P","Fill=—","Direction=H","UseDPDF=Y")</f>
        <v>—</v>
      </c>
      <c r="M57" s="14" t="str">
        <f>_xll.BDH("SRPT US Equity","EPS_DILUTED_SEQUENTIAL_GROWTH","FQ2 2021","FQ2 2021","Currency=USD","Period=FQ","BEST_FPERIOD_OVERRIDE=FQ","FILING_STATUS=MR","FA_ADJUSTED=GAAP","Sort=A","Dates=H","DateFormat=P","Fill=—","Direction=H","UseDPDF=Y")</f>
        <v>—</v>
      </c>
      <c r="N57" s="14" t="str">
        <f>_xll.BDH("SRPT US Equity","EPS_DILUTED_SEQUENTIAL_GROWTH","FQ3 2021","FQ3 2021","Currency=USD","Period=FQ","BEST_FPERIOD_OVERRIDE=FQ","FILING_STATUS=MR","FA_ADJUSTED=GAAP","Sort=A","Dates=H","DateFormat=P","Fill=—","Direction=H","UseDPDF=Y")</f>
        <v>—</v>
      </c>
      <c r="O57" s="14" t="str">
        <f>_xll.BDH("SRPT US Equity","EPS_DILUTED_SEQUENTIAL_GROWTH","FQ4 2021","FQ4 2021","Currency=USD","Period=FQ","BEST_FPERIOD_OVERRIDE=FQ","FILING_STATUS=MR","FA_ADJUSTED=GAAP","Sort=A","Dates=H","DateFormat=P","Fill=—","Direction=H","UseDPDF=Y")</f>
        <v>—</v>
      </c>
      <c r="P57" s="14" t="str">
        <f>_xll.BDH("SRPT US Equity","EPS_DILUTED_SEQUENTIAL_GROWTH","FQ1 2022","FQ1 2022","Currency=USD","Period=FQ","BEST_FPERIOD_OVERRIDE=FQ","FILING_STATUS=MR","FA_ADJUSTED=GAAP","Sort=A","Dates=H","DateFormat=P","Fill=—","Direction=H","UseDPDF=Y")</f>
        <v>—</v>
      </c>
      <c r="Q57" s="14" t="str">
        <f>_xll.BDH("SRPT US Equity","EPS_DILUTED_SEQUENTIAL_GROWTH","FQ2 2022","FQ2 2022","Currency=USD","Period=FQ","BEST_FPERIOD_OVERRIDE=FQ","FILING_STATUS=MR","FA_ADJUSTED=GAAP","Sort=A","Dates=H","DateFormat=P","Fill=—","Direction=H","UseDPDF=Y")</f>
        <v>—</v>
      </c>
      <c r="R57" s="14" t="str">
        <f>_xll.BDH("SRPT US Equity","EPS_DILUTED_SEQUENTIAL_GROWTH","FQ3 2022","FQ3 2022","Currency=USD","Period=FQ","BEST_FPERIOD_OVERRIDE=FQ","FILING_STATUS=MR","FA_ADJUSTED=GAAP","Sort=A","Dates=H","DateFormat=P","Fill=—","Direction=H","UseDPDF=Y")</f>
        <v>—</v>
      </c>
      <c r="S57" s="14" t="str">
        <f>_xll.BDH("SRPT US Equity","EPS_DILUTED_SEQUENTIAL_GROWTH","FQ4 2022","FQ4 2022","Currency=USD","Period=FQ","BEST_FPERIOD_OVERRIDE=FQ","FILING_STATUS=MR","FA_ADJUSTED=GAAP","Sort=A","Dates=H","DateFormat=P","Fill=—","Direction=H","UseDPDF=Y")</f>
        <v>—</v>
      </c>
      <c r="T57" s="14" t="str">
        <f>_xll.BDH("SRPT US Equity","EPS_DILUTED_SEQUENTIAL_GROWTH","FQ1 2023","FQ1 2023","Currency=USD","Period=FQ","BEST_FPERIOD_OVERRIDE=FQ","FILING_STATUS=MR","FA_ADJUSTED=GAAP","Sort=A","Dates=H","DateFormat=P","Fill=—","Direction=H","UseDPDF=Y")</f>
        <v>—</v>
      </c>
      <c r="U57" s="14" t="str">
        <f>_xll.BDH("SRPT US Equity","EPS_DILUTED_SEQUENTIAL_GROWTH","FQ2 2023","FQ2 2023","Currency=USD","Period=FQ","BEST_FPERIOD_OVERRIDE=FQ","FILING_STATUS=MR","FA_ADJUSTED=GAAP","Sort=A","Dates=H","DateFormat=P","Fill=—","Direction=H","UseDPDF=Y")</f>
        <v>—</v>
      </c>
      <c r="V57" s="14" t="str">
        <f>_xll.BDH("SRPT US Equity","EPS_DILUTED_SEQUENTIAL_GROWTH","FQ3 2023","FQ3 2023","Currency=USD","Period=FQ","BEST_FPERIOD_OVERRIDE=FQ","FILING_STATUS=MR","FA_ADJUSTED=GAAP","Sort=A","Dates=H","DateFormat=P","Fill=—","Direction=H","UseDPDF=Y")</f>
        <v>—</v>
      </c>
      <c r="W57" s="14" t="str">
        <f>_xll.BDH("SRPT US Equity","EPS_DILUTED_SEQUENTIAL_GROWTH","FQ4 2023","FQ4 2023","Currency=USD","Period=FQ","BEST_FPERIOD_OVERRIDE=FQ","FILING_STATUS=MR","FA_ADJUSTED=GAAP","Sort=A","Dates=H","DateFormat=P","Fill=—","Direction=H","UseDPDF=Y")</f>
        <v>—</v>
      </c>
      <c r="X57" s="14">
        <f>_xll.BDH("SRPT US Equity","EPS_DILUTED_SEQUENTIAL_GROWTH","FQ1 2024","FQ1 2024","Currency=USD","Period=FQ","BEST_FPERIOD_OVERRIDE=FQ","FILING_STATUS=MR","FA_ADJUSTED=GAAP","Sort=A","Dates=H","DateFormat=P","Fill=—","Direction=H","UseDPDF=Y")</f>
        <v>-21.276599999999998</v>
      </c>
      <c r="Y57" s="14">
        <f>_xll.BDH("SRPT US Equity","EPS_DILUTED_SEQUENTIAL_GROWTH","FQ2 2024","FQ2 2024","Currency=USD","Period=FQ","BEST_FPERIOD_OVERRIDE=FQ","FILING_STATUS=MR","FA_ADJUSTED=GAAP","Sort=A","Dates=H","DateFormat=P","Fill=—","Direction=H","UseDPDF=Y")</f>
        <v>-81.081100000000006</v>
      </c>
      <c r="Z57" s="14">
        <f>_xll.BDH("SRPT US Equity","EPS_DILUTED_SEQUENTIAL_GROWTH","FQ3 2024","FQ3 2024","Currency=USD","Period=FQ","BEST_FPERIOD_OVERRIDE=FQ","FILING_STATUS=MR","FA_ADJUSTED=GAAP","Sort=A","Dates=H","DateFormat=P","Fill=—","Direction=H","UseDPDF=Y")</f>
        <v>385.71429999999998</v>
      </c>
      <c r="AA57" s="14">
        <f>_xll.BDH("SRPT US Equity","EPS_DILUTED_SEQUENTIAL_GROWTH","FQ4 2024","FQ4 2024","Currency=USD","Period=FQ","BEST_FPERIOD_OVERRIDE=FQ","FILING_STATUS=MR","FA_ADJUSTED=GAAP","Sort=A","Dates=H","DateFormat=P","Fill=—","Direction=H","UseDPDF=Y")</f>
        <v>341.17649999999998</v>
      </c>
    </row>
    <row r="58" spans="1:27" x14ac:dyDescent="0.25">
      <c r="A58" s="10" t="s">
        <v>1390</v>
      </c>
      <c r="B58" s="10" t="s">
        <v>1444</v>
      </c>
      <c r="C58" s="14" t="str">
        <f>_xll.BDH("SRPT US Equity","EPS_DIL_BEF_EXTRAORD_SEQ_GRWTH","FQ4 2018","FQ4 2018","Currency=USD","Period=FQ","BEST_FPERIOD_OVERRIDE=FQ","FILING_STATUS=MR","Sort=A","Dates=H","DateFormat=P","Fill=—","Direction=H","UseDPDF=Y")</f>
        <v>—</v>
      </c>
      <c r="D58" s="14" t="str">
        <f>_xll.BDH("SRPT US Equity","EPS_DIL_BEF_EXTRAORD_SEQ_GRWTH","FQ1 2019","FQ1 2019","Currency=USD","Period=FQ","BEST_FPERIOD_OVERRIDE=FQ","FILING_STATUS=MR","Sort=A","Dates=H","DateFormat=P","Fill=—","Direction=H","UseDPDF=Y")</f>
        <v>—</v>
      </c>
      <c r="E58" s="14" t="str">
        <f>_xll.BDH("SRPT US Equity","EPS_DIL_BEF_EXTRAORD_SEQ_GRWTH","FQ2 2019","FQ2 2019","Currency=USD","Period=FQ","BEST_FPERIOD_OVERRIDE=FQ","FILING_STATUS=MR","Sort=A","Dates=H","DateFormat=P","Fill=—","Direction=H","UseDPDF=Y")</f>
        <v>—</v>
      </c>
      <c r="F58" s="14" t="str">
        <f>_xll.BDH("SRPT US Equity","EPS_DIL_BEF_EXTRAORD_SEQ_GRWTH","FQ3 2019","FQ3 2019","Currency=USD","Period=FQ","BEST_FPERIOD_OVERRIDE=FQ","FILING_STATUS=MR","Sort=A","Dates=H","DateFormat=P","Fill=—","Direction=H","UseDPDF=Y")</f>
        <v>—</v>
      </c>
      <c r="G58" s="14" t="str">
        <f>_xll.BDH("SRPT US Equity","EPS_DIL_BEF_EXTRAORD_SEQ_GRWTH","FQ4 2019","FQ4 2019","Currency=USD","Period=FQ","BEST_FPERIOD_OVERRIDE=FQ","FILING_STATUS=MR","Sort=A","Dates=H","DateFormat=P","Fill=—","Direction=H","UseDPDF=Y")</f>
        <v>—</v>
      </c>
      <c r="H58" s="14" t="str">
        <f>_xll.BDH("SRPT US Equity","EPS_DIL_BEF_EXTRAORD_SEQ_GRWTH","FQ1 2020","FQ1 2020","Currency=USD","Period=FQ","BEST_FPERIOD_OVERRIDE=FQ","FILING_STATUS=MR","Sort=A","Dates=H","DateFormat=P","Fill=—","Direction=H","UseDPDF=Y")</f>
        <v>—</v>
      </c>
      <c r="I58" s="14" t="str">
        <f>_xll.BDH("SRPT US Equity","EPS_DIL_BEF_EXTRAORD_SEQ_GRWTH","FQ2 2020","FQ2 2020","Currency=USD","Period=FQ","BEST_FPERIOD_OVERRIDE=FQ","FILING_STATUS=MR","Sort=A","Dates=H","DateFormat=P","Fill=—","Direction=H","UseDPDF=Y")</f>
        <v>—</v>
      </c>
      <c r="J58" s="14" t="str">
        <f>_xll.BDH("SRPT US Equity","EPS_DIL_BEF_EXTRAORD_SEQ_GRWTH","FQ3 2020","FQ3 2020","Currency=USD","Period=FQ","BEST_FPERIOD_OVERRIDE=FQ","FILING_STATUS=MR","Sort=A","Dates=H","DateFormat=P","Fill=—","Direction=H","UseDPDF=Y")</f>
        <v>—</v>
      </c>
      <c r="K58" s="14" t="str">
        <f>_xll.BDH("SRPT US Equity","EPS_DIL_BEF_EXTRAORD_SEQ_GRWTH","FQ4 2020","FQ4 2020","Currency=USD","Period=FQ","BEST_FPERIOD_OVERRIDE=FQ","FILING_STATUS=MR","Sort=A","Dates=H","DateFormat=P","Fill=—","Direction=H","UseDPDF=Y")</f>
        <v>—</v>
      </c>
      <c r="L58" s="14" t="str">
        <f>_xll.BDH("SRPT US Equity","EPS_DIL_BEF_EXTRAORD_SEQ_GRWTH","FQ1 2021","FQ1 2021","Currency=USD","Period=FQ","BEST_FPERIOD_OVERRIDE=FQ","FILING_STATUS=MR","Sort=A","Dates=H","DateFormat=P","Fill=—","Direction=H","UseDPDF=Y")</f>
        <v>—</v>
      </c>
      <c r="M58" s="14" t="str">
        <f>_xll.BDH("SRPT US Equity","EPS_DIL_BEF_EXTRAORD_SEQ_GRWTH","FQ2 2021","FQ2 2021","Currency=USD","Period=FQ","BEST_FPERIOD_OVERRIDE=FQ","FILING_STATUS=MR","Sort=A","Dates=H","DateFormat=P","Fill=—","Direction=H","UseDPDF=Y")</f>
        <v>—</v>
      </c>
      <c r="N58" s="14" t="str">
        <f>_xll.BDH("SRPT US Equity","EPS_DIL_BEF_EXTRAORD_SEQ_GRWTH","FQ3 2021","FQ3 2021","Currency=USD","Period=FQ","BEST_FPERIOD_OVERRIDE=FQ","FILING_STATUS=MR","Sort=A","Dates=H","DateFormat=P","Fill=—","Direction=H","UseDPDF=Y")</f>
        <v>—</v>
      </c>
      <c r="O58" s="14" t="str">
        <f>_xll.BDH("SRPT US Equity","EPS_DIL_BEF_EXTRAORD_SEQ_GRWTH","FQ4 2021","FQ4 2021","Currency=USD","Period=FQ","BEST_FPERIOD_OVERRIDE=FQ","FILING_STATUS=MR","Sort=A","Dates=H","DateFormat=P","Fill=—","Direction=H","UseDPDF=Y")</f>
        <v>—</v>
      </c>
      <c r="P58" s="14" t="str">
        <f>_xll.BDH("SRPT US Equity","EPS_DIL_BEF_EXTRAORD_SEQ_GRWTH","FQ1 2022","FQ1 2022","Currency=USD","Period=FQ","BEST_FPERIOD_OVERRIDE=FQ","FILING_STATUS=MR","Sort=A","Dates=H","DateFormat=P","Fill=—","Direction=H","UseDPDF=Y")</f>
        <v>—</v>
      </c>
      <c r="Q58" s="14" t="str">
        <f>_xll.BDH("SRPT US Equity","EPS_DIL_BEF_EXTRAORD_SEQ_GRWTH","FQ2 2022","FQ2 2022","Currency=USD","Period=FQ","BEST_FPERIOD_OVERRIDE=FQ","FILING_STATUS=MR","Sort=A","Dates=H","DateFormat=P","Fill=—","Direction=H","UseDPDF=Y")</f>
        <v>—</v>
      </c>
      <c r="R58" s="14" t="str">
        <f>_xll.BDH("SRPT US Equity","EPS_DIL_BEF_EXTRAORD_SEQ_GRWTH","FQ3 2022","FQ3 2022","Currency=USD","Period=FQ","BEST_FPERIOD_OVERRIDE=FQ","FILING_STATUS=MR","Sort=A","Dates=H","DateFormat=P","Fill=—","Direction=H","UseDPDF=Y")</f>
        <v>—</v>
      </c>
      <c r="S58" s="14" t="str">
        <f>_xll.BDH("SRPT US Equity","EPS_DIL_BEF_EXTRAORD_SEQ_GRWTH","FQ4 2022","FQ4 2022","Currency=USD","Period=FQ","BEST_FPERIOD_OVERRIDE=FQ","FILING_STATUS=MR","Sort=A","Dates=H","DateFormat=P","Fill=—","Direction=H","UseDPDF=Y")</f>
        <v>—</v>
      </c>
      <c r="T58" s="14" t="str">
        <f>_xll.BDH("SRPT US Equity","EPS_DIL_BEF_EXTRAORD_SEQ_GRWTH","FQ1 2023","FQ1 2023","Currency=USD","Period=FQ","BEST_FPERIOD_OVERRIDE=FQ","FILING_STATUS=MR","Sort=A","Dates=H","DateFormat=P","Fill=—","Direction=H","UseDPDF=Y")</f>
        <v>—</v>
      </c>
      <c r="U58" s="14" t="str">
        <f>_xll.BDH("SRPT US Equity","EPS_DIL_BEF_EXTRAORD_SEQ_GRWTH","FQ2 2023","FQ2 2023","Currency=USD","Period=FQ","BEST_FPERIOD_OVERRIDE=FQ","FILING_STATUS=MR","Sort=A","Dates=H","DateFormat=P","Fill=—","Direction=H","UseDPDF=Y")</f>
        <v>—</v>
      </c>
      <c r="V58" s="14" t="str">
        <f>_xll.BDH("SRPT US Equity","EPS_DIL_BEF_EXTRAORD_SEQ_GRWTH","FQ3 2023","FQ3 2023","Currency=USD","Period=FQ","BEST_FPERIOD_OVERRIDE=FQ","FILING_STATUS=MR","Sort=A","Dates=H","DateFormat=P","Fill=—","Direction=H","UseDPDF=Y")</f>
        <v>—</v>
      </c>
      <c r="W58" s="14" t="str">
        <f>_xll.BDH("SRPT US Equity","EPS_DIL_BEF_EXTRAORD_SEQ_GRWTH","FQ4 2023","FQ4 2023","Currency=USD","Period=FQ","BEST_FPERIOD_OVERRIDE=FQ","FILING_STATUS=MR","Sort=A","Dates=H","DateFormat=P","Fill=—","Direction=H","UseDPDF=Y")</f>
        <v>—</v>
      </c>
      <c r="X58" s="14">
        <f>_xll.BDH("SRPT US Equity","EPS_DIL_BEF_EXTRAORD_SEQ_GRWTH","FQ1 2024","FQ1 2024","Currency=USD","Period=FQ","BEST_FPERIOD_OVERRIDE=FQ","FILING_STATUS=MR","Sort=A","Dates=H","DateFormat=P","Fill=—","Direction=H","UseDPDF=Y")</f>
        <v>-21.276599999999998</v>
      </c>
      <c r="Y58" s="14">
        <f>_xll.BDH("SRPT US Equity","EPS_DIL_BEF_EXTRAORD_SEQ_GRWTH","FQ2 2024","FQ2 2024","Currency=USD","Period=FQ","BEST_FPERIOD_OVERRIDE=FQ","FILING_STATUS=MR","Sort=A","Dates=H","DateFormat=P","Fill=—","Direction=H","UseDPDF=Y")</f>
        <v>-81.081100000000006</v>
      </c>
      <c r="Z58" s="14">
        <f>_xll.BDH("SRPT US Equity","EPS_DIL_BEF_EXTRAORD_SEQ_GRWTH","FQ3 2024","FQ3 2024","Currency=USD","Period=FQ","BEST_FPERIOD_OVERRIDE=FQ","FILING_STATUS=MR","Sort=A","Dates=H","DateFormat=P","Fill=—","Direction=H","UseDPDF=Y")</f>
        <v>385.71429999999998</v>
      </c>
      <c r="AA58" s="14">
        <f>_xll.BDH("SRPT US Equity","EPS_DIL_BEF_EXTRAORD_SEQ_GRWTH","FQ4 2024","FQ4 2024","Currency=USD","Period=FQ","BEST_FPERIOD_OVERRIDE=FQ","FILING_STATUS=MR","Sort=A","Dates=H","DateFormat=P","Fill=—","Direction=H","UseDPDF=Y")</f>
        <v>341.17649999999998</v>
      </c>
    </row>
    <row r="59" spans="1:27" x14ac:dyDescent="0.25">
      <c r="A59" s="10" t="s">
        <v>1392</v>
      </c>
      <c r="B59" s="10" t="s">
        <v>1445</v>
      </c>
      <c r="C59" s="14" t="str">
        <f>_xll.BDH("SRPT US Equity","EPS_DILUTED_BEF_ABNRML_SEQ_GRWTH","FQ4 2018","FQ4 2018","Currency=USD","Period=FQ","BEST_FPERIOD_OVERRIDE=FQ","FILING_STATUS=MR","Sort=A","Dates=H","DateFormat=P","Fill=—","Direction=H","UseDPDF=Y")</f>
        <v>—</v>
      </c>
      <c r="D59" s="14" t="str">
        <f>_xll.BDH("SRPT US Equity","EPS_DILUTED_BEF_ABNRML_SEQ_GRWTH","FQ1 2019","FQ1 2019","Currency=USD","Period=FQ","BEST_FPERIOD_OVERRIDE=FQ","FILING_STATUS=MR","Sort=A","Dates=H","DateFormat=P","Fill=—","Direction=H","UseDPDF=Y")</f>
        <v>—</v>
      </c>
      <c r="E59" s="14" t="str">
        <f>_xll.BDH("SRPT US Equity","EPS_DILUTED_BEF_ABNRML_SEQ_GRWTH","FQ2 2019","FQ2 2019","Currency=USD","Period=FQ","BEST_FPERIOD_OVERRIDE=FQ","FILING_STATUS=MR","Sort=A","Dates=H","DateFormat=P","Fill=—","Direction=H","UseDPDF=Y")</f>
        <v>—</v>
      </c>
      <c r="F59" s="14" t="str">
        <f>_xll.BDH("SRPT US Equity","EPS_DILUTED_BEF_ABNRML_SEQ_GRWTH","FQ3 2019","FQ3 2019","Currency=USD","Period=FQ","BEST_FPERIOD_OVERRIDE=FQ","FILING_STATUS=MR","Sort=A","Dates=H","DateFormat=P","Fill=—","Direction=H","UseDPDF=Y")</f>
        <v>—</v>
      </c>
      <c r="G59" s="14" t="str">
        <f>_xll.BDH("SRPT US Equity","EPS_DILUTED_BEF_ABNRML_SEQ_GRWTH","FQ4 2019","FQ4 2019","Currency=USD","Period=FQ","BEST_FPERIOD_OVERRIDE=FQ","FILING_STATUS=MR","Sort=A","Dates=H","DateFormat=P","Fill=—","Direction=H","UseDPDF=Y")</f>
        <v>—</v>
      </c>
      <c r="H59" s="14" t="str">
        <f>_xll.BDH("SRPT US Equity","EPS_DILUTED_BEF_ABNRML_SEQ_GRWTH","FQ1 2020","FQ1 2020","Currency=USD","Period=FQ","BEST_FPERIOD_OVERRIDE=FQ","FILING_STATUS=MR","Sort=A","Dates=H","DateFormat=P","Fill=—","Direction=H","UseDPDF=Y")</f>
        <v>—</v>
      </c>
      <c r="I59" s="14" t="str">
        <f>_xll.BDH("SRPT US Equity","EPS_DILUTED_BEF_ABNRML_SEQ_GRWTH","FQ2 2020","FQ2 2020","Currency=USD","Period=FQ","BEST_FPERIOD_OVERRIDE=FQ","FILING_STATUS=MR","Sort=A","Dates=H","DateFormat=P","Fill=—","Direction=H","UseDPDF=Y")</f>
        <v>—</v>
      </c>
      <c r="J59" s="14" t="str">
        <f>_xll.BDH("SRPT US Equity","EPS_DILUTED_BEF_ABNRML_SEQ_GRWTH","FQ3 2020","FQ3 2020","Currency=USD","Period=FQ","BEST_FPERIOD_OVERRIDE=FQ","FILING_STATUS=MR","Sort=A","Dates=H","DateFormat=P","Fill=—","Direction=H","UseDPDF=Y")</f>
        <v>—</v>
      </c>
      <c r="K59" s="14" t="str">
        <f>_xll.BDH("SRPT US Equity","EPS_DILUTED_BEF_ABNRML_SEQ_GRWTH","FQ4 2020","FQ4 2020","Currency=USD","Period=FQ","BEST_FPERIOD_OVERRIDE=FQ","FILING_STATUS=MR","Sort=A","Dates=H","DateFormat=P","Fill=—","Direction=H","UseDPDF=Y")</f>
        <v>—</v>
      </c>
      <c r="L59" s="14" t="str">
        <f>_xll.BDH("SRPT US Equity","EPS_DILUTED_BEF_ABNRML_SEQ_GRWTH","FQ1 2021","FQ1 2021","Currency=USD","Period=FQ","BEST_FPERIOD_OVERRIDE=FQ","FILING_STATUS=MR","Sort=A","Dates=H","DateFormat=P","Fill=—","Direction=H","UseDPDF=Y")</f>
        <v>—</v>
      </c>
      <c r="M59" s="14" t="str">
        <f>_xll.BDH("SRPT US Equity","EPS_DILUTED_BEF_ABNRML_SEQ_GRWTH","FQ2 2021","FQ2 2021","Currency=USD","Period=FQ","BEST_FPERIOD_OVERRIDE=FQ","FILING_STATUS=MR","Sort=A","Dates=H","DateFormat=P","Fill=—","Direction=H","UseDPDF=Y")</f>
        <v>—</v>
      </c>
      <c r="N59" s="14" t="str">
        <f>_xll.BDH("SRPT US Equity","EPS_DILUTED_BEF_ABNRML_SEQ_GRWTH","FQ3 2021","FQ3 2021","Currency=USD","Period=FQ","BEST_FPERIOD_OVERRIDE=FQ","FILING_STATUS=MR","Sort=A","Dates=H","DateFormat=P","Fill=—","Direction=H","UseDPDF=Y")</f>
        <v>—</v>
      </c>
      <c r="O59" s="14" t="str">
        <f>_xll.BDH("SRPT US Equity","EPS_DILUTED_BEF_ABNRML_SEQ_GRWTH","FQ4 2021","FQ4 2021","Currency=USD","Period=FQ","BEST_FPERIOD_OVERRIDE=FQ","FILING_STATUS=MR","Sort=A","Dates=H","DateFormat=P","Fill=—","Direction=H","UseDPDF=Y")</f>
        <v>—</v>
      </c>
      <c r="P59" s="14" t="str">
        <f>_xll.BDH("SRPT US Equity","EPS_DILUTED_BEF_ABNRML_SEQ_GRWTH","FQ1 2022","FQ1 2022","Currency=USD","Period=FQ","BEST_FPERIOD_OVERRIDE=FQ","FILING_STATUS=MR","Sort=A","Dates=H","DateFormat=P","Fill=—","Direction=H","UseDPDF=Y")</f>
        <v>—</v>
      </c>
      <c r="Q59" s="14" t="str">
        <f>_xll.BDH("SRPT US Equity","EPS_DILUTED_BEF_ABNRML_SEQ_GRWTH","FQ2 2022","FQ2 2022","Currency=USD","Period=FQ","BEST_FPERIOD_OVERRIDE=FQ","FILING_STATUS=MR","Sort=A","Dates=H","DateFormat=P","Fill=—","Direction=H","UseDPDF=Y")</f>
        <v>—</v>
      </c>
      <c r="R59" s="14" t="str">
        <f>_xll.BDH("SRPT US Equity","EPS_DILUTED_BEF_ABNRML_SEQ_GRWTH","FQ3 2022","FQ3 2022","Currency=USD","Period=FQ","BEST_FPERIOD_OVERRIDE=FQ","FILING_STATUS=MR","Sort=A","Dates=H","DateFormat=P","Fill=—","Direction=H","UseDPDF=Y")</f>
        <v>—</v>
      </c>
      <c r="S59" s="14" t="str">
        <f>_xll.BDH("SRPT US Equity","EPS_DILUTED_BEF_ABNRML_SEQ_GRWTH","FQ4 2022","FQ4 2022","Currency=USD","Period=FQ","BEST_FPERIOD_OVERRIDE=FQ","FILING_STATUS=MR","Sort=A","Dates=H","DateFormat=P","Fill=—","Direction=H","UseDPDF=Y")</f>
        <v>—</v>
      </c>
      <c r="T59" s="14" t="str">
        <f>_xll.BDH("SRPT US Equity","EPS_DILUTED_BEF_ABNRML_SEQ_GRWTH","FQ1 2023","FQ1 2023","Currency=USD","Period=FQ","BEST_FPERIOD_OVERRIDE=FQ","FILING_STATUS=MR","Sort=A","Dates=H","DateFormat=P","Fill=—","Direction=H","UseDPDF=Y")</f>
        <v>—</v>
      </c>
      <c r="U59" s="14" t="str">
        <f>_xll.BDH("SRPT US Equity","EPS_DILUTED_BEF_ABNRML_SEQ_GRWTH","FQ2 2023","FQ2 2023","Currency=USD","Period=FQ","BEST_FPERIOD_OVERRIDE=FQ","FILING_STATUS=MR","Sort=A","Dates=H","DateFormat=P","Fill=—","Direction=H","UseDPDF=Y")</f>
        <v>—</v>
      </c>
      <c r="V59" s="14" t="str">
        <f>_xll.BDH("SRPT US Equity","EPS_DILUTED_BEF_ABNRML_SEQ_GRWTH","FQ3 2023","FQ3 2023","Currency=USD","Period=FQ","BEST_FPERIOD_OVERRIDE=FQ","FILING_STATUS=MR","Sort=A","Dates=H","DateFormat=P","Fill=—","Direction=H","UseDPDF=Y")</f>
        <v>—</v>
      </c>
      <c r="W59" s="14" t="str">
        <f>_xll.BDH("SRPT US Equity","EPS_DILUTED_BEF_ABNRML_SEQ_GRWTH","FQ4 2023","FQ4 2023","Currency=USD","Period=FQ","BEST_FPERIOD_OVERRIDE=FQ","FILING_STATUS=MR","Sort=A","Dates=H","DateFormat=P","Fill=—","Direction=H","UseDPDF=Y")</f>
        <v>—</v>
      </c>
      <c r="X59" s="14">
        <f>_xll.BDH("SRPT US Equity","EPS_DILUTED_BEF_ABNRML_SEQ_GRWTH","FQ1 2024","FQ1 2024","Currency=USD","Period=FQ","BEST_FPERIOD_OVERRIDE=FQ","FILING_STATUS=MR","Sort=A","Dates=H","DateFormat=P","Fill=—","Direction=H","UseDPDF=Y")</f>
        <v>-0.26490000000000002</v>
      </c>
      <c r="Y59" s="14">
        <f>_xll.BDH("SRPT US Equity","EPS_DILUTED_BEF_ABNRML_SEQ_GRWTH","FQ2 2024","FQ2 2024","Currency=USD","Period=FQ","BEST_FPERIOD_OVERRIDE=FQ","FILING_STATUS=MR","Sort=A","Dates=H","DateFormat=P","Fill=—","Direction=H","UseDPDF=Y")</f>
        <v>-85.066800000000001</v>
      </c>
      <c r="Z59" s="14">
        <f>_xll.BDH("SRPT US Equity","EPS_DILUTED_BEF_ABNRML_SEQ_GRWTH","FQ3 2024","FQ3 2024","Currency=USD","Period=FQ","BEST_FPERIOD_OVERRIDE=FQ","FILING_STATUS=MR","Sort=A","Dates=H","DateFormat=P","Fill=—","Direction=H","UseDPDF=Y")</f>
        <v>366.37290000000002</v>
      </c>
      <c r="AA59" s="14">
        <f>_xll.BDH("SRPT US Equity","EPS_DILUTED_BEF_ABNRML_SEQ_GRWTH","FQ4 2024","FQ4 2024","Currency=USD","Period=FQ","BEST_FPERIOD_OVERRIDE=FQ","FILING_STATUS=MR","Sort=A","Dates=H","DateFormat=P","Fill=—","Direction=H","UseDPDF=Y")</f>
        <v>357.46660000000003</v>
      </c>
    </row>
    <row r="60" spans="1:27" x14ac:dyDescent="0.25">
      <c r="A60" s="10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x14ac:dyDescent="0.25">
      <c r="A61" s="10" t="s">
        <v>1394</v>
      </c>
      <c r="B61" s="10" t="s">
        <v>1446</v>
      </c>
      <c r="C61" s="14">
        <f>_xll.BDH("SRPT US Equity","ACCOUNTS_RECEIVABLE_SEQ_GROWTH","FQ4 2018","FQ4 2018","Currency=USD","Period=FQ","BEST_FPERIOD_OVERRIDE=FQ","FILING_STATUS=MR","Sort=A","Dates=H","DateFormat=P","Fill=—","Direction=H","UseDPDF=Y")</f>
        <v>0.91149999999999998</v>
      </c>
      <c r="D61" s="14">
        <f>_xll.BDH("SRPT US Equity","ACCOUNTS_RECEIVABLE_SEQ_GROWTH","FQ1 2019","FQ1 2019","Currency=USD","Period=FQ","BEST_FPERIOD_OVERRIDE=FQ","FILING_STATUS=MR","Sort=A","Dates=H","DateFormat=P","Fill=—","Direction=H","UseDPDF=Y")</f>
        <v>2.9891999999999999</v>
      </c>
      <c r="E61" s="14">
        <f>_xll.BDH("SRPT US Equity","ACCOUNTS_RECEIVABLE_SEQ_GROWTH","FQ2 2019","FQ2 2019","Currency=USD","Period=FQ","BEST_FPERIOD_OVERRIDE=FQ","FILING_STATUS=MR","Sort=A","Dates=H","DateFormat=P","Fill=—","Direction=H","UseDPDF=Y")</f>
        <v>12.811299999999999</v>
      </c>
      <c r="F61" s="14">
        <f>_xll.BDH("SRPT US Equity","ACCOUNTS_RECEIVABLE_SEQ_GROWTH","FQ3 2019","FQ3 2019","Currency=USD","Period=FQ","BEST_FPERIOD_OVERRIDE=FQ","FILING_STATUS=MR","Sort=A","Dates=H","DateFormat=P","Fill=—","Direction=H","UseDPDF=Y")</f>
        <v>19.394200000000001</v>
      </c>
      <c r="G61" s="14">
        <f>_xll.BDH("SRPT US Equity","ACCOUNTS_RECEIVABLE_SEQ_GROWTH","FQ4 2019","FQ4 2019","Currency=USD","Period=FQ","BEST_FPERIOD_OVERRIDE=FQ","FILING_STATUS=MR","Sort=A","Dates=H","DateFormat=P","Fill=—","Direction=H","UseDPDF=Y")</f>
        <v>33.582700000000003</v>
      </c>
      <c r="H61" s="14">
        <f>_xll.BDH("SRPT US Equity","ACCOUNTS_RECEIVABLE_SEQ_GROWTH","FQ1 2020","FQ1 2020","Currency=USD","Period=FQ","BEST_FPERIOD_OVERRIDE=FQ","FILING_STATUS=MR","Sort=A","Dates=H","DateFormat=P","Fill=—","Direction=H","UseDPDF=Y")</f>
        <v>17.601400000000002</v>
      </c>
      <c r="I61" s="14">
        <f>_xll.BDH("SRPT US Equity","ACCOUNTS_RECEIVABLE_SEQ_GROWTH","FQ2 2020","FQ2 2020","Currency=USD","Period=FQ","BEST_FPERIOD_OVERRIDE=FQ","FILING_STATUS=MR","Sort=A","Dates=H","DateFormat=P","Fill=—","Direction=H","UseDPDF=Y")</f>
        <v>-2.6638999999999999</v>
      </c>
      <c r="J61" s="14">
        <f>_xll.BDH("SRPT US Equity","ACCOUNTS_RECEIVABLE_SEQ_GROWTH","FQ3 2020","FQ3 2020","Currency=USD","Period=FQ","BEST_FPERIOD_OVERRIDE=FQ","FILING_STATUS=MR","Sort=A","Dates=H","DateFormat=P","Fill=—","Direction=H","UseDPDF=Y")</f>
        <v>17.1098</v>
      </c>
      <c r="K61" s="14">
        <f>_xll.BDH("SRPT US Equity","ACCOUNTS_RECEIVABLE_SEQ_GROWTH","FQ4 2020","FQ4 2020","Currency=USD","Period=FQ","BEST_FPERIOD_OVERRIDE=FQ","FILING_STATUS=MR","Sort=A","Dates=H","DateFormat=P","Fill=—","Direction=H","UseDPDF=Y")</f>
        <v>-16.816500000000001</v>
      </c>
      <c r="L61" s="14">
        <f>_xll.BDH("SRPT US Equity","ACCOUNTS_RECEIVABLE_SEQ_GROWTH","FQ1 2021","FQ1 2021","Currency=USD","Period=FQ","BEST_FPERIOD_OVERRIDE=FQ","FILING_STATUS=MR","Sort=A","Dates=H","DateFormat=P","Fill=—","Direction=H","UseDPDF=Y")</f>
        <v>16.64</v>
      </c>
      <c r="M61" s="14">
        <f>_xll.BDH("SRPT US Equity","ACCOUNTS_RECEIVABLE_SEQ_GROWTH","FQ2 2021","FQ2 2021","Currency=USD","Period=FQ","BEST_FPERIOD_OVERRIDE=FQ","FILING_STATUS=MR","Sort=A","Dates=H","DateFormat=P","Fill=—","Direction=H","UseDPDF=Y")</f>
        <v>7.8822000000000001</v>
      </c>
      <c r="N61" s="14">
        <f>_xll.BDH("SRPT US Equity","ACCOUNTS_RECEIVABLE_SEQ_GROWTH","FQ3 2021","FQ3 2021","Currency=USD","Period=FQ","BEST_FPERIOD_OVERRIDE=FQ","FILING_STATUS=MR","Sort=A","Dates=H","DateFormat=P","Fill=—","Direction=H","UseDPDF=Y")</f>
        <v>17.461600000000001</v>
      </c>
      <c r="O61" s="14">
        <f>_xll.BDH("SRPT US Equity","ACCOUNTS_RECEIVABLE_SEQ_GROWTH","FQ4 2021","FQ4 2021","Currency=USD","Period=FQ","BEST_FPERIOD_OVERRIDE=FQ","FILING_STATUS=MR","Sort=A","Dates=H","DateFormat=P","Fill=—","Direction=H","UseDPDF=Y")</f>
        <v>2.1383999999999999</v>
      </c>
      <c r="P61" s="14">
        <f>_xll.BDH("SRPT US Equity","ACCOUNTS_RECEIVABLE_SEQ_GROWTH","FQ1 2022","FQ1 2022","Currency=USD","Period=FQ","BEST_FPERIOD_OVERRIDE=FQ","FILING_STATUS=MR","Sort=A","Dates=H","DateFormat=P","Fill=—","Direction=H","UseDPDF=Y")</f>
        <v>16.474299999999999</v>
      </c>
      <c r="Q61" s="14">
        <f>_xll.BDH("SRPT US Equity","ACCOUNTS_RECEIVABLE_SEQ_GROWTH","FQ2 2022","FQ2 2022","Currency=USD","Period=FQ","BEST_FPERIOD_OVERRIDE=FQ","FILING_STATUS=MR","Sort=A","Dates=H","DateFormat=P","Fill=—","Direction=H","UseDPDF=Y")</f>
        <v>14.4</v>
      </c>
      <c r="R61" s="14">
        <f>_xll.BDH("SRPT US Equity","ACCOUNTS_RECEIVABLE_SEQ_GROWTH","FQ3 2022","FQ3 2022","Currency=USD","Period=FQ","BEST_FPERIOD_OVERRIDE=FQ","FILING_STATUS=MR","Sort=A","Dates=H","DateFormat=P","Fill=—","Direction=H","UseDPDF=Y")</f>
        <v>-1.1503000000000001</v>
      </c>
      <c r="S61" s="14">
        <f>_xll.BDH("SRPT US Equity","ACCOUNTS_RECEIVABLE_SEQ_GROWTH","FQ4 2022","FQ4 2022","Currency=USD","Period=FQ","BEST_FPERIOD_OVERRIDE=FQ","FILING_STATUS=MR","Sort=A","Dates=H","DateFormat=P","Fill=—","Direction=H","UseDPDF=Y")</f>
        <v>6.5103999999999997</v>
      </c>
      <c r="T61" s="14">
        <f>_xll.BDH("SRPT US Equity","ACCOUNTS_RECEIVABLE_SEQ_GROWTH","FQ1 2023","FQ1 2023","Currency=USD","Period=FQ","BEST_FPERIOD_OVERRIDE=FQ","FILING_STATUS=MR","Sort=A","Dates=H","DateFormat=P","Fill=—","Direction=H","UseDPDF=Y")</f>
        <v>4.2901999999999996</v>
      </c>
      <c r="U61" s="14">
        <f>_xll.BDH("SRPT US Equity","ACCOUNTS_RECEIVABLE_SEQ_GROWTH","FQ2 2023","FQ2 2023","Currency=USD","Period=FQ","BEST_FPERIOD_OVERRIDE=FQ","FILING_STATUS=MR","Sort=A","Dates=H","DateFormat=P","Fill=—","Direction=H","UseDPDF=Y")</f>
        <v>5.7953000000000001</v>
      </c>
      <c r="V61" s="14">
        <f>_xll.BDH("SRPT US Equity","ACCOUNTS_RECEIVABLE_SEQ_GROWTH","FQ3 2023","FQ3 2023","Currency=USD","Period=FQ","BEST_FPERIOD_OVERRIDE=FQ","FILING_STATUS=MR","Sort=A","Dates=H","DateFormat=P","Fill=—","Direction=H","UseDPDF=Y")</f>
        <v>34.647100000000002</v>
      </c>
      <c r="W61" s="14">
        <f>_xll.BDH("SRPT US Equity","ACCOUNTS_RECEIVABLE_SEQ_GROWTH","FQ4 2023","FQ4 2023","Currency=USD","Period=FQ","BEST_FPERIOD_OVERRIDE=FQ","FILING_STATUS=MR","Sort=A","Dates=H","DateFormat=P","Fill=—","Direction=H","UseDPDF=Y")</f>
        <v>25.551400000000001</v>
      </c>
      <c r="X61" s="14">
        <f>_xll.BDH("SRPT US Equity","ACCOUNTS_RECEIVABLE_SEQ_GROWTH","FQ1 2024","FQ1 2024","Currency=USD","Period=FQ","BEST_FPERIOD_OVERRIDE=FQ","FILING_STATUS=MR","Sort=A","Dates=H","DateFormat=P","Fill=—","Direction=H","UseDPDF=Y")</f>
        <v>-5.3758999999999997</v>
      </c>
      <c r="Y61" s="14">
        <f>_xll.BDH("SRPT US Equity","ACCOUNTS_RECEIVABLE_SEQ_GROWTH","FQ2 2024","FQ2 2024","Currency=USD","Period=FQ","BEST_FPERIOD_OVERRIDE=FQ","FILING_STATUS=MR","Sort=A","Dates=H","DateFormat=P","Fill=—","Direction=H","UseDPDF=Y")</f>
        <v>-4.9653</v>
      </c>
      <c r="Z61" s="14">
        <f>_xll.BDH("SRPT US Equity","ACCOUNTS_RECEIVABLE_SEQ_GROWTH","FQ3 2024","FQ3 2024","Currency=USD","Period=FQ","BEST_FPERIOD_OVERRIDE=FQ","FILING_STATUS=MR","Sort=A","Dates=H","DateFormat=P","Fill=—","Direction=H","UseDPDF=Y")</f>
        <v>20.702100000000002</v>
      </c>
      <c r="AA61" s="14">
        <f>_xll.BDH("SRPT US Equity","ACCOUNTS_RECEIVABLE_SEQ_GROWTH","FQ4 2024","FQ4 2024","Currency=USD","Period=FQ","BEST_FPERIOD_OVERRIDE=FQ","FILING_STATUS=MR","Sort=A","Dates=H","DateFormat=P","Fill=—","Direction=H","UseDPDF=Y")</f>
        <v>38.5396</v>
      </c>
    </row>
    <row r="62" spans="1:27" x14ac:dyDescent="0.25">
      <c r="A62" s="10" t="s">
        <v>1396</v>
      </c>
      <c r="B62" s="10" t="s">
        <v>1447</v>
      </c>
      <c r="C62" s="14">
        <f>_xll.BDH("SRPT US Equity","INVENTORY_SEQUENTIAL_GROWTH","FQ4 2018","FQ4 2018","Currency=USD","Period=FQ","BEST_FPERIOD_OVERRIDE=FQ","FILING_STATUS=MR","Sort=A","Dates=H","DateFormat=P","Fill=—","Direction=H","UseDPDF=Y")</f>
        <v>8.3140000000000001</v>
      </c>
      <c r="D62" s="14">
        <f>_xll.BDH("SRPT US Equity","INVENTORY_SEQUENTIAL_GROWTH","FQ1 2019","FQ1 2019","Currency=USD","Period=FQ","BEST_FPERIOD_OVERRIDE=FQ","FILING_STATUS=MR","Sort=A","Dates=H","DateFormat=P","Fill=—","Direction=H","UseDPDF=Y")</f>
        <v>11.975</v>
      </c>
      <c r="E62" s="14">
        <f>_xll.BDH("SRPT US Equity","INVENTORY_SEQUENTIAL_GROWTH","FQ2 2019","FQ2 2019","Currency=USD","Period=FQ","BEST_FPERIOD_OVERRIDE=FQ","FILING_STATUS=MR","Sort=A","Dates=H","DateFormat=P","Fill=—","Direction=H","UseDPDF=Y")</f>
        <v>11.463200000000001</v>
      </c>
      <c r="F62" s="14">
        <f>_xll.BDH("SRPT US Equity","INVENTORY_SEQUENTIAL_GROWTH","FQ3 2019","FQ3 2019","Currency=USD","Period=FQ","BEST_FPERIOD_OVERRIDE=FQ","FILING_STATUS=MR","Sort=A","Dates=H","DateFormat=P","Fill=—","Direction=H","UseDPDF=Y")</f>
        <v>6.2534999999999998</v>
      </c>
      <c r="G62" s="14">
        <f>_xll.BDH("SRPT US Equity","INVENTORY_SEQUENTIAL_GROWTH","FQ4 2019","FQ4 2019","Currency=USD","Period=FQ","BEST_FPERIOD_OVERRIDE=FQ","FILING_STATUS=MR","Sort=A","Dates=H","DateFormat=P","Fill=—","Direction=H","UseDPDF=Y")</f>
        <v>3.0169999999999999</v>
      </c>
      <c r="H62" s="14">
        <f>_xll.BDH("SRPT US Equity","INVENTORY_SEQUENTIAL_GROWTH","FQ1 2020","FQ1 2020","Currency=USD","Period=FQ","BEST_FPERIOD_OVERRIDE=FQ","FILING_STATUS=MR","Sort=A","Dates=H","DateFormat=P","Fill=—","Direction=H","UseDPDF=Y")</f>
        <v>1.0439000000000001</v>
      </c>
      <c r="I62" s="14">
        <f>_xll.BDH("SRPT US Equity","INVENTORY_SEQUENTIAL_GROWTH","FQ2 2020","FQ2 2020","Currency=USD","Period=FQ","BEST_FPERIOD_OVERRIDE=FQ","FILING_STATUS=MR","Sort=A","Dates=H","DateFormat=P","Fill=—","Direction=H","UseDPDF=Y")</f>
        <v>3.7431999999999999</v>
      </c>
      <c r="J62" s="14">
        <f>_xll.BDH("SRPT US Equity","INVENTORY_SEQUENTIAL_GROWTH","FQ3 2020","FQ3 2020","Currency=USD","Period=FQ","BEST_FPERIOD_OVERRIDE=FQ","FILING_STATUS=MR","Sort=A","Dates=H","DateFormat=P","Fill=—","Direction=H","UseDPDF=Y")</f>
        <v>22.526</v>
      </c>
      <c r="K62" s="14">
        <f>_xll.BDH("SRPT US Equity","INVENTORY_SEQUENTIAL_GROWTH","FQ4 2020","FQ4 2020","Currency=USD","Period=FQ","BEST_FPERIOD_OVERRIDE=FQ","FILING_STATUS=MR","Sort=A","Dates=H","DateFormat=P","Fill=—","Direction=H","UseDPDF=Y")</f>
        <v>5.3803000000000001</v>
      </c>
      <c r="L62" s="14">
        <f>_xll.BDH("SRPT US Equity","INVENTORY_SEQUENTIAL_GROWTH","FQ1 2021","FQ1 2021","Currency=USD","Period=FQ","BEST_FPERIOD_OVERRIDE=FQ","FILING_STATUS=MR","Sort=A","Dates=H","DateFormat=P","Fill=—","Direction=H","UseDPDF=Y")</f>
        <v>3.6092</v>
      </c>
      <c r="M62" s="14">
        <f>_xll.BDH("SRPT US Equity","INVENTORY_SEQUENTIAL_GROWTH","FQ2 2021","FQ2 2021","Currency=USD","Period=FQ","BEST_FPERIOD_OVERRIDE=FQ","FILING_STATUS=MR","Sort=A","Dates=H","DateFormat=P","Fill=—","Direction=H","UseDPDF=Y")</f>
        <v>11.826499999999999</v>
      </c>
      <c r="N62" s="14">
        <f>_xll.BDH("SRPT US Equity","INVENTORY_SEQUENTIAL_GROWTH","FQ3 2021","FQ3 2021","Currency=USD","Period=FQ","BEST_FPERIOD_OVERRIDE=FQ","FILING_STATUS=MR","Sort=A","Dates=H","DateFormat=P","Fill=—","Direction=H","UseDPDF=Y")</f>
        <v>7.3349000000000002</v>
      </c>
      <c r="O62" s="14">
        <f>_xll.BDH("SRPT US Equity","INVENTORY_SEQUENTIAL_GROWTH","FQ4 2021","FQ4 2021","Currency=USD","Period=FQ","BEST_FPERIOD_OVERRIDE=FQ","FILING_STATUS=MR","Sort=A","Dates=H","DateFormat=P","Fill=—","Direction=H","UseDPDF=Y")</f>
        <v>-35.4482</v>
      </c>
      <c r="P62" s="14">
        <f>_xll.BDH("SRPT US Equity","INVENTORY_SEQUENTIAL_GROWTH","FQ1 2022","FQ1 2022","Currency=USD","Period=FQ","BEST_FPERIOD_OVERRIDE=FQ","FILING_STATUS=MR","Sort=A","Dates=H","DateFormat=P","Fill=—","Direction=H","UseDPDF=Y")</f>
        <v>6.8658000000000001</v>
      </c>
      <c r="Q62" s="14">
        <f>_xll.BDH("SRPT US Equity","INVENTORY_SEQUENTIAL_GROWTH","FQ2 2022","FQ2 2022","Currency=USD","Period=FQ","BEST_FPERIOD_OVERRIDE=FQ","FILING_STATUS=MR","Sort=A","Dates=H","DateFormat=P","Fill=—","Direction=H","UseDPDF=Y")</f>
        <v>4.5719000000000003</v>
      </c>
      <c r="R62" s="14">
        <f>_xll.BDH("SRPT US Equity","INVENTORY_SEQUENTIAL_GROWTH","FQ3 2022","FQ3 2022","Currency=USD","Period=FQ","BEST_FPERIOD_OVERRIDE=FQ","FILING_STATUS=MR","Sort=A","Dates=H","DateFormat=P","Fill=—","Direction=H","UseDPDF=Y")</f>
        <v>6.2938000000000001</v>
      </c>
      <c r="S62" s="14">
        <f>_xll.BDH("SRPT US Equity","INVENTORY_SEQUENTIAL_GROWTH","FQ4 2022","FQ4 2022","Currency=USD","Period=FQ","BEST_FPERIOD_OVERRIDE=FQ","FILING_STATUS=MR","Sort=A","Dates=H","DateFormat=P","Fill=—","Direction=H","UseDPDF=Y")</f>
        <v>-7.7869000000000002</v>
      </c>
      <c r="T62" s="14">
        <f>_xll.BDH("SRPT US Equity","INVENTORY_SEQUENTIAL_GROWTH","FQ1 2023","FQ1 2023","Currency=USD","Period=FQ","BEST_FPERIOD_OVERRIDE=FQ","FILING_STATUS=MR","Sort=A","Dates=H","DateFormat=P","Fill=—","Direction=H","UseDPDF=Y")</f>
        <v>-0.63390000000000002</v>
      </c>
      <c r="U62" s="14">
        <f>_xll.BDH("SRPT US Equity","INVENTORY_SEQUENTIAL_GROWTH","FQ2 2023","FQ2 2023","Currency=USD","Period=FQ","BEST_FPERIOD_OVERRIDE=FQ","FILING_STATUS=MR","Sort=A","Dates=H","DateFormat=P","Fill=—","Direction=H","UseDPDF=Y")</f>
        <v>11.940799999999999</v>
      </c>
      <c r="V62" s="14">
        <f>_xll.BDH("SRPT US Equity","INVENTORY_SEQUENTIAL_GROWTH","FQ3 2023","FQ3 2023","Currency=USD","Period=FQ","BEST_FPERIOD_OVERRIDE=FQ","FILING_STATUS=MR","Sort=A","Dates=H","DateFormat=P","Fill=—","Direction=H","UseDPDF=Y")</f>
        <v>7.5526</v>
      </c>
      <c r="W62" s="14">
        <f>_xll.BDH("SRPT US Equity","INVENTORY_SEQUENTIAL_GROWTH","FQ4 2023","FQ4 2023","Currency=USD","Period=FQ","BEST_FPERIOD_OVERRIDE=FQ","FILING_STATUS=MR","Sort=A","Dates=H","DateFormat=P","Fill=—","Direction=H","UseDPDF=Y")</f>
        <v>32.313299999999998</v>
      </c>
      <c r="X62" s="14">
        <f>_xll.BDH("SRPT US Equity","INVENTORY_SEQUENTIAL_GROWTH","FQ1 2024","FQ1 2024","Currency=USD","Period=FQ","BEST_FPERIOD_OVERRIDE=FQ","FILING_STATUS=MR","Sort=A","Dates=H","DateFormat=P","Fill=—","Direction=H","UseDPDF=Y")</f>
        <v>15.6945</v>
      </c>
      <c r="Y62" s="14">
        <f>_xll.BDH("SRPT US Equity","INVENTORY_SEQUENTIAL_GROWTH","FQ2 2024","FQ2 2024","Currency=USD","Period=FQ","BEST_FPERIOD_OVERRIDE=FQ","FILING_STATUS=MR","Sort=A","Dates=H","DateFormat=P","Fill=—","Direction=H","UseDPDF=Y")</f>
        <v>30.055099999999999</v>
      </c>
      <c r="Z62" s="14">
        <f>_xll.BDH("SRPT US Equity","INVENTORY_SEQUENTIAL_GROWTH","FQ3 2024","FQ3 2024","Currency=USD","Period=FQ","BEST_FPERIOD_OVERRIDE=FQ","FILING_STATUS=MR","Sort=A","Dates=H","DateFormat=P","Fill=—","Direction=H","UseDPDF=Y")</f>
        <v>16.494399999999999</v>
      </c>
      <c r="AA62" s="14">
        <f>_xll.BDH("SRPT US Equity","INVENTORY_SEQUENTIAL_GROWTH","FQ4 2024","FQ4 2024","Currency=USD","Period=FQ","BEST_FPERIOD_OVERRIDE=FQ","FILING_STATUS=MR","Sort=A","Dates=H","DateFormat=P","Fill=—","Direction=H","UseDPDF=Y")</f>
        <v>32.519599999999997</v>
      </c>
    </row>
    <row r="63" spans="1:27" x14ac:dyDescent="0.25">
      <c r="A63" s="10" t="s">
        <v>1398</v>
      </c>
      <c r="B63" s="10" t="s">
        <v>1448</v>
      </c>
      <c r="C63" s="14">
        <f>_xll.BDH("SRPT US Equity","FIXED_ASSETS_SEQUENTIAL_GROWTH","FQ4 2018","FQ4 2018","Currency=USD","Period=FQ","BEST_FPERIOD_OVERRIDE=FQ","FILING_STATUS=MR","Sort=A","Dates=H","DateFormat=P","Fill=—","Direction=H","UseDPDF=Y")</f>
        <v>26.265899999999998</v>
      </c>
      <c r="D63" s="14">
        <f>_xll.BDH("SRPT US Equity","FIXED_ASSETS_SEQUENTIAL_GROWTH","FQ1 2019","FQ1 2019","Currency=USD","Period=FQ","BEST_FPERIOD_OVERRIDE=FQ","FILING_STATUS=MR","Sort=A","Dates=H","DateFormat=P","Fill=—","Direction=H","UseDPDF=Y")</f>
        <v>51.898499999999999</v>
      </c>
      <c r="E63" s="14">
        <f>_xll.BDH("SRPT US Equity","FIXED_ASSETS_SEQUENTIAL_GROWTH","FQ2 2019","FQ2 2019","Currency=USD","Period=FQ","BEST_FPERIOD_OVERRIDE=FQ","FILING_STATUS=MR","Sort=A","Dates=H","DateFormat=P","Fill=—","Direction=H","UseDPDF=Y")</f>
        <v>6.2912999999999997</v>
      </c>
      <c r="F63" s="14">
        <f>_xll.BDH("SRPT US Equity","FIXED_ASSETS_SEQUENTIAL_GROWTH","FQ3 2019","FQ3 2019","Currency=USD","Period=FQ","BEST_FPERIOD_OVERRIDE=FQ","FILING_STATUS=MR","Sort=A","Dates=H","DateFormat=P","Fill=—","Direction=H","UseDPDF=Y")</f>
        <v>1.5161</v>
      </c>
      <c r="G63" s="14">
        <f>_xll.BDH("SRPT US Equity","FIXED_ASSETS_SEQUENTIAL_GROWTH","FQ4 2019","FQ4 2019","Currency=USD","Period=FQ","BEST_FPERIOD_OVERRIDE=FQ","FILING_STATUS=MR","Sort=A","Dates=H","DateFormat=P","Fill=—","Direction=H","UseDPDF=Y")</f>
        <v>5.3627000000000002</v>
      </c>
      <c r="H63" s="14">
        <f>_xll.BDH("SRPT US Equity","FIXED_ASSETS_SEQUENTIAL_GROWTH","FQ1 2020","FQ1 2020","Currency=USD","Period=FQ","BEST_FPERIOD_OVERRIDE=FQ","FILING_STATUS=MR","Sort=A","Dates=H","DateFormat=P","Fill=—","Direction=H","UseDPDF=Y")</f>
        <v>19.617100000000001</v>
      </c>
      <c r="I63" s="14">
        <f>_xll.BDH("SRPT US Equity","FIXED_ASSETS_SEQUENTIAL_GROWTH","FQ2 2020","FQ2 2020","Currency=USD","Period=FQ","BEST_FPERIOD_OVERRIDE=FQ","FILING_STATUS=MR","Sort=A","Dates=H","DateFormat=P","Fill=—","Direction=H","UseDPDF=Y")</f>
        <v>13.529</v>
      </c>
      <c r="J63" s="14">
        <f>_xll.BDH("SRPT US Equity","FIXED_ASSETS_SEQUENTIAL_GROWTH","FQ3 2020","FQ3 2020","Currency=USD","Period=FQ","BEST_FPERIOD_OVERRIDE=FQ","FILING_STATUS=MR","Sort=A","Dates=H","DateFormat=P","Fill=—","Direction=H","UseDPDF=Y")</f>
        <v>6.7079000000000004</v>
      </c>
      <c r="K63" s="14">
        <f>_xll.BDH("SRPT US Equity","FIXED_ASSETS_SEQUENTIAL_GROWTH","FQ4 2020","FQ4 2020","Currency=USD","Period=FQ","BEST_FPERIOD_OVERRIDE=FQ","FILING_STATUS=MR","Sort=A","Dates=H","DateFormat=P","Fill=—","Direction=H","UseDPDF=Y")</f>
        <v>16.223600000000001</v>
      </c>
      <c r="L63" s="14">
        <f>_xll.BDH("SRPT US Equity","FIXED_ASSETS_SEQUENTIAL_GROWTH","FQ1 2021","FQ1 2021","Currency=USD","Period=FQ","BEST_FPERIOD_OVERRIDE=FQ","FILING_STATUS=MR","Sort=A","Dates=H","DateFormat=P","Fill=—","Direction=H","UseDPDF=Y")</f>
        <v>-4.9668000000000001</v>
      </c>
      <c r="M63" s="14">
        <f>_xll.BDH("SRPT US Equity","FIXED_ASSETS_SEQUENTIAL_GROWTH","FQ2 2021","FQ2 2021","Currency=USD","Period=FQ","BEST_FPERIOD_OVERRIDE=FQ","FILING_STATUS=MR","Sort=A","Dates=H","DateFormat=P","Fill=—","Direction=H","UseDPDF=Y")</f>
        <v>2.9916999999999998</v>
      </c>
      <c r="N63" s="14">
        <f>_xll.BDH("SRPT US Equity","FIXED_ASSETS_SEQUENTIAL_GROWTH","FQ3 2021","FQ3 2021","Currency=USD","Period=FQ","BEST_FPERIOD_OVERRIDE=FQ","FILING_STATUS=MR","Sort=A","Dates=H","DateFormat=P","Fill=—","Direction=H","UseDPDF=Y")</f>
        <v>-1.5518000000000001</v>
      </c>
      <c r="O63" s="14">
        <f>_xll.BDH("SRPT US Equity","FIXED_ASSETS_SEQUENTIAL_GROWTH","FQ4 2021","FQ4 2021","Currency=USD","Period=FQ","BEST_FPERIOD_OVERRIDE=FQ","FILING_STATUS=MR","Sort=A","Dates=H","DateFormat=P","Fill=—","Direction=H","UseDPDF=Y")</f>
        <v>-12.954599999999999</v>
      </c>
      <c r="P63" s="14">
        <f>_xll.BDH("SRPT US Equity","FIXED_ASSETS_SEQUENTIAL_GROWTH","FQ1 2022","FQ1 2022","Currency=USD","Period=FQ","BEST_FPERIOD_OVERRIDE=FQ","FILING_STATUS=MR","Sort=A","Dates=H","DateFormat=P","Fill=—","Direction=H","UseDPDF=Y")</f>
        <v>-1.4605999999999999</v>
      </c>
      <c r="Q63" s="14">
        <f>_xll.BDH("SRPT US Equity","FIXED_ASSETS_SEQUENTIAL_GROWTH","FQ2 2022","FQ2 2022","Currency=USD","Period=FQ","BEST_FPERIOD_OVERRIDE=FQ","FILING_STATUS=MR","Sort=A","Dates=H","DateFormat=P","Fill=—","Direction=H","UseDPDF=Y")</f>
        <v>-1.2601</v>
      </c>
      <c r="R63" s="14">
        <f>_xll.BDH("SRPT US Equity","FIXED_ASSETS_SEQUENTIAL_GROWTH","FQ3 2022","FQ3 2022","Currency=USD","Period=FQ","BEST_FPERIOD_OVERRIDE=FQ","FILING_STATUS=MR","Sort=A","Dates=H","DateFormat=P","Fill=—","Direction=H","UseDPDF=Y")</f>
        <v>-2.7147999999999999</v>
      </c>
      <c r="S63" s="14">
        <f>_xll.BDH("SRPT US Equity","FIXED_ASSETS_SEQUENTIAL_GROWTH","FQ4 2022","FQ4 2022","Currency=USD","Period=FQ","BEST_FPERIOD_OVERRIDE=FQ","FILING_STATUS=MR","Sort=A","Dates=H","DateFormat=P","Fill=—","Direction=H","UseDPDF=Y")</f>
        <v>19.88</v>
      </c>
      <c r="T63" s="14">
        <f>_xll.BDH("SRPT US Equity","FIXED_ASSETS_SEQUENTIAL_GROWTH","FQ1 2023","FQ1 2023","Currency=USD","Period=FQ","BEST_FPERIOD_OVERRIDE=FQ","FILING_STATUS=MR","Sort=A","Dates=H","DateFormat=P","Fill=—","Direction=H","UseDPDF=Y")</f>
        <v>-8.8242999999999991</v>
      </c>
      <c r="U63" s="14">
        <f>_xll.BDH("SRPT US Equity","FIXED_ASSETS_SEQUENTIAL_GROWTH","FQ2 2023","FQ2 2023","Currency=USD","Period=FQ","BEST_FPERIOD_OVERRIDE=FQ","FILING_STATUS=MR","Sort=A","Dates=H","DateFormat=P","Fill=—","Direction=H","UseDPDF=Y")</f>
        <v>32.148299999999999</v>
      </c>
      <c r="V63" s="14">
        <f>_xll.BDH("SRPT US Equity","FIXED_ASSETS_SEQUENTIAL_GROWTH","FQ3 2023","FQ3 2023","Currency=USD","Period=FQ","BEST_FPERIOD_OVERRIDE=FQ","FILING_STATUS=MR","Sort=A","Dates=H","DateFormat=P","Fill=—","Direction=H","UseDPDF=Y")</f>
        <v>6.8662000000000001</v>
      </c>
      <c r="W63" s="14">
        <f>_xll.BDH("SRPT US Equity","FIXED_ASSETS_SEQUENTIAL_GROWTH","FQ4 2023","FQ4 2023","Currency=USD","Period=FQ","BEST_FPERIOD_OVERRIDE=FQ","FILING_STATUS=MR","Sort=A","Dates=H","DateFormat=P","Fill=—","Direction=H","UseDPDF=Y")</f>
        <v>3.2631999999999999</v>
      </c>
      <c r="X63" s="14">
        <f>_xll.BDH("SRPT US Equity","FIXED_ASSETS_SEQUENTIAL_GROWTH","FQ1 2024","FQ1 2024","Currency=USD","Period=FQ","BEST_FPERIOD_OVERRIDE=FQ","FILING_STATUS=MR","Sort=A","Dates=H","DateFormat=P","Fill=—","Direction=H","UseDPDF=Y")</f>
        <v>5.1707000000000001</v>
      </c>
      <c r="Y63" s="14">
        <f>_xll.BDH("SRPT US Equity","FIXED_ASSETS_SEQUENTIAL_GROWTH","FQ2 2024","FQ2 2024","Currency=USD","Period=FQ","BEST_FPERIOD_OVERRIDE=FQ","FILING_STATUS=MR","Sort=A","Dates=H","DateFormat=P","Fill=—","Direction=H","UseDPDF=Y")</f>
        <v>6.5579999999999998</v>
      </c>
      <c r="Z63" s="14">
        <f>_xll.BDH("SRPT US Equity","FIXED_ASSETS_SEQUENTIAL_GROWTH","FQ3 2024","FQ3 2024","Currency=USD","Period=FQ","BEST_FPERIOD_OVERRIDE=FQ","FILING_STATUS=MR","Sort=A","Dates=H","DateFormat=P","Fill=—","Direction=H","UseDPDF=Y")</f>
        <v>11.615399999999999</v>
      </c>
      <c r="AA63" s="14">
        <f>_xll.BDH("SRPT US Equity","FIXED_ASSETS_SEQUENTIAL_GROWTH","FQ4 2024","FQ4 2024","Currency=USD","Period=FQ","BEST_FPERIOD_OVERRIDE=FQ","FILING_STATUS=MR","Sort=A","Dates=H","DateFormat=P","Fill=—","Direction=H","UseDPDF=Y")</f>
        <v>9.3935999999999993</v>
      </c>
    </row>
    <row r="64" spans="1:27" x14ac:dyDescent="0.25">
      <c r="A64" s="10" t="s">
        <v>112</v>
      </c>
      <c r="B64" s="10" t="s">
        <v>1449</v>
      </c>
      <c r="C64" s="14">
        <f>_xll.BDH("SRPT US Equity","TOTAL_ASSETS_SEQUENTIAL_GROWTH","FQ4 2018","FQ4 2018","Currency=USD","Period=FQ","BEST_FPERIOD_OVERRIDE=FQ","FILING_STATUS=MR","Sort=A","Dates=H","DateFormat=P","Fill=—","Direction=H","UseDPDF=Y")</f>
        <v>38.817</v>
      </c>
      <c r="D64" s="14">
        <f>_xll.BDH("SRPT US Equity","TOTAL_ASSETS_SEQUENTIAL_GROWTH","FQ1 2019","FQ1 2019","Currency=USD","Period=FQ","BEST_FPERIOD_OVERRIDE=FQ","FILING_STATUS=MR","Sort=A","Dates=H","DateFormat=P","Fill=—","Direction=H","UseDPDF=Y")</f>
        <v>19.598400000000002</v>
      </c>
      <c r="E64" s="14">
        <f>_xll.BDH("SRPT US Equity","TOTAL_ASSETS_SEQUENTIAL_GROWTH","FQ2 2019","FQ2 2019","Currency=USD","Period=FQ","BEST_FPERIOD_OVERRIDE=FQ","FILING_STATUS=MR","Sort=A","Dates=H","DateFormat=P","Fill=—","Direction=H","UseDPDF=Y")</f>
        <v>-11.005800000000001</v>
      </c>
      <c r="F64" s="14">
        <f>_xll.BDH("SRPT US Equity","TOTAL_ASSETS_SEQUENTIAL_GROWTH","FQ3 2019","FQ3 2019","Currency=USD","Period=FQ","BEST_FPERIOD_OVERRIDE=FQ","FILING_STATUS=MR","Sort=A","Dates=H","DateFormat=P","Fill=—","Direction=H","UseDPDF=Y")</f>
        <v>-2.5909</v>
      </c>
      <c r="G64" s="14">
        <f>_xll.BDH("SRPT US Equity","TOTAL_ASSETS_SEQUENTIAL_GROWTH","FQ4 2019","FQ4 2019","Currency=USD","Period=FQ","BEST_FPERIOD_OVERRIDE=FQ","FILING_STATUS=MR","Sort=A","Dates=H","DateFormat=P","Fill=—","Direction=H","UseDPDF=Y")</f>
        <v>7.0693000000000001</v>
      </c>
      <c r="H64" s="14">
        <f>_xll.BDH("SRPT US Equity","TOTAL_ASSETS_SEQUENTIAL_GROWTH","FQ1 2020","FQ1 2020","Currency=USD","Period=FQ","BEST_FPERIOD_OVERRIDE=FQ","FILING_STATUS=MR","Sort=A","Dates=H","DateFormat=P","Fill=—","Direction=H","UseDPDF=Y")</f>
        <v>61.6937</v>
      </c>
      <c r="I64" s="14">
        <f>_xll.BDH("SRPT US Equity","TOTAL_ASSETS_SEQUENTIAL_GROWTH","FQ2 2020","FQ2 2020","Currency=USD","Period=FQ","BEST_FPERIOD_OVERRIDE=FQ","FILING_STATUS=MR","Sort=A","Dates=H","DateFormat=P","Fill=—","Direction=H","UseDPDF=Y")</f>
        <v>-2.1831</v>
      </c>
      <c r="J64" s="14">
        <f>_xll.BDH("SRPT US Equity","TOTAL_ASSETS_SEQUENTIAL_GROWTH","FQ3 2020","FQ3 2020","Currency=USD","Period=FQ","BEST_FPERIOD_OVERRIDE=FQ","FILING_STATUS=MR","Sort=A","Dates=H","DateFormat=P","Fill=—","Direction=H","UseDPDF=Y")</f>
        <v>-3.5510999999999999</v>
      </c>
      <c r="K64" s="14">
        <f>_xll.BDH("SRPT US Equity","TOTAL_ASSETS_SEQUENTIAL_GROWTH","FQ4 2020","FQ4 2020","Currency=USD","Period=FQ","BEST_FPERIOD_OVERRIDE=FQ","FILING_STATUS=MR","Sort=A","Dates=H","DateFormat=P","Fill=—","Direction=H","UseDPDF=Y")</f>
        <v>7.3383000000000003</v>
      </c>
      <c r="L64" s="14">
        <f>_xll.BDH("SRPT US Equity","TOTAL_ASSETS_SEQUENTIAL_GROWTH","FQ1 2021","FQ1 2021","Currency=USD","Period=FQ","BEST_FPERIOD_OVERRIDE=FQ","FILING_STATUS=MR","Sort=A","Dates=H","DateFormat=P","Fill=—","Direction=H","UseDPDF=Y")</f>
        <v>-7.3536000000000001</v>
      </c>
      <c r="M64" s="14">
        <f>_xll.BDH("SRPT US Equity","TOTAL_ASSETS_SEQUENTIAL_GROWTH","FQ2 2021","FQ2 2021","Currency=USD","Period=FQ","BEST_FPERIOD_OVERRIDE=FQ","FILING_STATUS=MR","Sort=A","Dates=H","DateFormat=P","Fill=—","Direction=H","UseDPDF=Y")</f>
        <v>-0.2228</v>
      </c>
      <c r="N64" s="14">
        <f>_xll.BDH("SRPT US Equity","TOTAL_ASSETS_SEQUENTIAL_GROWTH","FQ3 2021","FQ3 2021","Currency=USD","Period=FQ","BEST_FPERIOD_OVERRIDE=FQ","FILING_STATUS=MR","Sort=A","Dates=H","DateFormat=P","Fill=—","Direction=H","UseDPDF=Y")</f>
        <v>-3.5104000000000002</v>
      </c>
      <c r="O64" s="14">
        <f>_xll.BDH("SRPT US Equity","TOTAL_ASSETS_SEQUENTIAL_GROWTH","FQ4 2021","FQ4 2021","Currency=USD","Period=FQ","BEST_FPERIOD_OVERRIDE=FQ","FILING_STATUS=MR","Sort=A","Dates=H","DateFormat=P","Fill=—","Direction=H","UseDPDF=Y")</f>
        <v>18.246300000000002</v>
      </c>
      <c r="P64" s="14">
        <f>_xll.BDH("SRPT US Equity","TOTAL_ASSETS_SEQUENTIAL_GROWTH","FQ1 2022","FQ1 2022","Currency=USD","Period=FQ","BEST_FPERIOD_OVERRIDE=FQ","FILING_STATUS=MR","Sort=A","Dates=H","DateFormat=P","Fill=—","Direction=H","UseDPDF=Y")</f>
        <v>-2.9167999999999998</v>
      </c>
      <c r="Q64" s="14">
        <f>_xll.BDH("SRPT US Equity","TOTAL_ASSETS_SEQUENTIAL_GROWTH","FQ2 2022","FQ2 2022","Currency=USD","Period=FQ","BEST_FPERIOD_OVERRIDE=FQ","FILING_STATUS=MR","Sort=A","Dates=H","DateFormat=P","Fill=—","Direction=H","UseDPDF=Y")</f>
        <v>-1.9403999999999999</v>
      </c>
      <c r="R64" s="14">
        <f>_xll.BDH("SRPT US Equity","TOTAL_ASSETS_SEQUENTIAL_GROWTH","FQ3 2022","FQ3 2022","Currency=USD","Period=FQ","BEST_FPERIOD_OVERRIDE=FQ","FILING_STATUS=MR","Sort=A","Dates=H","DateFormat=P","Fill=—","Direction=H","UseDPDF=Y")</f>
        <v>5.3154000000000003</v>
      </c>
      <c r="S64" s="14">
        <f>_xll.BDH("SRPT US Equity","TOTAL_ASSETS_SEQUENTIAL_GROWTH","FQ4 2022","FQ4 2022","Currency=USD","Period=FQ","BEST_FPERIOD_OVERRIDE=FQ","FILING_STATUS=MR","Sort=A","Dates=H","DateFormat=P","Fill=—","Direction=H","UseDPDF=Y")</f>
        <v>-0.88029999999999997</v>
      </c>
      <c r="T64" s="14">
        <f>_xll.BDH("SRPT US Equity","TOTAL_ASSETS_SEQUENTIAL_GROWTH","FQ1 2023","FQ1 2023","Currency=USD","Period=FQ","BEST_FPERIOD_OVERRIDE=FQ","FILING_STATUS=MR","Sort=A","Dates=H","DateFormat=P","Fill=—","Direction=H","UseDPDF=Y")</f>
        <v>-2.1922000000000001</v>
      </c>
      <c r="U64" s="14">
        <f>_xll.BDH("SRPT US Equity","TOTAL_ASSETS_SEQUENTIAL_GROWTH","FQ2 2023","FQ2 2023","Currency=USD","Period=FQ","BEST_FPERIOD_OVERRIDE=FQ","FILING_STATUS=MR","Sort=A","Dates=H","DateFormat=P","Fill=—","Direction=H","UseDPDF=Y")</f>
        <v>2.1604000000000001</v>
      </c>
      <c r="V64" s="14">
        <f>_xll.BDH("SRPT US Equity","TOTAL_ASSETS_SEQUENTIAL_GROWTH","FQ3 2023","FQ3 2023","Currency=USD","Period=FQ","BEST_FPERIOD_OVERRIDE=FQ","FILING_STATUS=MR","Sort=A","Dates=H","DateFormat=P","Fill=—","Direction=H","UseDPDF=Y")</f>
        <v>-0.51770000000000005</v>
      </c>
      <c r="W64" s="14">
        <f>_xll.BDH("SRPT US Equity","TOTAL_ASSETS_SEQUENTIAL_GROWTH","FQ4 2023","FQ4 2023","Currency=USD","Period=FQ","BEST_FPERIOD_OVERRIDE=FQ","FILING_STATUS=MR","Sort=A","Dates=H","DateFormat=P","Fill=—","Direction=H","UseDPDF=Y")</f>
        <v>4.9802</v>
      </c>
      <c r="X64" s="14">
        <f>_xll.BDH("SRPT US Equity","TOTAL_ASSETS_SEQUENTIAL_GROWTH","FQ1 2024","FQ1 2024","Currency=USD","Period=FQ","BEST_FPERIOD_OVERRIDE=FQ","FILING_STATUS=MR","Sort=A","Dates=H","DateFormat=P","Fill=—","Direction=H","UseDPDF=Y")</f>
        <v>-1.2311000000000001</v>
      </c>
      <c r="Y64" s="14">
        <f>_xll.BDH("SRPT US Equity","TOTAL_ASSETS_SEQUENTIAL_GROWTH","FQ2 2024","FQ2 2024","Currency=USD","Period=FQ","BEST_FPERIOD_OVERRIDE=FQ","FILING_STATUS=MR","Sort=A","Dates=H","DateFormat=P","Fill=—","Direction=H","UseDPDF=Y")</f>
        <v>6.1988000000000003</v>
      </c>
      <c r="Z64" s="14">
        <f>_xll.BDH("SRPT US Equity","TOTAL_ASSETS_SEQUENTIAL_GROWTH","FQ3 2024","FQ3 2024","Currency=USD","Period=FQ","BEST_FPERIOD_OVERRIDE=FQ","FILING_STATUS=MR","Sort=A","Dates=H","DateFormat=P","Fill=—","Direction=H","UseDPDF=Y")</f>
        <v>5.1303999999999998</v>
      </c>
      <c r="AA64" s="14">
        <f>_xll.BDH("SRPT US Equity","TOTAL_ASSETS_SEQUENTIAL_GROWTH","FQ4 2024","FQ4 2024","Currency=USD","Period=FQ","BEST_FPERIOD_OVERRIDE=FQ","FILING_STATUS=MR","Sort=A","Dates=H","DateFormat=P","Fill=—","Direction=H","UseDPDF=Y")</f>
        <v>10.090199999999999</v>
      </c>
    </row>
    <row r="65" spans="1:27" x14ac:dyDescent="0.25">
      <c r="A65" s="10" t="s">
        <v>1401</v>
      </c>
      <c r="B65" s="10" t="s">
        <v>1450</v>
      </c>
      <c r="C65" s="14">
        <f>_xll.BDH("SRPT US Equity","MODIFIED_WORKING_CPTL_SEQ_GRWTH","FQ4 2018","FQ4 2018","Currency=USD","Period=FQ","BEST_FPERIOD_OVERRIDE=FQ","FILING_STATUS=MR","Sort=A","Dates=H","DateFormat=P","Fill=—","Direction=H","UseDPDF=Y")</f>
        <v>-2.3254999999999999</v>
      </c>
      <c r="D65" s="14">
        <f>_xll.BDH("SRPT US Equity","MODIFIED_WORKING_CPTL_SEQ_GRWTH","FQ1 2019","FQ1 2019","Currency=USD","Period=FQ","BEST_FPERIOD_OVERRIDE=FQ","FILING_STATUS=MR","Sort=A","Dates=H","DateFormat=P","Fill=—","Direction=H","UseDPDF=Y")</f>
        <v>16.933</v>
      </c>
      <c r="E65" s="14">
        <f>_xll.BDH("SRPT US Equity","MODIFIED_WORKING_CPTL_SEQ_GRWTH","FQ2 2019","FQ2 2019","Currency=USD","Period=FQ","BEST_FPERIOD_OVERRIDE=FQ","FILING_STATUS=MR","Sort=A","Dates=H","DateFormat=P","Fill=—","Direction=H","UseDPDF=Y")</f>
        <v>3.0562999999999998</v>
      </c>
      <c r="F65" s="14">
        <f>_xll.BDH("SRPT US Equity","MODIFIED_WORKING_CPTL_SEQ_GRWTH","FQ3 2019","FQ3 2019","Currency=USD","Period=FQ","BEST_FPERIOD_OVERRIDE=FQ","FILING_STATUS=MR","Sort=A","Dates=H","DateFormat=P","Fill=—","Direction=H","UseDPDF=Y")</f>
        <v>-10.064</v>
      </c>
      <c r="G65" s="14">
        <f>_xll.BDH("SRPT US Equity","MODIFIED_WORKING_CPTL_SEQ_GRWTH","FQ4 2019","FQ4 2019","Currency=USD","Period=FQ","BEST_FPERIOD_OVERRIDE=FQ","FILING_STATUS=MR","Sort=A","Dates=H","DateFormat=P","Fill=—","Direction=H","UseDPDF=Y")</f>
        <v>27.3658</v>
      </c>
      <c r="H65" s="14">
        <f>_xll.BDH("SRPT US Equity","MODIFIED_WORKING_CPTL_SEQ_GRWTH","FQ1 2020","FQ1 2020","Currency=USD","Period=FQ","BEST_FPERIOD_OVERRIDE=FQ","FILING_STATUS=MR","Sort=A","Dates=H","DateFormat=P","Fill=—","Direction=H","UseDPDF=Y")</f>
        <v>30.533000000000001</v>
      </c>
      <c r="I65" s="14">
        <f>_xll.BDH("SRPT US Equity","MODIFIED_WORKING_CPTL_SEQ_GRWTH","FQ2 2020","FQ2 2020","Currency=USD","Period=FQ","BEST_FPERIOD_OVERRIDE=FQ","FILING_STATUS=MR","Sort=A","Dates=H","DateFormat=P","Fill=—","Direction=H","UseDPDF=Y")</f>
        <v>-24.2377</v>
      </c>
      <c r="J65" s="14">
        <f>_xll.BDH("SRPT US Equity","MODIFIED_WORKING_CPTL_SEQ_GRWTH","FQ3 2020","FQ3 2020","Currency=USD","Period=FQ","BEST_FPERIOD_OVERRIDE=FQ","FILING_STATUS=MR","Sort=A","Dates=H","DateFormat=P","Fill=—","Direction=H","UseDPDF=Y")</f>
        <v>39.266599999999997</v>
      </c>
      <c r="K65" s="14">
        <f>_xll.BDH("SRPT US Equity","MODIFIED_WORKING_CPTL_SEQ_GRWTH","FQ4 2020","FQ4 2020","Currency=USD","Period=FQ","BEST_FPERIOD_OVERRIDE=FQ","FILING_STATUS=MR","Sort=A","Dates=H","DateFormat=P","Fill=—","Direction=H","UseDPDF=Y")</f>
        <v>-16.904699999999998</v>
      </c>
      <c r="L65" s="14">
        <f>_xll.BDH("SRPT US Equity","MODIFIED_WORKING_CPTL_SEQ_GRWTH","FQ1 2021","FQ1 2021","Currency=USD","Period=FQ","BEST_FPERIOD_OVERRIDE=FQ","FILING_STATUS=MR","Sort=A","Dates=H","DateFormat=P","Fill=—","Direction=H","UseDPDF=Y")</f>
        <v>26.854700000000001</v>
      </c>
      <c r="M65" s="14">
        <f>_xll.BDH("SRPT US Equity","MODIFIED_WORKING_CPTL_SEQ_GRWTH","FQ2 2021","FQ2 2021","Currency=USD","Period=FQ","BEST_FPERIOD_OVERRIDE=FQ","FILING_STATUS=MR","Sort=A","Dates=H","DateFormat=P","Fill=—","Direction=H","UseDPDF=Y")</f>
        <v>13.377800000000001</v>
      </c>
      <c r="N65" s="14">
        <f>_xll.BDH("SRPT US Equity","MODIFIED_WORKING_CPTL_SEQ_GRWTH","FQ3 2021","FQ3 2021","Currency=USD","Period=FQ","BEST_FPERIOD_OVERRIDE=FQ","FILING_STATUS=MR","Sort=A","Dates=H","DateFormat=P","Fill=—","Direction=H","UseDPDF=Y")</f>
        <v>23.310099999999998</v>
      </c>
      <c r="O65" s="14">
        <f>_xll.BDH("SRPT US Equity","MODIFIED_WORKING_CPTL_SEQ_GRWTH","FQ4 2021","FQ4 2021","Currency=USD","Period=FQ","BEST_FPERIOD_OVERRIDE=FQ","FILING_STATUS=MR","Sort=A","Dates=H","DateFormat=P","Fill=—","Direction=H","UseDPDF=Y")</f>
        <v>-33.401299999999999</v>
      </c>
      <c r="P65" s="14">
        <f>_xll.BDH("SRPT US Equity","MODIFIED_WORKING_CPTL_SEQ_GRWTH","FQ1 2022","FQ1 2022","Currency=USD","Period=FQ","BEST_FPERIOD_OVERRIDE=FQ","FILING_STATUS=MR","Sort=A","Dates=H","DateFormat=P","Fill=—","Direction=H","UseDPDF=Y")</f>
        <v>23.135999999999999</v>
      </c>
      <c r="Q65" s="14">
        <f>_xll.BDH("SRPT US Equity","MODIFIED_WORKING_CPTL_SEQ_GRWTH","FQ2 2022","FQ2 2022","Currency=USD","Period=FQ","BEST_FPERIOD_OVERRIDE=FQ","FILING_STATUS=MR","Sort=A","Dates=H","DateFormat=P","Fill=—","Direction=H","UseDPDF=Y")</f>
        <v>10.0741</v>
      </c>
      <c r="R65" s="14">
        <f>_xll.BDH("SRPT US Equity","MODIFIED_WORKING_CPTL_SEQ_GRWTH","FQ3 2022","FQ3 2022","Currency=USD","Period=FQ","BEST_FPERIOD_OVERRIDE=FQ","FILING_STATUS=MR","Sort=A","Dates=H","DateFormat=P","Fill=—","Direction=H","UseDPDF=Y")</f>
        <v>-14.4773</v>
      </c>
      <c r="S65" s="14">
        <f>_xll.BDH("SRPT US Equity","MODIFIED_WORKING_CPTL_SEQ_GRWTH","FQ4 2022","FQ4 2022","Currency=USD","Period=FQ","BEST_FPERIOD_OVERRIDE=FQ","FILING_STATUS=MR","Sort=A","Dates=H","DateFormat=P","Fill=—","Direction=H","UseDPDF=Y")</f>
        <v>6.0744999999999996</v>
      </c>
      <c r="T65" s="14">
        <f>_xll.BDH("SRPT US Equity","MODIFIED_WORKING_CPTL_SEQ_GRWTH","FQ1 2023","FQ1 2023","Currency=USD","Period=FQ","BEST_FPERIOD_OVERRIDE=FQ","FILING_STATUS=MR","Sort=A","Dates=H","DateFormat=P","Fill=—","Direction=H","UseDPDF=Y")</f>
        <v>-0.90480000000000005</v>
      </c>
      <c r="U65" s="14">
        <f>_xll.BDH("SRPT US Equity","MODIFIED_WORKING_CPTL_SEQ_GRWTH","FQ2 2023","FQ2 2023","Currency=USD","Period=FQ","BEST_FPERIOD_OVERRIDE=FQ","FILING_STATUS=MR","Sort=A","Dates=H","DateFormat=P","Fill=—","Direction=H","UseDPDF=Y")</f>
        <v>10.658799999999999</v>
      </c>
      <c r="V65" s="14">
        <f>_xll.BDH("SRPT US Equity","MODIFIED_WORKING_CPTL_SEQ_GRWTH","FQ3 2023","FQ3 2023","Currency=USD","Period=FQ","BEST_FPERIOD_OVERRIDE=FQ","FILING_STATUS=MR","Sort=A","Dates=H","DateFormat=P","Fill=—","Direction=H","UseDPDF=Y")</f>
        <v>34.200099999999999</v>
      </c>
      <c r="W65" s="14">
        <f>_xll.BDH("SRPT US Equity","MODIFIED_WORKING_CPTL_SEQ_GRWTH","FQ4 2023","FQ4 2023","Currency=USD","Period=FQ","BEST_FPERIOD_OVERRIDE=FQ","FILING_STATUS=MR","Sort=A","Dates=H","DateFormat=P","Fill=—","Direction=H","UseDPDF=Y")</f>
        <v>17.5504</v>
      </c>
      <c r="X65" s="14">
        <f>_xll.BDH("SRPT US Equity","MODIFIED_WORKING_CPTL_SEQ_GRWTH","FQ1 2024","FQ1 2024","Currency=USD","Period=FQ","BEST_FPERIOD_OVERRIDE=FQ","FILING_STATUS=MR","Sort=A","Dates=H","DateFormat=P","Fill=—","Direction=H","UseDPDF=Y")</f>
        <v>18.366099999999999</v>
      </c>
      <c r="Y65" s="14">
        <f>_xll.BDH("SRPT US Equity","MODIFIED_WORKING_CPTL_SEQ_GRWTH","FQ2 2024","FQ2 2024","Currency=USD","Period=FQ","BEST_FPERIOD_OVERRIDE=FQ","FILING_STATUS=MR","Sort=A","Dates=H","DateFormat=P","Fill=—","Direction=H","UseDPDF=Y")</f>
        <v>11.739599999999999</v>
      </c>
      <c r="Z65" s="14">
        <f>_xll.BDH("SRPT US Equity","MODIFIED_WORKING_CPTL_SEQ_GRWTH","FQ3 2024","FQ3 2024","Currency=USD","Period=FQ","BEST_FPERIOD_OVERRIDE=FQ","FILING_STATUS=MR","Sort=A","Dates=H","DateFormat=P","Fill=—","Direction=H","UseDPDF=Y")</f>
        <v>19.407299999999999</v>
      </c>
      <c r="AA65" s="14">
        <f>_xll.BDH("SRPT US Equity","MODIFIED_WORKING_CPTL_SEQ_GRWTH","FQ4 2024","FQ4 2024","Currency=USD","Period=FQ","BEST_FPERIOD_OVERRIDE=FQ","FILING_STATUS=MR","Sort=A","Dates=H","DateFormat=P","Fill=—","Direction=H","UseDPDF=Y")</f>
        <v>29.0166</v>
      </c>
    </row>
    <row r="66" spans="1:27" x14ac:dyDescent="0.25">
      <c r="A66" s="10" t="s">
        <v>1403</v>
      </c>
      <c r="B66" s="10" t="s">
        <v>1451</v>
      </c>
      <c r="C66" s="14">
        <f>_xll.BDH("SRPT US Equity","WORKING_CAPITAL_SEQ_GROWTH","FQ4 2018","FQ4 2018","Currency=USD","Period=FQ","BEST_FPERIOD_OVERRIDE=FQ","FILING_STATUS=MR","Sort=A","Dates=H","DateFormat=P","Fill=—","Direction=H","UseDPDF=Y")</f>
        <v>39.524900000000002</v>
      </c>
      <c r="D66" s="14">
        <f>_xll.BDH("SRPT US Equity","WORKING_CAPITAL_SEQ_GROWTH","FQ1 2019","FQ1 2019","Currency=USD","Period=FQ","BEST_FPERIOD_OVERRIDE=FQ","FILING_STATUS=MR","Sort=A","Dates=H","DateFormat=P","Fill=—","Direction=H","UseDPDF=Y")</f>
        <v>22.4803</v>
      </c>
      <c r="E66" s="14">
        <f>_xll.BDH("SRPT US Equity","WORKING_CAPITAL_SEQ_GROWTH","FQ2 2019","FQ2 2019","Currency=USD","Period=FQ","BEST_FPERIOD_OVERRIDE=FQ","FILING_STATUS=MR","Sort=A","Dates=H","DateFormat=P","Fill=—","Direction=H","UseDPDF=Y")</f>
        <v>-17.517499999999998</v>
      </c>
      <c r="F66" s="14">
        <f>_xll.BDH("SRPT US Equity","WORKING_CAPITAL_SEQ_GROWTH","FQ3 2019","FQ3 2019","Currency=USD","Period=FQ","BEST_FPERIOD_OVERRIDE=FQ","FILING_STATUS=MR","Sort=A","Dates=H","DateFormat=P","Fill=—","Direction=H","UseDPDF=Y")</f>
        <v>-9.3956999999999997</v>
      </c>
      <c r="G66" s="14">
        <f>_xll.BDH("SRPT US Equity","WORKING_CAPITAL_SEQ_GROWTH","FQ4 2019","FQ4 2019","Currency=USD","Period=FQ","BEST_FPERIOD_OVERRIDE=FQ","FILING_STATUS=MR","Sort=A","Dates=H","DateFormat=P","Fill=—","Direction=H","UseDPDF=Y")</f>
        <v>5.0331999999999999</v>
      </c>
      <c r="H66" s="14">
        <f>_xll.BDH("SRPT US Equity","WORKING_CAPITAL_SEQ_GROWTH","FQ1 2020","FQ1 2020","Currency=USD","Period=FQ","BEST_FPERIOD_OVERRIDE=FQ","FILING_STATUS=MR","Sort=A","Dates=H","DateFormat=P","Fill=—","Direction=H","UseDPDF=Y")</f>
        <v>86.100300000000004</v>
      </c>
      <c r="I66" s="14">
        <f>_xll.BDH("SRPT US Equity","WORKING_CAPITAL_SEQ_GROWTH","FQ2 2020","FQ2 2020","Currency=USD","Period=FQ","BEST_FPERIOD_OVERRIDE=FQ","FILING_STATUS=MR","Sort=A","Dates=H","DateFormat=P","Fill=—","Direction=H","UseDPDF=Y")</f>
        <v>-6.0865</v>
      </c>
      <c r="J66" s="14">
        <f>_xll.BDH("SRPT US Equity","WORKING_CAPITAL_SEQ_GROWTH","FQ3 2020","FQ3 2020","Currency=USD","Period=FQ","BEST_FPERIOD_OVERRIDE=FQ","FILING_STATUS=MR","Sort=A","Dates=H","DateFormat=P","Fill=—","Direction=H","UseDPDF=Y")</f>
        <v>-7.6140999999999996</v>
      </c>
      <c r="K66" s="14">
        <f>_xll.BDH("SRPT US Equity","WORKING_CAPITAL_SEQ_GROWTH","FQ4 2020","FQ4 2020","Currency=USD","Period=FQ","BEST_FPERIOD_OVERRIDE=FQ","FILING_STATUS=MR","Sort=A","Dates=H","DateFormat=P","Fill=—","Direction=H","UseDPDF=Y")</f>
        <v>6.4231999999999996</v>
      </c>
      <c r="L66" s="14">
        <f>_xll.BDH("SRPT US Equity","WORKING_CAPITAL_SEQ_GROWTH","FQ1 2021","FQ1 2021","Currency=USD","Period=FQ","BEST_FPERIOD_OVERRIDE=FQ","FILING_STATUS=MR","Sort=A","Dates=H","DateFormat=P","Fill=—","Direction=H","UseDPDF=Y")</f>
        <v>-7.8560999999999996</v>
      </c>
      <c r="M66" s="14">
        <f>_xll.BDH("SRPT US Equity","WORKING_CAPITAL_SEQ_GROWTH","FQ2 2021","FQ2 2021","Currency=USD","Period=FQ","BEST_FPERIOD_OVERRIDE=FQ","FILING_STATUS=MR","Sort=A","Dates=H","DateFormat=P","Fill=—","Direction=H","UseDPDF=Y")</f>
        <v>-3.4836</v>
      </c>
      <c r="N66" s="14">
        <f>_xll.BDH("SRPT US Equity","WORKING_CAPITAL_SEQ_GROWTH","FQ3 2021","FQ3 2021","Currency=USD","Period=FQ","BEST_FPERIOD_OVERRIDE=FQ","FILING_STATUS=MR","Sort=A","Dates=H","DateFormat=P","Fill=—","Direction=H","UseDPDF=Y")</f>
        <v>-1.5394000000000001</v>
      </c>
      <c r="O66" s="14">
        <f>_xll.BDH("SRPT US Equity","WORKING_CAPITAL_SEQ_GROWTH","FQ4 2021","FQ4 2021","Currency=USD","Period=FQ","BEST_FPERIOD_OVERRIDE=FQ","FILING_STATUS=MR","Sort=A","Dates=H","DateFormat=P","Fill=—","Direction=H","UseDPDF=Y")</f>
        <v>18.737500000000001</v>
      </c>
      <c r="P66" s="14">
        <f>_xll.BDH("SRPT US Equity","WORKING_CAPITAL_SEQ_GROWTH","FQ1 2022","FQ1 2022","Currency=USD","Period=FQ","BEST_FPERIOD_OVERRIDE=FQ","FILING_STATUS=MR","Sort=A","Dates=H","DateFormat=P","Fill=—","Direction=H","UseDPDF=Y")</f>
        <v>-3.5038999999999998</v>
      </c>
      <c r="Q66" s="14">
        <f>_xll.BDH("SRPT US Equity","WORKING_CAPITAL_SEQ_GROWTH","FQ2 2022","FQ2 2022","Currency=USD","Period=FQ","BEST_FPERIOD_OVERRIDE=FQ","FILING_STATUS=MR","Sort=A","Dates=H","DateFormat=P","Fill=—","Direction=H","UseDPDF=Y")</f>
        <v>-7.3338999999999999</v>
      </c>
      <c r="R66" s="14">
        <f>_xll.BDH("SRPT US Equity","WORKING_CAPITAL_SEQ_GROWTH","FQ3 2022","FQ3 2022","Currency=USD","Period=FQ","BEST_FPERIOD_OVERRIDE=FQ","FILING_STATUS=MR","Sort=A","Dates=H","DateFormat=P","Fill=—","Direction=H","UseDPDF=Y")</f>
        <v>5.1607000000000003</v>
      </c>
      <c r="S66" s="14">
        <f>_xll.BDH("SRPT US Equity","WORKING_CAPITAL_SEQ_GROWTH","FQ4 2022","FQ4 2022","Currency=USD","Period=FQ","BEST_FPERIOD_OVERRIDE=FQ","FILING_STATUS=MR","Sort=A","Dates=H","DateFormat=P","Fill=—","Direction=H","UseDPDF=Y")</f>
        <v>-4.1896000000000004</v>
      </c>
      <c r="T66" s="14">
        <f>_xll.BDH("SRPT US Equity","WORKING_CAPITAL_SEQ_GROWTH","FQ1 2023","FQ1 2023","Currency=USD","Period=FQ","BEST_FPERIOD_OVERRIDE=FQ","FILING_STATUS=MR","Sort=A","Dates=H","DateFormat=P","Fill=—","Direction=H","UseDPDF=Y")</f>
        <v>0.68289999999999995</v>
      </c>
      <c r="U66" s="14">
        <f>_xll.BDH("SRPT US Equity","WORKING_CAPITAL_SEQ_GROWTH","FQ2 2023","FQ2 2023","Currency=USD","Period=FQ","BEST_FPERIOD_OVERRIDE=FQ","FILING_STATUS=MR","Sort=A","Dates=H","DateFormat=P","Fill=—","Direction=H","UseDPDF=Y")</f>
        <v>1.1513</v>
      </c>
      <c r="V66" s="14">
        <f>_xll.BDH("SRPT US Equity","WORKING_CAPITAL_SEQ_GROWTH","FQ3 2023","FQ3 2023","Currency=USD","Period=FQ","BEST_FPERIOD_OVERRIDE=FQ","FILING_STATUS=MR","Sort=A","Dates=H","DateFormat=P","Fill=—","Direction=H","UseDPDF=Y")</f>
        <v>1.3245</v>
      </c>
      <c r="W66" s="14">
        <f>_xll.BDH("SRPT US Equity","WORKING_CAPITAL_SEQ_GROWTH","FQ4 2023","FQ4 2023","Currency=USD","Period=FQ","BEST_FPERIOD_OVERRIDE=FQ","FILING_STATUS=MR","Sort=A","Dates=H","DateFormat=P","Fill=—","Direction=H","UseDPDF=Y")</f>
        <v>-3.7214999999999998</v>
      </c>
      <c r="X66" s="14">
        <f>_xll.BDH("SRPT US Equity","WORKING_CAPITAL_SEQ_GROWTH","FQ1 2024","FQ1 2024","Currency=USD","Period=FQ","BEST_FPERIOD_OVERRIDE=FQ","FILING_STATUS=MR","Sort=A","Dates=H","DateFormat=P","Fill=—","Direction=H","UseDPDF=Y")</f>
        <v>-3.61</v>
      </c>
      <c r="Y66" s="14">
        <f>_xll.BDH("SRPT US Equity","WORKING_CAPITAL_SEQ_GROWTH","FQ2 2024","FQ2 2024","Currency=USD","Period=FQ","BEST_FPERIOD_OVERRIDE=FQ","FILING_STATUS=MR","Sort=A","Dates=H","DateFormat=P","Fill=—","Direction=H","UseDPDF=Y")</f>
        <v>7.4881000000000002</v>
      </c>
      <c r="Z66" s="14">
        <f>_xll.BDH("SRPT US Equity","WORKING_CAPITAL_SEQ_GROWTH","FQ3 2024","FQ3 2024","Currency=USD","Period=FQ","BEST_FPERIOD_OVERRIDE=FQ","FILING_STATUS=MR","Sort=A","Dates=H","DateFormat=P","Fill=—","Direction=H","UseDPDF=Y")</f>
        <v>-0.46439999999999998</v>
      </c>
      <c r="AA66" s="14">
        <f>_xll.BDH("SRPT US Equity","WORKING_CAPITAL_SEQ_GROWTH","FQ4 2024","FQ4 2024","Currency=USD","Period=FQ","BEST_FPERIOD_OVERRIDE=FQ","FILING_STATUS=MR","Sort=A","Dates=H","DateFormat=P","Fill=—","Direction=H","UseDPDF=Y")</f>
        <v>17.921500000000002</v>
      </c>
    </row>
    <row r="67" spans="1:27" x14ac:dyDescent="0.25">
      <c r="A67" s="10" t="s">
        <v>1407</v>
      </c>
      <c r="B67" s="10" t="s">
        <v>1452</v>
      </c>
      <c r="C67" s="14">
        <f>_xll.BDH("SRPT US Equity","ACCOUNTS_PAYABLE_SEQ_GROWTH","FQ4 2018","FQ4 2018","Currency=USD","Period=FQ","BEST_FPERIOD_OVERRIDE=FQ","FILING_STATUS=MR","Sort=A","Dates=H","DateFormat=P","Fill=—","Direction=H","UseDPDF=Y")</f>
        <v>65.763400000000004</v>
      </c>
      <c r="D67" s="14">
        <f>_xll.BDH("SRPT US Equity","ACCOUNTS_PAYABLE_SEQ_GROWTH","FQ1 2019","FQ1 2019","Currency=USD","Period=FQ","BEST_FPERIOD_OVERRIDE=FQ","FILING_STATUS=MR","Sort=A","Dates=H","DateFormat=P","Fill=—","Direction=H","UseDPDF=Y")</f>
        <v>-21.6678</v>
      </c>
      <c r="E67" s="14">
        <f>_xll.BDH("SRPT US Equity","ACCOUNTS_PAYABLE_SEQ_GROWTH","FQ2 2019","FQ2 2019","Currency=USD","Period=FQ","BEST_FPERIOD_OVERRIDE=FQ","FILING_STATUS=MR","Sort=A","Dates=H","DateFormat=P","Fill=—","Direction=H","UseDPDF=Y")</f>
        <v>66.213800000000006</v>
      </c>
      <c r="F67" s="14">
        <f>_xll.BDH("SRPT US Equity","ACCOUNTS_PAYABLE_SEQ_GROWTH","FQ3 2019","FQ3 2019","Currency=USD","Period=FQ","BEST_FPERIOD_OVERRIDE=FQ","FILING_STATUS=MR","Sort=A","Dates=H","DateFormat=P","Fill=—","Direction=H","UseDPDF=Y")</f>
        <v>86.050600000000003</v>
      </c>
      <c r="G67" s="14">
        <f>_xll.BDH("SRPT US Equity","ACCOUNTS_PAYABLE_SEQ_GROWTH","FQ4 2019","FQ4 2019","Currency=USD","Period=FQ","BEST_FPERIOD_OVERRIDE=FQ","FILING_STATUS=MR","Sort=A","Dates=H","DateFormat=P","Fill=—","Direction=H","UseDPDF=Y")</f>
        <v>-16.9038</v>
      </c>
      <c r="H67" s="14">
        <f>_xll.BDH("SRPT US Equity","ACCOUNTS_PAYABLE_SEQ_GROWTH","FQ1 2020","FQ1 2020","Currency=USD","Period=FQ","BEST_FPERIOD_OVERRIDE=FQ","FILING_STATUS=MR","Sort=A","Dates=H","DateFormat=P","Fill=—","Direction=H","UseDPDF=Y")</f>
        <v>-60.9437</v>
      </c>
      <c r="I67" s="14">
        <f>_xll.BDH("SRPT US Equity","ACCOUNTS_PAYABLE_SEQ_GROWTH","FQ2 2020","FQ2 2020","Currency=USD","Period=FQ","BEST_FPERIOD_OVERRIDE=FQ","FILING_STATUS=MR","Sort=A","Dates=H","DateFormat=P","Fill=—","Direction=H","UseDPDF=Y")</f>
        <v>244.65129999999999</v>
      </c>
      <c r="J67" s="14">
        <f>_xll.BDH("SRPT US Equity","ACCOUNTS_PAYABLE_SEQ_GROWTH","FQ3 2020","FQ3 2020","Currency=USD","Period=FQ","BEST_FPERIOD_OVERRIDE=FQ","FILING_STATUS=MR","Sort=A","Dates=H","DateFormat=P","Fill=—","Direction=H","UseDPDF=Y")</f>
        <v>-18.690799999999999</v>
      </c>
      <c r="K67" s="14">
        <f>_xll.BDH("SRPT US Equity","ACCOUNTS_PAYABLE_SEQ_GROWTH","FQ4 2020","FQ4 2020","Currency=USD","Period=FQ","BEST_FPERIOD_OVERRIDE=FQ","FILING_STATUS=MR","Sort=A","Dates=H","DateFormat=P","Fill=—","Direction=H","UseDPDF=Y")</f>
        <v>49.058100000000003</v>
      </c>
      <c r="L67" s="14">
        <f>_xll.BDH("SRPT US Equity","ACCOUNTS_PAYABLE_SEQ_GROWTH","FQ1 2021","FQ1 2021","Currency=USD","Period=FQ","BEST_FPERIOD_OVERRIDE=FQ","FILING_STATUS=MR","Sort=A","Dates=H","DateFormat=P","Fill=—","Direction=H","UseDPDF=Y")</f>
        <v>-31.001000000000001</v>
      </c>
      <c r="M67" s="14">
        <f>_xll.BDH("SRPT US Equity","ACCOUNTS_PAYABLE_SEQ_GROWTH","FQ2 2021","FQ2 2021","Currency=USD","Period=FQ","BEST_FPERIOD_OVERRIDE=FQ","FILING_STATUS=MR","Sort=A","Dates=H","DateFormat=P","Fill=—","Direction=H","UseDPDF=Y")</f>
        <v>3.9100000000000003E-2</v>
      </c>
      <c r="N67" s="14">
        <f>_xll.BDH("SRPT US Equity","ACCOUNTS_PAYABLE_SEQ_GROWTH","FQ3 2021","FQ3 2021","Currency=USD","Period=FQ","BEST_FPERIOD_OVERRIDE=FQ","FILING_STATUS=MR","Sort=A","Dates=H","DateFormat=P","Fill=—","Direction=H","UseDPDF=Y")</f>
        <v>-42.4069</v>
      </c>
      <c r="O67" s="14">
        <f>_xll.BDH("SRPT US Equity","ACCOUNTS_PAYABLE_SEQ_GROWTH","FQ4 2021","FQ4 2021","Currency=USD","Period=FQ","BEST_FPERIOD_OVERRIDE=FQ","FILING_STATUS=MR","Sort=A","Dates=H","DateFormat=P","Fill=—","Direction=H","UseDPDF=Y")</f>
        <v>73.767600000000002</v>
      </c>
      <c r="P67" s="14">
        <f>_xll.BDH("SRPT US Equity","ACCOUNTS_PAYABLE_SEQ_GROWTH","FQ1 2022","FQ1 2022","Currency=USD","Period=FQ","BEST_FPERIOD_OVERRIDE=FQ","FILING_STATUS=MR","Sort=A","Dates=H","DateFormat=P","Fill=—","Direction=H","UseDPDF=Y")</f>
        <v>-29.624300000000002</v>
      </c>
      <c r="Q67" s="14">
        <f>_xll.BDH("SRPT US Equity","ACCOUNTS_PAYABLE_SEQ_GROWTH","FQ2 2022","FQ2 2022","Currency=USD","Period=FQ","BEST_FPERIOD_OVERRIDE=FQ","FILING_STATUS=MR","Sort=A","Dates=H","DateFormat=P","Fill=—","Direction=H","UseDPDF=Y")</f>
        <v>4.0735000000000001</v>
      </c>
      <c r="R67" s="14">
        <f>_xll.BDH("SRPT US Equity","ACCOUNTS_PAYABLE_SEQ_GROWTH","FQ3 2022","FQ3 2022","Currency=USD","Period=FQ","BEST_FPERIOD_OVERRIDE=FQ","FILING_STATUS=MR","Sort=A","Dates=H","DateFormat=P","Fill=—","Direction=H","UseDPDF=Y")</f>
        <v>110.75839999999999</v>
      </c>
      <c r="S67" s="14">
        <f>_xll.BDH("SRPT US Equity","ACCOUNTS_PAYABLE_SEQ_GROWTH","FQ4 2022","FQ4 2022","Currency=USD","Period=FQ","BEST_FPERIOD_OVERRIDE=FQ","FILING_STATUS=MR","Sort=A","Dates=H","DateFormat=P","Fill=—","Direction=H","UseDPDF=Y")</f>
        <v>-19.066199999999998</v>
      </c>
      <c r="T67" s="14">
        <f>_xll.BDH("SRPT US Equity","ACCOUNTS_PAYABLE_SEQ_GROWTH","FQ1 2023","FQ1 2023","Currency=USD","Period=FQ","BEST_FPERIOD_OVERRIDE=FQ","FILING_STATUS=MR","Sort=A","Dates=H","DateFormat=P","Fill=—","Direction=H","UseDPDF=Y")</f>
        <v>11.3012</v>
      </c>
      <c r="U67" s="14">
        <f>_xll.BDH("SRPT US Equity","ACCOUNTS_PAYABLE_SEQ_GROWTH","FQ2 2023","FQ2 2023","Currency=USD","Period=FQ","BEST_FPERIOD_OVERRIDE=FQ","FILING_STATUS=MR","Sort=A","Dates=H","DateFormat=P","Fill=—","Direction=H","UseDPDF=Y")</f>
        <v>2.8919999999999999</v>
      </c>
      <c r="V67" s="14">
        <f>_xll.BDH("SRPT US Equity","ACCOUNTS_PAYABLE_SEQ_GROWTH","FQ3 2023","FQ3 2023","Currency=USD","Period=FQ","BEST_FPERIOD_OVERRIDE=FQ","FILING_STATUS=MR","Sort=A","Dates=H","DateFormat=P","Fill=—","Direction=H","UseDPDF=Y")</f>
        <v>-19.898700000000002</v>
      </c>
      <c r="W67" s="14">
        <f>_xll.BDH("SRPT US Equity","ACCOUNTS_PAYABLE_SEQ_GROWTH","FQ4 2023","FQ4 2023","Currency=USD","Period=FQ","BEST_FPERIOD_OVERRIDE=FQ","FILING_STATUS=MR","Sort=A","Dates=H","DateFormat=P","Fill=—","Direction=H","UseDPDF=Y")</f>
        <v>87.517600000000002</v>
      </c>
      <c r="X67" s="14">
        <f>_xll.BDH("SRPT US Equity","ACCOUNTS_PAYABLE_SEQ_GROWTH","FQ1 2024","FQ1 2024","Currency=USD","Period=FQ","BEST_FPERIOD_OVERRIDE=FQ","FILING_STATUS=MR","Sort=A","Dates=H","DateFormat=P","Fill=—","Direction=H","UseDPDF=Y")</f>
        <v>-44.496099999999998</v>
      </c>
      <c r="Y67" s="14">
        <f>_xll.BDH("SRPT US Equity","ACCOUNTS_PAYABLE_SEQ_GROWTH","FQ2 2024","FQ2 2024","Currency=USD","Period=FQ","BEST_FPERIOD_OVERRIDE=FQ","FILING_STATUS=MR","Sort=A","Dates=H","DateFormat=P","Fill=—","Direction=H","UseDPDF=Y")</f>
        <v>17.349499999999999</v>
      </c>
      <c r="Z67" s="14">
        <f>_xll.BDH("SRPT US Equity","ACCOUNTS_PAYABLE_SEQ_GROWTH","FQ3 2024","FQ3 2024","Currency=USD","Period=FQ","BEST_FPERIOD_OVERRIDE=FQ","FILING_STATUS=MR","Sort=A","Dates=H","DateFormat=P","Fill=—","Direction=H","UseDPDF=Y")</f>
        <v>10.572800000000001</v>
      </c>
      <c r="AA67" s="14">
        <f>_xll.BDH("SRPT US Equity","ACCOUNTS_PAYABLE_SEQ_GROWTH","FQ4 2024","FQ4 2024","Currency=USD","Period=FQ","BEST_FPERIOD_OVERRIDE=FQ","FILING_STATUS=MR","Sort=A","Dates=H","DateFormat=P","Fill=—","Direction=H","UseDPDF=Y")</f>
        <v>80.546199999999999</v>
      </c>
    </row>
    <row r="68" spans="1:27" x14ac:dyDescent="0.25">
      <c r="A68" s="10" t="s">
        <v>1409</v>
      </c>
      <c r="B68" s="10" t="s">
        <v>1453</v>
      </c>
      <c r="C68" s="14" t="str">
        <f>_xll.BDH("SRPT US Equity","ST_DEBT_SEQUENTIAL_GROWTH","FQ4 2018","FQ4 2018","Currency=USD","Period=FQ","BEST_FPERIOD_OVERRIDE=FQ","FILING_STATUS=MR","Sort=A","Dates=H","DateFormat=P","Fill=—","Direction=H","UseDPDF=Y")</f>
        <v>—</v>
      </c>
      <c r="D68" s="14" t="str">
        <f>_xll.BDH("SRPT US Equity","ST_DEBT_SEQUENTIAL_GROWTH","FQ1 2019","FQ1 2019","Currency=USD","Period=FQ","BEST_FPERIOD_OVERRIDE=FQ","FILING_STATUS=MR","Sort=A","Dates=H","DateFormat=P","Fill=—","Direction=H","UseDPDF=Y")</f>
        <v>—</v>
      </c>
      <c r="E68" s="14">
        <f>_xll.BDH("SRPT US Equity","ST_DEBT_SEQUENTIAL_GROWTH","FQ2 2019","FQ2 2019","Currency=USD","Period=FQ","BEST_FPERIOD_OVERRIDE=FQ","FILING_STATUS=MR","Sort=A","Dates=H","DateFormat=P","Fill=—","Direction=H","UseDPDF=Y")</f>
        <v>5.8693</v>
      </c>
      <c r="F68" s="14">
        <f>_xll.BDH("SRPT US Equity","ST_DEBT_SEQUENTIAL_GROWTH","FQ3 2019","FQ3 2019","Currency=USD","Period=FQ","BEST_FPERIOD_OVERRIDE=FQ","FILING_STATUS=MR","Sort=A","Dates=H","DateFormat=P","Fill=—","Direction=H","UseDPDF=Y")</f>
        <v>6.0746000000000002</v>
      </c>
      <c r="G68" s="14">
        <f>_xll.BDH("SRPT US Equity","ST_DEBT_SEQUENTIAL_GROWTH","FQ4 2019","FQ4 2019","Currency=USD","Period=FQ","BEST_FPERIOD_OVERRIDE=FQ","FILING_STATUS=MR","Sort=A","Dates=H","DateFormat=P","Fill=—","Direction=H","UseDPDF=Y")</f>
        <v>3.2911999999999999</v>
      </c>
      <c r="H68" s="14">
        <f>_xll.BDH("SRPT US Equity","ST_DEBT_SEQUENTIAL_GROWTH","FQ1 2020","FQ1 2020","Currency=USD","Period=FQ","BEST_FPERIOD_OVERRIDE=FQ","FILING_STATUS=MR","Sort=A","Dates=H","DateFormat=P","Fill=—","Direction=H","UseDPDF=Y")</f>
        <v>-100</v>
      </c>
      <c r="I68" s="14" t="str">
        <f>_xll.BDH("SRPT US Equity","ST_DEBT_SEQUENTIAL_GROWTH","FQ2 2020","FQ2 2020","Currency=USD","Period=FQ","BEST_FPERIOD_OVERRIDE=FQ","FILING_STATUS=MR","Sort=A","Dates=H","DateFormat=P","Fill=—","Direction=H","UseDPDF=Y")</f>
        <v>—</v>
      </c>
      <c r="J68" s="14" t="str">
        <f>_xll.BDH("SRPT US Equity","ST_DEBT_SEQUENTIAL_GROWTH","FQ3 2020","FQ3 2020","Currency=USD","Period=FQ","BEST_FPERIOD_OVERRIDE=FQ","FILING_STATUS=MR","Sort=A","Dates=H","DateFormat=P","Fill=—","Direction=H","UseDPDF=Y")</f>
        <v>—</v>
      </c>
      <c r="K68" s="14" t="str">
        <f>_xll.BDH("SRPT US Equity","ST_DEBT_SEQUENTIAL_GROWTH","FQ4 2020","FQ4 2020","Currency=USD","Period=FQ","BEST_FPERIOD_OVERRIDE=FQ","FILING_STATUS=MR","Sort=A","Dates=H","DateFormat=P","Fill=—","Direction=H","UseDPDF=Y")</f>
        <v>—</v>
      </c>
      <c r="L68" s="14" t="str">
        <f>_xll.BDH("SRPT US Equity","ST_DEBT_SEQUENTIAL_GROWTH","FQ1 2021","FQ1 2021","Currency=USD","Period=FQ","BEST_FPERIOD_OVERRIDE=FQ","FILING_STATUS=MR","Sort=A","Dates=H","DateFormat=P","Fill=—","Direction=H","UseDPDF=Y")</f>
        <v>—</v>
      </c>
      <c r="M68" s="14" t="str">
        <f>_xll.BDH("SRPT US Equity","ST_DEBT_SEQUENTIAL_GROWTH","FQ2 2021","FQ2 2021","Currency=USD","Period=FQ","BEST_FPERIOD_OVERRIDE=FQ","FILING_STATUS=MR","Sort=A","Dates=H","DateFormat=P","Fill=—","Direction=H","UseDPDF=Y")</f>
        <v>—</v>
      </c>
      <c r="N68" s="14" t="str">
        <f>_xll.BDH("SRPT US Equity","ST_DEBT_SEQUENTIAL_GROWTH","FQ3 2021","FQ3 2021","Currency=USD","Period=FQ","BEST_FPERIOD_OVERRIDE=FQ","FILING_STATUS=MR","Sort=A","Dates=H","DateFormat=P","Fill=—","Direction=H","UseDPDF=Y")</f>
        <v>—</v>
      </c>
      <c r="O68" s="14" t="str">
        <f>_xll.BDH("SRPT US Equity","ST_DEBT_SEQUENTIAL_GROWTH","FQ4 2021","FQ4 2021","Currency=USD","Period=FQ","BEST_FPERIOD_OVERRIDE=FQ","FILING_STATUS=MR","Sort=A","Dates=H","DateFormat=P","Fill=—","Direction=H","UseDPDF=Y")</f>
        <v>—</v>
      </c>
      <c r="P68" s="14" t="str">
        <f>_xll.BDH("SRPT US Equity","ST_DEBT_SEQUENTIAL_GROWTH","FQ1 2022","FQ1 2022","Currency=USD","Period=FQ","BEST_FPERIOD_OVERRIDE=FQ","FILING_STATUS=MR","Sort=A","Dates=H","DateFormat=P","Fill=—","Direction=H","UseDPDF=Y")</f>
        <v>—</v>
      </c>
      <c r="Q68" s="14" t="str">
        <f>_xll.BDH("SRPT US Equity","ST_DEBT_SEQUENTIAL_GROWTH","FQ2 2022","FQ2 2022","Currency=USD","Period=FQ","BEST_FPERIOD_OVERRIDE=FQ","FILING_STATUS=MR","Sort=A","Dates=H","DateFormat=P","Fill=—","Direction=H","UseDPDF=Y")</f>
        <v>—</v>
      </c>
      <c r="R68" s="14" t="str">
        <f>_xll.BDH("SRPT US Equity","ST_DEBT_SEQUENTIAL_GROWTH","FQ3 2022","FQ3 2022","Currency=USD","Period=FQ","BEST_FPERIOD_OVERRIDE=FQ","FILING_STATUS=MR","Sort=A","Dates=H","DateFormat=P","Fill=—","Direction=H","UseDPDF=Y")</f>
        <v>—</v>
      </c>
      <c r="S68" s="14" t="str">
        <f>_xll.BDH("SRPT US Equity","ST_DEBT_SEQUENTIAL_GROWTH","FQ4 2022","FQ4 2022","Currency=USD","Period=FQ","BEST_FPERIOD_OVERRIDE=FQ","FILING_STATUS=MR","Sort=A","Dates=H","DateFormat=P","Fill=—","Direction=H","UseDPDF=Y")</f>
        <v>—</v>
      </c>
      <c r="T68" s="14">
        <f>_xll.BDH("SRPT US Equity","ST_DEBT_SEQUENTIAL_GROWTH","FQ1 2023","FQ1 2023","Currency=USD","Period=FQ","BEST_FPERIOD_OVERRIDE=FQ","FILING_STATUS=MR","Sort=A","Dates=H","DateFormat=P","Fill=—","Direction=H","UseDPDF=Y")</f>
        <v>-100</v>
      </c>
      <c r="U68" s="14" t="str">
        <f>_xll.BDH("SRPT US Equity","ST_DEBT_SEQUENTIAL_GROWTH","FQ2 2023","FQ2 2023","Currency=USD","Period=FQ","BEST_FPERIOD_OVERRIDE=FQ","FILING_STATUS=MR","Sort=A","Dates=H","DateFormat=P","Fill=—","Direction=H","UseDPDF=Y")</f>
        <v>—</v>
      </c>
      <c r="V68" s="14" t="str">
        <f>_xll.BDH("SRPT US Equity","ST_DEBT_SEQUENTIAL_GROWTH","FQ3 2023","FQ3 2023","Currency=USD","Period=FQ","BEST_FPERIOD_OVERRIDE=FQ","FILING_STATUS=MR","Sort=A","Dates=H","DateFormat=P","Fill=—","Direction=H","UseDPDF=Y")</f>
        <v>—</v>
      </c>
      <c r="W68" s="14">
        <f>_xll.BDH("SRPT US Equity","ST_DEBT_SEQUENTIAL_GROWTH","FQ4 2023","FQ4 2023","Currency=USD","Period=FQ","BEST_FPERIOD_OVERRIDE=FQ","FILING_STATUS=MR","Sort=A","Dates=H","DateFormat=P","Fill=—","Direction=H","UseDPDF=Y")</f>
        <v>587.0258</v>
      </c>
      <c r="X68" s="14">
        <f>_xll.BDH("SRPT US Equity","ST_DEBT_SEQUENTIAL_GROWTH","FQ1 2024","FQ1 2024","Currency=USD","Period=FQ","BEST_FPERIOD_OVERRIDE=FQ","FILING_STATUS=MR","Sort=A","Dates=H","DateFormat=P","Fill=—","Direction=H","UseDPDF=Y")</f>
        <v>-14.385999999999999</v>
      </c>
      <c r="Y68" s="14">
        <f>_xll.BDH("SRPT US Equity","ST_DEBT_SEQUENTIAL_GROWTH","FQ2 2024","FQ2 2024","Currency=USD","Period=FQ","BEST_FPERIOD_OVERRIDE=FQ","FILING_STATUS=MR","Sort=A","Dates=H","DateFormat=P","Fill=—","Direction=H","UseDPDF=Y")</f>
        <v>-13.336</v>
      </c>
      <c r="Z68" s="14">
        <f>_xll.BDH("SRPT US Equity","ST_DEBT_SEQUENTIAL_GROWTH","FQ3 2024","FQ3 2024","Currency=USD","Period=FQ","BEST_FPERIOD_OVERRIDE=FQ","FILING_STATUS=MR","Sort=A","Dates=H","DateFormat=P","Fill=—","Direction=H","UseDPDF=Y")</f>
        <v>9.8400000000000001E-2</v>
      </c>
      <c r="AA68" s="14">
        <f>_xll.BDH("SRPT US Equity","ST_DEBT_SEQUENTIAL_GROWTH","FQ4 2024","FQ4 2024","Currency=USD","Period=FQ","BEST_FPERIOD_OVERRIDE=FQ","FILING_STATUS=MR","Sort=A","Dates=H","DateFormat=P","Fill=—","Direction=H","UseDPDF=Y")</f>
        <v>-85.290700000000001</v>
      </c>
    </row>
    <row r="69" spans="1:27" x14ac:dyDescent="0.25">
      <c r="A69" s="10" t="s">
        <v>1411</v>
      </c>
      <c r="B69" s="10" t="s">
        <v>1454</v>
      </c>
      <c r="C69" s="14">
        <f>_xll.BDH("SRPT US Equity","TOTAL_DEBT_SEQUENTIAL_GROWTH","FQ4 2018","FQ4 2018","Currency=USD","Period=FQ","BEST_FPERIOD_OVERRIDE=FQ","FILING_STATUS=MR","Sort=A","Dates=H","DateFormat=P","Fill=—","Direction=H","UseDPDF=Y")</f>
        <v>1.2295</v>
      </c>
      <c r="D69" s="14">
        <f>_xll.BDH("SRPT US Equity","TOTAL_DEBT_SEQUENTIAL_GROWTH","FQ1 2019","FQ1 2019","Currency=USD","Period=FQ","BEST_FPERIOD_OVERRIDE=FQ","FILING_STATUS=MR","Sort=A","Dates=H","DateFormat=P","Fill=—","Direction=H","UseDPDF=Y")</f>
        <v>15.248200000000001</v>
      </c>
      <c r="E69" s="14">
        <f>_xll.BDH("SRPT US Equity","TOTAL_DEBT_SEQUENTIAL_GROWTH","FQ2 2019","FQ2 2019","Currency=USD","Period=FQ","BEST_FPERIOD_OVERRIDE=FQ","FILING_STATUS=MR","Sort=A","Dates=H","DateFormat=P","Fill=—","Direction=H","UseDPDF=Y")</f>
        <v>0.76939999999999997</v>
      </c>
      <c r="F69" s="14">
        <f>_xll.BDH("SRPT US Equity","TOTAL_DEBT_SEQUENTIAL_GROWTH","FQ3 2019","FQ3 2019","Currency=USD","Period=FQ","BEST_FPERIOD_OVERRIDE=FQ","FILING_STATUS=MR","Sort=A","Dates=H","DateFormat=P","Fill=—","Direction=H","UseDPDF=Y")</f>
        <v>1.095</v>
      </c>
      <c r="G69" s="14">
        <f>_xll.BDH("SRPT US Equity","TOTAL_DEBT_SEQUENTIAL_GROWTH","FQ4 2019","FQ4 2019","Currency=USD","Period=FQ","BEST_FPERIOD_OVERRIDE=FQ","FILING_STATUS=MR","Sort=A","Dates=H","DateFormat=P","Fill=—","Direction=H","UseDPDF=Y")</f>
        <v>49.357799999999997</v>
      </c>
      <c r="H69" s="14">
        <f>_xll.BDH("SRPT US Equity","TOTAL_DEBT_SEQUENTIAL_GROWTH","FQ1 2020","FQ1 2020","Currency=USD","Period=FQ","BEST_FPERIOD_OVERRIDE=FQ","FILING_STATUS=MR","Sort=A","Dates=H","DateFormat=P","Fill=—","Direction=H","UseDPDF=Y")</f>
        <v>2.1356999999999999</v>
      </c>
      <c r="I69" s="14">
        <f>_xll.BDH("SRPT US Equity","TOTAL_DEBT_SEQUENTIAL_GROWTH","FQ2 2020","FQ2 2020","Currency=USD","Period=FQ","BEST_FPERIOD_OVERRIDE=FQ","FILING_STATUS=MR","Sort=A","Dates=H","DateFormat=P","Fill=—","Direction=H","UseDPDF=Y")</f>
        <v>1.7712000000000001</v>
      </c>
      <c r="J69" s="14">
        <f>_xll.BDH("SRPT US Equity","TOTAL_DEBT_SEQUENTIAL_GROWTH","FQ3 2020","FQ3 2020","Currency=USD","Period=FQ","BEST_FPERIOD_OVERRIDE=FQ","FILING_STATUS=MR","Sort=A","Dates=H","DateFormat=P","Fill=—","Direction=H","UseDPDF=Y")</f>
        <v>0.27939999999999998</v>
      </c>
      <c r="K69" s="14">
        <f>_xll.BDH("SRPT US Equity","TOTAL_DEBT_SEQUENTIAL_GROWTH","FQ4 2020","FQ4 2020","Currency=USD","Period=FQ","BEST_FPERIOD_OVERRIDE=FQ","FILING_STATUS=MR","Sort=A","Dates=H","DateFormat=P","Fill=—","Direction=H","UseDPDF=Y")</f>
        <v>42.2911</v>
      </c>
      <c r="L69" s="14">
        <f>_xll.BDH("SRPT US Equity","TOTAL_DEBT_SEQUENTIAL_GROWTH","FQ1 2021","FQ1 2021","Currency=USD","Period=FQ","BEST_FPERIOD_OVERRIDE=FQ","FILING_STATUS=MR","Sort=A","Dates=H","DateFormat=P","Fill=—","Direction=H","UseDPDF=Y")</f>
        <v>5.3022</v>
      </c>
      <c r="M69" s="14">
        <f>_xll.BDH("SRPT US Equity","TOTAL_DEBT_SEQUENTIAL_GROWTH","FQ2 2021","FQ2 2021","Currency=USD","Period=FQ","BEST_FPERIOD_OVERRIDE=FQ","FILING_STATUS=MR","Sort=A","Dates=H","DateFormat=P","Fill=—","Direction=H","UseDPDF=Y")</f>
        <v>0.56299999999999994</v>
      </c>
      <c r="N69" s="14">
        <f>_xll.BDH("SRPT US Equity","TOTAL_DEBT_SEQUENTIAL_GROWTH","FQ3 2021","FQ3 2021","Currency=USD","Period=FQ","BEST_FPERIOD_OVERRIDE=FQ","FILING_STATUS=MR","Sort=A","Dates=H","DateFormat=P","Fill=—","Direction=H","UseDPDF=Y")</f>
        <v>6.0000000000000001E-3</v>
      </c>
      <c r="O69" s="14">
        <f>_xll.BDH("SRPT US Equity","TOTAL_DEBT_SEQUENTIAL_GROWTH","FQ4 2021","FQ4 2021","Currency=USD","Period=FQ","BEST_FPERIOD_OVERRIDE=FQ","FILING_STATUS=MR","Sort=A","Dates=H","DateFormat=P","Fill=—","Direction=H","UseDPDF=Y")</f>
        <v>-0.42330000000000001</v>
      </c>
      <c r="P69" s="14">
        <f>_xll.BDH("SRPT US Equity","TOTAL_DEBT_SEQUENTIAL_GROWTH","FQ1 2022","FQ1 2022","Currency=USD","Period=FQ","BEST_FPERIOD_OVERRIDE=FQ","FILING_STATUS=MR","Sort=A","Dates=H","DateFormat=P","Fill=—","Direction=H","UseDPDF=Y")</f>
        <v>-1.3846000000000001</v>
      </c>
      <c r="Q69" s="14">
        <f>_xll.BDH("SRPT US Equity","TOTAL_DEBT_SEQUENTIAL_GROWTH","FQ2 2022","FQ2 2022","Currency=USD","Period=FQ","BEST_FPERIOD_OVERRIDE=FQ","FILING_STATUS=MR","Sort=A","Dates=H","DateFormat=P","Fill=—","Direction=H","UseDPDF=Y")</f>
        <v>0.24390000000000001</v>
      </c>
      <c r="R69" s="14">
        <f>_xll.BDH("SRPT US Equity","TOTAL_DEBT_SEQUENTIAL_GROWTH","FQ3 2022","FQ3 2022","Currency=USD","Period=FQ","BEST_FPERIOD_OVERRIDE=FQ","FILING_STATUS=MR","Sort=A","Dates=H","DateFormat=P","Fill=—","Direction=H","UseDPDF=Y")</f>
        <v>38.3917</v>
      </c>
      <c r="S69" s="14">
        <f>_xll.BDH("SRPT US Equity","TOTAL_DEBT_SEQUENTIAL_GROWTH","FQ4 2022","FQ4 2022","Currency=USD","Period=FQ","BEST_FPERIOD_OVERRIDE=FQ","FILING_STATUS=MR","Sort=A","Dates=H","DateFormat=P","Fill=—","Direction=H","UseDPDF=Y")</f>
        <v>2.4943</v>
      </c>
      <c r="T69" s="14">
        <f>_xll.BDH("SRPT US Equity","TOTAL_DEBT_SEQUENTIAL_GROWTH","FQ1 2023","FQ1 2023","Currency=USD","Period=FQ","BEST_FPERIOD_OVERRIDE=FQ","FILING_STATUS=MR","Sort=A","Dates=H","DateFormat=P","Fill=—","Direction=H","UseDPDF=Y")</f>
        <v>-20.3507</v>
      </c>
      <c r="U69" s="14">
        <f>_xll.BDH("SRPT US Equity","TOTAL_DEBT_SEQUENTIAL_GROWTH","FQ2 2023","FQ2 2023","Currency=USD","Period=FQ","BEST_FPERIOD_OVERRIDE=FQ","FILING_STATUS=MR","Sort=A","Dates=H","DateFormat=P","Fill=—","Direction=H","UseDPDF=Y")</f>
        <v>5.9363000000000001</v>
      </c>
      <c r="V69" s="14">
        <f>_xll.BDH("SRPT US Equity","TOTAL_DEBT_SEQUENTIAL_GROWTH","FQ3 2023","FQ3 2023","Currency=USD","Period=FQ","BEST_FPERIOD_OVERRIDE=FQ","FILING_STATUS=MR","Sort=A","Dates=H","DateFormat=P","Fill=—","Direction=H","UseDPDF=Y")</f>
        <v>1.8150999999999999</v>
      </c>
      <c r="W69" s="14">
        <f>_xll.BDH("SRPT US Equity","TOTAL_DEBT_SEQUENTIAL_GROWTH","FQ4 2023","FQ4 2023","Currency=USD","Period=FQ","BEST_FPERIOD_OVERRIDE=FQ","FILING_STATUS=MR","Sort=A","Dates=H","DateFormat=P","Fill=—","Direction=H","UseDPDF=Y")</f>
        <v>0.52900000000000003</v>
      </c>
      <c r="X69" s="14">
        <f>_xll.BDH("SRPT US Equity","TOTAL_DEBT_SEQUENTIAL_GROWTH","FQ1 2024","FQ1 2024","Currency=USD","Period=FQ","BEST_FPERIOD_OVERRIDE=FQ","FILING_STATUS=MR","Sort=A","Dates=H","DateFormat=P","Fill=—","Direction=H","UseDPDF=Y")</f>
        <v>-1.25</v>
      </c>
      <c r="Y69" s="14">
        <f>_xll.BDH("SRPT US Equity","TOTAL_DEBT_SEQUENTIAL_GROWTH","FQ2 2024","FQ2 2024","Currency=USD","Period=FQ","BEST_FPERIOD_OVERRIDE=FQ","FILING_STATUS=MR","Sort=A","Dates=H","DateFormat=P","Fill=—","Direction=H","UseDPDF=Y")</f>
        <v>-0.68379999999999996</v>
      </c>
      <c r="Z69" s="14">
        <f>_xll.BDH("SRPT US Equity","TOTAL_DEBT_SEQUENTIAL_GROWTH","FQ3 2024","FQ3 2024","Currency=USD","Period=FQ","BEST_FPERIOD_OVERRIDE=FQ","FILING_STATUS=MR","Sort=A","Dates=H","DateFormat=P","Fill=—","Direction=H","UseDPDF=Y")</f>
        <v>2.0186000000000002</v>
      </c>
      <c r="AA69" s="14">
        <f>_xll.BDH("SRPT US Equity","TOTAL_DEBT_SEQUENTIAL_GROWTH","FQ4 2024","FQ4 2024","Currency=USD","Period=FQ","BEST_FPERIOD_OVERRIDE=FQ","FILING_STATUS=MR","Sort=A","Dates=H","DateFormat=P","Fill=—","Direction=H","UseDPDF=Y")</f>
        <v>-3.8996</v>
      </c>
    </row>
    <row r="70" spans="1:27" x14ac:dyDescent="0.25">
      <c r="A70" s="10" t="s">
        <v>118</v>
      </c>
      <c r="B70" s="10" t="s">
        <v>1455</v>
      </c>
      <c r="C70" s="14">
        <f>_xll.BDH("SRPT US Equity","TOTAL_EQUITY_SEQUENTIAL_GROWTH","FQ4 2018","FQ4 2018","Currency=USD","Period=FQ","BEST_FPERIOD_OVERRIDE=FQ","FILING_STATUS=MR","Sort=A","Dates=H","DateFormat=P","Fill=—","Direction=H","UseDPDF=Y")</f>
        <v>61.331400000000002</v>
      </c>
      <c r="D70" s="14">
        <f>_xll.BDH("SRPT US Equity","TOTAL_EQUITY_SEQUENTIAL_GROWTH","FQ1 2019","FQ1 2019","Currency=USD","Period=FQ","BEST_FPERIOD_OVERRIDE=FQ","FILING_STATUS=MR","Sort=A","Dates=H","DateFormat=P","Fill=—","Direction=H","UseDPDF=Y")</f>
        <v>30.639900000000001</v>
      </c>
      <c r="E70" s="14">
        <f>_xll.BDH("SRPT US Equity","TOTAL_EQUITY_SEQUENTIAL_GROWTH","FQ2 2019","FQ2 2019","Currency=USD","Period=FQ","BEST_FPERIOD_OVERRIDE=FQ","FILING_STATUS=MR","Sort=A","Dates=H","DateFormat=P","Fill=—","Direction=H","UseDPDF=Y")</f>
        <v>-18.493500000000001</v>
      </c>
      <c r="F70" s="14">
        <f>_xll.BDH("SRPT US Equity","TOTAL_EQUITY_SEQUENTIAL_GROWTH","FQ3 2019","FQ3 2019","Currency=USD","Period=FQ","BEST_FPERIOD_OVERRIDE=FQ","FILING_STATUS=MR","Sort=A","Dates=H","DateFormat=P","Fill=—","Direction=H","UseDPDF=Y")</f>
        <v>-9.4582999999999995</v>
      </c>
      <c r="G70" s="14">
        <f>_xll.BDH("SRPT US Equity","TOTAL_EQUITY_SEQUENTIAL_GROWTH","FQ4 2019","FQ4 2019","Currency=USD","Period=FQ","BEST_FPERIOD_OVERRIDE=FQ","FILING_STATUS=MR","Sort=A","Dates=H","DateFormat=P","Fill=—","Direction=H","UseDPDF=Y")</f>
        <v>-17.786999999999999</v>
      </c>
      <c r="H70" s="14">
        <f>_xll.BDH("SRPT US Equity","TOTAL_EQUITY_SEQUENTIAL_GROWTH","FQ1 2020","FQ1 2020","Currency=USD","Period=FQ","BEST_FPERIOD_OVERRIDE=FQ","FILING_STATUS=MR","Sort=A","Dates=H","DateFormat=P","Fill=—","Direction=H","UseDPDF=Y")</f>
        <v>39.922499999999999</v>
      </c>
      <c r="I70" s="14">
        <f>_xll.BDH("SRPT US Equity","TOTAL_EQUITY_SEQUENTIAL_GROWTH","FQ2 2020","FQ2 2020","Currency=USD","Period=FQ","BEST_FPERIOD_OVERRIDE=FQ","FILING_STATUS=MR","Sort=A","Dates=H","DateFormat=P","Fill=—","Direction=H","UseDPDF=Y")</f>
        <v>-8.9062999999999999</v>
      </c>
      <c r="J70" s="14">
        <f>_xll.BDH("SRPT US Equity","TOTAL_EQUITY_SEQUENTIAL_GROWTH","FQ3 2020","FQ3 2020","Currency=USD","Period=FQ","BEST_FPERIOD_OVERRIDE=FQ","FILING_STATUS=MR","Sort=A","Dates=H","DateFormat=P","Fill=—","Direction=H","UseDPDF=Y")</f>
        <v>-14.462</v>
      </c>
      <c r="K70" s="14">
        <f>_xll.BDH("SRPT US Equity","TOTAL_EQUITY_SEQUENTIAL_GROWTH","FQ4 2020","FQ4 2020","Currency=USD","Period=FQ","BEST_FPERIOD_OVERRIDE=FQ","FILING_STATUS=MR","Sort=A","Dates=H","DateFormat=P","Fill=—","Direction=H","UseDPDF=Y")</f>
        <v>-14.605499999999999</v>
      </c>
      <c r="L70" s="14">
        <f>_xll.BDH("SRPT US Equity","TOTAL_EQUITY_SEQUENTIAL_GROWTH","FQ1 2021","FQ1 2021","Currency=USD","Period=FQ","BEST_FPERIOD_OVERRIDE=FQ","FILING_STATUS=MR","Sort=A","Dates=H","DateFormat=P","Fill=—","Direction=H","UseDPDF=Y")</f>
        <v>-29.709399999999999</v>
      </c>
      <c r="M70" s="14">
        <f>_xll.BDH("SRPT US Equity","TOTAL_EQUITY_SEQUENTIAL_GROWTH","FQ2 2021","FQ2 2021","Currency=USD","Period=FQ","BEST_FPERIOD_OVERRIDE=FQ","FILING_STATUS=MR","Sort=A","Dates=H","DateFormat=P","Fill=—","Direction=H","UseDPDF=Y")</f>
        <v>-9.4009999999999998</v>
      </c>
      <c r="N70" s="14">
        <f>_xll.BDH("SRPT US Equity","TOTAL_EQUITY_SEQUENTIAL_GROWTH","FQ3 2021","FQ3 2021","Currency=USD","Period=FQ","BEST_FPERIOD_OVERRIDE=FQ","FILING_STATUS=MR","Sort=A","Dates=H","DateFormat=P","Fill=—","Direction=H","UseDPDF=Y")</f>
        <v>-3.2117</v>
      </c>
      <c r="O70" s="14">
        <f>_xll.BDH("SRPT US Equity","TOTAL_EQUITY_SEQUENTIAL_GROWTH","FQ4 2021","FQ4 2021","Currency=USD","Period=FQ","BEST_FPERIOD_OVERRIDE=FQ","FILING_STATUS=MR","Sort=A","Dates=H","DateFormat=P","Fill=—","Direction=H","UseDPDF=Y")</f>
        <v>97.647199999999998</v>
      </c>
      <c r="P70" s="14">
        <f>_xll.BDH("SRPT US Equity","TOTAL_EQUITY_SEQUENTIAL_GROWTH","FQ1 2022","FQ1 2022","Currency=USD","Period=FQ","BEST_FPERIOD_OVERRIDE=FQ","FILING_STATUS=MR","Sort=A","Dates=H","DateFormat=P","Fill=—","Direction=H","UseDPDF=Y")</f>
        <v>-7.6639999999999997</v>
      </c>
      <c r="Q70" s="14">
        <f>_xll.BDH("SRPT US Equity","TOTAL_EQUITY_SEQUENTIAL_GROWTH","FQ2 2022","FQ2 2022","Currency=USD","Period=FQ","BEST_FPERIOD_OVERRIDE=FQ","FILING_STATUS=MR","Sort=A","Dates=H","DateFormat=P","Fill=—","Direction=H","UseDPDF=Y")</f>
        <v>-15.221299999999999</v>
      </c>
      <c r="R70" s="14">
        <f>_xll.BDH("SRPT US Equity","TOTAL_EQUITY_SEQUENTIAL_GROWTH","FQ3 2022","FQ3 2022","Currency=USD","Period=FQ","BEST_FPERIOD_OVERRIDE=FQ","FILING_STATUS=MR","Sort=A","Dates=H","DateFormat=P","Fill=—","Direction=H","UseDPDF=Y")</f>
        <v>-40.692999999999998</v>
      </c>
      <c r="S70" s="14">
        <f>_xll.BDH("SRPT US Equity","TOTAL_EQUITY_SEQUENTIAL_GROWTH","FQ4 2022","FQ4 2022","Currency=USD","Period=FQ","BEST_FPERIOD_OVERRIDE=FQ","FILING_STATUS=MR","Sort=A","Dates=H","DateFormat=P","Fill=—","Direction=H","UseDPDF=Y")</f>
        <v>-10.651300000000001</v>
      </c>
      <c r="T70" s="14">
        <f>_xll.BDH("SRPT US Equity","TOTAL_EQUITY_SEQUENTIAL_GROWTH","FQ1 2023","FQ1 2023","Currency=USD","Period=FQ","BEST_FPERIOD_OVERRIDE=FQ","FILING_STATUS=MR","Sort=A","Dates=H","DateFormat=P","Fill=—","Direction=H","UseDPDF=Y")</f>
        <v>85.153700000000001</v>
      </c>
      <c r="U70" s="14">
        <f>_xll.BDH("SRPT US Equity","TOTAL_EQUITY_SEQUENTIAL_GROWTH","FQ2 2023","FQ2 2023","Currency=USD","Period=FQ","BEST_FPERIOD_OVERRIDE=FQ","FILING_STATUS=MR","Sort=A","Dates=H","DateFormat=P","Fill=—","Direction=H","UseDPDF=Y")</f>
        <v>4.0213000000000001</v>
      </c>
      <c r="V70" s="14">
        <f>_xll.BDH("SRPT US Equity","TOTAL_EQUITY_SEQUENTIAL_GROWTH","FQ3 2023","FQ3 2023","Currency=USD","Period=FQ","BEST_FPERIOD_OVERRIDE=FQ","FILING_STATUS=MR","Sort=A","Dates=H","DateFormat=P","Fill=—","Direction=H","UseDPDF=Y")</f>
        <v>3.0949</v>
      </c>
      <c r="W70" s="14">
        <f>_xll.BDH("SRPT US Equity","TOTAL_EQUITY_SEQUENTIAL_GROWTH","FQ4 2023","FQ4 2023","Currency=USD","Period=FQ","BEST_FPERIOD_OVERRIDE=FQ","FILING_STATUS=MR","Sort=A","Dates=H","DateFormat=P","Fill=—","Direction=H","UseDPDF=Y")</f>
        <v>12.4261</v>
      </c>
      <c r="X70" s="14">
        <f>_xll.BDH("SRPT US Equity","TOTAL_EQUITY_SEQUENTIAL_GROWTH","FQ1 2024","FQ1 2024","Currency=USD","Period=FQ","BEST_FPERIOD_OVERRIDE=FQ","FILING_STATUS=MR","Sort=A","Dates=H","DateFormat=P","Fill=—","Direction=H","UseDPDF=Y")</f>
        <v>11.8527</v>
      </c>
      <c r="Y70" s="14">
        <f>_xll.BDH("SRPT US Equity","TOTAL_EQUITY_SEQUENTIAL_GROWTH","FQ2 2024","FQ2 2024","Currency=USD","Period=FQ","BEST_FPERIOD_OVERRIDE=FQ","FILING_STATUS=MR","Sort=A","Dates=H","DateFormat=P","Fill=—","Direction=H","UseDPDF=Y")</f>
        <v>12.0556</v>
      </c>
      <c r="Z70" s="14">
        <f>_xll.BDH("SRPT US Equity","TOTAL_EQUITY_SEQUENTIAL_GROWTH","FQ3 2024","FQ3 2024","Currency=USD","Period=FQ","BEST_FPERIOD_OVERRIDE=FQ","FILING_STATUS=MR","Sort=A","Dates=H","DateFormat=P","Fill=—","Direction=H","UseDPDF=Y")</f>
        <v>13.3698</v>
      </c>
      <c r="AA70" s="14">
        <f>_xll.BDH("SRPT US Equity","TOTAL_EQUITY_SEQUENTIAL_GROWTH","FQ4 2024","FQ4 2024","Currency=USD","Period=FQ","BEST_FPERIOD_OVERRIDE=FQ","FILING_STATUS=MR","Sort=A","Dates=H","DateFormat=P","Fill=—","Direction=H","UseDPDF=Y")</f>
        <v>25.114899999999999</v>
      </c>
    </row>
    <row r="71" spans="1:27" x14ac:dyDescent="0.25">
      <c r="A71" s="10" t="s">
        <v>1414</v>
      </c>
      <c r="B71" s="10" t="s">
        <v>1456</v>
      </c>
      <c r="C71" s="14">
        <f>_xll.BDH("SRPT US Equity","TOTAL_CAPITAL_SEQUENTIAL_GROWTH","FQ4 2018","FQ4 2018","Currency=USD","Period=FQ","BEST_FPERIOD_OVERRIDE=FQ","FILING_STATUS=MR","Sort=A","Dates=H","DateFormat=P","Fill=—","Direction=H","UseDPDF=Y")</f>
        <v>37.6706</v>
      </c>
      <c r="D71" s="14">
        <f>_xll.BDH("SRPT US Equity","TOTAL_CAPITAL_SEQUENTIAL_GROWTH","FQ1 2019","FQ1 2019","Currency=USD","Period=FQ","BEST_FPERIOD_OVERRIDE=FQ","FILING_STATUS=MR","Sort=A","Dates=H","DateFormat=P","Fill=—","Direction=H","UseDPDF=Y")</f>
        <v>26.1844</v>
      </c>
      <c r="E71" s="14">
        <f>_xll.BDH("SRPT US Equity","TOTAL_CAPITAL_SEQUENTIAL_GROWTH","FQ2 2019","FQ2 2019","Currency=USD","Period=FQ","BEST_FPERIOD_OVERRIDE=FQ","FILING_STATUS=MR","Sort=A","Dates=H","DateFormat=P","Fill=—","Direction=H","UseDPDF=Y")</f>
        <v>-13.400700000000001</v>
      </c>
      <c r="F71" s="14">
        <f>_xll.BDH("SRPT US Equity","TOTAL_CAPITAL_SEQUENTIAL_GROWTH","FQ3 2019","FQ3 2019","Currency=USD","Period=FQ","BEST_FPERIOD_OVERRIDE=FQ","FILING_STATUS=MR","Sort=A","Dates=H","DateFormat=P","Fill=—","Direction=H","UseDPDF=Y")</f>
        <v>-6.2117000000000004</v>
      </c>
      <c r="G71" s="14">
        <f>_xll.BDH("SRPT US Equity","TOTAL_CAPITAL_SEQUENTIAL_GROWTH","FQ4 2019","FQ4 2019","Currency=USD","Period=FQ","BEST_FPERIOD_OVERRIDE=FQ","FILING_STATUS=MR","Sort=A","Dates=H","DateFormat=P","Fill=—","Direction=H","UseDPDF=Y")</f>
        <v>4.4790000000000001</v>
      </c>
      <c r="H71" s="14">
        <f>_xll.BDH("SRPT US Equity","TOTAL_CAPITAL_SEQUENTIAL_GROWTH","FQ1 2020","FQ1 2020","Currency=USD","Period=FQ","BEST_FPERIOD_OVERRIDE=FQ","FILING_STATUS=MR","Sort=A","Dates=H","DateFormat=P","Fill=—","Direction=H","UseDPDF=Y")</f>
        <v>22.009499999999999</v>
      </c>
      <c r="I71" s="14">
        <f>_xll.BDH("SRPT US Equity","TOTAL_CAPITAL_SEQUENTIAL_GROWTH","FQ2 2020","FQ2 2020","Currency=USD","Period=FQ","BEST_FPERIOD_OVERRIDE=FQ","FILING_STATUS=MR","Sort=A","Dates=H","DateFormat=P","Fill=—","Direction=H","UseDPDF=Y")</f>
        <v>-4.6691000000000003</v>
      </c>
      <c r="J71" s="14">
        <f>_xll.BDH("SRPT US Equity","TOTAL_CAPITAL_SEQUENTIAL_GROWTH","FQ3 2020","FQ3 2020","Currency=USD","Period=FQ","BEST_FPERIOD_OVERRIDE=FQ","FILING_STATUS=MR","Sort=A","Dates=H","DateFormat=P","Fill=—","Direction=H","UseDPDF=Y")</f>
        <v>-8.2167999999999992</v>
      </c>
      <c r="K71" s="14">
        <f>_xll.BDH("SRPT US Equity","TOTAL_CAPITAL_SEQUENTIAL_GROWTH","FQ4 2020","FQ4 2020","Currency=USD","Period=FQ","BEST_FPERIOD_OVERRIDE=FQ","FILING_STATUS=MR","Sort=A","Dates=H","DateFormat=P","Fill=—","Direction=H","UseDPDF=Y")</f>
        <v>11.729799999999999</v>
      </c>
      <c r="L71" s="14">
        <f>_xll.BDH("SRPT US Equity","TOTAL_CAPITAL_SEQUENTIAL_GROWTH","FQ1 2021","FQ1 2021","Currency=USD","Period=FQ","BEST_FPERIOD_OVERRIDE=FQ","FILING_STATUS=MR","Sort=A","Dates=H","DateFormat=P","Fill=—","Direction=H","UseDPDF=Y")</f>
        <v>-9.0710999999999995</v>
      </c>
      <c r="M71" s="14">
        <f>_xll.BDH("SRPT US Equity","TOTAL_CAPITAL_SEQUENTIAL_GROWTH","FQ2 2021","FQ2 2021","Currency=USD","Period=FQ","BEST_FPERIOD_OVERRIDE=FQ","FILING_STATUS=MR","Sort=A","Dates=H","DateFormat=P","Fill=—","Direction=H","UseDPDF=Y")</f>
        <v>-2.5991</v>
      </c>
      <c r="N71" s="14">
        <f>_xll.BDH("SRPT US Equity","TOTAL_CAPITAL_SEQUENTIAL_GROWTH","FQ3 2021","FQ3 2021","Currency=USD","Period=FQ","BEST_FPERIOD_OVERRIDE=FQ","FILING_STATUS=MR","Sort=A","Dates=H","DateFormat=P","Fill=—","Direction=H","UseDPDF=Y")</f>
        <v>-0.94379999999999997</v>
      </c>
      <c r="O71" s="14">
        <f>_xll.BDH("SRPT US Equity","TOTAL_CAPITAL_SEQUENTIAL_GROWTH","FQ4 2021","FQ4 2021","Currency=USD","Period=FQ","BEST_FPERIOD_OVERRIDE=FQ","FILING_STATUS=MR","Sort=A","Dates=H","DateFormat=P","Fill=—","Direction=H","UseDPDF=Y")</f>
        <v>27.863299999999999</v>
      </c>
      <c r="P71" s="14">
        <f>_xll.BDH("SRPT US Equity","TOTAL_CAPITAL_SEQUENTIAL_GROWTH","FQ1 2022","FQ1 2022","Currency=USD","Period=FQ","BEST_FPERIOD_OVERRIDE=FQ","FILING_STATUS=MR","Sort=A","Dates=H","DateFormat=P","Fill=—","Direction=H","UseDPDF=Y")</f>
        <v>-4.1843000000000004</v>
      </c>
      <c r="Q71" s="14">
        <f>_xll.BDH("SRPT US Equity","TOTAL_CAPITAL_SEQUENTIAL_GROWTH","FQ2 2022","FQ2 2022","Currency=USD","Period=FQ","BEST_FPERIOD_OVERRIDE=FQ","FILING_STATUS=MR","Sort=A","Dates=H","DateFormat=P","Fill=—","Direction=H","UseDPDF=Y")</f>
        <v>-6.4008000000000003</v>
      </c>
      <c r="R71" s="14">
        <f>_xll.BDH("SRPT US Equity","TOTAL_CAPITAL_SEQUENTIAL_GROWTH","FQ3 2022","FQ3 2022","Currency=USD","Period=FQ","BEST_FPERIOD_OVERRIDE=FQ","FILING_STATUS=MR","Sort=A","Dates=H","DateFormat=P","Fill=—","Direction=H","UseDPDF=Y")</f>
        <v>7.6146000000000003</v>
      </c>
      <c r="S71" s="14">
        <f>_xll.BDH("SRPT US Equity","TOTAL_CAPITAL_SEQUENTIAL_GROWTH","FQ4 2022","FQ4 2022","Currency=USD","Period=FQ","BEST_FPERIOD_OVERRIDE=FQ","FILING_STATUS=MR","Sort=A","Dates=H","DateFormat=P","Fill=—","Direction=H","UseDPDF=Y")</f>
        <v>-0.3251</v>
      </c>
      <c r="T71" s="14">
        <f>_xll.BDH("SRPT US Equity","TOTAL_CAPITAL_SEQUENTIAL_GROWTH","FQ1 2023","FQ1 2023","Currency=USD","Period=FQ","BEST_FPERIOD_OVERRIDE=FQ","FILING_STATUS=MR","Sort=A","Dates=H","DateFormat=P","Fill=—","Direction=H","UseDPDF=Y")</f>
        <v>-6.7199999999999996E-2</v>
      </c>
      <c r="U71" s="14">
        <f>_xll.BDH("SRPT US Equity","TOTAL_CAPITAL_SEQUENTIAL_GROWTH","FQ2 2023","FQ2 2023","Currency=USD","Period=FQ","BEST_FPERIOD_OVERRIDE=FQ","FILING_STATUS=MR","Sort=A","Dates=H","DateFormat=P","Fill=—","Direction=H","UseDPDF=Y")</f>
        <v>5.2542</v>
      </c>
      <c r="V71" s="14">
        <f>_xll.BDH("SRPT US Equity","TOTAL_CAPITAL_SEQUENTIAL_GROWTH","FQ3 2023","FQ3 2023","Currency=USD","Period=FQ","BEST_FPERIOD_OVERRIDE=FQ","FILING_STATUS=MR","Sort=A","Dates=H","DateFormat=P","Fill=—","Direction=H","UseDPDF=Y")</f>
        <v>2.2656999999999998</v>
      </c>
      <c r="W71" s="14">
        <f>_xll.BDH("SRPT US Equity","TOTAL_CAPITAL_SEQUENTIAL_GROWTH","FQ4 2023","FQ4 2023","Currency=USD","Period=FQ","BEST_FPERIOD_OVERRIDE=FQ","FILING_STATUS=MR","Sort=A","Dates=H","DateFormat=P","Fill=—","Direction=H","UseDPDF=Y")</f>
        <v>4.7511000000000001</v>
      </c>
      <c r="X71" s="14">
        <f>_xll.BDH("SRPT US Equity","TOTAL_CAPITAL_SEQUENTIAL_GROWTH","FQ1 2024","FQ1 2024","Currency=USD","Period=FQ","BEST_FPERIOD_OVERRIDE=FQ","FILING_STATUS=MR","Sort=A","Dates=H","DateFormat=P","Fill=—","Direction=H","UseDPDF=Y")</f>
        <v>3.7406999999999999</v>
      </c>
      <c r="Y71" s="14">
        <f>_xll.BDH("SRPT US Equity","TOTAL_CAPITAL_SEQUENTIAL_GROWTH","FQ2 2024","FQ2 2024","Currency=USD","Period=FQ","BEST_FPERIOD_OVERRIDE=FQ","FILING_STATUS=MR","Sort=A","Dates=H","DateFormat=P","Fill=—","Direction=H","UseDPDF=Y")</f>
        <v>4.5479000000000003</v>
      </c>
      <c r="Z71" s="14">
        <f>_xll.BDH("SRPT US Equity","TOTAL_CAPITAL_SEQUENTIAL_GROWTH","FQ3 2024","FQ3 2024","Currency=USD","Period=FQ","BEST_FPERIOD_OVERRIDE=FQ","FILING_STATUS=MR","Sort=A","Dates=H","DateFormat=P","Fill=—","Direction=H","UseDPDF=Y")</f>
        <v>7.0149999999999997</v>
      </c>
      <c r="AA71" s="14">
        <f>_xll.BDH("SRPT US Equity","TOTAL_CAPITAL_SEQUENTIAL_GROWTH","FQ4 2024","FQ4 2024","Currency=USD","Period=FQ","BEST_FPERIOD_OVERRIDE=FQ","FILING_STATUS=MR","Sort=A","Dates=H","DateFormat=P","Fill=—","Direction=H","UseDPDF=Y")</f>
        <v>9.6298999999999992</v>
      </c>
    </row>
    <row r="72" spans="1:27" x14ac:dyDescent="0.25">
      <c r="A72" s="10" t="s">
        <v>1416</v>
      </c>
      <c r="B72" s="10" t="s">
        <v>1457</v>
      </c>
      <c r="C72" s="14">
        <f>_xll.BDH("SRPT US Equity","BPS_SEQUENTIAL_GROWTH","FQ4 2018","FQ4 2018","Currency=USD","Period=FQ","BEST_FPERIOD_OVERRIDE=FQ","FILING_STATUS=MR","Sort=A","Dates=H","DateFormat=P","Fill=—","Direction=H","UseDPDF=Y")</f>
        <v>51.392299999999999</v>
      </c>
      <c r="D72" s="14">
        <f>_xll.BDH("SRPT US Equity","BPS_SEQUENTIAL_GROWTH","FQ1 2019","FQ1 2019","Currency=USD","Period=FQ","BEST_FPERIOD_OVERRIDE=FQ","FILING_STATUS=MR","Sort=A","Dates=H","DateFormat=P","Fill=—","Direction=H","UseDPDF=Y")</f>
        <v>25.244599999999998</v>
      </c>
      <c r="E72" s="14">
        <f>_xll.BDH("SRPT US Equity","BPS_SEQUENTIAL_GROWTH","FQ2 2019","FQ2 2019","Currency=USD","Period=FQ","BEST_FPERIOD_OVERRIDE=FQ","FILING_STATUS=MR","Sort=A","Dates=H","DateFormat=P","Fill=—","Direction=H","UseDPDF=Y")</f>
        <v>-18.706499999999998</v>
      </c>
      <c r="F72" s="14">
        <f>_xll.BDH("SRPT US Equity","BPS_SEQUENTIAL_GROWTH","FQ3 2019","FQ3 2019","Currency=USD","Period=FQ","BEST_FPERIOD_OVERRIDE=FQ","FILING_STATUS=MR","Sort=A","Dates=H","DateFormat=P","Fill=—","Direction=H","UseDPDF=Y")</f>
        <v>-9.6735000000000007</v>
      </c>
      <c r="G72" s="14">
        <f>_xll.BDH("SRPT US Equity","BPS_SEQUENTIAL_GROWTH","FQ4 2019","FQ4 2019","Currency=USD","Period=FQ","BEST_FPERIOD_OVERRIDE=FQ","FILING_STATUS=MR","Sort=A","Dates=H","DateFormat=P","Fill=—","Direction=H","UseDPDF=Y")</f>
        <v>-18.5306</v>
      </c>
      <c r="H72" s="14">
        <f>_xll.BDH("SRPT US Equity","BPS_SEQUENTIAL_GROWTH","FQ1 2020","FQ1 2020","Currency=USD","Period=FQ","BEST_FPERIOD_OVERRIDE=FQ","FILING_STATUS=MR","Sort=A","Dates=H","DateFormat=P","Fill=—","Direction=H","UseDPDF=Y")</f>
        <v>34.945500000000003</v>
      </c>
      <c r="I72" s="14">
        <f>_xll.BDH("SRPT US Equity","BPS_SEQUENTIAL_GROWTH","FQ2 2020","FQ2 2020","Currency=USD","Period=FQ","BEST_FPERIOD_OVERRIDE=FQ","FILING_STATUS=MR","Sort=A","Dates=H","DateFormat=P","Fill=—","Direction=H","UseDPDF=Y")</f>
        <v>-9.4573999999999998</v>
      </c>
      <c r="J72" s="14">
        <f>_xll.BDH("SRPT US Equity","BPS_SEQUENTIAL_GROWTH","FQ3 2020","FQ3 2020","Currency=USD","Period=FQ","BEST_FPERIOD_OVERRIDE=FQ","FILING_STATUS=MR","Sort=A","Dates=H","DateFormat=P","Fill=—","Direction=H","UseDPDF=Y")</f>
        <v>-14.850099999999999</v>
      </c>
      <c r="K72" s="14">
        <f>_xll.BDH("SRPT US Equity","BPS_SEQUENTIAL_GROWTH","FQ4 2020","FQ4 2020","Currency=USD","Period=FQ","BEST_FPERIOD_OVERRIDE=FQ","FILING_STATUS=MR","Sort=A","Dates=H","DateFormat=P","Fill=—","Direction=H","UseDPDF=Y")</f>
        <v>-15.234299999999999</v>
      </c>
      <c r="L72" s="14">
        <f>_xll.BDH("SRPT US Equity","BPS_SEQUENTIAL_GROWTH","FQ1 2021","FQ1 2021","Currency=USD","Period=FQ","BEST_FPERIOD_OVERRIDE=FQ","FILING_STATUS=MR","Sort=A","Dates=H","DateFormat=P","Fill=—","Direction=H","UseDPDF=Y")</f>
        <v>-30.038900000000002</v>
      </c>
      <c r="M72" s="14">
        <f>_xll.BDH("SRPT US Equity","BPS_SEQUENTIAL_GROWTH","FQ2 2021","FQ2 2021","Currency=USD","Period=FQ","BEST_FPERIOD_OVERRIDE=FQ","FILING_STATUS=MR","Sort=A","Dates=H","DateFormat=P","Fill=—","Direction=H","UseDPDF=Y")</f>
        <v>-9.4944000000000006</v>
      </c>
      <c r="N72" s="14">
        <f>_xll.BDH("SRPT US Equity","BPS_SEQUENTIAL_GROWTH","FQ3 2021","FQ3 2021","Currency=USD","Period=FQ","BEST_FPERIOD_OVERRIDE=FQ","FILING_STATUS=MR","Sort=A","Dates=H","DateFormat=P","Fill=—","Direction=H","UseDPDF=Y")</f>
        <v>-3.3666999999999998</v>
      </c>
      <c r="O72" s="14">
        <f>_xll.BDH("SRPT US Equity","BPS_SEQUENTIAL_GROWTH","FQ4 2021","FQ4 2021","Currency=USD","Period=FQ","BEST_FPERIOD_OVERRIDE=FQ","FILING_STATUS=MR","Sort=A","Dates=H","DateFormat=P","Fill=—","Direction=H","UseDPDF=Y")</f>
        <v>81.385599999999997</v>
      </c>
      <c r="P72" s="14">
        <f>_xll.BDH("SRPT US Equity","BPS_SEQUENTIAL_GROWTH","FQ1 2022","FQ1 2022","Currency=USD","Period=FQ","BEST_FPERIOD_OVERRIDE=FQ","FILING_STATUS=MR","Sort=A","Dates=H","DateFormat=P","Fill=—","Direction=H","UseDPDF=Y")</f>
        <v>-8.0531000000000006</v>
      </c>
      <c r="Q72" s="14">
        <f>_xll.BDH("SRPT US Equity","BPS_SEQUENTIAL_GROWTH","FQ2 2022","FQ2 2022","Currency=USD","Period=FQ","BEST_FPERIOD_OVERRIDE=FQ","FILING_STATUS=MR","Sort=A","Dates=H","DateFormat=P","Fill=—","Direction=H","UseDPDF=Y")</f>
        <v>-15.2597</v>
      </c>
      <c r="R72" s="14">
        <f>_xll.BDH("SRPT US Equity","BPS_SEQUENTIAL_GROWTH","FQ3 2022","FQ3 2022","Currency=USD","Period=FQ","BEST_FPERIOD_OVERRIDE=FQ","FILING_STATUS=MR","Sort=A","Dates=H","DateFormat=P","Fill=—","Direction=H","UseDPDF=Y")</f>
        <v>-40.848999999999997</v>
      </c>
      <c r="S72" s="14">
        <f>_xll.BDH("SRPT US Equity","BPS_SEQUENTIAL_GROWTH","FQ4 2022","FQ4 2022","Currency=USD","Period=FQ","BEST_FPERIOD_OVERRIDE=FQ","FILING_STATUS=MR","Sort=A","Dates=H","DateFormat=P","Fill=—","Direction=H","UseDPDF=Y")</f>
        <v>-10.838100000000001</v>
      </c>
      <c r="T72" s="14">
        <f>_xll.BDH("SRPT US Equity","BPS_SEQUENTIAL_GROWTH","FQ1 2023","FQ1 2023","Currency=USD","Period=FQ","BEST_FPERIOD_OVERRIDE=FQ","FILING_STATUS=MR","Sort=A","Dates=H","DateFormat=P","Fill=—","Direction=H","UseDPDF=Y")</f>
        <v>74.836399999999998</v>
      </c>
      <c r="U72" s="14">
        <f>_xll.BDH("SRPT US Equity","BPS_SEQUENTIAL_GROWTH","FQ2 2023","FQ2 2023","Currency=USD","Period=FQ","BEST_FPERIOD_OVERRIDE=FQ","FILING_STATUS=MR","Sort=A","Dates=H","DateFormat=P","Fill=—","Direction=H","UseDPDF=Y")</f>
        <v>3.8725999999999998</v>
      </c>
      <c r="V72" s="14">
        <f>_xll.BDH("SRPT US Equity","BPS_SEQUENTIAL_GROWTH","FQ3 2023","FQ3 2023","Currency=USD","Period=FQ","BEST_FPERIOD_OVERRIDE=FQ","FILING_STATUS=MR","Sort=A","Dates=H","DateFormat=P","Fill=—","Direction=H","UseDPDF=Y")</f>
        <v>2.8041</v>
      </c>
      <c r="W72" s="14">
        <f>_xll.BDH("SRPT US Equity","BPS_SEQUENTIAL_GROWTH","FQ4 2023","FQ4 2023","Currency=USD","Period=FQ","BEST_FPERIOD_OVERRIDE=FQ","FILING_STATUS=MR","Sort=A","Dates=H","DateFormat=P","Fill=—","Direction=H","UseDPDF=Y")</f>
        <v>12.1929</v>
      </c>
      <c r="X72" s="14">
        <f>_xll.BDH("SRPT US Equity","BPS_SEQUENTIAL_GROWTH","FQ1 2024","FQ1 2024","Currency=USD","Period=FQ","BEST_FPERIOD_OVERRIDE=FQ","FILING_STATUS=MR","Sort=A","Dates=H","DateFormat=P","Fill=—","Direction=H","UseDPDF=Y")</f>
        <v>10.9551</v>
      </c>
      <c r="Y72" s="14">
        <f>_xll.BDH("SRPT US Equity","BPS_SEQUENTIAL_GROWTH","FQ2 2024","FQ2 2024","Currency=USD","Period=FQ","BEST_FPERIOD_OVERRIDE=FQ","FILING_STATUS=MR","Sort=A","Dates=H","DateFormat=P","Fill=—","Direction=H","UseDPDF=Y")</f>
        <v>11.1236</v>
      </c>
      <c r="Z72" s="14">
        <f>_xll.BDH("SRPT US Equity","BPS_SEQUENTIAL_GROWTH","FQ3 2024","FQ3 2024","Currency=USD","Period=FQ","BEST_FPERIOD_OVERRIDE=FQ","FILING_STATUS=MR","Sort=A","Dates=H","DateFormat=P","Fill=—","Direction=H","UseDPDF=Y")</f>
        <v>13.12</v>
      </c>
      <c r="AA72" s="14">
        <f>_xll.BDH("SRPT US Equity","BPS_SEQUENTIAL_GROWTH","FQ4 2024","FQ4 2024","Currency=USD","Period=FQ","BEST_FPERIOD_OVERRIDE=FQ","FILING_STATUS=MR","Sort=A","Dates=H","DateFormat=P","Fill=—","Direction=H","UseDPDF=Y")</f>
        <v>23.297599999999999</v>
      </c>
    </row>
    <row r="73" spans="1:27" x14ac:dyDescent="0.25">
      <c r="A73" s="10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x14ac:dyDescent="0.25">
      <c r="A74" s="10" t="s">
        <v>124</v>
      </c>
      <c r="B74" s="10" t="s">
        <v>1458</v>
      </c>
      <c r="C74" s="14" t="str">
        <f>_xll.BDH("SRPT US Equity","CFO_SEQUENTIAL_GROWTH","FQ4 2018","FQ4 2018","Currency=USD","Period=FQ","BEST_FPERIOD_OVERRIDE=FQ","FILING_STATUS=MR","Sort=A","Dates=H","DateFormat=P","Fill=—","Direction=H","UseDPDF=Y")</f>
        <v>—</v>
      </c>
      <c r="D74" s="14" t="str">
        <f>_xll.BDH("SRPT US Equity","CFO_SEQUENTIAL_GROWTH","FQ1 2019","FQ1 2019","Currency=USD","Period=FQ","BEST_FPERIOD_OVERRIDE=FQ","FILING_STATUS=MR","Sort=A","Dates=H","DateFormat=P","Fill=—","Direction=H","UseDPDF=Y")</f>
        <v>—</v>
      </c>
      <c r="E74" s="14" t="str">
        <f>_xll.BDH("SRPT US Equity","CFO_SEQUENTIAL_GROWTH","FQ2 2019","FQ2 2019","Currency=USD","Period=FQ","BEST_FPERIOD_OVERRIDE=FQ","FILING_STATUS=MR","Sort=A","Dates=H","DateFormat=P","Fill=—","Direction=H","UseDPDF=Y")</f>
        <v>—</v>
      </c>
      <c r="F74" s="14" t="str">
        <f>_xll.BDH("SRPT US Equity","CFO_SEQUENTIAL_GROWTH","FQ3 2019","FQ3 2019","Currency=USD","Period=FQ","BEST_FPERIOD_OVERRIDE=FQ","FILING_STATUS=MR","Sort=A","Dates=H","DateFormat=P","Fill=—","Direction=H","UseDPDF=Y")</f>
        <v>—</v>
      </c>
      <c r="G74" s="14" t="str">
        <f>_xll.BDH("SRPT US Equity","CFO_SEQUENTIAL_GROWTH","FQ4 2019","FQ4 2019","Currency=USD","Period=FQ","BEST_FPERIOD_OVERRIDE=FQ","FILING_STATUS=MR","Sort=A","Dates=H","DateFormat=P","Fill=—","Direction=H","UseDPDF=Y")</f>
        <v>—</v>
      </c>
      <c r="H74" s="14" t="str">
        <f>_xll.BDH("SRPT US Equity","CFO_SEQUENTIAL_GROWTH","FQ1 2020","FQ1 2020","Currency=USD","Period=FQ","BEST_FPERIOD_OVERRIDE=FQ","FILING_STATUS=MR","Sort=A","Dates=H","DateFormat=P","Fill=—","Direction=H","UseDPDF=Y")</f>
        <v>—</v>
      </c>
      <c r="I74" s="14">
        <f>_xll.BDH("SRPT US Equity","CFO_SEQUENTIAL_GROWTH","FQ2 2020","FQ2 2020","Currency=USD","Period=FQ","BEST_FPERIOD_OVERRIDE=FQ","FILING_STATUS=MR","Sort=A","Dates=H","DateFormat=P","Fill=—","Direction=H","UseDPDF=Y")</f>
        <v>-117.14</v>
      </c>
      <c r="J74" s="14" t="str">
        <f>_xll.BDH("SRPT US Equity","CFO_SEQUENTIAL_GROWTH","FQ3 2020","FQ3 2020","Currency=USD","Period=FQ","BEST_FPERIOD_OVERRIDE=FQ","FILING_STATUS=MR","Sort=A","Dates=H","DateFormat=P","Fill=—","Direction=H","UseDPDF=Y")</f>
        <v>—</v>
      </c>
      <c r="K74" s="14" t="str">
        <f>_xll.BDH("SRPT US Equity","CFO_SEQUENTIAL_GROWTH","FQ4 2020","FQ4 2020","Currency=USD","Period=FQ","BEST_FPERIOD_OVERRIDE=FQ","FILING_STATUS=MR","Sort=A","Dates=H","DateFormat=P","Fill=—","Direction=H","UseDPDF=Y")</f>
        <v>—</v>
      </c>
      <c r="L74" s="14" t="str">
        <f>_xll.BDH("SRPT US Equity","CFO_SEQUENTIAL_GROWTH","FQ1 2021","FQ1 2021","Currency=USD","Period=FQ","BEST_FPERIOD_OVERRIDE=FQ","FILING_STATUS=MR","Sort=A","Dates=H","DateFormat=P","Fill=—","Direction=H","UseDPDF=Y")</f>
        <v>—</v>
      </c>
      <c r="M74" s="14" t="str">
        <f>_xll.BDH("SRPT US Equity","CFO_SEQUENTIAL_GROWTH","FQ2 2021","FQ2 2021","Currency=USD","Period=FQ","BEST_FPERIOD_OVERRIDE=FQ","FILING_STATUS=MR","Sort=A","Dates=H","DateFormat=P","Fill=—","Direction=H","UseDPDF=Y")</f>
        <v>—</v>
      </c>
      <c r="N74" s="14" t="str">
        <f>_xll.BDH("SRPT US Equity","CFO_SEQUENTIAL_GROWTH","FQ3 2021","FQ3 2021","Currency=USD","Period=FQ","BEST_FPERIOD_OVERRIDE=FQ","FILING_STATUS=MR","Sort=A","Dates=H","DateFormat=P","Fill=—","Direction=H","UseDPDF=Y")</f>
        <v>—</v>
      </c>
      <c r="O74" s="14" t="str">
        <f>_xll.BDH("SRPT US Equity","CFO_SEQUENTIAL_GROWTH","FQ4 2021","FQ4 2021","Currency=USD","Period=FQ","BEST_FPERIOD_OVERRIDE=FQ","FILING_STATUS=MR","Sort=A","Dates=H","DateFormat=P","Fill=—","Direction=H","UseDPDF=Y")</f>
        <v>—</v>
      </c>
      <c r="P74" s="14" t="str">
        <f>_xll.BDH("SRPT US Equity","CFO_SEQUENTIAL_GROWTH","FQ1 2022","FQ1 2022","Currency=USD","Period=FQ","BEST_FPERIOD_OVERRIDE=FQ","FILING_STATUS=MR","Sort=A","Dates=H","DateFormat=P","Fill=—","Direction=H","UseDPDF=Y")</f>
        <v>—</v>
      </c>
      <c r="Q74" s="14" t="str">
        <f>_xll.BDH("SRPT US Equity","CFO_SEQUENTIAL_GROWTH","FQ2 2022","FQ2 2022","Currency=USD","Period=FQ","BEST_FPERIOD_OVERRIDE=FQ","FILING_STATUS=MR","Sort=A","Dates=H","DateFormat=P","Fill=—","Direction=H","UseDPDF=Y")</f>
        <v>—</v>
      </c>
      <c r="R74" s="14" t="str">
        <f>_xll.BDH("SRPT US Equity","CFO_SEQUENTIAL_GROWTH","FQ3 2022","FQ3 2022","Currency=USD","Period=FQ","BEST_FPERIOD_OVERRIDE=FQ","FILING_STATUS=MR","Sort=A","Dates=H","DateFormat=P","Fill=—","Direction=H","UseDPDF=Y")</f>
        <v>—</v>
      </c>
      <c r="S74" s="14" t="str">
        <f>_xll.BDH("SRPT US Equity","CFO_SEQUENTIAL_GROWTH","FQ4 2022","FQ4 2022","Currency=USD","Period=FQ","BEST_FPERIOD_OVERRIDE=FQ","FILING_STATUS=MR","Sort=A","Dates=H","DateFormat=P","Fill=—","Direction=H","UseDPDF=Y")</f>
        <v>—</v>
      </c>
      <c r="T74" s="14" t="str">
        <f>_xll.BDH("SRPT US Equity","CFO_SEQUENTIAL_GROWTH","FQ1 2023","FQ1 2023","Currency=USD","Period=FQ","BEST_FPERIOD_OVERRIDE=FQ","FILING_STATUS=MR","Sort=A","Dates=H","DateFormat=P","Fill=—","Direction=H","UseDPDF=Y")</f>
        <v>—</v>
      </c>
      <c r="U74" s="14" t="str">
        <f>_xll.BDH("SRPT US Equity","CFO_SEQUENTIAL_GROWTH","FQ2 2023","FQ2 2023","Currency=USD","Period=FQ","BEST_FPERIOD_OVERRIDE=FQ","FILING_STATUS=MR","Sort=A","Dates=H","DateFormat=P","Fill=—","Direction=H","UseDPDF=Y")</f>
        <v>—</v>
      </c>
      <c r="V74" s="14" t="str">
        <f>_xll.BDH("SRPT US Equity","CFO_SEQUENTIAL_GROWTH","FQ3 2023","FQ3 2023","Currency=USD","Period=FQ","BEST_FPERIOD_OVERRIDE=FQ","FILING_STATUS=MR","Sort=A","Dates=H","DateFormat=P","Fill=—","Direction=H","UseDPDF=Y")</f>
        <v>—</v>
      </c>
      <c r="W74" s="14" t="str">
        <f>_xll.BDH("SRPT US Equity","CFO_SEQUENTIAL_GROWTH","FQ4 2023","FQ4 2023","Currency=USD","Period=FQ","BEST_FPERIOD_OVERRIDE=FQ","FILING_STATUS=MR","Sort=A","Dates=H","DateFormat=P","Fill=—","Direction=H","UseDPDF=Y")</f>
        <v>—</v>
      </c>
      <c r="X74" s="14" t="str">
        <f>_xll.BDH("SRPT US Equity","CFO_SEQUENTIAL_GROWTH","FQ1 2024","FQ1 2024","Currency=USD","Period=FQ","BEST_FPERIOD_OVERRIDE=FQ","FILING_STATUS=MR","Sort=A","Dates=H","DateFormat=P","Fill=—","Direction=H","UseDPDF=Y")</f>
        <v>—</v>
      </c>
      <c r="Y74" s="14" t="str">
        <f>_xll.BDH("SRPT US Equity","CFO_SEQUENTIAL_GROWTH","FQ2 2024","FQ2 2024","Currency=USD","Period=FQ","BEST_FPERIOD_OVERRIDE=FQ","FILING_STATUS=MR","Sort=A","Dates=H","DateFormat=P","Fill=—","Direction=H","UseDPDF=Y")</f>
        <v>—</v>
      </c>
      <c r="Z74" s="14">
        <f>_xll.BDH("SRPT US Equity","CFO_SEQUENTIAL_GROWTH","FQ3 2024","FQ3 2024","Currency=USD","Period=FQ","BEST_FPERIOD_OVERRIDE=FQ","FILING_STATUS=MR","Sort=A","Dates=H","DateFormat=P","Fill=—","Direction=H","UseDPDF=Y")</f>
        <v>-573.15620000000001</v>
      </c>
      <c r="AA74" s="14" t="str">
        <f>_xll.BDH("SRPT US Equity","CFO_SEQUENTIAL_GROWTH","FQ4 2024","FQ4 2024","Currency=USD","Period=FQ","BEST_FPERIOD_OVERRIDE=FQ","FILING_STATUS=MR","Sort=A","Dates=H","DateFormat=P","Fill=—","Direction=H","UseDPDF=Y")</f>
        <v>—</v>
      </c>
    </row>
    <row r="75" spans="1:27" x14ac:dyDescent="0.25">
      <c r="A75" s="10" t="s">
        <v>86</v>
      </c>
      <c r="B75" s="10" t="s">
        <v>1459</v>
      </c>
      <c r="C75" s="14">
        <f>_xll.BDH("SRPT US Equity","CAPEX_SEQUENTIAL_GROWTH","FQ4 2018","FQ4 2018","Currency=USD","Period=FQ","BEST_FPERIOD_OVERRIDE=FQ","FILING_STATUS=MR","Sort=A","Dates=H","DateFormat=P","Fill=—","Direction=H","UseDPDF=Y")</f>
        <v>0.5575</v>
      </c>
      <c r="D75" s="14">
        <f>_xll.BDH("SRPT US Equity","CAPEX_SEQUENTIAL_GROWTH","FQ1 2019","FQ1 2019","Currency=USD","Period=FQ","BEST_FPERIOD_OVERRIDE=FQ","FILING_STATUS=MR","Sort=A","Dates=H","DateFormat=P","Fill=—","Direction=H","UseDPDF=Y")</f>
        <v>-19.502099999999999</v>
      </c>
      <c r="E75" s="14">
        <f>_xll.BDH("SRPT US Equity","CAPEX_SEQUENTIAL_GROWTH","FQ2 2019","FQ2 2019","Currency=USD","Period=FQ","BEST_FPERIOD_OVERRIDE=FQ","FILING_STATUS=MR","Sort=A","Dates=H","DateFormat=P","Fill=—","Direction=H","UseDPDF=Y")</f>
        <v>2.5764</v>
      </c>
      <c r="F75" s="14">
        <f>_xll.BDH("SRPT US Equity","CAPEX_SEQUENTIAL_GROWTH","FQ3 2019","FQ3 2019","Currency=USD","Period=FQ","BEST_FPERIOD_OVERRIDE=FQ","FILING_STATUS=MR","Sort=A","Dates=H","DateFormat=P","Fill=—","Direction=H","UseDPDF=Y")</f>
        <v>-43.478000000000002</v>
      </c>
      <c r="G75" s="14">
        <f>_xll.BDH("SRPT US Equity","CAPEX_SEQUENTIAL_GROWTH","FQ4 2019","FQ4 2019","Currency=USD","Period=FQ","BEST_FPERIOD_OVERRIDE=FQ","FILING_STATUS=MR","Sort=A","Dates=H","DateFormat=P","Fill=—","Direction=H","UseDPDF=Y")</f>
        <v>83.020499999999998</v>
      </c>
      <c r="H75" s="14">
        <f>_xll.BDH("SRPT US Equity","CAPEX_SEQUENTIAL_GROWTH","FQ1 2020","FQ1 2020","Currency=USD","Period=FQ","BEST_FPERIOD_OVERRIDE=FQ","FILING_STATUS=MR","Sort=A","Dates=H","DateFormat=P","Fill=—","Direction=H","UseDPDF=Y")</f>
        <v>-47.151899999999998</v>
      </c>
      <c r="I75" s="14">
        <f>_xll.BDH("SRPT US Equity","CAPEX_SEQUENTIAL_GROWTH","FQ2 2020","FQ2 2020","Currency=USD","Period=FQ","BEST_FPERIOD_OVERRIDE=FQ","FILING_STATUS=MR","Sort=A","Dates=H","DateFormat=P","Fill=—","Direction=H","UseDPDF=Y")</f>
        <v>110.18640000000001</v>
      </c>
      <c r="J75" s="14">
        <f>_xll.BDH("SRPT US Equity","CAPEX_SEQUENTIAL_GROWTH","FQ3 2020","FQ3 2020","Currency=USD","Period=FQ","BEST_FPERIOD_OVERRIDE=FQ","FILING_STATUS=MR","Sort=A","Dates=H","DateFormat=P","Fill=—","Direction=H","UseDPDF=Y")</f>
        <v>31.999600000000001</v>
      </c>
      <c r="K75" s="14">
        <f>_xll.BDH("SRPT US Equity","CAPEX_SEQUENTIAL_GROWTH","FQ4 2020","FQ4 2020","Currency=USD","Period=FQ","BEST_FPERIOD_OVERRIDE=FQ","FILING_STATUS=MR","Sort=A","Dates=H","DateFormat=P","Fill=—","Direction=H","UseDPDF=Y")</f>
        <v>2.8098999999999998</v>
      </c>
      <c r="L75" s="14">
        <f>_xll.BDH("SRPT US Equity","CAPEX_SEQUENTIAL_GROWTH","FQ1 2021","FQ1 2021","Currency=USD","Period=FQ","BEST_FPERIOD_OVERRIDE=FQ","FILING_STATUS=MR","Sort=A","Dates=H","DateFormat=P","Fill=—","Direction=H","UseDPDF=Y")</f>
        <v>-18.701499999999999</v>
      </c>
      <c r="M75" s="14">
        <f>_xll.BDH("SRPT US Equity","CAPEX_SEQUENTIAL_GROWTH","FQ2 2021","FQ2 2021","Currency=USD","Period=FQ","BEST_FPERIOD_OVERRIDE=FQ","FILING_STATUS=MR","Sort=A","Dates=H","DateFormat=P","Fill=—","Direction=H","UseDPDF=Y")</f>
        <v>-72.131100000000004</v>
      </c>
      <c r="N75" s="14">
        <f>_xll.BDH("SRPT US Equity","CAPEX_SEQUENTIAL_GROWTH","FQ3 2021","FQ3 2021","Currency=USD","Period=FQ","BEST_FPERIOD_OVERRIDE=FQ","FILING_STATUS=MR","Sort=A","Dates=H","DateFormat=P","Fill=—","Direction=H","UseDPDF=Y")</f>
        <v>56.7866</v>
      </c>
      <c r="O75" s="14">
        <f>_xll.BDH("SRPT US Equity","CAPEX_SEQUENTIAL_GROWTH","FQ4 2021","FQ4 2021","Currency=USD","Period=FQ","BEST_FPERIOD_OVERRIDE=FQ","FILING_STATUS=MR","Sort=A","Dates=H","DateFormat=P","Fill=—","Direction=H","UseDPDF=Y")</f>
        <v>-76.128100000000003</v>
      </c>
      <c r="P75" s="14">
        <f>_xll.BDH("SRPT US Equity","CAPEX_SEQUENTIAL_GROWTH","FQ1 2022","FQ1 2022","Currency=USD","Period=FQ","BEST_FPERIOD_OVERRIDE=FQ","FILING_STATUS=MR","Sort=A","Dates=H","DateFormat=P","Fill=—","Direction=H","UseDPDF=Y")</f>
        <v>151.6319</v>
      </c>
      <c r="Q75" s="14">
        <f>_xll.BDH("SRPT US Equity","CAPEX_SEQUENTIAL_GROWTH","FQ2 2022","FQ2 2022","Currency=USD","Period=FQ","BEST_FPERIOD_OVERRIDE=FQ","FILING_STATUS=MR","Sort=A","Dates=H","DateFormat=P","Fill=—","Direction=H","UseDPDF=Y")</f>
        <v>63.5381</v>
      </c>
      <c r="R75" s="14">
        <f>_xll.BDH("SRPT US Equity","CAPEX_SEQUENTIAL_GROWTH","FQ3 2022","FQ3 2022","Currency=USD","Period=FQ","BEST_FPERIOD_OVERRIDE=FQ","FILING_STATUS=MR","Sort=A","Dates=H","DateFormat=P","Fill=—","Direction=H","UseDPDF=Y")</f>
        <v>-9.3301999999999996</v>
      </c>
      <c r="S75" s="14">
        <f>_xll.BDH("SRPT US Equity","CAPEX_SEQUENTIAL_GROWTH","FQ4 2022","FQ4 2022","Currency=USD","Period=FQ","BEST_FPERIOD_OVERRIDE=FQ","FILING_STATUS=MR","Sort=A","Dates=H","DateFormat=P","Fill=—","Direction=H","UseDPDF=Y")</f>
        <v>-18.1266</v>
      </c>
      <c r="T75" s="14">
        <f>_xll.BDH("SRPT US Equity","CAPEX_SEQUENTIAL_GROWTH","FQ1 2023","FQ1 2023","Currency=USD","Period=FQ","BEST_FPERIOD_OVERRIDE=FQ","FILING_STATUS=MR","Sort=A","Dates=H","DateFormat=P","Fill=—","Direction=H","UseDPDF=Y")</f>
        <v>40.747900000000001</v>
      </c>
      <c r="U75" s="14">
        <f>_xll.BDH("SRPT US Equity","CAPEX_SEQUENTIAL_GROWTH","FQ2 2023","FQ2 2023","Currency=USD","Period=FQ","BEST_FPERIOD_OVERRIDE=FQ","FILING_STATUS=MR","Sort=A","Dates=H","DateFormat=P","Fill=—","Direction=H","UseDPDF=Y")</f>
        <v>88.813900000000004</v>
      </c>
      <c r="V75" s="14">
        <f>_xll.BDH("SRPT US Equity","CAPEX_SEQUENTIAL_GROWTH","FQ3 2023","FQ3 2023","Currency=USD","Period=FQ","BEST_FPERIOD_OVERRIDE=FQ","FILING_STATUS=MR","Sort=A","Dates=H","DateFormat=P","Fill=—","Direction=H","UseDPDF=Y")</f>
        <v>65.687600000000003</v>
      </c>
      <c r="W75" s="14">
        <f>_xll.BDH("SRPT US Equity","CAPEX_SEQUENTIAL_GROWTH","FQ4 2023","FQ4 2023","Currency=USD","Period=FQ","BEST_FPERIOD_OVERRIDE=FQ","FILING_STATUS=MR","Sort=A","Dates=H","DateFormat=P","Fill=—","Direction=H","UseDPDF=Y")</f>
        <v>-35.837299999999999</v>
      </c>
      <c r="X75" s="14">
        <f>_xll.BDH("SRPT US Equity","CAPEX_SEQUENTIAL_GROWTH","FQ1 2024","FQ1 2024","Currency=USD","Period=FQ","BEST_FPERIOD_OVERRIDE=FQ","FILING_STATUS=MR","Sort=A","Dates=H","DateFormat=P","Fill=—","Direction=H","UseDPDF=Y")</f>
        <v>70.408100000000005</v>
      </c>
      <c r="Y75" s="14">
        <f>_xll.BDH("SRPT US Equity","CAPEX_SEQUENTIAL_GROWTH","FQ2 2024","FQ2 2024","Currency=USD","Period=FQ","BEST_FPERIOD_OVERRIDE=FQ","FILING_STATUS=MR","Sort=A","Dates=H","DateFormat=P","Fill=—","Direction=H","UseDPDF=Y")</f>
        <v>-10.1005</v>
      </c>
      <c r="Z75" s="14">
        <f>_xll.BDH("SRPT US Equity","CAPEX_SEQUENTIAL_GROWTH","FQ3 2024","FQ3 2024","Currency=USD","Period=FQ","BEST_FPERIOD_OVERRIDE=FQ","FILING_STATUS=MR","Sort=A","Dates=H","DateFormat=P","Fill=—","Direction=H","UseDPDF=Y")</f>
        <v>27.757400000000001</v>
      </c>
      <c r="AA75" s="14">
        <f>_xll.BDH("SRPT US Equity","CAPEX_SEQUENTIAL_GROWTH","FQ4 2024","FQ4 2024","Currency=USD","Period=FQ","BEST_FPERIOD_OVERRIDE=FQ","FILING_STATUS=MR","Sort=A","Dates=H","DateFormat=P","Fill=—","Direction=H","UseDPDF=Y")</f>
        <v>2.1979000000000002</v>
      </c>
    </row>
    <row r="76" spans="1:27" x14ac:dyDescent="0.25">
      <c r="A76" s="10" t="s">
        <v>1347</v>
      </c>
      <c r="B76" s="10" t="s">
        <v>1460</v>
      </c>
      <c r="C76" s="14" t="str">
        <f>_xll.BDH("SRPT US Equity","NET_CHANGE_IN_CASH_SEQ_GROWTH","FQ4 2018","FQ4 2018","Currency=USD","Period=FQ","BEST_FPERIOD_OVERRIDE=FQ","FILING_STATUS=MR","Sort=A","Dates=H","DateFormat=P","Fill=—","Direction=H","UseDPDF=Y")</f>
        <v>—</v>
      </c>
      <c r="D76" s="14">
        <f>_xll.BDH("SRPT US Equity","NET_CHANGE_IN_CASH_SEQ_GROWTH","FQ1 2019","FQ1 2019","Currency=USD","Period=FQ","BEST_FPERIOD_OVERRIDE=FQ","FILING_STATUS=MR","Sort=A","Dates=H","DateFormat=P","Fill=—","Direction=H","UseDPDF=Y")</f>
        <v>127.4982</v>
      </c>
      <c r="E76" s="14">
        <f>_xll.BDH("SRPT US Equity","NET_CHANGE_IN_CASH_SEQ_GROWTH","FQ2 2019","FQ2 2019","Currency=USD","Period=FQ","BEST_FPERIOD_OVERRIDE=FQ","FILING_STATUS=MR","Sort=A","Dates=H","DateFormat=P","Fill=—","Direction=H","UseDPDF=Y")</f>
        <v>-78.268000000000001</v>
      </c>
      <c r="F76" s="14">
        <f>_xll.BDH("SRPT US Equity","NET_CHANGE_IN_CASH_SEQ_GROWTH","FQ3 2019","FQ3 2019","Currency=USD","Period=FQ","BEST_FPERIOD_OVERRIDE=FQ","FILING_STATUS=MR","Sort=A","Dates=H","DateFormat=P","Fill=—","Direction=H","UseDPDF=Y")</f>
        <v>-205.0163</v>
      </c>
      <c r="G76" s="14" t="str">
        <f>_xll.BDH("SRPT US Equity","NET_CHANGE_IN_CASH_SEQ_GROWTH","FQ4 2019","FQ4 2019","Currency=USD","Period=FQ","BEST_FPERIOD_OVERRIDE=FQ","FILING_STATUS=MR","Sort=A","Dates=H","DateFormat=P","Fill=—","Direction=H","UseDPDF=Y")</f>
        <v>—</v>
      </c>
      <c r="H76" s="14">
        <f>_xll.BDH("SRPT US Equity","NET_CHANGE_IN_CASH_SEQ_GROWTH","FQ1 2020","FQ1 2020","Currency=USD","Period=FQ","BEST_FPERIOD_OVERRIDE=FQ","FILING_STATUS=MR","Sort=A","Dates=H","DateFormat=P","Fill=—","Direction=H","UseDPDF=Y")</f>
        <v>742.74249999999995</v>
      </c>
      <c r="I76" s="14">
        <f>_xll.BDH("SRPT US Equity","NET_CHANGE_IN_CASH_SEQ_GROWTH","FQ2 2020","FQ2 2020","Currency=USD","Period=FQ","BEST_FPERIOD_OVERRIDE=FQ","FILING_STATUS=MR","Sort=A","Dates=H","DateFormat=P","Fill=—","Direction=H","UseDPDF=Y")</f>
        <v>-113.373</v>
      </c>
      <c r="J76" s="14" t="str">
        <f>_xll.BDH("SRPT US Equity","NET_CHANGE_IN_CASH_SEQ_GROWTH","FQ3 2020","FQ3 2020","Currency=USD","Period=FQ","BEST_FPERIOD_OVERRIDE=FQ","FILING_STATUS=MR","Sort=A","Dates=H","DateFormat=P","Fill=—","Direction=H","UseDPDF=Y")</f>
        <v>—</v>
      </c>
      <c r="K76" s="14" t="str">
        <f>_xll.BDH("SRPT US Equity","NET_CHANGE_IN_CASH_SEQ_GROWTH","FQ4 2020","FQ4 2020","Currency=USD","Period=FQ","BEST_FPERIOD_OVERRIDE=FQ","FILING_STATUS=MR","Sort=A","Dates=H","DateFormat=P","Fill=—","Direction=H","UseDPDF=Y")</f>
        <v>—</v>
      </c>
      <c r="L76" s="14">
        <f>_xll.BDH("SRPT US Equity","NET_CHANGE_IN_CASH_SEQ_GROWTH","FQ1 2021","FQ1 2021","Currency=USD","Period=FQ","BEST_FPERIOD_OVERRIDE=FQ","FILING_STATUS=MR","Sort=A","Dates=H","DateFormat=P","Fill=—","Direction=H","UseDPDF=Y")</f>
        <v>-172.99639999999999</v>
      </c>
      <c r="M76" s="14" t="str">
        <f>_xll.BDH("SRPT US Equity","NET_CHANGE_IN_CASH_SEQ_GROWTH","FQ2 2021","FQ2 2021","Currency=USD","Period=FQ","BEST_FPERIOD_OVERRIDE=FQ","FILING_STATUS=MR","Sort=A","Dates=H","DateFormat=P","Fill=—","Direction=H","UseDPDF=Y")</f>
        <v>—</v>
      </c>
      <c r="N76" s="14">
        <f>_xll.BDH("SRPT US Equity","NET_CHANGE_IN_CASH_SEQ_GROWTH","FQ3 2021","FQ3 2021","Currency=USD","Period=FQ","BEST_FPERIOD_OVERRIDE=FQ","FILING_STATUS=MR","Sort=A","Dates=H","DateFormat=P","Fill=—","Direction=H","UseDPDF=Y")</f>
        <v>-145.56370000000001</v>
      </c>
      <c r="O76" s="14" t="str">
        <f>_xll.BDH("SRPT US Equity","NET_CHANGE_IN_CASH_SEQ_GROWTH","FQ4 2021","FQ4 2021","Currency=USD","Period=FQ","BEST_FPERIOD_OVERRIDE=FQ","FILING_STATUS=MR","Sort=A","Dates=H","DateFormat=P","Fill=—","Direction=H","UseDPDF=Y")</f>
        <v>—</v>
      </c>
      <c r="P76" s="14">
        <f>_xll.BDH("SRPT US Equity","NET_CHANGE_IN_CASH_SEQ_GROWTH","FQ1 2022","FQ1 2022","Currency=USD","Period=FQ","BEST_FPERIOD_OVERRIDE=FQ","FILING_STATUS=MR","Sort=A","Dates=H","DateFormat=P","Fill=—","Direction=H","UseDPDF=Y")</f>
        <v>-270.48430000000002</v>
      </c>
      <c r="Q76" s="14" t="str">
        <f>_xll.BDH("SRPT US Equity","NET_CHANGE_IN_CASH_SEQ_GROWTH","FQ2 2022","FQ2 2022","Currency=USD","Period=FQ","BEST_FPERIOD_OVERRIDE=FQ","FILING_STATUS=MR","Sort=A","Dates=H","DateFormat=P","Fill=—","Direction=H","UseDPDF=Y")</f>
        <v>—</v>
      </c>
      <c r="R76" s="14" t="str">
        <f>_xll.BDH("SRPT US Equity","NET_CHANGE_IN_CASH_SEQ_GROWTH","FQ3 2022","FQ3 2022","Currency=USD","Period=FQ","BEST_FPERIOD_OVERRIDE=FQ","FILING_STATUS=MR","Sort=A","Dates=H","DateFormat=P","Fill=—","Direction=H","UseDPDF=Y")</f>
        <v>—</v>
      </c>
      <c r="S76" s="14">
        <f>_xll.BDH("SRPT US Equity","NET_CHANGE_IN_CASH_SEQ_GROWTH","FQ4 2022","FQ4 2022","Currency=USD","Period=FQ","BEST_FPERIOD_OVERRIDE=FQ","FILING_STATUS=MR","Sort=A","Dates=H","DateFormat=P","Fill=—","Direction=H","UseDPDF=Y")</f>
        <v>-142.1183</v>
      </c>
      <c r="T76" s="14" t="str">
        <f>_xll.BDH("SRPT US Equity","NET_CHANGE_IN_CASH_SEQ_GROWTH","FQ1 2023","FQ1 2023","Currency=USD","Period=FQ","BEST_FPERIOD_OVERRIDE=FQ","FILING_STATUS=MR","Sort=A","Dates=H","DateFormat=P","Fill=—","Direction=H","UseDPDF=Y")</f>
        <v>—</v>
      </c>
      <c r="U76" s="14" t="str">
        <f>_xll.BDH("SRPT US Equity","NET_CHANGE_IN_CASH_SEQ_GROWTH","FQ2 2023","FQ2 2023","Currency=USD","Period=FQ","BEST_FPERIOD_OVERRIDE=FQ","FILING_STATUS=MR","Sort=A","Dates=H","DateFormat=P","Fill=—","Direction=H","UseDPDF=Y")</f>
        <v>—</v>
      </c>
      <c r="V76" s="14" t="str">
        <f>_xll.BDH("SRPT US Equity","NET_CHANGE_IN_CASH_SEQ_GROWTH","FQ3 2023","FQ3 2023","Currency=USD","Period=FQ","BEST_FPERIOD_OVERRIDE=FQ","FILING_STATUS=MR","Sort=A","Dates=H","DateFormat=P","Fill=—","Direction=H","UseDPDF=Y")</f>
        <v>—</v>
      </c>
      <c r="W76" s="14" t="str">
        <f>_xll.BDH("SRPT US Equity","NET_CHANGE_IN_CASH_SEQ_GROWTH","FQ4 2023","FQ4 2023","Currency=USD","Period=FQ","BEST_FPERIOD_OVERRIDE=FQ","FILING_STATUS=MR","Sort=A","Dates=H","DateFormat=P","Fill=—","Direction=H","UseDPDF=Y")</f>
        <v>—</v>
      </c>
      <c r="X76" s="14" t="str">
        <f>_xll.BDH("SRPT US Equity","NET_CHANGE_IN_CASH_SEQ_GROWTH","FQ1 2024","FQ1 2024","Currency=USD","Period=FQ","BEST_FPERIOD_OVERRIDE=FQ","FILING_STATUS=MR","Sort=A","Dates=H","DateFormat=P","Fill=—","Direction=H","UseDPDF=Y")</f>
        <v>—</v>
      </c>
      <c r="Y76" s="14" t="str">
        <f>_xll.BDH("SRPT US Equity","NET_CHANGE_IN_CASH_SEQ_GROWTH","FQ2 2024","FQ2 2024","Currency=USD","Period=FQ","BEST_FPERIOD_OVERRIDE=FQ","FILING_STATUS=MR","Sort=A","Dates=H","DateFormat=P","Fill=—","Direction=H","UseDPDF=Y")</f>
        <v>—</v>
      </c>
      <c r="Z76" s="14" t="str">
        <f>_xll.BDH("SRPT US Equity","NET_CHANGE_IN_CASH_SEQ_GROWTH","FQ3 2024","FQ3 2024","Currency=USD","Period=FQ","BEST_FPERIOD_OVERRIDE=FQ","FILING_STATUS=MR","Sort=A","Dates=H","DateFormat=P","Fill=—","Direction=H","UseDPDF=Y")</f>
        <v>—</v>
      </c>
      <c r="AA76" s="14" t="str">
        <f>_xll.BDH("SRPT US Equity","NET_CHANGE_IN_CASH_SEQ_GROWTH","FQ4 2024","FQ4 2024","Currency=USD","Period=FQ","BEST_FPERIOD_OVERRIDE=FQ","FILING_STATUS=MR","Sort=A","Dates=H","DateFormat=P","Fill=—","Direction=H","UseDPDF=Y")</f>
        <v>—</v>
      </c>
    </row>
    <row r="77" spans="1:27" x14ac:dyDescent="0.25">
      <c r="A77" s="10" t="s">
        <v>88</v>
      </c>
      <c r="B77" s="10" t="s">
        <v>1461</v>
      </c>
      <c r="C77" s="14" t="str">
        <f>_xll.BDH("SRPT US Equity","FREE_CASH_FLOW_SEQUENTIAL_GROWTH","FQ4 2018","FQ4 2018","Currency=USD","Period=FQ","BEST_FPERIOD_OVERRIDE=FQ","FILING_STATUS=MR","Sort=A","Dates=H","DateFormat=P","Fill=—","Direction=H","UseDPDF=Y")</f>
        <v>—</v>
      </c>
      <c r="D77" s="14" t="str">
        <f>_xll.BDH("SRPT US Equity","FREE_CASH_FLOW_SEQUENTIAL_GROWTH","FQ1 2019","FQ1 2019","Currency=USD","Period=FQ","BEST_FPERIOD_OVERRIDE=FQ","FILING_STATUS=MR","Sort=A","Dates=H","DateFormat=P","Fill=—","Direction=H","UseDPDF=Y")</f>
        <v>—</v>
      </c>
      <c r="E77" s="14" t="str">
        <f>_xll.BDH("SRPT US Equity","FREE_CASH_FLOW_SEQUENTIAL_GROWTH","FQ2 2019","FQ2 2019","Currency=USD","Period=FQ","BEST_FPERIOD_OVERRIDE=FQ","FILING_STATUS=MR","Sort=A","Dates=H","DateFormat=P","Fill=—","Direction=H","UseDPDF=Y")</f>
        <v>—</v>
      </c>
      <c r="F77" s="14" t="str">
        <f>_xll.BDH("SRPT US Equity","FREE_CASH_FLOW_SEQUENTIAL_GROWTH","FQ3 2019","FQ3 2019","Currency=USD","Period=FQ","BEST_FPERIOD_OVERRIDE=FQ","FILING_STATUS=MR","Sort=A","Dates=H","DateFormat=P","Fill=—","Direction=H","UseDPDF=Y")</f>
        <v>—</v>
      </c>
      <c r="G77" s="14" t="str">
        <f>_xll.BDH("SRPT US Equity","FREE_CASH_FLOW_SEQUENTIAL_GROWTH","FQ4 2019","FQ4 2019","Currency=USD","Period=FQ","BEST_FPERIOD_OVERRIDE=FQ","FILING_STATUS=MR","Sort=A","Dates=H","DateFormat=P","Fill=—","Direction=H","UseDPDF=Y")</f>
        <v>—</v>
      </c>
      <c r="H77" s="14" t="str">
        <f>_xll.BDH("SRPT US Equity","FREE_CASH_FLOW_SEQUENTIAL_GROWTH","FQ1 2020","FQ1 2020","Currency=USD","Period=FQ","BEST_FPERIOD_OVERRIDE=FQ","FILING_STATUS=MR","Sort=A","Dates=H","DateFormat=P","Fill=—","Direction=H","UseDPDF=Y")</f>
        <v>—</v>
      </c>
      <c r="I77" s="14">
        <f>_xll.BDH("SRPT US Equity","FREE_CASH_FLOW_SEQUENTIAL_GROWTH","FQ2 2020","FQ2 2020","Currency=USD","Period=FQ","BEST_FPERIOD_OVERRIDE=FQ","FILING_STATUS=MR","Sort=A","Dates=H","DateFormat=P","Fill=—","Direction=H","UseDPDF=Y")</f>
        <v>-120.4911</v>
      </c>
      <c r="J77" s="14" t="str">
        <f>_xll.BDH("SRPT US Equity","FREE_CASH_FLOW_SEQUENTIAL_GROWTH","FQ3 2020","FQ3 2020","Currency=USD","Period=FQ","BEST_FPERIOD_OVERRIDE=FQ","FILING_STATUS=MR","Sort=A","Dates=H","DateFormat=P","Fill=—","Direction=H","UseDPDF=Y")</f>
        <v>—</v>
      </c>
      <c r="K77" s="14" t="str">
        <f>_xll.BDH("SRPT US Equity","FREE_CASH_FLOW_SEQUENTIAL_GROWTH","FQ4 2020","FQ4 2020","Currency=USD","Period=FQ","BEST_FPERIOD_OVERRIDE=FQ","FILING_STATUS=MR","Sort=A","Dates=H","DateFormat=P","Fill=—","Direction=H","UseDPDF=Y")</f>
        <v>—</v>
      </c>
      <c r="L77" s="14" t="str">
        <f>_xll.BDH("SRPT US Equity","FREE_CASH_FLOW_SEQUENTIAL_GROWTH","FQ1 2021","FQ1 2021","Currency=USD","Period=FQ","BEST_FPERIOD_OVERRIDE=FQ","FILING_STATUS=MR","Sort=A","Dates=H","DateFormat=P","Fill=—","Direction=H","UseDPDF=Y")</f>
        <v>—</v>
      </c>
      <c r="M77" s="14" t="str">
        <f>_xll.BDH("SRPT US Equity","FREE_CASH_FLOW_SEQUENTIAL_GROWTH","FQ2 2021","FQ2 2021","Currency=USD","Period=FQ","BEST_FPERIOD_OVERRIDE=FQ","FILING_STATUS=MR","Sort=A","Dates=H","DateFormat=P","Fill=—","Direction=H","UseDPDF=Y")</f>
        <v>—</v>
      </c>
      <c r="N77" s="14" t="str">
        <f>_xll.BDH("SRPT US Equity","FREE_CASH_FLOW_SEQUENTIAL_GROWTH","FQ3 2021","FQ3 2021","Currency=USD","Period=FQ","BEST_FPERIOD_OVERRIDE=FQ","FILING_STATUS=MR","Sort=A","Dates=H","DateFormat=P","Fill=—","Direction=H","UseDPDF=Y")</f>
        <v>—</v>
      </c>
      <c r="O77" s="14" t="str">
        <f>_xll.BDH("SRPT US Equity","FREE_CASH_FLOW_SEQUENTIAL_GROWTH","FQ4 2021","FQ4 2021","Currency=USD","Period=FQ","BEST_FPERIOD_OVERRIDE=FQ","FILING_STATUS=MR","Sort=A","Dates=H","DateFormat=P","Fill=—","Direction=H","UseDPDF=Y")</f>
        <v>—</v>
      </c>
      <c r="P77" s="14" t="str">
        <f>_xll.BDH("SRPT US Equity","FREE_CASH_FLOW_SEQUENTIAL_GROWTH","FQ1 2022","FQ1 2022","Currency=USD","Period=FQ","BEST_FPERIOD_OVERRIDE=FQ","FILING_STATUS=MR","Sort=A","Dates=H","DateFormat=P","Fill=—","Direction=H","UseDPDF=Y")</f>
        <v>—</v>
      </c>
      <c r="Q77" s="14" t="str">
        <f>_xll.BDH("SRPT US Equity","FREE_CASH_FLOW_SEQUENTIAL_GROWTH","FQ2 2022","FQ2 2022","Currency=USD","Period=FQ","BEST_FPERIOD_OVERRIDE=FQ","FILING_STATUS=MR","Sort=A","Dates=H","DateFormat=P","Fill=—","Direction=H","UseDPDF=Y")</f>
        <v>—</v>
      </c>
      <c r="R77" s="14" t="str">
        <f>_xll.BDH("SRPT US Equity","FREE_CASH_FLOW_SEQUENTIAL_GROWTH","FQ3 2022","FQ3 2022","Currency=USD","Period=FQ","BEST_FPERIOD_OVERRIDE=FQ","FILING_STATUS=MR","Sort=A","Dates=H","DateFormat=P","Fill=—","Direction=H","UseDPDF=Y")</f>
        <v>—</v>
      </c>
      <c r="S77" s="14" t="str">
        <f>_xll.BDH("SRPT US Equity","FREE_CASH_FLOW_SEQUENTIAL_GROWTH","FQ4 2022","FQ4 2022","Currency=USD","Period=FQ","BEST_FPERIOD_OVERRIDE=FQ","FILING_STATUS=MR","Sort=A","Dates=H","DateFormat=P","Fill=—","Direction=H","UseDPDF=Y")</f>
        <v>—</v>
      </c>
      <c r="T77" s="14" t="str">
        <f>_xll.BDH("SRPT US Equity","FREE_CASH_FLOW_SEQUENTIAL_GROWTH","FQ1 2023","FQ1 2023","Currency=USD","Period=FQ","BEST_FPERIOD_OVERRIDE=FQ","FILING_STATUS=MR","Sort=A","Dates=H","DateFormat=P","Fill=—","Direction=H","UseDPDF=Y")</f>
        <v>—</v>
      </c>
      <c r="U77" s="14" t="str">
        <f>_xll.BDH("SRPT US Equity","FREE_CASH_FLOW_SEQUENTIAL_GROWTH","FQ2 2023","FQ2 2023","Currency=USD","Period=FQ","BEST_FPERIOD_OVERRIDE=FQ","FILING_STATUS=MR","Sort=A","Dates=H","DateFormat=P","Fill=—","Direction=H","UseDPDF=Y")</f>
        <v>—</v>
      </c>
      <c r="V77" s="14" t="str">
        <f>_xll.BDH("SRPT US Equity","FREE_CASH_FLOW_SEQUENTIAL_GROWTH","FQ3 2023","FQ3 2023","Currency=USD","Period=FQ","BEST_FPERIOD_OVERRIDE=FQ","FILING_STATUS=MR","Sort=A","Dates=H","DateFormat=P","Fill=—","Direction=H","UseDPDF=Y")</f>
        <v>—</v>
      </c>
      <c r="W77" s="14" t="str">
        <f>_xll.BDH("SRPT US Equity","FREE_CASH_FLOW_SEQUENTIAL_GROWTH","FQ4 2023","FQ4 2023","Currency=USD","Period=FQ","BEST_FPERIOD_OVERRIDE=FQ","FILING_STATUS=MR","Sort=A","Dates=H","DateFormat=P","Fill=—","Direction=H","UseDPDF=Y")</f>
        <v>—</v>
      </c>
      <c r="X77" s="14" t="str">
        <f>_xll.BDH("SRPT US Equity","FREE_CASH_FLOW_SEQUENTIAL_GROWTH","FQ1 2024","FQ1 2024","Currency=USD","Period=FQ","BEST_FPERIOD_OVERRIDE=FQ","FILING_STATUS=MR","Sort=A","Dates=H","DateFormat=P","Fill=—","Direction=H","UseDPDF=Y")</f>
        <v>—</v>
      </c>
      <c r="Y77" s="14" t="str">
        <f>_xll.BDH("SRPT US Equity","FREE_CASH_FLOW_SEQUENTIAL_GROWTH","FQ2 2024","FQ2 2024","Currency=USD","Period=FQ","BEST_FPERIOD_OVERRIDE=FQ","FILING_STATUS=MR","Sort=A","Dates=H","DateFormat=P","Fill=—","Direction=H","UseDPDF=Y")</f>
        <v>—</v>
      </c>
      <c r="Z77" s="14" t="str">
        <f>_xll.BDH("SRPT US Equity","FREE_CASH_FLOW_SEQUENTIAL_GROWTH","FQ3 2024","FQ3 2024","Currency=USD","Period=FQ","BEST_FPERIOD_OVERRIDE=FQ","FILING_STATUS=MR","Sort=A","Dates=H","DateFormat=P","Fill=—","Direction=H","UseDPDF=Y")</f>
        <v>—</v>
      </c>
      <c r="AA77" s="14" t="str">
        <f>_xll.BDH("SRPT US Equity","FREE_CASH_FLOW_SEQUENTIAL_GROWTH","FQ4 2024","FQ4 2024","Currency=USD","Period=FQ","BEST_FPERIOD_OVERRIDE=FQ","FILING_STATUS=MR","Sort=A","Dates=H","DateFormat=P","Fill=—","Direction=H","UseDPDF=Y")</f>
        <v>—</v>
      </c>
    </row>
    <row r="78" spans="1:27" x14ac:dyDescent="0.25">
      <c r="A78" s="10" t="s">
        <v>1462</v>
      </c>
      <c r="B78" s="10" t="s">
        <v>1463</v>
      </c>
      <c r="C78" s="14" t="str">
        <f>_xll.BDH("SRPT US Equity","CF_TO_FIRM_SEQUENTIAL_GROWTH","FQ4 2018","FQ4 2018","Currency=USD","Period=FQ","BEST_FPERIOD_OVERRIDE=FQ","FILING_STATUS=MR","FA_ADJUSTED=GAAP","Sort=A","Dates=H","DateFormat=P","Fill=—","Direction=H","UseDPDF=Y")</f>
        <v>—</v>
      </c>
      <c r="D78" s="14" t="str">
        <f>_xll.BDH("SRPT US Equity","CF_TO_FIRM_SEQUENTIAL_GROWTH","FQ1 2019","FQ1 2019","Currency=USD","Period=FQ","BEST_FPERIOD_OVERRIDE=FQ","FILING_STATUS=MR","FA_ADJUSTED=GAAP","Sort=A","Dates=H","DateFormat=P","Fill=—","Direction=H","UseDPDF=Y")</f>
        <v>—</v>
      </c>
      <c r="E78" s="14" t="str">
        <f>_xll.BDH("SRPT US Equity","CF_TO_FIRM_SEQUENTIAL_GROWTH","FQ2 2019","FQ2 2019","Currency=USD","Period=FQ","BEST_FPERIOD_OVERRIDE=FQ","FILING_STATUS=MR","FA_ADJUSTED=GAAP","Sort=A","Dates=H","DateFormat=P","Fill=—","Direction=H","UseDPDF=Y")</f>
        <v>—</v>
      </c>
      <c r="F78" s="14" t="str">
        <f>_xll.BDH("SRPT US Equity","CF_TO_FIRM_SEQUENTIAL_GROWTH","FQ3 2019","FQ3 2019","Currency=USD","Period=FQ","BEST_FPERIOD_OVERRIDE=FQ","FILING_STATUS=MR","FA_ADJUSTED=GAAP","Sort=A","Dates=H","DateFormat=P","Fill=—","Direction=H","UseDPDF=Y")</f>
        <v>—</v>
      </c>
      <c r="G78" s="14" t="str">
        <f>_xll.BDH("SRPT US Equity","CF_TO_FIRM_SEQUENTIAL_GROWTH","FQ4 2019","FQ4 2019","Currency=USD","Period=FQ","BEST_FPERIOD_OVERRIDE=FQ","FILING_STATUS=MR","FA_ADJUSTED=GAAP","Sort=A","Dates=H","DateFormat=P","Fill=—","Direction=H","UseDPDF=Y")</f>
        <v>—</v>
      </c>
      <c r="H78" s="14" t="str">
        <f>_xll.BDH("SRPT US Equity","CF_TO_FIRM_SEQUENTIAL_GROWTH","FQ1 2020","FQ1 2020","Currency=USD","Period=FQ","BEST_FPERIOD_OVERRIDE=FQ","FILING_STATUS=MR","FA_ADJUSTED=GAAP","Sort=A","Dates=H","DateFormat=P","Fill=—","Direction=H","UseDPDF=Y")</f>
        <v>—</v>
      </c>
      <c r="I78" s="14" t="str">
        <f>_xll.BDH("SRPT US Equity","CF_TO_FIRM_SEQUENTIAL_GROWTH","FQ2 2020","FQ2 2020","Currency=USD","Period=FQ","BEST_FPERIOD_OVERRIDE=FQ","FILING_STATUS=MR","FA_ADJUSTED=GAAP","Sort=A","Dates=H","DateFormat=P","Fill=—","Direction=H","UseDPDF=Y")</f>
        <v>—</v>
      </c>
      <c r="J78" s="14" t="str">
        <f>_xll.BDH("SRPT US Equity","CF_TO_FIRM_SEQUENTIAL_GROWTH","FQ3 2020","FQ3 2020","Currency=USD","Period=FQ","BEST_FPERIOD_OVERRIDE=FQ","FILING_STATUS=MR","FA_ADJUSTED=GAAP","Sort=A","Dates=H","DateFormat=P","Fill=—","Direction=H","UseDPDF=Y")</f>
        <v>—</v>
      </c>
      <c r="K78" s="14" t="str">
        <f>_xll.BDH("SRPT US Equity","CF_TO_FIRM_SEQUENTIAL_GROWTH","FQ4 2020","FQ4 2020","Currency=USD","Period=FQ","BEST_FPERIOD_OVERRIDE=FQ","FILING_STATUS=MR","FA_ADJUSTED=GAAP","Sort=A","Dates=H","DateFormat=P","Fill=—","Direction=H","UseDPDF=Y")</f>
        <v>—</v>
      </c>
      <c r="L78" s="14" t="str">
        <f>_xll.BDH("SRPT US Equity","CF_TO_FIRM_SEQUENTIAL_GROWTH","FQ1 2021","FQ1 2021","Currency=USD","Period=FQ","BEST_FPERIOD_OVERRIDE=FQ","FILING_STATUS=MR","FA_ADJUSTED=GAAP","Sort=A","Dates=H","DateFormat=P","Fill=—","Direction=H","UseDPDF=Y")</f>
        <v>—</v>
      </c>
      <c r="M78" s="14" t="str">
        <f>_xll.BDH("SRPT US Equity","CF_TO_FIRM_SEQUENTIAL_GROWTH","FQ2 2021","FQ2 2021","Currency=USD","Period=FQ","BEST_FPERIOD_OVERRIDE=FQ","FILING_STATUS=MR","FA_ADJUSTED=GAAP","Sort=A","Dates=H","DateFormat=P","Fill=—","Direction=H","UseDPDF=Y")</f>
        <v>—</v>
      </c>
      <c r="N78" s="14" t="str">
        <f>_xll.BDH("SRPT US Equity","CF_TO_FIRM_SEQUENTIAL_GROWTH","FQ3 2021","FQ3 2021","Currency=USD","Period=FQ","BEST_FPERIOD_OVERRIDE=FQ","FILING_STATUS=MR","FA_ADJUSTED=GAAP","Sort=A","Dates=H","DateFormat=P","Fill=—","Direction=H","UseDPDF=Y")</f>
        <v>—</v>
      </c>
      <c r="O78" s="14" t="str">
        <f>_xll.BDH("SRPT US Equity","CF_TO_FIRM_SEQUENTIAL_GROWTH","FQ4 2021","FQ4 2021","Currency=USD","Period=FQ","BEST_FPERIOD_OVERRIDE=FQ","FILING_STATUS=MR","FA_ADJUSTED=GAAP","Sort=A","Dates=H","DateFormat=P","Fill=—","Direction=H","UseDPDF=Y")</f>
        <v>—</v>
      </c>
      <c r="P78" s="14" t="str">
        <f>_xll.BDH("SRPT US Equity","CF_TO_FIRM_SEQUENTIAL_GROWTH","FQ1 2022","FQ1 2022","Currency=USD","Period=FQ","BEST_FPERIOD_OVERRIDE=FQ","FILING_STATUS=MR","FA_ADJUSTED=GAAP","Sort=A","Dates=H","DateFormat=P","Fill=—","Direction=H","UseDPDF=Y")</f>
        <v>—</v>
      </c>
      <c r="Q78" s="14" t="str">
        <f>_xll.BDH("SRPT US Equity","CF_TO_FIRM_SEQUENTIAL_GROWTH","FQ2 2022","FQ2 2022","Currency=USD","Period=FQ","BEST_FPERIOD_OVERRIDE=FQ","FILING_STATUS=MR","FA_ADJUSTED=GAAP","Sort=A","Dates=H","DateFormat=P","Fill=—","Direction=H","UseDPDF=Y")</f>
        <v>—</v>
      </c>
      <c r="R78" s="14" t="str">
        <f>_xll.BDH("SRPT US Equity","CF_TO_FIRM_SEQUENTIAL_GROWTH","FQ3 2022","FQ3 2022","Currency=USD","Period=FQ","BEST_FPERIOD_OVERRIDE=FQ","FILING_STATUS=MR","FA_ADJUSTED=GAAP","Sort=A","Dates=H","DateFormat=P","Fill=—","Direction=H","UseDPDF=Y")</f>
        <v>—</v>
      </c>
      <c r="S78" s="14" t="str">
        <f>_xll.BDH("SRPT US Equity","CF_TO_FIRM_SEQUENTIAL_GROWTH","FQ4 2022","FQ4 2022","Currency=USD","Period=FQ","BEST_FPERIOD_OVERRIDE=FQ","FILING_STATUS=MR","FA_ADJUSTED=GAAP","Sort=A","Dates=H","DateFormat=P","Fill=—","Direction=H","UseDPDF=Y")</f>
        <v>—</v>
      </c>
      <c r="T78" s="14" t="str">
        <f>_xll.BDH("SRPT US Equity","CF_TO_FIRM_SEQUENTIAL_GROWTH","FQ1 2023","FQ1 2023","Currency=USD","Period=FQ","BEST_FPERIOD_OVERRIDE=FQ","FILING_STATUS=MR","FA_ADJUSTED=GAAP","Sort=A","Dates=H","DateFormat=P","Fill=—","Direction=H","UseDPDF=Y")</f>
        <v>—</v>
      </c>
      <c r="U78" s="14" t="str">
        <f>_xll.BDH("SRPT US Equity","CF_TO_FIRM_SEQUENTIAL_GROWTH","FQ2 2023","FQ2 2023","Currency=USD","Period=FQ","BEST_FPERIOD_OVERRIDE=FQ","FILING_STATUS=MR","FA_ADJUSTED=GAAP","Sort=A","Dates=H","DateFormat=P","Fill=—","Direction=H","UseDPDF=Y")</f>
        <v>—</v>
      </c>
      <c r="V78" s="14" t="str">
        <f>_xll.BDH("SRPT US Equity","CF_TO_FIRM_SEQUENTIAL_GROWTH","FQ3 2023","FQ3 2023","Currency=USD","Period=FQ","BEST_FPERIOD_OVERRIDE=FQ","FILING_STATUS=MR","FA_ADJUSTED=GAAP","Sort=A","Dates=H","DateFormat=P","Fill=—","Direction=H","UseDPDF=Y")</f>
        <v>—</v>
      </c>
      <c r="W78" s="14" t="str">
        <f>_xll.BDH("SRPT US Equity","CF_TO_FIRM_SEQUENTIAL_GROWTH","FQ4 2023","FQ4 2023","Currency=USD","Period=FQ","BEST_FPERIOD_OVERRIDE=FQ","FILING_STATUS=MR","FA_ADJUSTED=GAAP","Sort=A","Dates=H","DateFormat=P","Fill=—","Direction=H","UseDPDF=Y")</f>
        <v>—</v>
      </c>
      <c r="X78" s="14" t="str">
        <f>_xll.BDH("SRPT US Equity","CF_TO_FIRM_SEQUENTIAL_GROWTH","FQ1 2024","FQ1 2024","Currency=USD","Period=FQ","BEST_FPERIOD_OVERRIDE=FQ","FILING_STATUS=MR","FA_ADJUSTED=GAAP","Sort=A","Dates=H","DateFormat=P","Fill=—","Direction=H","UseDPDF=Y")</f>
        <v>—</v>
      </c>
      <c r="Y78" s="14" t="str">
        <f>_xll.BDH("SRPT US Equity","CF_TO_FIRM_SEQUENTIAL_GROWTH","FQ2 2024","FQ2 2024","Currency=USD","Period=FQ","BEST_FPERIOD_OVERRIDE=FQ","FILING_STATUS=MR","FA_ADJUSTED=GAAP","Sort=A","Dates=H","DateFormat=P","Fill=—","Direction=H","UseDPDF=Y")</f>
        <v>—</v>
      </c>
      <c r="Z78" s="14">
        <f>_xll.BDH("SRPT US Equity","CF_TO_FIRM_SEQUENTIAL_GROWTH","FQ3 2024","FQ3 2024","Currency=USD","Period=FQ","BEST_FPERIOD_OVERRIDE=FQ","FILING_STATUS=MR","FA_ADJUSTED=GAAP","Sort=A","Dates=H","DateFormat=P","Fill=—","Direction=H","UseDPDF=Y")</f>
        <v>-481.86759999999998</v>
      </c>
      <c r="AA78" s="14" t="str">
        <f>_xll.BDH("SRPT US Equity","CF_TO_FIRM_SEQUENTIAL_GROWTH","FQ4 2024","FQ4 2024","Currency=USD","Period=FQ","BEST_FPERIOD_OVERRIDE=FQ","FILING_STATUS=MR","FA_ADJUSTED=GAAP","Sort=A","Dates=H","DateFormat=P","Fill=—","Direction=H","UseDPDF=Y")</f>
        <v>—</v>
      </c>
    </row>
    <row r="79" spans="1:27" x14ac:dyDescent="0.25">
      <c r="A79" s="7" t="s">
        <v>90</v>
      </c>
      <c r="B79" s="7"/>
      <c r="C79" s="7" t="s">
        <v>5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44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1464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10" t="s">
        <v>195</v>
      </c>
      <c r="B6" s="10" t="s">
        <v>196</v>
      </c>
      <c r="C6" s="12" t="s">
        <v>1465</v>
      </c>
      <c r="D6" s="12" t="s">
        <v>197</v>
      </c>
      <c r="E6" s="12" t="s">
        <v>197</v>
      </c>
      <c r="F6" s="12" t="s">
        <v>197</v>
      </c>
      <c r="G6" s="12" t="s">
        <v>197</v>
      </c>
      <c r="H6" s="12" t="s">
        <v>197</v>
      </c>
      <c r="I6" s="12" t="s">
        <v>197</v>
      </c>
      <c r="J6" s="12" t="s">
        <v>197</v>
      </c>
      <c r="K6" s="12" t="s">
        <v>197</v>
      </c>
      <c r="L6" s="12" t="s">
        <v>197</v>
      </c>
      <c r="M6" s="12" t="s">
        <v>197</v>
      </c>
      <c r="N6" s="12" t="s">
        <v>197</v>
      </c>
      <c r="O6" s="12" t="s">
        <v>197</v>
      </c>
      <c r="P6" s="12" t="s">
        <v>197</v>
      </c>
      <c r="Q6" s="12" t="s">
        <v>197</v>
      </c>
      <c r="R6" s="12" t="s">
        <v>197</v>
      </c>
      <c r="S6" s="12" t="s">
        <v>197</v>
      </c>
      <c r="T6" s="12" t="s">
        <v>197</v>
      </c>
      <c r="U6" s="12" t="s">
        <v>197</v>
      </c>
      <c r="V6" s="12" t="s">
        <v>197</v>
      </c>
      <c r="W6" s="12" t="s">
        <v>197</v>
      </c>
      <c r="X6" s="12" t="s">
        <v>197</v>
      </c>
      <c r="Y6" s="12" t="s">
        <v>197</v>
      </c>
      <c r="Z6" s="12" t="s">
        <v>197</v>
      </c>
      <c r="AA6" s="12" t="s">
        <v>197</v>
      </c>
    </row>
    <row r="7" spans="1:27" x14ac:dyDescent="0.25">
      <c r="A7" s="10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1411</v>
      </c>
      <c r="B8" s="10" t="s">
        <v>67</v>
      </c>
      <c r="C8" s="13">
        <f>_xll.BDH("SRPT US Equity","SHORT_AND_LONG_TERM_DEBT","FQ4 2018","FQ4 2018","Currency=USD","Period=FQ","BEST_FPERIOD_OVERRIDE=FQ","FILING_STATUS=MR","SCALING_FORMAT=MLN","Sort=A","Dates=H","DateFormat=P","Fill=—","Direction=H","UseDPDF=Y")</f>
        <v>420.55399999999997</v>
      </c>
      <c r="D8" s="13">
        <f>_xll.BDH("SRPT US Equity","SHORT_AND_LONG_TERM_DEBT","FQ1 2019","FQ1 2019","Currency=USD","Period=FQ","BEST_FPERIOD_OVERRIDE=FQ","FILING_STATUS=MR","SCALING_FORMAT=MLN","Sort=A","Dates=H","DateFormat=P","Fill=—","Direction=H","UseDPDF=Y")</f>
        <v>484.68099999999998</v>
      </c>
      <c r="E8" s="13">
        <f>_xll.BDH("SRPT US Equity","SHORT_AND_LONG_TERM_DEBT","FQ2 2019","FQ2 2019","Currency=USD","Period=FQ","BEST_FPERIOD_OVERRIDE=FQ","FILING_STATUS=MR","SCALING_FORMAT=MLN","Sort=A","Dates=H","DateFormat=P","Fill=—","Direction=H","UseDPDF=Y")</f>
        <v>488.41</v>
      </c>
      <c r="F8" s="13">
        <f>_xll.BDH("SRPT US Equity","SHORT_AND_LONG_TERM_DEBT","FQ3 2019","FQ3 2019","Currency=USD","Period=FQ","BEST_FPERIOD_OVERRIDE=FQ","FILING_STATUS=MR","SCALING_FORMAT=MLN","Sort=A","Dates=H","DateFormat=P","Fill=—","Direction=H","UseDPDF=Y")</f>
        <v>493.75799999999998</v>
      </c>
      <c r="G8" s="13">
        <f>_xll.BDH("SRPT US Equity","SHORT_AND_LONG_TERM_DEBT","FQ4 2019","FQ4 2019","Currency=USD","Period=FQ","BEST_FPERIOD_OVERRIDE=FQ","FILING_STATUS=MR","SCALING_FORMAT=MLN","Sort=A","Dates=H","DateFormat=P","Fill=—","Direction=H","UseDPDF=Y")</f>
        <v>737.46600000000001</v>
      </c>
      <c r="H8" s="13">
        <f>_xll.BDH("SRPT US Equity","SHORT_AND_LONG_TERM_DEBT","FQ1 2020","FQ1 2020","Currency=USD","Period=FQ","BEST_FPERIOD_OVERRIDE=FQ","FILING_STATUS=MR","SCALING_FORMAT=MLN","Sort=A","Dates=H","DateFormat=P","Fill=—","Direction=H","UseDPDF=Y")</f>
        <v>753.21600000000001</v>
      </c>
      <c r="I8" s="13">
        <f>_xll.BDH("SRPT US Equity","SHORT_AND_LONG_TERM_DEBT","FQ2 2020","FQ2 2020","Currency=USD","Period=FQ","BEST_FPERIOD_OVERRIDE=FQ","FILING_STATUS=MR","SCALING_FORMAT=MLN","Sort=A","Dates=H","DateFormat=P","Fill=—","Direction=H","UseDPDF=Y")</f>
        <v>766.55700000000002</v>
      </c>
      <c r="J8" s="13">
        <f>_xll.BDH("SRPT US Equity","SHORT_AND_LONG_TERM_DEBT","FQ3 2020","FQ3 2020","Currency=USD","Period=FQ","BEST_FPERIOD_OVERRIDE=FQ","FILING_STATUS=MR","SCALING_FORMAT=MLN","Sort=A","Dates=H","DateFormat=P","Fill=—","Direction=H","UseDPDF=Y")</f>
        <v>768.69899999999996</v>
      </c>
      <c r="K8" s="13">
        <f>_xll.BDH("SRPT US Equity","SHORT_AND_LONG_TERM_DEBT","FQ4 2020","FQ4 2020","Currency=USD","Period=FQ","BEST_FPERIOD_OVERRIDE=FQ","FILING_STATUS=MR","SCALING_FORMAT=MLN","Sort=A","Dates=H","DateFormat=P","Fill=—","Direction=H","UseDPDF=Y")</f>
        <v>1093.79</v>
      </c>
      <c r="L8" s="13">
        <f>_xll.BDH("SRPT US Equity","SHORT_AND_LONG_TERM_DEBT","FQ1 2021","FQ1 2021","Currency=USD","Period=FQ","BEST_FPERIOD_OVERRIDE=FQ","FILING_STATUS=MR","SCALING_FORMAT=MLN","Sort=A","Dates=H","DateFormat=P","Fill=—","Direction=H","UseDPDF=Y")</f>
        <v>1151.7850000000001</v>
      </c>
      <c r="M8" s="13">
        <f>_xll.BDH("SRPT US Equity","SHORT_AND_LONG_TERM_DEBT","FQ2 2021","FQ2 2021","Currency=USD","Period=FQ","BEST_FPERIOD_OVERRIDE=FQ","FILING_STATUS=MR","SCALING_FORMAT=MLN","Sort=A","Dates=H","DateFormat=P","Fill=—","Direction=H","UseDPDF=Y")</f>
        <v>1158.27</v>
      </c>
      <c r="N8" s="13">
        <f>_xll.BDH("SRPT US Equity","SHORT_AND_LONG_TERM_DEBT","FQ3 2021","FQ3 2021","Currency=USD","Period=FQ","BEST_FPERIOD_OVERRIDE=FQ","FILING_STATUS=MR","SCALING_FORMAT=MLN","Sort=A","Dates=H","DateFormat=P","Fill=—","Direction=H","UseDPDF=Y")</f>
        <v>1158.3399999999999</v>
      </c>
      <c r="O8" s="13">
        <f>_xll.BDH("SRPT US Equity","SHORT_AND_LONG_TERM_DEBT","FQ4 2021","FQ4 2021","Currency=USD","Period=FQ","BEST_FPERIOD_OVERRIDE=FQ","FILING_STATUS=MR","SCALING_FORMAT=MLN","Sort=A","Dates=H","DateFormat=P","Fill=—","Direction=H","UseDPDF=Y")</f>
        <v>1153.4369999999999</v>
      </c>
      <c r="P8" s="13">
        <f>_xll.BDH("SRPT US Equity","SHORT_AND_LONG_TERM_DEBT","FQ1 2022","FQ1 2022","Currency=USD","Period=FQ","BEST_FPERIOD_OVERRIDE=FQ","FILING_STATUS=MR","SCALING_FORMAT=MLN","Sort=A","Dates=H","DateFormat=P","Fill=—","Direction=H","UseDPDF=Y")</f>
        <v>1137.4670000000001</v>
      </c>
      <c r="Q8" s="13">
        <f>_xll.BDH("SRPT US Equity","SHORT_AND_LONG_TERM_DEBT","FQ2 2022","FQ2 2022","Currency=USD","Period=FQ","BEST_FPERIOD_OVERRIDE=FQ","FILING_STATUS=MR","SCALING_FORMAT=MLN","Sort=A","Dates=H","DateFormat=P","Fill=—","Direction=H","UseDPDF=Y")</f>
        <v>1140.241</v>
      </c>
      <c r="R8" s="13">
        <f>_xll.BDH("SRPT US Equity","SHORT_AND_LONG_TERM_DEBT","FQ3 2022","FQ3 2022","Currency=USD","Period=FQ","BEST_FPERIOD_OVERRIDE=FQ","FILING_STATUS=MR","SCALING_FORMAT=MLN","Sort=A","Dates=H","DateFormat=P","Fill=—","Direction=H","UseDPDF=Y")</f>
        <v>1577.999</v>
      </c>
      <c r="S8" s="13">
        <f>_xll.BDH("SRPT US Equity","SHORT_AND_LONG_TERM_DEBT","FQ4 2022","FQ4 2022","Currency=USD","Period=FQ","BEST_FPERIOD_OVERRIDE=FQ","FILING_STATUS=MR","SCALING_FORMAT=MLN","Sort=A","Dates=H","DateFormat=P","Fill=—","Direction=H","UseDPDF=Y")</f>
        <v>1617.3589999999999</v>
      </c>
      <c r="T8" s="13">
        <f>_xll.BDH("SRPT US Equity","SHORT_AND_LONG_TERM_DEBT","FQ1 2023","FQ1 2023","Currency=USD","Period=FQ","BEST_FPERIOD_OVERRIDE=FQ","FILING_STATUS=MR","SCALING_FORMAT=MLN","Sort=A","Dates=H","DateFormat=P","Fill=—","Direction=H","UseDPDF=Y")</f>
        <v>1288.2149999999999</v>
      </c>
      <c r="U8" s="13">
        <f>_xll.BDH("SRPT US Equity","SHORT_AND_LONG_TERM_DEBT","FQ2 2023","FQ2 2023","Currency=USD","Period=FQ","BEST_FPERIOD_OVERRIDE=FQ","FILING_STATUS=MR","SCALING_FORMAT=MLN","Sort=A","Dates=H","DateFormat=P","Fill=—","Direction=H","UseDPDF=Y")</f>
        <v>1364.6869999999999</v>
      </c>
      <c r="V8" s="13">
        <f>_xll.BDH("SRPT US Equity","SHORT_AND_LONG_TERM_DEBT","FQ3 2023","FQ3 2023","Currency=USD","Period=FQ","BEST_FPERIOD_OVERRIDE=FQ","FILING_STATUS=MR","SCALING_FORMAT=MLN","Sort=A","Dates=H","DateFormat=P","Fill=—","Direction=H","UseDPDF=Y")</f>
        <v>1389.4580000000001</v>
      </c>
      <c r="W8" s="13">
        <f>_xll.BDH("SRPT US Equity","SHORT_AND_LONG_TERM_DEBT","FQ4 2023","FQ4 2023","Currency=USD","Period=FQ","BEST_FPERIOD_OVERRIDE=FQ","FILING_STATUS=MR","SCALING_FORMAT=MLN","Sort=A","Dates=H","DateFormat=P","Fill=—","Direction=H","UseDPDF=Y")</f>
        <v>1396.808</v>
      </c>
      <c r="X8" s="13">
        <f>_xll.BDH("SRPT US Equity","SHORT_AND_LONG_TERM_DEBT","FQ1 2024","FQ1 2024","Currency=USD","Period=FQ","BEST_FPERIOD_OVERRIDE=FQ","FILING_STATUS=MR","SCALING_FORMAT=MLN","Sort=A","Dates=H","DateFormat=P","Fill=—","Direction=H","UseDPDF=Y")</f>
        <v>1379.348</v>
      </c>
      <c r="Y8" s="13">
        <f>_xll.BDH("SRPT US Equity","SHORT_AND_LONG_TERM_DEBT","FQ2 2024","FQ2 2024","Currency=USD","Period=FQ","BEST_FPERIOD_OVERRIDE=FQ","FILING_STATUS=MR","SCALING_FORMAT=MLN","Sort=A","Dates=H","DateFormat=P","Fill=—","Direction=H","UseDPDF=Y")</f>
        <v>1369.9159999999999</v>
      </c>
      <c r="Z8" s="13">
        <f>_xll.BDH("SRPT US Equity","SHORT_AND_LONG_TERM_DEBT","FQ3 2024","FQ3 2024","Currency=USD","Period=FQ","BEST_FPERIOD_OVERRIDE=FQ","FILING_STATUS=MR","SCALING_FORMAT=MLN","Sort=A","Dates=H","DateFormat=P","Fill=—","Direction=H","UseDPDF=Y")</f>
        <v>1397.569</v>
      </c>
      <c r="AA8" s="13">
        <f>_xll.BDH("SRPT US Equity","SHORT_AND_LONG_TERM_DEBT","FQ4 2024","FQ4 2024","Currency=USD","Period=FQ","BEST_FPERIOD_OVERRIDE=FQ","FILING_STATUS=MR","SCALING_FORMAT=MLN","Sort=A","Dates=H","DateFormat=P","Fill=—","Direction=H","UseDPDF=Y")</f>
        <v>1343.07</v>
      </c>
    </row>
    <row r="9" spans="1:27" x14ac:dyDescent="0.25">
      <c r="A9" s="10" t="s">
        <v>1466</v>
      </c>
      <c r="B9" s="10" t="s">
        <v>758</v>
      </c>
      <c r="C9" s="13">
        <f>_xll.BDH("SRPT US Equity","BS_ST_BORROW","FQ4 2018","FQ4 2018","Currency=USD","Period=FQ","BEST_FPERIOD_OVERRIDE=FQ","FILING_STATUS=MR","SCALING_FORMAT=MLN","Sort=A","Dates=H","DateFormat=P","Fill=—","Direction=H","UseDPDF=Y")</f>
        <v>0</v>
      </c>
      <c r="D9" s="13">
        <f>_xll.BDH("SRPT US Equity","BS_ST_BORROW","FQ1 2019","FQ1 2019","Currency=USD","Period=FQ","BEST_FPERIOD_OVERRIDE=FQ","FILING_STATUS=MR","SCALING_FORMAT=MLN","Sort=A","Dates=H","DateFormat=P","Fill=—","Direction=H","UseDPDF=Y")</f>
        <v>6.7640000000000002</v>
      </c>
      <c r="E9" s="13">
        <f>_xll.BDH("SRPT US Equity","BS_ST_BORROW","FQ2 2019","FQ2 2019","Currency=USD","Period=FQ","BEST_FPERIOD_OVERRIDE=FQ","FILING_STATUS=MR","SCALING_FORMAT=MLN","Sort=A","Dates=H","DateFormat=P","Fill=—","Direction=H","UseDPDF=Y")</f>
        <v>7.1609999999999996</v>
      </c>
      <c r="F9" s="13">
        <f>_xll.BDH("SRPT US Equity","BS_ST_BORROW","FQ3 2019","FQ3 2019","Currency=USD","Period=FQ","BEST_FPERIOD_OVERRIDE=FQ","FILING_STATUS=MR","SCALING_FORMAT=MLN","Sort=A","Dates=H","DateFormat=P","Fill=—","Direction=H","UseDPDF=Y")</f>
        <v>7.5960000000000001</v>
      </c>
      <c r="G9" s="13">
        <f>_xll.BDH("SRPT US Equity","BS_ST_BORROW","FQ4 2019","FQ4 2019","Currency=USD","Period=FQ","BEST_FPERIOD_OVERRIDE=FQ","FILING_STATUS=MR","SCALING_FORMAT=MLN","Sort=A","Dates=H","DateFormat=P","Fill=—","Direction=H","UseDPDF=Y")</f>
        <v>7.8460000000000001</v>
      </c>
      <c r="H9" s="13">
        <f>_xll.BDH("SRPT US Equity","BS_ST_BORROW","FQ1 2020","FQ1 2020","Currency=USD","Period=FQ","BEST_FPERIOD_OVERRIDE=FQ","FILING_STATUS=MR","SCALING_FORMAT=MLN","Sort=A","Dates=H","DateFormat=P","Fill=—","Direction=H","UseDPDF=Y")</f>
        <v>0</v>
      </c>
      <c r="I9" s="13">
        <f>_xll.BDH("SRPT US Equity","BS_ST_BORROW","FQ2 2020","FQ2 2020","Currency=USD","Period=FQ","BEST_FPERIOD_OVERRIDE=FQ","FILING_STATUS=MR","SCALING_FORMAT=MLN","Sort=A","Dates=H","DateFormat=P","Fill=—","Direction=H","UseDPDF=Y")</f>
        <v>0</v>
      </c>
      <c r="J9" s="13">
        <f>_xll.BDH("SRPT US Equity","BS_ST_BORROW","FQ3 2020","FQ3 2020","Currency=USD","Period=FQ","BEST_FPERIOD_OVERRIDE=FQ","FILING_STATUS=MR","SCALING_FORMAT=MLN","Sort=A","Dates=H","DateFormat=P","Fill=—","Direction=H","UseDPDF=Y")</f>
        <v>0</v>
      </c>
      <c r="K9" s="13">
        <f>_xll.BDH("SRPT US Equity","BS_ST_BORROW","FQ4 2020","FQ4 2020","Currency=USD","Period=FQ","BEST_FPERIOD_OVERRIDE=FQ","FILING_STATUS=MR","SCALING_FORMAT=MLN","Sort=A","Dates=H","DateFormat=P","Fill=—","Direction=H","UseDPDF=Y")</f>
        <v>20.93</v>
      </c>
      <c r="L9" s="13" t="str">
        <f>_xll.BDH("SRPT US Equity","BS_ST_BORROW","FQ1 2021","FQ1 2021","Currency=USD","Period=FQ","BEST_FPERIOD_OVERRIDE=FQ","FILING_STATUS=MR","SCALING_FORMAT=MLN","Sort=A","Dates=H","DateFormat=P","Fill=—","Direction=H","UseDPDF=Y")</f>
        <v>—</v>
      </c>
      <c r="M9" s="13">
        <f>_xll.BDH("SRPT US Equity","BS_ST_BORROW","FQ2 2021","FQ2 2021","Currency=USD","Period=FQ","BEST_FPERIOD_OVERRIDE=FQ","FILING_STATUS=MR","SCALING_FORMAT=MLN","Sort=A","Dates=H","DateFormat=P","Fill=—","Direction=H","UseDPDF=Y")</f>
        <v>0</v>
      </c>
      <c r="N9" s="13">
        <f>_xll.BDH("SRPT US Equity","BS_ST_BORROW","FQ3 2021","FQ3 2021","Currency=USD","Period=FQ","BEST_FPERIOD_OVERRIDE=FQ","FILING_STATUS=MR","SCALING_FORMAT=MLN","Sort=A","Dates=H","DateFormat=P","Fill=—","Direction=H","UseDPDF=Y")</f>
        <v>0</v>
      </c>
      <c r="O9" s="13">
        <f>_xll.BDH("SRPT US Equity","BS_ST_BORROW","FQ4 2021","FQ4 2021","Currency=USD","Period=FQ","BEST_FPERIOD_OVERRIDE=FQ","FILING_STATUS=MR","SCALING_FORMAT=MLN","Sort=A","Dates=H","DateFormat=P","Fill=—","Direction=H","UseDPDF=Y")</f>
        <v>15.048999999999999</v>
      </c>
      <c r="P9" s="13" t="str">
        <f>_xll.BDH("SRPT US Equity","BS_ST_BORROW","FQ1 2022","FQ1 2022","Currency=USD","Period=FQ","BEST_FPERIOD_OVERRIDE=FQ","FILING_STATUS=MR","SCALING_FORMAT=MLN","Sort=A","Dates=H","DateFormat=P","Fill=—","Direction=H","UseDPDF=Y")</f>
        <v>—</v>
      </c>
      <c r="Q9" s="13">
        <f>_xll.BDH("SRPT US Equity","BS_ST_BORROW","FQ2 2022","FQ2 2022","Currency=USD","Period=FQ","BEST_FPERIOD_OVERRIDE=FQ","FILING_STATUS=MR","SCALING_FORMAT=MLN","Sort=A","Dates=H","DateFormat=P","Fill=—","Direction=H","UseDPDF=Y")</f>
        <v>0</v>
      </c>
      <c r="R9" s="13">
        <f>_xll.BDH("SRPT US Equity","BS_ST_BORROW","FQ3 2022","FQ3 2022","Currency=USD","Period=FQ","BEST_FPERIOD_OVERRIDE=FQ","FILING_STATUS=MR","SCALING_FORMAT=MLN","Sort=A","Dates=H","DateFormat=P","Fill=—","Direction=H","UseDPDF=Y")</f>
        <v>0</v>
      </c>
      <c r="S9" s="13">
        <f>_xll.BDH("SRPT US Equity","BS_ST_BORROW","FQ4 2022","FQ4 2022","Currency=USD","Period=FQ","BEST_FPERIOD_OVERRIDE=FQ","FILING_STATUS=MR","SCALING_FORMAT=MLN","Sort=A","Dates=H","DateFormat=P","Fill=—","Direction=H","UseDPDF=Y")</f>
        <v>15.489000000000001</v>
      </c>
      <c r="T9" s="13">
        <f>_xll.BDH("SRPT US Equity","BS_ST_BORROW","FQ1 2023","FQ1 2023","Currency=USD","Period=FQ","BEST_FPERIOD_OVERRIDE=FQ","FILING_STATUS=MR","SCALING_FORMAT=MLN","Sort=A","Dates=H","DateFormat=P","Fill=—","Direction=H","UseDPDF=Y")</f>
        <v>0</v>
      </c>
      <c r="U9" s="13">
        <f>_xll.BDH("SRPT US Equity","BS_ST_BORROW","FQ2 2023","FQ2 2023","Currency=USD","Period=FQ","BEST_FPERIOD_OVERRIDE=FQ","FILING_STATUS=MR","SCALING_FORMAT=MLN","Sort=A","Dates=H","DateFormat=P","Fill=—","Direction=H","UseDPDF=Y")</f>
        <v>0</v>
      </c>
      <c r="V9" s="13">
        <f>_xll.BDH("SRPT US Equity","BS_ST_BORROW","FQ3 2023","FQ3 2023","Currency=USD","Period=FQ","BEST_FPERIOD_OVERRIDE=FQ","FILING_STATUS=MR","SCALING_FORMAT=MLN","Sort=A","Dates=H","DateFormat=P","Fill=—","Direction=H","UseDPDF=Y")</f>
        <v>17.951000000000001</v>
      </c>
      <c r="W9" s="13">
        <f>_xll.BDH("SRPT US Equity","BS_ST_BORROW","FQ4 2023","FQ4 2023","Currency=USD","Period=FQ","BEST_FPERIOD_OVERRIDE=FQ","FILING_STATUS=MR","SCALING_FORMAT=MLN","Sort=A","Dates=H","DateFormat=P","Fill=—","Direction=H","UseDPDF=Y")</f>
        <v>123.328</v>
      </c>
      <c r="X9" s="13">
        <f>_xll.BDH("SRPT US Equity","BS_ST_BORROW","FQ1 2024","FQ1 2024","Currency=USD","Period=FQ","BEST_FPERIOD_OVERRIDE=FQ","FILING_STATUS=MR","SCALING_FORMAT=MLN","Sort=A","Dates=H","DateFormat=P","Fill=—","Direction=H","UseDPDF=Y")</f>
        <v>105.586</v>
      </c>
      <c r="Y9" s="13">
        <f>_xll.BDH("SRPT US Equity","BS_ST_BORROW","FQ2 2024","FQ2 2024","Currency=USD","Period=FQ","BEST_FPERIOD_OVERRIDE=FQ","FILING_STATUS=MR","SCALING_FORMAT=MLN","Sort=A","Dates=H","DateFormat=P","Fill=—","Direction=H","UseDPDF=Y")</f>
        <v>91.504999999999995</v>
      </c>
      <c r="Z9" s="13">
        <f>_xll.BDH("SRPT US Equity","BS_ST_BORROW","FQ3 2024","FQ3 2024","Currency=USD","Period=FQ","BEST_FPERIOD_OVERRIDE=FQ","FILING_STATUS=MR","SCALING_FORMAT=MLN","Sort=A","Dates=H","DateFormat=P","Fill=—","Direction=H","UseDPDF=Y")</f>
        <v>91.594999999999999</v>
      </c>
      <c r="AA9" s="13">
        <f>_xll.BDH("SRPT US Equity","BS_ST_BORROW","FQ4 2024","FQ4 2024","Currency=USD","Period=FQ","BEST_FPERIOD_OVERRIDE=FQ","FILING_STATUS=MR","SCALING_FORMAT=MLN","Sort=A","Dates=H","DateFormat=P","Fill=—","Direction=H","UseDPDF=Y")</f>
        <v>13.473000000000001</v>
      </c>
    </row>
    <row r="10" spans="1:27" x14ac:dyDescent="0.25">
      <c r="A10" s="10" t="s">
        <v>1467</v>
      </c>
      <c r="B10" s="10" t="s">
        <v>778</v>
      </c>
      <c r="C10" s="13">
        <f>_xll.BDH("SRPT US Equity","BS_LT_BORROW","FQ4 2018","FQ4 2018","Currency=USD","Period=FQ","BEST_FPERIOD_OVERRIDE=FQ","FILING_STATUS=MR","SCALING_FORMAT=MLN","Sort=A","Dates=H","DateFormat=P","Fill=—","Direction=H","UseDPDF=Y")</f>
        <v>420.55399999999997</v>
      </c>
      <c r="D10" s="13">
        <f>_xll.BDH("SRPT US Equity","BS_LT_BORROW","FQ1 2019","FQ1 2019","Currency=USD","Period=FQ","BEST_FPERIOD_OVERRIDE=FQ","FILING_STATUS=MR","SCALING_FORMAT=MLN","Sort=A","Dates=H","DateFormat=P","Fill=—","Direction=H","UseDPDF=Y")</f>
        <v>477.91699999999997</v>
      </c>
      <c r="E10" s="13">
        <f>_xll.BDH("SRPT US Equity","BS_LT_BORROW","FQ2 2019","FQ2 2019","Currency=USD","Period=FQ","BEST_FPERIOD_OVERRIDE=FQ","FILING_STATUS=MR","SCALING_FORMAT=MLN","Sort=A","Dates=H","DateFormat=P","Fill=—","Direction=H","UseDPDF=Y")</f>
        <v>481.24900000000002</v>
      </c>
      <c r="F10" s="13">
        <f>_xll.BDH("SRPT US Equity","BS_LT_BORROW","FQ3 2019","FQ3 2019","Currency=USD","Period=FQ","BEST_FPERIOD_OVERRIDE=FQ","FILING_STATUS=MR","SCALING_FORMAT=MLN","Sort=A","Dates=H","DateFormat=P","Fill=—","Direction=H","UseDPDF=Y")</f>
        <v>486.16199999999998</v>
      </c>
      <c r="G10" s="13">
        <f>_xll.BDH("SRPT US Equity","BS_LT_BORROW","FQ4 2019","FQ4 2019","Currency=USD","Period=FQ","BEST_FPERIOD_OVERRIDE=FQ","FILING_STATUS=MR","SCALING_FORMAT=MLN","Sort=A","Dates=H","DateFormat=P","Fill=—","Direction=H","UseDPDF=Y")</f>
        <v>729.62</v>
      </c>
      <c r="H10" s="13">
        <f>_xll.BDH("SRPT US Equity","BS_LT_BORROW","FQ1 2020","FQ1 2020","Currency=USD","Period=FQ","BEST_FPERIOD_OVERRIDE=FQ","FILING_STATUS=MR","SCALING_FORMAT=MLN","Sort=A","Dates=H","DateFormat=P","Fill=—","Direction=H","UseDPDF=Y")</f>
        <v>753.21600000000001</v>
      </c>
      <c r="I10" s="13">
        <f>_xll.BDH("SRPT US Equity","BS_LT_BORROW","FQ2 2020","FQ2 2020","Currency=USD","Period=FQ","BEST_FPERIOD_OVERRIDE=FQ","FILING_STATUS=MR","SCALING_FORMAT=MLN","Sort=A","Dates=H","DateFormat=P","Fill=—","Direction=H","UseDPDF=Y")</f>
        <v>766.55700000000002</v>
      </c>
      <c r="J10" s="13">
        <f>_xll.BDH("SRPT US Equity","BS_LT_BORROW","FQ3 2020","FQ3 2020","Currency=USD","Period=FQ","BEST_FPERIOD_OVERRIDE=FQ","FILING_STATUS=MR","SCALING_FORMAT=MLN","Sort=A","Dates=H","DateFormat=P","Fill=—","Direction=H","UseDPDF=Y")</f>
        <v>768.69899999999996</v>
      </c>
      <c r="K10" s="13">
        <f>_xll.BDH("SRPT US Equity","BS_LT_BORROW","FQ4 2020","FQ4 2020","Currency=USD","Period=FQ","BEST_FPERIOD_OVERRIDE=FQ","FILING_STATUS=MR","SCALING_FORMAT=MLN","Sort=A","Dates=H","DateFormat=P","Fill=—","Direction=H","UseDPDF=Y")</f>
        <v>1072.8599999999999</v>
      </c>
      <c r="L10" s="13">
        <f>_xll.BDH("SRPT US Equity","BS_LT_BORROW","FQ1 2021","FQ1 2021","Currency=USD","Period=FQ","BEST_FPERIOD_OVERRIDE=FQ","FILING_STATUS=MR","SCALING_FORMAT=MLN","Sort=A","Dates=H","DateFormat=P","Fill=—","Direction=H","UseDPDF=Y")</f>
        <v>1151.7850000000001</v>
      </c>
      <c r="M10" s="13">
        <f>_xll.BDH("SRPT US Equity","BS_LT_BORROW","FQ2 2021","FQ2 2021","Currency=USD","Period=FQ","BEST_FPERIOD_OVERRIDE=FQ","FILING_STATUS=MR","SCALING_FORMAT=MLN","Sort=A","Dates=H","DateFormat=P","Fill=—","Direction=H","UseDPDF=Y")</f>
        <v>1158.27</v>
      </c>
      <c r="N10" s="13">
        <f>_xll.BDH("SRPT US Equity","BS_LT_BORROW","FQ3 2021","FQ3 2021","Currency=USD","Period=FQ","BEST_FPERIOD_OVERRIDE=FQ","FILING_STATUS=MR","SCALING_FORMAT=MLN","Sort=A","Dates=H","DateFormat=P","Fill=—","Direction=H","UseDPDF=Y")</f>
        <v>1158.3399999999999</v>
      </c>
      <c r="O10" s="13">
        <f>_xll.BDH("SRPT US Equity","BS_LT_BORROW","FQ4 2021","FQ4 2021","Currency=USD","Period=FQ","BEST_FPERIOD_OVERRIDE=FQ","FILING_STATUS=MR","SCALING_FORMAT=MLN","Sort=A","Dates=H","DateFormat=P","Fill=—","Direction=H","UseDPDF=Y")</f>
        <v>1138.3879999999999</v>
      </c>
      <c r="P10" s="13">
        <f>_xll.BDH("SRPT US Equity","BS_LT_BORROW","FQ1 2022","FQ1 2022","Currency=USD","Period=FQ","BEST_FPERIOD_OVERRIDE=FQ","FILING_STATUS=MR","SCALING_FORMAT=MLN","Sort=A","Dates=H","DateFormat=P","Fill=—","Direction=H","UseDPDF=Y")</f>
        <v>1137.4670000000001</v>
      </c>
      <c r="Q10" s="13">
        <f>_xll.BDH("SRPT US Equity","BS_LT_BORROW","FQ2 2022","FQ2 2022","Currency=USD","Period=FQ","BEST_FPERIOD_OVERRIDE=FQ","FILING_STATUS=MR","SCALING_FORMAT=MLN","Sort=A","Dates=H","DateFormat=P","Fill=—","Direction=H","UseDPDF=Y")</f>
        <v>1140.241</v>
      </c>
      <c r="R10" s="13">
        <f>_xll.BDH("SRPT US Equity","BS_LT_BORROW","FQ3 2022","FQ3 2022","Currency=USD","Period=FQ","BEST_FPERIOD_OVERRIDE=FQ","FILING_STATUS=MR","SCALING_FORMAT=MLN","Sort=A","Dates=H","DateFormat=P","Fill=—","Direction=H","UseDPDF=Y")</f>
        <v>1577.999</v>
      </c>
      <c r="S10" s="13">
        <f>_xll.BDH("SRPT US Equity","BS_LT_BORROW","FQ4 2022","FQ4 2022","Currency=USD","Period=FQ","BEST_FPERIOD_OVERRIDE=FQ","FILING_STATUS=MR","SCALING_FORMAT=MLN","Sort=A","Dates=H","DateFormat=P","Fill=—","Direction=H","UseDPDF=Y")</f>
        <v>1601.87</v>
      </c>
      <c r="T10" s="13">
        <f>_xll.BDH("SRPT US Equity","BS_LT_BORROW","FQ1 2023","FQ1 2023","Currency=USD","Period=FQ","BEST_FPERIOD_OVERRIDE=FQ","FILING_STATUS=MR","SCALING_FORMAT=MLN","Sort=A","Dates=H","DateFormat=P","Fill=—","Direction=H","UseDPDF=Y")</f>
        <v>1288.2149999999999</v>
      </c>
      <c r="U10" s="13">
        <f>_xll.BDH("SRPT US Equity","BS_LT_BORROW","FQ2 2023","FQ2 2023","Currency=USD","Period=FQ","BEST_FPERIOD_OVERRIDE=FQ","FILING_STATUS=MR","SCALING_FORMAT=MLN","Sort=A","Dates=H","DateFormat=P","Fill=—","Direction=H","UseDPDF=Y")</f>
        <v>1364.6869999999999</v>
      </c>
      <c r="V10" s="13">
        <f>_xll.BDH("SRPT US Equity","BS_LT_BORROW","FQ3 2023","FQ3 2023","Currency=USD","Period=FQ","BEST_FPERIOD_OVERRIDE=FQ","FILING_STATUS=MR","SCALING_FORMAT=MLN","Sort=A","Dates=H","DateFormat=P","Fill=—","Direction=H","UseDPDF=Y")</f>
        <v>1371.5070000000001</v>
      </c>
      <c r="W10" s="13">
        <f>_xll.BDH("SRPT US Equity","BS_LT_BORROW","FQ4 2023","FQ4 2023","Currency=USD","Period=FQ","BEST_FPERIOD_OVERRIDE=FQ","FILING_STATUS=MR","SCALING_FORMAT=MLN","Sort=A","Dates=H","DateFormat=P","Fill=—","Direction=H","UseDPDF=Y")</f>
        <v>1273.48</v>
      </c>
      <c r="X10" s="13">
        <f>_xll.BDH("SRPT US Equity","BS_LT_BORROW","FQ1 2024","FQ1 2024","Currency=USD","Period=FQ","BEST_FPERIOD_OVERRIDE=FQ","FILING_STATUS=MR","SCALING_FORMAT=MLN","Sort=A","Dates=H","DateFormat=P","Fill=—","Direction=H","UseDPDF=Y")</f>
        <v>1273.7619999999999</v>
      </c>
      <c r="Y10" s="13">
        <f>_xll.BDH("SRPT US Equity","BS_LT_BORROW","FQ2 2024","FQ2 2024","Currency=USD","Period=FQ","BEST_FPERIOD_OVERRIDE=FQ","FILING_STATUS=MR","SCALING_FORMAT=MLN","Sort=A","Dates=H","DateFormat=P","Fill=—","Direction=H","UseDPDF=Y")</f>
        <v>1278.4110000000001</v>
      </c>
      <c r="Z10" s="13">
        <f>_xll.BDH("SRPT US Equity","BS_LT_BORROW","FQ3 2024","FQ3 2024","Currency=USD","Period=FQ","BEST_FPERIOD_OVERRIDE=FQ","FILING_STATUS=MR","SCALING_FORMAT=MLN","Sort=A","Dates=H","DateFormat=P","Fill=—","Direction=H","UseDPDF=Y")</f>
        <v>1305.9739999999999</v>
      </c>
      <c r="AA10" s="13">
        <f>_xll.BDH("SRPT US Equity","BS_LT_BORROW","FQ4 2024","FQ4 2024","Currency=USD","Period=FQ","BEST_FPERIOD_OVERRIDE=FQ","FILING_STATUS=MR","SCALING_FORMAT=MLN","Sort=A","Dates=H","DateFormat=P","Fill=—","Direction=H","UseDPDF=Y")</f>
        <v>1329.597</v>
      </c>
    </row>
    <row r="11" spans="1:27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10" t="s">
        <v>1468</v>
      </c>
      <c r="B12" s="10" t="s">
        <v>1469</v>
      </c>
      <c r="C12" s="14" t="str">
        <f>_xll.BDH("SRPT US Equity","TOT_DEBT_TO_EBITDA","FQ4 2018","FQ4 2018","Currency=USD","Period=FQ","BEST_FPERIOD_OVERRIDE=FQ","FILING_STATUS=MR","FA_ADJUSTED=GAAP","Sort=A","Dates=H","DateFormat=P","Fill=—","Direction=H","UseDPDF=Y")</f>
        <v>—</v>
      </c>
      <c r="D12" s="14" t="str">
        <f>_xll.BDH("SRPT US Equity","TOT_DEBT_TO_EBITDA","FQ1 2019","FQ1 2019","Currency=USD","Period=FQ","BEST_FPERIOD_OVERRIDE=FQ","FILING_STATUS=MR","FA_ADJUSTED=GAAP","Sort=A","Dates=H","DateFormat=P","Fill=—","Direction=H","UseDPDF=Y")</f>
        <v>—</v>
      </c>
      <c r="E12" s="14" t="str">
        <f>_xll.BDH("SRPT US Equity","TOT_DEBT_TO_EBITDA","FQ2 2019","FQ2 2019","Currency=USD","Period=FQ","BEST_FPERIOD_OVERRIDE=FQ","FILING_STATUS=MR","FA_ADJUSTED=GAAP","Sort=A","Dates=H","DateFormat=P","Fill=—","Direction=H","UseDPDF=Y")</f>
        <v>—</v>
      </c>
      <c r="F12" s="14" t="str">
        <f>_xll.BDH("SRPT US Equity","TOT_DEBT_TO_EBITDA","FQ3 2019","FQ3 2019","Currency=USD","Period=FQ","BEST_FPERIOD_OVERRIDE=FQ","FILING_STATUS=MR","FA_ADJUSTED=GAAP","Sort=A","Dates=H","DateFormat=P","Fill=—","Direction=H","UseDPDF=Y")</f>
        <v>—</v>
      </c>
      <c r="G12" s="14" t="str">
        <f>_xll.BDH("SRPT US Equity","TOT_DEBT_TO_EBITDA","FQ4 2019","FQ4 2019","Currency=USD","Period=FQ","BEST_FPERIOD_OVERRIDE=FQ","FILING_STATUS=MR","FA_ADJUSTED=GAAP","Sort=A","Dates=H","DateFormat=P","Fill=—","Direction=H","UseDPDF=Y")</f>
        <v>—</v>
      </c>
      <c r="H12" s="14" t="str">
        <f>_xll.BDH("SRPT US Equity","TOT_DEBT_TO_EBITDA","FQ1 2020","FQ1 2020","Currency=USD","Period=FQ","BEST_FPERIOD_OVERRIDE=FQ","FILING_STATUS=MR","FA_ADJUSTED=GAAP","Sort=A","Dates=H","DateFormat=P","Fill=—","Direction=H","UseDPDF=Y")</f>
        <v>—</v>
      </c>
      <c r="I12" s="14" t="str">
        <f>_xll.BDH("SRPT US Equity","TOT_DEBT_TO_EBITDA","FQ2 2020","FQ2 2020","Currency=USD","Period=FQ","BEST_FPERIOD_OVERRIDE=FQ","FILING_STATUS=MR","FA_ADJUSTED=GAAP","Sort=A","Dates=H","DateFormat=P","Fill=—","Direction=H","UseDPDF=Y")</f>
        <v>—</v>
      </c>
      <c r="J12" s="14" t="str">
        <f>_xll.BDH("SRPT US Equity","TOT_DEBT_TO_EBITDA","FQ3 2020","FQ3 2020","Currency=USD","Period=FQ","BEST_FPERIOD_OVERRIDE=FQ","FILING_STATUS=MR","FA_ADJUSTED=GAAP","Sort=A","Dates=H","DateFormat=P","Fill=—","Direction=H","UseDPDF=Y")</f>
        <v>—</v>
      </c>
      <c r="K12" s="14" t="str">
        <f>_xll.BDH("SRPT US Equity","TOT_DEBT_TO_EBITDA","FQ4 2020","FQ4 2020","Currency=USD","Period=FQ","BEST_FPERIOD_OVERRIDE=FQ","FILING_STATUS=MR","FA_ADJUSTED=GAAP","Sort=A","Dates=H","DateFormat=P","Fill=—","Direction=H","UseDPDF=Y")</f>
        <v>—</v>
      </c>
      <c r="L12" s="14" t="str">
        <f>_xll.BDH("SRPT US Equity","TOT_DEBT_TO_EBITDA","FQ1 2021","FQ1 2021","Currency=USD","Period=FQ","BEST_FPERIOD_OVERRIDE=FQ","FILING_STATUS=MR","FA_ADJUSTED=GAAP","Sort=A","Dates=H","DateFormat=P","Fill=—","Direction=H","UseDPDF=Y")</f>
        <v>—</v>
      </c>
      <c r="M12" s="14" t="str">
        <f>_xll.BDH("SRPT US Equity","TOT_DEBT_TO_EBITDA","FQ2 2021","FQ2 2021","Currency=USD","Period=FQ","BEST_FPERIOD_OVERRIDE=FQ","FILING_STATUS=MR","FA_ADJUSTED=GAAP","Sort=A","Dates=H","DateFormat=P","Fill=—","Direction=H","UseDPDF=Y")</f>
        <v>—</v>
      </c>
      <c r="N12" s="14" t="str">
        <f>_xll.BDH("SRPT US Equity","TOT_DEBT_TO_EBITDA","FQ3 2021","FQ3 2021","Currency=USD","Period=FQ","BEST_FPERIOD_OVERRIDE=FQ","FILING_STATUS=MR","FA_ADJUSTED=GAAP","Sort=A","Dates=H","DateFormat=P","Fill=—","Direction=H","UseDPDF=Y")</f>
        <v>—</v>
      </c>
      <c r="O12" s="14" t="str">
        <f>_xll.BDH("SRPT US Equity","TOT_DEBT_TO_EBITDA","FQ4 2021","FQ4 2021","Currency=USD","Period=FQ","BEST_FPERIOD_OVERRIDE=FQ","FILING_STATUS=MR","FA_ADJUSTED=GAAP","Sort=A","Dates=H","DateFormat=P","Fill=—","Direction=H","UseDPDF=Y")</f>
        <v>—</v>
      </c>
      <c r="P12" s="14" t="str">
        <f>_xll.BDH("SRPT US Equity","TOT_DEBT_TO_EBITDA","FQ1 2022","FQ1 2022","Currency=USD","Period=FQ","BEST_FPERIOD_OVERRIDE=FQ","FILING_STATUS=MR","FA_ADJUSTED=GAAP","Sort=A","Dates=H","DateFormat=P","Fill=—","Direction=H","UseDPDF=Y")</f>
        <v>—</v>
      </c>
      <c r="Q12" s="14" t="str">
        <f>_xll.BDH("SRPT US Equity","TOT_DEBT_TO_EBITDA","FQ2 2022","FQ2 2022","Currency=USD","Period=FQ","BEST_FPERIOD_OVERRIDE=FQ","FILING_STATUS=MR","FA_ADJUSTED=GAAP","Sort=A","Dates=H","DateFormat=P","Fill=—","Direction=H","UseDPDF=Y")</f>
        <v>—</v>
      </c>
      <c r="R12" s="14" t="str">
        <f>_xll.BDH("SRPT US Equity","TOT_DEBT_TO_EBITDA","FQ3 2022","FQ3 2022","Currency=USD","Period=FQ","BEST_FPERIOD_OVERRIDE=FQ","FILING_STATUS=MR","FA_ADJUSTED=GAAP","Sort=A","Dates=H","DateFormat=P","Fill=—","Direction=H","UseDPDF=Y")</f>
        <v>—</v>
      </c>
      <c r="S12" s="14" t="str">
        <f>_xll.BDH("SRPT US Equity","TOT_DEBT_TO_EBITDA","FQ4 2022","FQ4 2022","Currency=USD","Period=FQ","BEST_FPERIOD_OVERRIDE=FQ","FILING_STATUS=MR","FA_ADJUSTED=GAAP","Sort=A","Dates=H","DateFormat=P","Fill=—","Direction=H","UseDPDF=Y")</f>
        <v>—</v>
      </c>
      <c r="T12" s="14" t="str">
        <f>_xll.BDH("SRPT US Equity","TOT_DEBT_TO_EBITDA","FQ1 2023","FQ1 2023","Currency=USD","Period=FQ","BEST_FPERIOD_OVERRIDE=FQ","FILING_STATUS=MR","FA_ADJUSTED=GAAP","Sort=A","Dates=H","DateFormat=P","Fill=—","Direction=H","UseDPDF=Y")</f>
        <v>—</v>
      </c>
      <c r="U12" s="14" t="str">
        <f>_xll.BDH("SRPT US Equity","TOT_DEBT_TO_EBITDA","FQ2 2023","FQ2 2023","Currency=USD","Period=FQ","BEST_FPERIOD_OVERRIDE=FQ","FILING_STATUS=MR","FA_ADJUSTED=GAAP","Sort=A","Dates=H","DateFormat=P","Fill=—","Direction=H","UseDPDF=Y")</f>
        <v>—</v>
      </c>
      <c r="V12" s="14" t="str">
        <f>_xll.BDH("SRPT US Equity","TOT_DEBT_TO_EBITDA","FQ3 2023","FQ3 2023","Currency=USD","Period=FQ","BEST_FPERIOD_OVERRIDE=FQ","FILING_STATUS=MR","FA_ADJUSTED=GAAP","Sort=A","Dates=H","DateFormat=P","Fill=—","Direction=H","UseDPDF=Y")</f>
        <v>—</v>
      </c>
      <c r="W12" s="14" t="str">
        <f>_xll.BDH("SRPT US Equity","TOT_DEBT_TO_EBITDA","FQ4 2023","FQ4 2023","Currency=USD","Period=FQ","BEST_FPERIOD_OVERRIDE=FQ","FILING_STATUS=MR","FA_ADJUSTED=GAAP","Sort=A","Dates=H","DateFormat=P","Fill=—","Direction=H","UseDPDF=Y")</f>
        <v>—</v>
      </c>
      <c r="X12" s="14" t="str">
        <f>_xll.BDH("SRPT US Equity","TOT_DEBT_TO_EBITDA","FQ1 2024","FQ1 2024","Currency=USD","Period=FQ","BEST_FPERIOD_OVERRIDE=FQ","FILING_STATUS=MR","FA_ADJUSTED=GAAP","Sort=A","Dates=H","DateFormat=P","Fill=—","Direction=H","UseDPDF=Y")</f>
        <v>—</v>
      </c>
      <c r="Y12" s="14">
        <f>_xll.BDH("SRPT US Equity","TOT_DEBT_TO_EBITDA","FQ2 2024","FQ2 2024","Currency=USD","Period=FQ","BEST_FPERIOD_OVERRIDE=FQ","FILING_STATUS=MR","FA_ADJUSTED=GAAP","Sort=A","Dates=H","DateFormat=P","Fill=—","Direction=H","UseDPDF=Y")</f>
        <v>17.619499999999999</v>
      </c>
      <c r="Z12" s="14">
        <f>_xll.BDH("SRPT US Equity","TOT_DEBT_TO_EBITDA","FQ3 2024","FQ3 2024","Currency=USD","Period=FQ","BEST_FPERIOD_OVERRIDE=FQ","FILING_STATUS=MR","FA_ADJUSTED=GAAP","Sort=A","Dates=H","DateFormat=P","Fill=—","Direction=H","UseDPDF=Y")</f>
        <v>11.678900000000001</v>
      </c>
      <c r="AA12" s="14">
        <f>_xll.BDH("SRPT US Equity","TOT_DEBT_TO_EBITDA","FQ4 2024","FQ4 2024","Currency=USD","Period=FQ","BEST_FPERIOD_OVERRIDE=FQ","FILING_STATUS=MR","FA_ADJUSTED=GAAP","Sort=A","Dates=H","DateFormat=P","Fill=—","Direction=H","UseDPDF=Y")</f>
        <v>5.2504</v>
      </c>
    </row>
    <row r="13" spans="1:27" x14ac:dyDescent="0.25">
      <c r="A13" s="10" t="s">
        <v>1470</v>
      </c>
      <c r="B13" s="10" t="s">
        <v>1471</v>
      </c>
      <c r="C13" s="14" t="str">
        <f>_xll.BDH("SRPT US Equity","NET_DEBT_TO_EBITDA","FQ4 2018","FQ4 2018","Currency=USD","Period=FQ","BEST_FPERIOD_OVERRIDE=FQ","FILING_STATUS=MR","FA_ADJUSTED=GAAP","Sort=A","Dates=H","DateFormat=P","Fill=—","Direction=H","UseDPDF=Y")</f>
        <v>—</v>
      </c>
      <c r="D13" s="14" t="str">
        <f>_xll.BDH("SRPT US Equity","NET_DEBT_TO_EBITDA","FQ1 2019","FQ1 2019","Currency=USD","Period=FQ","BEST_FPERIOD_OVERRIDE=FQ","FILING_STATUS=MR","FA_ADJUSTED=GAAP","Sort=A","Dates=H","DateFormat=P","Fill=—","Direction=H","UseDPDF=Y")</f>
        <v>—</v>
      </c>
      <c r="E13" s="14" t="str">
        <f>_xll.BDH("SRPT US Equity","NET_DEBT_TO_EBITDA","FQ2 2019","FQ2 2019","Currency=USD","Period=FQ","BEST_FPERIOD_OVERRIDE=FQ","FILING_STATUS=MR","FA_ADJUSTED=GAAP","Sort=A","Dates=H","DateFormat=P","Fill=—","Direction=H","UseDPDF=Y")</f>
        <v>—</v>
      </c>
      <c r="F13" s="14" t="str">
        <f>_xll.BDH("SRPT US Equity","NET_DEBT_TO_EBITDA","FQ3 2019","FQ3 2019","Currency=USD","Period=FQ","BEST_FPERIOD_OVERRIDE=FQ","FILING_STATUS=MR","FA_ADJUSTED=GAAP","Sort=A","Dates=H","DateFormat=P","Fill=—","Direction=H","UseDPDF=Y")</f>
        <v>—</v>
      </c>
      <c r="G13" s="14" t="str">
        <f>_xll.BDH("SRPT US Equity","NET_DEBT_TO_EBITDA","FQ4 2019","FQ4 2019","Currency=USD","Period=FQ","BEST_FPERIOD_OVERRIDE=FQ","FILING_STATUS=MR","FA_ADJUSTED=GAAP","Sort=A","Dates=H","DateFormat=P","Fill=—","Direction=H","UseDPDF=Y")</f>
        <v>—</v>
      </c>
      <c r="H13" s="14" t="str">
        <f>_xll.BDH("SRPT US Equity","NET_DEBT_TO_EBITDA","FQ1 2020","FQ1 2020","Currency=USD","Period=FQ","BEST_FPERIOD_OVERRIDE=FQ","FILING_STATUS=MR","FA_ADJUSTED=GAAP","Sort=A","Dates=H","DateFormat=P","Fill=—","Direction=H","UseDPDF=Y")</f>
        <v>—</v>
      </c>
      <c r="I13" s="14" t="str">
        <f>_xll.BDH("SRPT US Equity","NET_DEBT_TO_EBITDA","FQ2 2020","FQ2 2020","Currency=USD","Period=FQ","BEST_FPERIOD_OVERRIDE=FQ","FILING_STATUS=MR","FA_ADJUSTED=GAAP","Sort=A","Dates=H","DateFormat=P","Fill=—","Direction=H","UseDPDF=Y")</f>
        <v>—</v>
      </c>
      <c r="J13" s="14" t="str">
        <f>_xll.BDH("SRPT US Equity","NET_DEBT_TO_EBITDA","FQ3 2020","FQ3 2020","Currency=USD","Period=FQ","BEST_FPERIOD_OVERRIDE=FQ","FILING_STATUS=MR","FA_ADJUSTED=GAAP","Sort=A","Dates=H","DateFormat=P","Fill=—","Direction=H","UseDPDF=Y")</f>
        <v>—</v>
      </c>
      <c r="K13" s="14" t="str">
        <f>_xll.BDH("SRPT US Equity","NET_DEBT_TO_EBITDA","FQ4 2020","FQ4 2020","Currency=USD","Period=FQ","BEST_FPERIOD_OVERRIDE=FQ","FILING_STATUS=MR","FA_ADJUSTED=GAAP","Sort=A","Dates=H","DateFormat=P","Fill=—","Direction=H","UseDPDF=Y")</f>
        <v>—</v>
      </c>
      <c r="L13" s="14" t="str">
        <f>_xll.BDH("SRPT US Equity","NET_DEBT_TO_EBITDA","FQ1 2021","FQ1 2021","Currency=USD","Period=FQ","BEST_FPERIOD_OVERRIDE=FQ","FILING_STATUS=MR","FA_ADJUSTED=GAAP","Sort=A","Dates=H","DateFormat=P","Fill=—","Direction=H","UseDPDF=Y")</f>
        <v>—</v>
      </c>
      <c r="M13" s="14" t="str">
        <f>_xll.BDH("SRPT US Equity","NET_DEBT_TO_EBITDA","FQ2 2021","FQ2 2021","Currency=USD","Period=FQ","BEST_FPERIOD_OVERRIDE=FQ","FILING_STATUS=MR","FA_ADJUSTED=GAAP","Sort=A","Dates=H","DateFormat=P","Fill=—","Direction=H","UseDPDF=Y")</f>
        <v>—</v>
      </c>
      <c r="N13" s="14" t="str">
        <f>_xll.BDH("SRPT US Equity","NET_DEBT_TO_EBITDA","FQ3 2021","FQ3 2021","Currency=USD","Period=FQ","BEST_FPERIOD_OVERRIDE=FQ","FILING_STATUS=MR","FA_ADJUSTED=GAAP","Sort=A","Dates=H","DateFormat=P","Fill=—","Direction=H","UseDPDF=Y")</f>
        <v>—</v>
      </c>
      <c r="O13" s="14" t="str">
        <f>_xll.BDH("SRPT US Equity","NET_DEBT_TO_EBITDA","FQ4 2021","FQ4 2021","Currency=USD","Period=FQ","BEST_FPERIOD_OVERRIDE=FQ","FILING_STATUS=MR","FA_ADJUSTED=GAAP","Sort=A","Dates=H","DateFormat=P","Fill=—","Direction=H","UseDPDF=Y")</f>
        <v>—</v>
      </c>
      <c r="P13" s="14" t="str">
        <f>_xll.BDH("SRPT US Equity","NET_DEBT_TO_EBITDA","FQ1 2022","FQ1 2022","Currency=USD","Period=FQ","BEST_FPERIOD_OVERRIDE=FQ","FILING_STATUS=MR","FA_ADJUSTED=GAAP","Sort=A","Dates=H","DateFormat=P","Fill=—","Direction=H","UseDPDF=Y")</f>
        <v>—</v>
      </c>
      <c r="Q13" s="14" t="str">
        <f>_xll.BDH("SRPT US Equity","NET_DEBT_TO_EBITDA","FQ2 2022","FQ2 2022","Currency=USD","Period=FQ","BEST_FPERIOD_OVERRIDE=FQ","FILING_STATUS=MR","FA_ADJUSTED=GAAP","Sort=A","Dates=H","DateFormat=P","Fill=—","Direction=H","UseDPDF=Y")</f>
        <v>—</v>
      </c>
      <c r="R13" s="14" t="str">
        <f>_xll.BDH("SRPT US Equity","NET_DEBT_TO_EBITDA","FQ3 2022","FQ3 2022","Currency=USD","Period=FQ","BEST_FPERIOD_OVERRIDE=FQ","FILING_STATUS=MR","FA_ADJUSTED=GAAP","Sort=A","Dates=H","DateFormat=P","Fill=—","Direction=H","UseDPDF=Y")</f>
        <v>—</v>
      </c>
      <c r="S13" s="14" t="str">
        <f>_xll.BDH("SRPT US Equity","NET_DEBT_TO_EBITDA","FQ4 2022","FQ4 2022","Currency=USD","Period=FQ","BEST_FPERIOD_OVERRIDE=FQ","FILING_STATUS=MR","FA_ADJUSTED=GAAP","Sort=A","Dates=H","DateFormat=P","Fill=—","Direction=H","UseDPDF=Y")</f>
        <v>—</v>
      </c>
      <c r="T13" s="14" t="str">
        <f>_xll.BDH("SRPT US Equity","NET_DEBT_TO_EBITDA","FQ1 2023","FQ1 2023","Currency=USD","Period=FQ","BEST_FPERIOD_OVERRIDE=FQ","FILING_STATUS=MR","FA_ADJUSTED=GAAP","Sort=A","Dates=H","DateFormat=P","Fill=—","Direction=H","UseDPDF=Y")</f>
        <v>—</v>
      </c>
      <c r="U13" s="14" t="str">
        <f>_xll.BDH("SRPT US Equity","NET_DEBT_TO_EBITDA","FQ2 2023","FQ2 2023","Currency=USD","Period=FQ","BEST_FPERIOD_OVERRIDE=FQ","FILING_STATUS=MR","FA_ADJUSTED=GAAP","Sort=A","Dates=H","DateFormat=P","Fill=—","Direction=H","UseDPDF=Y")</f>
        <v>—</v>
      </c>
      <c r="V13" s="14" t="str">
        <f>_xll.BDH("SRPT US Equity","NET_DEBT_TO_EBITDA","FQ3 2023","FQ3 2023","Currency=USD","Period=FQ","BEST_FPERIOD_OVERRIDE=FQ","FILING_STATUS=MR","FA_ADJUSTED=GAAP","Sort=A","Dates=H","DateFormat=P","Fill=—","Direction=H","UseDPDF=Y")</f>
        <v>—</v>
      </c>
      <c r="W13" s="14" t="str">
        <f>_xll.BDH("SRPT US Equity","NET_DEBT_TO_EBITDA","FQ4 2023","FQ4 2023","Currency=USD","Period=FQ","BEST_FPERIOD_OVERRIDE=FQ","FILING_STATUS=MR","FA_ADJUSTED=GAAP","Sort=A","Dates=H","DateFormat=P","Fill=—","Direction=H","UseDPDF=Y")</f>
        <v>—</v>
      </c>
      <c r="X13" s="14" t="str">
        <f>_xll.BDH("SRPT US Equity","NET_DEBT_TO_EBITDA","FQ1 2024","FQ1 2024","Currency=USD","Period=FQ","BEST_FPERIOD_OVERRIDE=FQ","FILING_STATUS=MR","FA_ADJUSTED=GAAP","Sort=A","Dates=H","DateFormat=P","Fill=—","Direction=H","UseDPDF=Y")</f>
        <v>—</v>
      </c>
      <c r="Y13" s="14">
        <f>_xll.BDH("SRPT US Equity","NET_DEBT_TO_EBITDA","FQ2 2024","FQ2 2024","Currency=USD","Period=FQ","BEST_FPERIOD_OVERRIDE=FQ","FILING_STATUS=MR","FA_ADJUSTED=GAAP","Sort=A","Dates=H","DateFormat=P","Fill=—","Direction=H","UseDPDF=Y")</f>
        <v>-1.3651</v>
      </c>
      <c r="Z13" s="14">
        <f>_xll.BDH("SRPT US Equity","NET_DEBT_TO_EBITDA","FQ3 2024","FQ3 2024","Currency=USD","Period=FQ","BEST_FPERIOD_OVERRIDE=FQ","FILING_STATUS=MR","FA_ADJUSTED=GAAP","Sort=A","Dates=H","DateFormat=P","Fill=—","Direction=H","UseDPDF=Y")</f>
        <v>1.625</v>
      </c>
      <c r="AA13" s="14">
        <f>_xll.BDH("SRPT US Equity","NET_DEBT_TO_EBITDA","FQ4 2024","FQ4 2024","Currency=USD","Period=FQ","BEST_FPERIOD_OVERRIDE=FQ","FILING_STATUS=MR","FA_ADJUSTED=GAAP","Sort=A","Dates=H","DateFormat=P","Fill=—","Direction=H","UseDPDF=Y")</f>
        <v>-6.0299999999999999E-2</v>
      </c>
    </row>
    <row r="14" spans="1:27" x14ac:dyDescent="0.25">
      <c r="A14" s="10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5">
      <c r="A15" s="10" t="s">
        <v>1472</v>
      </c>
      <c r="B15" s="10" t="s">
        <v>1473</v>
      </c>
      <c r="C15" s="14" t="str">
        <f>_xll.BDH("SRPT US Equity","TOTAL_DEBT_TO_EBIT","FQ4 2018","FQ4 2018","Currency=USD","Period=FQ","BEST_FPERIOD_OVERRIDE=FQ","FILING_STATUS=MR","FA_ADJUSTED=GAAP","Sort=A","Dates=H","DateFormat=P","Fill=—","Direction=H","UseDPDF=Y")</f>
        <v>—</v>
      </c>
      <c r="D15" s="14" t="str">
        <f>_xll.BDH("SRPT US Equity","TOTAL_DEBT_TO_EBIT","FQ1 2019","FQ1 2019","Currency=USD","Period=FQ","BEST_FPERIOD_OVERRIDE=FQ","FILING_STATUS=MR","FA_ADJUSTED=GAAP","Sort=A","Dates=H","DateFormat=P","Fill=—","Direction=H","UseDPDF=Y")</f>
        <v>—</v>
      </c>
      <c r="E15" s="14" t="str">
        <f>_xll.BDH("SRPT US Equity","TOTAL_DEBT_TO_EBIT","FQ2 2019","FQ2 2019","Currency=USD","Period=FQ","BEST_FPERIOD_OVERRIDE=FQ","FILING_STATUS=MR","FA_ADJUSTED=GAAP","Sort=A","Dates=H","DateFormat=P","Fill=—","Direction=H","UseDPDF=Y")</f>
        <v>—</v>
      </c>
      <c r="F15" s="14" t="str">
        <f>_xll.BDH("SRPT US Equity","TOTAL_DEBT_TO_EBIT","FQ3 2019","FQ3 2019","Currency=USD","Period=FQ","BEST_FPERIOD_OVERRIDE=FQ","FILING_STATUS=MR","FA_ADJUSTED=GAAP","Sort=A","Dates=H","DateFormat=P","Fill=—","Direction=H","UseDPDF=Y")</f>
        <v>—</v>
      </c>
      <c r="G15" s="14" t="str">
        <f>_xll.BDH("SRPT US Equity","TOTAL_DEBT_TO_EBIT","FQ4 2019","FQ4 2019","Currency=USD","Period=FQ","BEST_FPERIOD_OVERRIDE=FQ","FILING_STATUS=MR","FA_ADJUSTED=GAAP","Sort=A","Dates=H","DateFormat=P","Fill=—","Direction=H","UseDPDF=Y")</f>
        <v>—</v>
      </c>
      <c r="H15" s="14" t="str">
        <f>_xll.BDH("SRPT US Equity","TOTAL_DEBT_TO_EBIT","FQ1 2020","FQ1 2020","Currency=USD","Period=FQ","BEST_FPERIOD_OVERRIDE=FQ","FILING_STATUS=MR","FA_ADJUSTED=GAAP","Sort=A","Dates=H","DateFormat=P","Fill=—","Direction=H","UseDPDF=Y")</f>
        <v>—</v>
      </c>
      <c r="I15" s="14" t="str">
        <f>_xll.BDH("SRPT US Equity","TOTAL_DEBT_TO_EBIT","FQ2 2020","FQ2 2020","Currency=USD","Period=FQ","BEST_FPERIOD_OVERRIDE=FQ","FILING_STATUS=MR","FA_ADJUSTED=GAAP","Sort=A","Dates=H","DateFormat=P","Fill=—","Direction=H","UseDPDF=Y")</f>
        <v>—</v>
      </c>
      <c r="J15" s="14" t="str">
        <f>_xll.BDH("SRPT US Equity","TOTAL_DEBT_TO_EBIT","FQ3 2020","FQ3 2020","Currency=USD","Period=FQ","BEST_FPERIOD_OVERRIDE=FQ","FILING_STATUS=MR","FA_ADJUSTED=GAAP","Sort=A","Dates=H","DateFormat=P","Fill=—","Direction=H","UseDPDF=Y")</f>
        <v>—</v>
      </c>
      <c r="K15" s="14" t="str">
        <f>_xll.BDH("SRPT US Equity","TOTAL_DEBT_TO_EBIT","FQ4 2020","FQ4 2020","Currency=USD","Period=FQ","BEST_FPERIOD_OVERRIDE=FQ","FILING_STATUS=MR","FA_ADJUSTED=GAAP","Sort=A","Dates=H","DateFormat=P","Fill=—","Direction=H","UseDPDF=Y")</f>
        <v>—</v>
      </c>
      <c r="L15" s="14" t="str">
        <f>_xll.BDH("SRPT US Equity","TOTAL_DEBT_TO_EBIT","FQ1 2021","FQ1 2021","Currency=USD","Period=FQ","BEST_FPERIOD_OVERRIDE=FQ","FILING_STATUS=MR","FA_ADJUSTED=GAAP","Sort=A","Dates=H","DateFormat=P","Fill=—","Direction=H","UseDPDF=Y")</f>
        <v>—</v>
      </c>
      <c r="M15" s="14" t="str">
        <f>_xll.BDH("SRPT US Equity","TOTAL_DEBT_TO_EBIT","FQ2 2021","FQ2 2021","Currency=USD","Period=FQ","BEST_FPERIOD_OVERRIDE=FQ","FILING_STATUS=MR","FA_ADJUSTED=GAAP","Sort=A","Dates=H","DateFormat=P","Fill=—","Direction=H","UseDPDF=Y")</f>
        <v>—</v>
      </c>
      <c r="N15" s="14" t="str">
        <f>_xll.BDH("SRPT US Equity","TOTAL_DEBT_TO_EBIT","FQ3 2021","FQ3 2021","Currency=USD","Period=FQ","BEST_FPERIOD_OVERRIDE=FQ","FILING_STATUS=MR","FA_ADJUSTED=GAAP","Sort=A","Dates=H","DateFormat=P","Fill=—","Direction=H","UseDPDF=Y")</f>
        <v>—</v>
      </c>
      <c r="O15" s="14" t="str">
        <f>_xll.BDH("SRPT US Equity","TOTAL_DEBT_TO_EBIT","FQ4 2021","FQ4 2021","Currency=USD","Period=FQ","BEST_FPERIOD_OVERRIDE=FQ","FILING_STATUS=MR","FA_ADJUSTED=GAAP","Sort=A","Dates=H","DateFormat=P","Fill=—","Direction=H","UseDPDF=Y")</f>
        <v>—</v>
      </c>
      <c r="P15" s="14" t="str">
        <f>_xll.BDH("SRPT US Equity","TOTAL_DEBT_TO_EBIT","FQ1 2022","FQ1 2022","Currency=USD","Period=FQ","BEST_FPERIOD_OVERRIDE=FQ","FILING_STATUS=MR","FA_ADJUSTED=GAAP","Sort=A","Dates=H","DateFormat=P","Fill=—","Direction=H","UseDPDF=Y")</f>
        <v>—</v>
      </c>
      <c r="Q15" s="14" t="str">
        <f>_xll.BDH("SRPT US Equity","TOTAL_DEBT_TO_EBIT","FQ2 2022","FQ2 2022","Currency=USD","Period=FQ","BEST_FPERIOD_OVERRIDE=FQ","FILING_STATUS=MR","FA_ADJUSTED=GAAP","Sort=A","Dates=H","DateFormat=P","Fill=—","Direction=H","UseDPDF=Y")</f>
        <v>—</v>
      </c>
      <c r="R15" s="14" t="str">
        <f>_xll.BDH("SRPT US Equity","TOTAL_DEBT_TO_EBIT","FQ3 2022","FQ3 2022","Currency=USD","Period=FQ","BEST_FPERIOD_OVERRIDE=FQ","FILING_STATUS=MR","FA_ADJUSTED=GAAP","Sort=A","Dates=H","DateFormat=P","Fill=—","Direction=H","UseDPDF=Y")</f>
        <v>—</v>
      </c>
      <c r="S15" s="14" t="str">
        <f>_xll.BDH("SRPT US Equity","TOTAL_DEBT_TO_EBIT","FQ4 2022","FQ4 2022","Currency=USD","Period=FQ","BEST_FPERIOD_OVERRIDE=FQ","FILING_STATUS=MR","FA_ADJUSTED=GAAP","Sort=A","Dates=H","DateFormat=P","Fill=—","Direction=H","UseDPDF=Y")</f>
        <v>—</v>
      </c>
      <c r="T15" s="14" t="str">
        <f>_xll.BDH("SRPT US Equity","TOTAL_DEBT_TO_EBIT","FQ1 2023","FQ1 2023","Currency=USD","Period=FQ","BEST_FPERIOD_OVERRIDE=FQ","FILING_STATUS=MR","FA_ADJUSTED=GAAP","Sort=A","Dates=H","DateFormat=P","Fill=—","Direction=H","UseDPDF=Y")</f>
        <v>—</v>
      </c>
      <c r="U15" s="14" t="str">
        <f>_xll.BDH("SRPT US Equity","TOTAL_DEBT_TO_EBIT","FQ2 2023","FQ2 2023","Currency=USD","Period=FQ","BEST_FPERIOD_OVERRIDE=FQ","FILING_STATUS=MR","FA_ADJUSTED=GAAP","Sort=A","Dates=H","DateFormat=P","Fill=—","Direction=H","UseDPDF=Y")</f>
        <v>—</v>
      </c>
      <c r="V15" s="14" t="str">
        <f>_xll.BDH("SRPT US Equity","TOTAL_DEBT_TO_EBIT","FQ3 2023","FQ3 2023","Currency=USD","Period=FQ","BEST_FPERIOD_OVERRIDE=FQ","FILING_STATUS=MR","FA_ADJUSTED=GAAP","Sort=A","Dates=H","DateFormat=P","Fill=—","Direction=H","UseDPDF=Y")</f>
        <v>—</v>
      </c>
      <c r="W15" s="14" t="str">
        <f>_xll.BDH("SRPT US Equity","TOTAL_DEBT_TO_EBIT","FQ4 2023","FQ4 2023","Currency=USD","Period=FQ","BEST_FPERIOD_OVERRIDE=FQ","FILING_STATUS=MR","FA_ADJUSTED=GAAP","Sort=A","Dates=H","DateFormat=P","Fill=—","Direction=H","UseDPDF=Y")</f>
        <v>—</v>
      </c>
      <c r="X15" s="14" t="str">
        <f>_xll.BDH("SRPT US Equity","TOTAL_DEBT_TO_EBIT","FQ1 2024","FQ1 2024","Currency=USD","Period=FQ","BEST_FPERIOD_OVERRIDE=FQ","FILING_STATUS=MR","FA_ADJUSTED=GAAP","Sort=A","Dates=H","DateFormat=P","Fill=—","Direction=H","UseDPDF=Y")</f>
        <v>—</v>
      </c>
      <c r="Y15" s="14">
        <f>_xll.BDH("SRPT US Equity","TOTAL_DEBT_TO_EBIT","FQ2 2024","FQ2 2024","Currency=USD","Period=FQ","BEST_FPERIOD_OVERRIDE=FQ","FILING_STATUS=MR","FA_ADJUSTED=GAAP","Sort=A","Dates=H","DateFormat=P","Fill=—","Direction=H","UseDPDF=Y")</f>
        <v>36.062800000000003</v>
      </c>
      <c r="Z15" s="14">
        <f>_xll.BDH("SRPT US Equity","TOTAL_DEBT_TO_EBIT","FQ3 2024","FQ3 2024","Currency=USD","Period=FQ","BEST_FPERIOD_OVERRIDE=FQ","FILING_STATUS=MR","FA_ADJUSTED=GAAP","Sort=A","Dates=H","DateFormat=P","Fill=—","Direction=H","UseDPDF=Y")</f>
        <v>17.2486</v>
      </c>
      <c r="AA15" s="14">
        <f>_xll.BDH("SRPT US Equity","TOTAL_DEBT_TO_EBIT","FQ4 2024","FQ4 2024","Currency=USD","Period=FQ","BEST_FPERIOD_OVERRIDE=FQ","FILING_STATUS=MR","FA_ADJUSTED=GAAP","Sort=A","Dates=H","DateFormat=P","Fill=—","Direction=H","UseDPDF=Y")</f>
        <v>6.1585999999999999</v>
      </c>
    </row>
    <row r="16" spans="1:27" x14ac:dyDescent="0.25">
      <c r="A16" s="10" t="s">
        <v>1474</v>
      </c>
      <c r="B16" s="10" t="s">
        <v>1475</v>
      </c>
      <c r="C16" s="14" t="str">
        <f>_xll.BDH("SRPT US Equity","NET_DEBT_TO_EBIT","FQ4 2018","FQ4 2018","Currency=USD","Period=FQ","BEST_FPERIOD_OVERRIDE=FQ","FILING_STATUS=MR","FA_ADJUSTED=GAAP","Sort=A","Dates=H","DateFormat=P","Fill=—","Direction=H","UseDPDF=Y")</f>
        <v>—</v>
      </c>
      <c r="D16" s="14" t="str">
        <f>_xll.BDH("SRPT US Equity","NET_DEBT_TO_EBIT","FQ1 2019","FQ1 2019","Currency=USD","Period=FQ","BEST_FPERIOD_OVERRIDE=FQ","FILING_STATUS=MR","FA_ADJUSTED=GAAP","Sort=A","Dates=H","DateFormat=P","Fill=—","Direction=H","UseDPDF=Y")</f>
        <v>—</v>
      </c>
      <c r="E16" s="14" t="str">
        <f>_xll.BDH("SRPT US Equity","NET_DEBT_TO_EBIT","FQ2 2019","FQ2 2019","Currency=USD","Period=FQ","BEST_FPERIOD_OVERRIDE=FQ","FILING_STATUS=MR","FA_ADJUSTED=GAAP","Sort=A","Dates=H","DateFormat=P","Fill=—","Direction=H","UseDPDF=Y")</f>
        <v>—</v>
      </c>
      <c r="F16" s="14" t="str">
        <f>_xll.BDH("SRPT US Equity","NET_DEBT_TO_EBIT","FQ3 2019","FQ3 2019","Currency=USD","Period=FQ","BEST_FPERIOD_OVERRIDE=FQ","FILING_STATUS=MR","FA_ADJUSTED=GAAP","Sort=A","Dates=H","DateFormat=P","Fill=—","Direction=H","UseDPDF=Y")</f>
        <v>—</v>
      </c>
      <c r="G16" s="14" t="str">
        <f>_xll.BDH("SRPT US Equity","NET_DEBT_TO_EBIT","FQ4 2019","FQ4 2019","Currency=USD","Period=FQ","BEST_FPERIOD_OVERRIDE=FQ","FILING_STATUS=MR","FA_ADJUSTED=GAAP","Sort=A","Dates=H","DateFormat=P","Fill=—","Direction=H","UseDPDF=Y")</f>
        <v>—</v>
      </c>
      <c r="H16" s="14" t="str">
        <f>_xll.BDH("SRPT US Equity","NET_DEBT_TO_EBIT","FQ1 2020","FQ1 2020","Currency=USD","Period=FQ","BEST_FPERIOD_OVERRIDE=FQ","FILING_STATUS=MR","FA_ADJUSTED=GAAP","Sort=A","Dates=H","DateFormat=P","Fill=—","Direction=H","UseDPDF=Y")</f>
        <v>—</v>
      </c>
      <c r="I16" s="14" t="str">
        <f>_xll.BDH("SRPT US Equity","NET_DEBT_TO_EBIT","FQ2 2020","FQ2 2020","Currency=USD","Period=FQ","BEST_FPERIOD_OVERRIDE=FQ","FILING_STATUS=MR","FA_ADJUSTED=GAAP","Sort=A","Dates=H","DateFormat=P","Fill=—","Direction=H","UseDPDF=Y")</f>
        <v>—</v>
      </c>
      <c r="J16" s="14" t="str">
        <f>_xll.BDH("SRPT US Equity","NET_DEBT_TO_EBIT","FQ3 2020","FQ3 2020","Currency=USD","Period=FQ","BEST_FPERIOD_OVERRIDE=FQ","FILING_STATUS=MR","FA_ADJUSTED=GAAP","Sort=A","Dates=H","DateFormat=P","Fill=—","Direction=H","UseDPDF=Y")</f>
        <v>—</v>
      </c>
      <c r="K16" s="14" t="str">
        <f>_xll.BDH("SRPT US Equity","NET_DEBT_TO_EBIT","FQ4 2020","FQ4 2020","Currency=USD","Period=FQ","BEST_FPERIOD_OVERRIDE=FQ","FILING_STATUS=MR","FA_ADJUSTED=GAAP","Sort=A","Dates=H","DateFormat=P","Fill=—","Direction=H","UseDPDF=Y")</f>
        <v>—</v>
      </c>
      <c r="L16" s="14" t="str">
        <f>_xll.BDH("SRPT US Equity","NET_DEBT_TO_EBIT","FQ1 2021","FQ1 2021","Currency=USD","Period=FQ","BEST_FPERIOD_OVERRIDE=FQ","FILING_STATUS=MR","FA_ADJUSTED=GAAP","Sort=A","Dates=H","DateFormat=P","Fill=—","Direction=H","UseDPDF=Y")</f>
        <v>—</v>
      </c>
      <c r="M16" s="14" t="str">
        <f>_xll.BDH("SRPT US Equity","NET_DEBT_TO_EBIT","FQ2 2021","FQ2 2021","Currency=USD","Period=FQ","BEST_FPERIOD_OVERRIDE=FQ","FILING_STATUS=MR","FA_ADJUSTED=GAAP","Sort=A","Dates=H","DateFormat=P","Fill=—","Direction=H","UseDPDF=Y")</f>
        <v>—</v>
      </c>
      <c r="N16" s="14" t="str">
        <f>_xll.BDH("SRPT US Equity","NET_DEBT_TO_EBIT","FQ3 2021","FQ3 2021","Currency=USD","Period=FQ","BEST_FPERIOD_OVERRIDE=FQ","FILING_STATUS=MR","FA_ADJUSTED=GAAP","Sort=A","Dates=H","DateFormat=P","Fill=—","Direction=H","UseDPDF=Y")</f>
        <v>—</v>
      </c>
      <c r="O16" s="14" t="str">
        <f>_xll.BDH("SRPT US Equity","NET_DEBT_TO_EBIT","FQ4 2021","FQ4 2021","Currency=USD","Period=FQ","BEST_FPERIOD_OVERRIDE=FQ","FILING_STATUS=MR","FA_ADJUSTED=GAAP","Sort=A","Dates=H","DateFormat=P","Fill=—","Direction=H","UseDPDF=Y")</f>
        <v>—</v>
      </c>
      <c r="P16" s="14" t="str">
        <f>_xll.BDH("SRPT US Equity","NET_DEBT_TO_EBIT","FQ1 2022","FQ1 2022","Currency=USD","Period=FQ","BEST_FPERIOD_OVERRIDE=FQ","FILING_STATUS=MR","FA_ADJUSTED=GAAP","Sort=A","Dates=H","DateFormat=P","Fill=—","Direction=H","UseDPDF=Y")</f>
        <v>—</v>
      </c>
      <c r="Q16" s="14" t="str">
        <f>_xll.BDH("SRPT US Equity","NET_DEBT_TO_EBIT","FQ2 2022","FQ2 2022","Currency=USD","Period=FQ","BEST_FPERIOD_OVERRIDE=FQ","FILING_STATUS=MR","FA_ADJUSTED=GAAP","Sort=A","Dates=H","DateFormat=P","Fill=—","Direction=H","UseDPDF=Y")</f>
        <v>—</v>
      </c>
      <c r="R16" s="14" t="str">
        <f>_xll.BDH("SRPT US Equity","NET_DEBT_TO_EBIT","FQ3 2022","FQ3 2022","Currency=USD","Period=FQ","BEST_FPERIOD_OVERRIDE=FQ","FILING_STATUS=MR","FA_ADJUSTED=GAAP","Sort=A","Dates=H","DateFormat=P","Fill=—","Direction=H","UseDPDF=Y")</f>
        <v>—</v>
      </c>
      <c r="S16" s="14" t="str">
        <f>_xll.BDH("SRPT US Equity","NET_DEBT_TO_EBIT","FQ4 2022","FQ4 2022","Currency=USD","Period=FQ","BEST_FPERIOD_OVERRIDE=FQ","FILING_STATUS=MR","FA_ADJUSTED=GAAP","Sort=A","Dates=H","DateFormat=P","Fill=—","Direction=H","UseDPDF=Y")</f>
        <v>—</v>
      </c>
      <c r="T16" s="14" t="str">
        <f>_xll.BDH("SRPT US Equity","NET_DEBT_TO_EBIT","FQ1 2023","FQ1 2023","Currency=USD","Period=FQ","BEST_FPERIOD_OVERRIDE=FQ","FILING_STATUS=MR","FA_ADJUSTED=GAAP","Sort=A","Dates=H","DateFormat=P","Fill=—","Direction=H","UseDPDF=Y")</f>
        <v>—</v>
      </c>
      <c r="U16" s="14" t="str">
        <f>_xll.BDH("SRPT US Equity","NET_DEBT_TO_EBIT","FQ2 2023","FQ2 2023","Currency=USD","Period=FQ","BEST_FPERIOD_OVERRIDE=FQ","FILING_STATUS=MR","FA_ADJUSTED=GAAP","Sort=A","Dates=H","DateFormat=P","Fill=—","Direction=H","UseDPDF=Y")</f>
        <v>—</v>
      </c>
      <c r="V16" s="14" t="str">
        <f>_xll.BDH("SRPT US Equity","NET_DEBT_TO_EBIT","FQ3 2023","FQ3 2023","Currency=USD","Period=FQ","BEST_FPERIOD_OVERRIDE=FQ","FILING_STATUS=MR","FA_ADJUSTED=GAAP","Sort=A","Dates=H","DateFormat=P","Fill=—","Direction=H","UseDPDF=Y")</f>
        <v>—</v>
      </c>
      <c r="W16" s="14" t="str">
        <f>_xll.BDH("SRPT US Equity","NET_DEBT_TO_EBIT","FQ4 2023","FQ4 2023","Currency=USD","Period=FQ","BEST_FPERIOD_OVERRIDE=FQ","FILING_STATUS=MR","FA_ADJUSTED=GAAP","Sort=A","Dates=H","DateFormat=P","Fill=—","Direction=H","UseDPDF=Y")</f>
        <v>—</v>
      </c>
      <c r="X16" s="14" t="str">
        <f>_xll.BDH("SRPT US Equity","NET_DEBT_TO_EBIT","FQ1 2024","FQ1 2024","Currency=USD","Period=FQ","BEST_FPERIOD_OVERRIDE=FQ","FILING_STATUS=MR","FA_ADJUSTED=GAAP","Sort=A","Dates=H","DateFormat=P","Fill=—","Direction=H","UseDPDF=Y")</f>
        <v>—</v>
      </c>
      <c r="Y16" s="14">
        <f>_xll.BDH("SRPT US Equity","NET_DEBT_TO_EBIT","FQ2 2024","FQ2 2024","Currency=USD","Period=FQ","BEST_FPERIOD_OVERRIDE=FQ","FILING_STATUS=MR","FA_ADJUSTED=GAAP","Sort=A","Dates=H","DateFormat=P","Fill=—","Direction=H","UseDPDF=Y")</f>
        <v>-2.794</v>
      </c>
      <c r="Z16" s="14">
        <f>_xll.BDH("SRPT US Equity","NET_DEBT_TO_EBIT","FQ3 2024","FQ3 2024","Currency=USD","Period=FQ","BEST_FPERIOD_OVERRIDE=FQ","FILING_STATUS=MR","FA_ADJUSTED=GAAP","Sort=A","Dates=H","DateFormat=P","Fill=—","Direction=H","UseDPDF=Y")</f>
        <v>2.4</v>
      </c>
      <c r="AA16" s="14">
        <f>_xll.BDH("SRPT US Equity","NET_DEBT_TO_EBIT","FQ4 2024","FQ4 2024","Currency=USD","Period=FQ","BEST_FPERIOD_OVERRIDE=FQ","FILING_STATUS=MR","FA_ADJUSTED=GAAP","Sort=A","Dates=H","DateFormat=P","Fill=—","Direction=H","UseDPDF=Y")</f>
        <v>-7.0800000000000002E-2</v>
      </c>
    </row>
    <row r="17" spans="1:27" x14ac:dyDescent="0.25">
      <c r="A17" s="10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5">
      <c r="A18" s="10" t="s">
        <v>1476</v>
      </c>
      <c r="B18" s="10" t="s">
        <v>1477</v>
      </c>
      <c r="C18" s="14" t="str">
        <f>_xll.BDH("SRPT US Equity","EBITDA_TO_INTEREST_EXPN","FQ4 2018","FQ4 2018","Currency=USD","Period=FQ","BEST_FPERIOD_OVERRIDE=FQ","FILING_STATUS=MR","FA_ADJUSTED=GAAP","Sort=A","Dates=H","DateFormat=P","Fill=—","Direction=H","UseDPDF=Y")</f>
        <v>—</v>
      </c>
      <c r="D18" s="14" t="str">
        <f>_xll.BDH("SRPT US Equity","EBITDA_TO_INTEREST_EXPN","FQ1 2019","FQ1 2019","Currency=USD","Period=FQ","BEST_FPERIOD_OVERRIDE=FQ","FILING_STATUS=MR","FA_ADJUSTED=GAAP","Sort=A","Dates=H","DateFormat=P","Fill=—","Direction=H","UseDPDF=Y")</f>
        <v>—</v>
      </c>
      <c r="E18" s="14" t="str">
        <f>_xll.BDH("SRPT US Equity","EBITDA_TO_INTEREST_EXPN","FQ2 2019","FQ2 2019","Currency=USD","Period=FQ","BEST_FPERIOD_OVERRIDE=FQ","FILING_STATUS=MR","FA_ADJUSTED=GAAP","Sort=A","Dates=H","DateFormat=P","Fill=—","Direction=H","UseDPDF=Y")</f>
        <v>—</v>
      </c>
      <c r="F18" s="14">
        <f>_xll.BDH("SRPT US Equity","EBITDA_TO_INTEREST_EXPN","FQ3 2019","FQ3 2019","Currency=USD","Period=FQ","BEST_FPERIOD_OVERRIDE=FQ","FILING_STATUS=MR","FA_ADJUSTED=GAAP","Sort=A","Dates=H","DateFormat=P","Fill=—","Direction=H","UseDPDF=Y")</f>
        <v>-32.8688</v>
      </c>
      <c r="G18" s="14">
        <f>_xll.BDH("SRPT US Equity","EBITDA_TO_INTEREST_EXPN","FQ4 2019","FQ4 2019","Currency=USD","Period=FQ","BEST_FPERIOD_OVERRIDE=FQ","FILING_STATUS=MR","FA_ADJUSTED=GAAP","Sort=A","Dates=H","DateFormat=P","Fill=—","Direction=H","UseDPDF=Y")</f>
        <v>-36.315100000000001</v>
      </c>
      <c r="H18" s="14">
        <f>_xll.BDH("SRPT US Equity","EBITDA_TO_INTEREST_EXPN","FQ1 2020","FQ1 2020","Currency=USD","Period=FQ","BEST_FPERIOD_OVERRIDE=FQ","FILING_STATUS=MR","FA_ADJUSTED=GAAP","Sort=A","Dates=H","DateFormat=P","Fill=—","Direction=H","UseDPDF=Y")</f>
        <v>-10.3931</v>
      </c>
      <c r="I18" s="14">
        <f>_xll.BDH("SRPT US Equity","EBITDA_TO_INTEREST_EXPN","FQ2 2020","FQ2 2020","Currency=USD","Period=FQ","BEST_FPERIOD_OVERRIDE=FQ","FILING_STATUS=MR","FA_ADJUSTED=GAAP","Sort=A","Dates=H","DateFormat=P","Fill=—","Direction=H","UseDPDF=Y")</f>
        <v>-10.215400000000001</v>
      </c>
      <c r="J18" s="14">
        <f>_xll.BDH("SRPT US Equity","EBITDA_TO_INTEREST_EXPN","FQ3 2020","FQ3 2020","Currency=USD","Period=FQ","BEST_FPERIOD_OVERRIDE=FQ","FILING_STATUS=MR","FA_ADJUSTED=GAAP","Sort=A","Dates=H","DateFormat=P","Fill=—","Direction=H","UseDPDF=Y")</f>
        <v>-9.4466999999999999</v>
      </c>
      <c r="K18" s="14">
        <f>_xll.BDH("SRPT US Equity","EBITDA_TO_INTEREST_EXPN","FQ4 2020","FQ4 2020","Currency=USD","Period=FQ","BEST_FPERIOD_OVERRIDE=FQ","FILING_STATUS=MR","FA_ADJUSTED=GAAP","Sort=A","Dates=H","DateFormat=P","Fill=—","Direction=H","UseDPDF=Y")</f>
        <v>-8.0709999999999997</v>
      </c>
      <c r="L18" s="14">
        <f>_xll.BDH("SRPT US Equity","EBITDA_TO_INTEREST_EXPN","FQ1 2021","FQ1 2021","Currency=USD","Period=FQ","BEST_FPERIOD_OVERRIDE=FQ","FILING_STATUS=MR","FA_ADJUSTED=GAAP","Sort=A","Dates=H","DateFormat=P","Fill=—","Direction=H","UseDPDF=Y")</f>
        <v>-9.2126999999999999</v>
      </c>
      <c r="M18" s="14">
        <f>_xll.BDH("SRPT US Equity","EBITDA_TO_INTEREST_EXPN","FQ2 2021","FQ2 2021","Currency=USD","Period=FQ","BEST_FPERIOD_OVERRIDE=FQ","FILING_STATUS=MR","FA_ADJUSTED=GAAP","Sort=A","Dates=H","DateFormat=P","Fill=—","Direction=H","UseDPDF=Y")</f>
        <v>-10.065</v>
      </c>
      <c r="N18" s="14">
        <f>_xll.BDH("SRPT US Equity","EBITDA_TO_INTEREST_EXPN","FQ3 2021","FQ3 2021","Currency=USD","Period=FQ","BEST_FPERIOD_OVERRIDE=FQ","FILING_STATUS=MR","FA_ADJUSTED=GAAP","Sort=A","Dates=H","DateFormat=P","Fill=—","Direction=H","UseDPDF=Y")</f>
        <v>-1.4982</v>
      </c>
      <c r="O18" s="14">
        <f>_xll.BDH("SRPT US Equity","EBITDA_TO_INTEREST_EXPN","FQ4 2021","FQ4 2021","Currency=USD","Period=FQ","BEST_FPERIOD_OVERRIDE=FQ","FILING_STATUS=MR","FA_ADJUSTED=GAAP","Sort=A","Dates=H","DateFormat=P","Fill=—","Direction=H","UseDPDF=Y")</f>
        <v>-5.9614000000000003</v>
      </c>
      <c r="P18" s="14">
        <f>_xll.BDH("SRPT US Equity","EBITDA_TO_INTEREST_EXPN","FQ1 2022","FQ1 2022","Currency=USD","Period=FQ","BEST_FPERIOD_OVERRIDE=FQ","FILING_STATUS=MR","FA_ADJUSTED=GAAP","Sort=A","Dates=H","DateFormat=P","Fill=—","Direction=H","UseDPDF=Y")</f>
        <v>-4.8216000000000001</v>
      </c>
      <c r="Q18" s="14">
        <f>_xll.BDH("SRPT US Equity","EBITDA_TO_INTEREST_EXPN","FQ2 2022","FQ2 2022","Currency=USD","Period=FQ","BEST_FPERIOD_OVERRIDE=FQ","FILING_STATUS=MR","FA_ADJUSTED=GAAP","Sort=A","Dates=H","DateFormat=P","Fill=—","Direction=H","UseDPDF=Y")</f>
        <v>-13.6928</v>
      </c>
      <c r="R18" s="14">
        <f>_xll.BDH("SRPT US Equity","EBITDA_TO_INTEREST_EXPN","FQ3 2022","FQ3 2022","Currency=USD","Period=FQ","BEST_FPERIOD_OVERRIDE=FQ","FILING_STATUS=MR","FA_ADJUSTED=GAAP","Sort=A","Dates=H","DateFormat=P","Fill=—","Direction=H","UseDPDF=Y")</f>
        <v>-10.6762</v>
      </c>
      <c r="S18" s="14">
        <f>_xll.BDH("SRPT US Equity","EBITDA_TO_INTEREST_EXPN","FQ4 2022","FQ4 2022","Currency=USD","Period=FQ","BEST_FPERIOD_OVERRIDE=FQ","FILING_STATUS=MR","FA_ADJUSTED=GAAP","Sort=A","Dates=H","DateFormat=P","Fill=—","Direction=H","UseDPDF=Y")</f>
        <v>-368.88889999999998</v>
      </c>
      <c r="T18" s="14">
        <f>_xll.BDH("SRPT US Equity","EBITDA_TO_INTEREST_EXPN","FQ1 2023","FQ1 2023","Currency=USD","Period=FQ","BEST_FPERIOD_OVERRIDE=FQ","FILING_STATUS=MR","FA_ADJUSTED=GAAP","Sort=A","Dates=H","DateFormat=P","Fill=—","Direction=H","UseDPDF=Y")</f>
        <v>-20.051100000000002</v>
      </c>
      <c r="U18" s="14">
        <f>_xll.BDH("SRPT US Equity","EBITDA_TO_INTEREST_EXPN","FQ2 2023","FQ2 2023","Currency=USD","Period=FQ","BEST_FPERIOD_OVERRIDE=FQ","FILING_STATUS=MR","FA_ADJUSTED=GAAP","Sort=A","Dates=H","DateFormat=P","Fill=—","Direction=H","UseDPDF=Y")</f>
        <v>-23.492899999999999</v>
      </c>
      <c r="V18" s="14">
        <f>_xll.BDH("SRPT US Equity","EBITDA_TO_INTEREST_EXPN","FQ3 2023","FQ3 2023","Currency=USD","Period=FQ","BEST_FPERIOD_OVERRIDE=FQ","FILING_STATUS=MR","FA_ADJUSTED=GAAP","Sort=A","Dates=H","DateFormat=P","Fill=—","Direction=H","UseDPDF=Y")</f>
        <v>-1.8959999999999999</v>
      </c>
      <c r="W18" s="14">
        <f>_xll.BDH("SRPT US Equity","EBITDA_TO_INTEREST_EXPN","FQ4 2023","FQ4 2023","Currency=USD","Period=FQ","BEST_FPERIOD_OVERRIDE=FQ","FILING_STATUS=MR","FA_ADJUSTED=GAAP","Sort=A","Dates=H","DateFormat=P","Fill=—","Direction=H","UseDPDF=Y")</f>
        <v>6.8775000000000004</v>
      </c>
      <c r="X18" s="14">
        <f>_xll.BDH("SRPT US Equity","EBITDA_TO_INTEREST_EXPN","FQ1 2024","FQ1 2024","Currency=USD","Period=FQ","BEST_FPERIOD_OVERRIDE=FQ","FILING_STATUS=MR","FA_ADJUSTED=GAAP","Sort=A","Dates=H","DateFormat=P","Fill=—","Direction=H","UseDPDF=Y")</f>
        <v>10.477399999999999</v>
      </c>
      <c r="Y18" s="14">
        <f>_xll.BDH("SRPT US Equity","EBITDA_TO_INTEREST_EXPN","FQ2 2024","FQ2 2024","Currency=USD","Period=FQ","BEST_FPERIOD_OVERRIDE=FQ","FILING_STATUS=MR","FA_ADJUSTED=GAAP","Sort=A","Dates=H","DateFormat=P","Fill=—","Direction=H","UseDPDF=Y")</f>
        <v>1.6594</v>
      </c>
      <c r="Z18" s="14">
        <f>_xll.BDH("SRPT US Equity","EBITDA_TO_INTEREST_EXPN","FQ3 2024","FQ3 2024","Currency=USD","Period=FQ","BEST_FPERIOD_OVERRIDE=FQ","FILING_STATUS=MR","FA_ADJUSTED=GAAP","Sort=A","Dates=H","DateFormat=P","Fill=—","Direction=H","UseDPDF=Y")</f>
        <v>6.5071000000000003</v>
      </c>
      <c r="AA18" s="14">
        <f>_xll.BDH("SRPT US Equity","EBITDA_TO_INTEREST_EXPN","FQ4 2024","FQ4 2024","Currency=USD","Period=FQ","BEST_FPERIOD_OVERRIDE=FQ","FILING_STATUS=MR","FA_ADJUSTED=GAAP","Sort=A","Dates=H","DateFormat=P","Fill=—","Direction=H","UseDPDF=Y")</f>
        <v>38.466099999999997</v>
      </c>
    </row>
    <row r="19" spans="1:27" x14ac:dyDescent="0.25">
      <c r="A19" s="10" t="s">
        <v>1478</v>
      </c>
      <c r="B19" s="10" t="s">
        <v>1479</v>
      </c>
      <c r="C19" s="14" t="str">
        <f>_xll.BDH("SRPT US Equity","EBITDA_LES_CAP_EXPEND_TO_INT_EXP","FQ4 2018","FQ4 2018","Currency=USD","Period=FQ","BEST_FPERIOD_OVERRIDE=FQ","FILING_STATUS=MR","FA_ADJUSTED=GAAP","Sort=A","Dates=H","DateFormat=P","Fill=—","Direction=H","UseDPDF=Y")</f>
        <v>—</v>
      </c>
      <c r="D19" s="14" t="str">
        <f>_xll.BDH("SRPT US Equity","EBITDA_LES_CAP_EXPEND_TO_INT_EXP","FQ1 2019","FQ1 2019","Currency=USD","Period=FQ","BEST_FPERIOD_OVERRIDE=FQ","FILING_STATUS=MR","FA_ADJUSTED=GAAP","Sort=A","Dates=H","DateFormat=P","Fill=—","Direction=H","UseDPDF=Y")</f>
        <v>—</v>
      </c>
      <c r="E19" s="14" t="str">
        <f>_xll.BDH("SRPT US Equity","EBITDA_LES_CAP_EXPEND_TO_INT_EXP","FQ2 2019","FQ2 2019","Currency=USD","Period=FQ","BEST_FPERIOD_OVERRIDE=FQ","FILING_STATUS=MR","FA_ADJUSTED=GAAP","Sort=A","Dates=H","DateFormat=P","Fill=—","Direction=H","UseDPDF=Y")</f>
        <v>—</v>
      </c>
      <c r="F19" s="14">
        <f>_xll.BDH("SRPT US Equity","EBITDA_LES_CAP_EXPEND_TO_INT_EXP","FQ3 2019","FQ3 2019","Currency=USD","Period=FQ","BEST_FPERIOD_OVERRIDE=FQ","FILING_STATUS=MR","FA_ADJUSTED=GAAP","Sort=A","Dates=H","DateFormat=P","Fill=—","Direction=H","UseDPDF=Y")</f>
        <v>-35.618499999999997</v>
      </c>
      <c r="G19" s="14">
        <f>_xll.BDH("SRPT US Equity","EBITDA_LES_CAP_EXPEND_TO_INT_EXP","FQ4 2019","FQ4 2019","Currency=USD","Period=FQ","BEST_FPERIOD_OVERRIDE=FQ","FILING_STATUS=MR","FA_ADJUSTED=GAAP","Sort=A","Dates=H","DateFormat=P","Fill=—","Direction=H","UseDPDF=Y")</f>
        <v>-39.171300000000002</v>
      </c>
      <c r="H19" s="14">
        <f>_xll.BDH("SRPT US Equity","EBITDA_LES_CAP_EXPEND_TO_INT_EXP","FQ1 2020","FQ1 2020","Currency=USD","Period=FQ","BEST_FPERIOD_OVERRIDE=FQ","FILING_STATUS=MR","FA_ADJUSTED=GAAP","Sort=A","Dates=H","DateFormat=P","Fill=—","Direction=H","UseDPDF=Y")</f>
        <v>-11.2494</v>
      </c>
      <c r="I19" s="14">
        <f>_xll.BDH("SRPT US Equity","EBITDA_LES_CAP_EXPEND_TO_INT_EXP","FQ2 2020","FQ2 2020","Currency=USD","Period=FQ","BEST_FPERIOD_OVERRIDE=FQ","FILING_STATUS=MR","FA_ADJUSTED=GAAP","Sort=A","Dates=H","DateFormat=P","Fill=—","Direction=H","UseDPDF=Y")</f>
        <v>-11.723100000000001</v>
      </c>
      <c r="J19" s="14">
        <f>_xll.BDH("SRPT US Equity","EBITDA_LES_CAP_EXPEND_TO_INT_EXP","FQ3 2020","FQ3 2020","Currency=USD","Period=FQ","BEST_FPERIOD_OVERRIDE=FQ","FILING_STATUS=MR","FA_ADJUSTED=GAAP","Sort=A","Dates=H","DateFormat=P","Fill=—","Direction=H","UseDPDF=Y")</f>
        <v>-11.310499999999999</v>
      </c>
      <c r="K19" s="14">
        <f>_xll.BDH("SRPT US Equity","EBITDA_LES_CAP_EXPEND_TO_INT_EXP","FQ4 2020","FQ4 2020","Currency=USD","Period=FQ","BEST_FPERIOD_OVERRIDE=FQ","FILING_STATUS=MR","FA_ADJUSTED=GAAP","Sort=A","Dates=H","DateFormat=P","Fill=—","Direction=H","UseDPDF=Y")</f>
        <v>-9.4757999999999996</v>
      </c>
      <c r="L19" s="14">
        <f>_xll.BDH("SRPT US Equity","EBITDA_LES_CAP_EXPEND_TO_INT_EXP","FQ1 2021","FQ1 2021","Currency=USD","Period=FQ","BEST_FPERIOD_OVERRIDE=FQ","FILING_STATUS=MR","FA_ADJUSTED=GAAP","Sort=A","Dates=H","DateFormat=P","Fill=—","Direction=H","UseDPDF=Y")</f>
        <v>-10.575799999999999</v>
      </c>
      <c r="M19" s="14">
        <f>_xll.BDH("SRPT US Equity","EBITDA_LES_CAP_EXPEND_TO_INT_EXP","FQ2 2021","FQ2 2021","Currency=USD","Period=FQ","BEST_FPERIOD_OVERRIDE=FQ","FILING_STATUS=MR","FA_ADJUSTED=GAAP","Sort=A","Dates=H","DateFormat=P","Fill=—","Direction=H","UseDPDF=Y")</f>
        <v>-10.437799999999999</v>
      </c>
      <c r="N19" s="14">
        <f>_xll.BDH("SRPT US Equity","EBITDA_LES_CAP_EXPEND_TO_INT_EXP","FQ3 2021","FQ3 2021","Currency=USD","Period=FQ","BEST_FPERIOD_OVERRIDE=FQ","FILING_STATUS=MR","FA_ADJUSTED=GAAP","Sort=A","Dates=H","DateFormat=P","Fill=—","Direction=H","UseDPDF=Y")</f>
        <v>-2.0758999999999999</v>
      </c>
      <c r="O19" s="14">
        <f>_xll.BDH("SRPT US Equity","EBITDA_LES_CAP_EXPEND_TO_INT_EXP","FQ4 2021","FQ4 2021","Currency=USD","Period=FQ","BEST_FPERIOD_OVERRIDE=FQ","FILING_STATUS=MR","FA_ADJUSTED=GAAP","Sort=A","Dates=H","DateFormat=P","Fill=—","Direction=H","UseDPDF=Y")</f>
        <v>-6.0987999999999998</v>
      </c>
      <c r="P19" s="14">
        <f>_xll.BDH("SRPT US Equity","EBITDA_LES_CAP_EXPEND_TO_INT_EXP","FQ1 2022","FQ1 2022","Currency=USD","Period=FQ","BEST_FPERIOD_OVERRIDE=FQ","FILING_STATUS=MR","FA_ADJUSTED=GAAP","Sort=A","Dates=H","DateFormat=P","Fill=—","Direction=H","UseDPDF=Y")</f>
        <v>-5.173</v>
      </c>
      <c r="Q19" s="14">
        <f>_xll.BDH("SRPT US Equity","EBITDA_LES_CAP_EXPEND_TO_INT_EXP","FQ2 2022","FQ2 2022","Currency=USD","Period=FQ","BEST_FPERIOD_OVERRIDE=FQ","FILING_STATUS=MR","FA_ADJUSTED=GAAP","Sort=A","Dates=H","DateFormat=P","Fill=—","Direction=H","UseDPDF=Y")</f>
        <v>-14.310499999999999</v>
      </c>
      <c r="R19" s="14">
        <f>_xll.BDH("SRPT US Equity","EBITDA_LES_CAP_EXPEND_TO_INT_EXP","FQ3 2022","FQ3 2022","Currency=USD","Period=FQ","BEST_FPERIOD_OVERRIDE=FQ","FILING_STATUS=MR","FA_ADJUSTED=GAAP","Sort=A","Dates=H","DateFormat=P","Fill=—","Direction=H","UseDPDF=Y")</f>
        <v>-11.4046</v>
      </c>
      <c r="S19" s="14">
        <f>_xll.BDH("SRPT US Equity","EBITDA_LES_CAP_EXPEND_TO_INT_EXP","FQ4 2022","FQ4 2022","Currency=USD","Period=FQ","BEST_FPERIOD_OVERRIDE=FQ","FILING_STATUS=MR","FA_ADJUSTED=GAAP","Sort=A","Dates=H","DateFormat=P","Fill=—","Direction=H","UseDPDF=Y")</f>
        <v>-394.7088</v>
      </c>
      <c r="T19" s="14">
        <f>_xll.BDH("SRPT US Equity","EBITDA_LES_CAP_EXPEND_TO_INT_EXP","FQ1 2023","FQ1 2023","Currency=USD","Period=FQ","BEST_FPERIOD_OVERRIDE=FQ","FILING_STATUS=MR","FA_ADJUSTED=GAAP","Sort=A","Dates=H","DateFormat=P","Fill=—","Direction=H","UseDPDF=Y")</f>
        <v>-21.551200000000001</v>
      </c>
      <c r="U19" s="14">
        <f>_xll.BDH("SRPT US Equity","EBITDA_LES_CAP_EXPEND_TO_INT_EXP","FQ2 2023","FQ2 2023","Currency=USD","Period=FQ","BEST_FPERIOD_OVERRIDE=FQ","FILING_STATUS=MR","FA_ADJUSTED=GAAP","Sort=A","Dates=H","DateFormat=P","Fill=—","Direction=H","UseDPDF=Y")</f>
        <v>-26.921099999999999</v>
      </c>
      <c r="V19" s="14">
        <f>_xll.BDH("SRPT US Equity","EBITDA_LES_CAP_EXPEND_TO_INT_EXP","FQ3 2023","FQ3 2023","Currency=USD","Period=FQ","BEST_FPERIOD_OVERRIDE=FQ","FILING_STATUS=MR","FA_ADJUSTED=GAAP","Sort=A","Dates=H","DateFormat=P","Fill=—","Direction=H","UseDPDF=Y")</f>
        <v>-7.5707000000000004</v>
      </c>
      <c r="W19" s="14">
        <f>_xll.BDH("SRPT US Equity","EBITDA_LES_CAP_EXPEND_TO_INT_EXP","FQ4 2023","FQ4 2023","Currency=USD","Period=FQ","BEST_FPERIOD_OVERRIDE=FQ","FILING_STATUS=MR","FA_ADJUSTED=GAAP","Sort=A","Dates=H","DateFormat=P","Fill=—","Direction=H","UseDPDF=Y")</f>
        <v>3.24</v>
      </c>
      <c r="X19" s="14">
        <f>_xll.BDH("SRPT US Equity","EBITDA_LES_CAP_EXPEND_TO_INT_EXP","FQ1 2024","FQ1 2024","Currency=USD","Period=FQ","BEST_FPERIOD_OVERRIDE=FQ","FILING_STATUS=MR","FA_ADJUSTED=GAAP","Sort=A","Dates=H","DateFormat=P","Fill=—","Direction=H","UseDPDF=Y")</f>
        <v>2.6896</v>
      </c>
      <c r="Y19" s="14">
        <f>_xll.BDH("SRPT US Equity","EBITDA_LES_CAP_EXPEND_TO_INT_EXP","FQ2 2024","FQ2 2024","Currency=USD","Period=FQ","BEST_FPERIOD_OVERRIDE=FQ","FILING_STATUS=MR","FA_ADJUSTED=GAAP","Sort=A","Dates=H","DateFormat=P","Fill=—","Direction=H","UseDPDF=Y")</f>
        <v>-4.3769</v>
      </c>
      <c r="Z19" s="14">
        <f>_xll.BDH("SRPT US Equity","EBITDA_LES_CAP_EXPEND_TO_INT_EXP","FQ3 2024","FQ3 2024","Currency=USD","Period=FQ","BEST_FPERIOD_OVERRIDE=FQ","FILING_STATUS=MR","FA_ADJUSTED=GAAP","Sort=A","Dates=H","DateFormat=P","Fill=—","Direction=H","UseDPDF=Y")</f>
        <v>-1.0697000000000001</v>
      </c>
      <c r="AA19" s="14">
        <f>_xll.BDH("SRPT US Equity","EBITDA_LES_CAP_EXPEND_TO_INT_EXP","FQ4 2024","FQ4 2024","Currency=USD","Period=FQ","BEST_FPERIOD_OVERRIDE=FQ","FILING_STATUS=MR","FA_ADJUSTED=GAAP","Sort=A","Dates=H","DateFormat=P","Fill=—","Direction=H","UseDPDF=Y")</f>
        <v>29.956199999999999</v>
      </c>
    </row>
    <row r="20" spans="1:27" x14ac:dyDescent="0.25">
      <c r="A20" s="10" t="s">
        <v>1480</v>
      </c>
      <c r="B20" s="10" t="s">
        <v>1481</v>
      </c>
      <c r="C20" s="14" t="str">
        <f>_xll.BDH("SRPT US Equity","OPER_INC_TO_INT_EXP","FQ4 2018","FQ4 2018","Currency=USD","Period=FQ","BEST_FPERIOD_OVERRIDE=FQ","FILING_STATUS=MR","FA_ADJUSTED=GAAP","Sort=A","Dates=H","DateFormat=P","Fill=—","Direction=H","UseDPDF=Y")</f>
        <v>—</v>
      </c>
      <c r="D20" s="14" t="str">
        <f>_xll.BDH("SRPT US Equity","OPER_INC_TO_INT_EXP","FQ1 2019","FQ1 2019","Currency=USD","Period=FQ","BEST_FPERIOD_OVERRIDE=FQ","FILING_STATUS=MR","FA_ADJUSTED=GAAP","Sort=A","Dates=H","DateFormat=P","Fill=—","Direction=H","UseDPDF=Y")</f>
        <v>—</v>
      </c>
      <c r="E20" s="14" t="str">
        <f>_xll.BDH("SRPT US Equity","OPER_INC_TO_INT_EXP","FQ2 2019","FQ2 2019","Currency=USD","Period=FQ","BEST_FPERIOD_OVERRIDE=FQ","FILING_STATUS=MR","FA_ADJUSTED=GAAP","Sort=A","Dates=H","DateFormat=P","Fill=—","Direction=H","UseDPDF=Y")</f>
        <v>—</v>
      </c>
      <c r="F20" s="14">
        <f>_xll.BDH("SRPT US Equity","OPER_INC_TO_INT_EXP","FQ3 2019","FQ3 2019","Currency=USD","Period=FQ","BEST_FPERIOD_OVERRIDE=FQ","FILING_STATUS=MR","FA_ADJUSTED=GAAP","Sort=A","Dates=H","DateFormat=P","Fill=—","Direction=H","UseDPDF=Y")</f>
        <v>-36.0426</v>
      </c>
      <c r="G20" s="14">
        <f>_xll.BDH("SRPT US Equity","OPER_INC_TO_INT_EXP","FQ4 2019","FQ4 2019","Currency=USD","Period=FQ","BEST_FPERIOD_OVERRIDE=FQ","FILING_STATUS=MR","FA_ADJUSTED=GAAP","Sort=A","Dates=H","DateFormat=P","Fill=—","Direction=H","UseDPDF=Y")</f>
        <v>-38.103099999999998</v>
      </c>
      <c r="H20" s="14">
        <f>_xll.BDH("SRPT US Equity","OPER_INC_TO_INT_EXP","FQ1 2020","FQ1 2020","Currency=USD","Period=FQ","BEST_FPERIOD_OVERRIDE=FQ","FILING_STATUS=MR","FA_ADJUSTED=GAAP","Sort=A","Dates=H","DateFormat=P","Fill=—","Direction=H","UseDPDF=Y")</f>
        <v>-11.081200000000001</v>
      </c>
      <c r="I20" s="14">
        <f>_xll.BDH("SRPT US Equity","OPER_INC_TO_INT_EXP","FQ2 2020","FQ2 2020","Currency=USD","Period=FQ","BEST_FPERIOD_OVERRIDE=FQ","FILING_STATUS=MR","FA_ADJUSTED=GAAP","Sort=A","Dates=H","DateFormat=P","Fill=—","Direction=H","UseDPDF=Y")</f>
        <v>-10.8819</v>
      </c>
      <c r="J20" s="14">
        <f>_xll.BDH("SRPT US Equity","OPER_INC_TO_INT_EXP","FQ3 2020","FQ3 2020","Currency=USD","Period=FQ","BEST_FPERIOD_OVERRIDE=FQ","FILING_STATUS=MR","FA_ADJUSTED=GAAP","Sort=A","Dates=H","DateFormat=P","Fill=—","Direction=H","UseDPDF=Y")</f>
        <v>-10.096299999999999</v>
      </c>
      <c r="K20" s="14">
        <f>_xll.BDH("SRPT US Equity","OPER_INC_TO_INT_EXP","FQ4 2020","FQ4 2020","Currency=USD","Period=FQ","BEST_FPERIOD_OVERRIDE=FQ","FILING_STATUS=MR","FA_ADJUSTED=GAAP","Sort=A","Dates=H","DateFormat=P","Fill=—","Direction=H","UseDPDF=Y")</f>
        <v>-9.2194000000000003</v>
      </c>
      <c r="L20" s="14">
        <f>_xll.BDH("SRPT US Equity","OPER_INC_TO_INT_EXP","FQ1 2021","FQ1 2021","Currency=USD","Period=FQ","BEST_FPERIOD_OVERRIDE=FQ","FILING_STATUS=MR","FA_ADJUSTED=GAAP","Sort=A","Dates=H","DateFormat=P","Fill=—","Direction=H","UseDPDF=Y")</f>
        <v>-9.7882999999999996</v>
      </c>
      <c r="M20" s="14">
        <f>_xll.BDH("SRPT US Equity","OPER_INC_TO_INT_EXP","FQ2 2021","FQ2 2021","Currency=USD","Period=FQ","BEST_FPERIOD_OVERRIDE=FQ","FILING_STATUS=MR","FA_ADJUSTED=GAAP","Sort=A","Dates=H","DateFormat=P","Fill=—","Direction=H","UseDPDF=Y")</f>
        <v>-10.5992</v>
      </c>
      <c r="N20" s="14">
        <f>_xll.BDH("SRPT US Equity","OPER_INC_TO_INT_EXP","FQ3 2021","FQ3 2021","Currency=USD","Period=FQ","BEST_FPERIOD_OVERRIDE=FQ","FILING_STATUS=MR","FA_ADJUSTED=GAAP","Sort=A","Dates=H","DateFormat=P","Fill=—","Direction=H","UseDPDF=Y")</f>
        <v>-2.1543000000000001</v>
      </c>
      <c r="O20" s="14">
        <f>_xll.BDH("SRPT US Equity","OPER_INC_TO_INT_EXP","FQ4 2021","FQ4 2021","Currency=USD","Period=FQ","BEST_FPERIOD_OVERRIDE=FQ","FILING_STATUS=MR","FA_ADJUSTED=GAAP","Sort=A","Dates=H","DateFormat=P","Fill=—","Direction=H","UseDPDF=Y")</f>
        <v>-6.5934999999999997</v>
      </c>
      <c r="P20" s="14">
        <f>_xll.BDH("SRPT US Equity","OPER_INC_TO_INT_EXP","FQ1 2022","FQ1 2022","Currency=USD","Period=FQ","BEST_FPERIOD_OVERRIDE=FQ","FILING_STATUS=MR","FA_ADJUSTED=GAAP","Sort=A","Dates=H","DateFormat=P","Fill=—","Direction=H","UseDPDF=Y")</f>
        <v>-5.5002000000000004</v>
      </c>
      <c r="Q20" s="14">
        <f>_xll.BDH("SRPT US Equity","OPER_INC_TO_INT_EXP","FQ2 2022","FQ2 2022","Currency=USD","Period=FQ","BEST_FPERIOD_OVERRIDE=FQ","FILING_STATUS=MR","FA_ADJUSTED=GAAP","Sort=A","Dates=H","DateFormat=P","Fill=—","Direction=H","UseDPDF=Y")</f>
        <v>-14.3657</v>
      </c>
      <c r="R20" s="14">
        <f>_xll.BDH("SRPT US Equity","OPER_INC_TO_INT_EXP","FQ3 2022","FQ3 2022","Currency=USD","Period=FQ","BEST_FPERIOD_OVERRIDE=FQ","FILING_STATUS=MR","FA_ADJUSTED=GAAP","Sort=A","Dates=H","DateFormat=P","Fill=—","Direction=H","UseDPDF=Y")</f>
        <v>-11.6233</v>
      </c>
      <c r="S20" s="14">
        <f>_xll.BDH("SRPT US Equity","OPER_INC_TO_INT_EXP","FQ4 2022","FQ4 2022","Currency=USD","Period=FQ","BEST_FPERIOD_OVERRIDE=FQ","FILING_STATUS=MR","FA_ADJUSTED=GAAP","Sort=A","Dates=H","DateFormat=P","Fill=—","Direction=H","UseDPDF=Y")</f>
        <v>-409.3218</v>
      </c>
      <c r="T20" s="14">
        <f>_xll.BDH("SRPT US Equity","OPER_INC_TO_INT_EXP","FQ1 2023","FQ1 2023","Currency=USD","Period=FQ","BEST_FPERIOD_OVERRIDE=FQ","FILING_STATUS=MR","FA_ADJUSTED=GAAP","Sort=A","Dates=H","DateFormat=P","Fill=—","Direction=H","UseDPDF=Y")</f>
        <v>-21.838999999999999</v>
      </c>
      <c r="U20" s="14">
        <f>_xll.BDH("SRPT US Equity","OPER_INC_TO_INT_EXP","FQ2 2023","FQ2 2023","Currency=USD","Period=FQ","BEST_FPERIOD_OVERRIDE=FQ","FILING_STATUS=MR","FA_ADJUSTED=GAAP","Sort=A","Dates=H","DateFormat=P","Fill=—","Direction=H","UseDPDF=Y")</f>
        <v>-25.558800000000002</v>
      </c>
      <c r="V20" s="14">
        <f>_xll.BDH("SRPT US Equity","OPER_INC_TO_INT_EXP","FQ3 2023","FQ3 2023","Currency=USD","Period=FQ","BEST_FPERIOD_OVERRIDE=FQ","FILING_STATUS=MR","FA_ADJUSTED=GAAP","Sort=A","Dates=H","DateFormat=P","Fill=—","Direction=H","UseDPDF=Y")</f>
        <v>-3.9857999999999998</v>
      </c>
      <c r="W20" s="14">
        <f>_xll.BDH("SRPT US Equity","OPER_INC_TO_INT_EXP","FQ4 2023","FQ4 2023","Currency=USD","Period=FQ","BEST_FPERIOD_OVERRIDE=FQ","FILING_STATUS=MR","FA_ADJUSTED=GAAP","Sort=A","Dates=H","DateFormat=P","Fill=—","Direction=H","UseDPDF=Y")</f>
        <v>4.7047999999999996</v>
      </c>
      <c r="X20" s="14">
        <f>_xll.BDH("SRPT US Equity","OPER_INC_TO_INT_EXP","FQ1 2024","FQ1 2024","Currency=USD","Period=FQ","BEST_FPERIOD_OVERRIDE=FQ","FILING_STATUS=MR","FA_ADJUSTED=GAAP","Sort=A","Dates=H","DateFormat=P","Fill=—","Direction=H","UseDPDF=Y")</f>
        <v>8.3785000000000007</v>
      </c>
      <c r="Y20" s="14">
        <f>_xll.BDH("SRPT US Equity","OPER_INC_TO_INT_EXP","FQ2 2024","FQ2 2024","Currency=USD","Period=FQ","BEST_FPERIOD_OVERRIDE=FQ","FILING_STATUS=MR","FA_ADJUSTED=GAAP","Sort=A","Dates=H","DateFormat=P","Fill=—","Direction=H","UseDPDF=Y")</f>
        <v>-0.14510000000000001</v>
      </c>
      <c r="Z20" s="14">
        <f>_xll.BDH("SRPT US Equity","OPER_INC_TO_INT_EXP","FQ3 2024","FQ3 2024","Currency=USD","Period=FQ","BEST_FPERIOD_OVERRIDE=FQ","FILING_STATUS=MR","FA_ADJUSTED=GAAP","Sort=A","Dates=H","DateFormat=P","Fill=—","Direction=H","UseDPDF=Y")</f>
        <v>4.5132000000000003</v>
      </c>
      <c r="AA20" s="14">
        <f>_xll.BDH("SRPT US Equity","OPER_INC_TO_INT_EXP","FQ4 2024","FQ4 2024","Currency=USD","Period=FQ","BEST_FPERIOD_OVERRIDE=FQ","FILING_STATUS=MR","FA_ADJUSTED=GAAP","Sort=A","Dates=H","DateFormat=P","Fill=—","Direction=H","UseDPDF=Y")</f>
        <v>36.129800000000003</v>
      </c>
    </row>
    <row r="21" spans="1:27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10" t="s">
        <v>1482</v>
      </c>
      <c r="B22" s="10" t="s">
        <v>1483</v>
      </c>
      <c r="C22" s="14">
        <f>_xll.BDH("SRPT US Equity","EBITDA_TO_CASH_INTEREST_PAID","FQ4 2018","FQ4 2018","Currency=USD","Period=FQ","BEST_FPERIOD_OVERRIDE=FQ","FILING_STATUS=MR","FA_ADJUSTED=GAAP","Sort=A","Dates=H","DateFormat=P","Fill=—","Direction=H","UseDPDF=Y")</f>
        <v>-30.545500000000001</v>
      </c>
      <c r="D22" s="14" t="str">
        <f>_xll.BDH("SRPT US Equity","EBITDA_TO_CASH_INTEREST_PAID","FQ1 2019","FQ1 2019","Currency=USD","Period=FQ","BEST_FPERIOD_OVERRIDE=FQ","FILING_STATUS=MR","FA_ADJUSTED=GAAP","Sort=A","Dates=H","DateFormat=P","Fill=—","Direction=H","UseDPDF=Y")</f>
        <v>—</v>
      </c>
      <c r="E22" s="14">
        <f>_xll.BDH("SRPT US Equity","EBITDA_TO_CASH_INTEREST_PAID","FQ2 2019","FQ2 2019","Currency=USD","Period=FQ","BEST_FPERIOD_OVERRIDE=FQ","FILING_STATUS=MR","FA_ADJUSTED=GAAP","Sort=A","Dates=H","DateFormat=P","Fill=—","Direction=H","UseDPDF=Y")</f>
        <v>-62.021799999999999</v>
      </c>
      <c r="F22" s="14" t="str">
        <f>_xll.BDH("SRPT US Equity","EBITDA_TO_CASH_INTEREST_PAID","FQ3 2019","FQ3 2019","Currency=USD","Period=FQ","BEST_FPERIOD_OVERRIDE=FQ","FILING_STATUS=MR","FA_ADJUSTED=GAAP","Sort=A","Dates=H","DateFormat=P","Fill=—","Direction=H","UseDPDF=Y")</f>
        <v>—</v>
      </c>
      <c r="G22" s="14">
        <f>_xll.BDH("SRPT US Equity","EBITDA_TO_CASH_INTEREST_PAID","FQ4 2019","FQ4 2019","Currency=USD","Period=FQ","BEST_FPERIOD_OVERRIDE=FQ","FILING_STATUS=MR","FA_ADJUSTED=GAAP","Sort=A","Dates=H","DateFormat=P","Fill=—","Direction=H","UseDPDF=Y")</f>
        <v>-42.130600000000001</v>
      </c>
      <c r="H22" s="14">
        <f>_xll.BDH("SRPT US Equity","EBITDA_TO_CASH_INTEREST_PAID","FQ1 2020","FQ1 2020","Currency=USD","Period=FQ","BEST_FPERIOD_OVERRIDE=FQ","FILING_STATUS=MR","FA_ADJUSTED=GAAP","Sort=A","Dates=H","DateFormat=P","Fill=—","Direction=H","UseDPDF=Y")</f>
        <v>-20.5565</v>
      </c>
      <c r="I22" s="14">
        <f>_xll.BDH("SRPT US Equity","EBITDA_TO_CASH_INTEREST_PAID","FQ2 2020","FQ2 2020","Currency=USD","Period=FQ","BEST_FPERIOD_OVERRIDE=FQ","FILING_STATUS=MR","FA_ADJUSTED=GAAP","Sort=A","Dates=H","DateFormat=P","Fill=—","Direction=H","UseDPDF=Y")</f>
        <v>-13.462999999999999</v>
      </c>
      <c r="J22" s="14">
        <f>_xll.BDH("SRPT US Equity","EBITDA_TO_CASH_INTEREST_PAID","FQ3 2020","FQ3 2020","Currency=USD","Period=FQ","BEST_FPERIOD_OVERRIDE=FQ","FILING_STATUS=MR","FA_ADJUSTED=GAAP","Sort=A","Dates=H","DateFormat=P","Fill=—","Direction=H","UseDPDF=Y")</f>
        <v>-23.618600000000001</v>
      </c>
      <c r="K22" s="14">
        <f>_xll.BDH("SRPT US Equity","EBITDA_TO_CASH_INTEREST_PAID","FQ4 2020","FQ4 2020","Currency=USD","Period=FQ","BEST_FPERIOD_OVERRIDE=FQ","FILING_STATUS=MR","FA_ADJUSTED=GAAP","Sort=A","Dates=H","DateFormat=P","Fill=—","Direction=H","UseDPDF=Y")</f>
        <v>-9.0762999999999998</v>
      </c>
      <c r="L22" s="14">
        <f>_xll.BDH("SRPT US Equity","EBITDA_TO_CASH_INTEREST_PAID","FQ1 2021","FQ1 2021","Currency=USD","Period=FQ","BEST_FPERIOD_OVERRIDE=FQ","FILING_STATUS=MR","FA_ADJUSTED=GAAP","Sort=A","Dates=H","DateFormat=P","Fill=—","Direction=H","UseDPDF=Y")</f>
        <v>-12.229200000000001</v>
      </c>
      <c r="M22" s="14">
        <f>_xll.BDH("SRPT US Equity","EBITDA_TO_CASH_INTEREST_PAID","FQ2 2021","FQ2 2021","Currency=USD","Period=FQ","BEST_FPERIOD_OVERRIDE=FQ","FILING_STATUS=MR","FA_ADJUSTED=GAAP","Sort=A","Dates=H","DateFormat=P","Fill=—","Direction=H","UseDPDF=Y")</f>
        <v>-9.8886000000000003</v>
      </c>
      <c r="N22" s="14">
        <f>_xll.BDH("SRPT US Equity","EBITDA_TO_CASH_INTEREST_PAID","FQ3 2021","FQ3 2021","Currency=USD","Period=FQ","BEST_FPERIOD_OVERRIDE=FQ","FILING_STATUS=MR","FA_ADJUSTED=GAAP","Sort=A","Dates=H","DateFormat=P","Fill=—","Direction=H","UseDPDF=Y")</f>
        <v>-2.0057999999999998</v>
      </c>
      <c r="O22" s="14">
        <f>_xll.BDH("SRPT US Equity","EBITDA_TO_CASH_INTEREST_PAID","FQ4 2021","FQ4 2021","Currency=USD","Period=FQ","BEST_FPERIOD_OVERRIDE=FQ","FILING_STATUS=MR","FA_ADJUSTED=GAAP","Sort=A","Dates=H","DateFormat=P","Fill=—","Direction=H","UseDPDF=Y")</f>
        <v>-5.8974000000000002</v>
      </c>
      <c r="P22" s="14">
        <f>_xll.BDH("SRPT US Equity","EBITDA_TO_CASH_INTEREST_PAID","FQ1 2022","FQ1 2022","Currency=USD","Period=FQ","BEST_FPERIOD_OVERRIDE=FQ","FILING_STATUS=MR","FA_ADJUSTED=GAAP","Sort=A","Dates=H","DateFormat=P","Fill=—","Direction=H","UseDPDF=Y")</f>
        <v>-6.5163000000000002</v>
      </c>
      <c r="Q22" s="14">
        <f>_xll.BDH("SRPT US Equity","EBITDA_TO_CASH_INTEREST_PAID","FQ2 2022","FQ2 2022","Currency=USD","Period=FQ","BEST_FPERIOD_OVERRIDE=FQ","FILING_STATUS=MR","FA_ADJUSTED=GAAP","Sort=A","Dates=H","DateFormat=P","Fill=—","Direction=H","UseDPDF=Y")</f>
        <v>-12.505800000000001</v>
      </c>
      <c r="R22" s="14">
        <f>_xll.BDH("SRPT US Equity","EBITDA_TO_CASH_INTEREST_PAID","FQ3 2022","FQ3 2022","Currency=USD","Period=FQ","BEST_FPERIOD_OVERRIDE=FQ","FILING_STATUS=MR","FA_ADJUSTED=GAAP","Sort=A","Dates=H","DateFormat=P","Fill=—","Direction=H","UseDPDF=Y")</f>
        <v>-8.9418000000000006</v>
      </c>
      <c r="S22" s="14">
        <f>_xll.BDH("SRPT US Equity","EBITDA_TO_CASH_INTEREST_PAID","FQ4 2022","FQ4 2022","Currency=USD","Period=FQ","BEST_FPERIOD_OVERRIDE=FQ","FILING_STATUS=MR","FA_ADJUSTED=GAAP","Sort=A","Dates=H","DateFormat=P","Fill=—","Direction=H","UseDPDF=Y")</f>
        <v>-30.613700000000001</v>
      </c>
      <c r="T22" s="14">
        <f>_xll.BDH("SRPT US Equity","EBITDA_TO_CASH_INTEREST_PAID","FQ1 2023","FQ1 2023","Currency=USD","Period=FQ","BEST_FPERIOD_OVERRIDE=FQ","FILING_STATUS=MR","FA_ADJUSTED=GAAP","Sort=A","Dates=H","DateFormat=P","Fill=—","Direction=H","UseDPDF=Y")</f>
        <v>-18.052499999999998</v>
      </c>
      <c r="U22" s="14">
        <f>_xll.BDH("SRPT US Equity","EBITDA_TO_CASH_INTEREST_PAID","FQ2 2023","FQ2 2023","Currency=USD","Period=FQ","BEST_FPERIOD_OVERRIDE=FQ","FILING_STATUS=MR","FA_ADJUSTED=GAAP","Sort=A","Dates=H","DateFormat=P","Fill=—","Direction=H","UseDPDF=Y")</f>
        <v>-154.56800000000001</v>
      </c>
      <c r="V22" s="14">
        <f>_xll.BDH("SRPT US Equity","EBITDA_TO_CASH_INTEREST_PAID","FQ3 2023","FQ3 2023","Currency=USD","Period=FQ","BEST_FPERIOD_OVERRIDE=FQ","FILING_STATUS=MR","FA_ADJUSTED=GAAP","Sort=A","Dates=H","DateFormat=P","Fill=—","Direction=H","UseDPDF=Y")</f>
        <v>-1.3559000000000001</v>
      </c>
      <c r="W22" s="14">
        <f>_xll.BDH("SRPT US Equity","EBITDA_TO_CASH_INTEREST_PAID","FQ4 2023","FQ4 2023","Currency=USD","Period=FQ","BEST_FPERIOD_OVERRIDE=FQ","FILING_STATUS=MR","FA_ADJUSTED=GAAP","Sort=A","Dates=H","DateFormat=P","Fill=—","Direction=H","UseDPDF=Y")</f>
        <v>45.336300000000001</v>
      </c>
      <c r="X22" s="14">
        <f>_xll.BDH("SRPT US Equity","EBITDA_TO_CASH_INTEREST_PAID","FQ1 2024","FQ1 2024","Currency=USD","Period=FQ","BEST_FPERIOD_OVERRIDE=FQ","FILING_STATUS=MR","FA_ADJUSTED=GAAP","Sort=A","Dates=H","DateFormat=P","Fill=—","Direction=H","UseDPDF=Y")</f>
        <v>6.0724999999999998</v>
      </c>
      <c r="Y22" s="14">
        <f>_xll.BDH("SRPT US Equity","EBITDA_TO_CASH_INTEREST_PAID","FQ2 2024","FQ2 2024","Currency=USD","Period=FQ","BEST_FPERIOD_OVERRIDE=FQ","FILING_STATUS=MR","FA_ADJUSTED=GAAP","Sort=A","Dates=H","DateFormat=P","Fill=—","Direction=H","UseDPDF=Y")</f>
        <v>10.111000000000001</v>
      </c>
      <c r="Z22" s="14">
        <f>_xll.BDH("SRPT US Equity","EBITDA_TO_CASH_INTEREST_PAID","FQ3 2024","FQ3 2024","Currency=USD","Period=FQ","BEST_FPERIOD_OVERRIDE=FQ","FILING_STATUS=MR","FA_ADJUSTED=GAAP","Sort=A","Dates=H","DateFormat=P","Fill=—","Direction=H","UseDPDF=Y")</f>
        <v>4.4520999999999997</v>
      </c>
      <c r="AA22" s="14">
        <f>_xll.BDH("SRPT US Equity","EBITDA_TO_CASH_INTEREST_PAID","FQ4 2024","FQ4 2024","Currency=USD","Period=FQ","BEST_FPERIOD_OVERRIDE=FQ","FILING_STATUS=MR","FA_ADJUSTED=GAAP","Sort=A","Dates=H","DateFormat=P","Fill=—","Direction=H","UseDPDF=Y")</f>
        <v>250.56190000000001</v>
      </c>
    </row>
    <row r="23" spans="1:27" x14ac:dyDescent="0.25">
      <c r="A23" s="10" t="s">
        <v>1484</v>
      </c>
      <c r="B23" s="10" t="s">
        <v>1485</v>
      </c>
      <c r="C23" s="14">
        <f>_xll.BDH("SRPT US Equity","EBITDA_AFT_CAPEX_TO_CASH_INT_PD","FQ4 2018","FQ4 2018","Currency=USD","Period=FQ","BEST_FPERIOD_OVERRIDE=FQ","FILING_STATUS=MR","FA_ADJUSTED=GAAP","Sort=A","Dates=H","DateFormat=P","Fill=—","Direction=H","UseDPDF=Y")</f>
        <v>-35.0886</v>
      </c>
      <c r="D23" s="14" t="str">
        <f>_xll.BDH("SRPT US Equity","EBITDA_AFT_CAPEX_TO_CASH_INT_PD","FQ1 2019","FQ1 2019","Currency=USD","Period=FQ","BEST_FPERIOD_OVERRIDE=FQ","FILING_STATUS=MR","FA_ADJUSTED=GAAP","Sort=A","Dates=H","DateFormat=P","Fill=—","Direction=H","UseDPDF=Y")</f>
        <v>—</v>
      </c>
      <c r="E23" s="14">
        <f>_xll.BDH("SRPT US Equity","EBITDA_AFT_CAPEX_TO_CASH_INT_PD","FQ2 2019","FQ2 2019","Currency=USD","Period=FQ","BEST_FPERIOD_OVERRIDE=FQ","FILING_STATUS=MR","FA_ADJUSTED=GAAP","Sort=A","Dates=H","DateFormat=P","Fill=—","Direction=H","UseDPDF=Y")</f>
        <v>-65.924000000000007</v>
      </c>
      <c r="F23" s="14" t="str">
        <f>_xll.BDH("SRPT US Equity","EBITDA_AFT_CAPEX_TO_CASH_INT_PD","FQ3 2019","FQ3 2019","Currency=USD","Period=FQ","BEST_FPERIOD_OVERRIDE=FQ","FILING_STATUS=MR","FA_ADJUSTED=GAAP","Sort=A","Dates=H","DateFormat=P","Fill=—","Direction=H","UseDPDF=Y")</f>
        <v>—</v>
      </c>
      <c r="G23" s="14">
        <f>_xll.BDH("SRPT US Equity","EBITDA_AFT_CAPEX_TO_CASH_INT_PD","FQ4 2019","FQ4 2019","Currency=USD","Period=FQ","BEST_FPERIOD_OVERRIDE=FQ","FILING_STATUS=MR","FA_ADJUSTED=GAAP","Sort=A","Dates=H","DateFormat=P","Fill=—","Direction=H","UseDPDF=Y")</f>
        <v>-45.444099999999999</v>
      </c>
      <c r="H23" s="14">
        <f>_xll.BDH("SRPT US Equity","EBITDA_AFT_CAPEX_TO_CASH_INT_PD","FQ1 2020","FQ1 2020","Currency=USD","Period=FQ","BEST_FPERIOD_OVERRIDE=FQ","FILING_STATUS=MR","FA_ADJUSTED=GAAP","Sort=A","Dates=H","DateFormat=P","Fill=—","Direction=H","UseDPDF=Y")</f>
        <v>-22.2501</v>
      </c>
      <c r="I23" s="14">
        <f>_xll.BDH("SRPT US Equity","EBITDA_AFT_CAPEX_TO_CASH_INT_PD","FQ2 2020","FQ2 2020","Currency=USD","Period=FQ","BEST_FPERIOD_OVERRIDE=FQ","FILING_STATUS=MR","FA_ADJUSTED=GAAP","Sort=A","Dates=H","DateFormat=P","Fill=—","Direction=H","UseDPDF=Y")</f>
        <v>-15.450100000000001</v>
      </c>
      <c r="J23" s="14">
        <f>_xll.BDH("SRPT US Equity","EBITDA_AFT_CAPEX_TO_CASH_INT_PD","FQ3 2020","FQ3 2020","Currency=USD","Period=FQ","BEST_FPERIOD_OVERRIDE=FQ","FILING_STATUS=MR","FA_ADJUSTED=GAAP","Sort=A","Dates=H","DateFormat=P","Fill=—","Direction=H","UseDPDF=Y")</f>
        <v>-28.278500000000001</v>
      </c>
      <c r="K23" s="14">
        <f>_xll.BDH("SRPT US Equity","EBITDA_AFT_CAPEX_TO_CASH_INT_PD","FQ4 2020","FQ4 2020","Currency=USD","Period=FQ","BEST_FPERIOD_OVERRIDE=FQ","FILING_STATUS=MR","FA_ADJUSTED=GAAP","Sort=A","Dates=H","DateFormat=P","Fill=—","Direction=H","UseDPDF=Y")</f>
        <v>-10.6561</v>
      </c>
      <c r="L23" s="14">
        <f>_xll.BDH("SRPT US Equity","EBITDA_AFT_CAPEX_TO_CASH_INT_PD","FQ1 2021","FQ1 2021","Currency=USD","Period=FQ","BEST_FPERIOD_OVERRIDE=FQ","FILING_STATUS=MR","FA_ADJUSTED=GAAP","Sort=A","Dates=H","DateFormat=P","Fill=—","Direction=H","UseDPDF=Y")</f>
        <v>-14.0387</v>
      </c>
      <c r="M23" s="14">
        <f>_xll.BDH("SRPT US Equity","EBITDA_AFT_CAPEX_TO_CASH_INT_PD","FQ2 2021","FQ2 2021","Currency=USD","Period=FQ","BEST_FPERIOD_OVERRIDE=FQ","FILING_STATUS=MR","FA_ADJUSTED=GAAP","Sort=A","Dates=H","DateFormat=P","Fill=—","Direction=H","UseDPDF=Y")</f>
        <v>-10.254799999999999</v>
      </c>
      <c r="N23" s="14">
        <f>_xll.BDH("SRPT US Equity","EBITDA_AFT_CAPEX_TO_CASH_INT_PD","FQ3 2021","FQ3 2021","Currency=USD","Period=FQ","BEST_FPERIOD_OVERRIDE=FQ","FILING_STATUS=MR","FA_ADJUSTED=GAAP","Sort=A","Dates=H","DateFormat=P","Fill=—","Direction=H","UseDPDF=Y")</f>
        <v>-2.7793000000000001</v>
      </c>
      <c r="O23" s="14">
        <f>_xll.BDH("SRPT US Equity","EBITDA_AFT_CAPEX_TO_CASH_INT_PD","FQ4 2021","FQ4 2021","Currency=USD","Period=FQ","BEST_FPERIOD_OVERRIDE=FQ","FILING_STATUS=MR","FA_ADJUSTED=GAAP","Sort=A","Dates=H","DateFormat=P","Fill=—","Direction=H","UseDPDF=Y")</f>
        <v>-6.0334000000000003</v>
      </c>
      <c r="P23" s="14">
        <f>_xll.BDH("SRPT US Equity","EBITDA_AFT_CAPEX_TO_CASH_INT_PD","FQ1 2022","FQ1 2022","Currency=USD","Period=FQ","BEST_FPERIOD_OVERRIDE=FQ","FILING_STATUS=MR","FA_ADJUSTED=GAAP","Sort=A","Dates=H","DateFormat=P","Fill=—","Direction=H","UseDPDF=Y")</f>
        <v>-6.9912000000000001</v>
      </c>
      <c r="Q23" s="14">
        <f>_xll.BDH("SRPT US Equity","EBITDA_AFT_CAPEX_TO_CASH_INT_PD","FQ2 2022","FQ2 2022","Currency=USD","Period=FQ","BEST_FPERIOD_OVERRIDE=FQ","FILING_STATUS=MR","FA_ADJUSTED=GAAP","Sort=A","Dates=H","DateFormat=P","Fill=—","Direction=H","UseDPDF=Y")</f>
        <v>-13.069900000000001</v>
      </c>
      <c r="R23" s="14">
        <f>_xll.BDH("SRPT US Equity","EBITDA_AFT_CAPEX_TO_CASH_INT_PD","FQ3 2022","FQ3 2022","Currency=USD","Period=FQ","BEST_FPERIOD_OVERRIDE=FQ","FILING_STATUS=MR","FA_ADJUSTED=GAAP","Sort=A","Dates=H","DateFormat=P","Fill=—","Direction=H","UseDPDF=Y")</f>
        <v>-9.5518000000000001</v>
      </c>
      <c r="S23" s="14">
        <f>_xll.BDH("SRPT US Equity","EBITDA_AFT_CAPEX_TO_CASH_INT_PD","FQ4 2022","FQ4 2022","Currency=USD","Period=FQ","BEST_FPERIOD_OVERRIDE=FQ","FILING_STATUS=MR","FA_ADJUSTED=GAAP","Sort=A","Dates=H","DateFormat=P","Fill=—","Direction=H","UseDPDF=Y")</f>
        <v>-32.756399999999999</v>
      </c>
      <c r="T23" s="14">
        <f>_xll.BDH("SRPT US Equity","EBITDA_AFT_CAPEX_TO_CASH_INT_PD","FQ1 2023","FQ1 2023","Currency=USD","Period=FQ","BEST_FPERIOD_OVERRIDE=FQ","FILING_STATUS=MR","FA_ADJUSTED=GAAP","Sort=A","Dates=H","DateFormat=P","Fill=—","Direction=H","UseDPDF=Y")</f>
        <v>-19.403099999999998</v>
      </c>
      <c r="U23" s="14">
        <f>_xll.BDH("SRPT US Equity","EBITDA_AFT_CAPEX_TO_CASH_INT_PD","FQ2 2023","FQ2 2023","Currency=USD","Period=FQ","BEST_FPERIOD_OVERRIDE=FQ","FILING_STATUS=MR","FA_ADJUSTED=GAAP","Sort=A","Dates=H","DateFormat=P","Fill=—","Direction=H","UseDPDF=Y")</f>
        <v>-177.1234</v>
      </c>
      <c r="V23" s="14">
        <f>_xll.BDH("SRPT US Equity","EBITDA_AFT_CAPEX_TO_CASH_INT_PD","FQ3 2023","FQ3 2023","Currency=USD","Period=FQ","BEST_FPERIOD_OVERRIDE=FQ","FILING_STATUS=MR","FA_ADJUSTED=GAAP","Sort=A","Dates=H","DateFormat=P","Fill=—","Direction=H","UseDPDF=Y")</f>
        <v>-5.4139999999999997</v>
      </c>
      <c r="W23" s="14">
        <f>_xll.BDH("SRPT US Equity","EBITDA_AFT_CAPEX_TO_CASH_INT_PD","FQ4 2023","FQ4 2023","Currency=USD","Period=FQ","BEST_FPERIOD_OVERRIDE=FQ","FILING_STATUS=MR","FA_ADJUSTED=GAAP","Sort=A","Dates=H","DateFormat=P","Fill=—","Direction=H","UseDPDF=Y")</f>
        <v>21.357700000000001</v>
      </c>
      <c r="X23" s="14">
        <f>_xll.BDH("SRPT US Equity","EBITDA_AFT_CAPEX_TO_CASH_INT_PD","FQ1 2024","FQ1 2024","Currency=USD","Period=FQ","BEST_FPERIOD_OVERRIDE=FQ","FILING_STATUS=MR","FA_ADJUSTED=GAAP","Sort=A","Dates=H","DateFormat=P","Fill=—","Direction=H","UseDPDF=Y")</f>
        <v>1.5588</v>
      </c>
      <c r="Y23" s="14">
        <f>_xll.BDH("SRPT US Equity","EBITDA_AFT_CAPEX_TO_CASH_INT_PD","FQ2 2024","FQ2 2024","Currency=USD","Period=FQ","BEST_FPERIOD_OVERRIDE=FQ","FILING_STATUS=MR","FA_ADJUSTED=GAAP","Sort=A","Dates=H","DateFormat=P","Fill=—","Direction=H","UseDPDF=Y")</f>
        <v>-26.669599999999999</v>
      </c>
      <c r="Z23" s="14">
        <f>_xll.BDH("SRPT US Equity","EBITDA_AFT_CAPEX_TO_CASH_INT_PD","FQ3 2024","FQ3 2024","Currency=USD","Period=FQ","BEST_FPERIOD_OVERRIDE=FQ","FILING_STATUS=MR","FA_ADJUSTED=GAAP","Sort=A","Dates=H","DateFormat=P","Fill=—","Direction=H","UseDPDF=Y")</f>
        <v>-0.7319</v>
      </c>
      <c r="AA23" s="14">
        <f>_xll.BDH("SRPT US Equity","EBITDA_AFT_CAPEX_TO_CASH_INT_PD","FQ4 2024","FQ4 2024","Currency=USD","Period=FQ","BEST_FPERIOD_OVERRIDE=FQ","FILING_STATUS=MR","FA_ADJUSTED=GAAP","Sort=A","Dates=H","DateFormat=P","Fill=—","Direction=H","UseDPDF=Y")</f>
        <v>195.12950000000001</v>
      </c>
    </row>
    <row r="24" spans="1:27" x14ac:dyDescent="0.25">
      <c r="A24" s="10" t="s">
        <v>1486</v>
      </c>
      <c r="B24" s="10" t="s">
        <v>1487</v>
      </c>
      <c r="C24" s="14">
        <f>_xll.BDH("SRPT US Equity","EBIT_TO_CASH_INTEREST_PAID","FQ4 2018","FQ4 2018","Currency=USD","Period=FQ","BEST_FPERIOD_OVERRIDE=FQ","FILING_STATUS=MR","FA_ADJUSTED=GAAP","Sort=A","Dates=H","DateFormat=P","Fill=—","Direction=H","UseDPDF=Y")</f>
        <v>-31.338699999999999</v>
      </c>
      <c r="D24" s="14" t="str">
        <f>_xll.BDH("SRPT US Equity","EBIT_TO_CASH_INTEREST_PAID","FQ1 2019","FQ1 2019","Currency=USD","Period=FQ","BEST_FPERIOD_OVERRIDE=FQ","FILING_STATUS=MR","FA_ADJUSTED=GAAP","Sort=A","Dates=H","DateFormat=P","Fill=—","Direction=H","UseDPDF=Y")</f>
        <v>—</v>
      </c>
      <c r="E24" s="14">
        <f>_xll.BDH("SRPT US Equity","EBIT_TO_CASH_INTEREST_PAID","FQ2 2019","FQ2 2019","Currency=USD","Period=FQ","BEST_FPERIOD_OVERRIDE=FQ","FILING_STATUS=MR","FA_ADJUSTED=GAAP","Sort=A","Dates=H","DateFormat=P","Fill=—","Direction=H","UseDPDF=Y")</f>
        <v>-64.413300000000007</v>
      </c>
      <c r="F24" s="14" t="str">
        <f>_xll.BDH("SRPT US Equity","EBIT_TO_CASH_INTEREST_PAID","FQ3 2019","FQ3 2019","Currency=USD","Period=FQ","BEST_FPERIOD_OVERRIDE=FQ","FILING_STATUS=MR","FA_ADJUSTED=GAAP","Sort=A","Dates=H","DateFormat=P","Fill=—","Direction=H","UseDPDF=Y")</f>
        <v>—</v>
      </c>
      <c r="G24" s="14">
        <f>_xll.BDH("SRPT US Equity","EBIT_TO_CASH_INTEREST_PAID","FQ4 2019","FQ4 2019","Currency=USD","Period=FQ","BEST_FPERIOD_OVERRIDE=FQ","FILING_STATUS=MR","FA_ADJUSTED=GAAP","Sort=A","Dates=H","DateFormat=P","Fill=—","Direction=H","UseDPDF=Y")</f>
        <v>-44.204900000000002</v>
      </c>
      <c r="H24" s="14">
        <f>_xll.BDH("SRPT US Equity","EBIT_TO_CASH_INTEREST_PAID","FQ1 2020","FQ1 2020","Currency=USD","Period=FQ","BEST_FPERIOD_OVERRIDE=FQ","FILING_STATUS=MR","FA_ADJUSTED=GAAP","Sort=A","Dates=H","DateFormat=P","Fill=—","Direction=H","UseDPDF=Y")</f>
        <v>-21.9175</v>
      </c>
      <c r="I24" s="14">
        <f>_xll.BDH("SRPT US Equity","EBIT_TO_CASH_INTEREST_PAID","FQ2 2020","FQ2 2020","Currency=USD","Period=FQ","BEST_FPERIOD_OVERRIDE=FQ","FILING_STATUS=MR","FA_ADJUSTED=GAAP","Sort=A","Dates=H","DateFormat=P","Fill=—","Direction=H","UseDPDF=Y")</f>
        <v>-14.3416</v>
      </c>
      <c r="J24" s="14">
        <f>_xll.BDH("SRPT US Equity","EBIT_TO_CASH_INTEREST_PAID","FQ3 2020","FQ3 2020","Currency=USD","Period=FQ","BEST_FPERIOD_OVERRIDE=FQ","FILING_STATUS=MR","FA_ADJUSTED=GAAP","Sort=A","Dates=H","DateFormat=P","Fill=—","Direction=H","UseDPDF=Y")</f>
        <v>-25.242699999999999</v>
      </c>
      <c r="K24" s="14">
        <f>_xll.BDH("SRPT US Equity","EBIT_TO_CASH_INTEREST_PAID","FQ4 2020","FQ4 2020","Currency=USD","Period=FQ","BEST_FPERIOD_OVERRIDE=FQ","FILING_STATUS=MR","FA_ADJUSTED=GAAP","Sort=A","Dates=H","DateFormat=P","Fill=—","Direction=H","UseDPDF=Y")</f>
        <v>-10.367800000000001</v>
      </c>
      <c r="L24" s="14">
        <f>_xll.BDH("SRPT US Equity","EBIT_TO_CASH_INTEREST_PAID","FQ1 2021","FQ1 2021","Currency=USD","Period=FQ","BEST_FPERIOD_OVERRIDE=FQ","FILING_STATUS=MR","FA_ADJUSTED=GAAP","Sort=A","Dates=H","DateFormat=P","Fill=—","Direction=H","UseDPDF=Y")</f>
        <v>-12.9932</v>
      </c>
      <c r="M24" s="14">
        <f>_xll.BDH("SRPT US Equity","EBIT_TO_CASH_INTEREST_PAID","FQ2 2021","FQ2 2021","Currency=USD","Period=FQ","BEST_FPERIOD_OVERRIDE=FQ","FILING_STATUS=MR","FA_ADJUSTED=GAAP","Sort=A","Dates=H","DateFormat=P","Fill=—","Direction=H","UseDPDF=Y")</f>
        <v>-10.413500000000001</v>
      </c>
      <c r="N24" s="14">
        <f>_xll.BDH("SRPT US Equity","EBIT_TO_CASH_INTEREST_PAID","FQ3 2021","FQ3 2021","Currency=USD","Period=FQ","BEST_FPERIOD_OVERRIDE=FQ","FILING_STATUS=MR","FA_ADJUSTED=GAAP","Sort=A","Dates=H","DateFormat=P","Fill=—","Direction=H","UseDPDF=Y")</f>
        <v>-2.8841999999999999</v>
      </c>
      <c r="O24" s="14">
        <f>_xll.BDH("SRPT US Equity","EBIT_TO_CASH_INTEREST_PAID","FQ4 2021","FQ4 2021","Currency=USD","Period=FQ","BEST_FPERIOD_OVERRIDE=FQ","FILING_STATUS=MR","FA_ADJUSTED=GAAP","Sort=A","Dates=H","DateFormat=P","Fill=—","Direction=H","UseDPDF=Y")</f>
        <v>-6.5228000000000002</v>
      </c>
      <c r="P24" s="14">
        <f>_xll.BDH("SRPT US Equity","EBIT_TO_CASH_INTEREST_PAID","FQ1 2022","FQ1 2022","Currency=USD","Period=FQ","BEST_FPERIOD_OVERRIDE=FQ","FILING_STATUS=MR","FA_ADJUSTED=GAAP","Sort=A","Dates=H","DateFormat=P","Fill=—","Direction=H","UseDPDF=Y")</f>
        <v>-7.4333999999999998</v>
      </c>
      <c r="Q24" s="14">
        <f>_xll.BDH("SRPT US Equity","EBIT_TO_CASH_INTEREST_PAID","FQ2 2022","FQ2 2022","Currency=USD","Period=FQ","BEST_FPERIOD_OVERRIDE=FQ","FILING_STATUS=MR","FA_ADJUSTED=GAAP","Sort=A","Dates=H","DateFormat=P","Fill=—","Direction=H","UseDPDF=Y")</f>
        <v>-13.1203</v>
      </c>
      <c r="R24" s="14">
        <f>_xll.BDH("SRPT US Equity","EBIT_TO_CASH_INTEREST_PAID","FQ3 2022","FQ3 2022","Currency=USD","Period=FQ","BEST_FPERIOD_OVERRIDE=FQ","FILING_STATUS=MR","FA_ADJUSTED=GAAP","Sort=A","Dates=H","DateFormat=P","Fill=—","Direction=H","UseDPDF=Y")</f>
        <v>-9.7349999999999994</v>
      </c>
      <c r="S24" s="14">
        <f>_xll.BDH("SRPT US Equity","EBIT_TO_CASH_INTEREST_PAID","FQ4 2022","FQ4 2022","Currency=USD","Period=FQ","BEST_FPERIOD_OVERRIDE=FQ","FILING_STATUS=MR","FA_ADJUSTED=GAAP","Sort=A","Dates=H","DateFormat=P","Fill=—","Direction=H","UseDPDF=Y")</f>
        <v>-33.969200000000001</v>
      </c>
      <c r="T24" s="14">
        <f>_xll.BDH("SRPT US Equity","EBIT_TO_CASH_INTEREST_PAID","FQ1 2023","FQ1 2023","Currency=USD","Period=FQ","BEST_FPERIOD_OVERRIDE=FQ","FILING_STATUS=MR","FA_ADJUSTED=GAAP","Sort=A","Dates=H","DateFormat=P","Fill=—","Direction=H","UseDPDF=Y")</f>
        <v>-19.662299999999998</v>
      </c>
      <c r="U24" s="14">
        <f>_xll.BDH("SRPT US Equity","EBIT_TO_CASH_INTEREST_PAID","FQ2 2023","FQ2 2023","Currency=USD","Period=FQ","BEST_FPERIOD_OVERRIDE=FQ","FILING_STATUS=MR","FA_ADJUSTED=GAAP","Sort=A","Dates=H","DateFormat=P","Fill=—","Direction=H","UseDPDF=Y")</f>
        <v>-168.15989999999999</v>
      </c>
      <c r="V24" s="14">
        <f>_xll.BDH("SRPT US Equity","EBIT_TO_CASH_INTEREST_PAID","FQ3 2023","FQ3 2023","Currency=USD","Period=FQ","BEST_FPERIOD_OVERRIDE=FQ","FILING_STATUS=MR","FA_ADJUSTED=GAAP","Sort=A","Dates=H","DateFormat=P","Fill=—","Direction=H","UseDPDF=Y")</f>
        <v>-2.8504</v>
      </c>
      <c r="W24" s="14">
        <f>_xll.BDH("SRPT US Equity","EBIT_TO_CASH_INTEREST_PAID","FQ4 2023","FQ4 2023","Currency=USD","Period=FQ","BEST_FPERIOD_OVERRIDE=FQ","FILING_STATUS=MR","FA_ADJUSTED=GAAP","Sort=A","Dates=H","DateFormat=P","Fill=—","Direction=H","UseDPDF=Y")</f>
        <v>31.0139</v>
      </c>
      <c r="X24" s="14">
        <f>_xll.BDH("SRPT US Equity","EBIT_TO_CASH_INTEREST_PAID","FQ1 2024","FQ1 2024","Currency=USD","Period=FQ","BEST_FPERIOD_OVERRIDE=FQ","FILING_STATUS=MR","FA_ADJUSTED=GAAP","Sort=A","Dates=H","DateFormat=P","Fill=—","Direction=H","UseDPDF=Y")</f>
        <v>4.8559999999999999</v>
      </c>
      <c r="Y24" s="14">
        <f>_xll.BDH("SRPT US Equity","EBIT_TO_CASH_INTEREST_PAID","FQ2 2024","FQ2 2024","Currency=USD","Period=FQ","BEST_FPERIOD_OVERRIDE=FQ","FILING_STATUS=MR","FA_ADJUSTED=GAAP","Sort=A","Dates=H","DateFormat=P","Fill=—","Direction=H","UseDPDF=Y")</f>
        <v>-0.88400000000000001</v>
      </c>
      <c r="Z24" s="14">
        <f>_xll.BDH("SRPT US Equity","EBIT_TO_CASH_INTEREST_PAID","FQ3 2024","FQ3 2024","Currency=USD","Period=FQ","BEST_FPERIOD_OVERRIDE=FQ","FILING_STATUS=MR","FA_ADJUSTED=GAAP","Sort=A","Dates=H","DateFormat=P","Fill=—","Direction=H","UseDPDF=Y")</f>
        <v>3.0878999999999999</v>
      </c>
      <c r="AA24" s="14">
        <f>_xll.BDH("SRPT US Equity","EBIT_TO_CASH_INTEREST_PAID","FQ4 2024","FQ4 2024","Currency=USD","Period=FQ","BEST_FPERIOD_OVERRIDE=FQ","FILING_STATUS=MR","FA_ADJUSTED=GAAP","Sort=A","Dates=H","DateFormat=P","Fill=—","Direction=H","UseDPDF=Y")</f>
        <v>235.34350000000001</v>
      </c>
    </row>
    <row r="25" spans="1:27" x14ac:dyDescent="0.25">
      <c r="A25" s="10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25">
      <c r="A26" s="10" t="s">
        <v>1488</v>
      </c>
      <c r="B26" s="10" t="s">
        <v>1257</v>
      </c>
      <c r="C26" s="13">
        <f>_xll.BDH("SRPT US Equity","CF_ACT_CASH_PAID_FOR_INT_DEBT","FQ4 2018","FQ4 2018","Currency=USD","Period=FQ","BEST_FPERIOD_OVERRIDE=FQ","FILING_STATUS=MR","SCALING_FORMAT=MLN","Sort=A","Dates=H","DateFormat=P","Fill=—","Direction=H","UseDPDF=Y")</f>
        <v>4.4470000000000001</v>
      </c>
      <c r="D26" s="13">
        <f>_xll.BDH("SRPT US Equity","CF_ACT_CASH_PAID_FOR_INT_DEBT","FQ1 2019","FQ1 2019","Currency=USD","Period=FQ","BEST_FPERIOD_OVERRIDE=FQ","FILING_STATUS=MR","SCALING_FORMAT=MLN","Sort=A","Dates=H","DateFormat=P","Fill=—","Direction=H","UseDPDF=Y")</f>
        <v>0</v>
      </c>
      <c r="E26" s="13">
        <f>_xll.BDH("SRPT US Equity","CF_ACT_CASH_PAID_FOR_INT_DEBT","FQ2 2019","FQ2 2019","Currency=USD","Period=FQ","BEST_FPERIOD_OVERRIDE=FQ","FILING_STATUS=MR","SCALING_FORMAT=MLN","Sort=A","Dates=H","DateFormat=P","Fill=—","Direction=H","UseDPDF=Y")</f>
        <v>4.2750000000000004</v>
      </c>
      <c r="F26" s="13">
        <f>_xll.BDH("SRPT US Equity","CF_ACT_CASH_PAID_FOR_INT_DEBT","FQ3 2019","FQ3 2019","Currency=USD","Period=FQ","BEST_FPERIOD_OVERRIDE=FQ","FILING_STATUS=MR","SCALING_FORMAT=MLN","Sort=A","Dates=H","DateFormat=P","Fill=—","Direction=H","UseDPDF=Y")</f>
        <v>0</v>
      </c>
      <c r="G26" s="13">
        <f>_xll.BDH("SRPT US Equity","CF_ACT_CASH_PAID_FOR_INT_DEBT","FQ4 2019","FQ4 2019","Currency=USD","Period=FQ","BEST_FPERIOD_OVERRIDE=FQ","FILING_STATUS=MR","SCALING_FORMAT=MLN","Sort=A","Dates=H","DateFormat=P","Fill=—","Direction=H","UseDPDF=Y")</f>
        <v>5.2080000000000002</v>
      </c>
      <c r="H26" s="13">
        <f>_xll.BDH("SRPT US Equity","CF_ACT_CASH_PAID_FOR_INT_DEBT","FQ1 2020","FQ1 2020","Currency=USD","Period=FQ","BEST_FPERIOD_OVERRIDE=FQ","FILING_STATUS=MR","SCALING_FORMAT=MLN","Sort=A","Dates=H","DateFormat=P","Fill=—","Direction=H","UseDPDF=Y")</f>
        <v>5.3849999999999998</v>
      </c>
      <c r="I26" s="13">
        <f>_xll.BDH("SRPT US Equity","CF_ACT_CASH_PAID_FOR_INT_DEBT","FQ2 2020","FQ2 2020","Currency=USD","Period=FQ","BEST_FPERIOD_OVERRIDE=FQ","FILING_STATUS=MR","SCALING_FORMAT=MLN","Sort=A","Dates=H","DateFormat=P","Fill=—","Direction=H","UseDPDF=Y")</f>
        <v>9.6470000000000002</v>
      </c>
      <c r="J26" s="13">
        <f>_xll.BDH("SRPT US Equity","CF_ACT_CASH_PAID_FOR_INT_DEBT","FQ3 2020","FQ3 2020","Currency=USD","Period=FQ","BEST_FPERIOD_OVERRIDE=FQ","FILING_STATUS=MR","SCALING_FORMAT=MLN","Sort=A","Dates=H","DateFormat=P","Fill=—","Direction=H","UseDPDF=Y")</f>
        <v>5.43</v>
      </c>
      <c r="K26" s="13">
        <f>_xll.BDH("SRPT US Equity","CF_ACT_CASH_PAID_FOR_INT_DEBT","FQ4 2020","FQ4 2020","Currency=USD","Period=FQ","BEST_FPERIOD_OVERRIDE=FQ","FILING_STATUS=MR","SCALING_FORMAT=MLN","Sort=A","Dates=H","DateFormat=P","Fill=—","Direction=H","UseDPDF=Y")</f>
        <v>16.466000000000001</v>
      </c>
      <c r="L26" s="13">
        <f>_xll.BDH("SRPT US Equity","CF_ACT_CASH_PAID_FOR_INT_DEBT","FQ1 2021","FQ1 2021","Currency=USD","Period=FQ","BEST_FPERIOD_OVERRIDE=FQ","FILING_STATUS=MR","SCALING_FORMAT=MLN","Sort=A","Dates=H","DateFormat=P","Fill=—","Direction=H","UseDPDF=Y")</f>
        <v>11.688000000000001</v>
      </c>
      <c r="M26" s="13">
        <f>_xll.BDH("SRPT US Equity","CF_ACT_CASH_PAID_FOR_INT_DEBT","FQ2 2021","FQ2 2021","Currency=USD","Period=FQ","BEST_FPERIOD_OVERRIDE=FQ","FILING_STATUS=MR","SCALING_FORMAT=MLN","Sort=A","Dates=H","DateFormat=P","Fill=—","Direction=H","UseDPDF=Y")</f>
        <v>16.091999999999999</v>
      </c>
      <c r="N26" s="13">
        <f>_xll.BDH("SRPT US Equity","CF_ACT_CASH_PAID_FOR_INT_DEBT","FQ3 2021","FQ3 2021","Currency=USD","Period=FQ","BEST_FPERIOD_OVERRIDE=FQ","FILING_STATUS=MR","SCALING_FORMAT=MLN","Sort=A","Dates=H","DateFormat=P","Fill=—","Direction=H","UseDPDF=Y")</f>
        <v>11.946999999999999</v>
      </c>
      <c r="O26" s="13">
        <f>_xll.BDH("SRPT US Equity","CF_ACT_CASH_PAID_FOR_INT_DEBT","FQ4 2021","FQ4 2021","Currency=USD","Period=FQ","BEST_FPERIOD_OVERRIDE=FQ","FILING_STATUS=MR","SCALING_FORMAT=MLN","Sort=A","Dates=H","DateFormat=P","Fill=—","Direction=H","UseDPDF=Y")</f>
        <v>16.222000000000001</v>
      </c>
      <c r="P26" s="13">
        <f>_xll.BDH("SRPT US Equity","CF_ACT_CASH_PAID_FOR_INT_DEBT","FQ1 2022","FQ1 2022","Currency=USD","Period=FQ","BEST_FPERIOD_OVERRIDE=FQ","FILING_STATUS=MR","SCALING_FORMAT=MLN","Sort=A","Dates=H","DateFormat=P","Fill=—","Direction=H","UseDPDF=Y")</f>
        <v>11.688000000000001</v>
      </c>
      <c r="Q26" s="13">
        <f>_xll.BDH("SRPT US Equity","CF_ACT_CASH_PAID_FOR_INT_DEBT","FQ2 2022","FQ2 2022","Currency=USD","Period=FQ","BEST_FPERIOD_OVERRIDE=FQ","FILING_STATUS=MR","SCALING_FORMAT=MLN","Sort=A","Dates=H","DateFormat=P","Fill=—","Direction=H","UseDPDF=Y")</f>
        <v>16.091999999999999</v>
      </c>
      <c r="R26" s="13">
        <f>_xll.BDH("SRPT US Equity","CF_ACT_CASH_PAID_FOR_INT_DEBT","FQ3 2022","FQ3 2022","Currency=USD","Period=FQ","BEST_FPERIOD_OVERRIDE=FQ","FILING_STATUS=MR","SCALING_FORMAT=MLN","Sort=A","Dates=H","DateFormat=P","Fill=—","Direction=H","UseDPDF=Y")</f>
        <v>13.493</v>
      </c>
      <c r="S26" s="13">
        <f>_xll.BDH("SRPT US Equity","CF_ACT_CASH_PAID_FOR_INT_DEBT","FQ4 2022","FQ4 2022","Currency=USD","Period=FQ","BEST_FPERIOD_OVERRIDE=FQ","FILING_STATUS=MR","SCALING_FORMAT=MLN","Sort=A","Dates=H","DateFormat=P","Fill=—","Direction=H","UseDPDF=Y")</f>
        <v>3.145</v>
      </c>
      <c r="T26" s="13">
        <f>_xll.BDH("SRPT US Equity","CF_ACT_CASH_PAID_FOR_INT_DEBT","FQ1 2023","FQ1 2023","Currency=USD","Period=FQ","BEST_FPERIOD_OVERRIDE=FQ","FILING_STATUS=MR","SCALING_FORMAT=MLN","Sort=A","Dates=H","DateFormat=P","Fill=—","Direction=H","UseDPDF=Y")</f>
        <v>7.0229999999999997</v>
      </c>
      <c r="U26" s="13">
        <f>_xll.BDH("SRPT US Equity","CF_ACT_CASH_PAID_FOR_INT_DEBT","FQ2 2023","FQ2 2023","Currency=USD","Period=FQ","BEST_FPERIOD_OVERRIDE=FQ","FILING_STATUS=MR","SCALING_FORMAT=MLN","Sort=A","Dates=H","DateFormat=P","Fill=—","Direction=H","UseDPDF=Y")</f>
        <v>0.79400000000000004</v>
      </c>
      <c r="V26" s="13">
        <f>_xll.BDH("SRPT US Equity","CF_ACT_CASH_PAID_FOR_INT_DEBT","FQ3 2023","FQ3 2023","Currency=USD","Period=FQ","BEST_FPERIOD_OVERRIDE=FQ","FILING_STATUS=MR","SCALING_FORMAT=MLN","Sort=A","Dates=H","DateFormat=P","Fill=—","Direction=H","UseDPDF=Y")</f>
        <v>7.3120000000000003</v>
      </c>
      <c r="W26" s="13">
        <f>_xll.BDH("SRPT US Equity","CF_ACT_CASH_PAID_FOR_INT_DEBT","FQ4 2023","FQ4 2023","Currency=USD","Period=FQ","BEST_FPERIOD_OVERRIDE=FQ","FILING_STATUS=MR","SCALING_FORMAT=MLN","Sort=A","Dates=H","DateFormat=P","Fill=—","Direction=H","UseDPDF=Y")</f>
        <v>0.79400000000000004</v>
      </c>
      <c r="X26" s="13">
        <f>_xll.BDH("SRPT US Equity","CF_ACT_CASH_PAID_FOR_INT_DEBT","FQ1 2024","FQ1 2024","Currency=USD","Period=FQ","BEST_FPERIOD_OVERRIDE=FQ","FILING_STATUS=MR","SCALING_FORMAT=MLN","Sort=A","Dates=H","DateFormat=P","Fill=—","Direction=H","UseDPDF=Y")</f>
        <v>7.1879999999999997</v>
      </c>
      <c r="Y26" s="13">
        <f>_xll.BDH("SRPT US Equity","CF_ACT_CASH_PAID_FOR_INT_DEBT","FQ2 2024","FQ2 2024","Currency=USD","Period=FQ","BEST_FPERIOD_OVERRIDE=FQ","FILING_STATUS=MR","SCALING_FORMAT=MLN","Sort=A","Dates=H","DateFormat=P","Fill=—","Direction=H","UseDPDF=Y")</f>
        <v>0.79300000000000004</v>
      </c>
      <c r="Z26" s="13">
        <f>_xll.BDH("SRPT US Equity","CF_ACT_CASH_PAID_FOR_INT_DEBT","FQ3 2024","FQ3 2024","Currency=USD","Period=FQ","BEST_FPERIOD_OVERRIDE=FQ","FILING_STATUS=MR","SCALING_FORMAT=MLN","Sort=A","Dates=H","DateFormat=P","Fill=—","Direction=H","UseDPDF=Y")</f>
        <v>7.1879999999999997</v>
      </c>
      <c r="AA26" s="13">
        <f>_xll.BDH("SRPT US Equity","CF_ACT_CASH_PAID_FOR_INT_DEBT","FQ4 2024","FQ4 2024","Currency=USD","Period=FQ","BEST_FPERIOD_OVERRIDE=FQ","FILING_STATUS=MR","SCALING_FORMAT=MLN","Sort=A","Dates=H","DateFormat=P","Fill=—","Direction=H","UseDPDF=Y")</f>
        <v>0.68700000000000006</v>
      </c>
    </row>
    <row r="27" spans="1:27" x14ac:dyDescent="0.25">
      <c r="A27" s="10" t="s">
        <v>504</v>
      </c>
      <c r="B27" s="10" t="s">
        <v>335</v>
      </c>
      <c r="C27" s="13" t="str">
        <f>_xll.BDH("SRPT US Equity","IS_INT_EXPENSE","FQ4 2018","FQ4 2018","Currency=USD","Period=FQ","BEST_FPERIOD_OVERRIDE=FQ","FILING_STATUS=MR","SCALING_FORMAT=MLN","FA_ADJUSTED=GAAP","Sort=A","Dates=H","DateFormat=P","Fill=—","Direction=H","UseDPDF=Y")</f>
        <v>—</v>
      </c>
      <c r="D27" s="13" t="str">
        <f>_xll.BDH("SRPT US Equity","IS_INT_EXPENSE","FQ1 2019","FQ1 2019","Currency=USD","Period=FQ","BEST_FPERIOD_OVERRIDE=FQ","FILING_STATUS=MR","SCALING_FORMAT=MLN","FA_ADJUSTED=GAAP","Sort=A","Dates=H","DateFormat=P","Fill=—","Direction=H","UseDPDF=Y")</f>
        <v>—</v>
      </c>
      <c r="E27" s="13" t="str">
        <f>_xll.BDH("SRPT US Equity","IS_INT_EXPENSE","FQ2 2019","FQ2 2019","Currency=USD","Period=FQ","BEST_FPERIOD_OVERRIDE=FQ","FILING_STATUS=MR","SCALING_FORMAT=MLN","FA_ADJUSTED=GAAP","Sort=A","Dates=H","DateFormat=P","Fill=—","Direction=H","UseDPDF=Y")</f>
        <v>—</v>
      </c>
      <c r="F27" s="13">
        <f>_xll.BDH("SRPT US Equity","IS_INT_EXPENSE","FQ3 2019","FQ3 2019","Currency=USD","Period=FQ","BEST_FPERIOD_OVERRIDE=FQ","FILING_STATUS=MR","SCALING_FORMAT=MLN","FA_ADJUSTED=GAAP","Sort=A","Dates=H","DateFormat=P","Fill=—","Direction=H","UseDPDF=Y")</f>
        <v>3.4289999999999998</v>
      </c>
      <c r="G27" s="13">
        <f>_xll.BDH("SRPT US Equity","IS_INT_EXPENSE","FQ4 2019","FQ4 2019","Currency=USD","Period=FQ","BEST_FPERIOD_OVERRIDE=FQ","FILING_STATUS=MR","SCALING_FORMAT=MLN","FA_ADJUSTED=GAAP","Sort=A","Dates=H","DateFormat=P","Fill=—","Direction=H","UseDPDF=Y")</f>
        <v>6.0419999999999998</v>
      </c>
      <c r="H27" s="13">
        <f>_xll.BDH("SRPT US Equity","IS_INT_EXPENSE","FQ1 2020","FQ1 2020","Currency=USD","Period=FQ","BEST_FPERIOD_OVERRIDE=FQ","FILING_STATUS=MR","SCALING_FORMAT=MLN","FA_ADJUSTED=GAAP","Sort=A","Dates=H","DateFormat=P","Fill=—","Direction=H","UseDPDF=Y")</f>
        <v>10.651</v>
      </c>
      <c r="I27" s="13">
        <f>_xll.BDH("SRPT US Equity","IS_INT_EXPENSE","FQ2 2020","FQ2 2020","Currency=USD","Period=FQ","BEST_FPERIOD_OVERRIDE=FQ","FILING_STATUS=MR","SCALING_FORMAT=MLN","FA_ADJUSTED=GAAP","Sort=A","Dates=H","DateFormat=P","Fill=—","Direction=H","UseDPDF=Y")</f>
        <v>12.714</v>
      </c>
      <c r="J27" s="13">
        <f>_xll.BDH("SRPT US Equity","IS_INT_EXPENSE","FQ3 2020","FQ3 2020","Currency=USD","Period=FQ","BEST_FPERIOD_OVERRIDE=FQ","FILING_STATUS=MR","SCALING_FORMAT=MLN","FA_ADJUSTED=GAAP","Sort=A","Dates=H","DateFormat=P","Fill=—","Direction=H","UseDPDF=Y")</f>
        <v>13.576000000000001</v>
      </c>
      <c r="K27" s="13">
        <f>_xll.BDH("SRPT US Equity","IS_INT_EXPENSE","FQ4 2020","FQ4 2020","Currency=USD","Period=FQ","BEST_FPERIOD_OVERRIDE=FQ","FILING_STATUS=MR","SCALING_FORMAT=MLN","FA_ADJUSTED=GAAP","Sort=A","Dates=H","DateFormat=P","Fill=—","Direction=H","UseDPDF=Y")</f>
        <v>18.516999999999999</v>
      </c>
      <c r="L27" s="13">
        <f>_xll.BDH("SRPT US Equity","IS_INT_EXPENSE","FQ1 2021","FQ1 2021","Currency=USD","Period=FQ","BEST_FPERIOD_OVERRIDE=FQ","FILING_STATUS=MR","SCALING_FORMAT=MLN","FA_ADJUSTED=GAAP","Sort=A","Dates=H","DateFormat=P","Fill=—","Direction=H","UseDPDF=Y")</f>
        <v>15.515000000000001</v>
      </c>
      <c r="M27" s="13">
        <f>_xll.BDH("SRPT US Equity","IS_INT_EXPENSE","FQ2 2021","FQ2 2021","Currency=USD","Period=FQ","BEST_FPERIOD_OVERRIDE=FQ","FILING_STATUS=MR","SCALING_FORMAT=MLN","FA_ADJUSTED=GAAP","Sort=A","Dates=H","DateFormat=P","Fill=—","Direction=H","UseDPDF=Y")</f>
        <v>15.81</v>
      </c>
      <c r="N27" s="13">
        <f>_xll.BDH("SRPT US Equity","IS_INT_EXPENSE","FQ3 2021","FQ3 2021","Currency=USD","Period=FQ","BEST_FPERIOD_OVERRIDE=FQ","FILING_STATUS=MR","SCALING_FORMAT=MLN","FA_ADJUSTED=GAAP","Sort=A","Dates=H","DateFormat=P","Fill=—","Direction=H","UseDPDF=Y")</f>
        <v>15.994999999999999</v>
      </c>
      <c r="O27" s="13">
        <f>_xll.BDH("SRPT US Equity","IS_INT_EXPENSE","FQ4 2021","FQ4 2021","Currency=USD","Period=FQ","BEST_FPERIOD_OVERRIDE=FQ","FILING_STATUS=MR","SCALING_FORMAT=MLN","FA_ADJUSTED=GAAP","Sort=A","Dates=H","DateFormat=P","Fill=—","Direction=H","UseDPDF=Y")</f>
        <v>16.047999999999998</v>
      </c>
      <c r="P27" s="13">
        <f>_xll.BDH("SRPT US Equity","IS_INT_EXPENSE","FQ1 2022","FQ1 2022","Currency=USD","Period=FQ","BEST_FPERIOD_OVERRIDE=FQ","FILING_STATUS=MR","SCALING_FORMAT=MLN","FA_ADJUSTED=GAAP","Sort=A","Dates=H","DateFormat=P","Fill=—","Direction=H","UseDPDF=Y")</f>
        <v>15.795999999999999</v>
      </c>
      <c r="Q27" s="13">
        <f>_xll.BDH("SRPT US Equity","IS_INT_EXPENSE","FQ2 2022","FQ2 2022","Currency=USD","Period=FQ","BEST_FPERIOD_OVERRIDE=FQ","FILING_STATUS=MR","SCALING_FORMAT=MLN","FA_ADJUSTED=GAAP","Sort=A","Dates=H","DateFormat=P","Fill=—","Direction=H","UseDPDF=Y")</f>
        <v>14.696999999999999</v>
      </c>
      <c r="R27" s="13">
        <f>_xll.BDH("SRPT US Equity","IS_INT_EXPENSE","FQ3 2022","FQ3 2022","Currency=USD","Period=FQ","BEST_FPERIOD_OVERRIDE=FQ","FILING_STATUS=MR","SCALING_FORMAT=MLN","FA_ADJUSTED=GAAP","Sort=A","Dates=H","DateFormat=P","Fill=—","Direction=H","UseDPDF=Y")</f>
        <v>11.301</v>
      </c>
      <c r="S27" s="13">
        <f>_xll.BDH("SRPT US Equity","IS_INT_EXPENSE","FQ4 2022","FQ4 2022","Currency=USD","Period=FQ","BEST_FPERIOD_OVERRIDE=FQ","FILING_STATUS=MR","SCALING_FORMAT=MLN","FA_ADJUSTED=GAAP","Sort=A","Dates=H","DateFormat=P","Fill=—","Direction=H","UseDPDF=Y")</f>
        <v>0.26100000000000001</v>
      </c>
      <c r="T27" s="13">
        <f>_xll.BDH("SRPT US Equity","IS_INT_EXPENSE","FQ1 2023","FQ1 2023","Currency=USD","Period=FQ","BEST_FPERIOD_OVERRIDE=FQ","FILING_STATUS=MR","SCALING_FORMAT=MLN","FA_ADJUSTED=GAAP","Sort=A","Dates=H","DateFormat=P","Fill=—","Direction=H","UseDPDF=Y")</f>
        <v>6.3230000000000004</v>
      </c>
      <c r="U27" s="13">
        <f>_xll.BDH("SRPT US Equity","IS_INT_EXPENSE","FQ2 2023","FQ2 2023","Currency=USD","Period=FQ","BEST_FPERIOD_OVERRIDE=FQ","FILING_STATUS=MR","SCALING_FORMAT=MLN","FA_ADJUSTED=GAAP","Sort=A","Dates=H","DateFormat=P","Fill=—","Direction=H","UseDPDF=Y")</f>
        <v>5.2240000000000002</v>
      </c>
      <c r="V27" s="13">
        <f>_xll.BDH("SRPT US Equity","IS_INT_EXPENSE","FQ3 2023","FQ3 2023","Currency=USD","Period=FQ","BEST_FPERIOD_OVERRIDE=FQ","FILING_STATUS=MR","SCALING_FORMAT=MLN","FA_ADJUSTED=GAAP","Sort=A","Dates=H","DateFormat=P","Fill=—","Direction=H","UseDPDF=Y")</f>
        <v>5.2290000000000001</v>
      </c>
      <c r="W27" s="13">
        <f>_xll.BDH("SRPT US Equity","IS_INT_EXPENSE","FQ4 2023","FQ4 2023","Currency=USD","Period=FQ","BEST_FPERIOD_OVERRIDE=FQ","FILING_STATUS=MR","SCALING_FORMAT=MLN","FA_ADJUSTED=GAAP","Sort=A","Dates=H","DateFormat=P","Fill=—","Direction=H","UseDPDF=Y")</f>
        <v>5.234</v>
      </c>
      <c r="X27" s="13">
        <f>_xll.BDH("SRPT US Equity","IS_INT_EXPENSE","FQ1 2024","FQ1 2024","Currency=USD","Period=FQ","BEST_FPERIOD_OVERRIDE=FQ","FILING_STATUS=MR","SCALING_FORMAT=MLN","FA_ADJUSTED=GAAP","Sort=A","Dates=H","DateFormat=P","Fill=—","Direction=H","UseDPDF=Y")</f>
        <v>4.1660000000000004</v>
      </c>
      <c r="Y27" s="13">
        <f>_xll.BDH("SRPT US Equity","IS_INT_EXPENSE","FQ2 2024","FQ2 2024","Currency=USD","Period=FQ","BEST_FPERIOD_OVERRIDE=FQ","FILING_STATUS=MR","SCALING_FORMAT=MLN","FA_ADJUSTED=GAAP","Sort=A","Dates=H","DateFormat=P","Fill=—","Direction=H","UseDPDF=Y")</f>
        <v>4.8319999999999999</v>
      </c>
      <c r="Z27" s="13">
        <f>_xll.BDH("SRPT US Equity","IS_INT_EXPENSE","FQ3 2024","FQ3 2024","Currency=USD","Period=FQ","BEST_FPERIOD_OVERRIDE=FQ","FILING_STATUS=MR","SCALING_FORMAT=MLN","FA_ADJUSTED=GAAP","Sort=A","Dates=H","DateFormat=P","Fill=—","Direction=H","UseDPDF=Y")</f>
        <v>4.9180000000000001</v>
      </c>
      <c r="AA27" s="13">
        <f>_xll.BDH("SRPT US Equity","IS_INT_EXPENSE","FQ4 2024","FQ4 2024","Currency=USD","Period=FQ","BEST_FPERIOD_OVERRIDE=FQ","FILING_STATUS=MR","SCALING_FORMAT=MLN","FA_ADJUSTED=GAAP","Sort=A","Dates=H","DateFormat=P","Fill=—","Direction=H","UseDPDF=Y")</f>
        <v>4.4749999999999996</v>
      </c>
    </row>
    <row r="28" spans="1:27" x14ac:dyDescent="0.25">
      <c r="A28" s="10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25">
      <c r="A29" s="10" t="s">
        <v>1489</v>
      </c>
      <c r="B29" s="10" t="s">
        <v>1490</v>
      </c>
      <c r="C29" s="14">
        <f>_xll.BDH("SRPT US Equity","COM_EQY_TO_TOT_ASSET","FQ4 2018","FQ4 2018","Currency=USD","Period=FQ","BEST_FPERIOD_OVERRIDE=FQ","FILING_STATUS=MR","Sort=A","Dates=H","DateFormat=P","Fill=—","Direction=H","UseDPDF=Y")</f>
        <v>62.864100000000001</v>
      </c>
      <c r="D29" s="14">
        <f>_xll.BDH("SRPT US Equity","COM_EQY_TO_TOT_ASSET","FQ1 2019","FQ1 2019","Currency=USD","Period=FQ","BEST_FPERIOD_OVERRIDE=FQ","FILING_STATUS=MR","Sort=A","Dates=H","DateFormat=P","Fill=—","Direction=H","UseDPDF=Y")</f>
        <v>68.6678</v>
      </c>
      <c r="E29" s="14">
        <f>_xll.BDH("SRPT US Equity","COM_EQY_TO_TOT_ASSET","FQ2 2019","FQ2 2019","Currency=USD","Period=FQ","BEST_FPERIOD_OVERRIDE=FQ","FILING_STATUS=MR","Sort=A","Dates=H","DateFormat=P","Fill=—","Direction=H","UseDPDF=Y")</f>
        <v>62.890300000000003</v>
      </c>
      <c r="F29" s="14">
        <f>_xll.BDH("SRPT US Equity","COM_EQY_TO_TOT_ASSET","FQ3 2019","FQ3 2019","Currency=USD","Period=FQ","BEST_FPERIOD_OVERRIDE=FQ","FILING_STATUS=MR","Sort=A","Dates=H","DateFormat=P","Fill=—","Direction=H","UseDPDF=Y")</f>
        <v>58.456499999999998</v>
      </c>
      <c r="G29" s="14">
        <f>_xll.BDH("SRPT US Equity","COM_EQY_TO_TOT_ASSET","FQ4 2019","FQ4 2019","Currency=USD","Period=FQ","BEST_FPERIOD_OVERRIDE=FQ","FILING_STATUS=MR","Sort=A","Dates=H","DateFormat=P","Fill=—","Direction=H","UseDPDF=Y")</f>
        <v>44.8857</v>
      </c>
      <c r="H29" s="14">
        <f>_xll.BDH("SRPT US Equity","COM_EQY_TO_TOT_ASSET","FQ1 2020","FQ1 2020","Currency=USD","Period=FQ","BEST_FPERIOD_OVERRIDE=FQ","FILING_STATUS=MR","Sort=A","Dates=H","DateFormat=P","Fill=—","Direction=H","UseDPDF=Y")</f>
        <v>38.842100000000002</v>
      </c>
      <c r="I29" s="14">
        <f>_xll.BDH("SRPT US Equity","COM_EQY_TO_TOT_ASSET","FQ2 2020","FQ2 2020","Currency=USD","Period=FQ","BEST_FPERIOD_OVERRIDE=FQ","FILING_STATUS=MR","Sort=A","Dates=H","DateFormat=P","Fill=—","Direction=H","UseDPDF=Y")</f>
        <v>36.172400000000003</v>
      </c>
      <c r="J29" s="14">
        <f>_xll.BDH("SRPT US Equity","COM_EQY_TO_TOT_ASSET","FQ3 2020","FQ3 2020","Currency=USD","Period=FQ","BEST_FPERIOD_OVERRIDE=FQ","FILING_STATUS=MR","Sort=A","Dates=H","DateFormat=P","Fill=—","Direction=H","UseDPDF=Y")</f>
        <v>32.080399999999997</v>
      </c>
      <c r="K29" s="14">
        <f>_xll.BDH("SRPT US Equity","COM_EQY_TO_TOT_ASSET","FQ4 2020","FQ4 2020","Currency=USD","Period=FQ","BEST_FPERIOD_OVERRIDE=FQ","FILING_STATUS=MR","Sort=A","Dates=H","DateFormat=P","Fill=—","Direction=H","UseDPDF=Y")</f>
        <v>25.521999999999998</v>
      </c>
      <c r="L29" s="14">
        <f>_xll.BDH("SRPT US Equity","COM_EQY_TO_TOT_ASSET","FQ1 2021","FQ1 2021","Currency=USD","Period=FQ","BEST_FPERIOD_OVERRIDE=FQ","FILING_STATUS=MR","Sort=A","Dates=H","DateFormat=P","Fill=—","Direction=H","UseDPDF=Y")</f>
        <v>19.363499999999998</v>
      </c>
      <c r="M29" s="14">
        <f>_xll.BDH("SRPT US Equity","COM_EQY_TO_TOT_ASSET","FQ2 2021","FQ2 2021","Currency=USD","Period=FQ","BEST_FPERIOD_OVERRIDE=FQ","FILING_STATUS=MR","Sort=A","Dates=H","DateFormat=P","Fill=—","Direction=H","UseDPDF=Y")</f>
        <v>17.5823</v>
      </c>
      <c r="N29" s="14">
        <f>_xll.BDH("SRPT US Equity","COM_EQY_TO_TOT_ASSET","FQ3 2021","FQ3 2021","Currency=USD","Period=FQ","BEST_FPERIOD_OVERRIDE=FQ","FILING_STATUS=MR","Sort=A","Dates=H","DateFormat=P","Fill=—","Direction=H","UseDPDF=Y")</f>
        <v>17.636700000000001</v>
      </c>
      <c r="O29" s="14">
        <f>_xll.BDH("SRPT US Equity","COM_EQY_TO_TOT_ASSET","FQ4 2021","FQ4 2021","Currency=USD","Period=FQ","BEST_FPERIOD_OVERRIDE=FQ","FILING_STATUS=MR","Sort=A","Dates=H","DateFormat=P","Fill=—","Direction=H","UseDPDF=Y")</f>
        <v>29.479600000000001</v>
      </c>
      <c r="P29" s="14">
        <f>_xll.BDH("SRPT US Equity","COM_EQY_TO_TOT_ASSET","FQ1 2022","FQ1 2022","Currency=USD","Period=FQ","BEST_FPERIOD_OVERRIDE=FQ","FILING_STATUS=MR","Sort=A","Dates=H","DateFormat=P","Fill=—","Direction=H","UseDPDF=Y")</f>
        <v>28.0381</v>
      </c>
      <c r="Q29" s="14">
        <f>_xll.BDH("SRPT US Equity","COM_EQY_TO_TOT_ASSET","FQ2 2022","FQ2 2022","Currency=USD","Period=FQ","BEST_FPERIOD_OVERRIDE=FQ","FILING_STATUS=MR","Sort=A","Dates=H","DateFormat=P","Fill=—","Direction=H","UseDPDF=Y")</f>
        <v>24.2407</v>
      </c>
      <c r="R29" s="14">
        <f>_xll.BDH("SRPT US Equity","COM_EQY_TO_TOT_ASSET","FQ3 2022","FQ3 2022","Currency=USD","Period=FQ","BEST_FPERIOD_OVERRIDE=FQ","FILING_STATUS=MR","Sort=A","Dates=H","DateFormat=P","Fill=—","Direction=H","UseDPDF=Y")</f>
        <v>13.6508</v>
      </c>
      <c r="S29" s="14">
        <f>_xll.BDH("SRPT US Equity","COM_EQY_TO_TOT_ASSET","FQ4 2022","FQ4 2022","Currency=USD","Period=FQ","BEST_FPERIOD_OVERRIDE=FQ","FILING_STATUS=MR","Sort=A","Dates=H","DateFormat=P","Fill=—","Direction=H","UseDPDF=Y")</f>
        <v>12.305099999999999</v>
      </c>
      <c r="T29" s="14">
        <f>_xll.BDH("SRPT US Equity","COM_EQY_TO_TOT_ASSET","FQ1 2023","FQ1 2023","Currency=USD","Period=FQ","BEST_FPERIOD_OVERRIDE=FQ","FILING_STATUS=MR","Sort=A","Dates=H","DateFormat=P","Fill=—","Direction=H","UseDPDF=Y")</f>
        <v>23.2941</v>
      </c>
      <c r="U29" s="14">
        <f>_xll.BDH("SRPT US Equity","COM_EQY_TO_TOT_ASSET","FQ2 2023","FQ2 2023","Currency=USD","Period=FQ","BEST_FPERIOD_OVERRIDE=FQ","FILING_STATUS=MR","Sort=A","Dates=H","DateFormat=P","Fill=—","Direction=H","UseDPDF=Y")</f>
        <v>23.718399999999999</v>
      </c>
      <c r="V29" s="14">
        <f>_xll.BDH("SRPT US Equity","COM_EQY_TO_TOT_ASSET","FQ3 2023","FQ3 2023","Currency=USD","Period=FQ","BEST_FPERIOD_OVERRIDE=FQ","FILING_STATUS=MR","Sort=A","Dates=H","DateFormat=P","Fill=—","Direction=H","UseDPDF=Y")</f>
        <v>24.579699999999999</v>
      </c>
      <c r="W29" s="14">
        <f>_xll.BDH("SRPT US Equity","COM_EQY_TO_TOT_ASSET","FQ4 2023","FQ4 2023","Currency=USD","Period=FQ","BEST_FPERIOD_OVERRIDE=FQ","FILING_STATUS=MR","Sort=A","Dates=H","DateFormat=P","Fill=—","Direction=H","UseDPDF=Y")</f>
        <v>26.3231</v>
      </c>
      <c r="X29" s="14">
        <f>_xll.BDH("SRPT US Equity","COM_EQY_TO_TOT_ASSET","FQ1 2024","FQ1 2024","Currency=USD","Period=FQ","BEST_FPERIOD_OVERRIDE=FQ","FILING_STATUS=MR","Sort=A","Dates=H","DateFormat=P","Fill=—","Direction=H","UseDPDF=Y")</f>
        <v>29.810099999999998</v>
      </c>
      <c r="Y29" s="14">
        <f>_xll.BDH("SRPT US Equity","COM_EQY_TO_TOT_ASSET","FQ2 2024","FQ2 2024","Currency=USD","Period=FQ","BEST_FPERIOD_OVERRIDE=FQ","FILING_STATUS=MR","Sort=A","Dates=H","DateFormat=P","Fill=—","Direction=H","UseDPDF=Y")</f>
        <v>31.4541</v>
      </c>
      <c r="Z29" s="14">
        <f>_xll.BDH("SRPT US Equity","COM_EQY_TO_TOT_ASSET","FQ3 2024","FQ3 2024","Currency=USD","Period=FQ","BEST_FPERIOD_OVERRIDE=FQ","FILING_STATUS=MR","Sort=A","Dates=H","DateFormat=P","Fill=—","Direction=H","UseDPDF=Y")</f>
        <v>33.9193</v>
      </c>
      <c r="AA29" s="14">
        <f>_xll.BDH("SRPT US Equity","COM_EQY_TO_TOT_ASSET","FQ4 2024","FQ4 2024","Currency=USD","Period=FQ","BEST_FPERIOD_OVERRIDE=FQ","FILING_STATUS=MR","Sort=A","Dates=H","DateFormat=P","Fill=—","Direction=H","UseDPDF=Y")</f>
        <v>38.548499999999997</v>
      </c>
    </row>
    <row r="30" spans="1:27" x14ac:dyDescent="0.25">
      <c r="A30" s="10" t="s">
        <v>1491</v>
      </c>
      <c r="B30" s="10" t="s">
        <v>1492</v>
      </c>
      <c r="C30" s="14">
        <f>_xll.BDH("SRPT US Equity","LT_DEBT_TO_TOT_EQY","FQ4 2018","FQ4 2018","Currency=USD","Period=FQ","BEST_FPERIOD_OVERRIDE=FQ","FILING_STATUS=MR","Sort=A","Dates=H","DateFormat=P","Fill=—","Direction=H","UseDPDF=Y")</f>
        <v>40.740499999999997</v>
      </c>
      <c r="D30" s="14">
        <f>_xll.BDH("SRPT US Equity","LT_DEBT_TO_TOT_EQY","FQ1 2019","FQ1 2019","Currency=USD","Period=FQ","BEST_FPERIOD_OVERRIDE=FQ","FILING_STATUS=MR","Sort=A","Dates=H","DateFormat=P","Fill=—","Direction=H","UseDPDF=Y")</f>
        <v>35.439</v>
      </c>
      <c r="E30" s="14">
        <f>_xll.BDH("SRPT US Equity","LT_DEBT_TO_TOT_EQY","FQ2 2019","FQ2 2019","Currency=USD","Period=FQ","BEST_FPERIOD_OVERRIDE=FQ","FILING_STATUS=MR","Sort=A","Dates=H","DateFormat=P","Fill=—","Direction=H","UseDPDF=Y")</f>
        <v>43.783099999999997</v>
      </c>
      <c r="F30" s="14">
        <f>_xll.BDH("SRPT US Equity","LT_DEBT_TO_TOT_EQY","FQ3 2019","FQ3 2019","Currency=USD","Period=FQ","BEST_FPERIOD_OVERRIDE=FQ","FILING_STATUS=MR","Sort=A","Dates=H","DateFormat=P","Fill=—","Direction=H","UseDPDF=Y")</f>
        <v>48.850499999999997</v>
      </c>
      <c r="G30" s="14">
        <f>_xll.BDH("SRPT US Equity","LT_DEBT_TO_TOT_EQY","FQ4 2019","FQ4 2019","Currency=USD","Period=FQ","BEST_FPERIOD_OVERRIDE=FQ","FILING_STATUS=MR","Sort=A","Dates=H","DateFormat=P","Fill=—","Direction=H","UseDPDF=Y")</f>
        <v>89.175200000000004</v>
      </c>
      <c r="H30" s="14">
        <f>_xll.BDH("SRPT US Equity","LT_DEBT_TO_TOT_EQY","FQ1 2020","FQ1 2020","Currency=USD","Period=FQ","BEST_FPERIOD_OVERRIDE=FQ","FILING_STATUS=MR","Sort=A","Dates=H","DateFormat=P","Fill=—","Direction=H","UseDPDF=Y")</f>
        <v>65.792900000000003</v>
      </c>
      <c r="I30" s="14">
        <f>_xll.BDH("SRPT US Equity","LT_DEBT_TO_TOT_EQY","FQ2 2020","FQ2 2020","Currency=USD","Period=FQ","BEST_FPERIOD_OVERRIDE=FQ","FILING_STATUS=MR","Sort=A","Dates=H","DateFormat=P","Fill=—","Direction=H","UseDPDF=Y")</f>
        <v>73.504800000000003</v>
      </c>
      <c r="J30" s="14">
        <f>_xll.BDH("SRPT US Equity","LT_DEBT_TO_TOT_EQY","FQ3 2020","FQ3 2020","Currency=USD","Period=FQ","BEST_FPERIOD_OVERRIDE=FQ","FILING_STATUS=MR","Sort=A","Dates=H","DateFormat=P","Fill=—","Direction=H","UseDPDF=Y")</f>
        <v>86.172499999999999</v>
      </c>
      <c r="K30" s="14">
        <f>_xll.BDH("SRPT US Equity","LT_DEBT_TO_TOT_EQY","FQ4 2020","FQ4 2020","Currency=USD","Period=FQ","BEST_FPERIOD_OVERRIDE=FQ","FILING_STATUS=MR","Sort=A","Dates=H","DateFormat=P","Fill=—","Direction=H","UseDPDF=Y")</f>
        <v>140.8398</v>
      </c>
      <c r="L30" s="14">
        <f>_xll.BDH("SRPT US Equity","LT_DEBT_TO_TOT_EQY","FQ1 2021","FQ1 2021","Currency=USD","Period=FQ","BEST_FPERIOD_OVERRIDE=FQ","FILING_STATUS=MR","Sort=A","Dates=H","DateFormat=P","Fill=—","Direction=H","UseDPDF=Y")</f>
        <v>215.108</v>
      </c>
      <c r="M30" s="14">
        <f>_xll.BDH("SRPT US Equity","LT_DEBT_TO_TOT_EQY","FQ2 2021","FQ2 2021","Currency=USD","Period=FQ","BEST_FPERIOD_OVERRIDE=FQ","FILING_STATUS=MR","Sort=A","Dates=H","DateFormat=P","Fill=—","Direction=H","UseDPDF=Y")</f>
        <v>238.7654</v>
      </c>
      <c r="N30" s="14">
        <f>_xll.BDH("SRPT US Equity","LT_DEBT_TO_TOT_EQY","FQ3 2021","FQ3 2021","Currency=USD","Period=FQ","BEST_FPERIOD_OVERRIDE=FQ","FILING_STATUS=MR","Sort=A","Dates=H","DateFormat=P","Fill=—","Direction=H","UseDPDF=Y")</f>
        <v>246.70310000000001</v>
      </c>
      <c r="O30" s="14">
        <f>_xll.BDH("SRPT US Equity","LT_DEBT_TO_TOT_EQY","FQ4 2021","FQ4 2021","Currency=USD","Period=FQ","BEST_FPERIOD_OVERRIDE=FQ","FILING_STATUS=MR","Sort=A","Dates=H","DateFormat=P","Fill=—","Direction=H","UseDPDF=Y")</f>
        <v>122.6699</v>
      </c>
      <c r="P30" s="14">
        <f>_xll.BDH("SRPT US Equity","LT_DEBT_TO_TOT_EQY","FQ1 2022","FQ1 2022","Currency=USD","Period=FQ","BEST_FPERIOD_OVERRIDE=FQ","FILING_STATUS=MR","Sort=A","Dates=H","DateFormat=P","Fill=—","Direction=H","UseDPDF=Y")</f>
        <v>132.74430000000001</v>
      </c>
      <c r="Q30" s="14">
        <f>_xll.BDH("SRPT US Equity","LT_DEBT_TO_TOT_EQY","FQ2 2022","FQ2 2022","Currency=USD","Period=FQ","BEST_FPERIOD_OVERRIDE=FQ","FILING_STATUS=MR","Sort=A","Dates=H","DateFormat=P","Fill=—","Direction=H","UseDPDF=Y")</f>
        <v>156.95920000000001</v>
      </c>
      <c r="R30" s="14">
        <f>_xll.BDH("SRPT US Equity","LT_DEBT_TO_TOT_EQY","FQ3 2022","FQ3 2022","Currency=USD","Period=FQ","BEST_FPERIOD_OVERRIDE=FQ","FILING_STATUS=MR","Sort=A","Dates=H","DateFormat=P","Fill=—","Direction=H","UseDPDF=Y")</f>
        <v>366.26100000000002</v>
      </c>
      <c r="S30" s="14">
        <f>_xll.BDH("SRPT US Equity","LT_DEBT_TO_TOT_EQY","FQ4 2022","FQ4 2022","Currency=USD","Period=FQ","BEST_FPERIOD_OVERRIDE=FQ","FILING_STATUS=MR","Sort=A","Dates=H","DateFormat=P","Fill=—","Direction=H","UseDPDF=Y")</f>
        <v>416.12419999999997</v>
      </c>
      <c r="T30" s="14">
        <f>_xll.BDH("SRPT US Equity","LT_DEBT_TO_TOT_EQY","FQ1 2023","FQ1 2023","Currency=USD","Period=FQ","BEST_FPERIOD_OVERRIDE=FQ","FILING_STATUS=MR","Sort=A","Dates=H","DateFormat=P","Fill=—","Direction=H","UseDPDF=Y")</f>
        <v>180.7389</v>
      </c>
      <c r="U30" s="14">
        <f>_xll.BDH("SRPT US Equity","LT_DEBT_TO_TOT_EQY","FQ2 2023","FQ2 2023","Currency=USD","Period=FQ","BEST_FPERIOD_OVERRIDE=FQ","FILING_STATUS=MR","Sort=A","Dates=H","DateFormat=P","Fill=—","Direction=H","UseDPDF=Y")</f>
        <v>184.06620000000001</v>
      </c>
      <c r="V30" s="14">
        <f>_xll.BDH("SRPT US Equity","LT_DEBT_TO_TOT_EQY","FQ3 2023","FQ3 2023","Currency=USD","Period=FQ","BEST_FPERIOD_OVERRIDE=FQ","FILING_STATUS=MR","Sort=A","Dates=H","DateFormat=P","Fill=—","Direction=H","UseDPDF=Y")</f>
        <v>179.43279999999999</v>
      </c>
      <c r="W30" s="14">
        <f>_xll.BDH("SRPT US Equity","LT_DEBT_TO_TOT_EQY","FQ4 2023","FQ4 2023","Currency=USD","Period=FQ","BEST_FPERIOD_OVERRIDE=FQ","FILING_STATUS=MR","Sort=A","Dates=H","DateFormat=P","Fill=—","Direction=H","UseDPDF=Y")</f>
        <v>148.19329999999999</v>
      </c>
      <c r="X30" s="14">
        <f>_xll.BDH("SRPT US Equity","LT_DEBT_TO_TOT_EQY","FQ1 2024","FQ1 2024","Currency=USD","Period=FQ","BEST_FPERIOD_OVERRIDE=FQ","FILING_STATUS=MR","Sort=A","Dates=H","DateFormat=P","Fill=—","Direction=H","UseDPDF=Y")</f>
        <v>132.51900000000001</v>
      </c>
      <c r="Y30" s="14">
        <f>_xll.BDH("SRPT US Equity","LT_DEBT_TO_TOT_EQY","FQ2 2024","FQ2 2024","Currency=USD","Period=FQ","BEST_FPERIOD_OVERRIDE=FQ","FILING_STATUS=MR","Sort=A","Dates=H","DateFormat=P","Fill=—","Direction=H","UseDPDF=Y")</f>
        <v>118.6935</v>
      </c>
      <c r="Z30" s="14">
        <f>_xll.BDH("SRPT US Equity","LT_DEBT_TO_TOT_EQY","FQ3 2024","FQ3 2024","Currency=USD","Period=FQ","BEST_FPERIOD_OVERRIDE=FQ","FILING_STATUS=MR","Sort=A","Dates=H","DateFormat=P","Fill=—","Direction=H","UseDPDF=Y")</f>
        <v>106.9532</v>
      </c>
      <c r="AA30" s="14">
        <f>_xll.BDH("SRPT US Equity","LT_DEBT_TO_TOT_EQY","FQ4 2024","FQ4 2024","Currency=USD","Period=FQ","BEST_FPERIOD_OVERRIDE=FQ","FILING_STATUS=MR","Sort=A","Dates=H","DateFormat=P","Fill=—","Direction=H","UseDPDF=Y")</f>
        <v>87.030199999999994</v>
      </c>
    </row>
    <row r="31" spans="1:27" x14ac:dyDescent="0.25">
      <c r="A31" s="10" t="s">
        <v>1493</v>
      </c>
      <c r="B31" s="10" t="s">
        <v>1494</v>
      </c>
      <c r="C31" s="14">
        <f>_xll.BDH("SRPT US Equity","LT_DEBT_TO_TOT_CAP","FQ4 2018","FQ4 2018","Currency=USD","Period=FQ","BEST_FPERIOD_OVERRIDE=FQ","FILING_STATUS=MR","Sort=A","Dates=H","DateFormat=P","Fill=—","Direction=H","UseDPDF=Y")</f>
        <v>28.947199999999999</v>
      </c>
      <c r="D31" s="14">
        <f>_xll.BDH("SRPT US Equity","LT_DEBT_TO_TOT_CAP","FQ1 2019","FQ1 2019","Currency=USD","Period=FQ","BEST_FPERIOD_OVERRIDE=FQ","FILING_STATUS=MR","Sort=A","Dates=H","DateFormat=P","Fill=—","Direction=H","UseDPDF=Y")</f>
        <v>26.069500000000001</v>
      </c>
      <c r="E31" s="14">
        <f>_xll.BDH("SRPT US Equity","LT_DEBT_TO_TOT_CAP","FQ2 2019","FQ2 2019","Currency=USD","Period=FQ","BEST_FPERIOD_OVERRIDE=FQ","FILING_STATUS=MR","Sort=A","Dates=H","DateFormat=P","Fill=—","Direction=H","UseDPDF=Y")</f>
        <v>30.313400000000001</v>
      </c>
      <c r="F31" s="14">
        <f>_xll.BDH("SRPT US Equity","LT_DEBT_TO_TOT_CAP","FQ3 2019","FQ3 2019","Currency=USD","Period=FQ","BEST_FPERIOD_OVERRIDE=FQ","FILING_STATUS=MR","Sort=A","Dates=H","DateFormat=P","Fill=—","Direction=H","UseDPDF=Y")</f>
        <v>32.6511</v>
      </c>
      <c r="G31" s="14">
        <f>_xll.BDH("SRPT US Equity","LT_DEBT_TO_TOT_CAP","FQ4 2019","FQ4 2019","Currency=USD","Period=FQ","BEST_FPERIOD_OVERRIDE=FQ","FILING_STATUS=MR","Sort=A","Dates=H","DateFormat=P","Fill=—","Direction=H","UseDPDF=Y")</f>
        <v>46.901200000000003</v>
      </c>
      <c r="H31" s="14">
        <f>_xll.BDH("SRPT US Equity","LT_DEBT_TO_TOT_CAP","FQ1 2020","FQ1 2020","Currency=USD","Period=FQ","BEST_FPERIOD_OVERRIDE=FQ","FILING_STATUS=MR","Sort=A","Dates=H","DateFormat=P","Fill=—","Direction=H","UseDPDF=Y")</f>
        <v>39.683799999999998</v>
      </c>
      <c r="I31" s="14">
        <f>_xll.BDH("SRPT US Equity","LT_DEBT_TO_TOT_CAP","FQ2 2020","FQ2 2020","Currency=USD","Period=FQ","BEST_FPERIOD_OVERRIDE=FQ","FILING_STATUS=MR","Sort=A","Dates=H","DateFormat=P","Fill=—","Direction=H","UseDPDF=Y")</f>
        <v>42.364699999999999</v>
      </c>
      <c r="J31" s="14">
        <f>_xll.BDH("SRPT US Equity","LT_DEBT_TO_TOT_CAP","FQ3 2020","FQ3 2020","Currency=USD","Period=FQ","BEST_FPERIOD_OVERRIDE=FQ","FILING_STATUS=MR","Sort=A","Dates=H","DateFormat=P","Fill=—","Direction=H","UseDPDF=Y")</f>
        <v>46.2864</v>
      </c>
      <c r="K31" s="14">
        <f>_xll.BDH("SRPT US Equity","LT_DEBT_TO_TOT_CAP","FQ4 2020","FQ4 2020","Currency=USD","Period=FQ","BEST_FPERIOD_OVERRIDE=FQ","FILING_STATUS=MR","Sort=A","Dates=H","DateFormat=P","Fill=—","Direction=H","UseDPDF=Y")</f>
        <v>57.819000000000003</v>
      </c>
      <c r="L31" s="14">
        <f>_xll.BDH("SRPT US Equity","LT_DEBT_TO_TOT_CAP","FQ1 2021","FQ1 2021","Currency=USD","Period=FQ","BEST_FPERIOD_OVERRIDE=FQ","FILING_STATUS=MR","Sort=A","Dates=H","DateFormat=P","Fill=—","Direction=H","UseDPDF=Y")</f>
        <v>68.264799999999994</v>
      </c>
      <c r="M31" s="14">
        <f>_xll.BDH("SRPT US Equity","LT_DEBT_TO_TOT_CAP","FQ2 2021","FQ2 2021","Currency=USD","Period=FQ","BEST_FPERIOD_OVERRIDE=FQ","FILING_STATUS=MR","Sort=A","Dates=H","DateFormat=P","Fill=—","Direction=H","UseDPDF=Y")</f>
        <v>70.480999999999995</v>
      </c>
      <c r="N31" s="14">
        <f>_xll.BDH("SRPT US Equity","LT_DEBT_TO_TOT_CAP","FQ3 2021","FQ3 2021","Currency=USD","Period=FQ","BEST_FPERIOD_OVERRIDE=FQ","FILING_STATUS=MR","Sort=A","Dates=H","DateFormat=P","Fill=—","Direction=H","UseDPDF=Y")</f>
        <v>71.156899999999993</v>
      </c>
      <c r="O31" s="14">
        <f>_xll.BDH("SRPT US Equity","LT_DEBT_TO_TOT_CAP","FQ4 2021","FQ4 2021","Currency=USD","Period=FQ","BEST_FPERIOD_OVERRIDE=FQ","FILING_STATUS=MR","Sort=A","Dates=H","DateFormat=P","Fill=—","Direction=H","UseDPDF=Y")</f>
        <v>54.6922</v>
      </c>
      <c r="P31" s="14">
        <f>_xll.BDH("SRPT US Equity","LT_DEBT_TO_TOT_CAP","FQ1 2022","FQ1 2022","Currency=USD","Period=FQ","BEST_FPERIOD_OVERRIDE=FQ","FILING_STATUS=MR","Sort=A","Dates=H","DateFormat=P","Fill=—","Direction=H","UseDPDF=Y")</f>
        <v>57.034399999999998</v>
      </c>
      <c r="Q31" s="14">
        <f>_xll.BDH("SRPT US Equity","LT_DEBT_TO_TOT_CAP","FQ2 2022","FQ2 2022","Currency=USD","Period=FQ","BEST_FPERIOD_OVERRIDE=FQ","FILING_STATUS=MR","Sort=A","Dates=H","DateFormat=P","Fill=—","Direction=H","UseDPDF=Y")</f>
        <v>61.083300000000001</v>
      </c>
      <c r="R31" s="14">
        <f>_xll.BDH("SRPT US Equity","LT_DEBT_TO_TOT_CAP","FQ3 2022","FQ3 2022","Currency=USD","Period=FQ","BEST_FPERIOD_OVERRIDE=FQ","FILING_STATUS=MR","Sort=A","Dates=H","DateFormat=P","Fill=—","Direction=H","UseDPDF=Y")</f>
        <v>78.552800000000005</v>
      </c>
      <c r="S31" s="14">
        <f>_xll.BDH("SRPT US Equity","LT_DEBT_TO_TOT_CAP","FQ4 2022","FQ4 2022","Currency=USD","Period=FQ","BEST_FPERIOD_OVERRIDE=FQ","FILING_STATUS=MR","Sort=A","Dates=H","DateFormat=P","Fill=—","Direction=H","UseDPDF=Y")</f>
        <v>80.001099999999994</v>
      </c>
      <c r="T31" s="14">
        <f>_xll.BDH("SRPT US Equity","LT_DEBT_TO_TOT_CAP","FQ1 2023","FQ1 2023","Currency=USD","Period=FQ","BEST_FPERIOD_OVERRIDE=FQ","FILING_STATUS=MR","Sort=A","Dates=H","DateFormat=P","Fill=—","Direction=H","UseDPDF=Y")</f>
        <v>64.3797</v>
      </c>
      <c r="U31" s="14">
        <f>_xll.BDH("SRPT US Equity","LT_DEBT_TO_TOT_CAP","FQ2 2023","FQ2 2023","Currency=USD","Period=FQ","BEST_FPERIOD_OVERRIDE=FQ","FILING_STATUS=MR","Sort=A","Dates=H","DateFormat=P","Fill=—","Direction=H","UseDPDF=Y")</f>
        <v>64.796899999999994</v>
      </c>
      <c r="V31" s="14">
        <f>_xll.BDH("SRPT US Equity","LT_DEBT_TO_TOT_CAP","FQ3 2023","FQ3 2023","Currency=USD","Period=FQ","BEST_FPERIOD_OVERRIDE=FQ","FILING_STATUS=MR","Sort=A","Dates=H","DateFormat=P","Fill=—","Direction=H","UseDPDF=Y")</f>
        <v>63.677999999999997</v>
      </c>
      <c r="W31" s="14">
        <f>_xll.BDH("SRPT US Equity","LT_DEBT_TO_TOT_CAP","FQ4 2023","FQ4 2023","Currency=USD","Period=FQ","BEST_FPERIOD_OVERRIDE=FQ","FILING_STATUS=MR","Sort=A","Dates=H","DateFormat=P","Fill=—","Direction=H","UseDPDF=Y")</f>
        <v>56.445</v>
      </c>
      <c r="X31" s="14">
        <f>_xll.BDH("SRPT US Equity","LT_DEBT_TO_TOT_CAP","FQ1 2024","FQ1 2024","Currency=USD","Period=FQ","BEST_FPERIOD_OVERRIDE=FQ","FILING_STATUS=MR","Sort=A","Dates=H","DateFormat=P","Fill=—","Direction=H","UseDPDF=Y")</f>
        <v>54.421700000000001</v>
      </c>
      <c r="Y31" s="14">
        <f>_xll.BDH("SRPT US Equity","LT_DEBT_TO_TOT_CAP","FQ2 2024","FQ2 2024","Currency=USD","Period=FQ","BEST_FPERIOD_OVERRIDE=FQ","FILING_STATUS=MR","Sort=A","Dates=H","DateFormat=P","Fill=—","Direction=H","UseDPDF=Y")</f>
        <v>52.244300000000003</v>
      </c>
      <c r="Z31" s="14">
        <f>_xll.BDH("SRPT US Equity","LT_DEBT_TO_TOT_CAP","FQ3 2024","FQ3 2024","Currency=USD","Period=FQ","BEST_FPERIOD_OVERRIDE=FQ","FILING_STATUS=MR","Sort=A","Dates=H","DateFormat=P","Fill=—","Direction=H","UseDPDF=Y")</f>
        <v>49.872199999999999</v>
      </c>
      <c r="AA31" s="14">
        <f>_xll.BDH("SRPT US Equity","LT_DEBT_TO_TOT_CAP","FQ4 2024","FQ4 2024","Currency=USD","Period=FQ","BEST_FPERIOD_OVERRIDE=FQ","FILING_STATUS=MR","Sort=A","Dates=H","DateFormat=P","Fill=—","Direction=H","UseDPDF=Y")</f>
        <v>46.314300000000003</v>
      </c>
    </row>
    <row r="32" spans="1:27" x14ac:dyDescent="0.25">
      <c r="A32" s="10" t="s">
        <v>1495</v>
      </c>
      <c r="B32" s="10" t="s">
        <v>1496</v>
      </c>
      <c r="C32" s="14">
        <f>_xll.BDH("SRPT US Equity","LT_DEBT_TO_TOT_ASSET","FQ4 2018","FQ4 2018","Currency=USD","Period=FQ","BEST_FPERIOD_OVERRIDE=FQ","FILING_STATUS=MR","Sort=A","Dates=H","DateFormat=P","Fill=—","Direction=H","UseDPDF=Y")</f>
        <v>25.6111</v>
      </c>
      <c r="D32" s="14">
        <f>_xll.BDH("SRPT US Equity","LT_DEBT_TO_TOT_ASSET","FQ1 2019","FQ1 2019","Currency=USD","Period=FQ","BEST_FPERIOD_OVERRIDE=FQ","FILING_STATUS=MR","Sort=A","Dates=H","DateFormat=P","Fill=—","Direction=H","UseDPDF=Y")</f>
        <v>24.3352</v>
      </c>
      <c r="E32" s="14">
        <f>_xll.BDH("SRPT US Equity","LT_DEBT_TO_TOT_ASSET","FQ2 2019","FQ2 2019","Currency=USD","Period=FQ","BEST_FPERIOD_OVERRIDE=FQ","FILING_STATUS=MR","Sort=A","Dates=H","DateFormat=P","Fill=—","Direction=H","UseDPDF=Y")</f>
        <v>27.535299999999999</v>
      </c>
      <c r="F32" s="14">
        <f>_xll.BDH("SRPT US Equity","LT_DEBT_TO_TOT_ASSET","FQ3 2019","FQ3 2019","Currency=USD","Period=FQ","BEST_FPERIOD_OVERRIDE=FQ","FILING_STATUS=MR","Sort=A","Dates=H","DateFormat=P","Fill=—","Direction=H","UseDPDF=Y")</f>
        <v>28.5563</v>
      </c>
      <c r="G32" s="14">
        <f>_xll.BDH("SRPT US Equity","LT_DEBT_TO_TOT_ASSET","FQ4 2019","FQ4 2019","Currency=USD","Period=FQ","BEST_FPERIOD_OVERRIDE=FQ","FILING_STATUS=MR","Sort=A","Dates=H","DateFormat=P","Fill=—","Direction=H","UseDPDF=Y")</f>
        <v>40.026899999999998</v>
      </c>
      <c r="H32" s="14">
        <f>_xll.BDH("SRPT US Equity","LT_DEBT_TO_TOT_ASSET","FQ1 2020","FQ1 2020","Currency=USD","Period=FQ","BEST_FPERIOD_OVERRIDE=FQ","FILING_STATUS=MR","Sort=A","Dates=H","DateFormat=P","Fill=—","Direction=H","UseDPDF=Y")</f>
        <v>25.555399999999999</v>
      </c>
      <c r="I32" s="14">
        <f>_xll.BDH("SRPT US Equity","LT_DEBT_TO_TOT_ASSET","FQ2 2020","FQ2 2020","Currency=USD","Period=FQ","BEST_FPERIOD_OVERRIDE=FQ","FILING_STATUS=MR","Sort=A","Dates=H","DateFormat=P","Fill=—","Direction=H","UseDPDF=Y")</f>
        <v>26.5885</v>
      </c>
      <c r="J32" s="14">
        <f>_xll.BDH("SRPT US Equity","LT_DEBT_TO_TOT_ASSET","FQ3 2020","FQ3 2020","Currency=USD","Period=FQ","BEST_FPERIOD_OVERRIDE=FQ","FILING_STATUS=MR","Sort=A","Dates=H","DateFormat=P","Fill=—","Direction=H","UseDPDF=Y")</f>
        <v>27.644400000000001</v>
      </c>
      <c r="K32" s="14">
        <f>_xll.BDH("SRPT US Equity","LT_DEBT_TO_TOT_ASSET","FQ4 2020","FQ4 2020","Currency=USD","Period=FQ","BEST_FPERIOD_OVERRIDE=FQ","FILING_STATUS=MR","Sort=A","Dates=H","DateFormat=P","Fill=—","Direction=H","UseDPDF=Y")</f>
        <v>35.945099999999996</v>
      </c>
      <c r="L32" s="14">
        <f>_xll.BDH("SRPT US Equity","LT_DEBT_TO_TOT_ASSET","FQ1 2021","FQ1 2021","Currency=USD","Period=FQ","BEST_FPERIOD_OVERRIDE=FQ","FILING_STATUS=MR","Sort=A","Dates=H","DateFormat=P","Fill=—","Direction=H","UseDPDF=Y")</f>
        <v>41.6524</v>
      </c>
      <c r="M32" s="14">
        <f>_xll.BDH("SRPT US Equity","LT_DEBT_TO_TOT_ASSET","FQ2 2021","FQ2 2021","Currency=USD","Period=FQ","BEST_FPERIOD_OVERRIDE=FQ","FILING_STATUS=MR","Sort=A","Dates=H","DateFormat=P","Fill=—","Direction=H","UseDPDF=Y")</f>
        <v>41.980400000000003</v>
      </c>
      <c r="N32" s="14">
        <f>_xll.BDH("SRPT US Equity","LT_DEBT_TO_TOT_ASSET","FQ3 2021","FQ3 2021","Currency=USD","Period=FQ","BEST_FPERIOD_OVERRIDE=FQ","FILING_STATUS=MR","Sort=A","Dates=H","DateFormat=P","Fill=—","Direction=H","UseDPDF=Y")</f>
        <v>43.510300000000001</v>
      </c>
      <c r="O32" s="14">
        <f>_xll.BDH("SRPT US Equity","LT_DEBT_TO_TOT_ASSET","FQ4 2021","FQ4 2021","Currency=USD","Period=FQ","BEST_FPERIOD_OVERRIDE=FQ","FILING_STATUS=MR","Sort=A","Dates=H","DateFormat=P","Fill=—","Direction=H","UseDPDF=Y")</f>
        <v>36.162599999999998</v>
      </c>
      <c r="P32" s="14">
        <f>_xll.BDH("SRPT US Equity","LT_DEBT_TO_TOT_ASSET","FQ1 2022","FQ1 2022","Currency=USD","Period=FQ","BEST_FPERIOD_OVERRIDE=FQ","FILING_STATUS=MR","Sort=A","Dates=H","DateFormat=P","Fill=—","Direction=H","UseDPDF=Y")</f>
        <v>37.218899999999998</v>
      </c>
      <c r="Q32" s="14">
        <f>_xll.BDH("SRPT US Equity","LT_DEBT_TO_TOT_ASSET","FQ2 2022","FQ2 2022","Currency=USD","Period=FQ","BEST_FPERIOD_OVERRIDE=FQ","FILING_STATUS=MR","Sort=A","Dates=H","DateFormat=P","Fill=—","Direction=H","UseDPDF=Y")</f>
        <v>38.047899999999998</v>
      </c>
      <c r="R32" s="14">
        <f>_xll.BDH("SRPT US Equity","LT_DEBT_TO_TOT_ASSET","FQ3 2022","FQ3 2022","Currency=USD","Period=FQ","BEST_FPERIOD_OVERRIDE=FQ","FILING_STATUS=MR","Sort=A","Dates=H","DateFormat=P","Fill=—","Direction=H","UseDPDF=Y")</f>
        <v>49.997599999999998</v>
      </c>
      <c r="S32" s="14">
        <f>_xll.BDH("SRPT US Equity","LT_DEBT_TO_TOT_ASSET","FQ4 2022","FQ4 2022","Currency=USD","Period=FQ","BEST_FPERIOD_OVERRIDE=FQ","FILING_STATUS=MR","Sort=A","Dates=H","DateFormat=P","Fill=—","Direction=H","UseDPDF=Y")</f>
        <v>51.204700000000003</v>
      </c>
      <c r="T32" s="14">
        <f>_xll.BDH("SRPT US Equity","LT_DEBT_TO_TOT_ASSET","FQ1 2023","FQ1 2023","Currency=USD","Period=FQ","BEST_FPERIOD_OVERRIDE=FQ","FILING_STATUS=MR","Sort=A","Dates=H","DateFormat=P","Fill=—","Direction=H","UseDPDF=Y")</f>
        <v>42.101500000000001</v>
      </c>
      <c r="U32" s="14">
        <f>_xll.BDH("SRPT US Equity","LT_DEBT_TO_TOT_ASSET","FQ2 2023","FQ2 2023","Currency=USD","Period=FQ","BEST_FPERIOD_OVERRIDE=FQ","FILING_STATUS=MR","Sort=A","Dates=H","DateFormat=P","Fill=—","Direction=H","UseDPDF=Y")</f>
        <v>43.657600000000002</v>
      </c>
      <c r="V32" s="14">
        <f>_xll.BDH("SRPT US Equity","LT_DEBT_TO_TOT_ASSET","FQ3 2023","FQ3 2023","Currency=USD","Period=FQ","BEST_FPERIOD_OVERRIDE=FQ","FILING_STATUS=MR","Sort=A","Dates=H","DateFormat=P","Fill=—","Direction=H","UseDPDF=Y")</f>
        <v>44.104100000000003</v>
      </c>
      <c r="W32" s="14">
        <f>_xll.BDH("SRPT US Equity","LT_DEBT_TO_TOT_ASSET","FQ4 2023","FQ4 2023","Currency=USD","Period=FQ","BEST_FPERIOD_OVERRIDE=FQ","FILING_STATUS=MR","Sort=A","Dates=H","DateFormat=P","Fill=—","Direction=H","UseDPDF=Y")</f>
        <v>39.009</v>
      </c>
      <c r="X32" s="14">
        <f>_xll.BDH("SRPT US Equity","LT_DEBT_TO_TOT_ASSET","FQ1 2024","FQ1 2024","Currency=USD","Period=FQ","BEST_FPERIOD_OVERRIDE=FQ","FILING_STATUS=MR","Sort=A","Dates=H","DateFormat=P","Fill=—","Direction=H","UseDPDF=Y")</f>
        <v>39.503999999999998</v>
      </c>
      <c r="Y32" s="14">
        <f>_xll.BDH("SRPT US Equity","LT_DEBT_TO_TOT_ASSET","FQ2 2024","FQ2 2024","Currency=USD","Period=FQ","BEST_FPERIOD_OVERRIDE=FQ","FILING_STATUS=MR","Sort=A","Dates=H","DateFormat=P","Fill=—","Direction=H","UseDPDF=Y")</f>
        <v>37.334000000000003</v>
      </c>
      <c r="Z32" s="14">
        <f>_xll.BDH("SRPT US Equity","LT_DEBT_TO_TOT_ASSET","FQ3 2024","FQ3 2024","Currency=USD","Period=FQ","BEST_FPERIOD_OVERRIDE=FQ","FILING_STATUS=MR","Sort=A","Dates=H","DateFormat=P","Fill=—","Direction=H","UseDPDF=Y")</f>
        <v>36.277700000000003</v>
      </c>
      <c r="AA32" s="14">
        <f>_xll.BDH("SRPT US Equity","LT_DEBT_TO_TOT_ASSET","FQ4 2024","FQ4 2024","Currency=USD","Period=FQ","BEST_FPERIOD_OVERRIDE=FQ","FILING_STATUS=MR","Sort=A","Dates=H","DateFormat=P","Fill=—","Direction=H","UseDPDF=Y")</f>
        <v>33.5488</v>
      </c>
    </row>
    <row r="33" spans="1:27" x14ac:dyDescent="0.25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5">
      <c r="A34" s="10" t="s">
        <v>1497</v>
      </c>
      <c r="B34" s="10" t="s">
        <v>1498</v>
      </c>
      <c r="C34" s="14">
        <f>_xll.BDH("SRPT US Equity","TOT_DEBT_TO_TOT_EQY","FQ4 2018","FQ4 2018","Currency=USD","Period=FQ","BEST_FPERIOD_OVERRIDE=FQ","FILING_STATUS=MR","Sort=A","Dates=H","DateFormat=P","Fill=—","Direction=H","UseDPDF=Y")</f>
        <v>40.740499999999997</v>
      </c>
      <c r="D34" s="14">
        <f>_xll.BDH("SRPT US Equity","TOT_DEBT_TO_TOT_EQY","FQ1 2019","FQ1 2019","Currency=USD","Period=FQ","BEST_FPERIOD_OVERRIDE=FQ","FILING_STATUS=MR","Sort=A","Dates=H","DateFormat=P","Fill=—","Direction=H","UseDPDF=Y")</f>
        <v>35.9405</v>
      </c>
      <c r="E34" s="14">
        <f>_xll.BDH("SRPT US Equity","TOT_DEBT_TO_TOT_EQY","FQ2 2019","FQ2 2019","Currency=USD","Period=FQ","BEST_FPERIOD_OVERRIDE=FQ","FILING_STATUS=MR","Sort=A","Dates=H","DateFormat=P","Fill=—","Direction=H","UseDPDF=Y")</f>
        <v>44.434600000000003</v>
      </c>
      <c r="F34" s="14">
        <f>_xll.BDH("SRPT US Equity","TOT_DEBT_TO_TOT_EQY","FQ3 2019","FQ3 2019","Currency=USD","Period=FQ","BEST_FPERIOD_OVERRIDE=FQ","FILING_STATUS=MR","Sort=A","Dates=H","DateFormat=P","Fill=—","Direction=H","UseDPDF=Y")</f>
        <v>49.613700000000001</v>
      </c>
      <c r="G34" s="14">
        <f>_xll.BDH("SRPT US Equity","TOT_DEBT_TO_TOT_EQY","FQ4 2019","FQ4 2019","Currency=USD","Period=FQ","BEST_FPERIOD_OVERRIDE=FQ","FILING_STATUS=MR","Sort=A","Dates=H","DateFormat=P","Fill=—","Direction=H","UseDPDF=Y")</f>
        <v>90.134200000000007</v>
      </c>
      <c r="H34" s="14">
        <f>_xll.BDH("SRPT US Equity","TOT_DEBT_TO_TOT_EQY","FQ1 2020","FQ1 2020","Currency=USD","Period=FQ","BEST_FPERIOD_OVERRIDE=FQ","FILING_STATUS=MR","Sort=A","Dates=H","DateFormat=P","Fill=—","Direction=H","UseDPDF=Y")</f>
        <v>65.792900000000003</v>
      </c>
      <c r="I34" s="14">
        <f>_xll.BDH("SRPT US Equity","TOT_DEBT_TO_TOT_EQY","FQ2 2020","FQ2 2020","Currency=USD","Period=FQ","BEST_FPERIOD_OVERRIDE=FQ","FILING_STATUS=MR","Sort=A","Dates=H","DateFormat=P","Fill=—","Direction=H","UseDPDF=Y")</f>
        <v>73.504800000000003</v>
      </c>
      <c r="J34" s="14">
        <f>_xll.BDH("SRPT US Equity","TOT_DEBT_TO_TOT_EQY","FQ3 2020","FQ3 2020","Currency=USD","Period=FQ","BEST_FPERIOD_OVERRIDE=FQ","FILING_STATUS=MR","Sort=A","Dates=H","DateFormat=P","Fill=—","Direction=H","UseDPDF=Y")</f>
        <v>86.172499999999999</v>
      </c>
      <c r="K34" s="14">
        <f>_xll.BDH("SRPT US Equity","TOT_DEBT_TO_TOT_EQY","FQ4 2020","FQ4 2020","Currency=USD","Period=FQ","BEST_FPERIOD_OVERRIDE=FQ","FILING_STATUS=MR","Sort=A","Dates=H","DateFormat=P","Fill=—","Direction=H","UseDPDF=Y")</f>
        <v>143.5874</v>
      </c>
      <c r="L34" s="14">
        <f>_xll.BDH("SRPT US Equity","TOT_DEBT_TO_TOT_EQY","FQ1 2021","FQ1 2021","Currency=USD","Period=FQ","BEST_FPERIOD_OVERRIDE=FQ","FILING_STATUS=MR","Sort=A","Dates=H","DateFormat=P","Fill=—","Direction=H","UseDPDF=Y")</f>
        <v>215.108</v>
      </c>
      <c r="M34" s="14">
        <f>_xll.BDH("SRPT US Equity","TOT_DEBT_TO_TOT_EQY","FQ2 2021","FQ2 2021","Currency=USD","Period=FQ","BEST_FPERIOD_OVERRIDE=FQ","FILING_STATUS=MR","Sort=A","Dates=H","DateFormat=P","Fill=—","Direction=H","UseDPDF=Y")</f>
        <v>238.7654</v>
      </c>
      <c r="N34" s="14">
        <f>_xll.BDH("SRPT US Equity","TOT_DEBT_TO_TOT_EQY","FQ3 2021","FQ3 2021","Currency=USD","Period=FQ","BEST_FPERIOD_OVERRIDE=FQ","FILING_STATUS=MR","Sort=A","Dates=H","DateFormat=P","Fill=—","Direction=H","UseDPDF=Y")</f>
        <v>246.70310000000001</v>
      </c>
      <c r="O34" s="14">
        <f>_xll.BDH("SRPT US Equity","TOT_DEBT_TO_TOT_EQY","FQ4 2021","FQ4 2021","Currency=USD","Period=FQ","BEST_FPERIOD_OVERRIDE=FQ","FILING_STATUS=MR","Sort=A","Dates=H","DateFormat=P","Fill=—","Direction=H","UseDPDF=Y")</f>
        <v>124.2916</v>
      </c>
      <c r="P34" s="14">
        <f>_xll.BDH("SRPT US Equity","TOT_DEBT_TO_TOT_EQY","FQ1 2022","FQ1 2022","Currency=USD","Period=FQ","BEST_FPERIOD_OVERRIDE=FQ","FILING_STATUS=MR","Sort=A","Dates=H","DateFormat=P","Fill=—","Direction=H","UseDPDF=Y")</f>
        <v>132.74430000000001</v>
      </c>
      <c r="Q34" s="14">
        <f>_xll.BDH("SRPT US Equity","TOT_DEBT_TO_TOT_EQY","FQ2 2022","FQ2 2022","Currency=USD","Period=FQ","BEST_FPERIOD_OVERRIDE=FQ","FILING_STATUS=MR","Sort=A","Dates=H","DateFormat=P","Fill=—","Direction=H","UseDPDF=Y")</f>
        <v>156.95920000000001</v>
      </c>
      <c r="R34" s="14">
        <f>_xll.BDH("SRPT US Equity","TOT_DEBT_TO_TOT_EQY","FQ3 2022","FQ3 2022","Currency=USD","Period=FQ","BEST_FPERIOD_OVERRIDE=FQ","FILING_STATUS=MR","Sort=A","Dates=H","DateFormat=P","Fill=—","Direction=H","UseDPDF=Y")</f>
        <v>366.26100000000002</v>
      </c>
      <c r="S34" s="14">
        <f>_xll.BDH("SRPT US Equity","TOT_DEBT_TO_TOT_EQY","FQ4 2022","FQ4 2022","Currency=USD","Period=FQ","BEST_FPERIOD_OVERRIDE=FQ","FILING_STATUS=MR","Sort=A","Dates=H","DateFormat=P","Fill=—","Direction=H","UseDPDF=Y")</f>
        <v>420.14780000000002</v>
      </c>
      <c r="T34" s="14">
        <f>_xll.BDH("SRPT US Equity","TOT_DEBT_TO_TOT_EQY","FQ1 2023","FQ1 2023","Currency=USD","Period=FQ","BEST_FPERIOD_OVERRIDE=FQ","FILING_STATUS=MR","Sort=A","Dates=H","DateFormat=P","Fill=—","Direction=H","UseDPDF=Y")</f>
        <v>180.7389</v>
      </c>
      <c r="U34" s="14">
        <f>_xll.BDH("SRPT US Equity","TOT_DEBT_TO_TOT_EQY","FQ2 2023","FQ2 2023","Currency=USD","Period=FQ","BEST_FPERIOD_OVERRIDE=FQ","FILING_STATUS=MR","Sort=A","Dates=H","DateFormat=P","Fill=—","Direction=H","UseDPDF=Y")</f>
        <v>184.06620000000001</v>
      </c>
      <c r="V34" s="14">
        <f>_xll.BDH("SRPT US Equity","TOT_DEBT_TO_TOT_EQY","FQ3 2023","FQ3 2023","Currency=USD","Period=FQ","BEST_FPERIOD_OVERRIDE=FQ","FILING_STATUS=MR","Sort=A","Dates=H","DateFormat=P","Fill=—","Direction=H","UseDPDF=Y")</f>
        <v>181.78129999999999</v>
      </c>
      <c r="W34" s="14">
        <f>_xll.BDH("SRPT US Equity","TOT_DEBT_TO_TOT_EQY","FQ4 2023","FQ4 2023","Currency=USD","Period=FQ","BEST_FPERIOD_OVERRIDE=FQ","FILING_STATUS=MR","Sort=A","Dates=H","DateFormat=P","Fill=—","Direction=H","UseDPDF=Y")</f>
        <v>162.54480000000001</v>
      </c>
      <c r="X34" s="14">
        <f>_xll.BDH("SRPT US Equity","TOT_DEBT_TO_TOT_EQY","FQ1 2024","FQ1 2024","Currency=USD","Period=FQ","BEST_FPERIOD_OVERRIDE=FQ","FILING_STATUS=MR","Sort=A","Dates=H","DateFormat=P","Fill=—","Direction=H","UseDPDF=Y")</f>
        <v>143.50389999999999</v>
      </c>
      <c r="Y34" s="14">
        <f>_xll.BDH("SRPT US Equity","TOT_DEBT_TO_TOT_EQY","FQ2 2024","FQ2 2024","Currency=USD","Period=FQ","BEST_FPERIOD_OVERRIDE=FQ","FILING_STATUS=MR","Sort=A","Dates=H","DateFormat=P","Fill=—","Direction=H","UseDPDF=Y")</f>
        <v>127.1893</v>
      </c>
      <c r="Z34" s="14">
        <f>_xll.BDH("SRPT US Equity","TOT_DEBT_TO_TOT_EQY","FQ3 2024","FQ3 2024","Currency=USD","Period=FQ","BEST_FPERIOD_OVERRIDE=FQ","FILING_STATUS=MR","Sort=A","Dates=H","DateFormat=P","Fill=—","Direction=H","UseDPDF=Y")</f>
        <v>114.45440000000001</v>
      </c>
      <c r="AA34" s="14">
        <f>_xll.BDH("SRPT US Equity","TOT_DEBT_TO_TOT_EQY","FQ4 2024","FQ4 2024","Currency=USD","Period=FQ","BEST_FPERIOD_OVERRIDE=FQ","FILING_STATUS=MR","Sort=A","Dates=H","DateFormat=P","Fill=—","Direction=H","UseDPDF=Y")</f>
        <v>87.912099999999995</v>
      </c>
    </row>
    <row r="35" spans="1:27" x14ac:dyDescent="0.25">
      <c r="A35" s="10" t="s">
        <v>1499</v>
      </c>
      <c r="B35" s="10" t="s">
        <v>175</v>
      </c>
      <c r="C35" s="14">
        <f>_xll.BDH("SRPT US Equity","TOT_DEBT_TO_TOT_CAP","FQ4 2018","FQ4 2018","Currency=USD","Period=FQ","BEST_FPERIOD_OVERRIDE=FQ","FILING_STATUS=MR","Sort=A","Dates=H","DateFormat=P","Fill=—","Direction=H","UseDPDF=Y")</f>
        <v>28.947199999999999</v>
      </c>
      <c r="D35" s="14">
        <f>_xll.BDH("SRPT US Equity","TOT_DEBT_TO_TOT_CAP","FQ1 2019","FQ1 2019","Currency=USD","Period=FQ","BEST_FPERIOD_OVERRIDE=FQ","FILING_STATUS=MR","Sort=A","Dates=H","DateFormat=P","Fill=—","Direction=H","UseDPDF=Y")</f>
        <v>26.438400000000001</v>
      </c>
      <c r="E35" s="14">
        <f>_xll.BDH("SRPT US Equity","TOT_DEBT_TO_TOT_CAP","FQ2 2019","FQ2 2019","Currency=USD","Period=FQ","BEST_FPERIOD_OVERRIDE=FQ","FILING_STATUS=MR","Sort=A","Dates=H","DateFormat=P","Fill=—","Direction=H","UseDPDF=Y")</f>
        <v>30.764500000000002</v>
      </c>
      <c r="F35" s="14">
        <f>_xll.BDH("SRPT US Equity","TOT_DEBT_TO_TOT_CAP","FQ3 2019","FQ3 2019","Currency=USD","Period=FQ","BEST_FPERIOD_OVERRIDE=FQ","FILING_STATUS=MR","Sort=A","Dates=H","DateFormat=P","Fill=—","Direction=H","UseDPDF=Y")</f>
        <v>33.161200000000001</v>
      </c>
      <c r="G35" s="14">
        <f>_xll.BDH("SRPT US Equity","TOT_DEBT_TO_TOT_CAP","FQ4 2019","FQ4 2019","Currency=USD","Period=FQ","BEST_FPERIOD_OVERRIDE=FQ","FILING_STATUS=MR","Sort=A","Dates=H","DateFormat=P","Fill=—","Direction=H","UseDPDF=Y")</f>
        <v>47.4056</v>
      </c>
      <c r="H35" s="14">
        <f>_xll.BDH("SRPT US Equity","TOT_DEBT_TO_TOT_CAP","FQ1 2020","FQ1 2020","Currency=USD","Period=FQ","BEST_FPERIOD_OVERRIDE=FQ","FILING_STATUS=MR","Sort=A","Dates=H","DateFormat=P","Fill=—","Direction=H","UseDPDF=Y")</f>
        <v>39.683799999999998</v>
      </c>
      <c r="I35" s="14">
        <f>_xll.BDH("SRPT US Equity","TOT_DEBT_TO_TOT_CAP","FQ2 2020","FQ2 2020","Currency=USD","Period=FQ","BEST_FPERIOD_OVERRIDE=FQ","FILING_STATUS=MR","Sort=A","Dates=H","DateFormat=P","Fill=—","Direction=H","UseDPDF=Y")</f>
        <v>42.364699999999999</v>
      </c>
      <c r="J35" s="14">
        <f>_xll.BDH("SRPT US Equity","TOT_DEBT_TO_TOT_CAP","FQ3 2020","FQ3 2020","Currency=USD","Period=FQ","BEST_FPERIOD_OVERRIDE=FQ","FILING_STATUS=MR","Sort=A","Dates=H","DateFormat=P","Fill=—","Direction=H","UseDPDF=Y")</f>
        <v>46.2864</v>
      </c>
      <c r="K35" s="14">
        <f>_xll.BDH("SRPT US Equity","TOT_DEBT_TO_TOT_CAP","FQ4 2020","FQ4 2020","Currency=USD","Period=FQ","BEST_FPERIOD_OVERRIDE=FQ","FILING_STATUS=MR","Sort=A","Dates=H","DateFormat=P","Fill=—","Direction=H","UseDPDF=Y")</f>
        <v>58.947000000000003</v>
      </c>
      <c r="L35" s="14">
        <f>_xll.BDH("SRPT US Equity","TOT_DEBT_TO_TOT_CAP","FQ1 2021","FQ1 2021","Currency=USD","Period=FQ","BEST_FPERIOD_OVERRIDE=FQ","FILING_STATUS=MR","Sort=A","Dates=H","DateFormat=P","Fill=—","Direction=H","UseDPDF=Y")</f>
        <v>68.264799999999994</v>
      </c>
      <c r="M35" s="14">
        <f>_xll.BDH("SRPT US Equity","TOT_DEBT_TO_TOT_CAP","FQ2 2021","FQ2 2021","Currency=USD","Period=FQ","BEST_FPERIOD_OVERRIDE=FQ","FILING_STATUS=MR","Sort=A","Dates=H","DateFormat=P","Fill=—","Direction=H","UseDPDF=Y")</f>
        <v>70.480999999999995</v>
      </c>
      <c r="N35" s="14">
        <f>_xll.BDH("SRPT US Equity","TOT_DEBT_TO_TOT_CAP","FQ3 2021","FQ3 2021","Currency=USD","Period=FQ","BEST_FPERIOD_OVERRIDE=FQ","FILING_STATUS=MR","Sort=A","Dates=H","DateFormat=P","Fill=—","Direction=H","UseDPDF=Y")</f>
        <v>71.156899999999993</v>
      </c>
      <c r="O35" s="14">
        <f>_xll.BDH("SRPT US Equity","TOT_DEBT_TO_TOT_CAP","FQ4 2021","FQ4 2021","Currency=USD","Period=FQ","BEST_FPERIOD_OVERRIDE=FQ","FILING_STATUS=MR","Sort=A","Dates=H","DateFormat=P","Fill=—","Direction=H","UseDPDF=Y")</f>
        <v>55.415199999999999</v>
      </c>
      <c r="P35" s="14">
        <f>_xll.BDH("SRPT US Equity","TOT_DEBT_TO_TOT_CAP","FQ1 2022","FQ1 2022","Currency=USD","Period=FQ","BEST_FPERIOD_OVERRIDE=FQ","FILING_STATUS=MR","Sort=A","Dates=H","DateFormat=P","Fill=—","Direction=H","UseDPDF=Y")</f>
        <v>57.034399999999998</v>
      </c>
      <c r="Q35" s="14">
        <f>_xll.BDH("SRPT US Equity","TOT_DEBT_TO_TOT_CAP","FQ2 2022","FQ2 2022","Currency=USD","Period=FQ","BEST_FPERIOD_OVERRIDE=FQ","FILING_STATUS=MR","Sort=A","Dates=H","DateFormat=P","Fill=—","Direction=H","UseDPDF=Y")</f>
        <v>61.083300000000001</v>
      </c>
      <c r="R35" s="14">
        <f>_xll.BDH("SRPT US Equity","TOT_DEBT_TO_TOT_CAP","FQ3 2022","FQ3 2022","Currency=USD","Period=FQ","BEST_FPERIOD_OVERRIDE=FQ","FILING_STATUS=MR","Sort=A","Dates=H","DateFormat=P","Fill=—","Direction=H","UseDPDF=Y")</f>
        <v>78.552800000000005</v>
      </c>
      <c r="S35" s="14">
        <f>_xll.BDH("SRPT US Equity","TOT_DEBT_TO_TOT_CAP","FQ4 2022","FQ4 2022","Currency=USD","Period=FQ","BEST_FPERIOD_OVERRIDE=FQ","FILING_STATUS=MR","Sort=A","Dates=H","DateFormat=P","Fill=—","Direction=H","UseDPDF=Y")</f>
        <v>80.774699999999996</v>
      </c>
      <c r="T35" s="14">
        <f>_xll.BDH("SRPT US Equity","TOT_DEBT_TO_TOT_CAP","FQ1 2023","FQ1 2023","Currency=USD","Period=FQ","BEST_FPERIOD_OVERRIDE=FQ","FILING_STATUS=MR","Sort=A","Dates=H","DateFormat=P","Fill=—","Direction=H","UseDPDF=Y")</f>
        <v>64.3797</v>
      </c>
      <c r="U35" s="14">
        <f>_xll.BDH("SRPT US Equity","TOT_DEBT_TO_TOT_CAP","FQ2 2023","FQ2 2023","Currency=USD","Period=FQ","BEST_FPERIOD_OVERRIDE=FQ","FILING_STATUS=MR","Sort=A","Dates=H","DateFormat=P","Fill=—","Direction=H","UseDPDF=Y")</f>
        <v>64.796899999999994</v>
      </c>
      <c r="V35" s="14">
        <f>_xll.BDH("SRPT US Equity","TOT_DEBT_TO_TOT_CAP","FQ3 2023","FQ3 2023","Currency=USD","Period=FQ","BEST_FPERIOD_OVERRIDE=FQ","FILING_STATUS=MR","Sort=A","Dates=H","DateFormat=P","Fill=—","Direction=H","UseDPDF=Y")</f>
        <v>64.511499999999998</v>
      </c>
      <c r="W35" s="14">
        <f>_xll.BDH("SRPT US Equity","TOT_DEBT_TO_TOT_CAP","FQ4 2023","FQ4 2023","Currency=USD","Period=FQ","BEST_FPERIOD_OVERRIDE=FQ","FILING_STATUS=MR","Sort=A","Dates=H","DateFormat=P","Fill=—","Direction=H","UseDPDF=Y")</f>
        <v>61.911299999999997</v>
      </c>
      <c r="X35" s="14">
        <f>_xll.BDH("SRPT US Equity","TOT_DEBT_TO_TOT_CAP","FQ1 2024","FQ1 2024","Currency=USD","Period=FQ","BEST_FPERIOD_OVERRIDE=FQ","FILING_STATUS=MR","Sort=A","Dates=H","DateFormat=P","Fill=—","Direction=H","UseDPDF=Y")</f>
        <v>58.932899999999997</v>
      </c>
      <c r="Y35" s="14">
        <f>_xll.BDH("SRPT US Equity","TOT_DEBT_TO_TOT_CAP","FQ2 2024","FQ2 2024","Currency=USD","Period=FQ","BEST_FPERIOD_OVERRIDE=FQ","FILING_STATUS=MR","Sort=A","Dates=H","DateFormat=P","Fill=—","Direction=H","UseDPDF=Y")</f>
        <v>55.983800000000002</v>
      </c>
      <c r="Z35" s="14">
        <f>_xll.BDH("SRPT US Equity","TOT_DEBT_TO_TOT_CAP","FQ3 2024","FQ3 2024","Currency=USD","Period=FQ","BEST_FPERIOD_OVERRIDE=FQ","FILING_STATUS=MR","Sort=A","Dates=H","DateFormat=P","Fill=—","Direction=H","UseDPDF=Y")</f>
        <v>53.37</v>
      </c>
      <c r="AA35" s="14">
        <f>_xll.BDH("SRPT US Equity","TOT_DEBT_TO_TOT_CAP","FQ4 2024","FQ4 2024","Currency=USD","Period=FQ","BEST_FPERIOD_OVERRIDE=FQ","FILING_STATUS=MR","Sort=A","Dates=H","DateFormat=P","Fill=—","Direction=H","UseDPDF=Y")</f>
        <v>46.7836</v>
      </c>
    </row>
    <row r="36" spans="1:27" x14ac:dyDescent="0.25">
      <c r="A36" s="10" t="s">
        <v>1500</v>
      </c>
      <c r="B36" s="10" t="s">
        <v>1501</v>
      </c>
      <c r="C36" s="14">
        <f>_xll.BDH("SRPT US Equity","TOT_DEBT_TO_TOT_ASSET","FQ4 2018","FQ4 2018","Currency=USD","Period=FQ","BEST_FPERIOD_OVERRIDE=FQ","FILING_STATUS=MR","Sort=A","Dates=H","DateFormat=P","Fill=—","Direction=H","UseDPDF=Y")</f>
        <v>25.6111</v>
      </c>
      <c r="D36" s="14">
        <f>_xll.BDH("SRPT US Equity","TOT_DEBT_TO_TOT_ASSET","FQ1 2019","FQ1 2019","Currency=USD","Period=FQ","BEST_FPERIOD_OVERRIDE=FQ","FILING_STATUS=MR","Sort=A","Dates=H","DateFormat=P","Fill=—","Direction=H","UseDPDF=Y")</f>
        <v>24.679600000000001</v>
      </c>
      <c r="E36" s="14">
        <f>_xll.BDH("SRPT US Equity","TOT_DEBT_TO_TOT_ASSET","FQ2 2019","FQ2 2019","Currency=USD","Period=FQ","BEST_FPERIOD_OVERRIDE=FQ","FILING_STATUS=MR","Sort=A","Dates=H","DateFormat=P","Fill=—","Direction=H","UseDPDF=Y")</f>
        <v>27.945</v>
      </c>
      <c r="F36" s="14">
        <f>_xll.BDH("SRPT US Equity","TOT_DEBT_TO_TOT_ASSET","FQ3 2019","FQ3 2019","Currency=USD","Period=FQ","BEST_FPERIOD_OVERRIDE=FQ","FILING_STATUS=MR","Sort=A","Dates=H","DateFormat=P","Fill=—","Direction=H","UseDPDF=Y")</f>
        <v>29.002400000000002</v>
      </c>
      <c r="G36" s="14">
        <f>_xll.BDH("SRPT US Equity","TOT_DEBT_TO_TOT_ASSET","FQ4 2019","FQ4 2019","Currency=USD","Period=FQ","BEST_FPERIOD_OVERRIDE=FQ","FILING_STATUS=MR","Sort=A","Dates=H","DateFormat=P","Fill=—","Direction=H","UseDPDF=Y")</f>
        <v>40.4574</v>
      </c>
      <c r="H36" s="14">
        <f>_xll.BDH("SRPT US Equity","TOT_DEBT_TO_TOT_ASSET","FQ1 2020","FQ1 2020","Currency=USD","Period=FQ","BEST_FPERIOD_OVERRIDE=FQ","FILING_STATUS=MR","Sort=A","Dates=H","DateFormat=P","Fill=—","Direction=H","UseDPDF=Y")</f>
        <v>25.555399999999999</v>
      </c>
      <c r="I36" s="14">
        <f>_xll.BDH("SRPT US Equity","TOT_DEBT_TO_TOT_ASSET","FQ2 2020","FQ2 2020","Currency=USD","Period=FQ","BEST_FPERIOD_OVERRIDE=FQ","FILING_STATUS=MR","Sort=A","Dates=H","DateFormat=P","Fill=—","Direction=H","UseDPDF=Y")</f>
        <v>26.5885</v>
      </c>
      <c r="J36" s="14">
        <f>_xll.BDH("SRPT US Equity","TOT_DEBT_TO_TOT_ASSET","FQ3 2020","FQ3 2020","Currency=USD","Period=FQ","BEST_FPERIOD_OVERRIDE=FQ","FILING_STATUS=MR","Sort=A","Dates=H","DateFormat=P","Fill=—","Direction=H","UseDPDF=Y")</f>
        <v>27.644400000000001</v>
      </c>
      <c r="K36" s="14">
        <f>_xll.BDH("SRPT US Equity","TOT_DEBT_TO_TOT_ASSET","FQ4 2020","FQ4 2020","Currency=USD","Period=FQ","BEST_FPERIOD_OVERRIDE=FQ","FILING_STATUS=MR","Sort=A","Dates=H","DateFormat=P","Fill=—","Direction=H","UseDPDF=Y")</f>
        <v>36.646299999999997</v>
      </c>
      <c r="L36" s="14">
        <f>_xll.BDH("SRPT US Equity","TOT_DEBT_TO_TOT_ASSET","FQ1 2021","FQ1 2021","Currency=USD","Period=FQ","BEST_FPERIOD_OVERRIDE=FQ","FILING_STATUS=MR","Sort=A","Dates=H","DateFormat=P","Fill=—","Direction=H","UseDPDF=Y")</f>
        <v>41.6524</v>
      </c>
      <c r="M36" s="14">
        <f>_xll.BDH("SRPT US Equity","TOT_DEBT_TO_TOT_ASSET","FQ2 2021","FQ2 2021","Currency=USD","Period=FQ","BEST_FPERIOD_OVERRIDE=FQ","FILING_STATUS=MR","Sort=A","Dates=H","DateFormat=P","Fill=—","Direction=H","UseDPDF=Y")</f>
        <v>41.980400000000003</v>
      </c>
      <c r="N36" s="14">
        <f>_xll.BDH("SRPT US Equity","TOT_DEBT_TO_TOT_ASSET","FQ3 2021","FQ3 2021","Currency=USD","Period=FQ","BEST_FPERIOD_OVERRIDE=FQ","FILING_STATUS=MR","Sort=A","Dates=H","DateFormat=P","Fill=—","Direction=H","UseDPDF=Y")</f>
        <v>43.510300000000001</v>
      </c>
      <c r="O36" s="14">
        <f>_xll.BDH("SRPT US Equity","TOT_DEBT_TO_TOT_ASSET","FQ4 2021","FQ4 2021","Currency=USD","Period=FQ","BEST_FPERIOD_OVERRIDE=FQ","FILING_STATUS=MR","Sort=A","Dates=H","DateFormat=P","Fill=—","Direction=H","UseDPDF=Y")</f>
        <v>36.640599999999999</v>
      </c>
      <c r="P36" s="14">
        <f>_xll.BDH("SRPT US Equity","TOT_DEBT_TO_TOT_ASSET","FQ1 2022","FQ1 2022","Currency=USD","Period=FQ","BEST_FPERIOD_OVERRIDE=FQ","FILING_STATUS=MR","Sort=A","Dates=H","DateFormat=P","Fill=—","Direction=H","UseDPDF=Y")</f>
        <v>37.218899999999998</v>
      </c>
      <c r="Q36" s="14">
        <f>_xll.BDH("SRPT US Equity","TOT_DEBT_TO_TOT_ASSET","FQ2 2022","FQ2 2022","Currency=USD","Period=FQ","BEST_FPERIOD_OVERRIDE=FQ","FILING_STATUS=MR","Sort=A","Dates=H","DateFormat=P","Fill=—","Direction=H","UseDPDF=Y")</f>
        <v>38.047899999999998</v>
      </c>
      <c r="R36" s="14">
        <f>_xll.BDH("SRPT US Equity","TOT_DEBT_TO_TOT_ASSET","FQ3 2022","FQ3 2022","Currency=USD","Period=FQ","BEST_FPERIOD_OVERRIDE=FQ","FILING_STATUS=MR","Sort=A","Dates=H","DateFormat=P","Fill=—","Direction=H","UseDPDF=Y")</f>
        <v>49.997599999999998</v>
      </c>
      <c r="S36" s="14">
        <f>_xll.BDH("SRPT US Equity","TOT_DEBT_TO_TOT_ASSET","FQ4 2022","FQ4 2022","Currency=USD","Period=FQ","BEST_FPERIOD_OVERRIDE=FQ","FILING_STATUS=MR","Sort=A","Dates=H","DateFormat=P","Fill=—","Direction=H","UseDPDF=Y")</f>
        <v>51.699800000000003</v>
      </c>
      <c r="T36" s="14">
        <f>_xll.BDH("SRPT US Equity","TOT_DEBT_TO_TOT_ASSET","FQ1 2023","FQ1 2023","Currency=USD","Period=FQ","BEST_FPERIOD_OVERRIDE=FQ","FILING_STATUS=MR","Sort=A","Dates=H","DateFormat=P","Fill=—","Direction=H","UseDPDF=Y")</f>
        <v>42.101500000000001</v>
      </c>
      <c r="U36" s="14">
        <f>_xll.BDH("SRPT US Equity","TOT_DEBT_TO_TOT_ASSET","FQ2 2023","FQ2 2023","Currency=USD","Period=FQ","BEST_FPERIOD_OVERRIDE=FQ","FILING_STATUS=MR","Sort=A","Dates=H","DateFormat=P","Fill=—","Direction=H","UseDPDF=Y")</f>
        <v>43.657600000000002</v>
      </c>
      <c r="V36" s="14">
        <f>_xll.BDH("SRPT US Equity","TOT_DEBT_TO_TOT_ASSET","FQ3 2023","FQ3 2023","Currency=USD","Period=FQ","BEST_FPERIOD_OVERRIDE=FQ","FILING_STATUS=MR","Sort=A","Dates=H","DateFormat=P","Fill=—","Direction=H","UseDPDF=Y")</f>
        <v>44.6813</v>
      </c>
      <c r="W36" s="14">
        <f>_xll.BDH("SRPT US Equity","TOT_DEBT_TO_TOT_ASSET","FQ4 2023","FQ4 2023","Currency=USD","Period=FQ","BEST_FPERIOD_OVERRIDE=FQ","FILING_STATUS=MR","Sort=A","Dates=H","DateFormat=P","Fill=—","Direction=H","UseDPDF=Y")</f>
        <v>42.786799999999999</v>
      </c>
      <c r="X36" s="14">
        <f>_xll.BDH("SRPT US Equity","TOT_DEBT_TO_TOT_ASSET","FQ1 2024","FQ1 2024","Currency=USD","Period=FQ","BEST_FPERIOD_OVERRIDE=FQ","FILING_STATUS=MR","Sort=A","Dates=H","DateFormat=P","Fill=—","Direction=H","UseDPDF=Y")</f>
        <v>42.778599999999997</v>
      </c>
      <c r="Y36" s="14">
        <f>_xll.BDH("SRPT US Equity","TOT_DEBT_TO_TOT_ASSET","FQ2 2024","FQ2 2024","Currency=USD","Period=FQ","BEST_FPERIOD_OVERRIDE=FQ","FILING_STATUS=MR","Sort=A","Dates=H","DateFormat=P","Fill=—","Direction=H","UseDPDF=Y")</f>
        <v>40.0062</v>
      </c>
      <c r="Z36" s="14">
        <f>_xll.BDH("SRPT US Equity","TOT_DEBT_TO_TOT_ASSET","FQ3 2024","FQ3 2024","Currency=USD","Period=FQ","BEST_FPERIOD_OVERRIDE=FQ","FILING_STATUS=MR","Sort=A","Dates=H","DateFormat=P","Fill=—","Direction=H","UseDPDF=Y")</f>
        <v>38.822099999999999</v>
      </c>
      <c r="AA36" s="14">
        <f>_xll.BDH("SRPT US Equity","TOT_DEBT_TO_TOT_ASSET","FQ4 2024","FQ4 2024","Currency=USD","Period=FQ","BEST_FPERIOD_OVERRIDE=FQ","FILING_STATUS=MR","Sort=A","Dates=H","DateFormat=P","Fill=—","Direction=H","UseDPDF=Y")</f>
        <v>33.888800000000003</v>
      </c>
    </row>
    <row r="37" spans="1:27" x14ac:dyDescent="0.25">
      <c r="A37" s="10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x14ac:dyDescent="0.25">
      <c r="A38" s="10" t="s">
        <v>1502</v>
      </c>
      <c r="B38" s="10" t="s">
        <v>837</v>
      </c>
      <c r="C38" s="14">
        <f>_xll.BDH("SRPT US Equity","NET_DEBT_TO_SHRHLDR_EQTY","FQ4 2018","FQ4 2018","Currency=USD","Period=FQ","BEST_FPERIOD_OVERRIDE=FQ","FILING_STATUS=MR","Sort=A","Dates=H","DateFormat=P","Fill=—","Direction=H","UseDPDF=Y")</f>
        <v>-72.9803</v>
      </c>
      <c r="D38" s="14">
        <f>_xll.BDH("SRPT US Equity","NET_DEBT_TO_SHRHLDR_EQTY","FQ1 2019","FQ1 2019","Currency=USD","Period=FQ","BEST_FPERIOD_OVERRIDE=FQ","FILING_STATUS=MR","Sort=A","Dates=H","DateFormat=P","Fill=—","Direction=H","UseDPDF=Y")</f>
        <v>-63.736499999999999</v>
      </c>
      <c r="E38" s="14">
        <f>_xll.BDH("SRPT US Equity","NET_DEBT_TO_SHRHLDR_EQTY","FQ2 2019","FQ2 2019","Currency=USD","Period=FQ","BEST_FPERIOD_OVERRIDE=FQ","FILING_STATUS=MR","Sort=A","Dates=H","DateFormat=P","Fill=—","Direction=H","UseDPDF=Y")</f>
        <v>-55.920400000000001</v>
      </c>
      <c r="F38" s="14">
        <f>_xll.BDH("SRPT US Equity","NET_DEBT_TO_SHRHLDR_EQTY","FQ3 2019","FQ3 2019","Currency=USD","Period=FQ","BEST_FPERIOD_OVERRIDE=FQ","FILING_STATUS=MR","Sort=A","Dates=H","DateFormat=P","Fill=—","Direction=H","UseDPDF=Y")</f>
        <v>-55.780900000000003</v>
      </c>
      <c r="G38" s="14">
        <f>_xll.BDH("SRPT US Equity","NET_DEBT_TO_SHRHLDR_EQTY","FQ4 2019","FQ4 2019","Currency=USD","Period=FQ","BEST_FPERIOD_OVERRIDE=FQ","FILING_STATUS=MR","Sort=A","Dates=H","DateFormat=P","Fill=—","Direction=H","UseDPDF=Y")</f>
        <v>-47.334200000000003</v>
      </c>
      <c r="H38" s="14">
        <f>_xll.BDH("SRPT US Equity","NET_DEBT_TO_SHRHLDR_EQTY","FQ1 2020","FQ1 2020","Currency=USD","Period=FQ","BEST_FPERIOD_OVERRIDE=FQ","FILING_STATUS=MR","Sort=A","Dates=H","DateFormat=P","Fill=—","Direction=H","UseDPDF=Y")</f>
        <v>-124.6914</v>
      </c>
      <c r="I38" s="14">
        <f>_xll.BDH("SRPT US Equity","NET_DEBT_TO_SHRHLDR_EQTY","FQ2 2020","FQ2 2020","Currency=USD","Period=FQ","BEST_FPERIOD_OVERRIDE=FQ","FILING_STATUS=MR","Sort=A","Dates=H","DateFormat=P","Fill=—","Direction=H","UseDPDF=Y")</f>
        <v>-125.07040000000001</v>
      </c>
      <c r="J38" s="14">
        <f>_xll.BDH("SRPT US Equity","NET_DEBT_TO_SHRHLDR_EQTY","FQ3 2020","FQ3 2020","Currency=USD","Period=FQ","BEST_FPERIOD_OVERRIDE=FQ","FILING_STATUS=MR","Sort=A","Dates=H","DateFormat=P","Fill=—","Direction=H","UseDPDF=Y")</f>
        <v>-118.4883</v>
      </c>
      <c r="K38" s="14">
        <f>_xll.BDH("SRPT US Equity","NET_DEBT_TO_SHRHLDR_EQTY","FQ4 2020","FQ4 2020","Currency=USD","Period=FQ","BEST_FPERIOD_OVERRIDE=FQ","FILING_STATUS=MR","Sort=A","Dates=H","DateFormat=P","Fill=—","Direction=H","UseDPDF=Y")</f>
        <v>-112.1216</v>
      </c>
      <c r="L38" s="14">
        <f>_xll.BDH("SRPT US Equity","NET_DEBT_TO_SHRHLDR_EQTY","FQ1 2021","FQ1 2021","Currency=USD","Period=FQ","BEST_FPERIOD_OVERRIDE=FQ","FILING_STATUS=MR","Sort=A","Dates=H","DateFormat=P","Fill=—","Direction=H","UseDPDF=Y")</f>
        <v>-111.19029999999999</v>
      </c>
      <c r="M38" s="14">
        <f>_xll.BDH("SRPT US Equity","NET_DEBT_TO_SHRHLDR_EQTY","FQ2 2021","FQ2 2021","Currency=USD","Period=FQ","BEST_FPERIOD_OVERRIDE=FQ","FILING_STATUS=MR","Sort=A","Dates=H","DateFormat=P","Fill=—","Direction=H","UseDPDF=Y")</f>
        <v>-119.21469999999999</v>
      </c>
      <c r="N38" s="14">
        <f>_xll.BDH("SRPT US Equity","NET_DEBT_TO_SHRHLDR_EQTY","FQ3 2021","FQ3 2021","Currency=USD","Period=FQ","BEST_FPERIOD_OVERRIDE=FQ","FILING_STATUS=MR","Sort=A","Dates=H","DateFormat=P","Fill=—","Direction=H","UseDPDF=Y")</f>
        <v>-95.859700000000004</v>
      </c>
      <c r="O38" s="14">
        <f>_xll.BDH("SRPT US Equity","NET_DEBT_TO_SHRHLDR_EQTY","FQ4 2021","FQ4 2021","Currency=USD","Period=FQ","BEST_FPERIOD_OVERRIDE=FQ","FILING_STATUS=MR","Sort=A","Dates=H","DateFormat=P","Fill=—","Direction=H","UseDPDF=Y")</f>
        <v>-104.7766</v>
      </c>
      <c r="P38" s="14">
        <f>_xll.BDH("SRPT US Equity","NET_DEBT_TO_SHRHLDR_EQTY","FQ1 2022","FQ1 2022","Currency=USD","Period=FQ","BEST_FPERIOD_OVERRIDE=FQ","FILING_STATUS=MR","Sort=A","Dates=H","DateFormat=P","Fill=—","Direction=H","UseDPDF=Y")</f>
        <v>-103.3524</v>
      </c>
      <c r="Q38" s="14">
        <f>_xll.BDH("SRPT US Equity","NET_DEBT_TO_SHRHLDR_EQTY","FQ2 2022","FQ2 2022","Currency=USD","Period=FQ","BEST_FPERIOD_OVERRIDE=FQ","FILING_STATUS=MR","Sort=A","Dates=H","DateFormat=P","Fill=—","Direction=H","UseDPDF=Y")</f>
        <v>-110.9876</v>
      </c>
      <c r="R38" s="14">
        <f>_xll.BDH("SRPT US Equity","NET_DEBT_TO_SHRHLDR_EQTY","FQ3 2022","FQ3 2022","Currency=USD","Period=FQ","BEST_FPERIOD_OVERRIDE=FQ","FILING_STATUS=MR","Sort=A","Dates=H","DateFormat=P","Fill=—","Direction=H","UseDPDF=Y")</f>
        <v>-119.1879</v>
      </c>
      <c r="S38" s="14">
        <f>_xll.BDH("SRPT US Equity","NET_DEBT_TO_SHRHLDR_EQTY","FQ4 2022","FQ4 2022","Currency=USD","Period=FQ","BEST_FPERIOD_OVERRIDE=FQ","FILING_STATUS=MR","Sort=A","Dates=H","DateFormat=P","Fill=—","Direction=H","UseDPDF=Y")</f>
        <v>-101.5818</v>
      </c>
      <c r="T38" s="14">
        <f>_xll.BDH("SRPT US Equity","NET_DEBT_TO_SHRHLDR_EQTY","FQ1 2023","FQ1 2023","Currency=USD","Period=FQ","BEST_FPERIOD_OVERRIDE=FQ","FILING_STATUS=MR","Sort=A","Dates=H","DateFormat=P","Fill=—","Direction=H","UseDPDF=Y")</f>
        <v>-85.991799999999998</v>
      </c>
      <c r="U38" s="14">
        <f>_xll.BDH("SRPT US Equity","NET_DEBT_TO_SHRHLDR_EQTY","FQ2 2023","FQ2 2023","Currency=USD","Period=FQ","BEST_FPERIOD_OVERRIDE=FQ","FILING_STATUS=MR","Sort=A","Dates=H","DateFormat=P","Fill=—","Direction=H","UseDPDF=Y")</f>
        <v>-69.469200000000001</v>
      </c>
      <c r="V38" s="14">
        <f>_xll.BDH("SRPT US Equity","NET_DEBT_TO_SHRHLDR_EQTY","FQ3 2023","FQ3 2023","Currency=USD","Period=FQ","BEST_FPERIOD_OVERRIDE=FQ","FILING_STATUS=MR","Sort=A","Dates=H","DateFormat=P","Fill=—","Direction=H","UseDPDF=Y")</f>
        <v>-45.997399999999999</v>
      </c>
      <c r="W38" s="14">
        <f>_xll.BDH("SRPT US Equity","NET_DEBT_TO_SHRHLDR_EQTY","FQ4 2023","FQ4 2023","Currency=USD","Period=FQ","BEST_FPERIOD_OVERRIDE=FQ","FILING_STATUS=MR","Sort=A","Dates=H","DateFormat=P","Fill=—","Direction=H","UseDPDF=Y")</f>
        <v>-33.277900000000002</v>
      </c>
      <c r="X38" s="14">
        <f>_xll.BDH("SRPT US Equity","NET_DEBT_TO_SHRHLDR_EQTY","FQ1 2024","FQ1 2024","Currency=USD","Period=FQ","BEST_FPERIOD_OVERRIDE=FQ","FILING_STATUS=MR","Sort=A","Dates=H","DateFormat=P","Fill=—","Direction=H","UseDPDF=Y")</f>
        <v>-2.8062999999999998</v>
      </c>
      <c r="Y38" s="14">
        <f>_xll.BDH("SRPT US Equity","NET_DEBT_TO_SHRHLDR_EQTY","FQ2 2024","FQ2 2024","Currency=USD","Period=FQ","BEST_FPERIOD_OVERRIDE=FQ","FILING_STATUS=MR","Sort=A","Dates=H","DateFormat=P","Fill=—","Direction=H","UseDPDF=Y")</f>
        <v>-9.8542000000000005</v>
      </c>
      <c r="Z38" s="14">
        <f>_xll.BDH("SRPT US Equity","NET_DEBT_TO_SHRHLDR_EQTY","FQ3 2024","FQ3 2024","Currency=USD","Period=FQ","BEST_FPERIOD_OVERRIDE=FQ","FILING_STATUS=MR","Sort=A","Dates=H","DateFormat=P","Fill=—","Direction=H","UseDPDF=Y")</f>
        <v>15.9251</v>
      </c>
      <c r="AA38" s="14">
        <f>_xll.BDH("SRPT US Equity","NET_DEBT_TO_SHRHLDR_EQTY","FQ4 2024","FQ4 2024","Currency=USD","Period=FQ","BEST_FPERIOD_OVERRIDE=FQ","FILING_STATUS=MR","Sort=A","Dates=H","DateFormat=P","Fill=—","Direction=H","UseDPDF=Y")</f>
        <v>-1.0101</v>
      </c>
    </row>
    <row r="39" spans="1:27" x14ac:dyDescent="0.25">
      <c r="A39" s="10" t="s">
        <v>1503</v>
      </c>
      <c r="B39" s="10" t="s">
        <v>1504</v>
      </c>
      <c r="C39" s="14">
        <f>_xll.BDH("SRPT US Equity","NET_DEBT_PCT_OF_TOT_CAPITAL","FQ4 2018","FQ4 2018","Currency=USD","Period=FQ","BEST_FPERIOD_OVERRIDE=FQ","FILING_STATUS=MR","Sort=A","Dates=H","DateFormat=P","Fill=—","Direction=H","UseDPDF=Y")</f>
        <v>-270.10019999999997</v>
      </c>
      <c r="D39" s="14">
        <f>_xll.BDH("SRPT US Equity","NET_DEBT_PCT_OF_TOT_CAPITAL","FQ1 2019","FQ1 2019","Currency=USD","Period=FQ","BEST_FPERIOD_OVERRIDE=FQ","FILING_STATUS=MR","Sort=A","Dates=H","DateFormat=P","Fill=—","Direction=H","UseDPDF=Y")</f>
        <v>-175.75909999999999</v>
      </c>
      <c r="E39" s="14">
        <f>_xll.BDH("SRPT US Equity","NET_DEBT_PCT_OF_TOT_CAPITAL","FQ2 2019","FQ2 2019","Currency=USD","Period=FQ","BEST_FPERIOD_OVERRIDE=FQ","FILING_STATUS=MR","Sort=A","Dates=H","DateFormat=P","Fill=—","Direction=H","UseDPDF=Y")</f>
        <v>-126.8625</v>
      </c>
      <c r="F39" s="14">
        <f>_xll.BDH("SRPT US Equity","NET_DEBT_PCT_OF_TOT_CAPITAL","FQ3 2019","FQ3 2019","Currency=USD","Period=FQ","BEST_FPERIOD_OVERRIDE=FQ","FILING_STATUS=MR","Sort=A","Dates=H","DateFormat=P","Fill=—","Direction=H","UseDPDF=Y")</f>
        <v>-126.1467</v>
      </c>
      <c r="G39" s="14">
        <f>_xll.BDH("SRPT US Equity","NET_DEBT_PCT_OF_TOT_CAPITAL","FQ4 2019","FQ4 2019","Currency=USD","Period=FQ","BEST_FPERIOD_OVERRIDE=FQ","FILING_STATUS=MR","Sort=A","Dates=H","DateFormat=P","Fill=—","Direction=H","UseDPDF=Y")</f>
        <v>-89.876400000000004</v>
      </c>
      <c r="H39" s="14">
        <f>_xll.BDH("SRPT US Equity","NET_DEBT_PCT_OF_TOT_CAPITAL","FQ1 2020","FQ1 2020","Currency=USD","Period=FQ","BEST_FPERIOD_OVERRIDE=FQ","FILING_STATUS=MR","Sort=A","Dates=H","DateFormat=P","Fill=—","Direction=H","UseDPDF=Y")</f>
        <v>504.99939999999998</v>
      </c>
      <c r="I39" s="14">
        <f>_xll.BDH("SRPT US Equity","NET_DEBT_PCT_OF_TOT_CAPITAL","FQ2 2020","FQ2 2020","Currency=USD","Period=FQ","BEST_FPERIOD_OVERRIDE=FQ","FILING_STATUS=MR","Sort=A","Dates=H","DateFormat=P","Fill=—","Direction=H","UseDPDF=Y")</f>
        <v>498.87630000000001</v>
      </c>
      <c r="J39" s="14">
        <f>_xll.BDH("SRPT US Equity","NET_DEBT_PCT_OF_TOT_CAPITAL","FQ3 2020","FQ3 2020","Currency=USD","Period=FQ","BEST_FPERIOD_OVERRIDE=FQ","FILING_STATUS=MR","Sort=A","Dates=H","DateFormat=P","Fill=—","Direction=H","UseDPDF=Y")</f>
        <v>640.88369999999998</v>
      </c>
      <c r="K39" s="14">
        <f>_xll.BDH("SRPT US Equity","NET_DEBT_PCT_OF_TOT_CAPITAL","FQ4 2020","FQ4 2020","Currency=USD","Period=FQ","BEST_FPERIOD_OVERRIDE=FQ","FILING_STATUS=MR","Sort=A","Dates=H","DateFormat=P","Fill=—","Direction=H","UseDPDF=Y")</f>
        <v>924.97699999999998</v>
      </c>
      <c r="L39" s="14">
        <f>_xll.BDH("SRPT US Equity","NET_DEBT_PCT_OF_TOT_CAPITAL","FQ1 2021","FQ1 2021","Currency=USD","Period=FQ","BEST_FPERIOD_OVERRIDE=FQ","FILING_STATUS=MR","Sort=A","Dates=H","DateFormat=P","Fill=—","Direction=H","UseDPDF=Y")</f>
        <v>993.62959999999998</v>
      </c>
      <c r="M39" s="14">
        <f>_xll.BDH("SRPT US Equity","NET_DEBT_PCT_OF_TOT_CAPITAL","FQ2 2021","FQ2 2021","Currency=USD","Period=FQ","BEST_FPERIOD_OVERRIDE=FQ","FILING_STATUS=MR","Sort=A","Dates=H","DateFormat=P","Fill=—","Direction=H","UseDPDF=Y")</f>
        <v>620.43510000000003</v>
      </c>
      <c r="N39" s="14">
        <f>_xll.BDH("SRPT US Equity","NET_DEBT_PCT_OF_TOT_CAPITAL","FQ3 2021","FQ3 2021","Currency=USD","Period=FQ","BEST_FPERIOD_OVERRIDE=FQ","FILING_STATUS=MR","Sort=A","Dates=H","DateFormat=P","Fill=—","Direction=H","UseDPDF=Y")</f>
        <v>-2315.2674999999999</v>
      </c>
      <c r="O39" s="14">
        <f>_xll.BDH("SRPT US Equity","NET_DEBT_PCT_OF_TOT_CAPITAL","FQ4 2021","FQ4 2021","Currency=USD","Period=FQ","BEST_FPERIOD_OVERRIDE=FQ","FILING_STATUS=MR","Sort=A","Dates=H","DateFormat=P","Fill=—","Direction=H","UseDPDF=Y")</f>
        <v>2193.5524999999998</v>
      </c>
      <c r="P39" s="14">
        <f>_xll.BDH("SRPT US Equity","NET_DEBT_PCT_OF_TOT_CAPITAL","FQ1 2022","FQ1 2022","Currency=USD","Period=FQ","BEST_FPERIOD_OVERRIDE=FQ","FILING_STATUS=MR","Sort=A","Dates=H","DateFormat=P","Fill=—","Direction=H","UseDPDF=Y")</f>
        <v>3082.9632000000001</v>
      </c>
      <c r="Q39" s="14">
        <f>_xll.BDH("SRPT US Equity","NET_DEBT_PCT_OF_TOT_CAPITAL","FQ2 2022","FQ2 2022","Currency=USD","Period=FQ","BEST_FPERIOD_OVERRIDE=FQ","FILING_STATUS=MR","Sort=A","Dates=H","DateFormat=P","Fill=—","Direction=H","UseDPDF=Y")</f>
        <v>1010.119</v>
      </c>
      <c r="R39" s="14">
        <f>_xll.BDH("SRPT US Equity","NET_DEBT_PCT_OF_TOT_CAPITAL","FQ3 2022","FQ3 2022","Currency=USD","Period=FQ","BEST_FPERIOD_OVERRIDE=FQ","FILING_STATUS=MR","Sort=A","Dates=H","DateFormat=P","Fill=—","Direction=H","UseDPDF=Y")</f>
        <v>621.16269999999997</v>
      </c>
      <c r="S39" s="14">
        <f>_xll.BDH("SRPT US Equity","NET_DEBT_PCT_OF_TOT_CAPITAL","FQ4 2022","FQ4 2022","Currency=USD","Period=FQ","BEST_FPERIOD_OVERRIDE=FQ","FILING_STATUS=MR","Sort=A","Dates=H","DateFormat=P","Fill=—","Direction=H","UseDPDF=Y")</f>
        <v>6422.0562</v>
      </c>
      <c r="T39" s="14">
        <f>_xll.BDH("SRPT US Equity","NET_DEBT_PCT_OF_TOT_CAPITAL","FQ1 2023","FQ1 2023","Currency=USD","Period=FQ","BEST_FPERIOD_OVERRIDE=FQ","FILING_STATUS=MR","Sort=A","Dates=H","DateFormat=P","Fill=—","Direction=H","UseDPDF=Y")</f>
        <v>-613.86980000000005</v>
      </c>
      <c r="U39" s="14">
        <f>_xll.BDH("SRPT US Equity","NET_DEBT_PCT_OF_TOT_CAPITAL","FQ2 2023","FQ2 2023","Currency=USD","Period=FQ","BEST_FPERIOD_OVERRIDE=FQ","FILING_STATUS=MR","Sort=A","Dates=H","DateFormat=P","Fill=—","Direction=H","UseDPDF=Y")</f>
        <v>-227.5377</v>
      </c>
      <c r="V39" s="14">
        <f>_xll.BDH("SRPT US Equity","NET_DEBT_PCT_OF_TOT_CAPITAL","FQ3 2023","FQ3 2023","Currency=USD","Period=FQ","BEST_FPERIOD_OVERRIDE=FQ","FILING_STATUS=MR","Sort=A","Dates=H","DateFormat=P","Fill=—","Direction=H","UseDPDF=Y")</f>
        <v>-85.176100000000005</v>
      </c>
      <c r="W39" s="14">
        <f>_xll.BDH("SRPT US Equity","NET_DEBT_PCT_OF_TOT_CAPITAL","FQ4 2023","FQ4 2023","Currency=USD","Period=FQ","BEST_FPERIOD_OVERRIDE=FQ","FILING_STATUS=MR","Sort=A","Dates=H","DateFormat=P","Fill=—","Direction=H","UseDPDF=Y")</f>
        <v>-49.875300000000003</v>
      </c>
      <c r="X39" s="14">
        <f>_xll.BDH("SRPT US Equity","NET_DEBT_PCT_OF_TOT_CAPITAL","FQ1 2024","FQ1 2024","Currency=USD","Period=FQ","BEST_FPERIOD_OVERRIDE=FQ","FILING_STATUS=MR","Sort=A","Dates=H","DateFormat=P","Fill=—","Direction=H","UseDPDF=Y")</f>
        <v>-2.8873000000000002</v>
      </c>
      <c r="Y39" s="14">
        <f>_xll.BDH("SRPT US Equity","NET_DEBT_PCT_OF_TOT_CAPITAL","FQ2 2024","FQ2 2024","Currency=USD","Period=FQ","BEST_FPERIOD_OVERRIDE=FQ","FILING_STATUS=MR","Sort=A","Dates=H","DateFormat=P","Fill=—","Direction=H","UseDPDF=Y")</f>
        <v>-10.9315</v>
      </c>
      <c r="Z39" s="14">
        <f>_xll.BDH("SRPT US Equity","NET_DEBT_PCT_OF_TOT_CAPITAL","FQ3 2024","FQ3 2024","Currency=USD","Period=FQ","BEST_FPERIOD_OVERRIDE=FQ","FILING_STATUS=MR","Sort=A","Dates=H","DateFormat=P","Fill=—","Direction=H","UseDPDF=Y")</f>
        <v>13.737399999999999</v>
      </c>
      <c r="AA39" s="14">
        <f>_xll.BDH("SRPT US Equity","NET_DEBT_PCT_OF_TOT_CAPITAL","FQ4 2024","FQ4 2024","Currency=USD","Period=FQ","BEST_FPERIOD_OVERRIDE=FQ","FILING_STATUS=MR","Sort=A","Dates=H","DateFormat=P","Fill=—","Direction=H","UseDPDF=Y")</f>
        <v>-1.0204</v>
      </c>
    </row>
    <row r="40" spans="1:27" x14ac:dyDescent="0.25">
      <c r="A40" s="10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5">
      <c r="A41" s="10" t="s">
        <v>78</v>
      </c>
      <c r="B41" s="10" t="s">
        <v>78</v>
      </c>
      <c r="C41" s="13">
        <f>_xll.BDH("SRPT US Equity","EBITDA","FQ4 2018","FQ4 2018","Currency=USD","Period=FQ","BEST_FPERIOD_OVERRIDE=FQ","FILING_STATUS=MR","SCALING_FORMAT=MLN","FA_ADJUSTED=GAAP","Sort=A","Dates=H","DateFormat=P","Fill=—","Direction=H","UseDPDF=Y")</f>
        <v>-135.83600000000001</v>
      </c>
      <c r="D41" s="13">
        <f>_xll.BDH("SRPT US Equity","EBITDA","FQ1 2019","FQ1 2019","Currency=USD","Period=FQ","BEST_FPERIOD_OVERRIDE=FQ","FILING_STATUS=MR","SCALING_FORMAT=MLN","FA_ADJUSTED=GAAP","Sort=A","Dates=H","DateFormat=P","Fill=—","Direction=H","UseDPDF=Y")</f>
        <v>-67.415000000000006</v>
      </c>
      <c r="E41" s="13">
        <f>_xll.BDH("SRPT US Equity","EBITDA","FQ2 2019","FQ2 2019","Currency=USD","Period=FQ","BEST_FPERIOD_OVERRIDE=FQ","FILING_STATUS=MR","SCALING_FORMAT=MLN","FA_ADJUSTED=GAAP","Sort=A","Dates=H","DateFormat=P","Fill=—","Direction=H","UseDPDF=Y")</f>
        <v>-265.14299999999997</v>
      </c>
      <c r="F41" s="13">
        <f>_xll.BDH("SRPT US Equity","EBITDA","FQ3 2019","FQ3 2019","Currency=USD","Period=FQ","BEST_FPERIOD_OVERRIDE=FQ","FILING_STATUS=MR","SCALING_FORMAT=MLN","FA_ADJUSTED=GAAP","Sort=A","Dates=H","DateFormat=P","Fill=—","Direction=H","UseDPDF=Y")</f>
        <v>-112.70699999999999</v>
      </c>
      <c r="G41" s="13">
        <f>_xll.BDH("SRPT US Equity","EBITDA","FQ4 2019","FQ4 2019","Currency=USD","Period=FQ","BEST_FPERIOD_OVERRIDE=FQ","FILING_STATUS=MR","SCALING_FORMAT=MLN","FA_ADJUSTED=GAAP","Sort=A","Dates=H","DateFormat=P","Fill=—","Direction=H","UseDPDF=Y")</f>
        <v>-219.416</v>
      </c>
      <c r="H41" s="13">
        <f>_xll.BDH("SRPT US Equity","EBITDA","FQ1 2020","FQ1 2020","Currency=USD","Period=FQ","BEST_FPERIOD_OVERRIDE=FQ","FILING_STATUS=MR","SCALING_FORMAT=MLN","FA_ADJUSTED=GAAP","Sort=A","Dates=H","DateFormat=P","Fill=—","Direction=H","UseDPDF=Y")</f>
        <v>-110.697</v>
      </c>
      <c r="I41" s="13">
        <f>_xll.BDH("SRPT US Equity","EBITDA","FQ2 2020","FQ2 2020","Currency=USD","Period=FQ","BEST_FPERIOD_OVERRIDE=FQ","FILING_STATUS=MR","SCALING_FORMAT=MLN","FA_ADJUSTED=GAAP","Sort=A","Dates=H","DateFormat=P","Fill=—","Direction=H","UseDPDF=Y")</f>
        <v>-129.87799999999999</v>
      </c>
      <c r="J41" s="13">
        <f>_xll.BDH("SRPT US Equity","EBITDA","FQ3 2020","FQ3 2020","Currency=USD","Period=FQ","BEST_FPERIOD_OVERRIDE=FQ","FILING_STATUS=MR","SCALING_FORMAT=MLN","FA_ADJUSTED=GAAP","Sort=A","Dates=H","DateFormat=P","Fill=—","Direction=H","UseDPDF=Y")</f>
        <v>-128.249</v>
      </c>
      <c r="K41" s="13">
        <f>_xll.BDH("SRPT US Equity","EBITDA","FQ4 2020","FQ4 2020","Currency=USD","Period=FQ","BEST_FPERIOD_OVERRIDE=FQ","FILING_STATUS=MR","SCALING_FORMAT=MLN","FA_ADJUSTED=GAAP","Sort=A","Dates=H","DateFormat=P","Fill=—","Direction=H","UseDPDF=Y")</f>
        <v>-149.44999999999999</v>
      </c>
      <c r="L41" s="13">
        <f>_xll.BDH("SRPT US Equity","EBITDA","FQ1 2021","FQ1 2021","Currency=USD","Period=FQ","BEST_FPERIOD_OVERRIDE=FQ","FILING_STATUS=MR","SCALING_FORMAT=MLN","FA_ADJUSTED=GAAP","Sort=A","Dates=H","DateFormat=P","Fill=—","Direction=H","UseDPDF=Y")</f>
        <v>-142.935</v>
      </c>
      <c r="M41" s="13">
        <f>_xll.BDH("SRPT US Equity","EBITDA","FQ2 2021","FQ2 2021","Currency=USD","Period=FQ","BEST_FPERIOD_OVERRIDE=FQ","FILING_STATUS=MR","SCALING_FORMAT=MLN","FA_ADJUSTED=GAAP","Sort=A","Dates=H","DateFormat=P","Fill=—","Direction=H","UseDPDF=Y")</f>
        <v>-159.12700000000001</v>
      </c>
      <c r="N41" s="13">
        <f>_xll.BDH("SRPT US Equity","EBITDA","FQ3 2021","FQ3 2021","Currency=USD","Period=FQ","BEST_FPERIOD_OVERRIDE=FQ","FILING_STATUS=MR","SCALING_FORMAT=MLN","FA_ADJUSTED=GAAP","Sort=A","Dates=H","DateFormat=P","Fill=—","Direction=H","UseDPDF=Y")</f>
        <v>-23.963000000000001</v>
      </c>
      <c r="O41" s="13">
        <f>_xll.BDH("SRPT US Equity","EBITDA","FQ4 2021","FQ4 2021","Currency=USD","Period=FQ","BEST_FPERIOD_OVERRIDE=FQ","FILING_STATUS=MR","SCALING_FORMAT=MLN","FA_ADJUSTED=GAAP","Sort=A","Dates=H","DateFormat=P","Fill=—","Direction=H","UseDPDF=Y")</f>
        <v>-95.668000000000006</v>
      </c>
      <c r="P41" s="13">
        <f>_xll.BDH("SRPT US Equity","EBITDA","FQ1 2022","FQ1 2022","Currency=USD","Period=FQ","BEST_FPERIOD_OVERRIDE=FQ","FILING_STATUS=MR","SCALING_FORMAT=MLN","FA_ADJUSTED=GAAP","Sort=A","Dates=H","DateFormat=P","Fill=—","Direction=H","UseDPDF=Y")</f>
        <v>-76.162000000000006</v>
      </c>
      <c r="Q41" s="13">
        <f>_xll.BDH("SRPT US Equity","EBITDA","FQ2 2022","FQ2 2022","Currency=USD","Period=FQ","BEST_FPERIOD_OVERRIDE=FQ","FILING_STATUS=MR","SCALING_FORMAT=MLN","FA_ADJUSTED=GAAP","Sort=A","Dates=H","DateFormat=P","Fill=—","Direction=H","UseDPDF=Y")</f>
        <v>-201.24299999999999</v>
      </c>
      <c r="R41" s="13">
        <f>_xll.BDH("SRPT US Equity","EBITDA","FQ3 2022","FQ3 2022","Currency=USD","Period=FQ","BEST_FPERIOD_OVERRIDE=FQ","FILING_STATUS=MR","SCALING_FORMAT=MLN","FA_ADJUSTED=GAAP","Sort=A","Dates=H","DateFormat=P","Fill=—","Direction=H","UseDPDF=Y")</f>
        <v>-120.652</v>
      </c>
      <c r="S41" s="13">
        <f>_xll.BDH("SRPT US Equity","EBITDA","FQ4 2022","FQ4 2022","Currency=USD","Period=FQ","BEST_FPERIOD_OVERRIDE=FQ","FILING_STATUS=MR","SCALING_FORMAT=MLN","FA_ADJUSTED=GAAP","Sort=A","Dates=H","DateFormat=P","Fill=—","Direction=H","UseDPDF=Y")</f>
        <v>-96.28</v>
      </c>
      <c r="T41" s="13">
        <f>_xll.BDH("SRPT US Equity","EBITDA","FQ1 2023","FQ1 2023","Currency=USD","Period=FQ","BEST_FPERIOD_OVERRIDE=FQ","FILING_STATUS=MR","SCALING_FORMAT=MLN","FA_ADJUSTED=GAAP","Sort=A","Dates=H","DateFormat=P","Fill=—","Direction=H","UseDPDF=Y")</f>
        <v>-126.783</v>
      </c>
      <c r="U41" s="13">
        <f>_xll.BDH("SRPT US Equity","EBITDA","FQ2 2023","FQ2 2023","Currency=USD","Period=FQ","BEST_FPERIOD_OVERRIDE=FQ","FILING_STATUS=MR","SCALING_FORMAT=MLN","FA_ADJUSTED=GAAP","Sort=A","Dates=H","DateFormat=P","Fill=—","Direction=H","UseDPDF=Y")</f>
        <v>-122.727</v>
      </c>
      <c r="V41" s="13">
        <f>_xll.BDH("SRPT US Equity","EBITDA","FQ3 2023","FQ3 2023","Currency=USD","Period=FQ","BEST_FPERIOD_OVERRIDE=FQ","FILING_STATUS=MR","SCALING_FORMAT=MLN","FA_ADJUSTED=GAAP","Sort=A","Dates=H","DateFormat=P","Fill=—","Direction=H","UseDPDF=Y")</f>
        <v>-9.9139999999999997</v>
      </c>
      <c r="W41" s="13">
        <f>_xll.BDH("SRPT US Equity","EBITDA","FQ4 2023","FQ4 2023","Currency=USD","Period=FQ","BEST_FPERIOD_OVERRIDE=FQ","FILING_STATUS=MR","SCALING_FORMAT=MLN","FA_ADJUSTED=GAAP","Sort=A","Dates=H","DateFormat=P","Fill=—","Direction=H","UseDPDF=Y")</f>
        <v>35.997</v>
      </c>
      <c r="X41" s="13">
        <f>_xll.BDH("SRPT US Equity","EBITDA","FQ1 2024","FQ1 2024","Currency=USD","Period=FQ","BEST_FPERIOD_OVERRIDE=FQ","FILING_STATUS=MR","SCALING_FORMAT=MLN","FA_ADJUSTED=GAAP","Sort=A","Dates=H","DateFormat=P","Fill=—","Direction=H","UseDPDF=Y")</f>
        <v>43.649000000000001</v>
      </c>
      <c r="Y41" s="13">
        <f>_xll.BDH("SRPT US Equity","EBITDA","FQ2 2024","FQ2 2024","Currency=USD","Period=FQ","BEST_FPERIOD_OVERRIDE=FQ","FILING_STATUS=MR","SCALING_FORMAT=MLN","FA_ADJUSTED=GAAP","Sort=A","Dates=H","DateFormat=P","Fill=—","Direction=H","UseDPDF=Y")</f>
        <v>8.0180000000000007</v>
      </c>
      <c r="Z41" s="13">
        <f>_xll.BDH("SRPT US Equity","EBITDA","FQ3 2024","FQ3 2024","Currency=USD","Period=FQ","BEST_FPERIOD_OVERRIDE=FQ","FILING_STATUS=MR","SCALING_FORMAT=MLN","FA_ADJUSTED=GAAP","Sort=A","Dates=H","DateFormat=P","Fill=—","Direction=H","UseDPDF=Y")</f>
        <v>32.002000000000002</v>
      </c>
      <c r="AA41" s="13">
        <f>_xll.BDH("SRPT US Equity","EBITDA","FQ4 2024","FQ4 2024","Currency=USD","Period=FQ","BEST_FPERIOD_OVERRIDE=FQ","FILING_STATUS=MR","SCALING_FORMAT=MLN","FA_ADJUSTED=GAAP","Sort=A","Dates=H","DateFormat=P","Fill=—","Direction=H","UseDPDF=Y")</f>
        <v>172.136</v>
      </c>
    </row>
    <row r="42" spans="1:27" x14ac:dyDescent="0.25">
      <c r="A42" s="10" t="s">
        <v>1505</v>
      </c>
      <c r="B42" s="10" t="s">
        <v>1506</v>
      </c>
      <c r="C42" s="13">
        <f>_xll.BDH("SRPT US Equity","EBITDA_AFTER_CAPEX","FQ4 2018","FQ4 2018","Currency=USD","Period=FQ","BEST_FPERIOD_OVERRIDE=FQ","FILING_STATUS=MR","SCALING_FORMAT=MLN","FA_ADJUSTED=GAAP","Sort=A","Dates=H","DateFormat=P","Fill=—","Direction=H","UseDPDF=Y")</f>
        <v>-156.03899999999999</v>
      </c>
      <c r="D42" s="13">
        <f>_xll.BDH("SRPT US Equity","EBITDA_AFTER_CAPEX","FQ1 2019","FQ1 2019","Currency=USD","Period=FQ","BEST_FPERIOD_OVERRIDE=FQ","FILING_STATUS=MR","SCALING_FORMAT=MLN","FA_ADJUSTED=GAAP","Sort=A","Dates=H","DateFormat=P","Fill=—","Direction=H","UseDPDF=Y")</f>
        <v>-83.677999999999997</v>
      </c>
      <c r="E42" s="13">
        <f>_xll.BDH("SRPT US Equity","EBITDA_AFTER_CAPEX","FQ2 2019","FQ2 2019","Currency=USD","Period=FQ","BEST_FPERIOD_OVERRIDE=FQ","FILING_STATUS=MR","SCALING_FORMAT=MLN","FA_ADJUSTED=GAAP","Sort=A","Dates=H","DateFormat=P","Fill=—","Direction=H","UseDPDF=Y")</f>
        <v>-281.82499999999999</v>
      </c>
      <c r="F42" s="13">
        <f>_xll.BDH("SRPT US Equity","EBITDA_AFTER_CAPEX","FQ3 2019","FQ3 2019","Currency=USD","Period=FQ","BEST_FPERIOD_OVERRIDE=FQ","FILING_STATUS=MR","SCALING_FORMAT=MLN","FA_ADJUSTED=GAAP","Sort=A","Dates=H","DateFormat=P","Fill=—","Direction=H","UseDPDF=Y")</f>
        <v>-122.136</v>
      </c>
      <c r="G42" s="13">
        <f>_xll.BDH("SRPT US Equity","EBITDA_AFTER_CAPEX","FQ4 2019","FQ4 2019","Currency=USD","Period=FQ","BEST_FPERIOD_OVERRIDE=FQ","FILING_STATUS=MR","SCALING_FORMAT=MLN","FA_ADJUSTED=GAAP","Sort=A","Dates=H","DateFormat=P","Fill=—","Direction=H","UseDPDF=Y")</f>
        <v>-236.673</v>
      </c>
      <c r="H42" s="13">
        <f>_xll.BDH("SRPT US Equity","EBITDA_AFTER_CAPEX","FQ1 2020","FQ1 2020","Currency=USD","Period=FQ","BEST_FPERIOD_OVERRIDE=FQ","FILING_STATUS=MR","SCALING_FORMAT=MLN","FA_ADJUSTED=GAAP","Sort=A","Dates=H","DateFormat=P","Fill=—","Direction=H","UseDPDF=Y")</f>
        <v>-119.81699999999999</v>
      </c>
      <c r="I42" s="13">
        <f>_xll.BDH("SRPT US Equity","EBITDA_AFTER_CAPEX","FQ2 2020","FQ2 2020","Currency=USD","Period=FQ","BEST_FPERIOD_OVERRIDE=FQ","FILING_STATUS=MR","SCALING_FORMAT=MLN","FA_ADJUSTED=GAAP","Sort=A","Dates=H","DateFormat=P","Fill=—","Direction=H","UseDPDF=Y")</f>
        <v>-149.047</v>
      </c>
      <c r="J42" s="13">
        <f>_xll.BDH("SRPT US Equity","EBITDA_AFTER_CAPEX","FQ3 2020","FQ3 2020","Currency=USD","Period=FQ","BEST_FPERIOD_OVERRIDE=FQ","FILING_STATUS=MR","SCALING_FORMAT=MLN","FA_ADJUSTED=GAAP","Sort=A","Dates=H","DateFormat=P","Fill=—","Direction=H","UseDPDF=Y")</f>
        <v>-153.55199999999999</v>
      </c>
      <c r="K42" s="13">
        <f>_xll.BDH("SRPT US Equity","EBITDA_AFTER_CAPEX","FQ4 2020","FQ4 2020","Currency=USD","Period=FQ","BEST_FPERIOD_OVERRIDE=FQ","FILING_STATUS=MR","SCALING_FORMAT=MLN","FA_ADJUSTED=GAAP","Sort=A","Dates=H","DateFormat=P","Fill=—","Direction=H","UseDPDF=Y")</f>
        <v>-175.464</v>
      </c>
      <c r="L42" s="13">
        <f>_xll.BDH("SRPT US Equity","EBITDA_AFTER_CAPEX","FQ1 2021","FQ1 2021","Currency=USD","Period=FQ","BEST_FPERIOD_OVERRIDE=FQ","FILING_STATUS=MR","SCALING_FORMAT=MLN","FA_ADJUSTED=GAAP","Sort=A","Dates=H","DateFormat=P","Fill=—","Direction=H","UseDPDF=Y")</f>
        <v>-164.084</v>
      </c>
      <c r="M42" s="13">
        <f>_xll.BDH("SRPT US Equity","EBITDA_AFTER_CAPEX","FQ2 2021","FQ2 2021","Currency=USD","Period=FQ","BEST_FPERIOD_OVERRIDE=FQ","FILING_STATUS=MR","SCALING_FORMAT=MLN","FA_ADJUSTED=GAAP","Sort=A","Dates=H","DateFormat=P","Fill=—","Direction=H","UseDPDF=Y")</f>
        <v>-165.02099999999999</v>
      </c>
      <c r="N42" s="13">
        <f>_xll.BDH("SRPT US Equity","EBITDA_AFTER_CAPEX","FQ3 2021","FQ3 2021","Currency=USD","Period=FQ","BEST_FPERIOD_OVERRIDE=FQ","FILING_STATUS=MR","SCALING_FORMAT=MLN","FA_ADJUSTED=GAAP","Sort=A","Dates=H","DateFormat=P","Fill=—","Direction=H","UseDPDF=Y")</f>
        <v>-33.204000000000001</v>
      </c>
      <c r="O42" s="13">
        <f>_xll.BDH("SRPT US Equity","EBITDA_AFTER_CAPEX","FQ4 2021","FQ4 2021","Currency=USD","Period=FQ","BEST_FPERIOD_OVERRIDE=FQ","FILING_STATUS=MR","SCALING_FORMAT=MLN","FA_ADJUSTED=GAAP","Sort=A","Dates=H","DateFormat=P","Fill=—","Direction=H","UseDPDF=Y")</f>
        <v>-97.873999999999995</v>
      </c>
      <c r="P42" s="13">
        <f>_xll.BDH("SRPT US Equity","EBITDA_AFTER_CAPEX","FQ1 2022","FQ1 2022","Currency=USD","Period=FQ","BEST_FPERIOD_OVERRIDE=FQ","FILING_STATUS=MR","SCALING_FORMAT=MLN","FA_ADJUSTED=GAAP","Sort=A","Dates=H","DateFormat=P","Fill=—","Direction=H","UseDPDF=Y")</f>
        <v>-81.712999999999994</v>
      </c>
      <c r="Q42" s="13">
        <f>_xll.BDH("SRPT US Equity","EBITDA_AFTER_CAPEX","FQ2 2022","FQ2 2022","Currency=USD","Period=FQ","BEST_FPERIOD_OVERRIDE=FQ","FILING_STATUS=MR","SCALING_FORMAT=MLN","FA_ADJUSTED=GAAP","Sort=A","Dates=H","DateFormat=P","Fill=—","Direction=H","UseDPDF=Y")</f>
        <v>-210.321</v>
      </c>
      <c r="R42" s="13">
        <f>_xll.BDH("SRPT US Equity","EBITDA_AFTER_CAPEX","FQ3 2022","FQ3 2022","Currency=USD","Period=FQ","BEST_FPERIOD_OVERRIDE=FQ","FILING_STATUS=MR","SCALING_FORMAT=MLN","FA_ADJUSTED=GAAP","Sort=A","Dates=H","DateFormat=P","Fill=—","Direction=H","UseDPDF=Y")</f>
        <v>-128.88300000000001</v>
      </c>
      <c r="S42" s="13">
        <f>_xll.BDH("SRPT US Equity","EBITDA_AFTER_CAPEX","FQ4 2022","FQ4 2022","Currency=USD","Period=FQ","BEST_FPERIOD_OVERRIDE=FQ","FILING_STATUS=MR","SCALING_FORMAT=MLN","FA_ADJUSTED=GAAP","Sort=A","Dates=H","DateFormat=P","Fill=—","Direction=H","UseDPDF=Y")</f>
        <v>-103.01900000000001</v>
      </c>
      <c r="T42" s="13">
        <f>_xll.BDH("SRPT US Equity","EBITDA_AFTER_CAPEX","FQ1 2023","FQ1 2023","Currency=USD","Period=FQ","BEST_FPERIOD_OVERRIDE=FQ","FILING_STATUS=MR","SCALING_FORMAT=MLN","FA_ADJUSTED=GAAP","Sort=A","Dates=H","DateFormat=P","Fill=—","Direction=H","UseDPDF=Y")</f>
        <v>-136.268</v>
      </c>
      <c r="U42" s="13">
        <f>_xll.BDH("SRPT US Equity","EBITDA_AFTER_CAPEX","FQ2 2023","FQ2 2023","Currency=USD","Period=FQ","BEST_FPERIOD_OVERRIDE=FQ","FILING_STATUS=MR","SCALING_FORMAT=MLN","FA_ADJUSTED=GAAP","Sort=A","Dates=H","DateFormat=P","Fill=—","Direction=H","UseDPDF=Y")</f>
        <v>-140.636</v>
      </c>
      <c r="V42" s="13">
        <f>_xll.BDH("SRPT US Equity","EBITDA_AFTER_CAPEX","FQ3 2023","FQ3 2023","Currency=USD","Period=FQ","BEST_FPERIOD_OVERRIDE=FQ","FILING_STATUS=MR","SCALING_FORMAT=MLN","FA_ADJUSTED=GAAP","Sort=A","Dates=H","DateFormat=P","Fill=—","Direction=H","UseDPDF=Y")</f>
        <v>-39.587000000000003</v>
      </c>
      <c r="W42" s="13">
        <f>_xll.BDH("SRPT US Equity","EBITDA_AFTER_CAPEX","FQ4 2023","FQ4 2023","Currency=USD","Period=FQ","BEST_FPERIOD_OVERRIDE=FQ","FILING_STATUS=MR","SCALING_FORMAT=MLN","FA_ADJUSTED=GAAP","Sort=A","Dates=H","DateFormat=P","Fill=—","Direction=H","UseDPDF=Y")</f>
        <v>16.957999999999998</v>
      </c>
      <c r="X42" s="13">
        <f>_xll.BDH("SRPT US Equity","EBITDA_AFTER_CAPEX","FQ1 2024","FQ1 2024","Currency=USD","Period=FQ","BEST_FPERIOD_OVERRIDE=FQ","FILING_STATUS=MR","SCALING_FORMAT=MLN","FA_ADJUSTED=GAAP","Sort=A","Dates=H","DateFormat=P","Fill=—","Direction=H","UseDPDF=Y")</f>
        <v>11.205</v>
      </c>
      <c r="Y42" s="13">
        <f>_xll.BDH("SRPT US Equity","EBITDA_AFTER_CAPEX","FQ2 2024","FQ2 2024","Currency=USD","Period=FQ","BEST_FPERIOD_OVERRIDE=FQ","FILING_STATUS=MR","SCALING_FORMAT=MLN","FA_ADJUSTED=GAAP","Sort=A","Dates=H","DateFormat=P","Fill=—","Direction=H","UseDPDF=Y")</f>
        <v>-21.149000000000001</v>
      </c>
      <c r="Z42" s="13">
        <f>_xll.BDH("SRPT US Equity","EBITDA_AFTER_CAPEX","FQ3 2024","FQ3 2024","Currency=USD","Period=FQ","BEST_FPERIOD_OVERRIDE=FQ","FILING_STATUS=MR","SCALING_FORMAT=MLN","FA_ADJUSTED=GAAP","Sort=A","Dates=H","DateFormat=P","Fill=—","Direction=H","UseDPDF=Y")</f>
        <v>-5.2610000000000001</v>
      </c>
      <c r="AA42" s="13">
        <f>_xll.BDH("SRPT US Equity","EBITDA_AFTER_CAPEX","FQ4 2024","FQ4 2024","Currency=USD","Period=FQ","BEST_FPERIOD_OVERRIDE=FQ","FILING_STATUS=MR","SCALING_FORMAT=MLN","FA_ADJUSTED=GAAP","Sort=A","Dates=H","DateFormat=P","Fill=—","Direction=H","UseDPDF=Y")</f>
        <v>134.054</v>
      </c>
    </row>
    <row r="43" spans="1:27" x14ac:dyDescent="0.25">
      <c r="A43" s="10" t="s">
        <v>142</v>
      </c>
      <c r="B43" s="10" t="s">
        <v>99</v>
      </c>
      <c r="C43" s="13">
        <f>_xll.BDH("SRPT US Equity","IS_OPER_INC","FQ4 2018","FQ4 2018","Currency=USD","Period=FQ","BEST_FPERIOD_OVERRIDE=FQ","FILING_STATUS=MR","SCALING_FORMAT=MLN","FA_ADJUSTED=GAAP","Sort=A","Dates=H","DateFormat=P","Fill=—","Direction=H","UseDPDF=Y")</f>
        <v>-139.363</v>
      </c>
      <c r="D43" s="13">
        <f>_xll.BDH("SRPT US Equity","IS_OPER_INC","FQ1 2019","FQ1 2019","Currency=USD","Period=FQ","BEST_FPERIOD_OVERRIDE=FQ","FILING_STATUS=MR","SCALING_FORMAT=MLN","FA_ADJUSTED=GAAP","Sort=A","Dates=H","DateFormat=P","Fill=—","Direction=H","UseDPDF=Y")</f>
        <v>-76.387</v>
      </c>
      <c r="E43" s="13">
        <f>_xll.BDH("SRPT US Equity","IS_OPER_INC","FQ2 2019","FQ2 2019","Currency=USD","Period=FQ","BEST_FPERIOD_OVERRIDE=FQ","FILING_STATUS=MR","SCALING_FORMAT=MLN","FA_ADJUSTED=GAAP","Sort=A","Dates=H","DateFormat=P","Fill=—","Direction=H","UseDPDF=Y")</f>
        <v>-275.36700000000002</v>
      </c>
      <c r="F43" s="13">
        <f>_xll.BDH("SRPT US Equity","IS_OPER_INC","FQ3 2019","FQ3 2019","Currency=USD","Period=FQ","BEST_FPERIOD_OVERRIDE=FQ","FILING_STATUS=MR","SCALING_FORMAT=MLN","FA_ADJUSTED=GAAP","Sort=A","Dates=H","DateFormat=P","Fill=—","Direction=H","UseDPDF=Y")</f>
        <v>-123.59</v>
      </c>
      <c r="G43" s="13">
        <f>_xll.BDH("SRPT US Equity","IS_OPER_INC","FQ4 2019","FQ4 2019","Currency=USD","Period=FQ","BEST_FPERIOD_OVERRIDE=FQ","FILING_STATUS=MR","SCALING_FORMAT=MLN","FA_ADJUSTED=GAAP","Sort=A","Dates=H","DateFormat=P","Fill=—","Direction=H","UseDPDF=Y")</f>
        <v>-230.21899999999999</v>
      </c>
      <c r="H43" s="13">
        <f>_xll.BDH("SRPT US Equity","IS_OPER_INC","FQ1 2020","FQ1 2020","Currency=USD","Period=FQ","BEST_FPERIOD_OVERRIDE=FQ","FILING_STATUS=MR","SCALING_FORMAT=MLN","FA_ADJUSTED=GAAP","Sort=A","Dates=H","DateFormat=P","Fill=—","Direction=H","UseDPDF=Y")</f>
        <v>-118.026</v>
      </c>
      <c r="I43" s="13">
        <f>_xll.BDH("SRPT US Equity","IS_OPER_INC","FQ2 2020","FQ2 2020","Currency=USD","Period=FQ","BEST_FPERIOD_OVERRIDE=FQ","FILING_STATUS=MR","SCALING_FORMAT=MLN","FA_ADJUSTED=GAAP","Sort=A","Dates=H","DateFormat=P","Fill=—","Direction=H","UseDPDF=Y")</f>
        <v>-138.35300000000001</v>
      </c>
      <c r="J43" s="13">
        <f>_xll.BDH("SRPT US Equity","IS_OPER_INC","FQ3 2020","FQ3 2020","Currency=USD","Period=FQ","BEST_FPERIOD_OVERRIDE=FQ","FILING_STATUS=MR","SCALING_FORMAT=MLN","FA_ADJUSTED=GAAP","Sort=A","Dates=H","DateFormat=P","Fill=—","Direction=H","UseDPDF=Y")</f>
        <v>-137.06800000000001</v>
      </c>
      <c r="K43" s="13">
        <f>_xll.BDH("SRPT US Equity","IS_OPER_INC","FQ4 2020","FQ4 2020","Currency=USD","Period=FQ","BEST_FPERIOD_OVERRIDE=FQ","FILING_STATUS=MR","SCALING_FORMAT=MLN","FA_ADJUSTED=GAAP","Sort=A","Dates=H","DateFormat=P","Fill=—","Direction=H","UseDPDF=Y")</f>
        <v>-170.71600000000001</v>
      </c>
      <c r="L43" s="13">
        <f>_xll.BDH("SRPT US Equity","IS_OPER_INC","FQ1 2021","FQ1 2021","Currency=USD","Period=FQ","BEST_FPERIOD_OVERRIDE=FQ","FILING_STATUS=MR","SCALING_FORMAT=MLN","FA_ADJUSTED=GAAP","Sort=A","Dates=H","DateFormat=P","Fill=—","Direction=H","UseDPDF=Y")</f>
        <v>-151.86500000000001</v>
      </c>
      <c r="M43" s="13">
        <f>_xll.BDH("SRPT US Equity","IS_OPER_INC","FQ2 2021","FQ2 2021","Currency=USD","Period=FQ","BEST_FPERIOD_OVERRIDE=FQ","FILING_STATUS=MR","SCALING_FORMAT=MLN","FA_ADJUSTED=GAAP","Sort=A","Dates=H","DateFormat=P","Fill=—","Direction=H","UseDPDF=Y")</f>
        <v>-167.57400000000001</v>
      </c>
      <c r="N43" s="13">
        <f>_xll.BDH("SRPT US Equity","IS_OPER_INC","FQ3 2021","FQ3 2021","Currency=USD","Period=FQ","BEST_FPERIOD_OVERRIDE=FQ","FILING_STATUS=MR","SCALING_FORMAT=MLN","FA_ADJUSTED=GAAP","Sort=A","Dates=H","DateFormat=P","Fill=—","Direction=H","UseDPDF=Y")</f>
        <v>-34.457999999999998</v>
      </c>
      <c r="O43" s="13">
        <f>_xll.BDH("SRPT US Equity","IS_OPER_INC","FQ4 2021","FQ4 2021","Currency=USD","Period=FQ","BEST_FPERIOD_OVERRIDE=FQ","FILING_STATUS=MR","SCALING_FORMAT=MLN","FA_ADJUSTED=GAAP","Sort=A","Dates=H","DateFormat=P","Fill=—","Direction=H","UseDPDF=Y")</f>
        <v>-105.813</v>
      </c>
      <c r="P43" s="13">
        <f>_xll.BDH("SRPT US Equity","IS_OPER_INC","FQ1 2022","FQ1 2022","Currency=USD","Period=FQ","BEST_FPERIOD_OVERRIDE=FQ","FILING_STATUS=MR","SCALING_FORMAT=MLN","FA_ADJUSTED=GAAP","Sort=A","Dates=H","DateFormat=P","Fill=—","Direction=H","UseDPDF=Y")</f>
        <v>-86.881</v>
      </c>
      <c r="Q43" s="13">
        <f>_xll.BDH("SRPT US Equity","IS_OPER_INC","FQ2 2022","FQ2 2022","Currency=USD","Period=FQ","BEST_FPERIOD_OVERRIDE=FQ","FILING_STATUS=MR","SCALING_FORMAT=MLN","FA_ADJUSTED=GAAP","Sort=A","Dates=H","DateFormat=P","Fill=—","Direction=H","UseDPDF=Y")</f>
        <v>-211.13200000000001</v>
      </c>
      <c r="R43" s="13">
        <f>_xll.BDH("SRPT US Equity","IS_OPER_INC","FQ3 2022","FQ3 2022","Currency=USD","Period=FQ","BEST_FPERIOD_OVERRIDE=FQ","FILING_STATUS=MR","SCALING_FORMAT=MLN","FA_ADJUSTED=GAAP","Sort=A","Dates=H","DateFormat=P","Fill=—","Direction=H","UseDPDF=Y")</f>
        <v>-131.35499999999999</v>
      </c>
      <c r="S43" s="13">
        <f>_xll.BDH("SRPT US Equity","IS_OPER_INC","FQ4 2022","FQ4 2022","Currency=USD","Period=FQ","BEST_FPERIOD_OVERRIDE=FQ","FILING_STATUS=MR","SCALING_FORMAT=MLN","FA_ADJUSTED=GAAP","Sort=A","Dates=H","DateFormat=P","Fill=—","Direction=H","UseDPDF=Y")</f>
        <v>-106.833</v>
      </c>
      <c r="T43" s="13">
        <f>_xll.BDH("SRPT US Equity","IS_OPER_INC","FQ1 2023","FQ1 2023","Currency=USD","Period=FQ","BEST_FPERIOD_OVERRIDE=FQ","FILING_STATUS=MR","SCALING_FORMAT=MLN","FA_ADJUSTED=GAAP","Sort=A","Dates=H","DateFormat=P","Fill=—","Direction=H","UseDPDF=Y")</f>
        <v>-138.08799999999999</v>
      </c>
      <c r="U43" s="13">
        <f>_xll.BDH("SRPT US Equity","IS_OPER_INC","FQ2 2023","FQ2 2023","Currency=USD","Period=FQ","BEST_FPERIOD_OVERRIDE=FQ","FILING_STATUS=MR","SCALING_FORMAT=MLN","FA_ADJUSTED=GAAP","Sort=A","Dates=H","DateFormat=P","Fill=—","Direction=H","UseDPDF=Y")</f>
        <v>-133.51900000000001</v>
      </c>
      <c r="V43" s="13">
        <f>_xll.BDH("SRPT US Equity","IS_OPER_INC","FQ3 2023","FQ3 2023","Currency=USD","Period=FQ","BEST_FPERIOD_OVERRIDE=FQ","FILING_STATUS=MR","SCALING_FORMAT=MLN","FA_ADJUSTED=GAAP","Sort=A","Dates=H","DateFormat=P","Fill=—","Direction=H","UseDPDF=Y")</f>
        <v>-20.841999999999999</v>
      </c>
      <c r="W43" s="13">
        <f>_xll.BDH("SRPT US Equity","IS_OPER_INC","FQ4 2023","FQ4 2023","Currency=USD","Period=FQ","BEST_FPERIOD_OVERRIDE=FQ","FILING_STATUS=MR","SCALING_FORMAT=MLN","FA_ADJUSTED=GAAP","Sort=A","Dates=H","DateFormat=P","Fill=—","Direction=H","UseDPDF=Y")</f>
        <v>24.625</v>
      </c>
      <c r="X43" s="13">
        <f>_xll.BDH("SRPT US Equity","IS_OPER_INC","FQ1 2024","FQ1 2024","Currency=USD","Period=FQ","BEST_FPERIOD_OVERRIDE=FQ","FILING_STATUS=MR","SCALING_FORMAT=MLN","FA_ADJUSTED=GAAP","Sort=A","Dates=H","DateFormat=P","Fill=—","Direction=H","UseDPDF=Y")</f>
        <v>34.905000000000001</v>
      </c>
      <c r="Y43" s="13">
        <f>_xll.BDH("SRPT US Equity","IS_OPER_INC","FQ2 2024","FQ2 2024","Currency=USD","Period=FQ","BEST_FPERIOD_OVERRIDE=FQ","FILING_STATUS=MR","SCALING_FORMAT=MLN","FA_ADJUSTED=GAAP","Sort=A","Dates=H","DateFormat=P","Fill=—","Direction=H","UseDPDF=Y")</f>
        <v>-0.70099999999999996</v>
      </c>
      <c r="Z43" s="13">
        <f>_xll.BDH("SRPT US Equity","IS_OPER_INC","FQ3 2024","FQ3 2024","Currency=USD","Period=FQ","BEST_FPERIOD_OVERRIDE=FQ","FILING_STATUS=MR","SCALING_FORMAT=MLN","FA_ADJUSTED=GAAP","Sort=A","Dates=H","DateFormat=P","Fill=—","Direction=H","UseDPDF=Y")</f>
        <v>22.196000000000002</v>
      </c>
      <c r="AA43" s="13">
        <f>_xll.BDH("SRPT US Equity","IS_OPER_INC","FQ4 2024","FQ4 2024","Currency=USD","Period=FQ","BEST_FPERIOD_OVERRIDE=FQ","FILING_STATUS=MR","SCALING_FORMAT=MLN","FA_ADJUSTED=GAAP","Sort=A","Dates=H","DateFormat=P","Fill=—","Direction=H","UseDPDF=Y")</f>
        <v>161.68100000000001</v>
      </c>
    </row>
    <row r="44" spans="1:27" x14ac:dyDescent="0.25">
      <c r="A44" s="7" t="s">
        <v>90</v>
      </c>
      <c r="B44" s="7"/>
      <c r="C44" s="7" t="s">
        <v>5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44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1507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10" t="s">
        <v>195</v>
      </c>
      <c r="B6" s="10" t="s">
        <v>196</v>
      </c>
      <c r="C6" s="12" t="s">
        <v>1465</v>
      </c>
      <c r="D6" s="12" t="s">
        <v>197</v>
      </c>
      <c r="E6" s="12" t="s">
        <v>197</v>
      </c>
      <c r="F6" s="12" t="s">
        <v>197</v>
      </c>
      <c r="G6" s="12" t="s">
        <v>197</v>
      </c>
      <c r="H6" s="12" t="s">
        <v>197</v>
      </c>
      <c r="I6" s="12" t="s">
        <v>197</v>
      </c>
      <c r="J6" s="12" t="s">
        <v>197</v>
      </c>
      <c r="K6" s="12" t="s">
        <v>197</v>
      </c>
      <c r="L6" s="12" t="s">
        <v>197</v>
      </c>
      <c r="M6" s="12" t="s">
        <v>197</v>
      </c>
      <c r="N6" s="12" t="s">
        <v>197</v>
      </c>
      <c r="O6" s="12" t="s">
        <v>197</v>
      </c>
      <c r="P6" s="12" t="s">
        <v>197</v>
      </c>
      <c r="Q6" s="12" t="s">
        <v>197</v>
      </c>
      <c r="R6" s="12" t="s">
        <v>197</v>
      </c>
      <c r="S6" s="12" t="s">
        <v>197</v>
      </c>
      <c r="T6" s="12" t="s">
        <v>197</v>
      </c>
      <c r="U6" s="12" t="s">
        <v>197</v>
      </c>
      <c r="V6" s="12" t="s">
        <v>197</v>
      </c>
      <c r="W6" s="12" t="s">
        <v>197</v>
      </c>
      <c r="X6" s="12" t="s">
        <v>197</v>
      </c>
      <c r="Y6" s="12" t="s">
        <v>197</v>
      </c>
      <c r="Z6" s="12" t="s">
        <v>197</v>
      </c>
      <c r="AA6" s="12" t="s">
        <v>197</v>
      </c>
    </row>
    <row r="7" spans="1:27" x14ac:dyDescent="0.25">
      <c r="A7" s="10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1411</v>
      </c>
      <c r="B8" s="10" t="s">
        <v>296</v>
      </c>
      <c r="C8" s="13">
        <f>_xll.BDH("SRPT US Equity","TOT_DEBT_EX_OPERATING_LEA_LIABS","FQ4 2018","FQ4 2018","Currency=USD","Period=FQ","BEST_FPERIOD_OVERRIDE=FQ","FILING_STATUS=MR","SCALING_FORMAT=MLN","Sort=A","Dates=H","DateFormat=P","Fill=—","Direction=H","UseDPDF=Y")</f>
        <v>420.55399999999997</v>
      </c>
      <c r="D8" s="13">
        <f>_xll.BDH("SRPT US Equity","TOT_DEBT_EX_OPERATING_LEA_LIABS","FQ1 2019","FQ1 2019","Currency=USD","Period=FQ","BEST_FPERIOD_OVERRIDE=FQ","FILING_STATUS=MR","SCALING_FORMAT=MLN","Sort=A","Dates=H","DateFormat=P","Fill=—","Direction=H","UseDPDF=Y")</f>
        <v>425.75200000000001</v>
      </c>
      <c r="E8" s="13">
        <f>_xll.BDH("SRPT US Equity","TOT_DEBT_EX_OPERATING_LEA_LIABS","FQ2 2019","FQ2 2019","Currency=USD","Period=FQ","BEST_FPERIOD_OVERRIDE=FQ","FILING_STATUS=MR","SCALING_FORMAT=MLN","Sort=A","Dates=H","DateFormat=P","Fill=—","Direction=H","UseDPDF=Y")</f>
        <v>431.04</v>
      </c>
      <c r="F8" s="13">
        <f>_xll.BDH("SRPT US Equity","TOT_DEBT_EX_OPERATING_LEA_LIABS","FQ3 2019","FQ3 2019","Currency=USD","Period=FQ","BEST_FPERIOD_OVERRIDE=FQ","FILING_STATUS=MR","SCALING_FORMAT=MLN","Sort=A","Dates=H","DateFormat=P","Fill=—","Direction=H","UseDPDF=Y")</f>
        <v>436.42099999999999</v>
      </c>
      <c r="G8" s="13">
        <f>_xll.BDH("SRPT US Equity","TOT_DEBT_EX_OPERATING_LEA_LIABS","FQ4 2019","FQ4 2019","Currency=USD","Period=FQ","BEST_FPERIOD_OVERRIDE=FQ","FILING_STATUS=MR","SCALING_FORMAT=MLN","Sort=A","Dates=H","DateFormat=P","Fill=—","Direction=H","UseDPDF=Y")</f>
        <v>681.9</v>
      </c>
      <c r="H8" s="13">
        <f>_xll.BDH("SRPT US Equity","TOT_DEBT_EX_OPERATING_LEA_LIABS","FQ1 2020","FQ1 2020","Currency=USD","Period=FQ","BEST_FPERIOD_OVERRIDE=FQ","FILING_STATUS=MR","SCALING_FORMAT=MLN","Sort=A","Dates=H","DateFormat=P","Fill=—","Direction=H","UseDPDF=Y")</f>
        <v>687.95299999999997</v>
      </c>
      <c r="I8" s="13">
        <f>_xll.BDH("SRPT US Equity","TOT_DEBT_EX_OPERATING_LEA_LIABS","FQ2 2020","FQ2 2020","Currency=USD","Period=FQ","BEST_FPERIOD_OVERRIDE=FQ","FILING_STATUS=MR","SCALING_FORMAT=MLN","Sort=A","Dates=H","DateFormat=P","Fill=—","Direction=H","UseDPDF=Y")</f>
        <v>694.15599999999995</v>
      </c>
      <c r="J8" s="13">
        <f>_xll.BDH("SRPT US Equity","TOT_DEBT_EX_OPERATING_LEA_LIABS","FQ3 2020","FQ3 2020","Currency=USD","Period=FQ","BEST_FPERIOD_OVERRIDE=FQ","FILING_STATUS=MR","SCALING_FORMAT=MLN","Sort=A","Dates=H","DateFormat=P","Fill=—","Direction=H","UseDPDF=Y")</f>
        <v>700.47</v>
      </c>
      <c r="K8" s="13">
        <f>_xll.BDH("SRPT US Equity","TOT_DEBT_EX_OPERATING_LEA_LIABS","FQ4 2020","FQ4 2020","Currency=USD","Period=FQ","BEST_FPERIOD_OVERRIDE=FQ","FILING_STATUS=MR","SCALING_FORMAT=MLN","Sort=A","Dates=H","DateFormat=P","Fill=—","Direction=H","UseDPDF=Y")</f>
        <v>992.49300000000005</v>
      </c>
      <c r="L8" s="13">
        <f>_xll.BDH("SRPT US Equity","TOT_DEBT_EX_OPERATING_LEA_LIABS","FQ1 2021","FQ1 2021","Currency=USD","Period=FQ","BEST_FPERIOD_OVERRIDE=FQ","FILING_STATUS=MR","SCALING_FORMAT=MLN","Sort=A","Dates=H","DateFormat=P","Fill=—","Direction=H","UseDPDF=Y")</f>
        <v>1091.1099999999999</v>
      </c>
      <c r="M8" s="13">
        <f>_xll.BDH("SRPT US Equity","TOT_DEBT_EX_OPERATING_LEA_LIABS","FQ2 2021","FQ2 2021","Currency=USD","Period=FQ","BEST_FPERIOD_OVERRIDE=FQ","FILING_STATUS=MR","SCALING_FORMAT=MLN","Sort=A","Dates=H","DateFormat=P","Fill=—","Direction=H","UseDPDF=Y")</f>
        <v>1092.9849999999999</v>
      </c>
      <c r="N8" s="13">
        <f>_xll.BDH("SRPT US Equity","TOT_DEBT_EX_OPERATING_LEA_LIABS","FQ3 2021","FQ3 2021","Currency=USD","Period=FQ","BEST_FPERIOD_OVERRIDE=FQ","FILING_STATUS=MR","SCALING_FORMAT=MLN","Sort=A","Dates=H","DateFormat=P","Fill=—","Direction=H","UseDPDF=Y")</f>
        <v>1094.912</v>
      </c>
      <c r="O8" s="13">
        <f>_xll.BDH("SRPT US Equity","TOT_DEBT_EX_OPERATING_LEA_LIABS","FQ4 2021","FQ4 2021","Currency=USD","Period=FQ","BEST_FPERIOD_OVERRIDE=FQ","FILING_STATUS=MR","SCALING_FORMAT=MLN","Sort=A","Dates=H","DateFormat=P","Fill=—","Direction=H","UseDPDF=Y")</f>
        <v>1096.876</v>
      </c>
      <c r="P8" s="13">
        <f>_xll.BDH("SRPT US Equity","TOT_DEBT_EX_OPERATING_LEA_LIABS","FQ1 2022","FQ1 2022","Currency=USD","Period=FQ","BEST_FPERIOD_OVERRIDE=FQ","FILING_STATUS=MR","SCALING_FORMAT=MLN","Sort=A","Dates=H","DateFormat=P","Fill=—","Direction=H","UseDPDF=Y")</f>
        <v>1098.847</v>
      </c>
      <c r="Q8" s="13">
        <f>_xll.BDH("SRPT US Equity","TOT_DEBT_EX_OPERATING_LEA_LIABS","FQ2 2022","FQ2 2022","Currency=USD","Period=FQ","BEST_FPERIOD_OVERRIDE=FQ","FILING_STATUS=MR","SCALING_FORMAT=MLN","Sort=A","Dates=H","DateFormat=P","Fill=—","Direction=H","UseDPDF=Y")</f>
        <v>1100.873</v>
      </c>
      <c r="R8" s="13">
        <f>_xll.BDH("SRPT US Equity","TOT_DEBT_EX_OPERATING_LEA_LIABS","FQ3 2022","FQ3 2022","Currency=USD","Period=FQ","BEST_FPERIOD_OVERRIDE=FQ","FILING_STATUS=MR","SCALING_FORMAT=MLN","Sort=A","Dates=H","DateFormat=P","Fill=—","Direction=H","UseDPDF=Y")</f>
        <v>1542.77</v>
      </c>
      <c r="S8" s="13">
        <f>_xll.BDH("SRPT US Equity","TOT_DEBT_EX_OPERATING_LEA_LIABS","FQ4 2022","FQ4 2022","Currency=USD","Period=FQ","BEST_FPERIOD_OVERRIDE=FQ","FILING_STATUS=MR","SCALING_FORMAT=MLN","Sort=A","Dates=H","DateFormat=P","Fill=—","Direction=H","UseDPDF=Y")</f>
        <v>1544.2919999999999</v>
      </c>
      <c r="T8" s="13">
        <f>_xll.BDH("SRPT US Equity","TOT_DEBT_EX_OPERATING_LEA_LIABS","FQ1 2023","FQ1 2023","Currency=USD","Period=FQ","BEST_FPERIOD_OVERRIDE=FQ","FILING_STATUS=MR","SCALING_FORMAT=MLN","Sort=A","Dates=H","DateFormat=P","Fill=—","Direction=H","UseDPDF=Y")</f>
        <v>1234.2840000000001</v>
      </c>
      <c r="U8" s="13">
        <f>_xll.BDH("SRPT US Equity","TOT_DEBT_EX_OPERATING_LEA_LIABS","FQ2 2023","FQ2 2023","Currency=USD","Period=FQ","BEST_FPERIOD_OVERRIDE=FQ","FILING_STATUS=MR","SCALING_FORMAT=MLN","Sort=A","Dates=H","DateFormat=P","Fill=—","Direction=H","UseDPDF=Y")</f>
        <v>1235.5170000000001</v>
      </c>
      <c r="V8" s="13">
        <f>_xll.BDH("SRPT US Equity","TOT_DEBT_EX_OPERATING_LEA_LIABS","FQ3 2023","FQ3 2023","Currency=USD","Period=FQ","BEST_FPERIOD_OVERRIDE=FQ","FILING_STATUS=MR","SCALING_FORMAT=MLN","Sort=A","Dates=H","DateFormat=P","Fill=—","Direction=H","UseDPDF=Y")</f>
        <v>1236.7550000000001</v>
      </c>
      <c r="W8" s="13">
        <f>_xll.BDH("SRPT US Equity","TOT_DEBT_EX_OPERATING_LEA_LIABS","FQ4 2023","FQ4 2023","Currency=USD","Period=FQ","BEST_FPERIOD_OVERRIDE=FQ","FILING_STATUS=MR","SCALING_FORMAT=MLN","Sort=A","Dates=H","DateFormat=P","Fill=—","Direction=H","UseDPDF=Y")</f>
        <v>1237.998</v>
      </c>
      <c r="X8" s="13">
        <f>_xll.BDH("SRPT US Equity","TOT_DEBT_EX_OPERATING_LEA_LIABS","FQ1 2024","FQ1 2024","Currency=USD","Period=FQ","BEST_FPERIOD_OVERRIDE=FQ","FILING_STATUS=MR","SCALING_FORMAT=MLN","Sort=A","Dates=H","DateFormat=P","Fill=—","Direction=H","UseDPDF=Y")</f>
        <v>1239.2460000000001</v>
      </c>
      <c r="Y8" s="13">
        <f>_xll.BDH("SRPT US Equity","TOT_DEBT_EX_OPERATING_LEA_LIABS","FQ2 2024","FQ2 2024","Currency=USD","Period=FQ","BEST_FPERIOD_OVERRIDE=FQ","FILING_STATUS=MR","SCALING_FORMAT=MLN","Sort=A","Dates=H","DateFormat=P","Fill=—","Direction=H","UseDPDF=Y")</f>
        <v>1226.3150000000001</v>
      </c>
      <c r="Z8" s="13">
        <f>_xll.BDH("SRPT US Equity","TOT_DEBT_EX_OPERATING_LEA_LIABS","FQ3 2024","FQ3 2024","Currency=USD","Period=FQ","BEST_FPERIOD_OVERRIDE=FQ","FILING_STATUS=MR","SCALING_FORMAT=MLN","Sort=A","Dates=H","DateFormat=P","Fill=—","Direction=H","UseDPDF=Y")</f>
        <v>1227.56</v>
      </c>
      <c r="AA8" s="13">
        <f>_xll.BDH("SRPT US Equity","TOT_DEBT_EX_OPERATING_LEA_LIABS","FQ4 2024","FQ4 2024","Currency=USD","Period=FQ","BEST_FPERIOD_OVERRIDE=FQ","FILING_STATUS=MR","SCALING_FORMAT=MLN","Sort=A","Dates=H","DateFormat=P","Fill=—","Direction=H","UseDPDF=Y")</f>
        <v>1137.124</v>
      </c>
    </row>
    <row r="9" spans="1:27" x14ac:dyDescent="0.25">
      <c r="A9" s="10" t="s">
        <v>1466</v>
      </c>
      <c r="B9" s="10" t="s">
        <v>1508</v>
      </c>
      <c r="C9" s="13">
        <f>_xll.BDH("SRPT US Equity","ST_DEBT_EX_OPERATING_LEASE_LIABS","FQ4 2018","FQ4 2018","Currency=USD","Period=FQ","BEST_FPERIOD_OVERRIDE=FQ","FILING_STATUS=MR","SCALING_FORMAT=MLN","Sort=A","Dates=H","DateFormat=P","Fill=—","Direction=H","UseDPDF=Y")</f>
        <v>0</v>
      </c>
      <c r="D9" s="13">
        <f>_xll.BDH("SRPT US Equity","ST_DEBT_EX_OPERATING_LEASE_LIABS","FQ1 2019","FQ1 2019","Currency=USD","Period=FQ","BEST_FPERIOD_OVERRIDE=FQ","FILING_STATUS=MR","SCALING_FORMAT=MLN","Sort=A","Dates=H","DateFormat=P","Fill=—","Direction=H","UseDPDF=Y")</f>
        <v>0</v>
      </c>
      <c r="E9" s="13">
        <f>_xll.BDH("SRPT US Equity","ST_DEBT_EX_OPERATING_LEASE_LIABS","FQ2 2019","FQ2 2019","Currency=USD","Period=FQ","BEST_FPERIOD_OVERRIDE=FQ","FILING_STATUS=MR","SCALING_FORMAT=MLN","Sort=A","Dates=H","DateFormat=P","Fill=—","Direction=H","UseDPDF=Y")</f>
        <v>0</v>
      </c>
      <c r="F9" s="13">
        <f>_xll.BDH("SRPT US Equity","ST_DEBT_EX_OPERATING_LEASE_LIABS","FQ3 2019","FQ3 2019","Currency=USD","Period=FQ","BEST_FPERIOD_OVERRIDE=FQ","FILING_STATUS=MR","SCALING_FORMAT=MLN","Sort=A","Dates=H","DateFormat=P","Fill=—","Direction=H","UseDPDF=Y")</f>
        <v>0</v>
      </c>
      <c r="G9" s="13">
        <f>_xll.BDH("SRPT US Equity","ST_DEBT_EX_OPERATING_LEASE_LIABS","FQ4 2019","FQ4 2019","Currency=USD","Period=FQ","BEST_FPERIOD_OVERRIDE=FQ","FILING_STATUS=MR","SCALING_FORMAT=MLN","Sort=A","Dates=H","DateFormat=P","Fill=—","Direction=H","UseDPDF=Y")</f>
        <v>0</v>
      </c>
      <c r="H9" s="13">
        <f>_xll.BDH("SRPT US Equity","ST_DEBT_EX_OPERATING_LEASE_LIABS","FQ1 2020","FQ1 2020","Currency=USD","Period=FQ","BEST_FPERIOD_OVERRIDE=FQ","FILING_STATUS=MR","SCALING_FORMAT=MLN","Sort=A","Dates=H","DateFormat=P","Fill=—","Direction=H","UseDPDF=Y")</f>
        <v>0</v>
      </c>
      <c r="I9" s="13">
        <f>_xll.BDH("SRPT US Equity","ST_DEBT_EX_OPERATING_LEASE_LIABS","FQ2 2020","FQ2 2020","Currency=USD","Period=FQ","BEST_FPERIOD_OVERRIDE=FQ","FILING_STATUS=MR","SCALING_FORMAT=MLN","Sort=A","Dates=H","DateFormat=P","Fill=—","Direction=H","UseDPDF=Y")</f>
        <v>0</v>
      </c>
      <c r="J9" s="13">
        <f>_xll.BDH("SRPT US Equity","ST_DEBT_EX_OPERATING_LEASE_LIABS","FQ3 2020","FQ3 2020","Currency=USD","Period=FQ","BEST_FPERIOD_OVERRIDE=FQ","FILING_STATUS=MR","SCALING_FORMAT=MLN","Sort=A","Dates=H","DateFormat=P","Fill=—","Direction=H","UseDPDF=Y")</f>
        <v>0</v>
      </c>
      <c r="K9" s="13">
        <f>_xll.BDH("SRPT US Equity","ST_DEBT_EX_OPERATING_LEASE_LIABS","FQ4 2020","FQ4 2020","Currency=USD","Period=FQ","BEST_FPERIOD_OVERRIDE=FQ","FILING_STATUS=MR","SCALING_FORMAT=MLN","Sort=A","Dates=H","DateFormat=P","Fill=—","Direction=H","UseDPDF=Y")</f>
        <v>0</v>
      </c>
      <c r="L9" s="13" t="str">
        <f>_xll.BDH("SRPT US Equity","ST_DEBT_EX_OPERATING_LEASE_LIABS","FQ1 2021","FQ1 2021","Currency=USD","Period=FQ","BEST_FPERIOD_OVERRIDE=FQ","FILING_STATUS=MR","SCALING_FORMAT=MLN","Sort=A","Dates=H","DateFormat=P","Fill=—","Direction=H","UseDPDF=Y")</f>
        <v>—</v>
      </c>
      <c r="M9" s="13">
        <f>_xll.BDH("SRPT US Equity","ST_DEBT_EX_OPERATING_LEASE_LIABS","FQ2 2021","FQ2 2021","Currency=USD","Period=FQ","BEST_FPERIOD_OVERRIDE=FQ","FILING_STATUS=MR","SCALING_FORMAT=MLN","Sort=A","Dates=H","DateFormat=P","Fill=—","Direction=H","UseDPDF=Y")</f>
        <v>0</v>
      </c>
      <c r="N9" s="13">
        <f>_xll.BDH("SRPT US Equity","ST_DEBT_EX_OPERATING_LEASE_LIABS","FQ3 2021","FQ3 2021","Currency=USD","Period=FQ","BEST_FPERIOD_OVERRIDE=FQ","FILING_STATUS=MR","SCALING_FORMAT=MLN","Sort=A","Dates=H","DateFormat=P","Fill=—","Direction=H","UseDPDF=Y")</f>
        <v>0</v>
      </c>
      <c r="O9" s="13">
        <f>_xll.BDH("SRPT US Equity","ST_DEBT_EX_OPERATING_LEASE_LIABS","FQ4 2021","FQ4 2021","Currency=USD","Period=FQ","BEST_FPERIOD_OVERRIDE=FQ","FILING_STATUS=MR","SCALING_FORMAT=MLN","Sort=A","Dates=H","DateFormat=P","Fill=—","Direction=H","UseDPDF=Y")</f>
        <v>0</v>
      </c>
      <c r="P9" s="13" t="str">
        <f>_xll.BDH("SRPT US Equity","ST_DEBT_EX_OPERATING_LEASE_LIABS","FQ1 2022","FQ1 2022","Currency=USD","Period=FQ","BEST_FPERIOD_OVERRIDE=FQ","FILING_STATUS=MR","SCALING_FORMAT=MLN","Sort=A","Dates=H","DateFormat=P","Fill=—","Direction=H","UseDPDF=Y")</f>
        <v>—</v>
      </c>
      <c r="Q9" s="13">
        <f>_xll.BDH("SRPT US Equity","ST_DEBT_EX_OPERATING_LEASE_LIABS","FQ2 2022","FQ2 2022","Currency=USD","Period=FQ","BEST_FPERIOD_OVERRIDE=FQ","FILING_STATUS=MR","SCALING_FORMAT=MLN","Sort=A","Dates=H","DateFormat=P","Fill=—","Direction=H","UseDPDF=Y")</f>
        <v>0</v>
      </c>
      <c r="R9" s="13">
        <f>_xll.BDH("SRPT US Equity","ST_DEBT_EX_OPERATING_LEASE_LIABS","FQ3 2022","FQ3 2022","Currency=USD","Period=FQ","BEST_FPERIOD_OVERRIDE=FQ","FILING_STATUS=MR","SCALING_FORMAT=MLN","Sort=A","Dates=H","DateFormat=P","Fill=—","Direction=H","UseDPDF=Y")</f>
        <v>0</v>
      </c>
      <c r="S9" s="13">
        <f>_xll.BDH("SRPT US Equity","ST_DEBT_EX_OPERATING_LEASE_LIABS","FQ4 2022","FQ4 2022","Currency=USD","Period=FQ","BEST_FPERIOD_OVERRIDE=FQ","FILING_STATUS=MR","SCALING_FORMAT=MLN","Sort=A","Dates=H","DateFormat=P","Fill=—","Direction=H","UseDPDF=Y")</f>
        <v>0</v>
      </c>
      <c r="T9" s="13">
        <f>_xll.BDH("SRPT US Equity","ST_DEBT_EX_OPERATING_LEASE_LIABS","FQ1 2023","FQ1 2023","Currency=USD","Period=FQ","BEST_FPERIOD_OVERRIDE=FQ","FILING_STATUS=MR","SCALING_FORMAT=MLN","Sort=A","Dates=H","DateFormat=P","Fill=—","Direction=H","UseDPDF=Y")</f>
        <v>0</v>
      </c>
      <c r="U9" s="13">
        <f>_xll.BDH("SRPT US Equity","ST_DEBT_EX_OPERATING_LEASE_LIABS","FQ2 2023","FQ2 2023","Currency=USD","Period=FQ","BEST_FPERIOD_OVERRIDE=FQ","FILING_STATUS=MR","SCALING_FORMAT=MLN","Sort=A","Dates=H","DateFormat=P","Fill=—","Direction=H","UseDPDF=Y")</f>
        <v>0</v>
      </c>
      <c r="V9" s="13">
        <f>_xll.BDH("SRPT US Equity","ST_DEBT_EX_OPERATING_LEASE_LIABS","FQ3 2023","FQ3 2023","Currency=USD","Period=FQ","BEST_FPERIOD_OVERRIDE=FQ","FILING_STATUS=MR","SCALING_FORMAT=MLN","Sort=A","Dates=H","DateFormat=P","Fill=—","Direction=H","UseDPDF=Y")</f>
        <v>0</v>
      </c>
      <c r="W9" s="13">
        <f>_xll.BDH("SRPT US Equity","ST_DEBT_EX_OPERATING_LEASE_LIABS","FQ4 2023","FQ4 2023","Currency=USD","Period=FQ","BEST_FPERIOD_OVERRIDE=FQ","FILING_STATUS=MR","SCALING_FORMAT=MLN","Sort=A","Dates=H","DateFormat=P","Fill=—","Direction=H","UseDPDF=Y")</f>
        <v>105.483</v>
      </c>
      <c r="X9" s="13">
        <f>_xll.BDH("SRPT US Equity","ST_DEBT_EX_OPERATING_LEASE_LIABS","FQ1 2024","FQ1 2024","Currency=USD","Period=FQ","BEST_FPERIOD_OVERRIDE=FQ","FILING_STATUS=MR","SCALING_FORMAT=MLN","Sort=A","Dates=H","DateFormat=P","Fill=—","Direction=H","UseDPDF=Y")</f>
        <v>105.586</v>
      </c>
      <c r="Y9" s="13">
        <f>_xll.BDH("SRPT US Equity","ST_DEBT_EX_OPERATING_LEASE_LIABS","FQ2 2024","FQ2 2024","Currency=USD","Period=FQ","BEST_FPERIOD_OVERRIDE=FQ","FILING_STATUS=MR","SCALING_FORMAT=MLN","Sort=A","Dates=H","DateFormat=P","Fill=—","Direction=H","UseDPDF=Y")</f>
        <v>91.504999999999995</v>
      </c>
      <c r="Z9" s="13">
        <f>_xll.BDH("SRPT US Equity","ST_DEBT_EX_OPERATING_LEASE_LIABS","FQ3 2024","FQ3 2024","Currency=USD","Period=FQ","BEST_FPERIOD_OVERRIDE=FQ","FILING_STATUS=MR","SCALING_FORMAT=MLN","Sort=A","Dates=H","DateFormat=P","Fill=—","Direction=H","UseDPDF=Y")</f>
        <v>91.594999999999999</v>
      </c>
      <c r="AA9" s="13">
        <f>_xll.BDH("SRPT US Equity","ST_DEBT_EX_OPERATING_LEASE_LIABS","FQ4 2024","FQ4 2024","Currency=USD","Period=FQ","BEST_FPERIOD_OVERRIDE=FQ","FILING_STATUS=MR","SCALING_FORMAT=MLN","Sort=A","Dates=H","DateFormat=P","Fill=—","Direction=H","UseDPDF=Y")</f>
        <v>0</v>
      </c>
    </row>
    <row r="10" spans="1:27" x14ac:dyDescent="0.25">
      <c r="A10" s="10" t="s">
        <v>1467</v>
      </c>
      <c r="B10" s="10" t="s">
        <v>1509</v>
      </c>
      <c r="C10" s="13">
        <f>_xll.BDH("SRPT US Equity","LT_DEBT_EX_OPERATING_LEASE_LIABS","FQ4 2018","FQ4 2018","Currency=USD","Period=FQ","BEST_FPERIOD_OVERRIDE=FQ","FILING_STATUS=MR","SCALING_FORMAT=MLN","Sort=A","Dates=H","DateFormat=P","Fill=—","Direction=H","UseDPDF=Y")</f>
        <v>420.55399999999997</v>
      </c>
      <c r="D10" s="13">
        <f>_xll.BDH("SRPT US Equity","LT_DEBT_EX_OPERATING_LEASE_LIABS","FQ1 2019","FQ1 2019","Currency=USD","Period=FQ","BEST_FPERIOD_OVERRIDE=FQ","FILING_STATUS=MR","SCALING_FORMAT=MLN","Sort=A","Dates=H","DateFormat=P","Fill=—","Direction=H","UseDPDF=Y")</f>
        <v>425.75200000000001</v>
      </c>
      <c r="E10" s="13">
        <f>_xll.BDH("SRPT US Equity","LT_DEBT_EX_OPERATING_LEASE_LIABS","FQ2 2019","FQ2 2019","Currency=USD","Period=FQ","BEST_FPERIOD_OVERRIDE=FQ","FILING_STATUS=MR","SCALING_FORMAT=MLN","Sort=A","Dates=H","DateFormat=P","Fill=—","Direction=H","UseDPDF=Y")</f>
        <v>431.04</v>
      </c>
      <c r="F10" s="13">
        <f>_xll.BDH("SRPT US Equity","LT_DEBT_EX_OPERATING_LEASE_LIABS","FQ3 2019","FQ3 2019","Currency=USD","Period=FQ","BEST_FPERIOD_OVERRIDE=FQ","FILING_STATUS=MR","SCALING_FORMAT=MLN","Sort=A","Dates=H","DateFormat=P","Fill=—","Direction=H","UseDPDF=Y")</f>
        <v>436.42099999999999</v>
      </c>
      <c r="G10" s="13">
        <f>_xll.BDH("SRPT US Equity","LT_DEBT_EX_OPERATING_LEASE_LIABS","FQ4 2019","FQ4 2019","Currency=USD","Period=FQ","BEST_FPERIOD_OVERRIDE=FQ","FILING_STATUS=MR","SCALING_FORMAT=MLN","Sort=A","Dates=H","DateFormat=P","Fill=—","Direction=H","UseDPDF=Y")</f>
        <v>681.9</v>
      </c>
      <c r="H10" s="13">
        <f>_xll.BDH("SRPT US Equity","LT_DEBT_EX_OPERATING_LEASE_LIABS","FQ1 2020","FQ1 2020","Currency=USD","Period=FQ","BEST_FPERIOD_OVERRIDE=FQ","FILING_STATUS=MR","SCALING_FORMAT=MLN","Sort=A","Dates=H","DateFormat=P","Fill=—","Direction=H","UseDPDF=Y")</f>
        <v>687.95299999999997</v>
      </c>
      <c r="I10" s="13">
        <f>_xll.BDH("SRPT US Equity","LT_DEBT_EX_OPERATING_LEASE_LIABS","FQ2 2020","FQ2 2020","Currency=USD","Period=FQ","BEST_FPERIOD_OVERRIDE=FQ","FILING_STATUS=MR","SCALING_FORMAT=MLN","Sort=A","Dates=H","DateFormat=P","Fill=—","Direction=H","UseDPDF=Y")</f>
        <v>694.15599999999995</v>
      </c>
      <c r="J10" s="13">
        <f>_xll.BDH("SRPT US Equity","LT_DEBT_EX_OPERATING_LEASE_LIABS","FQ3 2020","FQ3 2020","Currency=USD","Period=FQ","BEST_FPERIOD_OVERRIDE=FQ","FILING_STATUS=MR","SCALING_FORMAT=MLN","Sort=A","Dates=H","DateFormat=P","Fill=—","Direction=H","UseDPDF=Y")</f>
        <v>700.47</v>
      </c>
      <c r="K10" s="13">
        <f>_xll.BDH("SRPT US Equity","LT_DEBT_EX_OPERATING_LEASE_LIABS","FQ4 2020","FQ4 2020","Currency=USD","Period=FQ","BEST_FPERIOD_OVERRIDE=FQ","FILING_STATUS=MR","SCALING_FORMAT=MLN","Sort=A","Dates=H","DateFormat=P","Fill=—","Direction=H","UseDPDF=Y")</f>
        <v>992.49300000000005</v>
      </c>
      <c r="L10" s="13">
        <f>_xll.BDH("SRPT US Equity","LT_DEBT_EX_OPERATING_LEASE_LIABS","FQ1 2021","FQ1 2021","Currency=USD","Period=FQ","BEST_FPERIOD_OVERRIDE=FQ","FILING_STATUS=MR","SCALING_FORMAT=MLN","Sort=A","Dates=H","DateFormat=P","Fill=—","Direction=H","UseDPDF=Y")</f>
        <v>1091.1099999999999</v>
      </c>
      <c r="M10" s="13">
        <f>_xll.BDH("SRPT US Equity","LT_DEBT_EX_OPERATING_LEASE_LIABS","FQ2 2021","FQ2 2021","Currency=USD","Period=FQ","BEST_FPERIOD_OVERRIDE=FQ","FILING_STATUS=MR","SCALING_FORMAT=MLN","Sort=A","Dates=H","DateFormat=P","Fill=—","Direction=H","UseDPDF=Y")</f>
        <v>1092.9849999999999</v>
      </c>
      <c r="N10" s="13">
        <f>_xll.BDH("SRPT US Equity","LT_DEBT_EX_OPERATING_LEASE_LIABS","FQ3 2021","FQ3 2021","Currency=USD","Period=FQ","BEST_FPERIOD_OVERRIDE=FQ","FILING_STATUS=MR","SCALING_FORMAT=MLN","Sort=A","Dates=H","DateFormat=P","Fill=—","Direction=H","UseDPDF=Y")</f>
        <v>1094.912</v>
      </c>
      <c r="O10" s="13">
        <f>_xll.BDH("SRPT US Equity","LT_DEBT_EX_OPERATING_LEASE_LIABS","FQ4 2021","FQ4 2021","Currency=USD","Period=FQ","BEST_FPERIOD_OVERRIDE=FQ","FILING_STATUS=MR","SCALING_FORMAT=MLN","Sort=A","Dates=H","DateFormat=P","Fill=—","Direction=H","UseDPDF=Y")</f>
        <v>1096.876</v>
      </c>
      <c r="P10" s="13">
        <f>_xll.BDH("SRPT US Equity","LT_DEBT_EX_OPERATING_LEASE_LIABS","FQ1 2022","FQ1 2022","Currency=USD","Period=FQ","BEST_FPERIOD_OVERRIDE=FQ","FILING_STATUS=MR","SCALING_FORMAT=MLN","Sort=A","Dates=H","DateFormat=P","Fill=—","Direction=H","UseDPDF=Y")</f>
        <v>1098.847</v>
      </c>
      <c r="Q10" s="13">
        <f>_xll.BDH("SRPT US Equity","LT_DEBT_EX_OPERATING_LEASE_LIABS","FQ2 2022","FQ2 2022","Currency=USD","Period=FQ","BEST_FPERIOD_OVERRIDE=FQ","FILING_STATUS=MR","SCALING_FORMAT=MLN","Sort=A","Dates=H","DateFormat=P","Fill=—","Direction=H","UseDPDF=Y")</f>
        <v>1100.873</v>
      </c>
      <c r="R10" s="13">
        <f>_xll.BDH("SRPT US Equity","LT_DEBT_EX_OPERATING_LEASE_LIABS","FQ3 2022","FQ3 2022","Currency=USD","Period=FQ","BEST_FPERIOD_OVERRIDE=FQ","FILING_STATUS=MR","SCALING_FORMAT=MLN","Sort=A","Dates=H","DateFormat=P","Fill=—","Direction=H","UseDPDF=Y")</f>
        <v>1542.77</v>
      </c>
      <c r="S10" s="13">
        <f>_xll.BDH("SRPT US Equity","LT_DEBT_EX_OPERATING_LEASE_LIABS","FQ4 2022","FQ4 2022","Currency=USD","Period=FQ","BEST_FPERIOD_OVERRIDE=FQ","FILING_STATUS=MR","SCALING_FORMAT=MLN","Sort=A","Dates=H","DateFormat=P","Fill=—","Direction=H","UseDPDF=Y")</f>
        <v>1544.2919999999999</v>
      </c>
      <c r="T10" s="13">
        <f>_xll.BDH("SRPT US Equity","LT_DEBT_EX_OPERATING_LEASE_LIABS","FQ1 2023","FQ1 2023","Currency=USD","Period=FQ","BEST_FPERIOD_OVERRIDE=FQ","FILING_STATUS=MR","SCALING_FORMAT=MLN","Sort=A","Dates=H","DateFormat=P","Fill=—","Direction=H","UseDPDF=Y")</f>
        <v>1234.2840000000001</v>
      </c>
      <c r="U10" s="13">
        <f>_xll.BDH("SRPT US Equity","LT_DEBT_EX_OPERATING_LEASE_LIABS","FQ2 2023","FQ2 2023","Currency=USD","Period=FQ","BEST_FPERIOD_OVERRIDE=FQ","FILING_STATUS=MR","SCALING_FORMAT=MLN","Sort=A","Dates=H","DateFormat=P","Fill=—","Direction=H","UseDPDF=Y")</f>
        <v>1235.5170000000001</v>
      </c>
      <c r="V10" s="13">
        <f>_xll.BDH("SRPT US Equity","LT_DEBT_EX_OPERATING_LEASE_LIABS","FQ3 2023","FQ3 2023","Currency=USD","Period=FQ","BEST_FPERIOD_OVERRIDE=FQ","FILING_STATUS=MR","SCALING_FORMAT=MLN","Sort=A","Dates=H","DateFormat=P","Fill=—","Direction=H","UseDPDF=Y")</f>
        <v>1236.7550000000001</v>
      </c>
      <c r="W10" s="13">
        <f>_xll.BDH("SRPT US Equity","LT_DEBT_EX_OPERATING_LEASE_LIABS","FQ4 2023","FQ4 2023","Currency=USD","Period=FQ","BEST_FPERIOD_OVERRIDE=FQ","FILING_STATUS=MR","SCALING_FORMAT=MLN","Sort=A","Dates=H","DateFormat=P","Fill=—","Direction=H","UseDPDF=Y")</f>
        <v>1132.5150000000001</v>
      </c>
      <c r="X10" s="13">
        <f>_xll.BDH("SRPT US Equity","LT_DEBT_EX_OPERATING_LEASE_LIABS","FQ1 2024","FQ1 2024","Currency=USD","Period=FQ","BEST_FPERIOD_OVERRIDE=FQ","FILING_STATUS=MR","SCALING_FORMAT=MLN","Sort=A","Dates=H","DateFormat=P","Fill=—","Direction=H","UseDPDF=Y")</f>
        <v>1133.6600000000001</v>
      </c>
      <c r="Y10" s="13">
        <f>_xll.BDH("SRPT US Equity","LT_DEBT_EX_OPERATING_LEASE_LIABS","FQ2 2024","FQ2 2024","Currency=USD","Period=FQ","BEST_FPERIOD_OVERRIDE=FQ","FILING_STATUS=MR","SCALING_FORMAT=MLN","Sort=A","Dates=H","DateFormat=P","Fill=—","Direction=H","UseDPDF=Y")</f>
        <v>1134.81</v>
      </c>
      <c r="Z10" s="13">
        <f>_xll.BDH("SRPT US Equity","LT_DEBT_EX_OPERATING_LEASE_LIABS","FQ3 2024","FQ3 2024","Currency=USD","Period=FQ","BEST_FPERIOD_OVERRIDE=FQ","FILING_STATUS=MR","SCALING_FORMAT=MLN","Sort=A","Dates=H","DateFormat=P","Fill=—","Direction=H","UseDPDF=Y")</f>
        <v>1135.9649999999999</v>
      </c>
      <c r="AA10" s="13">
        <f>_xll.BDH("SRPT US Equity","LT_DEBT_EX_OPERATING_LEASE_LIABS","FQ4 2024","FQ4 2024","Currency=USD","Period=FQ","BEST_FPERIOD_OVERRIDE=FQ","FILING_STATUS=MR","SCALING_FORMAT=MLN","Sort=A","Dates=H","DateFormat=P","Fill=—","Direction=H","UseDPDF=Y")</f>
        <v>1137.124</v>
      </c>
    </row>
    <row r="11" spans="1:27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10" t="s">
        <v>1468</v>
      </c>
      <c r="B12" s="10" t="s">
        <v>1510</v>
      </c>
      <c r="C12" s="14" t="str">
        <f>_xll.BDH("SRPT US Equity","TOT_DBT_TO_EBITDA_EX_OP_LEA_ACT","FQ4 2018","FQ4 2018","Currency=USD","Period=FQ","BEST_FPERIOD_OVERRIDE=FQ","FILING_STATUS=MR","FA_ADJUSTED=GAAP","Sort=A","Dates=H","DateFormat=P","Fill=—","Direction=H","UseDPDF=Y")</f>
        <v>—</v>
      </c>
      <c r="D12" s="14" t="str">
        <f>_xll.BDH("SRPT US Equity","TOT_DBT_TO_EBITDA_EX_OP_LEA_ACT","FQ1 2019","FQ1 2019","Currency=USD","Period=FQ","BEST_FPERIOD_OVERRIDE=FQ","FILING_STATUS=MR","FA_ADJUSTED=GAAP","Sort=A","Dates=H","DateFormat=P","Fill=—","Direction=H","UseDPDF=Y")</f>
        <v>—</v>
      </c>
      <c r="E12" s="14" t="str">
        <f>_xll.BDH("SRPT US Equity","TOT_DBT_TO_EBITDA_EX_OP_LEA_ACT","FQ2 2019","FQ2 2019","Currency=USD","Period=FQ","BEST_FPERIOD_OVERRIDE=FQ","FILING_STATUS=MR","FA_ADJUSTED=GAAP","Sort=A","Dates=H","DateFormat=P","Fill=—","Direction=H","UseDPDF=Y")</f>
        <v>—</v>
      </c>
      <c r="F12" s="14" t="str">
        <f>_xll.BDH("SRPT US Equity","TOT_DBT_TO_EBITDA_EX_OP_LEA_ACT","FQ3 2019","FQ3 2019","Currency=USD","Period=FQ","BEST_FPERIOD_OVERRIDE=FQ","FILING_STATUS=MR","FA_ADJUSTED=GAAP","Sort=A","Dates=H","DateFormat=P","Fill=—","Direction=H","UseDPDF=Y")</f>
        <v>—</v>
      </c>
      <c r="G12" s="14" t="str">
        <f>_xll.BDH("SRPT US Equity","TOT_DBT_TO_EBITDA_EX_OP_LEA_ACT","FQ4 2019","FQ4 2019","Currency=USD","Period=FQ","BEST_FPERIOD_OVERRIDE=FQ","FILING_STATUS=MR","FA_ADJUSTED=GAAP","Sort=A","Dates=H","DateFormat=P","Fill=—","Direction=H","UseDPDF=Y")</f>
        <v>—</v>
      </c>
      <c r="H12" s="14" t="str">
        <f>_xll.BDH("SRPT US Equity","TOT_DBT_TO_EBITDA_EX_OP_LEA_ACT","FQ1 2020","FQ1 2020","Currency=USD","Period=FQ","BEST_FPERIOD_OVERRIDE=FQ","FILING_STATUS=MR","FA_ADJUSTED=GAAP","Sort=A","Dates=H","DateFormat=P","Fill=—","Direction=H","UseDPDF=Y")</f>
        <v>—</v>
      </c>
      <c r="I12" s="14" t="str">
        <f>_xll.BDH("SRPT US Equity","TOT_DBT_TO_EBITDA_EX_OP_LEA_ACT","FQ2 2020","FQ2 2020","Currency=USD","Period=FQ","BEST_FPERIOD_OVERRIDE=FQ","FILING_STATUS=MR","FA_ADJUSTED=GAAP","Sort=A","Dates=H","DateFormat=P","Fill=—","Direction=H","UseDPDF=Y")</f>
        <v>—</v>
      </c>
      <c r="J12" s="14" t="str">
        <f>_xll.BDH("SRPT US Equity","TOT_DBT_TO_EBITDA_EX_OP_LEA_ACT","FQ3 2020","FQ3 2020","Currency=USD","Period=FQ","BEST_FPERIOD_OVERRIDE=FQ","FILING_STATUS=MR","FA_ADJUSTED=GAAP","Sort=A","Dates=H","DateFormat=P","Fill=—","Direction=H","UseDPDF=Y")</f>
        <v>—</v>
      </c>
      <c r="K12" s="14" t="str">
        <f>_xll.BDH("SRPT US Equity","TOT_DBT_TO_EBITDA_EX_OP_LEA_ACT","FQ4 2020","FQ4 2020","Currency=USD","Period=FQ","BEST_FPERIOD_OVERRIDE=FQ","FILING_STATUS=MR","FA_ADJUSTED=GAAP","Sort=A","Dates=H","DateFormat=P","Fill=—","Direction=H","UseDPDF=Y")</f>
        <v>—</v>
      </c>
      <c r="L12" s="14" t="str">
        <f>_xll.BDH("SRPT US Equity","TOT_DBT_TO_EBITDA_EX_OP_LEA_ACT","FQ1 2021","FQ1 2021","Currency=USD","Period=FQ","BEST_FPERIOD_OVERRIDE=FQ","FILING_STATUS=MR","FA_ADJUSTED=GAAP","Sort=A","Dates=H","DateFormat=P","Fill=—","Direction=H","UseDPDF=Y")</f>
        <v>—</v>
      </c>
      <c r="M12" s="14" t="str">
        <f>_xll.BDH("SRPT US Equity","TOT_DBT_TO_EBITDA_EX_OP_LEA_ACT","FQ2 2021","FQ2 2021","Currency=USD","Period=FQ","BEST_FPERIOD_OVERRIDE=FQ","FILING_STATUS=MR","FA_ADJUSTED=GAAP","Sort=A","Dates=H","DateFormat=P","Fill=—","Direction=H","UseDPDF=Y")</f>
        <v>—</v>
      </c>
      <c r="N12" s="14" t="str">
        <f>_xll.BDH("SRPT US Equity","TOT_DBT_TO_EBITDA_EX_OP_LEA_ACT","FQ3 2021","FQ3 2021","Currency=USD","Period=FQ","BEST_FPERIOD_OVERRIDE=FQ","FILING_STATUS=MR","FA_ADJUSTED=GAAP","Sort=A","Dates=H","DateFormat=P","Fill=—","Direction=H","UseDPDF=Y")</f>
        <v>—</v>
      </c>
      <c r="O12" s="14" t="str">
        <f>_xll.BDH("SRPT US Equity","TOT_DBT_TO_EBITDA_EX_OP_LEA_ACT","FQ4 2021","FQ4 2021","Currency=USD","Period=FQ","BEST_FPERIOD_OVERRIDE=FQ","FILING_STATUS=MR","FA_ADJUSTED=GAAP","Sort=A","Dates=H","DateFormat=P","Fill=—","Direction=H","UseDPDF=Y")</f>
        <v>—</v>
      </c>
      <c r="P12" s="14" t="str">
        <f>_xll.BDH("SRPT US Equity","TOT_DBT_TO_EBITDA_EX_OP_LEA_ACT","FQ1 2022","FQ1 2022","Currency=USD","Period=FQ","BEST_FPERIOD_OVERRIDE=FQ","FILING_STATUS=MR","FA_ADJUSTED=GAAP","Sort=A","Dates=H","DateFormat=P","Fill=—","Direction=H","UseDPDF=Y")</f>
        <v>—</v>
      </c>
      <c r="Q12" s="14" t="str">
        <f>_xll.BDH("SRPT US Equity","TOT_DBT_TO_EBITDA_EX_OP_LEA_ACT","FQ2 2022","FQ2 2022","Currency=USD","Period=FQ","BEST_FPERIOD_OVERRIDE=FQ","FILING_STATUS=MR","FA_ADJUSTED=GAAP","Sort=A","Dates=H","DateFormat=P","Fill=—","Direction=H","UseDPDF=Y")</f>
        <v>—</v>
      </c>
      <c r="R12" s="14" t="str">
        <f>_xll.BDH("SRPT US Equity","TOT_DBT_TO_EBITDA_EX_OP_LEA_ACT","FQ3 2022","FQ3 2022","Currency=USD","Period=FQ","BEST_FPERIOD_OVERRIDE=FQ","FILING_STATUS=MR","FA_ADJUSTED=GAAP","Sort=A","Dates=H","DateFormat=P","Fill=—","Direction=H","UseDPDF=Y")</f>
        <v>—</v>
      </c>
      <c r="S12" s="14" t="str">
        <f>_xll.BDH("SRPT US Equity","TOT_DBT_TO_EBITDA_EX_OP_LEA_ACT","FQ4 2022","FQ4 2022","Currency=USD","Period=FQ","BEST_FPERIOD_OVERRIDE=FQ","FILING_STATUS=MR","FA_ADJUSTED=GAAP","Sort=A","Dates=H","DateFormat=P","Fill=—","Direction=H","UseDPDF=Y")</f>
        <v>—</v>
      </c>
      <c r="T12" s="14" t="str">
        <f>_xll.BDH("SRPT US Equity","TOT_DBT_TO_EBITDA_EX_OP_LEA_ACT","FQ1 2023","FQ1 2023","Currency=USD","Period=FQ","BEST_FPERIOD_OVERRIDE=FQ","FILING_STATUS=MR","FA_ADJUSTED=GAAP","Sort=A","Dates=H","DateFormat=P","Fill=—","Direction=H","UseDPDF=Y")</f>
        <v>—</v>
      </c>
      <c r="U12" s="14" t="str">
        <f>_xll.BDH("SRPT US Equity","TOT_DBT_TO_EBITDA_EX_OP_LEA_ACT","FQ2 2023","FQ2 2023","Currency=USD","Period=FQ","BEST_FPERIOD_OVERRIDE=FQ","FILING_STATUS=MR","FA_ADJUSTED=GAAP","Sort=A","Dates=H","DateFormat=P","Fill=—","Direction=H","UseDPDF=Y")</f>
        <v>—</v>
      </c>
      <c r="V12" s="14" t="str">
        <f>_xll.BDH("SRPT US Equity","TOT_DBT_TO_EBITDA_EX_OP_LEA_ACT","FQ3 2023","FQ3 2023","Currency=USD","Period=FQ","BEST_FPERIOD_OVERRIDE=FQ","FILING_STATUS=MR","FA_ADJUSTED=GAAP","Sort=A","Dates=H","DateFormat=P","Fill=—","Direction=H","UseDPDF=Y")</f>
        <v>—</v>
      </c>
      <c r="W12" s="14" t="str">
        <f>_xll.BDH("SRPT US Equity","TOT_DBT_TO_EBITDA_EX_OP_LEA_ACT","FQ4 2023","FQ4 2023","Currency=USD","Period=FQ","BEST_FPERIOD_OVERRIDE=FQ","FILING_STATUS=MR","FA_ADJUSTED=GAAP","Sort=A","Dates=H","DateFormat=P","Fill=—","Direction=H","UseDPDF=Y")</f>
        <v>—</v>
      </c>
      <c r="X12" s="14" t="str">
        <f>_xll.BDH("SRPT US Equity","TOT_DBT_TO_EBITDA_EX_OP_LEA_ACT","FQ1 2024","FQ1 2024","Currency=USD","Period=FQ","BEST_FPERIOD_OVERRIDE=FQ","FILING_STATUS=MR","FA_ADJUSTED=GAAP","Sort=A","Dates=H","DateFormat=P","Fill=—","Direction=H","UseDPDF=Y")</f>
        <v>—</v>
      </c>
      <c r="Y12" s="14">
        <f>_xll.BDH("SRPT US Equity","TOT_DBT_TO_EBITDA_EX_OP_LEA_ACT","FQ2 2024","FQ2 2024","Currency=USD","Period=FQ","BEST_FPERIOD_OVERRIDE=FQ","FILING_STATUS=MR","FA_ADJUSTED=GAAP","Sort=A","Dates=H","DateFormat=P","Fill=—","Direction=H","UseDPDF=Y")</f>
        <v>15.772500000000001</v>
      </c>
      <c r="Z12" s="14">
        <f>_xll.BDH("SRPT US Equity","TOT_DBT_TO_EBITDA_EX_OP_LEA_ACT","FQ3 2024","FQ3 2024","Currency=USD","Period=FQ","BEST_FPERIOD_OVERRIDE=FQ","FILING_STATUS=MR","FA_ADJUSTED=GAAP","Sort=A","Dates=H","DateFormat=P","Fill=—","Direction=H","UseDPDF=Y")</f>
        <v>10.2582</v>
      </c>
      <c r="AA12" s="14">
        <f>_xll.BDH("SRPT US Equity","TOT_DBT_TO_EBITDA_EX_OP_LEA_ACT","FQ4 2024","FQ4 2024","Currency=USD","Period=FQ","BEST_FPERIOD_OVERRIDE=FQ","FILING_STATUS=MR","FA_ADJUSTED=GAAP","Sort=A","Dates=H","DateFormat=P","Fill=—","Direction=H","UseDPDF=Y")</f>
        <v>4.4452999999999996</v>
      </c>
    </row>
    <row r="13" spans="1:27" x14ac:dyDescent="0.25">
      <c r="A13" s="10" t="s">
        <v>1470</v>
      </c>
      <c r="B13" s="10" t="s">
        <v>1511</v>
      </c>
      <c r="C13" s="14" t="str">
        <f>_xll.BDH("SRPT US Equity","NET_DEBT_EBITDA_EX_OPER_LEA_ACT","FQ4 2018","FQ4 2018","Currency=USD","Period=FQ","BEST_FPERIOD_OVERRIDE=FQ","FILING_STATUS=MR","FA_ADJUSTED=GAAP","Sort=A","Dates=H","DateFormat=P","Fill=—","Direction=H","UseDPDF=Y")</f>
        <v>—</v>
      </c>
      <c r="D13" s="14" t="str">
        <f>_xll.BDH("SRPT US Equity","NET_DEBT_EBITDA_EX_OPER_LEA_ACT","FQ1 2019","FQ1 2019","Currency=USD","Period=FQ","BEST_FPERIOD_OVERRIDE=FQ","FILING_STATUS=MR","FA_ADJUSTED=GAAP","Sort=A","Dates=H","DateFormat=P","Fill=—","Direction=H","UseDPDF=Y")</f>
        <v>—</v>
      </c>
      <c r="E13" s="14" t="str">
        <f>_xll.BDH("SRPT US Equity","NET_DEBT_EBITDA_EX_OPER_LEA_ACT","FQ2 2019","FQ2 2019","Currency=USD","Period=FQ","BEST_FPERIOD_OVERRIDE=FQ","FILING_STATUS=MR","FA_ADJUSTED=GAAP","Sort=A","Dates=H","DateFormat=P","Fill=—","Direction=H","UseDPDF=Y")</f>
        <v>—</v>
      </c>
      <c r="F13" s="14" t="str">
        <f>_xll.BDH("SRPT US Equity","NET_DEBT_EBITDA_EX_OPER_LEA_ACT","FQ3 2019","FQ3 2019","Currency=USD","Period=FQ","BEST_FPERIOD_OVERRIDE=FQ","FILING_STATUS=MR","FA_ADJUSTED=GAAP","Sort=A","Dates=H","DateFormat=P","Fill=—","Direction=H","UseDPDF=Y")</f>
        <v>—</v>
      </c>
      <c r="G13" s="14" t="str">
        <f>_xll.BDH("SRPT US Equity","NET_DEBT_EBITDA_EX_OPER_LEA_ACT","FQ4 2019","FQ4 2019","Currency=USD","Period=FQ","BEST_FPERIOD_OVERRIDE=FQ","FILING_STATUS=MR","FA_ADJUSTED=GAAP","Sort=A","Dates=H","DateFormat=P","Fill=—","Direction=H","UseDPDF=Y")</f>
        <v>—</v>
      </c>
      <c r="H13" s="14" t="str">
        <f>_xll.BDH("SRPT US Equity","NET_DEBT_EBITDA_EX_OPER_LEA_ACT","FQ1 2020","FQ1 2020","Currency=USD","Period=FQ","BEST_FPERIOD_OVERRIDE=FQ","FILING_STATUS=MR","FA_ADJUSTED=GAAP","Sort=A","Dates=H","DateFormat=P","Fill=—","Direction=H","UseDPDF=Y")</f>
        <v>—</v>
      </c>
      <c r="I13" s="14" t="str">
        <f>_xll.BDH("SRPT US Equity","NET_DEBT_EBITDA_EX_OPER_LEA_ACT","FQ2 2020","FQ2 2020","Currency=USD","Period=FQ","BEST_FPERIOD_OVERRIDE=FQ","FILING_STATUS=MR","FA_ADJUSTED=GAAP","Sort=A","Dates=H","DateFormat=P","Fill=—","Direction=H","UseDPDF=Y")</f>
        <v>—</v>
      </c>
      <c r="J13" s="14" t="str">
        <f>_xll.BDH("SRPT US Equity","NET_DEBT_EBITDA_EX_OPER_LEA_ACT","FQ3 2020","FQ3 2020","Currency=USD","Period=FQ","BEST_FPERIOD_OVERRIDE=FQ","FILING_STATUS=MR","FA_ADJUSTED=GAAP","Sort=A","Dates=H","DateFormat=P","Fill=—","Direction=H","UseDPDF=Y")</f>
        <v>—</v>
      </c>
      <c r="K13" s="14" t="str">
        <f>_xll.BDH("SRPT US Equity","NET_DEBT_EBITDA_EX_OPER_LEA_ACT","FQ4 2020","FQ4 2020","Currency=USD","Period=FQ","BEST_FPERIOD_OVERRIDE=FQ","FILING_STATUS=MR","FA_ADJUSTED=GAAP","Sort=A","Dates=H","DateFormat=P","Fill=—","Direction=H","UseDPDF=Y")</f>
        <v>—</v>
      </c>
      <c r="L13" s="14" t="str">
        <f>_xll.BDH("SRPT US Equity","NET_DEBT_EBITDA_EX_OPER_LEA_ACT","FQ1 2021","FQ1 2021","Currency=USD","Period=FQ","BEST_FPERIOD_OVERRIDE=FQ","FILING_STATUS=MR","FA_ADJUSTED=GAAP","Sort=A","Dates=H","DateFormat=P","Fill=—","Direction=H","UseDPDF=Y")</f>
        <v>—</v>
      </c>
      <c r="M13" s="14" t="str">
        <f>_xll.BDH("SRPT US Equity","NET_DEBT_EBITDA_EX_OPER_LEA_ACT","FQ2 2021","FQ2 2021","Currency=USD","Period=FQ","BEST_FPERIOD_OVERRIDE=FQ","FILING_STATUS=MR","FA_ADJUSTED=GAAP","Sort=A","Dates=H","DateFormat=P","Fill=—","Direction=H","UseDPDF=Y")</f>
        <v>—</v>
      </c>
      <c r="N13" s="14" t="str">
        <f>_xll.BDH("SRPT US Equity","NET_DEBT_EBITDA_EX_OPER_LEA_ACT","FQ3 2021","FQ3 2021","Currency=USD","Period=FQ","BEST_FPERIOD_OVERRIDE=FQ","FILING_STATUS=MR","FA_ADJUSTED=GAAP","Sort=A","Dates=H","DateFormat=P","Fill=—","Direction=H","UseDPDF=Y")</f>
        <v>—</v>
      </c>
      <c r="O13" s="14" t="str">
        <f>_xll.BDH("SRPT US Equity","NET_DEBT_EBITDA_EX_OPER_LEA_ACT","FQ4 2021","FQ4 2021","Currency=USD","Period=FQ","BEST_FPERIOD_OVERRIDE=FQ","FILING_STATUS=MR","FA_ADJUSTED=GAAP","Sort=A","Dates=H","DateFormat=P","Fill=—","Direction=H","UseDPDF=Y")</f>
        <v>—</v>
      </c>
      <c r="P13" s="14" t="str">
        <f>_xll.BDH("SRPT US Equity","NET_DEBT_EBITDA_EX_OPER_LEA_ACT","FQ1 2022","FQ1 2022","Currency=USD","Period=FQ","BEST_FPERIOD_OVERRIDE=FQ","FILING_STATUS=MR","FA_ADJUSTED=GAAP","Sort=A","Dates=H","DateFormat=P","Fill=—","Direction=H","UseDPDF=Y")</f>
        <v>—</v>
      </c>
      <c r="Q13" s="14" t="str">
        <f>_xll.BDH("SRPT US Equity","NET_DEBT_EBITDA_EX_OPER_LEA_ACT","FQ2 2022","FQ2 2022","Currency=USD","Period=FQ","BEST_FPERIOD_OVERRIDE=FQ","FILING_STATUS=MR","FA_ADJUSTED=GAAP","Sort=A","Dates=H","DateFormat=P","Fill=—","Direction=H","UseDPDF=Y")</f>
        <v>—</v>
      </c>
      <c r="R13" s="14" t="str">
        <f>_xll.BDH("SRPT US Equity","NET_DEBT_EBITDA_EX_OPER_LEA_ACT","FQ3 2022","FQ3 2022","Currency=USD","Period=FQ","BEST_FPERIOD_OVERRIDE=FQ","FILING_STATUS=MR","FA_ADJUSTED=GAAP","Sort=A","Dates=H","DateFormat=P","Fill=—","Direction=H","UseDPDF=Y")</f>
        <v>—</v>
      </c>
      <c r="S13" s="14" t="str">
        <f>_xll.BDH("SRPT US Equity","NET_DEBT_EBITDA_EX_OPER_LEA_ACT","FQ4 2022","FQ4 2022","Currency=USD","Period=FQ","BEST_FPERIOD_OVERRIDE=FQ","FILING_STATUS=MR","FA_ADJUSTED=GAAP","Sort=A","Dates=H","DateFormat=P","Fill=—","Direction=H","UseDPDF=Y")</f>
        <v>—</v>
      </c>
      <c r="T13" s="14" t="str">
        <f>_xll.BDH("SRPT US Equity","NET_DEBT_EBITDA_EX_OPER_LEA_ACT","FQ1 2023","FQ1 2023","Currency=USD","Period=FQ","BEST_FPERIOD_OVERRIDE=FQ","FILING_STATUS=MR","FA_ADJUSTED=GAAP","Sort=A","Dates=H","DateFormat=P","Fill=—","Direction=H","UseDPDF=Y")</f>
        <v>—</v>
      </c>
      <c r="U13" s="14" t="str">
        <f>_xll.BDH("SRPT US Equity","NET_DEBT_EBITDA_EX_OPER_LEA_ACT","FQ2 2023","FQ2 2023","Currency=USD","Period=FQ","BEST_FPERIOD_OVERRIDE=FQ","FILING_STATUS=MR","FA_ADJUSTED=GAAP","Sort=A","Dates=H","DateFormat=P","Fill=—","Direction=H","UseDPDF=Y")</f>
        <v>—</v>
      </c>
      <c r="V13" s="14" t="str">
        <f>_xll.BDH("SRPT US Equity","NET_DEBT_EBITDA_EX_OPER_LEA_ACT","FQ3 2023","FQ3 2023","Currency=USD","Period=FQ","BEST_FPERIOD_OVERRIDE=FQ","FILING_STATUS=MR","FA_ADJUSTED=GAAP","Sort=A","Dates=H","DateFormat=P","Fill=—","Direction=H","UseDPDF=Y")</f>
        <v>—</v>
      </c>
      <c r="W13" s="14" t="str">
        <f>_xll.BDH("SRPT US Equity","NET_DEBT_EBITDA_EX_OPER_LEA_ACT","FQ4 2023","FQ4 2023","Currency=USD","Period=FQ","BEST_FPERIOD_OVERRIDE=FQ","FILING_STATUS=MR","FA_ADJUSTED=GAAP","Sort=A","Dates=H","DateFormat=P","Fill=—","Direction=H","UseDPDF=Y")</f>
        <v>—</v>
      </c>
      <c r="X13" s="14" t="str">
        <f>_xll.BDH("SRPT US Equity","NET_DEBT_EBITDA_EX_OPER_LEA_ACT","FQ1 2024","FQ1 2024","Currency=USD","Period=FQ","BEST_FPERIOD_OVERRIDE=FQ","FILING_STATUS=MR","FA_ADJUSTED=GAAP","Sort=A","Dates=H","DateFormat=P","Fill=—","Direction=H","UseDPDF=Y")</f>
        <v>—</v>
      </c>
      <c r="Y13" s="14">
        <f>_xll.BDH("SRPT US Equity","NET_DEBT_EBITDA_EX_OPER_LEA_ACT","FQ2 2024","FQ2 2024","Currency=USD","Period=FQ","BEST_FPERIOD_OVERRIDE=FQ","FILING_STATUS=MR","FA_ADJUSTED=GAAP","Sort=A","Dates=H","DateFormat=P","Fill=—","Direction=H","UseDPDF=Y")</f>
        <v>-3.2121</v>
      </c>
      <c r="Z13" s="14">
        <f>_xll.BDH("SRPT US Equity","NET_DEBT_EBITDA_EX_OPER_LEA_ACT","FQ3 2024","FQ3 2024","Currency=USD","Period=FQ","BEST_FPERIOD_OVERRIDE=FQ","FILING_STATUS=MR","FA_ADJUSTED=GAAP","Sort=A","Dates=H","DateFormat=P","Fill=—","Direction=H","UseDPDF=Y")</f>
        <v>0.20430000000000001</v>
      </c>
      <c r="AA13" s="14">
        <f>_xll.BDH("SRPT US Equity","NET_DEBT_EBITDA_EX_OPER_LEA_ACT","FQ4 2024","FQ4 2024","Currency=USD","Period=FQ","BEST_FPERIOD_OVERRIDE=FQ","FILING_STATUS=MR","FA_ADJUSTED=GAAP","Sort=A","Dates=H","DateFormat=P","Fill=—","Direction=H","UseDPDF=Y")</f>
        <v>-0.86539999999999995</v>
      </c>
    </row>
    <row r="14" spans="1:27" x14ac:dyDescent="0.25">
      <c r="A14" s="10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5">
      <c r="A15" s="10" t="s">
        <v>1472</v>
      </c>
      <c r="B15" s="10" t="s">
        <v>1512</v>
      </c>
      <c r="C15" s="14" t="str">
        <f>_xll.BDH("SRPT US Equity","TOT_DEBT_TO_EBIT_EX_OPER_LEA_ACT","FQ4 2018","FQ4 2018","Currency=USD","Period=FQ","BEST_FPERIOD_OVERRIDE=FQ","FILING_STATUS=MR","FA_ADJUSTED=GAAP","Sort=A","Dates=H","DateFormat=P","Fill=—","Direction=H","UseDPDF=Y")</f>
        <v>—</v>
      </c>
      <c r="D15" s="14" t="str">
        <f>_xll.BDH("SRPT US Equity","TOT_DEBT_TO_EBIT_EX_OPER_LEA_ACT","FQ1 2019","FQ1 2019","Currency=USD","Period=FQ","BEST_FPERIOD_OVERRIDE=FQ","FILING_STATUS=MR","FA_ADJUSTED=GAAP","Sort=A","Dates=H","DateFormat=P","Fill=—","Direction=H","UseDPDF=Y")</f>
        <v>—</v>
      </c>
      <c r="E15" s="14" t="str">
        <f>_xll.BDH("SRPT US Equity","TOT_DEBT_TO_EBIT_EX_OPER_LEA_ACT","FQ2 2019","FQ2 2019","Currency=USD","Period=FQ","BEST_FPERIOD_OVERRIDE=FQ","FILING_STATUS=MR","FA_ADJUSTED=GAAP","Sort=A","Dates=H","DateFormat=P","Fill=—","Direction=H","UseDPDF=Y")</f>
        <v>—</v>
      </c>
      <c r="F15" s="14" t="str">
        <f>_xll.BDH("SRPT US Equity","TOT_DEBT_TO_EBIT_EX_OPER_LEA_ACT","FQ3 2019","FQ3 2019","Currency=USD","Period=FQ","BEST_FPERIOD_OVERRIDE=FQ","FILING_STATUS=MR","FA_ADJUSTED=GAAP","Sort=A","Dates=H","DateFormat=P","Fill=—","Direction=H","UseDPDF=Y")</f>
        <v>—</v>
      </c>
      <c r="G15" s="14" t="str">
        <f>_xll.BDH("SRPT US Equity","TOT_DEBT_TO_EBIT_EX_OPER_LEA_ACT","FQ4 2019","FQ4 2019","Currency=USD","Period=FQ","BEST_FPERIOD_OVERRIDE=FQ","FILING_STATUS=MR","FA_ADJUSTED=GAAP","Sort=A","Dates=H","DateFormat=P","Fill=—","Direction=H","UseDPDF=Y")</f>
        <v>—</v>
      </c>
      <c r="H15" s="14" t="str">
        <f>_xll.BDH("SRPT US Equity","TOT_DEBT_TO_EBIT_EX_OPER_LEA_ACT","FQ1 2020","FQ1 2020","Currency=USD","Period=FQ","BEST_FPERIOD_OVERRIDE=FQ","FILING_STATUS=MR","FA_ADJUSTED=GAAP","Sort=A","Dates=H","DateFormat=P","Fill=—","Direction=H","UseDPDF=Y")</f>
        <v>—</v>
      </c>
      <c r="I15" s="14" t="str">
        <f>_xll.BDH("SRPT US Equity","TOT_DEBT_TO_EBIT_EX_OPER_LEA_ACT","FQ2 2020","FQ2 2020","Currency=USD","Period=FQ","BEST_FPERIOD_OVERRIDE=FQ","FILING_STATUS=MR","FA_ADJUSTED=GAAP","Sort=A","Dates=H","DateFormat=P","Fill=—","Direction=H","UseDPDF=Y")</f>
        <v>—</v>
      </c>
      <c r="J15" s="14" t="str">
        <f>_xll.BDH("SRPT US Equity","TOT_DEBT_TO_EBIT_EX_OPER_LEA_ACT","FQ3 2020","FQ3 2020","Currency=USD","Period=FQ","BEST_FPERIOD_OVERRIDE=FQ","FILING_STATUS=MR","FA_ADJUSTED=GAAP","Sort=A","Dates=H","DateFormat=P","Fill=—","Direction=H","UseDPDF=Y")</f>
        <v>—</v>
      </c>
      <c r="K15" s="14" t="str">
        <f>_xll.BDH("SRPT US Equity","TOT_DEBT_TO_EBIT_EX_OPER_LEA_ACT","FQ4 2020","FQ4 2020","Currency=USD","Period=FQ","BEST_FPERIOD_OVERRIDE=FQ","FILING_STATUS=MR","FA_ADJUSTED=GAAP","Sort=A","Dates=H","DateFormat=P","Fill=—","Direction=H","UseDPDF=Y")</f>
        <v>—</v>
      </c>
      <c r="L15" s="14" t="str">
        <f>_xll.BDH("SRPT US Equity","TOT_DEBT_TO_EBIT_EX_OPER_LEA_ACT","FQ1 2021","FQ1 2021","Currency=USD","Period=FQ","BEST_FPERIOD_OVERRIDE=FQ","FILING_STATUS=MR","FA_ADJUSTED=GAAP","Sort=A","Dates=H","DateFormat=P","Fill=—","Direction=H","UseDPDF=Y")</f>
        <v>—</v>
      </c>
      <c r="M15" s="14" t="str">
        <f>_xll.BDH("SRPT US Equity","TOT_DEBT_TO_EBIT_EX_OPER_LEA_ACT","FQ2 2021","FQ2 2021","Currency=USD","Period=FQ","BEST_FPERIOD_OVERRIDE=FQ","FILING_STATUS=MR","FA_ADJUSTED=GAAP","Sort=A","Dates=H","DateFormat=P","Fill=—","Direction=H","UseDPDF=Y")</f>
        <v>—</v>
      </c>
      <c r="N15" s="14" t="str">
        <f>_xll.BDH("SRPT US Equity","TOT_DEBT_TO_EBIT_EX_OPER_LEA_ACT","FQ3 2021","FQ3 2021","Currency=USD","Period=FQ","BEST_FPERIOD_OVERRIDE=FQ","FILING_STATUS=MR","FA_ADJUSTED=GAAP","Sort=A","Dates=H","DateFormat=P","Fill=—","Direction=H","UseDPDF=Y")</f>
        <v>—</v>
      </c>
      <c r="O15" s="14" t="str">
        <f>_xll.BDH("SRPT US Equity","TOT_DEBT_TO_EBIT_EX_OPER_LEA_ACT","FQ4 2021","FQ4 2021","Currency=USD","Period=FQ","BEST_FPERIOD_OVERRIDE=FQ","FILING_STATUS=MR","FA_ADJUSTED=GAAP","Sort=A","Dates=H","DateFormat=P","Fill=—","Direction=H","UseDPDF=Y")</f>
        <v>—</v>
      </c>
      <c r="P15" s="14" t="str">
        <f>_xll.BDH("SRPT US Equity","TOT_DEBT_TO_EBIT_EX_OPER_LEA_ACT","FQ1 2022","FQ1 2022","Currency=USD","Period=FQ","BEST_FPERIOD_OVERRIDE=FQ","FILING_STATUS=MR","FA_ADJUSTED=GAAP","Sort=A","Dates=H","DateFormat=P","Fill=—","Direction=H","UseDPDF=Y")</f>
        <v>—</v>
      </c>
      <c r="Q15" s="14" t="str">
        <f>_xll.BDH("SRPT US Equity","TOT_DEBT_TO_EBIT_EX_OPER_LEA_ACT","FQ2 2022","FQ2 2022","Currency=USD","Period=FQ","BEST_FPERIOD_OVERRIDE=FQ","FILING_STATUS=MR","FA_ADJUSTED=GAAP","Sort=A","Dates=H","DateFormat=P","Fill=—","Direction=H","UseDPDF=Y")</f>
        <v>—</v>
      </c>
      <c r="R15" s="14" t="str">
        <f>_xll.BDH("SRPT US Equity","TOT_DEBT_TO_EBIT_EX_OPER_LEA_ACT","FQ3 2022","FQ3 2022","Currency=USD","Period=FQ","BEST_FPERIOD_OVERRIDE=FQ","FILING_STATUS=MR","FA_ADJUSTED=GAAP","Sort=A","Dates=H","DateFormat=P","Fill=—","Direction=H","UseDPDF=Y")</f>
        <v>—</v>
      </c>
      <c r="S15" s="14" t="str">
        <f>_xll.BDH("SRPT US Equity","TOT_DEBT_TO_EBIT_EX_OPER_LEA_ACT","FQ4 2022","FQ4 2022","Currency=USD","Period=FQ","BEST_FPERIOD_OVERRIDE=FQ","FILING_STATUS=MR","FA_ADJUSTED=GAAP","Sort=A","Dates=H","DateFormat=P","Fill=—","Direction=H","UseDPDF=Y")</f>
        <v>—</v>
      </c>
      <c r="T15" s="14" t="str">
        <f>_xll.BDH("SRPT US Equity","TOT_DEBT_TO_EBIT_EX_OPER_LEA_ACT","FQ1 2023","FQ1 2023","Currency=USD","Period=FQ","BEST_FPERIOD_OVERRIDE=FQ","FILING_STATUS=MR","FA_ADJUSTED=GAAP","Sort=A","Dates=H","DateFormat=P","Fill=—","Direction=H","UseDPDF=Y")</f>
        <v>—</v>
      </c>
      <c r="U15" s="14" t="str">
        <f>_xll.BDH("SRPT US Equity","TOT_DEBT_TO_EBIT_EX_OPER_LEA_ACT","FQ2 2023","FQ2 2023","Currency=USD","Period=FQ","BEST_FPERIOD_OVERRIDE=FQ","FILING_STATUS=MR","FA_ADJUSTED=GAAP","Sort=A","Dates=H","DateFormat=P","Fill=—","Direction=H","UseDPDF=Y")</f>
        <v>—</v>
      </c>
      <c r="V15" s="14" t="str">
        <f>_xll.BDH("SRPT US Equity","TOT_DEBT_TO_EBIT_EX_OPER_LEA_ACT","FQ3 2023","FQ3 2023","Currency=USD","Period=FQ","BEST_FPERIOD_OVERRIDE=FQ","FILING_STATUS=MR","FA_ADJUSTED=GAAP","Sort=A","Dates=H","DateFormat=P","Fill=—","Direction=H","UseDPDF=Y")</f>
        <v>—</v>
      </c>
      <c r="W15" s="14" t="str">
        <f>_xll.BDH("SRPT US Equity","TOT_DEBT_TO_EBIT_EX_OPER_LEA_ACT","FQ4 2023","FQ4 2023","Currency=USD","Period=FQ","BEST_FPERIOD_OVERRIDE=FQ","FILING_STATUS=MR","FA_ADJUSTED=GAAP","Sort=A","Dates=H","DateFormat=P","Fill=—","Direction=H","UseDPDF=Y")</f>
        <v>—</v>
      </c>
      <c r="X15" s="14" t="str">
        <f>_xll.BDH("SRPT US Equity","TOT_DEBT_TO_EBIT_EX_OPER_LEA_ACT","FQ1 2024","FQ1 2024","Currency=USD","Period=FQ","BEST_FPERIOD_OVERRIDE=FQ","FILING_STATUS=MR","FA_ADJUSTED=GAAP","Sort=A","Dates=H","DateFormat=P","Fill=—","Direction=H","UseDPDF=Y")</f>
        <v>—</v>
      </c>
      <c r="Y15" s="14">
        <f>_xll.BDH("SRPT US Equity","TOT_DEBT_TO_EBIT_EX_OPER_LEA_ACT","FQ2 2024","FQ2 2024","Currency=USD","Period=FQ","BEST_FPERIOD_OVERRIDE=FQ","FILING_STATUS=MR","FA_ADJUSTED=GAAP","Sort=A","Dates=H","DateFormat=P","Fill=—","Direction=H","UseDPDF=Y")</f>
        <v>32.282499999999999</v>
      </c>
      <c r="Z15" s="14">
        <f>_xll.BDH("SRPT US Equity","TOT_DEBT_TO_EBIT_EX_OPER_LEA_ACT","FQ3 2024","FQ3 2024","Currency=USD","Period=FQ","BEST_FPERIOD_OVERRIDE=FQ","FILING_STATUS=MR","FA_ADJUSTED=GAAP","Sort=A","Dates=H","DateFormat=P","Fill=—","Direction=H","UseDPDF=Y")</f>
        <v>15.150399999999999</v>
      </c>
      <c r="AA15" s="14">
        <f>_xll.BDH("SRPT US Equity","TOT_DEBT_TO_EBIT_EX_OPER_LEA_ACT","FQ4 2024","FQ4 2024","Currency=USD","Period=FQ","BEST_FPERIOD_OVERRIDE=FQ","FILING_STATUS=MR","FA_ADJUSTED=GAAP","Sort=A","Dates=H","DateFormat=P","Fill=—","Direction=H","UseDPDF=Y")</f>
        <v>5.2141999999999999</v>
      </c>
    </row>
    <row r="16" spans="1:27" x14ac:dyDescent="0.25">
      <c r="A16" s="10" t="s">
        <v>1474</v>
      </c>
      <c r="B16" s="10" t="s">
        <v>1513</v>
      </c>
      <c r="C16" s="14" t="str">
        <f>_xll.BDH("SRPT US Equity","NET_DEBT_TO_EBIT_EX_OPER_LEA_ACT","FQ4 2018","FQ4 2018","Currency=USD","Period=FQ","BEST_FPERIOD_OVERRIDE=FQ","FILING_STATUS=MR","FA_ADJUSTED=GAAP","Sort=A","Dates=H","DateFormat=P","Fill=—","Direction=H","UseDPDF=Y")</f>
        <v>—</v>
      </c>
      <c r="D16" s="14" t="str">
        <f>_xll.BDH("SRPT US Equity","NET_DEBT_TO_EBIT_EX_OPER_LEA_ACT","FQ1 2019","FQ1 2019","Currency=USD","Period=FQ","BEST_FPERIOD_OVERRIDE=FQ","FILING_STATUS=MR","FA_ADJUSTED=GAAP","Sort=A","Dates=H","DateFormat=P","Fill=—","Direction=H","UseDPDF=Y")</f>
        <v>—</v>
      </c>
      <c r="E16" s="14" t="str">
        <f>_xll.BDH("SRPT US Equity","NET_DEBT_TO_EBIT_EX_OPER_LEA_ACT","FQ2 2019","FQ2 2019","Currency=USD","Period=FQ","BEST_FPERIOD_OVERRIDE=FQ","FILING_STATUS=MR","FA_ADJUSTED=GAAP","Sort=A","Dates=H","DateFormat=P","Fill=—","Direction=H","UseDPDF=Y")</f>
        <v>—</v>
      </c>
      <c r="F16" s="14" t="str">
        <f>_xll.BDH("SRPT US Equity","NET_DEBT_TO_EBIT_EX_OPER_LEA_ACT","FQ3 2019","FQ3 2019","Currency=USD","Period=FQ","BEST_FPERIOD_OVERRIDE=FQ","FILING_STATUS=MR","FA_ADJUSTED=GAAP","Sort=A","Dates=H","DateFormat=P","Fill=—","Direction=H","UseDPDF=Y")</f>
        <v>—</v>
      </c>
      <c r="G16" s="14" t="str">
        <f>_xll.BDH("SRPT US Equity","NET_DEBT_TO_EBIT_EX_OPER_LEA_ACT","FQ4 2019","FQ4 2019","Currency=USD","Period=FQ","BEST_FPERIOD_OVERRIDE=FQ","FILING_STATUS=MR","FA_ADJUSTED=GAAP","Sort=A","Dates=H","DateFormat=P","Fill=—","Direction=H","UseDPDF=Y")</f>
        <v>—</v>
      </c>
      <c r="H16" s="14" t="str">
        <f>_xll.BDH("SRPT US Equity","NET_DEBT_TO_EBIT_EX_OPER_LEA_ACT","FQ1 2020","FQ1 2020","Currency=USD","Period=FQ","BEST_FPERIOD_OVERRIDE=FQ","FILING_STATUS=MR","FA_ADJUSTED=GAAP","Sort=A","Dates=H","DateFormat=P","Fill=—","Direction=H","UseDPDF=Y")</f>
        <v>—</v>
      </c>
      <c r="I16" s="14" t="str">
        <f>_xll.BDH("SRPT US Equity","NET_DEBT_TO_EBIT_EX_OPER_LEA_ACT","FQ2 2020","FQ2 2020","Currency=USD","Period=FQ","BEST_FPERIOD_OVERRIDE=FQ","FILING_STATUS=MR","FA_ADJUSTED=GAAP","Sort=A","Dates=H","DateFormat=P","Fill=—","Direction=H","UseDPDF=Y")</f>
        <v>—</v>
      </c>
      <c r="J16" s="14" t="str">
        <f>_xll.BDH("SRPT US Equity","NET_DEBT_TO_EBIT_EX_OPER_LEA_ACT","FQ3 2020","FQ3 2020","Currency=USD","Period=FQ","BEST_FPERIOD_OVERRIDE=FQ","FILING_STATUS=MR","FA_ADJUSTED=GAAP","Sort=A","Dates=H","DateFormat=P","Fill=—","Direction=H","UseDPDF=Y")</f>
        <v>—</v>
      </c>
      <c r="K16" s="14" t="str">
        <f>_xll.BDH("SRPT US Equity","NET_DEBT_TO_EBIT_EX_OPER_LEA_ACT","FQ4 2020","FQ4 2020","Currency=USD","Period=FQ","BEST_FPERIOD_OVERRIDE=FQ","FILING_STATUS=MR","FA_ADJUSTED=GAAP","Sort=A","Dates=H","DateFormat=P","Fill=—","Direction=H","UseDPDF=Y")</f>
        <v>—</v>
      </c>
      <c r="L16" s="14" t="str">
        <f>_xll.BDH("SRPT US Equity","NET_DEBT_TO_EBIT_EX_OPER_LEA_ACT","FQ1 2021","FQ1 2021","Currency=USD","Period=FQ","BEST_FPERIOD_OVERRIDE=FQ","FILING_STATUS=MR","FA_ADJUSTED=GAAP","Sort=A","Dates=H","DateFormat=P","Fill=—","Direction=H","UseDPDF=Y")</f>
        <v>—</v>
      </c>
      <c r="M16" s="14" t="str">
        <f>_xll.BDH("SRPT US Equity","NET_DEBT_TO_EBIT_EX_OPER_LEA_ACT","FQ2 2021","FQ2 2021","Currency=USD","Period=FQ","BEST_FPERIOD_OVERRIDE=FQ","FILING_STATUS=MR","FA_ADJUSTED=GAAP","Sort=A","Dates=H","DateFormat=P","Fill=—","Direction=H","UseDPDF=Y")</f>
        <v>—</v>
      </c>
      <c r="N16" s="14" t="str">
        <f>_xll.BDH("SRPT US Equity","NET_DEBT_TO_EBIT_EX_OPER_LEA_ACT","FQ3 2021","FQ3 2021","Currency=USD","Period=FQ","BEST_FPERIOD_OVERRIDE=FQ","FILING_STATUS=MR","FA_ADJUSTED=GAAP","Sort=A","Dates=H","DateFormat=P","Fill=—","Direction=H","UseDPDF=Y")</f>
        <v>—</v>
      </c>
      <c r="O16" s="14" t="str">
        <f>_xll.BDH("SRPT US Equity","NET_DEBT_TO_EBIT_EX_OPER_LEA_ACT","FQ4 2021","FQ4 2021","Currency=USD","Period=FQ","BEST_FPERIOD_OVERRIDE=FQ","FILING_STATUS=MR","FA_ADJUSTED=GAAP","Sort=A","Dates=H","DateFormat=P","Fill=—","Direction=H","UseDPDF=Y")</f>
        <v>—</v>
      </c>
      <c r="P16" s="14" t="str">
        <f>_xll.BDH("SRPT US Equity","NET_DEBT_TO_EBIT_EX_OPER_LEA_ACT","FQ1 2022","FQ1 2022","Currency=USD","Period=FQ","BEST_FPERIOD_OVERRIDE=FQ","FILING_STATUS=MR","FA_ADJUSTED=GAAP","Sort=A","Dates=H","DateFormat=P","Fill=—","Direction=H","UseDPDF=Y")</f>
        <v>—</v>
      </c>
      <c r="Q16" s="14" t="str">
        <f>_xll.BDH("SRPT US Equity","NET_DEBT_TO_EBIT_EX_OPER_LEA_ACT","FQ2 2022","FQ2 2022","Currency=USD","Period=FQ","BEST_FPERIOD_OVERRIDE=FQ","FILING_STATUS=MR","FA_ADJUSTED=GAAP","Sort=A","Dates=H","DateFormat=P","Fill=—","Direction=H","UseDPDF=Y")</f>
        <v>—</v>
      </c>
      <c r="R16" s="14" t="str">
        <f>_xll.BDH("SRPT US Equity","NET_DEBT_TO_EBIT_EX_OPER_LEA_ACT","FQ3 2022","FQ3 2022","Currency=USD","Period=FQ","BEST_FPERIOD_OVERRIDE=FQ","FILING_STATUS=MR","FA_ADJUSTED=GAAP","Sort=A","Dates=H","DateFormat=P","Fill=—","Direction=H","UseDPDF=Y")</f>
        <v>—</v>
      </c>
      <c r="S16" s="14" t="str">
        <f>_xll.BDH("SRPT US Equity","NET_DEBT_TO_EBIT_EX_OPER_LEA_ACT","FQ4 2022","FQ4 2022","Currency=USD","Period=FQ","BEST_FPERIOD_OVERRIDE=FQ","FILING_STATUS=MR","FA_ADJUSTED=GAAP","Sort=A","Dates=H","DateFormat=P","Fill=—","Direction=H","UseDPDF=Y")</f>
        <v>—</v>
      </c>
      <c r="T16" s="14" t="str">
        <f>_xll.BDH("SRPT US Equity","NET_DEBT_TO_EBIT_EX_OPER_LEA_ACT","FQ1 2023","FQ1 2023","Currency=USD","Period=FQ","BEST_FPERIOD_OVERRIDE=FQ","FILING_STATUS=MR","FA_ADJUSTED=GAAP","Sort=A","Dates=H","DateFormat=P","Fill=—","Direction=H","UseDPDF=Y")</f>
        <v>—</v>
      </c>
      <c r="U16" s="14" t="str">
        <f>_xll.BDH("SRPT US Equity","NET_DEBT_TO_EBIT_EX_OPER_LEA_ACT","FQ2 2023","FQ2 2023","Currency=USD","Period=FQ","BEST_FPERIOD_OVERRIDE=FQ","FILING_STATUS=MR","FA_ADJUSTED=GAAP","Sort=A","Dates=H","DateFormat=P","Fill=—","Direction=H","UseDPDF=Y")</f>
        <v>—</v>
      </c>
      <c r="V16" s="14" t="str">
        <f>_xll.BDH("SRPT US Equity","NET_DEBT_TO_EBIT_EX_OPER_LEA_ACT","FQ3 2023","FQ3 2023","Currency=USD","Period=FQ","BEST_FPERIOD_OVERRIDE=FQ","FILING_STATUS=MR","FA_ADJUSTED=GAAP","Sort=A","Dates=H","DateFormat=P","Fill=—","Direction=H","UseDPDF=Y")</f>
        <v>—</v>
      </c>
      <c r="W16" s="14" t="str">
        <f>_xll.BDH("SRPT US Equity","NET_DEBT_TO_EBIT_EX_OPER_LEA_ACT","FQ4 2023","FQ4 2023","Currency=USD","Period=FQ","BEST_FPERIOD_OVERRIDE=FQ","FILING_STATUS=MR","FA_ADJUSTED=GAAP","Sort=A","Dates=H","DateFormat=P","Fill=—","Direction=H","UseDPDF=Y")</f>
        <v>—</v>
      </c>
      <c r="X16" s="14" t="str">
        <f>_xll.BDH("SRPT US Equity","NET_DEBT_TO_EBIT_EX_OPER_LEA_ACT","FQ1 2024","FQ1 2024","Currency=USD","Period=FQ","BEST_FPERIOD_OVERRIDE=FQ","FILING_STATUS=MR","FA_ADJUSTED=GAAP","Sort=A","Dates=H","DateFormat=P","Fill=—","Direction=H","UseDPDF=Y")</f>
        <v>—</v>
      </c>
      <c r="Y16" s="14">
        <f>_xll.BDH("SRPT US Equity","NET_DEBT_TO_EBIT_EX_OPER_LEA_ACT","FQ2 2024","FQ2 2024","Currency=USD","Period=FQ","BEST_FPERIOD_OVERRIDE=FQ","FILING_STATUS=MR","FA_ADJUSTED=GAAP","Sort=A","Dates=H","DateFormat=P","Fill=—","Direction=H","UseDPDF=Y")</f>
        <v>-6.5743</v>
      </c>
      <c r="Z16" s="14">
        <f>_xll.BDH("SRPT US Equity","NET_DEBT_TO_EBIT_EX_OPER_LEA_ACT","FQ3 2024","FQ3 2024","Currency=USD","Period=FQ","BEST_FPERIOD_OVERRIDE=FQ","FILING_STATUS=MR","FA_ADJUSTED=GAAP","Sort=A","Dates=H","DateFormat=P","Fill=—","Direction=H","UseDPDF=Y")</f>
        <v>0.30170000000000002</v>
      </c>
      <c r="AA16" s="14">
        <f>_xll.BDH("SRPT US Equity","NET_DEBT_TO_EBIT_EX_OPER_LEA_ACT","FQ4 2024","FQ4 2024","Currency=USD","Period=FQ","BEST_FPERIOD_OVERRIDE=FQ","FILING_STATUS=MR","FA_ADJUSTED=GAAP","Sort=A","Dates=H","DateFormat=P","Fill=—","Direction=H","UseDPDF=Y")</f>
        <v>-1.0150999999999999</v>
      </c>
    </row>
    <row r="17" spans="1:27" x14ac:dyDescent="0.25">
      <c r="A17" s="10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5">
      <c r="A18" s="10" t="s">
        <v>1476</v>
      </c>
      <c r="B18" s="10" t="s">
        <v>1514</v>
      </c>
      <c r="C18" s="14" t="str">
        <f>_xll.BDH("SRPT US Equity","EBITDA_AFT_OP_LEA_EXP_TO_INT_EXP","FQ4 2018","FQ4 2018","Currency=USD","Period=FQ","BEST_FPERIOD_OVERRIDE=FQ","FILING_STATUS=MR","FA_ADJUSTED=GAAP","Sort=A","Dates=H","DateFormat=P","Fill=—","Direction=H","UseDPDF=Y")</f>
        <v>—</v>
      </c>
      <c r="D18" s="14" t="str">
        <f>_xll.BDH("SRPT US Equity","EBITDA_AFT_OP_LEA_EXP_TO_INT_EXP","FQ1 2019","FQ1 2019","Currency=USD","Period=FQ","BEST_FPERIOD_OVERRIDE=FQ","FILING_STATUS=MR","FA_ADJUSTED=GAAP","Sort=A","Dates=H","DateFormat=P","Fill=—","Direction=H","UseDPDF=Y")</f>
        <v>—</v>
      </c>
      <c r="E18" s="14" t="str">
        <f>_xll.BDH("SRPT US Equity","EBITDA_AFT_OP_LEA_EXP_TO_INT_EXP","FQ2 2019","FQ2 2019","Currency=USD","Period=FQ","BEST_FPERIOD_OVERRIDE=FQ","FILING_STATUS=MR","FA_ADJUSTED=GAAP","Sort=A","Dates=H","DateFormat=P","Fill=—","Direction=H","UseDPDF=Y")</f>
        <v>—</v>
      </c>
      <c r="F18" s="14">
        <f>_xll.BDH("SRPT US Equity","EBITDA_AFT_OP_LEA_EXP_TO_INT_EXP","FQ3 2019","FQ3 2019","Currency=USD","Period=FQ","BEST_FPERIOD_OVERRIDE=FQ","FILING_STATUS=MR","FA_ADJUSTED=GAAP","Sort=A","Dates=H","DateFormat=P","Fill=—","Direction=H","UseDPDF=Y")</f>
        <v>-33.628799999999998</v>
      </c>
      <c r="G18" s="14">
        <f>_xll.BDH("SRPT US Equity","EBITDA_AFT_OP_LEA_EXP_TO_INT_EXP","FQ4 2019","FQ4 2019","Currency=USD","Period=FQ","BEST_FPERIOD_OVERRIDE=FQ","FILING_STATUS=MR","FA_ADJUSTED=GAAP","Sort=A","Dates=H","DateFormat=P","Fill=—","Direction=H","UseDPDF=Y")</f>
        <v>-36.744999999999997</v>
      </c>
      <c r="H18" s="14">
        <f>_xll.BDH("SRPT US Equity","EBITDA_AFT_OP_LEA_EXP_TO_INT_EXP","FQ1 2020","FQ1 2020","Currency=USD","Period=FQ","BEST_FPERIOD_OVERRIDE=FQ","FILING_STATUS=MR","FA_ADJUSTED=GAAP","Sort=A","Dates=H","DateFormat=P","Fill=—","Direction=H","UseDPDF=Y")</f>
        <v>-10.4682</v>
      </c>
      <c r="I18" s="14">
        <f>_xll.BDH("SRPT US Equity","EBITDA_AFT_OP_LEA_EXP_TO_INT_EXP","FQ2 2020","FQ2 2020","Currency=USD","Period=FQ","BEST_FPERIOD_OVERRIDE=FQ","FILING_STATUS=MR","FA_ADJUSTED=GAAP","Sort=A","Dates=H","DateFormat=P","Fill=—","Direction=H","UseDPDF=Y")</f>
        <v>-10.3727</v>
      </c>
      <c r="J18" s="14">
        <f>_xll.BDH("SRPT US Equity","EBITDA_AFT_OP_LEA_EXP_TO_INT_EXP","FQ3 2020","FQ3 2020","Currency=USD","Period=FQ","BEST_FPERIOD_OVERRIDE=FQ","FILING_STATUS=MR","FA_ADJUSTED=GAAP","Sort=A","Dates=H","DateFormat=P","Fill=—","Direction=H","UseDPDF=Y")</f>
        <v>-9.6088000000000005</v>
      </c>
      <c r="K18" s="14">
        <f>_xll.BDH("SRPT US Equity","EBITDA_AFT_OP_LEA_EXP_TO_INT_EXP","FQ4 2020","FQ4 2020","Currency=USD","Period=FQ","BEST_FPERIOD_OVERRIDE=FQ","FILING_STATUS=MR","FA_ADJUSTED=GAAP","Sort=A","Dates=H","DateFormat=P","Fill=—","Direction=H","UseDPDF=Y")</f>
        <v>-8.8257999999999992</v>
      </c>
      <c r="L18" s="14">
        <f>_xll.BDH("SRPT US Equity","EBITDA_AFT_OP_LEA_EXP_TO_INT_EXP","FQ1 2021","FQ1 2021","Currency=USD","Period=FQ","BEST_FPERIOD_OVERRIDE=FQ","FILING_STATUS=MR","FA_ADJUSTED=GAAP","Sort=A","Dates=H","DateFormat=P","Fill=—","Direction=H","UseDPDF=Y")</f>
        <v>-9.2126999999999999</v>
      </c>
      <c r="M18" s="14">
        <f>_xll.BDH("SRPT US Equity","EBITDA_AFT_OP_LEA_EXP_TO_INT_EXP","FQ2 2021","FQ2 2021","Currency=USD","Period=FQ","BEST_FPERIOD_OVERRIDE=FQ","FILING_STATUS=MR","FA_ADJUSTED=GAAP","Sort=A","Dates=H","DateFormat=P","Fill=—","Direction=H","UseDPDF=Y")</f>
        <v>-10.065</v>
      </c>
      <c r="N18" s="14">
        <f>_xll.BDH("SRPT US Equity","EBITDA_AFT_OP_LEA_EXP_TO_INT_EXP","FQ3 2021","FQ3 2021","Currency=USD","Period=FQ","BEST_FPERIOD_OVERRIDE=FQ","FILING_STATUS=MR","FA_ADJUSTED=GAAP","Sort=A","Dates=H","DateFormat=P","Fill=—","Direction=H","UseDPDF=Y")</f>
        <v>-1.4982</v>
      </c>
      <c r="O18" s="14">
        <f>_xll.BDH("SRPT US Equity","EBITDA_AFT_OP_LEA_EXP_TO_INT_EXP","FQ4 2021","FQ4 2021","Currency=USD","Period=FQ","BEST_FPERIOD_OVERRIDE=FQ","FILING_STATUS=MR","FA_ADJUSTED=GAAP","Sort=A","Dates=H","DateFormat=P","Fill=—","Direction=H","UseDPDF=Y")</f>
        <v>-5.9614000000000003</v>
      </c>
      <c r="P18" s="14">
        <f>_xll.BDH("SRPT US Equity","EBITDA_AFT_OP_LEA_EXP_TO_INT_EXP","FQ1 2022","FQ1 2022","Currency=USD","Period=FQ","BEST_FPERIOD_OVERRIDE=FQ","FILING_STATUS=MR","FA_ADJUSTED=GAAP","Sort=A","Dates=H","DateFormat=P","Fill=—","Direction=H","UseDPDF=Y")</f>
        <v>-4.8216000000000001</v>
      </c>
      <c r="Q18" s="14">
        <f>_xll.BDH("SRPT US Equity","EBITDA_AFT_OP_LEA_EXP_TO_INT_EXP","FQ2 2022","FQ2 2022","Currency=USD","Period=FQ","BEST_FPERIOD_OVERRIDE=FQ","FILING_STATUS=MR","FA_ADJUSTED=GAAP","Sort=A","Dates=H","DateFormat=P","Fill=—","Direction=H","UseDPDF=Y")</f>
        <v>-13.6928</v>
      </c>
      <c r="R18" s="14">
        <f>_xll.BDH("SRPT US Equity","EBITDA_AFT_OP_LEA_EXP_TO_INT_EXP","FQ3 2022","FQ3 2022","Currency=USD","Period=FQ","BEST_FPERIOD_OVERRIDE=FQ","FILING_STATUS=MR","FA_ADJUSTED=GAAP","Sort=A","Dates=H","DateFormat=P","Fill=—","Direction=H","UseDPDF=Y")</f>
        <v>-10.6762</v>
      </c>
      <c r="S18" s="14">
        <f>_xll.BDH("SRPT US Equity","EBITDA_AFT_OP_LEA_EXP_TO_INT_EXP","FQ4 2022","FQ4 2022","Currency=USD","Period=FQ","BEST_FPERIOD_OVERRIDE=FQ","FILING_STATUS=MR","FA_ADJUSTED=GAAP","Sort=A","Dates=H","DateFormat=P","Fill=—","Direction=H","UseDPDF=Y")</f>
        <v>-368.88889999999998</v>
      </c>
      <c r="T18" s="14">
        <f>_xll.BDH("SRPT US Equity","EBITDA_AFT_OP_LEA_EXP_TO_INT_EXP","FQ1 2023","FQ1 2023","Currency=USD","Period=FQ","BEST_FPERIOD_OVERRIDE=FQ","FILING_STATUS=MR","FA_ADJUSTED=GAAP","Sort=A","Dates=H","DateFormat=P","Fill=—","Direction=H","UseDPDF=Y")</f>
        <v>-20.051100000000002</v>
      </c>
      <c r="U18" s="14">
        <f>_xll.BDH("SRPT US Equity","EBITDA_AFT_OP_LEA_EXP_TO_INT_EXP","FQ2 2023","FQ2 2023","Currency=USD","Period=FQ","BEST_FPERIOD_OVERRIDE=FQ","FILING_STATUS=MR","FA_ADJUSTED=GAAP","Sort=A","Dates=H","DateFormat=P","Fill=—","Direction=H","UseDPDF=Y")</f>
        <v>-23.492899999999999</v>
      </c>
      <c r="V18" s="14">
        <f>_xll.BDH("SRPT US Equity","EBITDA_AFT_OP_LEA_EXP_TO_INT_EXP","FQ3 2023","FQ3 2023","Currency=USD","Period=FQ","BEST_FPERIOD_OVERRIDE=FQ","FILING_STATUS=MR","FA_ADJUSTED=GAAP","Sort=A","Dates=H","DateFormat=P","Fill=—","Direction=H","UseDPDF=Y")</f>
        <v>-1.8959999999999999</v>
      </c>
      <c r="W18" s="14">
        <f>_xll.BDH("SRPT US Equity","EBITDA_AFT_OP_LEA_EXP_TO_INT_EXP","FQ4 2023","FQ4 2023","Currency=USD","Period=FQ","BEST_FPERIOD_OVERRIDE=FQ","FILING_STATUS=MR","FA_ADJUSTED=GAAP","Sort=A","Dates=H","DateFormat=P","Fill=—","Direction=H","UseDPDF=Y")</f>
        <v>6.8775000000000004</v>
      </c>
      <c r="X18" s="14">
        <f>_xll.BDH("SRPT US Equity","EBITDA_AFT_OP_LEA_EXP_TO_INT_EXP","FQ1 2024","FQ1 2024","Currency=USD","Period=FQ","BEST_FPERIOD_OVERRIDE=FQ","FILING_STATUS=MR","FA_ADJUSTED=GAAP","Sort=A","Dates=H","DateFormat=P","Fill=—","Direction=H","UseDPDF=Y")</f>
        <v>10.477399999999999</v>
      </c>
      <c r="Y18" s="14">
        <f>_xll.BDH("SRPT US Equity","EBITDA_AFT_OP_LEA_EXP_TO_INT_EXP","FQ2 2024","FQ2 2024","Currency=USD","Period=FQ","BEST_FPERIOD_OVERRIDE=FQ","FILING_STATUS=MR","FA_ADJUSTED=GAAP","Sort=A","Dates=H","DateFormat=P","Fill=—","Direction=H","UseDPDF=Y")</f>
        <v>1.6594</v>
      </c>
      <c r="Z18" s="14">
        <f>_xll.BDH("SRPT US Equity","EBITDA_AFT_OP_LEA_EXP_TO_INT_EXP","FQ3 2024","FQ3 2024","Currency=USD","Period=FQ","BEST_FPERIOD_OVERRIDE=FQ","FILING_STATUS=MR","FA_ADJUSTED=GAAP","Sort=A","Dates=H","DateFormat=P","Fill=—","Direction=H","UseDPDF=Y")</f>
        <v>6.5071000000000003</v>
      </c>
      <c r="AA18" s="14">
        <f>_xll.BDH("SRPT US Equity","EBITDA_AFT_OP_LEA_EXP_TO_INT_EXP","FQ4 2024","FQ4 2024","Currency=USD","Period=FQ","BEST_FPERIOD_OVERRIDE=FQ","FILING_STATUS=MR","FA_ADJUSTED=GAAP","Sort=A","Dates=H","DateFormat=P","Fill=—","Direction=H","UseDPDF=Y")</f>
        <v>38.466099999999997</v>
      </c>
    </row>
    <row r="19" spans="1:27" x14ac:dyDescent="0.25">
      <c r="A19" s="10" t="s">
        <v>1478</v>
      </c>
      <c r="B19" s="10" t="s">
        <v>1515</v>
      </c>
      <c r="C19" s="14" t="str">
        <f>_xll.BDH("SRPT US Equity","EBITDA_AFT_CAPEX_OP_LEA_EX_INT","FQ4 2018","FQ4 2018","Currency=USD","Period=FQ","BEST_FPERIOD_OVERRIDE=FQ","FILING_STATUS=MR","FA_ADJUSTED=GAAP","Sort=A","Dates=H","DateFormat=P","Fill=—","Direction=H","UseDPDF=Y")</f>
        <v>—</v>
      </c>
      <c r="D19" s="14" t="str">
        <f>_xll.BDH("SRPT US Equity","EBITDA_AFT_CAPEX_OP_LEA_EX_INT","FQ1 2019","FQ1 2019","Currency=USD","Period=FQ","BEST_FPERIOD_OVERRIDE=FQ","FILING_STATUS=MR","FA_ADJUSTED=GAAP","Sort=A","Dates=H","DateFormat=P","Fill=—","Direction=H","UseDPDF=Y")</f>
        <v>—</v>
      </c>
      <c r="E19" s="14" t="str">
        <f>_xll.BDH("SRPT US Equity","EBITDA_AFT_CAPEX_OP_LEA_EX_INT","FQ2 2019","FQ2 2019","Currency=USD","Period=FQ","BEST_FPERIOD_OVERRIDE=FQ","FILING_STATUS=MR","FA_ADJUSTED=GAAP","Sort=A","Dates=H","DateFormat=P","Fill=—","Direction=H","UseDPDF=Y")</f>
        <v>—</v>
      </c>
      <c r="F19" s="14">
        <f>_xll.BDH("SRPT US Equity","EBITDA_AFT_CAPEX_OP_LEA_EX_INT","FQ3 2019","FQ3 2019","Currency=USD","Period=FQ","BEST_FPERIOD_OVERRIDE=FQ","FILING_STATUS=MR","FA_ADJUSTED=GAAP","Sort=A","Dates=H","DateFormat=P","Fill=—","Direction=H","UseDPDF=Y")</f>
        <v>-36.378500000000003</v>
      </c>
      <c r="G19" s="14">
        <f>_xll.BDH("SRPT US Equity","EBITDA_AFT_CAPEX_OP_LEA_EX_INT","FQ4 2019","FQ4 2019","Currency=USD","Period=FQ","BEST_FPERIOD_OVERRIDE=FQ","FILING_STATUS=MR","FA_ADJUSTED=GAAP","Sort=A","Dates=H","DateFormat=P","Fill=—","Direction=H","UseDPDF=Y")</f>
        <v>-39.601100000000002</v>
      </c>
      <c r="H19" s="14">
        <f>_xll.BDH("SRPT US Equity","EBITDA_AFT_CAPEX_OP_LEA_EX_INT","FQ1 2020","FQ1 2020","Currency=USD","Period=FQ","BEST_FPERIOD_OVERRIDE=FQ","FILING_STATUS=MR","FA_ADJUSTED=GAAP","Sort=A","Dates=H","DateFormat=P","Fill=—","Direction=H","UseDPDF=Y")</f>
        <v>-11.3245</v>
      </c>
      <c r="I19" s="14">
        <f>_xll.BDH("SRPT US Equity","EBITDA_AFT_CAPEX_OP_LEA_EX_INT","FQ2 2020","FQ2 2020","Currency=USD","Period=FQ","BEST_FPERIOD_OVERRIDE=FQ","FILING_STATUS=MR","FA_ADJUSTED=GAAP","Sort=A","Dates=H","DateFormat=P","Fill=—","Direction=H","UseDPDF=Y")</f>
        <v>-11.8804</v>
      </c>
      <c r="J19" s="14">
        <f>_xll.BDH("SRPT US Equity","EBITDA_AFT_CAPEX_OP_LEA_EX_INT","FQ3 2020","FQ3 2020","Currency=USD","Period=FQ","BEST_FPERIOD_OVERRIDE=FQ","FILING_STATUS=MR","FA_ADJUSTED=GAAP","Sort=A","Dates=H","DateFormat=P","Fill=—","Direction=H","UseDPDF=Y")</f>
        <v>-11.4726</v>
      </c>
      <c r="K19" s="14">
        <f>_xll.BDH("SRPT US Equity","EBITDA_AFT_CAPEX_OP_LEA_EX_INT","FQ4 2020","FQ4 2020","Currency=USD","Period=FQ","BEST_FPERIOD_OVERRIDE=FQ","FILING_STATUS=MR","FA_ADJUSTED=GAAP","Sort=A","Dates=H","DateFormat=P","Fill=—","Direction=H","UseDPDF=Y")</f>
        <v>-10.230700000000001</v>
      </c>
      <c r="L19" s="14">
        <f>_xll.BDH("SRPT US Equity","EBITDA_AFT_CAPEX_OP_LEA_EX_INT","FQ1 2021","FQ1 2021","Currency=USD","Period=FQ","BEST_FPERIOD_OVERRIDE=FQ","FILING_STATUS=MR","FA_ADJUSTED=GAAP","Sort=A","Dates=H","DateFormat=P","Fill=—","Direction=H","UseDPDF=Y")</f>
        <v>-10.575799999999999</v>
      </c>
      <c r="M19" s="14">
        <f>_xll.BDH("SRPT US Equity","EBITDA_AFT_CAPEX_OP_LEA_EX_INT","FQ2 2021","FQ2 2021","Currency=USD","Period=FQ","BEST_FPERIOD_OVERRIDE=FQ","FILING_STATUS=MR","FA_ADJUSTED=GAAP","Sort=A","Dates=H","DateFormat=P","Fill=—","Direction=H","UseDPDF=Y")</f>
        <v>-10.437799999999999</v>
      </c>
      <c r="N19" s="14">
        <f>_xll.BDH("SRPT US Equity","EBITDA_AFT_CAPEX_OP_LEA_EX_INT","FQ3 2021","FQ3 2021","Currency=USD","Period=FQ","BEST_FPERIOD_OVERRIDE=FQ","FILING_STATUS=MR","FA_ADJUSTED=GAAP","Sort=A","Dates=H","DateFormat=P","Fill=—","Direction=H","UseDPDF=Y")</f>
        <v>-2.0758999999999999</v>
      </c>
      <c r="O19" s="14">
        <f>_xll.BDH("SRPT US Equity","EBITDA_AFT_CAPEX_OP_LEA_EX_INT","FQ4 2021","FQ4 2021","Currency=USD","Period=FQ","BEST_FPERIOD_OVERRIDE=FQ","FILING_STATUS=MR","FA_ADJUSTED=GAAP","Sort=A","Dates=H","DateFormat=P","Fill=—","Direction=H","UseDPDF=Y")</f>
        <v>-6.0987999999999998</v>
      </c>
      <c r="P19" s="14">
        <f>_xll.BDH("SRPT US Equity","EBITDA_AFT_CAPEX_OP_LEA_EX_INT","FQ1 2022","FQ1 2022","Currency=USD","Period=FQ","BEST_FPERIOD_OVERRIDE=FQ","FILING_STATUS=MR","FA_ADJUSTED=GAAP","Sort=A","Dates=H","DateFormat=P","Fill=—","Direction=H","UseDPDF=Y")</f>
        <v>-5.173</v>
      </c>
      <c r="Q19" s="14">
        <f>_xll.BDH("SRPT US Equity","EBITDA_AFT_CAPEX_OP_LEA_EX_INT","FQ2 2022","FQ2 2022","Currency=USD","Period=FQ","BEST_FPERIOD_OVERRIDE=FQ","FILING_STATUS=MR","FA_ADJUSTED=GAAP","Sort=A","Dates=H","DateFormat=P","Fill=—","Direction=H","UseDPDF=Y")</f>
        <v>-14.310499999999999</v>
      </c>
      <c r="R19" s="14">
        <f>_xll.BDH("SRPT US Equity","EBITDA_AFT_CAPEX_OP_LEA_EX_INT","FQ3 2022","FQ3 2022","Currency=USD","Period=FQ","BEST_FPERIOD_OVERRIDE=FQ","FILING_STATUS=MR","FA_ADJUSTED=GAAP","Sort=A","Dates=H","DateFormat=P","Fill=—","Direction=H","UseDPDF=Y")</f>
        <v>-11.4046</v>
      </c>
      <c r="S19" s="14">
        <f>_xll.BDH("SRPT US Equity","EBITDA_AFT_CAPEX_OP_LEA_EX_INT","FQ4 2022","FQ4 2022","Currency=USD","Period=FQ","BEST_FPERIOD_OVERRIDE=FQ","FILING_STATUS=MR","FA_ADJUSTED=GAAP","Sort=A","Dates=H","DateFormat=P","Fill=—","Direction=H","UseDPDF=Y")</f>
        <v>-394.7088</v>
      </c>
      <c r="T19" s="14">
        <f>_xll.BDH("SRPT US Equity","EBITDA_AFT_CAPEX_OP_LEA_EX_INT","FQ1 2023","FQ1 2023","Currency=USD","Period=FQ","BEST_FPERIOD_OVERRIDE=FQ","FILING_STATUS=MR","FA_ADJUSTED=GAAP","Sort=A","Dates=H","DateFormat=P","Fill=—","Direction=H","UseDPDF=Y")</f>
        <v>-21.551200000000001</v>
      </c>
      <c r="U19" s="14">
        <f>_xll.BDH("SRPT US Equity","EBITDA_AFT_CAPEX_OP_LEA_EX_INT","FQ2 2023","FQ2 2023","Currency=USD","Period=FQ","BEST_FPERIOD_OVERRIDE=FQ","FILING_STATUS=MR","FA_ADJUSTED=GAAP","Sort=A","Dates=H","DateFormat=P","Fill=—","Direction=H","UseDPDF=Y")</f>
        <v>-26.921099999999999</v>
      </c>
      <c r="V19" s="14">
        <f>_xll.BDH("SRPT US Equity","EBITDA_AFT_CAPEX_OP_LEA_EX_INT","FQ3 2023","FQ3 2023","Currency=USD","Period=FQ","BEST_FPERIOD_OVERRIDE=FQ","FILING_STATUS=MR","FA_ADJUSTED=GAAP","Sort=A","Dates=H","DateFormat=P","Fill=—","Direction=H","UseDPDF=Y")</f>
        <v>-7.5707000000000004</v>
      </c>
      <c r="W19" s="14">
        <f>_xll.BDH("SRPT US Equity","EBITDA_AFT_CAPEX_OP_LEA_EX_INT","FQ4 2023","FQ4 2023","Currency=USD","Period=FQ","BEST_FPERIOD_OVERRIDE=FQ","FILING_STATUS=MR","FA_ADJUSTED=GAAP","Sort=A","Dates=H","DateFormat=P","Fill=—","Direction=H","UseDPDF=Y")</f>
        <v>3.24</v>
      </c>
      <c r="X19" s="14">
        <f>_xll.BDH("SRPT US Equity","EBITDA_AFT_CAPEX_OP_LEA_EX_INT","FQ1 2024","FQ1 2024","Currency=USD","Period=FQ","BEST_FPERIOD_OVERRIDE=FQ","FILING_STATUS=MR","FA_ADJUSTED=GAAP","Sort=A","Dates=H","DateFormat=P","Fill=—","Direction=H","UseDPDF=Y")</f>
        <v>2.6896</v>
      </c>
      <c r="Y19" s="14">
        <f>_xll.BDH("SRPT US Equity","EBITDA_AFT_CAPEX_OP_LEA_EX_INT","FQ2 2024","FQ2 2024","Currency=USD","Period=FQ","BEST_FPERIOD_OVERRIDE=FQ","FILING_STATUS=MR","FA_ADJUSTED=GAAP","Sort=A","Dates=H","DateFormat=P","Fill=—","Direction=H","UseDPDF=Y")</f>
        <v>-4.3769</v>
      </c>
      <c r="Z19" s="14">
        <f>_xll.BDH("SRPT US Equity","EBITDA_AFT_CAPEX_OP_LEA_EX_INT","FQ3 2024","FQ3 2024","Currency=USD","Period=FQ","BEST_FPERIOD_OVERRIDE=FQ","FILING_STATUS=MR","FA_ADJUSTED=GAAP","Sort=A","Dates=H","DateFormat=P","Fill=—","Direction=H","UseDPDF=Y")</f>
        <v>-1.0697000000000001</v>
      </c>
      <c r="AA19" s="14">
        <f>_xll.BDH("SRPT US Equity","EBITDA_AFT_CAPEX_OP_LEA_EX_INT","FQ4 2024","FQ4 2024","Currency=USD","Period=FQ","BEST_FPERIOD_OVERRIDE=FQ","FILING_STATUS=MR","FA_ADJUSTED=GAAP","Sort=A","Dates=H","DateFormat=P","Fill=—","Direction=H","UseDPDF=Y")</f>
        <v>29.956199999999999</v>
      </c>
    </row>
    <row r="20" spans="1:27" x14ac:dyDescent="0.25">
      <c r="A20" s="10" t="s">
        <v>1480</v>
      </c>
      <c r="B20" s="10" t="s">
        <v>1516</v>
      </c>
      <c r="C20" s="14" t="str">
        <f>_xll.BDH("SRPT US Equity","EBIT_AFT_OP_LEA_EXPN_TO_INT_EXPN","FQ4 2018","FQ4 2018","Currency=USD","Period=FQ","BEST_FPERIOD_OVERRIDE=FQ","FILING_STATUS=MR","FA_ADJUSTED=GAAP","Sort=A","Dates=H","DateFormat=P","Fill=—","Direction=H","UseDPDF=Y")</f>
        <v>—</v>
      </c>
      <c r="D20" s="14" t="str">
        <f>_xll.BDH("SRPT US Equity","EBIT_AFT_OP_LEA_EXPN_TO_INT_EXPN","FQ1 2019","FQ1 2019","Currency=USD","Period=FQ","BEST_FPERIOD_OVERRIDE=FQ","FILING_STATUS=MR","FA_ADJUSTED=GAAP","Sort=A","Dates=H","DateFormat=P","Fill=—","Direction=H","UseDPDF=Y")</f>
        <v>—</v>
      </c>
      <c r="E20" s="14" t="str">
        <f>_xll.BDH("SRPT US Equity","EBIT_AFT_OP_LEA_EXPN_TO_INT_EXPN","FQ2 2019","FQ2 2019","Currency=USD","Period=FQ","BEST_FPERIOD_OVERRIDE=FQ","FILING_STATUS=MR","FA_ADJUSTED=GAAP","Sort=A","Dates=H","DateFormat=P","Fill=—","Direction=H","UseDPDF=Y")</f>
        <v>—</v>
      </c>
      <c r="F20" s="14">
        <f>_xll.BDH("SRPT US Equity","EBIT_AFT_OP_LEA_EXPN_TO_INT_EXPN","FQ3 2019","FQ3 2019","Currency=USD","Period=FQ","BEST_FPERIOD_OVERRIDE=FQ","FILING_STATUS=MR","FA_ADJUSTED=GAAP","Sort=A","Dates=H","DateFormat=P","Fill=—","Direction=H","UseDPDF=Y")</f>
        <v>-36.0426</v>
      </c>
      <c r="G20" s="14">
        <f>_xll.BDH("SRPT US Equity","EBIT_AFT_OP_LEA_EXPN_TO_INT_EXPN","FQ4 2019","FQ4 2019","Currency=USD","Period=FQ","BEST_FPERIOD_OVERRIDE=FQ","FILING_STATUS=MR","FA_ADJUSTED=GAAP","Sort=A","Dates=H","DateFormat=P","Fill=—","Direction=H","UseDPDF=Y")</f>
        <v>-38.103099999999998</v>
      </c>
      <c r="H20" s="14">
        <f>_xll.BDH("SRPT US Equity","EBIT_AFT_OP_LEA_EXPN_TO_INT_EXPN","FQ1 2020","FQ1 2020","Currency=USD","Period=FQ","BEST_FPERIOD_OVERRIDE=FQ","FILING_STATUS=MR","FA_ADJUSTED=GAAP","Sort=A","Dates=H","DateFormat=P","Fill=—","Direction=H","UseDPDF=Y")</f>
        <v>-11.081200000000001</v>
      </c>
      <c r="I20" s="14">
        <f>_xll.BDH("SRPT US Equity","EBIT_AFT_OP_LEA_EXPN_TO_INT_EXPN","FQ2 2020","FQ2 2020","Currency=USD","Period=FQ","BEST_FPERIOD_OVERRIDE=FQ","FILING_STATUS=MR","FA_ADJUSTED=GAAP","Sort=A","Dates=H","DateFormat=P","Fill=—","Direction=H","UseDPDF=Y")</f>
        <v>-10.8819</v>
      </c>
      <c r="J20" s="14">
        <f>_xll.BDH("SRPT US Equity","EBIT_AFT_OP_LEA_EXPN_TO_INT_EXPN","FQ3 2020","FQ3 2020","Currency=USD","Period=FQ","BEST_FPERIOD_OVERRIDE=FQ","FILING_STATUS=MR","FA_ADJUSTED=GAAP","Sort=A","Dates=H","DateFormat=P","Fill=—","Direction=H","UseDPDF=Y")</f>
        <v>-10.096299999999999</v>
      </c>
      <c r="K20" s="14">
        <f>_xll.BDH("SRPT US Equity","EBIT_AFT_OP_LEA_EXPN_TO_INT_EXPN","FQ4 2020","FQ4 2020","Currency=USD","Period=FQ","BEST_FPERIOD_OVERRIDE=FQ","FILING_STATUS=MR","FA_ADJUSTED=GAAP","Sort=A","Dates=H","DateFormat=P","Fill=—","Direction=H","UseDPDF=Y")</f>
        <v>-9.2194000000000003</v>
      </c>
      <c r="L20" s="14">
        <f>_xll.BDH("SRPT US Equity","EBIT_AFT_OP_LEA_EXPN_TO_INT_EXPN","FQ1 2021","FQ1 2021","Currency=USD","Period=FQ","BEST_FPERIOD_OVERRIDE=FQ","FILING_STATUS=MR","FA_ADJUSTED=GAAP","Sort=A","Dates=H","DateFormat=P","Fill=—","Direction=H","UseDPDF=Y")</f>
        <v>-9.7882999999999996</v>
      </c>
      <c r="M20" s="14">
        <f>_xll.BDH("SRPT US Equity","EBIT_AFT_OP_LEA_EXPN_TO_INT_EXPN","FQ2 2021","FQ2 2021","Currency=USD","Period=FQ","BEST_FPERIOD_OVERRIDE=FQ","FILING_STATUS=MR","FA_ADJUSTED=GAAP","Sort=A","Dates=H","DateFormat=P","Fill=—","Direction=H","UseDPDF=Y")</f>
        <v>-10.5992</v>
      </c>
      <c r="N20" s="14">
        <f>_xll.BDH("SRPT US Equity","EBIT_AFT_OP_LEA_EXPN_TO_INT_EXPN","FQ3 2021","FQ3 2021","Currency=USD","Period=FQ","BEST_FPERIOD_OVERRIDE=FQ","FILING_STATUS=MR","FA_ADJUSTED=GAAP","Sort=A","Dates=H","DateFormat=P","Fill=—","Direction=H","UseDPDF=Y")</f>
        <v>-2.1543000000000001</v>
      </c>
      <c r="O20" s="14">
        <f>_xll.BDH("SRPT US Equity","EBIT_AFT_OP_LEA_EXPN_TO_INT_EXPN","FQ4 2021","FQ4 2021","Currency=USD","Period=FQ","BEST_FPERIOD_OVERRIDE=FQ","FILING_STATUS=MR","FA_ADJUSTED=GAAP","Sort=A","Dates=H","DateFormat=P","Fill=—","Direction=H","UseDPDF=Y")</f>
        <v>-6.5934999999999997</v>
      </c>
      <c r="P20" s="14">
        <f>_xll.BDH("SRPT US Equity","EBIT_AFT_OP_LEA_EXPN_TO_INT_EXPN","FQ1 2022","FQ1 2022","Currency=USD","Period=FQ","BEST_FPERIOD_OVERRIDE=FQ","FILING_STATUS=MR","FA_ADJUSTED=GAAP","Sort=A","Dates=H","DateFormat=P","Fill=—","Direction=H","UseDPDF=Y")</f>
        <v>-5.5002000000000004</v>
      </c>
      <c r="Q20" s="14">
        <f>_xll.BDH("SRPT US Equity","EBIT_AFT_OP_LEA_EXPN_TO_INT_EXPN","FQ2 2022","FQ2 2022","Currency=USD","Period=FQ","BEST_FPERIOD_OVERRIDE=FQ","FILING_STATUS=MR","FA_ADJUSTED=GAAP","Sort=A","Dates=H","DateFormat=P","Fill=—","Direction=H","UseDPDF=Y")</f>
        <v>-14.3657</v>
      </c>
      <c r="R20" s="14">
        <f>_xll.BDH("SRPT US Equity","EBIT_AFT_OP_LEA_EXPN_TO_INT_EXPN","FQ3 2022","FQ3 2022","Currency=USD","Period=FQ","BEST_FPERIOD_OVERRIDE=FQ","FILING_STATUS=MR","FA_ADJUSTED=GAAP","Sort=A","Dates=H","DateFormat=P","Fill=—","Direction=H","UseDPDF=Y")</f>
        <v>-11.6233</v>
      </c>
      <c r="S20" s="14">
        <f>_xll.BDH("SRPT US Equity","EBIT_AFT_OP_LEA_EXPN_TO_INT_EXPN","FQ4 2022","FQ4 2022","Currency=USD","Period=FQ","BEST_FPERIOD_OVERRIDE=FQ","FILING_STATUS=MR","FA_ADJUSTED=GAAP","Sort=A","Dates=H","DateFormat=P","Fill=—","Direction=H","UseDPDF=Y")</f>
        <v>-409.3218</v>
      </c>
      <c r="T20" s="14">
        <f>_xll.BDH("SRPT US Equity","EBIT_AFT_OP_LEA_EXPN_TO_INT_EXPN","FQ1 2023","FQ1 2023","Currency=USD","Period=FQ","BEST_FPERIOD_OVERRIDE=FQ","FILING_STATUS=MR","FA_ADJUSTED=GAAP","Sort=A","Dates=H","DateFormat=P","Fill=—","Direction=H","UseDPDF=Y")</f>
        <v>-21.838999999999999</v>
      </c>
      <c r="U20" s="14">
        <f>_xll.BDH("SRPT US Equity","EBIT_AFT_OP_LEA_EXPN_TO_INT_EXPN","FQ2 2023","FQ2 2023","Currency=USD","Period=FQ","BEST_FPERIOD_OVERRIDE=FQ","FILING_STATUS=MR","FA_ADJUSTED=GAAP","Sort=A","Dates=H","DateFormat=P","Fill=—","Direction=H","UseDPDF=Y")</f>
        <v>-25.558800000000002</v>
      </c>
      <c r="V20" s="14">
        <f>_xll.BDH("SRPT US Equity","EBIT_AFT_OP_LEA_EXPN_TO_INT_EXPN","FQ3 2023","FQ3 2023","Currency=USD","Period=FQ","BEST_FPERIOD_OVERRIDE=FQ","FILING_STATUS=MR","FA_ADJUSTED=GAAP","Sort=A","Dates=H","DateFormat=P","Fill=—","Direction=H","UseDPDF=Y")</f>
        <v>-3.9857999999999998</v>
      </c>
      <c r="W20" s="14">
        <f>_xll.BDH("SRPT US Equity","EBIT_AFT_OP_LEA_EXPN_TO_INT_EXPN","FQ4 2023","FQ4 2023","Currency=USD","Period=FQ","BEST_FPERIOD_OVERRIDE=FQ","FILING_STATUS=MR","FA_ADJUSTED=GAAP","Sort=A","Dates=H","DateFormat=P","Fill=—","Direction=H","UseDPDF=Y")</f>
        <v>4.7047999999999996</v>
      </c>
      <c r="X20" s="14">
        <f>_xll.BDH("SRPT US Equity","EBIT_AFT_OP_LEA_EXPN_TO_INT_EXPN","FQ1 2024","FQ1 2024","Currency=USD","Period=FQ","BEST_FPERIOD_OVERRIDE=FQ","FILING_STATUS=MR","FA_ADJUSTED=GAAP","Sort=A","Dates=H","DateFormat=P","Fill=—","Direction=H","UseDPDF=Y")</f>
        <v>8.3785000000000007</v>
      </c>
      <c r="Y20" s="14">
        <f>_xll.BDH("SRPT US Equity","EBIT_AFT_OP_LEA_EXPN_TO_INT_EXPN","FQ2 2024","FQ2 2024","Currency=USD","Period=FQ","BEST_FPERIOD_OVERRIDE=FQ","FILING_STATUS=MR","FA_ADJUSTED=GAAP","Sort=A","Dates=H","DateFormat=P","Fill=—","Direction=H","UseDPDF=Y")</f>
        <v>-0.14510000000000001</v>
      </c>
      <c r="Z20" s="14">
        <f>_xll.BDH("SRPT US Equity","EBIT_AFT_OP_LEA_EXPN_TO_INT_EXPN","FQ3 2024","FQ3 2024","Currency=USD","Period=FQ","BEST_FPERIOD_OVERRIDE=FQ","FILING_STATUS=MR","FA_ADJUSTED=GAAP","Sort=A","Dates=H","DateFormat=P","Fill=—","Direction=H","UseDPDF=Y")</f>
        <v>4.5132000000000003</v>
      </c>
      <c r="AA20" s="14">
        <f>_xll.BDH("SRPT US Equity","EBIT_AFT_OP_LEA_EXPN_TO_INT_EXPN","FQ4 2024","FQ4 2024","Currency=USD","Period=FQ","BEST_FPERIOD_OVERRIDE=FQ","FILING_STATUS=MR","FA_ADJUSTED=GAAP","Sort=A","Dates=H","DateFormat=P","Fill=—","Direction=H","UseDPDF=Y")</f>
        <v>36.129800000000003</v>
      </c>
    </row>
    <row r="21" spans="1:27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10" t="s">
        <v>1482</v>
      </c>
      <c r="B22" s="10" t="s">
        <v>1517</v>
      </c>
      <c r="C22" s="14">
        <f>_xll.BDH("SRPT US Equity","EBITDA_OP_LEA_EX_CSH_INT_PD","FQ4 2018","FQ4 2018","Currency=USD","Period=FQ","BEST_FPERIOD_OVERRIDE=FQ","FILING_STATUS=MR","FA_ADJUSTED=GAAP","Sort=A","Dates=H","DateFormat=P","Fill=—","Direction=H","UseDPDF=Y")</f>
        <v>-30.545500000000001</v>
      </c>
      <c r="D22" s="14" t="str">
        <f>_xll.BDH("SRPT US Equity","EBITDA_OP_LEA_EX_CSH_INT_PD","FQ1 2019","FQ1 2019","Currency=USD","Period=FQ","BEST_FPERIOD_OVERRIDE=FQ","FILING_STATUS=MR","FA_ADJUSTED=GAAP","Sort=A","Dates=H","DateFormat=P","Fill=—","Direction=H","UseDPDF=Y")</f>
        <v>—</v>
      </c>
      <c r="E22" s="14">
        <f>_xll.BDH("SRPT US Equity","EBITDA_OP_LEA_EX_CSH_INT_PD","FQ2 2019","FQ2 2019","Currency=USD","Period=FQ","BEST_FPERIOD_OVERRIDE=FQ","FILING_STATUS=MR","FA_ADJUSTED=GAAP","Sort=A","Dates=H","DateFormat=P","Fill=—","Direction=H","UseDPDF=Y")</f>
        <v>-62.613599999999998</v>
      </c>
      <c r="F22" s="14" t="str">
        <f>_xll.BDH("SRPT US Equity","EBITDA_OP_LEA_EX_CSH_INT_PD","FQ3 2019","FQ3 2019","Currency=USD","Period=FQ","BEST_FPERIOD_OVERRIDE=FQ","FILING_STATUS=MR","FA_ADJUSTED=GAAP","Sort=A","Dates=H","DateFormat=P","Fill=—","Direction=H","UseDPDF=Y")</f>
        <v>—</v>
      </c>
      <c r="G22" s="14">
        <f>_xll.BDH("SRPT US Equity","EBITDA_OP_LEA_EX_CSH_INT_PD","FQ4 2019","FQ4 2019","Currency=USD","Period=FQ","BEST_FPERIOD_OVERRIDE=FQ","FILING_STATUS=MR","FA_ADJUSTED=GAAP","Sort=A","Dates=H","DateFormat=P","Fill=—","Direction=H","UseDPDF=Y")</f>
        <v>-42.629199999999997</v>
      </c>
      <c r="H22" s="14">
        <f>_xll.BDH("SRPT US Equity","EBITDA_OP_LEA_EX_CSH_INT_PD","FQ1 2020","FQ1 2020","Currency=USD","Period=FQ","BEST_FPERIOD_OVERRIDE=FQ","FILING_STATUS=MR","FA_ADJUSTED=GAAP","Sort=A","Dates=H","DateFormat=P","Fill=—","Direction=H","UseDPDF=Y")</f>
        <v>-20.705100000000002</v>
      </c>
      <c r="I22" s="14">
        <f>_xll.BDH("SRPT US Equity","EBITDA_OP_LEA_EX_CSH_INT_PD","FQ2 2020","FQ2 2020","Currency=USD","Period=FQ","BEST_FPERIOD_OVERRIDE=FQ","FILING_STATUS=MR","FA_ADJUSTED=GAAP","Sort=A","Dates=H","DateFormat=P","Fill=—","Direction=H","UseDPDF=Y")</f>
        <v>-13.670400000000001</v>
      </c>
      <c r="J22" s="14">
        <f>_xll.BDH("SRPT US Equity","EBITDA_OP_LEA_EX_CSH_INT_PD","FQ3 2020","FQ3 2020","Currency=USD","Period=FQ","BEST_FPERIOD_OVERRIDE=FQ","FILING_STATUS=MR","FA_ADJUSTED=GAAP","Sort=A","Dates=H","DateFormat=P","Fill=—","Direction=H","UseDPDF=Y")</f>
        <v>-24.023800000000001</v>
      </c>
      <c r="K22" s="14">
        <f>_xll.BDH("SRPT US Equity","EBITDA_OP_LEA_EX_CSH_INT_PD","FQ4 2020","FQ4 2020","Currency=USD","Period=FQ","BEST_FPERIOD_OVERRIDE=FQ","FILING_STATUS=MR","FA_ADJUSTED=GAAP","Sort=A","Dates=H","DateFormat=P","Fill=—","Direction=H","UseDPDF=Y")</f>
        <v>-9.9252000000000002</v>
      </c>
      <c r="L22" s="14">
        <f>_xll.BDH("SRPT US Equity","EBITDA_OP_LEA_EX_CSH_INT_PD","FQ1 2021","FQ1 2021","Currency=USD","Period=FQ","BEST_FPERIOD_OVERRIDE=FQ","FILING_STATUS=MR","FA_ADJUSTED=GAAP","Sort=A","Dates=H","DateFormat=P","Fill=—","Direction=H","UseDPDF=Y")</f>
        <v>-12.229200000000001</v>
      </c>
      <c r="M22" s="14">
        <f>_xll.BDH("SRPT US Equity","EBITDA_OP_LEA_EX_CSH_INT_PD","FQ2 2021","FQ2 2021","Currency=USD","Period=FQ","BEST_FPERIOD_OVERRIDE=FQ","FILING_STATUS=MR","FA_ADJUSTED=GAAP","Sort=A","Dates=H","DateFormat=P","Fill=—","Direction=H","UseDPDF=Y")</f>
        <v>-9.8886000000000003</v>
      </c>
      <c r="N22" s="14">
        <f>_xll.BDH("SRPT US Equity","EBITDA_OP_LEA_EX_CSH_INT_PD","FQ3 2021","FQ3 2021","Currency=USD","Period=FQ","BEST_FPERIOD_OVERRIDE=FQ","FILING_STATUS=MR","FA_ADJUSTED=GAAP","Sort=A","Dates=H","DateFormat=P","Fill=—","Direction=H","UseDPDF=Y")</f>
        <v>-2.0057999999999998</v>
      </c>
      <c r="O22" s="14">
        <f>_xll.BDH("SRPT US Equity","EBITDA_OP_LEA_EX_CSH_INT_PD","FQ4 2021","FQ4 2021","Currency=USD","Period=FQ","BEST_FPERIOD_OVERRIDE=FQ","FILING_STATUS=MR","FA_ADJUSTED=GAAP","Sort=A","Dates=H","DateFormat=P","Fill=—","Direction=H","UseDPDF=Y")</f>
        <v>-5.8974000000000002</v>
      </c>
      <c r="P22" s="14">
        <f>_xll.BDH("SRPT US Equity","EBITDA_OP_LEA_EX_CSH_INT_PD","FQ1 2022","FQ1 2022","Currency=USD","Period=FQ","BEST_FPERIOD_OVERRIDE=FQ","FILING_STATUS=MR","FA_ADJUSTED=GAAP","Sort=A","Dates=H","DateFormat=P","Fill=—","Direction=H","UseDPDF=Y")</f>
        <v>-6.5163000000000002</v>
      </c>
      <c r="Q22" s="14">
        <f>_xll.BDH("SRPT US Equity","EBITDA_OP_LEA_EX_CSH_INT_PD","FQ2 2022","FQ2 2022","Currency=USD","Period=FQ","BEST_FPERIOD_OVERRIDE=FQ","FILING_STATUS=MR","FA_ADJUSTED=GAAP","Sort=A","Dates=H","DateFormat=P","Fill=—","Direction=H","UseDPDF=Y")</f>
        <v>-12.505800000000001</v>
      </c>
      <c r="R22" s="14">
        <f>_xll.BDH("SRPT US Equity","EBITDA_OP_LEA_EX_CSH_INT_PD","FQ3 2022","FQ3 2022","Currency=USD","Period=FQ","BEST_FPERIOD_OVERRIDE=FQ","FILING_STATUS=MR","FA_ADJUSTED=GAAP","Sort=A","Dates=H","DateFormat=P","Fill=—","Direction=H","UseDPDF=Y")</f>
        <v>-8.9418000000000006</v>
      </c>
      <c r="S22" s="14">
        <f>_xll.BDH("SRPT US Equity","EBITDA_OP_LEA_EX_CSH_INT_PD","FQ4 2022","FQ4 2022","Currency=USD","Period=FQ","BEST_FPERIOD_OVERRIDE=FQ","FILING_STATUS=MR","FA_ADJUSTED=GAAP","Sort=A","Dates=H","DateFormat=P","Fill=—","Direction=H","UseDPDF=Y")</f>
        <v>-30.613700000000001</v>
      </c>
      <c r="T22" s="14">
        <f>_xll.BDH("SRPT US Equity","EBITDA_OP_LEA_EX_CSH_INT_PD","FQ1 2023","FQ1 2023","Currency=USD","Period=FQ","BEST_FPERIOD_OVERRIDE=FQ","FILING_STATUS=MR","FA_ADJUSTED=GAAP","Sort=A","Dates=H","DateFormat=P","Fill=—","Direction=H","UseDPDF=Y")</f>
        <v>-18.052499999999998</v>
      </c>
      <c r="U22" s="14">
        <f>_xll.BDH("SRPT US Equity","EBITDA_OP_LEA_EX_CSH_INT_PD","FQ2 2023","FQ2 2023","Currency=USD","Period=FQ","BEST_FPERIOD_OVERRIDE=FQ","FILING_STATUS=MR","FA_ADJUSTED=GAAP","Sort=A","Dates=H","DateFormat=P","Fill=—","Direction=H","UseDPDF=Y")</f>
        <v>-154.56800000000001</v>
      </c>
      <c r="V22" s="14">
        <f>_xll.BDH("SRPT US Equity","EBITDA_OP_LEA_EX_CSH_INT_PD","FQ3 2023","FQ3 2023","Currency=USD","Period=FQ","BEST_FPERIOD_OVERRIDE=FQ","FILING_STATUS=MR","FA_ADJUSTED=GAAP","Sort=A","Dates=H","DateFormat=P","Fill=—","Direction=H","UseDPDF=Y")</f>
        <v>-1.3559000000000001</v>
      </c>
      <c r="W22" s="14">
        <f>_xll.BDH("SRPT US Equity","EBITDA_OP_LEA_EX_CSH_INT_PD","FQ4 2023","FQ4 2023","Currency=USD","Period=FQ","BEST_FPERIOD_OVERRIDE=FQ","FILING_STATUS=MR","FA_ADJUSTED=GAAP","Sort=A","Dates=H","DateFormat=P","Fill=—","Direction=H","UseDPDF=Y")</f>
        <v>45.336300000000001</v>
      </c>
      <c r="X22" s="14">
        <f>_xll.BDH("SRPT US Equity","EBITDA_OP_LEA_EX_CSH_INT_PD","FQ1 2024","FQ1 2024","Currency=USD","Period=FQ","BEST_FPERIOD_OVERRIDE=FQ","FILING_STATUS=MR","FA_ADJUSTED=GAAP","Sort=A","Dates=H","DateFormat=P","Fill=—","Direction=H","UseDPDF=Y")</f>
        <v>6.0724999999999998</v>
      </c>
      <c r="Y22" s="14">
        <f>_xll.BDH("SRPT US Equity","EBITDA_OP_LEA_EX_CSH_INT_PD","FQ2 2024","FQ2 2024","Currency=USD","Period=FQ","BEST_FPERIOD_OVERRIDE=FQ","FILING_STATUS=MR","FA_ADJUSTED=GAAP","Sort=A","Dates=H","DateFormat=P","Fill=—","Direction=H","UseDPDF=Y")</f>
        <v>10.111000000000001</v>
      </c>
      <c r="Z22" s="14">
        <f>_xll.BDH("SRPT US Equity","EBITDA_OP_LEA_EX_CSH_INT_PD","FQ3 2024","FQ3 2024","Currency=USD","Period=FQ","BEST_FPERIOD_OVERRIDE=FQ","FILING_STATUS=MR","FA_ADJUSTED=GAAP","Sort=A","Dates=H","DateFormat=P","Fill=—","Direction=H","UseDPDF=Y")</f>
        <v>4.4520999999999997</v>
      </c>
      <c r="AA22" s="14">
        <f>_xll.BDH("SRPT US Equity","EBITDA_OP_LEA_EX_CSH_INT_PD","FQ4 2024","FQ4 2024","Currency=USD","Period=FQ","BEST_FPERIOD_OVERRIDE=FQ","FILING_STATUS=MR","FA_ADJUSTED=GAAP","Sort=A","Dates=H","DateFormat=P","Fill=—","Direction=H","UseDPDF=Y")</f>
        <v>250.56190000000001</v>
      </c>
    </row>
    <row r="23" spans="1:27" x14ac:dyDescent="0.25">
      <c r="A23" s="10" t="s">
        <v>1484</v>
      </c>
      <c r="B23" s="10" t="s">
        <v>1518</v>
      </c>
      <c r="C23" s="14">
        <f>_xll.BDH("SRPT US Equity","EBITDA_CAPEX_OP_LEA_EX_TO","FQ4 2018","FQ4 2018","Currency=USD","Period=FQ","BEST_FPERIOD_OVERRIDE=FQ","FILING_STATUS=MR","FA_ADJUSTED=GAAP","Sort=A","Dates=H","DateFormat=P","Fill=—","Direction=H","UseDPDF=Y")</f>
        <v>-35.0886</v>
      </c>
      <c r="D23" s="14" t="str">
        <f>_xll.BDH("SRPT US Equity","EBITDA_CAPEX_OP_LEA_EX_TO","FQ1 2019","FQ1 2019","Currency=USD","Period=FQ","BEST_FPERIOD_OVERRIDE=FQ","FILING_STATUS=MR","FA_ADJUSTED=GAAP","Sort=A","Dates=H","DateFormat=P","Fill=—","Direction=H","UseDPDF=Y")</f>
        <v>—</v>
      </c>
      <c r="E23" s="14">
        <f>_xll.BDH("SRPT US Equity","EBITDA_CAPEX_OP_LEA_EX_TO","FQ2 2019","FQ2 2019","Currency=USD","Period=FQ","BEST_FPERIOD_OVERRIDE=FQ","FILING_STATUS=MR","FA_ADJUSTED=GAAP","Sort=A","Dates=H","DateFormat=P","Fill=—","Direction=H","UseDPDF=Y")</f>
        <v>-66.515799999999999</v>
      </c>
      <c r="F23" s="14" t="str">
        <f>_xll.BDH("SRPT US Equity","EBITDA_CAPEX_OP_LEA_EX_TO","FQ3 2019","FQ3 2019","Currency=USD","Period=FQ","BEST_FPERIOD_OVERRIDE=FQ","FILING_STATUS=MR","FA_ADJUSTED=GAAP","Sort=A","Dates=H","DateFormat=P","Fill=—","Direction=H","UseDPDF=Y")</f>
        <v>—</v>
      </c>
      <c r="G23" s="14">
        <f>_xll.BDH("SRPT US Equity","EBITDA_CAPEX_OP_LEA_EX_TO","FQ4 2019","FQ4 2019","Currency=USD","Period=FQ","BEST_FPERIOD_OVERRIDE=FQ","FILING_STATUS=MR","FA_ADJUSTED=GAAP","Sort=A","Dates=H","DateFormat=P","Fill=—","Direction=H","UseDPDF=Y")</f>
        <v>-45.942799999999998</v>
      </c>
      <c r="H23" s="14">
        <f>_xll.BDH("SRPT US Equity","EBITDA_CAPEX_OP_LEA_EX_TO","FQ1 2020","FQ1 2020","Currency=USD","Period=FQ","BEST_FPERIOD_OVERRIDE=FQ","FILING_STATUS=MR","FA_ADJUSTED=GAAP","Sort=A","Dates=H","DateFormat=P","Fill=—","Direction=H","UseDPDF=Y")</f>
        <v>-22.398700000000002</v>
      </c>
      <c r="I23" s="14">
        <f>_xll.BDH("SRPT US Equity","EBITDA_CAPEX_OP_LEA_EX_TO","FQ2 2020","FQ2 2020","Currency=USD","Period=FQ","BEST_FPERIOD_OVERRIDE=FQ","FILING_STATUS=MR","FA_ADJUSTED=GAAP","Sort=A","Dates=H","DateFormat=P","Fill=—","Direction=H","UseDPDF=Y")</f>
        <v>-15.657400000000001</v>
      </c>
      <c r="J23" s="14">
        <f>_xll.BDH("SRPT US Equity","EBITDA_CAPEX_OP_LEA_EX_TO","FQ3 2020","FQ3 2020","Currency=USD","Period=FQ","BEST_FPERIOD_OVERRIDE=FQ","FILING_STATUS=MR","FA_ADJUSTED=GAAP","Sort=A","Dates=H","DateFormat=P","Fill=—","Direction=H","UseDPDF=Y")</f>
        <v>-28.683599999999998</v>
      </c>
      <c r="K23" s="14">
        <f>_xll.BDH("SRPT US Equity","EBITDA_CAPEX_OP_LEA_EX_TO","FQ4 2020","FQ4 2020","Currency=USD","Period=FQ","BEST_FPERIOD_OVERRIDE=FQ","FILING_STATUS=MR","FA_ADJUSTED=GAAP","Sort=A","Dates=H","DateFormat=P","Fill=—","Direction=H","UseDPDF=Y")</f>
        <v>-11.505000000000001</v>
      </c>
      <c r="L23" s="14">
        <f>_xll.BDH("SRPT US Equity","EBITDA_CAPEX_OP_LEA_EX_TO","FQ1 2021","FQ1 2021","Currency=USD","Period=FQ","BEST_FPERIOD_OVERRIDE=FQ","FILING_STATUS=MR","FA_ADJUSTED=GAAP","Sort=A","Dates=H","DateFormat=P","Fill=—","Direction=H","UseDPDF=Y")</f>
        <v>-14.0387</v>
      </c>
      <c r="M23" s="14">
        <f>_xll.BDH("SRPT US Equity","EBITDA_CAPEX_OP_LEA_EX_TO","FQ2 2021","FQ2 2021","Currency=USD","Period=FQ","BEST_FPERIOD_OVERRIDE=FQ","FILING_STATUS=MR","FA_ADJUSTED=GAAP","Sort=A","Dates=H","DateFormat=P","Fill=—","Direction=H","UseDPDF=Y")</f>
        <v>-10.254799999999999</v>
      </c>
      <c r="N23" s="14">
        <f>_xll.BDH("SRPT US Equity","EBITDA_CAPEX_OP_LEA_EX_TO","FQ3 2021","FQ3 2021","Currency=USD","Period=FQ","BEST_FPERIOD_OVERRIDE=FQ","FILING_STATUS=MR","FA_ADJUSTED=GAAP","Sort=A","Dates=H","DateFormat=P","Fill=—","Direction=H","UseDPDF=Y")</f>
        <v>-2.7793000000000001</v>
      </c>
      <c r="O23" s="14">
        <f>_xll.BDH("SRPT US Equity","EBITDA_CAPEX_OP_LEA_EX_TO","FQ4 2021","FQ4 2021","Currency=USD","Period=FQ","BEST_FPERIOD_OVERRIDE=FQ","FILING_STATUS=MR","FA_ADJUSTED=GAAP","Sort=A","Dates=H","DateFormat=P","Fill=—","Direction=H","UseDPDF=Y")</f>
        <v>-6.0334000000000003</v>
      </c>
      <c r="P23" s="14">
        <f>_xll.BDH("SRPT US Equity","EBITDA_CAPEX_OP_LEA_EX_TO","FQ1 2022","FQ1 2022","Currency=USD","Period=FQ","BEST_FPERIOD_OVERRIDE=FQ","FILING_STATUS=MR","FA_ADJUSTED=GAAP","Sort=A","Dates=H","DateFormat=P","Fill=—","Direction=H","UseDPDF=Y")</f>
        <v>-6.9912000000000001</v>
      </c>
      <c r="Q23" s="14">
        <f>_xll.BDH("SRPT US Equity","EBITDA_CAPEX_OP_LEA_EX_TO","FQ2 2022","FQ2 2022","Currency=USD","Period=FQ","BEST_FPERIOD_OVERRIDE=FQ","FILING_STATUS=MR","FA_ADJUSTED=GAAP","Sort=A","Dates=H","DateFormat=P","Fill=—","Direction=H","UseDPDF=Y")</f>
        <v>-13.069900000000001</v>
      </c>
      <c r="R23" s="14">
        <f>_xll.BDH("SRPT US Equity","EBITDA_CAPEX_OP_LEA_EX_TO","FQ3 2022","FQ3 2022","Currency=USD","Period=FQ","BEST_FPERIOD_OVERRIDE=FQ","FILING_STATUS=MR","FA_ADJUSTED=GAAP","Sort=A","Dates=H","DateFormat=P","Fill=—","Direction=H","UseDPDF=Y")</f>
        <v>-9.5518000000000001</v>
      </c>
      <c r="S23" s="14">
        <f>_xll.BDH("SRPT US Equity","EBITDA_CAPEX_OP_LEA_EX_TO","FQ4 2022","FQ4 2022","Currency=USD","Period=FQ","BEST_FPERIOD_OVERRIDE=FQ","FILING_STATUS=MR","FA_ADJUSTED=GAAP","Sort=A","Dates=H","DateFormat=P","Fill=—","Direction=H","UseDPDF=Y")</f>
        <v>-32.756399999999999</v>
      </c>
      <c r="T23" s="14">
        <f>_xll.BDH("SRPT US Equity","EBITDA_CAPEX_OP_LEA_EX_TO","FQ1 2023","FQ1 2023","Currency=USD","Period=FQ","BEST_FPERIOD_OVERRIDE=FQ","FILING_STATUS=MR","FA_ADJUSTED=GAAP","Sort=A","Dates=H","DateFormat=P","Fill=—","Direction=H","UseDPDF=Y")</f>
        <v>-19.403099999999998</v>
      </c>
      <c r="U23" s="14">
        <f>_xll.BDH("SRPT US Equity","EBITDA_CAPEX_OP_LEA_EX_TO","FQ2 2023","FQ2 2023","Currency=USD","Period=FQ","BEST_FPERIOD_OVERRIDE=FQ","FILING_STATUS=MR","FA_ADJUSTED=GAAP","Sort=A","Dates=H","DateFormat=P","Fill=—","Direction=H","UseDPDF=Y")</f>
        <v>-177.1234</v>
      </c>
      <c r="V23" s="14">
        <f>_xll.BDH("SRPT US Equity","EBITDA_CAPEX_OP_LEA_EX_TO","FQ3 2023","FQ3 2023","Currency=USD","Period=FQ","BEST_FPERIOD_OVERRIDE=FQ","FILING_STATUS=MR","FA_ADJUSTED=GAAP","Sort=A","Dates=H","DateFormat=P","Fill=—","Direction=H","UseDPDF=Y")</f>
        <v>-5.4139999999999997</v>
      </c>
      <c r="W23" s="14">
        <f>_xll.BDH("SRPT US Equity","EBITDA_CAPEX_OP_LEA_EX_TO","FQ4 2023","FQ4 2023","Currency=USD","Period=FQ","BEST_FPERIOD_OVERRIDE=FQ","FILING_STATUS=MR","FA_ADJUSTED=GAAP","Sort=A","Dates=H","DateFormat=P","Fill=—","Direction=H","UseDPDF=Y")</f>
        <v>21.357700000000001</v>
      </c>
      <c r="X23" s="14">
        <f>_xll.BDH("SRPT US Equity","EBITDA_CAPEX_OP_LEA_EX_TO","FQ1 2024","FQ1 2024","Currency=USD","Period=FQ","BEST_FPERIOD_OVERRIDE=FQ","FILING_STATUS=MR","FA_ADJUSTED=GAAP","Sort=A","Dates=H","DateFormat=P","Fill=—","Direction=H","UseDPDF=Y")</f>
        <v>1.5588</v>
      </c>
      <c r="Y23" s="14">
        <f>_xll.BDH("SRPT US Equity","EBITDA_CAPEX_OP_LEA_EX_TO","FQ2 2024","FQ2 2024","Currency=USD","Period=FQ","BEST_FPERIOD_OVERRIDE=FQ","FILING_STATUS=MR","FA_ADJUSTED=GAAP","Sort=A","Dates=H","DateFormat=P","Fill=—","Direction=H","UseDPDF=Y")</f>
        <v>-26.669599999999999</v>
      </c>
      <c r="Z23" s="14">
        <f>_xll.BDH("SRPT US Equity","EBITDA_CAPEX_OP_LEA_EX_TO","FQ3 2024","FQ3 2024","Currency=USD","Period=FQ","BEST_FPERIOD_OVERRIDE=FQ","FILING_STATUS=MR","FA_ADJUSTED=GAAP","Sort=A","Dates=H","DateFormat=P","Fill=—","Direction=H","UseDPDF=Y")</f>
        <v>-0.7319</v>
      </c>
      <c r="AA23" s="14">
        <f>_xll.BDH("SRPT US Equity","EBITDA_CAPEX_OP_LEA_EX_TO","FQ4 2024","FQ4 2024","Currency=USD","Period=FQ","BEST_FPERIOD_OVERRIDE=FQ","FILING_STATUS=MR","FA_ADJUSTED=GAAP","Sort=A","Dates=H","DateFormat=P","Fill=—","Direction=H","UseDPDF=Y")</f>
        <v>195.12950000000001</v>
      </c>
    </row>
    <row r="24" spans="1:27" x14ac:dyDescent="0.25">
      <c r="A24" s="10" t="s">
        <v>1486</v>
      </c>
      <c r="B24" s="10" t="s">
        <v>1519</v>
      </c>
      <c r="C24" s="14">
        <f>_xll.BDH("SRPT US Equity","EBIT_AFT_OP_LEA_EX_TO_CSH_INT_PD","FQ4 2018","FQ4 2018","Currency=USD","Period=FQ","BEST_FPERIOD_OVERRIDE=FQ","FILING_STATUS=MR","FA_ADJUSTED=GAAP","Sort=A","Dates=H","DateFormat=P","Fill=—","Direction=H","UseDPDF=Y")</f>
        <v>-31.338699999999999</v>
      </c>
      <c r="D24" s="14" t="str">
        <f>_xll.BDH("SRPT US Equity","EBIT_AFT_OP_LEA_EX_TO_CSH_INT_PD","FQ1 2019","FQ1 2019","Currency=USD","Period=FQ","BEST_FPERIOD_OVERRIDE=FQ","FILING_STATUS=MR","FA_ADJUSTED=GAAP","Sort=A","Dates=H","DateFormat=P","Fill=—","Direction=H","UseDPDF=Y")</f>
        <v>—</v>
      </c>
      <c r="E24" s="14">
        <f>_xll.BDH("SRPT US Equity","EBIT_AFT_OP_LEA_EX_TO_CSH_INT_PD","FQ2 2019","FQ2 2019","Currency=USD","Period=FQ","BEST_FPERIOD_OVERRIDE=FQ","FILING_STATUS=MR","FA_ADJUSTED=GAAP","Sort=A","Dates=H","DateFormat=P","Fill=—","Direction=H","UseDPDF=Y")</f>
        <v>-64.413300000000007</v>
      </c>
      <c r="F24" s="14" t="str">
        <f>_xll.BDH("SRPT US Equity","EBIT_AFT_OP_LEA_EX_TO_CSH_INT_PD","FQ3 2019","FQ3 2019","Currency=USD","Period=FQ","BEST_FPERIOD_OVERRIDE=FQ","FILING_STATUS=MR","FA_ADJUSTED=GAAP","Sort=A","Dates=H","DateFormat=P","Fill=—","Direction=H","UseDPDF=Y")</f>
        <v>—</v>
      </c>
      <c r="G24" s="14">
        <f>_xll.BDH("SRPT US Equity","EBIT_AFT_OP_LEA_EX_TO_CSH_INT_PD","FQ4 2019","FQ4 2019","Currency=USD","Period=FQ","BEST_FPERIOD_OVERRIDE=FQ","FILING_STATUS=MR","FA_ADJUSTED=GAAP","Sort=A","Dates=H","DateFormat=P","Fill=—","Direction=H","UseDPDF=Y")</f>
        <v>-44.204900000000002</v>
      </c>
      <c r="H24" s="14">
        <f>_xll.BDH("SRPT US Equity","EBIT_AFT_OP_LEA_EX_TO_CSH_INT_PD","FQ1 2020","FQ1 2020","Currency=USD","Period=FQ","BEST_FPERIOD_OVERRIDE=FQ","FILING_STATUS=MR","FA_ADJUSTED=GAAP","Sort=A","Dates=H","DateFormat=P","Fill=—","Direction=H","UseDPDF=Y")</f>
        <v>-21.9175</v>
      </c>
      <c r="I24" s="14">
        <f>_xll.BDH("SRPT US Equity","EBIT_AFT_OP_LEA_EX_TO_CSH_INT_PD","FQ2 2020","FQ2 2020","Currency=USD","Period=FQ","BEST_FPERIOD_OVERRIDE=FQ","FILING_STATUS=MR","FA_ADJUSTED=GAAP","Sort=A","Dates=H","DateFormat=P","Fill=—","Direction=H","UseDPDF=Y")</f>
        <v>-14.3416</v>
      </c>
      <c r="J24" s="14">
        <f>_xll.BDH("SRPT US Equity","EBIT_AFT_OP_LEA_EX_TO_CSH_INT_PD","FQ3 2020","FQ3 2020","Currency=USD","Period=FQ","BEST_FPERIOD_OVERRIDE=FQ","FILING_STATUS=MR","FA_ADJUSTED=GAAP","Sort=A","Dates=H","DateFormat=P","Fill=—","Direction=H","UseDPDF=Y")</f>
        <v>-25.242699999999999</v>
      </c>
      <c r="K24" s="14">
        <f>_xll.BDH("SRPT US Equity","EBIT_AFT_OP_LEA_EX_TO_CSH_INT_PD","FQ4 2020","FQ4 2020","Currency=USD","Period=FQ","BEST_FPERIOD_OVERRIDE=FQ","FILING_STATUS=MR","FA_ADJUSTED=GAAP","Sort=A","Dates=H","DateFormat=P","Fill=—","Direction=H","UseDPDF=Y")</f>
        <v>-10.367800000000001</v>
      </c>
      <c r="L24" s="14">
        <f>_xll.BDH("SRPT US Equity","EBIT_AFT_OP_LEA_EX_TO_CSH_INT_PD","FQ1 2021","FQ1 2021","Currency=USD","Period=FQ","BEST_FPERIOD_OVERRIDE=FQ","FILING_STATUS=MR","FA_ADJUSTED=GAAP","Sort=A","Dates=H","DateFormat=P","Fill=—","Direction=H","UseDPDF=Y")</f>
        <v>-12.9932</v>
      </c>
      <c r="M24" s="14">
        <f>_xll.BDH("SRPT US Equity","EBIT_AFT_OP_LEA_EX_TO_CSH_INT_PD","FQ2 2021","FQ2 2021","Currency=USD","Period=FQ","BEST_FPERIOD_OVERRIDE=FQ","FILING_STATUS=MR","FA_ADJUSTED=GAAP","Sort=A","Dates=H","DateFormat=P","Fill=—","Direction=H","UseDPDF=Y")</f>
        <v>-10.413500000000001</v>
      </c>
      <c r="N24" s="14">
        <f>_xll.BDH("SRPT US Equity","EBIT_AFT_OP_LEA_EX_TO_CSH_INT_PD","FQ3 2021","FQ3 2021","Currency=USD","Period=FQ","BEST_FPERIOD_OVERRIDE=FQ","FILING_STATUS=MR","FA_ADJUSTED=GAAP","Sort=A","Dates=H","DateFormat=P","Fill=—","Direction=H","UseDPDF=Y")</f>
        <v>-2.8841999999999999</v>
      </c>
      <c r="O24" s="14">
        <f>_xll.BDH("SRPT US Equity","EBIT_AFT_OP_LEA_EX_TO_CSH_INT_PD","FQ4 2021","FQ4 2021","Currency=USD","Period=FQ","BEST_FPERIOD_OVERRIDE=FQ","FILING_STATUS=MR","FA_ADJUSTED=GAAP","Sort=A","Dates=H","DateFormat=P","Fill=—","Direction=H","UseDPDF=Y")</f>
        <v>-6.5228000000000002</v>
      </c>
      <c r="P24" s="14">
        <f>_xll.BDH("SRPT US Equity","EBIT_AFT_OP_LEA_EX_TO_CSH_INT_PD","FQ1 2022","FQ1 2022","Currency=USD","Period=FQ","BEST_FPERIOD_OVERRIDE=FQ","FILING_STATUS=MR","FA_ADJUSTED=GAAP","Sort=A","Dates=H","DateFormat=P","Fill=—","Direction=H","UseDPDF=Y")</f>
        <v>-7.4333999999999998</v>
      </c>
      <c r="Q24" s="14">
        <f>_xll.BDH("SRPT US Equity","EBIT_AFT_OP_LEA_EX_TO_CSH_INT_PD","FQ2 2022","FQ2 2022","Currency=USD","Period=FQ","BEST_FPERIOD_OVERRIDE=FQ","FILING_STATUS=MR","FA_ADJUSTED=GAAP","Sort=A","Dates=H","DateFormat=P","Fill=—","Direction=H","UseDPDF=Y")</f>
        <v>-13.1203</v>
      </c>
      <c r="R24" s="14">
        <f>_xll.BDH("SRPT US Equity","EBIT_AFT_OP_LEA_EX_TO_CSH_INT_PD","FQ3 2022","FQ3 2022","Currency=USD","Period=FQ","BEST_FPERIOD_OVERRIDE=FQ","FILING_STATUS=MR","FA_ADJUSTED=GAAP","Sort=A","Dates=H","DateFormat=P","Fill=—","Direction=H","UseDPDF=Y")</f>
        <v>-9.7349999999999994</v>
      </c>
      <c r="S24" s="14">
        <f>_xll.BDH("SRPT US Equity","EBIT_AFT_OP_LEA_EX_TO_CSH_INT_PD","FQ4 2022","FQ4 2022","Currency=USD","Period=FQ","BEST_FPERIOD_OVERRIDE=FQ","FILING_STATUS=MR","FA_ADJUSTED=GAAP","Sort=A","Dates=H","DateFormat=P","Fill=—","Direction=H","UseDPDF=Y")</f>
        <v>-33.969200000000001</v>
      </c>
      <c r="T24" s="14">
        <f>_xll.BDH("SRPT US Equity","EBIT_AFT_OP_LEA_EX_TO_CSH_INT_PD","FQ1 2023","FQ1 2023","Currency=USD","Period=FQ","BEST_FPERIOD_OVERRIDE=FQ","FILING_STATUS=MR","FA_ADJUSTED=GAAP","Sort=A","Dates=H","DateFormat=P","Fill=—","Direction=H","UseDPDF=Y")</f>
        <v>-19.662299999999998</v>
      </c>
      <c r="U24" s="14">
        <f>_xll.BDH("SRPT US Equity","EBIT_AFT_OP_LEA_EX_TO_CSH_INT_PD","FQ2 2023","FQ2 2023","Currency=USD","Period=FQ","BEST_FPERIOD_OVERRIDE=FQ","FILING_STATUS=MR","FA_ADJUSTED=GAAP","Sort=A","Dates=H","DateFormat=P","Fill=—","Direction=H","UseDPDF=Y")</f>
        <v>-168.15989999999999</v>
      </c>
      <c r="V24" s="14">
        <f>_xll.BDH("SRPT US Equity","EBIT_AFT_OP_LEA_EX_TO_CSH_INT_PD","FQ3 2023","FQ3 2023","Currency=USD","Period=FQ","BEST_FPERIOD_OVERRIDE=FQ","FILING_STATUS=MR","FA_ADJUSTED=GAAP","Sort=A","Dates=H","DateFormat=P","Fill=—","Direction=H","UseDPDF=Y")</f>
        <v>-2.8504</v>
      </c>
      <c r="W24" s="14">
        <f>_xll.BDH("SRPT US Equity","EBIT_AFT_OP_LEA_EX_TO_CSH_INT_PD","FQ4 2023","FQ4 2023","Currency=USD","Period=FQ","BEST_FPERIOD_OVERRIDE=FQ","FILING_STATUS=MR","FA_ADJUSTED=GAAP","Sort=A","Dates=H","DateFormat=P","Fill=—","Direction=H","UseDPDF=Y")</f>
        <v>31.0139</v>
      </c>
      <c r="X24" s="14">
        <f>_xll.BDH("SRPT US Equity","EBIT_AFT_OP_LEA_EX_TO_CSH_INT_PD","FQ1 2024","FQ1 2024","Currency=USD","Period=FQ","BEST_FPERIOD_OVERRIDE=FQ","FILING_STATUS=MR","FA_ADJUSTED=GAAP","Sort=A","Dates=H","DateFormat=P","Fill=—","Direction=H","UseDPDF=Y")</f>
        <v>4.8559999999999999</v>
      </c>
      <c r="Y24" s="14">
        <f>_xll.BDH("SRPT US Equity","EBIT_AFT_OP_LEA_EX_TO_CSH_INT_PD","FQ2 2024","FQ2 2024","Currency=USD","Period=FQ","BEST_FPERIOD_OVERRIDE=FQ","FILING_STATUS=MR","FA_ADJUSTED=GAAP","Sort=A","Dates=H","DateFormat=P","Fill=—","Direction=H","UseDPDF=Y")</f>
        <v>-0.88400000000000001</v>
      </c>
      <c r="Z24" s="14">
        <f>_xll.BDH("SRPT US Equity","EBIT_AFT_OP_LEA_EX_TO_CSH_INT_PD","FQ3 2024","FQ3 2024","Currency=USD","Period=FQ","BEST_FPERIOD_OVERRIDE=FQ","FILING_STATUS=MR","FA_ADJUSTED=GAAP","Sort=A","Dates=H","DateFormat=P","Fill=—","Direction=H","UseDPDF=Y")</f>
        <v>3.0878999999999999</v>
      </c>
      <c r="AA24" s="14">
        <f>_xll.BDH("SRPT US Equity","EBIT_AFT_OP_LEA_EX_TO_CSH_INT_PD","FQ4 2024","FQ4 2024","Currency=USD","Period=FQ","BEST_FPERIOD_OVERRIDE=FQ","FILING_STATUS=MR","FA_ADJUSTED=GAAP","Sort=A","Dates=H","DateFormat=P","Fill=—","Direction=H","UseDPDF=Y")</f>
        <v>235.34350000000001</v>
      </c>
    </row>
    <row r="25" spans="1:27" x14ac:dyDescent="0.25">
      <c r="A25" s="10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25">
      <c r="A26" s="10" t="s">
        <v>1488</v>
      </c>
      <c r="B26" s="10" t="s">
        <v>1520</v>
      </c>
      <c r="C26" s="13">
        <f>_xll.BDH("SRPT US Equity","CASH_INT_PAID_EX_OPERATING_LEASE","FQ4 2018","FQ4 2018","Currency=USD","Period=FQ","BEST_FPERIOD_OVERRIDE=FQ","FILING_STATUS=MR","SCALING_FORMAT=MLN","Sort=A","Dates=H","DateFormat=P","Fill=—","Direction=H","UseDPDF=Y")</f>
        <v>4.4470000000000001</v>
      </c>
      <c r="D26" s="13">
        <f>_xll.BDH("SRPT US Equity","CASH_INT_PAID_EX_OPERATING_LEASE","FQ1 2019","FQ1 2019","Currency=USD","Period=FQ","BEST_FPERIOD_OVERRIDE=FQ","FILING_STATUS=MR","SCALING_FORMAT=MLN","Sort=A","Dates=H","DateFormat=P","Fill=—","Direction=H","UseDPDF=Y")</f>
        <v>0</v>
      </c>
      <c r="E26" s="13">
        <f>_xll.BDH("SRPT US Equity","CASH_INT_PAID_EX_OPERATING_LEASE","FQ2 2019","FQ2 2019","Currency=USD","Period=FQ","BEST_FPERIOD_OVERRIDE=FQ","FILING_STATUS=MR","SCALING_FORMAT=MLN","Sort=A","Dates=H","DateFormat=P","Fill=—","Direction=H","UseDPDF=Y")</f>
        <v>4.2750000000000004</v>
      </c>
      <c r="F26" s="13">
        <f>_xll.BDH("SRPT US Equity","CASH_INT_PAID_EX_OPERATING_LEASE","FQ3 2019","FQ3 2019","Currency=USD","Period=FQ","BEST_FPERIOD_OVERRIDE=FQ","FILING_STATUS=MR","SCALING_FORMAT=MLN","Sort=A","Dates=H","DateFormat=P","Fill=—","Direction=H","UseDPDF=Y")</f>
        <v>0</v>
      </c>
      <c r="G26" s="13">
        <f>_xll.BDH("SRPT US Equity","CASH_INT_PAID_EX_OPERATING_LEASE","FQ4 2019","FQ4 2019","Currency=USD","Period=FQ","BEST_FPERIOD_OVERRIDE=FQ","FILING_STATUS=MR","SCALING_FORMAT=MLN","Sort=A","Dates=H","DateFormat=P","Fill=—","Direction=H","UseDPDF=Y")</f>
        <v>5.2080000000000002</v>
      </c>
      <c r="H26" s="13">
        <f>_xll.BDH("SRPT US Equity","CASH_INT_PAID_EX_OPERATING_LEASE","FQ1 2020","FQ1 2020","Currency=USD","Period=FQ","BEST_FPERIOD_OVERRIDE=FQ","FILING_STATUS=MR","SCALING_FORMAT=MLN","Sort=A","Dates=H","DateFormat=P","Fill=—","Direction=H","UseDPDF=Y")</f>
        <v>5.3849999999999998</v>
      </c>
      <c r="I26" s="13">
        <f>_xll.BDH("SRPT US Equity","CASH_INT_PAID_EX_OPERATING_LEASE","FQ2 2020","FQ2 2020","Currency=USD","Period=FQ","BEST_FPERIOD_OVERRIDE=FQ","FILING_STATUS=MR","SCALING_FORMAT=MLN","Sort=A","Dates=H","DateFormat=P","Fill=—","Direction=H","UseDPDF=Y")</f>
        <v>9.6470000000000002</v>
      </c>
      <c r="J26" s="13">
        <f>_xll.BDH("SRPT US Equity","CASH_INT_PAID_EX_OPERATING_LEASE","FQ3 2020","FQ3 2020","Currency=USD","Period=FQ","BEST_FPERIOD_OVERRIDE=FQ","FILING_STATUS=MR","SCALING_FORMAT=MLN","Sort=A","Dates=H","DateFormat=P","Fill=—","Direction=H","UseDPDF=Y")</f>
        <v>5.43</v>
      </c>
      <c r="K26" s="13">
        <f>_xll.BDH("SRPT US Equity","CASH_INT_PAID_EX_OPERATING_LEASE","FQ4 2020","FQ4 2020","Currency=USD","Period=FQ","BEST_FPERIOD_OVERRIDE=FQ","FILING_STATUS=MR","SCALING_FORMAT=MLN","Sort=A","Dates=H","DateFormat=P","Fill=—","Direction=H","UseDPDF=Y")</f>
        <v>16.466000000000001</v>
      </c>
      <c r="L26" s="13">
        <f>_xll.BDH("SRPT US Equity","CASH_INT_PAID_EX_OPERATING_LEASE","FQ1 2021","FQ1 2021","Currency=USD","Period=FQ","BEST_FPERIOD_OVERRIDE=FQ","FILING_STATUS=MR","SCALING_FORMAT=MLN","Sort=A","Dates=H","DateFormat=P","Fill=—","Direction=H","UseDPDF=Y")</f>
        <v>11.688000000000001</v>
      </c>
      <c r="M26" s="13">
        <f>_xll.BDH("SRPT US Equity","CASH_INT_PAID_EX_OPERATING_LEASE","FQ2 2021","FQ2 2021","Currency=USD","Period=FQ","BEST_FPERIOD_OVERRIDE=FQ","FILING_STATUS=MR","SCALING_FORMAT=MLN","Sort=A","Dates=H","DateFormat=P","Fill=—","Direction=H","UseDPDF=Y")</f>
        <v>16.091999999999999</v>
      </c>
      <c r="N26" s="13">
        <f>_xll.BDH("SRPT US Equity","CASH_INT_PAID_EX_OPERATING_LEASE","FQ3 2021","FQ3 2021","Currency=USD","Period=FQ","BEST_FPERIOD_OVERRIDE=FQ","FILING_STATUS=MR","SCALING_FORMAT=MLN","Sort=A","Dates=H","DateFormat=P","Fill=—","Direction=H","UseDPDF=Y")</f>
        <v>11.946999999999999</v>
      </c>
      <c r="O26" s="13">
        <f>_xll.BDH("SRPT US Equity","CASH_INT_PAID_EX_OPERATING_LEASE","FQ4 2021","FQ4 2021","Currency=USD","Period=FQ","BEST_FPERIOD_OVERRIDE=FQ","FILING_STATUS=MR","SCALING_FORMAT=MLN","Sort=A","Dates=H","DateFormat=P","Fill=—","Direction=H","UseDPDF=Y")</f>
        <v>16.222000000000001</v>
      </c>
      <c r="P26" s="13">
        <f>_xll.BDH("SRPT US Equity","CASH_INT_PAID_EX_OPERATING_LEASE","FQ1 2022","FQ1 2022","Currency=USD","Period=FQ","BEST_FPERIOD_OVERRIDE=FQ","FILING_STATUS=MR","SCALING_FORMAT=MLN","Sort=A","Dates=H","DateFormat=P","Fill=—","Direction=H","UseDPDF=Y")</f>
        <v>11.688000000000001</v>
      </c>
      <c r="Q26" s="13">
        <f>_xll.BDH("SRPT US Equity","CASH_INT_PAID_EX_OPERATING_LEASE","FQ2 2022","FQ2 2022","Currency=USD","Period=FQ","BEST_FPERIOD_OVERRIDE=FQ","FILING_STATUS=MR","SCALING_FORMAT=MLN","Sort=A","Dates=H","DateFormat=P","Fill=—","Direction=H","UseDPDF=Y")</f>
        <v>16.091999999999999</v>
      </c>
      <c r="R26" s="13">
        <f>_xll.BDH("SRPT US Equity","CASH_INT_PAID_EX_OPERATING_LEASE","FQ3 2022","FQ3 2022","Currency=USD","Period=FQ","BEST_FPERIOD_OVERRIDE=FQ","FILING_STATUS=MR","SCALING_FORMAT=MLN","Sort=A","Dates=H","DateFormat=P","Fill=—","Direction=H","UseDPDF=Y")</f>
        <v>13.493</v>
      </c>
      <c r="S26" s="13">
        <f>_xll.BDH("SRPT US Equity","CASH_INT_PAID_EX_OPERATING_LEASE","FQ4 2022","FQ4 2022","Currency=USD","Period=FQ","BEST_FPERIOD_OVERRIDE=FQ","FILING_STATUS=MR","SCALING_FORMAT=MLN","Sort=A","Dates=H","DateFormat=P","Fill=—","Direction=H","UseDPDF=Y")</f>
        <v>3.145</v>
      </c>
      <c r="T26" s="13">
        <f>_xll.BDH("SRPT US Equity","CASH_INT_PAID_EX_OPERATING_LEASE","FQ1 2023","FQ1 2023","Currency=USD","Period=FQ","BEST_FPERIOD_OVERRIDE=FQ","FILING_STATUS=MR","SCALING_FORMAT=MLN","Sort=A","Dates=H","DateFormat=P","Fill=—","Direction=H","UseDPDF=Y")</f>
        <v>7.0229999999999997</v>
      </c>
      <c r="U26" s="13">
        <f>_xll.BDH("SRPT US Equity","CASH_INT_PAID_EX_OPERATING_LEASE","FQ2 2023","FQ2 2023","Currency=USD","Period=FQ","BEST_FPERIOD_OVERRIDE=FQ","FILING_STATUS=MR","SCALING_FORMAT=MLN","Sort=A","Dates=H","DateFormat=P","Fill=—","Direction=H","UseDPDF=Y")</f>
        <v>0.79400000000000004</v>
      </c>
      <c r="V26" s="13">
        <f>_xll.BDH("SRPT US Equity","CASH_INT_PAID_EX_OPERATING_LEASE","FQ3 2023","FQ3 2023","Currency=USD","Period=FQ","BEST_FPERIOD_OVERRIDE=FQ","FILING_STATUS=MR","SCALING_FORMAT=MLN","Sort=A","Dates=H","DateFormat=P","Fill=—","Direction=H","UseDPDF=Y")</f>
        <v>7.3120000000000003</v>
      </c>
      <c r="W26" s="13">
        <f>_xll.BDH("SRPT US Equity","CASH_INT_PAID_EX_OPERATING_LEASE","FQ4 2023","FQ4 2023","Currency=USD","Period=FQ","BEST_FPERIOD_OVERRIDE=FQ","FILING_STATUS=MR","SCALING_FORMAT=MLN","Sort=A","Dates=H","DateFormat=P","Fill=—","Direction=H","UseDPDF=Y")</f>
        <v>0.79400000000000004</v>
      </c>
      <c r="X26" s="13">
        <f>_xll.BDH("SRPT US Equity","CASH_INT_PAID_EX_OPERATING_LEASE","FQ1 2024","FQ1 2024","Currency=USD","Period=FQ","BEST_FPERIOD_OVERRIDE=FQ","FILING_STATUS=MR","SCALING_FORMAT=MLN","Sort=A","Dates=H","DateFormat=P","Fill=—","Direction=H","UseDPDF=Y")</f>
        <v>7.1879999999999997</v>
      </c>
      <c r="Y26" s="13">
        <f>_xll.BDH("SRPT US Equity","CASH_INT_PAID_EX_OPERATING_LEASE","FQ2 2024","FQ2 2024","Currency=USD","Period=FQ","BEST_FPERIOD_OVERRIDE=FQ","FILING_STATUS=MR","SCALING_FORMAT=MLN","Sort=A","Dates=H","DateFormat=P","Fill=—","Direction=H","UseDPDF=Y")</f>
        <v>0.79300000000000004</v>
      </c>
      <c r="Z26" s="13">
        <f>_xll.BDH("SRPT US Equity","CASH_INT_PAID_EX_OPERATING_LEASE","FQ3 2024","FQ3 2024","Currency=USD","Period=FQ","BEST_FPERIOD_OVERRIDE=FQ","FILING_STATUS=MR","SCALING_FORMAT=MLN","Sort=A","Dates=H","DateFormat=P","Fill=—","Direction=H","UseDPDF=Y")</f>
        <v>7.1879999999999997</v>
      </c>
      <c r="AA26" s="13">
        <f>_xll.BDH("SRPT US Equity","CASH_INT_PAID_EX_OPERATING_LEASE","FQ4 2024","FQ4 2024","Currency=USD","Period=FQ","BEST_FPERIOD_OVERRIDE=FQ","FILING_STATUS=MR","SCALING_FORMAT=MLN","Sort=A","Dates=H","DateFormat=P","Fill=—","Direction=H","UseDPDF=Y")</f>
        <v>0.68700000000000006</v>
      </c>
    </row>
    <row r="27" spans="1:27" x14ac:dyDescent="0.25">
      <c r="A27" s="10" t="s">
        <v>504</v>
      </c>
      <c r="B27" s="10" t="s">
        <v>1521</v>
      </c>
      <c r="C27" s="13" t="str">
        <f>_xll.BDH("SRPT US Equity","INT_EXPN_AFTER_OPERATING_LEA_ACT","FQ4 2018","FQ4 2018","Currency=USD","Period=FQ","BEST_FPERIOD_OVERRIDE=FQ","FILING_STATUS=MR","SCALING_FORMAT=MLN","FA_ADJUSTED=GAAP","Sort=A","Dates=H","DateFormat=P","Fill=—","Direction=H","UseDPDF=Y")</f>
        <v>—</v>
      </c>
      <c r="D27" s="13" t="str">
        <f>_xll.BDH("SRPT US Equity","INT_EXPN_AFTER_OPERATING_LEA_ACT","FQ1 2019","FQ1 2019","Currency=USD","Period=FQ","BEST_FPERIOD_OVERRIDE=FQ","FILING_STATUS=MR","SCALING_FORMAT=MLN","FA_ADJUSTED=GAAP","Sort=A","Dates=H","DateFormat=P","Fill=—","Direction=H","UseDPDF=Y")</f>
        <v>—</v>
      </c>
      <c r="E27" s="13" t="str">
        <f>_xll.BDH("SRPT US Equity","INT_EXPN_AFTER_OPERATING_LEA_ACT","FQ2 2019","FQ2 2019","Currency=USD","Period=FQ","BEST_FPERIOD_OVERRIDE=FQ","FILING_STATUS=MR","SCALING_FORMAT=MLN","FA_ADJUSTED=GAAP","Sort=A","Dates=H","DateFormat=P","Fill=—","Direction=H","UseDPDF=Y")</f>
        <v>—</v>
      </c>
      <c r="F27" s="13">
        <f>_xll.BDH("SRPT US Equity","INT_EXPN_AFTER_OPERATING_LEA_ACT","FQ3 2019","FQ3 2019","Currency=USD","Period=FQ","BEST_FPERIOD_OVERRIDE=FQ","FILING_STATUS=MR","SCALING_FORMAT=MLN","FA_ADJUSTED=GAAP","Sort=A","Dates=H","DateFormat=P","Fill=—","Direction=H","UseDPDF=Y")</f>
        <v>3.4289999999999998</v>
      </c>
      <c r="G27" s="13">
        <f>_xll.BDH("SRPT US Equity","INT_EXPN_AFTER_OPERATING_LEA_ACT","FQ4 2019","FQ4 2019","Currency=USD","Period=FQ","BEST_FPERIOD_OVERRIDE=FQ","FILING_STATUS=MR","SCALING_FORMAT=MLN","FA_ADJUSTED=GAAP","Sort=A","Dates=H","DateFormat=P","Fill=—","Direction=H","UseDPDF=Y")</f>
        <v>6.0419999999999998</v>
      </c>
      <c r="H27" s="13">
        <f>_xll.BDH("SRPT US Equity","INT_EXPN_AFTER_OPERATING_LEA_ACT","FQ1 2020","FQ1 2020","Currency=USD","Period=FQ","BEST_FPERIOD_OVERRIDE=FQ","FILING_STATUS=MR","SCALING_FORMAT=MLN","FA_ADJUSTED=GAAP","Sort=A","Dates=H","DateFormat=P","Fill=—","Direction=H","UseDPDF=Y")</f>
        <v>10.651</v>
      </c>
      <c r="I27" s="13">
        <f>_xll.BDH("SRPT US Equity","INT_EXPN_AFTER_OPERATING_LEA_ACT","FQ2 2020","FQ2 2020","Currency=USD","Period=FQ","BEST_FPERIOD_OVERRIDE=FQ","FILING_STATUS=MR","SCALING_FORMAT=MLN","FA_ADJUSTED=GAAP","Sort=A","Dates=H","DateFormat=P","Fill=—","Direction=H","UseDPDF=Y")</f>
        <v>12.714</v>
      </c>
      <c r="J27" s="13">
        <f>_xll.BDH("SRPT US Equity","INT_EXPN_AFTER_OPERATING_LEA_ACT","FQ3 2020","FQ3 2020","Currency=USD","Period=FQ","BEST_FPERIOD_OVERRIDE=FQ","FILING_STATUS=MR","SCALING_FORMAT=MLN","FA_ADJUSTED=GAAP","Sort=A","Dates=H","DateFormat=P","Fill=—","Direction=H","UseDPDF=Y")</f>
        <v>13.576000000000001</v>
      </c>
      <c r="K27" s="13">
        <f>_xll.BDH("SRPT US Equity","INT_EXPN_AFTER_OPERATING_LEA_ACT","FQ4 2020","FQ4 2020","Currency=USD","Period=FQ","BEST_FPERIOD_OVERRIDE=FQ","FILING_STATUS=MR","SCALING_FORMAT=MLN","FA_ADJUSTED=GAAP","Sort=A","Dates=H","DateFormat=P","Fill=—","Direction=H","UseDPDF=Y")</f>
        <v>18.516999999999999</v>
      </c>
      <c r="L27" s="13">
        <f>_xll.BDH("SRPT US Equity","INT_EXPN_AFTER_OPERATING_LEA_ACT","FQ1 2021","FQ1 2021","Currency=USD","Period=FQ","BEST_FPERIOD_OVERRIDE=FQ","FILING_STATUS=MR","SCALING_FORMAT=MLN","FA_ADJUSTED=GAAP","Sort=A","Dates=H","DateFormat=P","Fill=—","Direction=H","UseDPDF=Y")</f>
        <v>15.515000000000001</v>
      </c>
      <c r="M27" s="13">
        <f>_xll.BDH("SRPT US Equity","INT_EXPN_AFTER_OPERATING_LEA_ACT","FQ2 2021","FQ2 2021","Currency=USD","Period=FQ","BEST_FPERIOD_OVERRIDE=FQ","FILING_STATUS=MR","SCALING_FORMAT=MLN","FA_ADJUSTED=GAAP","Sort=A","Dates=H","DateFormat=P","Fill=—","Direction=H","UseDPDF=Y")</f>
        <v>15.81</v>
      </c>
      <c r="N27" s="13">
        <f>_xll.BDH("SRPT US Equity","INT_EXPN_AFTER_OPERATING_LEA_ACT","FQ3 2021","FQ3 2021","Currency=USD","Period=FQ","BEST_FPERIOD_OVERRIDE=FQ","FILING_STATUS=MR","SCALING_FORMAT=MLN","FA_ADJUSTED=GAAP","Sort=A","Dates=H","DateFormat=P","Fill=—","Direction=H","UseDPDF=Y")</f>
        <v>15.994999999999999</v>
      </c>
      <c r="O27" s="13">
        <f>_xll.BDH("SRPT US Equity","INT_EXPN_AFTER_OPERATING_LEA_ACT","FQ4 2021","FQ4 2021","Currency=USD","Period=FQ","BEST_FPERIOD_OVERRIDE=FQ","FILING_STATUS=MR","SCALING_FORMAT=MLN","FA_ADJUSTED=GAAP","Sort=A","Dates=H","DateFormat=P","Fill=—","Direction=H","UseDPDF=Y")</f>
        <v>16.047999999999998</v>
      </c>
      <c r="P27" s="13">
        <f>_xll.BDH("SRPT US Equity","INT_EXPN_AFTER_OPERATING_LEA_ACT","FQ1 2022","FQ1 2022","Currency=USD","Period=FQ","BEST_FPERIOD_OVERRIDE=FQ","FILING_STATUS=MR","SCALING_FORMAT=MLN","FA_ADJUSTED=GAAP","Sort=A","Dates=H","DateFormat=P","Fill=—","Direction=H","UseDPDF=Y")</f>
        <v>15.795999999999999</v>
      </c>
      <c r="Q27" s="13">
        <f>_xll.BDH("SRPT US Equity","INT_EXPN_AFTER_OPERATING_LEA_ACT","FQ2 2022","FQ2 2022","Currency=USD","Period=FQ","BEST_FPERIOD_OVERRIDE=FQ","FILING_STATUS=MR","SCALING_FORMAT=MLN","FA_ADJUSTED=GAAP","Sort=A","Dates=H","DateFormat=P","Fill=—","Direction=H","UseDPDF=Y")</f>
        <v>14.696999999999999</v>
      </c>
      <c r="R27" s="13">
        <f>_xll.BDH("SRPT US Equity","INT_EXPN_AFTER_OPERATING_LEA_ACT","FQ3 2022","FQ3 2022","Currency=USD","Period=FQ","BEST_FPERIOD_OVERRIDE=FQ","FILING_STATUS=MR","SCALING_FORMAT=MLN","FA_ADJUSTED=GAAP","Sort=A","Dates=H","DateFormat=P","Fill=—","Direction=H","UseDPDF=Y")</f>
        <v>11.301</v>
      </c>
      <c r="S27" s="13">
        <f>_xll.BDH("SRPT US Equity","INT_EXPN_AFTER_OPERATING_LEA_ACT","FQ4 2022","FQ4 2022","Currency=USD","Period=FQ","BEST_FPERIOD_OVERRIDE=FQ","FILING_STATUS=MR","SCALING_FORMAT=MLN","FA_ADJUSTED=GAAP","Sort=A","Dates=H","DateFormat=P","Fill=—","Direction=H","UseDPDF=Y")</f>
        <v>0.26100000000000001</v>
      </c>
      <c r="T27" s="13">
        <f>_xll.BDH("SRPT US Equity","INT_EXPN_AFTER_OPERATING_LEA_ACT","FQ1 2023","FQ1 2023","Currency=USD","Period=FQ","BEST_FPERIOD_OVERRIDE=FQ","FILING_STATUS=MR","SCALING_FORMAT=MLN","FA_ADJUSTED=GAAP","Sort=A","Dates=H","DateFormat=P","Fill=—","Direction=H","UseDPDF=Y")</f>
        <v>6.3230000000000004</v>
      </c>
      <c r="U27" s="13">
        <f>_xll.BDH("SRPT US Equity","INT_EXPN_AFTER_OPERATING_LEA_ACT","FQ2 2023","FQ2 2023","Currency=USD","Period=FQ","BEST_FPERIOD_OVERRIDE=FQ","FILING_STATUS=MR","SCALING_FORMAT=MLN","FA_ADJUSTED=GAAP","Sort=A","Dates=H","DateFormat=P","Fill=—","Direction=H","UseDPDF=Y")</f>
        <v>5.2240000000000002</v>
      </c>
      <c r="V27" s="13">
        <f>_xll.BDH("SRPT US Equity","INT_EXPN_AFTER_OPERATING_LEA_ACT","FQ3 2023","FQ3 2023","Currency=USD","Period=FQ","BEST_FPERIOD_OVERRIDE=FQ","FILING_STATUS=MR","SCALING_FORMAT=MLN","FA_ADJUSTED=GAAP","Sort=A","Dates=H","DateFormat=P","Fill=—","Direction=H","UseDPDF=Y")</f>
        <v>5.2290000000000001</v>
      </c>
      <c r="W27" s="13">
        <f>_xll.BDH("SRPT US Equity","INT_EXPN_AFTER_OPERATING_LEA_ACT","FQ4 2023","FQ4 2023","Currency=USD","Period=FQ","BEST_FPERIOD_OVERRIDE=FQ","FILING_STATUS=MR","SCALING_FORMAT=MLN","FA_ADJUSTED=GAAP","Sort=A","Dates=H","DateFormat=P","Fill=—","Direction=H","UseDPDF=Y")</f>
        <v>5.234</v>
      </c>
      <c r="X27" s="13">
        <f>_xll.BDH("SRPT US Equity","INT_EXPN_AFTER_OPERATING_LEA_ACT","FQ1 2024","FQ1 2024","Currency=USD","Period=FQ","BEST_FPERIOD_OVERRIDE=FQ","FILING_STATUS=MR","SCALING_FORMAT=MLN","FA_ADJUSTED=GAAP","Sort=A","Dates=H","DateFormat=P","Fill=—","Direction=H","UseDPDF=Y")</f>
        <v>4.1660000000000004</v>
      </c>
      <c r="Y27" s="13">
        <f>_xll.BDH("SRPT US Equity","INT_EXPN_AFTER_OPERATING_LEA_ACT","FQ2 2024","FQ2 2024","Currency=USD","Period=FQ","BEST_FPERIOD_OVERRIDE=FQ","FILING_STATUS=MR","SCALING_FORMAT=MLN","FA_ADJUSTED=GAAP","Sort=A","Dates=H","DateFormat=P","Fill=—","Direction=H","UseDPDF=Y")</f>
        <v>4.8319999999999999</v>
      </c>
      <c r="Z27" s="13">
        <f>_xll.BDH("SRPT US Equity","INT_EXPN_AFTER_OPERATING_LEA_ACT","FQ3 2024","FQ3 2024","Currency=USD","Period=FQ","BEST_FPERIOD_OVERRIDE=FQ","FILING_STATUS=MR","SCALING_FORMAT=MLN","FA_ADJUSTED=GAAP","Sort=A","Dates=H","DateFormat=P","Fill=—","Direction=H","UseDPDF=Y")</f>
        <v>4.9180000000000001</v>
      </c>
      <c r="AA27" s="13">
        <f>_xll.BDH("SRPT US Equity","INT_EXPN_AFTER_OPERATING_LEA_ACT","FQ4 2024","FQ4 2024","Currency=USD","Period=FQ","BEST_FPERIOD_OVERRIDE=FQ","FILING_STATUS=MR","SCALING_FORMAT=MLN","FA_ADJUSTED=GAAP","Sort=A","Dates=H","DateFormat=P","Fill=—","Direction=H","UseDPDF=Y")</f>
        <v>4.4749999999999996</v>
      </c>
    </row>
    <row r="28" spans="1:27" x14ac:dyDescent="0.25">
      <c r="A28" s="10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25">
      <c r="A29" s="10" t="s">
        <v>1489</v>
      </c>
      <c r="B29" s="10" t="s">
        <v>1522</v>
      </c>
      <c r="C29" s="14">
        <f>_xll.BDH("SRPT US Equity","CE_TO_TOT_AST_LESS_OPER_LEA_AST","FQ4 2018","FQ4 2018","Currency=USD","Period=FQ","BEST_FPERIOD_OVERRIDE=FQ","FILING_STATUS=MR","Sort=A","Dates=H","DateFormat=P","Fill=—","Direction=H","UseDPDF=Y")</f>
        <v>62.864100000000001</v>
      </c>
      <c r="D29" s="14">
        <f>_xll.BDH("SRPT US Equity","CE_TO_TOT_AST_LESS_OPER_LEA_AST","FQ1 2019","FQ1 2019","Currency=USD","Period=FQ","BEST_FPERIOD_OVERRIDE=FQ","FILING_STATUS=MR","Sort=A","Dates=H","DateFormat=P","Fill=—","Direction=H","UseDPDF=Y")</f>
        <v>70.135499999999993</v>
      </c>
      <c r="E29" s="14">
        <f>_xll.BDH("SRPT US Equity","CE_TO_TOT_AST_LESS_OPER_LEA_AST","FQ2 2019","FQ2 2019","Currency=USD","Period=FQ","BEST_FPERIOD_OVERRIDE=FQ","FILING_STATUS=MR","Sort=A","Dates=H","DateFormat=P","Fill=—","Direction=H","UseDPDF=Y")</f>
        <v>64.342600000000004</v>
      </c>
      <c r="F29" s="14">
        <f>_xll.BDH("SRPT US Equity","CE_TO_TOT_AST_LESS_OPER_LEA_AST","FQ3 2019","FQ3 2019","Currency=USD","Period=FQ","BEST_FPERIOD_OVERRIDE=FQ","FILING_STATUS=MR","Sort=A","Dates=H","DateFormat=P","Fill=—","Direction=H","UseDPDF=Y")</f>
        <v>59.844700000000003</v>
      </c>
      <c r="G29" s="14">
        <f>_xll.BDH("SRPT US Equity","CE_TO_TOT_AST_LESS_OPER_LEA_AST","FQ4 2019","FQ4 2019","Currency=USD","Period=FQ","BEST_FPERIOD_OVERRIDE=FQ","FILING_STATUS=MR","Sort=A","Dates=H","DateFormat=P","Fill=—","Direction=H","UseDPDF=Y")</f>
        <v>45.839700000000001</v>
      </c>
      <c r="H29" s="14">
        <f>_xll.BDH("SRPT US Equity","CE_TO_TOT_AST_LESS_OPER_LEA_AST","FQ1 2020","FQ1 2020","Currency=USD","Period=FQ","BEST_FPERIOD_OVERRIDE=FQ","FILING_STATUS=MR","Sort=A","Dates=H","DateFormat=P","Fill=—","Direction=H","UseDPDF=Y")</f>
        <v>39.691800000000001</v>
      </c>
      <c r="I29" s="14">
        <f>_xll.BDH("SRPT US Equity","CE_TO_TOT_AST_LESS_OPER_LEA_AST","FQ2 2020","FQ2 2020","Currency=USD","Period=FQ","BEST_FPERIOD_OVERRIDE=FQ","FILING_STATUS=MR","Sort=A","Dates=H","DateFormat=P","Fill=—","Direction=H","UseDPDF=Y")</f>
        <v>37.127899999999997</v>
      </c>
      <c r="J29" s="14">
        <f>_xll.BDH("SRPT US Equity","CE_TO_TOT_AST_LESS_OPER_LEA_AST","FQ3 2020","FQ3 2020","Currency=USD","Period=FQ","BEST_FPERIOD_OVERRIDE=FQ","FILING_STATUS=MR","Sort=A","Dates=H","DateFormat=P","Fill=—","Direction=H","UseDPDF=Y")</f>
        <v>32.921999999999997</v>
      </c>
      <c r="K29" s="14">
        <f>_xll.BDH("SRPT US Equity","CE_TO_TOT_AST_LESS_OPER_LEA_AST","FQ4 2020","FQ4 2020","Currency=USD","Period=FQ","BEST_FPERIOD_OVERRIDE=FQ","FILING_STATUS=MR","Sort=A","Dates=H","DateFormat=P","Fill=—","Direction=H","UseDPDF=Y")</f>
        <v>26.331499999999998</v>
      </c>
      <c r="L29" s="14">
        <f>_xll.BDH("SRPT US Equity","CE_TO_TOT_AST_LESS_OPER_LEA_AST","FQ1 2021","FQ1 2021","Currency=USD","Period=FQ","BEST_FPERIOD_OVERRIDE=FQ","FILING_STATUS=MR","Sort=A","Dates=H","DateFormat=P","Fill=—","Direction=H","UseDPDF=Y")</f>
        <v>19.830100000000002</v>
      </c>
      <c r="M29" s="14">
        <f>_xll.BDH("SRPT US Equity","CE_TO_TOT_AST_LESS_OPER_LEA_AST","FQ2 2021","FQ2 2021","Currency=USD","Period=FQ","BEST_FPERIOD_OVERRIDE=FQ","FILING_STATUS=MR","Sort=A","Dates=H","DateFormat=P","Fill=—","Direction=H","UseDPDF=Y")</f>
        <v>18.059200000000001</v>
      </c>
      <c r="N29" s="14">
        <f>_xll.BDH("SRPT US Equity","CE_TO_TOT_AST_LESS_OPER_LEA_AST","FQ3 2021","FQ3 2021","Currency=USD","Period=FQ","BEST_FPERIOD_OVERRIDE=FQ","FILING_STATUS=MR","Sort=A","Dates=H","DateFormat=P","Fill=—","Direction=H","UseDPDF=Y")</f>
        <v>18.131599999999999</v>
      </c>
      <c r="O29" s="14">
        <f>_xll.BDH("SRPT US Equity","CE_TO_TOT_AST_LESS_OPER_LEA_AST","FQ4 2021","FQ4 2021","Currency=USD","Period=FQ","BEST_FPERIOD_OVERRIDE=FQ","FILING_STATUS=MR","Sort=A","Dates=H","DateFormat=P","Fill=—","Direction=H","UseDPDF=Y")</f>
        <v>29.912199999999999</v>
      </c>
      <c r="P29" s="14">
        <f>_xll.BDH("SRPT US Equity","CE_TO_TOT_AST_LESS_OPER_LEA_AST","FQ1 2022","FQ1 2022","Currency=USD","Period=FQ","BEST_FPERIOD_OVERRIDE=FQ","FILING_STATUS=MR","Sort=A","Dates=H","DateFormat=P","Fill=—","Direction=H","UseDPDF=Y")</f>
        <v>28.4663</v>
      </c>
      <c r="Q29" s="14">
        <f>_xll.BDH("SRPT US Equity","CE_TO_TOT_AST_LESS_OPER_LEA_AST","FQ2 2022","FQ2 2022","Currency=USD","Period=FQ","BEST_FPERIOD_OVERRIDE=FQ","FILING_STATUS=MR","Sort=A","Dates=H","DateFormat=P","Fill=—","Direction=H","UseDPDF=Y")</f>
        <v>24.626899999999999</v>
      </c>
      <c r="R29" s="14">
        <f>_xll.BDH("SRPT US Equity","CE_TO_TOT_AST_LESS_OPER_LEA_AST","FQ3 2022","FQ3 2022","Currency=USD","Period=FQ","BEST_FPERIOD_OVERRIDE=FQ","FILING_STATUS=MR","Sort=A","Dates=H","DateFormat=P","Fill=—","Direction=H","UseDPDF=Y")</f>
        <v>13.839499999999999</v>
      </c>
      <c r="S29" s="14">
        <f>_xll.BDH("SRPT US Equity","CE_TO_TOT_AST_LESS_OPER_LEA_AST","FQ4 2022","FQ4 2022","Currency=USD","Period=FQ","BEST_FPERIOD_OVERRIDE=FQ","FILING_STATUS=MR","Sort=A","Dates=H","DateFormat=P","Fill=—","Direction=H","UseDPDF=Y")</f>
        <v>12.5661</v>
      </c>
      <c r="T29" s="14">
        <f>_xll.BDH("SRPT US Equity","CE_TO_TOT_AST_LESS_OPER_LEA_AST","FQ1 2023","FQ1 2023","Currency=USD","Period=FQ","BEST_FPERIOD_OVERRIDE=FQ","FILING_STATUS=MR","Sort=A","Dates=H","DateFormat=P","Fill=—","Direction=H","UseDPDF=Y")</f>
        <v>23.776</v>
      </c>
      <c r="U29" s="14">
        <f>_xll.BDH("SRPT US Equity","CE_TO_TOT_AST_LESS_OPER_LEA_AST","FQ2 2023","FQ2 2023","Currency=USD","Period=FQ","BEST_FPERIOD_OVERRIDE=FQ","FILING_STATUS=MR","Sort=A","Dates=H","DateFormat=P","Fill=—","Direction=H","UseDPDF=Y")</f>
        <v>24.7867</v>
      </c>
      <c r="V29" s="14">
        <f>_xll.BDH("SRPT US Equity","CE_TO_TOT_AST_LESS_OPER_LEA_AST","FQ3 2023","FQ3 2023","Currency=USD","Period=FQ","BEST_FPERIOD_OVERRIDE=FQ","FILING_STATUS=MR","Sort=A","Dates=H","DateFormat=P","Fill=—","Direction=H","UseDPDF=Y")</f>
        <v>25.681899999999999</v>
      </c>
      <c r="W29" s="14">
        <f>_xll.BDH("SRPT US Equity","CE_TO_TOT_AST_LESS_OPER_LEA_AST","FQ4 2023","FQ4 2023","Currency=USD","Period=FQ","BEST_FPERIOD_OVERRIDE=FQ","FILING_STATUS=MR","Sort=A","Dates=H","DateFormat=P","Fill=—","Direction=H","UseDPDF=Y")</f>
        <v>27.414400000000001</v>
      </c>
      <c r="X29" s="14">
        <f>_xll.BDH("SRPT US Equity","CE_TO_TOT_AST_LESS_OPER_LEA_AST","FQ1 2024","FQ1 2024","Currency=USD","Period=FQ","BEST_FPERIOD_OVERRIDE=FQ","FILING_STATUS=MR","Sort=A","Dates=H","DateFormat=P","Fill=—","Direction=H","UseDPDF=Y")</f>
        <v>31.024999999999999</v>
      </c>
      <c r="Y29" s="14">
        <f>_xll.BDH("SRPT US Equity","CE_TO_TOT_AST_LESS_OPER_LEA_AST","FQ2 2024","FQ2 2024","Currency=USD","Period=FQ","BEST_FPERIOD_OVERRIDE=FQ","FILING_STATUS=MR","Sort=A","Dates=H","DateFormat=P","Fill=—","Direction=H","UseDPDF=Y")</f>
        <v>32.635899999999999</v>
      </c>
      <c r="Z29" s="14">
        <f>_xll.BDH("SRPT US Equity","CE_TO_TOT_AST_LESS_OPER_LEA_AST","FQ3 2024","FQ3 2024","Currency=USD","Period=FQ","BEST_FPERIOD_OVERRIDE=FQ","FILING_STATUS=MR","Sort=A","Dates=H","DateFormat=P","Fill=—","Direction=H","UseDPDF=Y")</f>
        <v>35.300899999999999</v>
      </c>
      <c r="AA29" s="14">
        <f>_xll.BDH("SRPT US Equity","CE_TO_TOT_AST_LESS_OPER_LEA_AST","FQ4 2024","FQ4 2024","Currency=USD","Period=FQ","BEST_FPERIOD_OVERRIDE=FQ","FILING_STATUS=MR","Sort=A","Dates=H","DateFormat=P","Fill=—","Direction=H","UseDPDF=Y")</f>
        <v>40.0471</v>
      </c>
    </row>
    <row r="30" spans="1:27" x14ac:dyDescent="0.25">
      <c r="A30" s="10" t="s">
        <v>1491</v>
      </c>
      <c r="B30" s="10" t="s">
        <v>1523</v>
      </c>
      <c r="C30" s="14">
        <f>_xll.BDH("SRPT US Equity","LT_DBT_EX_OPER_LEA_LIABS_TO_EQTY","FQ4 2018","FQ4 2018","Currency=USD","Period=FQ","BEST_FPERIOD_OVERRIDE=FQ","FILING_STATUS=MR","Sort=A","Dates=H","DateFormat=P","Fill=—","Direction=H","UseDPDF=Y")</f>
        <v>40.740499999999997</v>
      </c>
      <c r="D30" s="14">
        <f>_xll.BDH("SRPT US Equity","LT_DBT_EX_OPER_LEA_LIABS_TO_EQTY","FQ1 2019","FQ1 2019","Currency=USD","Period=FQ","BEST_FPERIOD_OVERRIDE=FQ","FILING_STATUS=MR","Sort=A","Dates=H","DateFormat=P","Fill=—","Direction=H","UseDPDF=Y")</f>
        <v>31.570799999999998</v>
      </c>
      <c r="E30" s="14">
        <f>_xll.BDH("SRPT US Equity","LT_DBT_EX_OPER_LEA_LIABS_TO_EQTY","FQ2 2019","FQ2 2019","Currency=USD","Period=FQ","BEST_FPERIOD_OVERRIDE=FQ","FILING_STATUS=MR","Sort=A","Dates=H","DateFormat=P","Fill=—","Direction=H","UseDPDF=Y")</f>
        <v>39.215200000000003</v>
      </c>
      <c r="F30" s="14">
        <f>_xll.BDH("SRPT US Equity","LT_DBT_EX_OPER_LEA_LIABS_TO_EQTY","FQ3 2019","FQ3 2019","Currency=USD","Period=FQ","BEST_FPERIOD_OVERRIDE=FQ","FILING_STATUS=MR","Sort=A","Dates=H","DateFormat=P","Fill=—","Direction=H","UseDPDF=Y")</f>
        <v>43.852400000000003</v>
      </c>
      <c r="G30" s="14">
        <f>_xll.BDH("SRPT US Equity","LT_DBT_EX_OPER_LEA_LIABS_TO_EQTY","FQ4 2019","FQ4 2019","Currency=USD","Period=FQ","BEST_FPERIOD_OVERRIDE=FQ","FILING_STATUS=MR","Sort=A","Dates=H","DateFormat=P","Fill=—","Direction=H","UseDPDF=Y")</f>
        <v>83.342799999999997</v>
      </c>
      <c r="H30" s="14">
        <f>_xll.BDH("SRPT US Equity","LT_DBT_EX_OPER_LEA_LIABS_TO_EQTY","FQ1 2020","FQ1 2020","Currency=USD","Period=FQ","BEST_FPERIOD_OVERRIDE=FQ","FILING_STATUS=MR","Sort=A","Dates=H","DateFormat=P","Fill=—","Direction=H","UseDPDF=Y")</f>
        <v>60.092300000000002</v>
      </c>
      <c r="I30" s="14">
        <f>_xll.BDH("SRPT US Equity","LT_DBT_EX_OPER_LEA_LIABS_TO_EQTY","FQ2 2020","FQ2 2020","Currency=USD","Period=FQ","BEST_FPERIOD_OVERRIDE=FQ","FILING_STATUS=MR","Sort=A","Dates=H","DateFormat=P","Fill=—","Direction=H","UseDPDF=Y")</f>
        <v>66.562299999999993</v>
      </c>
      <c r="J30" s="14">
        <f>_xll.BDH("SRPT US Equity","LT_DBT_EX_OPER_LEA_LIABS_TO_EQTY","FQ3 2020","FQ3 2020","Currency=USD","Period=FQ","BEST_FPERIOD_OVERRIDE=FQ","FILING_STATUS=MR","Sort=A","Dates=H","DateFormat=P","Fill=—","Direction=H","UseDPDF=Y")</f>
        <v>78.523899999999998</v>
      </c>
      <c r="K30" s="14">
        <f>_xll.BDH("SRPT US Equity","LT_DBT_EX_OPER_LEA_LIABS_TO_EQTY","FQ4 2020","FQ4 2020","Currency=USD","Period=FQ","BEST_FPERIOD_OVERRIDE=FQ","FILING_STATUS=MR","Sort=A","Dates=H","DateFormat=P","Fill=—","Direction=H","UseDPDF=Y")</f>
        <v>130.28960000000001</v>
      </c>
      <c r="L30" s="14">
        <f>_xll.BDH("SRPT US Equity","LT_DBT_EX_OPER_LEA_LIABS_TO_EQTY","FQ1 2021","FQ1 2021","Currency=USD","Period=FQ","BEST_FPERIOD_OVERRIDE=FQ","FILING_STATUS=MR","Sort=A","Dates=H","DateFormat=P","Fill=—","Direction=H","UseDPDF=Y")</f>
        <v>203.77629999999999</v>
      </c>
      <c r="M30" s="14">
        <f>_xll.BDH("SRPT US Equity","LT_DBT_EX_OPER_LEA_LIABS_TO_EQTY","FQ2 2021","FQ2 2021","Currency=USD","Period=FQ","BEST_FPERIOD_OVERRIDE=FQ","FILING_STATUS=MR","Sort=A","Dates=H","DateFormat=P","Fill=—","Direction=H","UseDPDF=Y")</f>
        <v>225.30760000000001</v>
      </c>
      <c r="N30" s="14">
        <f>_xll.BDH("SRPT US Equity","LT_DBT_EX_OPER_LEA_LIABS_TO_EQTY","FQ3 2021","FQ3 2021","Currency=USD","Period=FQ","BEST_FPERIOD_OVERRIDE=FQ","FILING_STATUS=MR","Sort=A","Dates=H","DateFormat=P","Fill=—","Direction=H","UseDPDF=Y")</f>
        <v>233.1942</v>
      </c>
      <c r="O30" s="14">
        <f>_xll.BDH("SRPT US Equity","LT_DBT_EX_OPER_LEA_LIABS_TO_EQTY","FQ4 2021","FQ4 2021","Currency=USD","Period=FQ","BEST_FPERIOD_OVERRIDE=FQ","FILING_STATUS=MR","Sort=A","Dates=H","DateFormat=P","Fill=—","Direction=H","UseDPDF=Y")</f>
        <v>118.19670000000001</v>
      </c>
      <c r="P30" s="14">
        <f>_xll.BDH("SRPT US Equity","LT_DBT_EX_OPER_LEA_LIABS_TO_EQTY","FQ1 2022","FQ1 2022","Currency=USD","Period=FQ","BEST_FPERIOD_OVERRIDE=FQ","FILING_STATUS=MR","Sort=A","Dates=H","DateFormat=P","Fill=—","Direction=H","UseDPDF=Y")</f>
        <v>128.2372</v>
      </c>
      <c r="Q30" s="14">
        <f>_xll.BDH("SRPT US Equity","LT_DBT_EX_OPER_LEA_LIABS_TO_EQTY","FQ2 2022","FQ2 2022","Currency=USD","Period=FQ","BEST_FPERIOD_OVERRIDE=FQ","FILING_STATUS=MR","Sort=A","Dates=H","DateFormat=P","Fill=—","Direction=H","UseDPDF=Y")</f>
        <v>151.54</v>
      </c>
      <c r="R30" s="14">
        <f>_xll.BDH("SRPT US Equity","LT_DBT_EX_OPER_LEA_LIABS_TO_EQTY","FQ3 2022","FQ3 2022","Currency=USD","Period=FQ","BEST_FPERIOD_OVERRIDE=FQ","FILING_STATUS=MR","Sort=A","Dates=H","DateFormat=P","Fill=—","Direction=H","UseDPDF=Y")</f>
        <v>358.08420000000001</v>
      </c>
      <c r="S30" s="14">
        <f>_xll.BDH("SRPT US Equity","LT_DBT_EX_OPER_LEA_LIABS_TO_EQTY","FQ4 2022","FQ4 2022","Currency=USD","Period=FQ","BEST_FPERIOD_OVERRIDE=FQ","FILING_STATUS=MR","Sort=A","Dates=H","DateFormat=P","Fill=—","Direction=H","UseDPDF=Y")</f>
        <v>401.1669</v>
      </c>
      <c r="T30" s="14">
        <f>_xll.BDH("SRPT US Equity","LT_DBT_EX_OPER_LEA_LIABS_TO_EQTY","FQ1 2023","FQ1 2023","Currency=USD","Period=FQ","BEST_FPERIOD_OVERRIDE=FQ","FILING_STATUS=MR","Sort=A","Dates=H","DateFormat=P","Fill=—","Direction=H","UseDPDF=Y")</f>
        <v>173.17230000000001</v>
      </c>
      <c r="U30" s="14">
        <f>_xll.BDH("SRPT US Equity","LT_DBT_EX_OPER_LEA_LIABS_TO_EQTY","FQ2 2023","FQ2 2023","Currency=USD","Period=FQ","BEST_FPERIOD_OVERRIDE=FQ","FILING_STATUS=MR","Sort=A","Dates=H","DateFormat=P","Fill=—","Direction=H","UseDPDF=Y")</f>
        <v>166.64400000000001</v>
      </c>
      <c r="V30" s="14">
        <f>_xll.BDH("SRPT US Equity","LT_DBT_EX_OPER_LEA_LIABS_TO_EQTY","FQ3 2023","FQ3 2023","Currency=USD","Period=FQ","BEST_FPERIOD_OVERRIDE=FQ","FILING_STATUS=MR","Sort=A","Dates=H","DateFormat=P","Fill=—","Direction=H","UseDPDF=Y")</f>
        <v>161.80330000000001</v>
      </c>
      <c r="W30" s="14">
        <f>_xll.BDH("SRPT US Equity","LT_DBT_EX_OPER_LEA_LIABS_TO_EQTY","FQ4 2023","FQ4 2023","Currency=USD","Period=FQ","BEST_FPERIOD_OVERRIDE=FQ","FILING_STATUS=MR","Sort=A","Dates=H","DateFormat=P","Fill=—","Direction=H","UseDPDF=Y")</f>
        <v>131.7894</v>
      </c>
      <c r="X30" s="14">
        <f>_xll.BDH("SRPT US Equity","LT_DBT_EX_OPER_LEA_LIABS_TO_EQTY","FQ1 2024","FQ1 2024","Currency=USD","Period=FQ","BEST_FPERIOD_OVERRIDE=FQ","FILING_STATUS=MR","Sort=A","Dates=H","DateFormat=P","Fill=—","Direction=H","UseDPDF=Y")</f>
        <v>117.9431</v>
      </c>
      <c r="Y30" s="14">
        <f>_xll.BDH("SRPT US Equity","LT_DBT_EX_OPER_LEA_LIABS_TO_EQTY","FQ2 2024","FQ2 2024","Currency=USD","Period=FQ","BEST_FPERIOD_OVERRIDE=FQ","FILING_STATUS=MR","Sort=A","Dates=H","DateFormat=P","Fill=—","Direction=H","UseDPDF=Y")</f>
        <v>105.3609</v>
      </c>
      <c r="Z30" s="14">
        <f>_xll.BDH("SRPT US Equity","LT_DBT_EX_OPER_LEA_LIABS_TO_EQTY","FQ3 2024","FQ3 2024","Currency=USD","Period=FQ","BEST_FPERIOD_OVERRIDE=FQ","FILING_STATUS=MR","Sort=A","Dates=H","DateFormat=P","Fill=—","Direction=H","UseDPDF=Y")</f>
        <v>93.030199999999994</v>
      </c>
      <c r="AA30" s="14">
        <f>_xll.BDH("SRPT US Equity","LT_DBT_EX_OPER_LEA_LIABS_TO_EQTY","FQ4 2024","FQ4 2024","Currency=USD","Period=FQ","BEST_FPERIOD_OVERRIDE=FQ","FILING_STATUS=MR","Sort=A","Dates=H","DateFormat=P","Fill=—","Direction=H","UseDPDF=Y")</f>
        <v>74.431700000000006</v>
      </c>
    </row>
    <row r="31" spans="1:27" x14ac:dyDescent="0.25">
      <c r="A31" s="10" t="s">
        <v>1493</v>
      </c>
      <c r="B31" s="10" t="s">
        <v>1524</v>
      </c>
      <c r="C31" s="14">
        <f>_xll.BDH("SRPT US Equity","LT_DBT_TO_CPTL_EX_OPER_LEA_LIABS","FQ4 2018","FQ4 2018","Currency=USD","Period=FQ","BEST_FPERIOD_OVERRIDE=FQ","FILING_STATUS=MR","Sort=A","Dates=H","DateFormat=P","Fill=—","Direction=H","UseDPDF=Y")</f>
        <v>28.947199999999999</v>
      </c>
      <c r="D31" s="14">
        <f>_xll.BDH("SRPT US Equity","LT_DBT_TO_CPTL_EX_OPER_LEA_LIABS","FQ1 2019","FQ1 2019","Currency=USD","Period=FQ","BEST_FPERIOD_OVERRIDE=FQ","FILING_STATUS=MR","Sort=A","Dates=H","DateFormat=P","Fill=—","Direction=H","UseDPDF=Y")</f>
        <v>23.9953</v>
      </c>
      <c r="E31" s="14">
        <f>_xll.BDH("SRPT US Equity","LT_DBT_TO_CPTL_EX_OPER_LEA_LIABS","FQ2 2019","FQ2 2019","Currency=USD","Period=FQ","BEST_FPERIOD_OVERRIDE=FQ","FILING_STATUS=MR","Sort=A","Dates=H","DateFormat=P","Fill=—","Direction=H","UseDPDF=Y")</f>
        <v>28.168700000000001</v>
      </c>
      <c r="F31" s="14">
        <f>_xll.BDH("SRPT US Equity","LT_DBT_TO_CPTL_EX_OPER_LEA_LIABS","FQ3 2019","FQ3 2019","Currency=USD","Period=FQ","BEST_FPERIOD_OVERRIDE=FQ","FILING_STATUS=MR","Sort=A","Dates=H","DateFormat=P","Fill=—","Direction=H","UseDPDF=Y")</f>
        <v>30.484300000000001</v>
      </c>
      <c r="G31" s="14">
        <f>_xll.BDH("SRPT US Equity","LT_DBT_TO_CPTL_EX_OPER_LEA_LIABS","FQ4 2019","FQ4 2019","Currency=USD","Period=FQ","BEST_FPERIOD_OVERRIDE=FQ","FILING_STATUS=MR","Sort=A","Dates=H","DateFormat=P","Fill=—","Direction=H","UseDPDF=Y")</f>
        <v>45.4574</v>
      </c>
      <c r="H31" s="14">
        <f>_xll.BDH("SRPT US Equity","LT_DBT_TO_CPTL_EX_OPER_LEA_LIABS","FQ1 2020","FQ1 2020","Currency=USD","Period=FQ","BEST_FPERIOD_OVERRIDE=FQ","FILING_STATUS=MR","Sort=A","Dates=H","DateFormat=P","Fill=—","Direction=H","UseDPDF=Y")</f>
        <v>37.536000000000001</v>
      </c>
      <c r="I31" s="14">
        <f>_xll.BDH("SRPT US Equity","LT_DBT_TO_CPTL_EX_OPER_LEA_LIABS","FQ2 2020","FQ2 2020","Currency=USD","Period=FQ","BEST_FPERIOD_OVERRIDE=FQ","FILING_STATUS=MR","Sort=A","Dates=H","DateFormat=P","Fill=—","Direction=H","UseDPDF=Y")</f>
        <v>39.962400000000002</v>
      </c>
      <c r="J31" s="14">
        <f>_xll.BDH("SRPT US Equity","LT_DBT_TO_CPTL_EX_OPER_LEA_LIABS","FQ3 2020","FQ3 2020","Currency=USD","Period=FQ","BEST_FPERIOD_OVERRIDE=FQ","FILING_STATUS=MR","Sort=A","Dates=H","DateFormat=P","Fill=—","Direction=H","UseDPDF=Y")</f>
        <v>43.985100000000003</v>
      </c>
      <c r="K31" s="14">
        <f>_xll.BDH("SRPT US Equity","LT_DBT_TO_CPTL_EX_OPER_LEA_LIABS","FQ4 2020","FQ4 2020","Currency=USD","Period=FQ","BEST_FPERIOD_OVERRIDE=FQ","FILING_STATUS=MR","Sort=A","Dates=H","DateFormat=P","Fill=—","Direction=H","UseDPDF=Y")</f>
        <v>56.5764</v>
      </c>
      <c r="L31" s="14">
        <f>_xll.BDH("SRPT US Equity","LT_DBT_TO_CPTL_EX_OPER_LEA_LIABS","FQ1 2021","FQ1 2021","Currency=USD","Period=FQ","BEST_FPERIOD_OVERRIDE=FQ","FILING_STATUS=MR","Sort=A","Dates=H","DateFormat=P","Fill=—","Direction=H","UseDPDF=Y")</f>
        <v>67.081000000000003</v>
      </c>
      <c r="M31" s="14">
        <f>_xll.BDH("SRPT US Equity","LT_DBT_TO_CPTL_EX_OPER_LEA_LIABS","FQ2 2021","FQ2 2021","Currency=USD","Period=FQ","BEST_FPERIOD_OVERRIDE=FQ","FILING_STATUS=MR","Sort=A","Dates=H","DateFormat=P","Fill=—","Direction=H","UseDPDF=Y")</f>
        <v>69.259900000000002</v>
      </c>
      <c r="N31" s="14">
        <f>_xll.BDH("SRPT US Equity","LT_DBT_TO_CPTL_EX_OPER_LEA_LIABS","FQ3 2021","FQ3 2021","Currency=USD","Period=FQ","BEST_FPERIOD_OVERRIDE=FQ","FILING_STATUS=MR","Sort=A","Dates=H","DateFormat=P","Fill=—","Direction=H","UseDPDF=Y")</f>
        <v>69.987499999999997</v>
      </c>
      <c r="O31" s="14">
        <f>_xll.BDH("SRPT US Equity","LT_DBT_TO_CPTL_EX_OPER_LEA_LIABS","FQ4 2021","FQ4 2021","Currency=USD","Period=FQ","BEST_FPERIOD_OVERRIDE=FQ","FILING_STATUS=MR","Sort=A","Dates=H","DateFormat=P","Fill=—","Direction=H","UseDPDF=Y")</f>
        <v>54.169800000000002</v>
      </c>
      <c r="P31" s="14">
        <f>_xll.BDH("SRPT US Equity","LT_DBT_TO_CPTL_EX_OPER_LEA_LIABS","FQ1 2022","FQ1 2022","Currency=USD","Period=FQ","BEST_FPERIOD_OVERRIDE=FQ","FILING_STATUS=MR","Sort=A","Dates=H","DateFormat=P","Fill=—","Direction=H","UseDPDF=Y")</f>
        <v>56.185899999999997</v>
      </c>
      <c r="Q31" s="14">
        <f>_xll.BDH("SRPT US Equity","LT_DBT_TO_CPTL_EX_OPER_LEA_LIABS","FQ2 2022","FQ2 2022","Currency=USD","Period=FQ","BEST_FPERIOD_OVERRIDE=FQ","FILING_STATUS=MR","Sort=A","Dates=H","DateFormat=P","Fill=—","Direction=H","UseDPDF=Y")</f>
        <v>60.244900000000001</v>
      </c>
      <c r="R31" s="14">
        <f>_xll.BDH("SRPT US Equity","LT_DBT_TO_CPTL_EX_OPER_LEA_LIABS","FQ3 2022","FQ3 2022","Currency=USD","Period=FQ","BEST_FPERIOD_OVERRIDE=FQ","FILING_STATUS=MR","Sort=A","Dates=H","DateFormat=P","Fill=—","Direction=H","UseDPDF=Y")</f>
        <v>78.17</v>
      </c>
      <c r="S31" s="14">
        <f>_xll.BDH("SRPT US Equity","LT_DBT_TO_CPTL_EX_OPER_LEA_LIABS","FQ4 2022","FQ4 2022","Currency=USD","Period=FQ","BEST_FPERIOD_OVERRIDE=FQ","FILING_STATUS=MR","Sort=A","Dates=H","DateFormat=P","Fill=—","Direction=H","UseDPDF=Y")</f>
        <v>80.046599999999998</v>
      </c>
      <c r="T31" s="14">
        <f>_xll.BDH("SRPT US Equity","LT_DBT_TO_CPTL_EX_OPER_LEA_LIABS","FQ1 2023","FQ1 2023","Currency=USD","Period=FQ","BEST_FPERIOD_OVERRIDE=FQ","FILING_STATUS=MR","Sort=A","Dates=H","DateFormat=P","Fill=—","Direction=H","UseDPDF=Y")</f>
        <v>63.393099999999997</v>
      </c>
      <c r="U31" s="14">
        <f>_xll.BDH("SRPT US Equity","LT_DBT_TO_CPTL_EX_OPER_LEA_LIABS","FQ2 2023","FQ2 2023","Currency=USD","Period=FQ","BEST_FPERIOD_OVERRIDE=FQ","FILING_STATUS=MR","Sort=A","Dates=H","DateFormat=P","Fill=—","Direction=H","UseDPDF=Y")</f>
        <v>62.4968</v>
      </c>
      <c r="V31" s="14">
        <f>_xll.BDH("SRPT US Equity","LT_DBT_TO_CPTL_EX_OPER_LEA_LIABS","FQ3 2023","FQ3 2023","Currency=USD","Period=FQ","BEST_FPERIOD_OVERRIDE=FQ","FILING_STATUS=MR","Sort=A","Dates=H","DateFormat=P","Fill=—","Direction=H","UseDPDF=Y")</f>
        <v>61.803400000000003</v>
      </c>
      <c r="W31" s="14">
        <f>_xll.BDH("SRPT US Equity","LT_DBT_TO_CPTL_EX_OPER_LEA_LIABS","FQ4 2023","FQ4 2023","Currency=USD","Period=FQ","BEST_FPERIOD_OVERRIDE=FQ","FILING_STATUS=MR","Sort=A","Dates=H","DateFormat=P","Fill=—","Direction=H","UseDPDF=Y")</f>
        <v>53.997799999999998</v>
      </c>
      <c r="X31" s="14">
        <f>_xll.BDH("SRPT US Equity","LT_DBT_TO_CPTL_EX_OPER_LEA_LIABS","FQ1 2024","FQ1 2024","Currency=USD","Period=FQ","BEST_FPERIOD_OVERRIDE=FQ","FILING_STATUS=MR","Sort=A","Dates=H","DateFormat=P","Fill=—","Direction=H","UseDPDF=Y")</f>
        <v>51.5197</v>
      </c>
      <c r="Y31" s="14">
        <f>_xll.BDH("SRPT US Equity","LT_DBT_TO_CPTL_EX_OPER_LEA_LIABS","FQ2 2024","FQ2 2024","Currency=USD","Period=FQ","BEST_FPERIOD_OVERRIDE=FQ","FILING_STATUS=MR","Sort=A","Dates=H","DateFormat=P","Fill=—","Direction=H","UseDPDF=Y")</f>
        <v>49.267099999999999</v>
      </c>
      <c r="Z31" s="14">
        <f>_xll.BDH("SRPT US Equity","LT_DBT_TO_CPTL_EX_OPER_LEA_LIABS","FQ3 2024","FQ3 2024","Currency=USD","Period=FQ","BEST_FPERIOD_OVERRIDE=FQ","FILING_STATUS=MR","Sort=A","Dates=H","DateFormat=P","Fill=—","Direction=H","UseDPDF=Y")</f>
        <v>46.391800000000003</v>
      </c>
      <c r="AA31" s="14">
        <f>_xll.BDH("SRPT US Equity","LT_DBT_TO_CPTL_EX_OPER_LEA_LIABS","FQ4 2024","FQ4 2024","Currency=USD","Period=FQ","BEST_FPERIOD_OVERRIDE=FQ","FILING_STATUS=MR","Sort=A","Dates=H","DateFormat=P","Fill=—","Direction=H","UseDPDF=Y")</f>
        <v>42.670999999999999</v>
      </c>
    </row>
    <row r="32" spans="1:27" x14ac:dyDescent="0.25">
      <c r="A32" s="10" t="s">
        <v>1495</v>
      </c>
      <c r="B32" s="10" t="s">
        <v>1525</v>
      </c>
      <c r="C32" s="14">
        <f>_xll.BDH("SRPT US Equity","LT_DBT_AST_EX_OP_LEA_LIAB_AST","FQ4 2018","FQ4 2018","Currency=USD","Period=FQ","BEST_FPERIOD_OVERRIDE=FQ","FILING_STATUS=MR","Sort=A","Dates=H","DateFormat=P","Fill=—","Direction=H","UseDPDF=Y")</f>
        <v>25.6111</v>
      </c>
      <c r="D32" s="14">
        <f>_xll.BDH("SRPT US Equity","LT_DBT_AST_EX_OP_LEA_LIAB_AST","FQ1 2019","FQ1 2019","Currency=USD","Period=FQ","BEST_FPERIOD_OVERRIDE=FQ","FILING_STATUS=MR","Sort=A","Dates=H","DateFormat=P","Fill=—","Direction=H","UseDPDF=Y")</f>
        <v>22.142299999999999</v>
      </c>
      <c r="E32" s="14">
        <f>_xll.BDH("SRPT US Equity","LT_DBT_AST_EX_OP_LEA_LIAB_AST","FQ2 2019","FQ2 2019","Currency=USD","Period=FQ","BEST_FPERIOD_OVERRIDE=FQ","FILING_STATUS=MR","Sort=A","Dates=H","DateFormat=P","Fill=—","Direction=H","UseDPDF=Y")</f>
        <v>25.231999999999999</v>
      </c>
      <c r="F32" s="14">
        <f>_xll.BDH("SRPT US Equity","LT_DBT_AST_EX_OP_LEA_LIAB_AST","FQ3 2019","FQ3 2019","Currency=USD","Period=FQ","BEST_FPERIOD_OVERRIDE=FQ","FILING_STATUS=MR","Sort=A","Dates=H","DateFormat=P","Fill=—","Direction=H","UseDPDF=Y")</f>
        <v>26.243400000000001</v>
      </c>
      <c r="G32" s="14">
        <f>_xll.BDH("SRPT US Equity","LT_DBT_AST_EX_OP_LEA_LIAB_AST","FQ4 2019","FQ4 2019","Currency=USD","Period=FQ","BEST_FPERIOD_OVERRIDE=FQ","FILING_STATUS=MR","Sort=A","Dates=H","DateFormat=P","Fill=—","Direction=H","UseDPDF=Y")</f>
        <v>38.204099999999997</v>
      </c>
      <c r="H32" s="14">
        <f>_xll.BDH("SRPT US Equity","LT_DBT_AST_EX_OP_LEA_LIAB_AST","FQ1 2020","FQ1 2020","Currency=USD","Period=FQ","BEST_FPERIOD_OVERRIDE=FQ","FILING_STATUS=MR","Sort=A","Dates=H","DateFormat=P","Fill=—","Direction=H","UseDPDF=Y")</f>
        <v>23.851700000000001</v>
      </c>
      <c r="I32" s="14">
        <f>_xll.BDH("SRPT US Equity","LT_DBT_AST_EX_OP_LEA_LIAB_AST","FQ2 2020","FQ2 2020","Currency=USD","Period=FQ","BEST_FPERIOD_OVERRIDE=FQ","FILING_STATUS=MR","Sort=A","Dates=H","DateFormat=P","Fill=—","Direction=H","UseDPDF=Y")</f>
        <v>24.713200000000001</v>
      </c>
      <c r="J32" s="14">
        <f>_xll.BDH("SRPT US Equity","LT_DBT_AST_EX_OP_LEA_LIAB_AST","FQ3 2020","FQ3 2020","Currency=USD","Period=FQ","BEST_FPERIOD_OVERRIDE=FQ","FILING_STATUS=MR","Sort=A","Dates=H","DateFormat=P","Fill=—","Direction=H","UseDPDF=Y")</f>
        <v>25.851600000000001</v>
      </c>
      <c r="K32" s="14">
        <f>_xll.BDH("SRPT US Equity","LT_DBT_AST_EX_OP_LEA_LIAB_AST","FQ4 2020","FQ4 2020","Currency=USD","Period=FQ","BEST_FPERIOD_OVERRIDE=FQ","FILING_STATUS=MR","Sort=A","Dates=H","DateFormat=P","Fill=—","Direction=H","UseDPDF=Y")</f>
        <v>34.307200000000002</v>
      </c>
      <c r="L32" s="14">
        <f>_xll.BDH("SRPT US Equity","LT_DBT_AST_EX_OP_LEA_LIAB_AST","FQ1 2021","FQ1 2021","Currency=USD","Period=FQ","BEST_FPERIOD_OVERRIDE=FQ","FILING_STATUS=MR","Sort=A","Dates=H","DateFormat=P","Fill=—","Direction=H","UseDPDF=Y")</f>
        <v>40.408999999999999</v>
      </c>
      <c r="M32" s="14">
        <f>_xll.BDH("SRPT US Equity","LT_DBT_AST_EX_OP_LEA_LIAB_AST","FQ2 2021","FQ2 2021","Currency=USD","Period=FQ","BEST_FPERIOD_OVERRIDE=FQ","FILING_STATUS=MR","Sort=A","Dates=H","DateFormat=P","Fill=—","Direction=H","UseDPDF=Y")</f>
        <v>40.688800000000001</v>
      </c>
      <c r="N32" s="14">
        <f>_xll.BDH("SRPT US Equity","LT_DBT_AST_EX_OP_LEA_LIAB_AST","FQ3 2021","FQ3 2021","Currency=USD","Period=FQ","BEST_FPERIOD_OVERRIDE=FQ","FILING_STATUS=MR","Sort=A","Dates=H","DateFormat=P","Fill=—","Direction=H","UseDPDF=Y")</f>
        <v>42.2819</v>
      </c>
      <c r="O32" s="14">
        <f>_xll.BDH("SRPT US Equity","LT_DBT_AST_EX_OP_LEA_LIAB_AST","FQ4 2021","FQ4 2021","Currency=USD","Period=FQ","BEST_FPERIOD_OVERRIDE=FQ","FILING_STATUS=MR","Sort=A","Dates=H","DateFormat=P","Fill=—","Direction=H","UseDPDF=Y")</f>
        <v>35.355200000000004</v>
      </c>
      <c r="P32" s="14">
        <f>_xll.BDH("SRPT US Equity","LT_DBT_AST_EX_OP_LEA_LIAB_AST","FQ1 2022","FQ1 2022","Currency=USD","Period=FQ","BEST_FPERIOD_OVERRIDE=FQ","FILING_STATUS=MR","Sort=A","Dates=H","DateFormat=P","Fill=—","Direction=H","UseDPDF=Y")</f>
        <v>36.5045</v>
      </c>
      <c r="Q32" s="14">
        <f>_xll.BDH("SRPT US Equity","LT_DBT_AST_EX_OP_LEA_LIAB_AST","FQ2 2022","FQ2 2022","Currency=USD","Period=FQ","BEST_FPERIOD_OVERRIDE=FQ","FILING_STATUS=MR","Sort=A","Dates=H","DateFormat=P","Fill=—","Direction=H","UseDPDF=Y")</f>
        <v>37.319600000000001</v>
      </c>
      <c r="R32" s="14">
        <f>_xll.BDH("SRPT US Equity","LT_DBT_AST_EX_OP_LEA_LIAB_AST","FQ3 2022","FQ3 2022","Currency=USD","Period=FQ","BEST_FPERIOD_OVERRIDE=FQ","FILING_STATUS=MR","Sort=A","Dates=H","DateFormat=P","Fill=—","Direction=H","UseDPDF=Y")</f>
        <v>49.557099999999998</v>
      </c>
      <c r="S32" s="14">
        <f>_xll.BDH("SRPT US Equity","LT_DBT_AST_EX_OP_LEA_LIAB_AST","FQ4 2022","FQ4 2022","Currency=USD","Period=FQ","BEST_FPERIOD_OVERRIDE=FQ","FILING_STATUS=MR","Sort=A","Dates=H","DateFormat=P","Fill=—","Direction=H","UseDPDF=Y")</f>
        <v>50.410800000000002</v>
      </c>
      <c r="T32" s="14">
        <f>_xll.BDH("SRPT US Equity","LT_DBT_AST_EX_OP_LEA_LIAB_AST","FQ1 2023","FQ1 2023","Currency=USD","Period=FQ","BEST_FPERIOD_OVERRIDE=FQ","FILING_STATUS=MR","Sort=A","Dates=H","DateFormat=P","Fill=—","Direction=H","UseDPDF=Y")</f>
        <v>41.173400000000001</v>
      </c>
      <c r="U32" s="14">
        <f>_xll.BDH("SRPT US Equity","LT_DBT_AST_EX_OP_LEA_LIAB_AST","FQ2 2023","FQ2 2023","Currency=USD","Period=FQ","BEST_FPERIOD_OVERRIDE=FQ","FILING_STATUS=MR","Sort=A","Dates=H","DateFormat=P","Fill=—","Direction=H","UseDPDF=Y")</f>
        <v>41.305599999999998</v>
      </c>
      <c r="V32" s="14">
        <f>_xll.BDH("SRPT US Equity","LT_DBT_AST_EX_OP_LEA_LIAB_AST","FQ3 2023","FQ3 2023","Currency=USD","Period=FQ","BEST_FPERIOD_OVERRIDE=FQ","FILING_STATUS=MR","Sort=A","Dates=H","DateFormat=P","Fill=—","Direction=H","UseDPDF=Y")</f>
        <v>41.554099999999998</v>
      </c>
      <c r="W32" s="14">
        <f>_xll.BDH("SRPT US Equity","LT_DBT_AST_EX_OP_LEA_LIAB_AST","FQ4 2023","FQ4 2023","Currency=USD","Period=FQ","BEST_FPERIOD_OVERRIDE=FQ","FILING_STATUS=MR","Sort=A","Dates=H","DateFormat=P","Fill=—","Direction=H","UseDPDF=Y")</f>
        <v>36.129199999999997</v>
      </c>
      <c r="X32" s="14">
        <f>_xll.BDH("SRPT US Equity","LT_DBT_AST_EX_OP_LEA_LIAB_AST","FQ1 2024","FQ1 2024","Currency=USD","Period=FQ","BEST_FPERIOD_OVERRIDE=FQ","FILING_STATUS=MR","Sort=A","Dates=H","DateFormat=P","Fill=—","Direction=H","UseDPDF=Y")</f>
        <v>36.591900000000003</v>
      </c>
      <c r="Y32" s="14">
        <f>_xll.BDH("SRPT US Equity","LT_DBT_AST_EX_OP_LEA_LIAB_AST","FQ2 2024","FQ2 2024","Currency=USD","Period=FQ","BEST_FPERIOD_OVERRIDE=FQ","FILING_STATUS=MR","Sort=A","Dates=H","DateFormat=P","Fill=—","Direction=H","UseDPDF=Y")</f>
        <v>34.3855</v>
      </c>
      <c r="Z32" s="14">
        <f>_xll.BDH("SRPT US Equity","LT_DBT_AST_EX_OP_LEA_LIAB_AST","FQ3 2024","FQ3 2024","Currency=USD","Period=FQ","BEST_FPERIOD_OVERRIDE=FQ","FILING_STATUS=MR","Sort=A","Dates=H","DateFormat=P","Fill=—","Direction=H","UseDPDF=Y")</f>
        <v>32.840499999999999</v>
      </c>
      <c r="AA32" s="14">
        <f>_xll.BDH("SRPT US Equity","LT_DBT_AST_EX_OP_LEA_LIAB_AST","FQ4 2024","FQ4 2024","Currency=USD","Period=FQ","BEST_FPERIOD_OVERRIDE=FQ","FILING_STATUS=MR","Sort=A","Dates=H","DateFormat=P","Fill=—","Direction=H","UseDPDF=Y")</f>
        <v>29.807700000000001</v>
      </c>
    </row>
    <row r="33" spans="1:27" x14ac:dyDescent="0.25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5">
      <c r="A34" s="10" t="s">
        <v>1497</v>
      </c>
      <c r="B34" s="10" t="s">
        <v>1526</v>
      </c>
      <c r="C34" s="14">
        <f>_xll.BDH("SRPT US Equity","TOT_DBT_EX_OP_LEA_LIABS_TO_EQTY","FQ4 2018","FQ4 2018","Currency=USD","Period=FQ","BEST_FPERIOD_OVERRIDE=FQ","FILING_STATUS=MR","Sort=A","Dates=H","DateFormat=P","Fill=—","Direction=H","UseDPDF=Y")</f>
        <v>40.740499999999997</v>
      </c>
      <c r="D34" s="14">
        <f>_xll.BDH("SRPT US Equity","TOT_DBT_EX_OP_LEA_LIABS_TO_EQTY","FQ1 2019","FQ1 2019","Currency=USD","Period=FQ","BEST_FPERIOD_OVERRIDE=FQ","FILING_STATUS=MR","Sort=A","Dates=H","DateFormat=P","Fill=—","Direction=H","UseDPDF=Y")</f>
        <v>31.570799999999998</v>
      </c>
      <c r="E34" s="14">
        <f>_xll.BDH("SRPT US Equity","TOT_DBT_EX_OP_LEA_LIABS_TO_EQTY","FQ2 2019","FQ2 2019","Currency=USD","Period=FQ","BEST_FPERIOD_OVERRIDE=FQ","FILING_STATUS=MR","Sort=A","Dates=H","DateFormat=P","Fill=—","Direction=H","UseDPDF=Y")</f>
        <v>39.215200000000003</v>
      </c>
      <c r="F34" s="14">
        <f>_xll.BDH("SRPT US Equity","TOT_DBT_EX_OP_LEA_LIABS_TO_EQTY","FQ3 2019","FQ3 2019","Currency=USD","Period=FQ","BEST_FPERIOD_OVERRIDE=FQ","FILING_STATUS=MR","Sort=A","Dates=H","DateFormat=P","Fill=—","Direction=H","UseDPDF=Y")</f>
        <v>43.852400000000003</v>
      </c>
      <c r="G34" s="14">
        <f>_xll.BDH("SRPT US Equity","TOT_DBT_EX_OP_LEA_LIABS_TO_EQTY","FQ4 2019","FQ4 2019","Currency=USD","Period=FQ","BEST_FPERIOD_OVERRIDE=FQ","FILING_STATUS=MR","Sort=A","Dates=H","DateFormat=P","Fill=—","Direction=H","UseDPDF=Y")</f>
        <v>83.342799999999997</v>
      </c>
      <c r="H34" s="14">
        <f>_xll.BDH("SRPT US Equity","TOT_DBT_EX_OP_LEA_LIABS_TO_EQTY","FQ1 2020","FQ1 2020","Currency=USD","Period=FQ","BEST_FPERIOD_OVERRIDE=FQ","FILING_STATUS=MR","Sort=A","Dates=H","DateFormat=P","Fill=—","Direction=H","UseDPDF=Y")</f>
        <v>60.092300000000002</v>
      </c>
      <c r="I34" s="14">
        <f>_xll.BDH("SRPT US Equity","TOT_DBT_EX_OP_LEA_LIABS_TO_EQTY","FQ2 2020","FQ2 2020","Currency=USD","Period=FQ","BEST_FPERIOD_OVERRIDE=FQ","FILING_STATUS=MR","Sort=A","Dates=H","DateFormat=P","Fill=—","Direction=H","UseDPDF=Y")</f>
        <v>66.562299999999993</v>
      </c>
      <c r="J34" s="14">
        <f>_xll.BDH("SRPT US Equity","TOT_DBT_EX_OP_LEA_LIABS_TO_EQTY","FQ3 2020","FQ3 2020","Currency=USD","Period=FQ","BEST_FPERIOD_OVERRIDE=FQ","FILING_STATUS=MR","Sort=A","Dates=H","DateFormat=P","Fill=—","Direction=H","UseDPDF=Y")</f>
        <v>78.523899999999998</v>
      </c>
      <c r="K34" s="14">
        <f>_xll.BDH("SRPT US Equity","TOT_DBT_EX_OP_LEA_LIABS_TO_EQTY","FQ4 2020","FQ4 2020","Currency=USD","Period=FQ","BEST_FPERIOD_OVERRIDE=FQ","FILING_STATUS=MR","Sort=A","Dates=H","DateFormat=P","Fill=—","Direction=H","UseDPDF=Y")</f>
        <v>130.28960000000001</v>
      </c>
      <c r="L34" s="14">
        <f>_xll.BDH("SRPT US Equity","TOT_DBT_EX_OP_LEA_LIABS_TO_EQTY","FQ1 2021","FQ1 2021","Currency=USD","Period=FQ","BEST_FPERIOD_OVERRIDE=FQ","FILING_STATUS=MR","Sort=A","Dates=H","DateFormat=P","Fill=—","Direction=H","UseDPDF=Y")</f>
        <v>203.77629999999999</v>
      </c>
      <c r="M34" s="14">
        <f>_xll.BDH("SRPT US Equity","TOT_DBT_EX_OP_LEA_LIABS_TO_EQTY","FQ2 2021","FQ2 2021","Currency=USD","Period=FQ","BEST_FPERIOD_OVERRIDE=FQ","FILING_STATUS=MR","Sort=A","Dates=H","DateFormat=P","Fill=—","Direction=H","UseDPDF=Y")</f>
        <v>225.30760000000001</v>
      </c>
      <c r="N34" s="14">
        <f>_xll.BDH("SRPT US Equity","TOT_DBT_EX_OP_LEA_LIABS_TO_EQTY","FQ3 2021","FQ3 2021","Currency=USD","Period=FQ","BEST_FPERIOD_OVERRIDE=FQ","FILING_STATUS=MR","Sort=A","Dates=H","DateFormat=P","Fill=—","Direction=H","UseDPDF=Y")</f>
        <v>233.1942</v>
      </c>
      <c r="O34" s="14">
        <f>_xll.BDH("SRPT US Equity","TOT_DBT_EX_OP_LEA_LIABS_TO_EQTY","FQ4 2021","FQ4 2021","Currency=USD","Period=FQ","BEST_FPERIOD_OVERRIDE=FQ","FILING_STATUS=MR","Sort=A","Dates=H","DateFormat=P","Fill=—","Direction=H","UseDPDF=Y")</f>
        <v>118.19670000000001</v>
      </c>
      <c r="P34" s="14">
        <f>_xll.BDH("SRPT US Equity","TOT_DBT_EX_OP_LEA_LIABS_TO_EQTY","FQ1 2022","FQ1 2022","Currency=USD","Period=FQ","BEST_FPERIOD_OVERRIDE=FQ","FILING_STATUS=MR","Sort=A","Dates=H","DateFormat=P","Fill=—","Direction=H","UseDPDF=Y")</f>
        <v>128.2372</v>
      </c>
      <c r="Q34" s="14">
        <f>_xll.BDH("SRPT US Equity","TOT_DBT_EX_OP_LEA_LIABS_TO_EQTY","FQ2 2022","FQ2 2022","Currency=USD","Period=FQ","BEST_FPERIOD_OVERRIDE=FQ","FILING_STATUS=MR","Sort=A","Dates=H","DateFormat=P","Fill=—","Direction=H","UseDPDF=Y")</f>
        <v>151.54</v>
      </c>
      <c r="R34" s="14">
        <f>_xll.BDH("SRPT US Equity","TOT_DBT_EX_OP_LEA_LIABS_TO_EQTY","FQ3 2022","FQ3 2022","Currency=USD","Period=FQ","BEST_FPERIOD_OVERRIDE=FQ","FILING_STATUS=MR","Sort=A","Dates=H","DateFormat=P","Fill=—","Direction=H","UseDPDF=Y")</f>
        <v>358.08420000000001</v>
      </c>
      <c r="S34" s="14">
        <f>_xll.BDH("SRPT US Equity","TOT_DBT_EX_OP_LEA_LIABS_TO_EQTY","FQ4 2022","FQ4 2022","Currency=USD","Period=FQ","BEST_FPERIOD_OVERRIDE=FQ","FILING_STATUS=MR","Sort=A","Dates=H","DateFormat=P","Fill=—","Direction=H","UseDPDF=Y")</f>
        <v>401.1669</v>
      </c>
      <c r="T34" s="14">
        <f>_xll.BDH("SRPT US Equity","TOT_DBT_EX_OP_LEA_LIABS_TO_EQTY","FQ1 2023","FQ1 2023","Currency=USD","Period=FQ","BEST_FPERIOD_OVERRIDE=FQ","FILING_STATUS=MR","Sort=A","Dates=H","DateFormat=P","Fill=—","Direction=H","UseDPDF=Y")</f>
        <v>173.17230000000001</v>
      </c>
      <c r="U34" s="14">
        <f>_xll.BDH("SRPT US Equity","TOT_DBT_EX_OP_LEA_LIABS_TO_EQTY","FQ2 2023","FQ2 2023","Currency=USD","Period=FQ","BEST_FPERIOD_OVERRIDE=FQ","FILING_STATUS=MR","Sort=A","Dates=H","DateFormat=P","Fill=—","Direction=H","UseDPDF=Y")</f>
        <v>166.64400000000001</v>
      </c>
      <c r="V34" s="14">
        <f>_xll.BDH("SRPT US Equity","TOT_DBT_EX_OP_LEA_LIABS_TO_EQTY","FQ3 2023","FQ3 2023","Currency=USD","Period=FQ","BEST_FPERIOD_OVERRIDE=FQ","FILING_STATUS=MR","Sort=A","Dates=H","DateFormat=P","Fill=—","Direction=H","UseDPDF=Y")</f>
        <v>161.80330000000001</v>
      </c>
      <c r="W34" s="14">
        <f>_xll.BDH("SRPT US Equity","TOT_DBT_EX_OP_LEA_LIABS_TO_EQTY","FQ4 2023","FQ4 2023","Currency=USD","Period=FQ","BEST_FPERIOD_OVERRIDE=FQ","FILING_STATUS=MR","Sort=A","Dates=H","DateFormat=P","Fill=—","Direction=H","UseDPDF=Y")</f>
        <v>144.0643</v>
      </c>
      <c r="X34" s="14">
        <f>_xll.BDH("SRPT US Equity","TOT_DBT_EX_OP_LEA_LIABS_TO_EQTY","FQ1 2024","FQ1 2024","Currency=USD","Period=FQ","BEST_FPERIOD_OVERRIDE=FQ","FILING_STATUS=MR","Sort=A","Dates=H","DateFormat=P","Fill=—","Direction=H","UseDPDF=Y")</f>
        <v>128.928</v>
      </c>
      <c r="Y34" s="14">
        <f>_xll.BDH("SRPT US Equity","TOT_DBT_EX_OP_LEA_LIABS_TO_EQTY","FQ2 2024","FQ2 2024","Currency=USD","Period=FQ","BEST_FPERIOD_OVERRIDE=FQ","FILING_STATUS=MR","Sort=A","Dates=H","DateFormat=P","Fill=—","Direction=H","UseDPDF=Y")</f>
        <v>113.8567</v>
      </c>
      <c r="Z34" s="14">
        <f>_xll.BDH("SRPT US Equity","TOT_DBT_EX_OP_LEA_LIABS_TO_EQTY","FQ3 2024","FQ3 2024","Currency=USD","Period=FQ","BEST_FPERIOD_OVERRIDE=FQ","FILING_STATUS=MR","Sort=A","Dates=H","DateFormat=P","Fill=—","Direction=H","UseDPDF=Y")</f>
        <v>100.5314</v>
      </c>
      <c r="AA34" s="14">
        <f>_xll.BDH("SRPT US Equity","TOT_DBT_EX_OP_LEA_LIABS_TO_EQTY","FQ4 2024","FQ4 2024","Currency=USD","Period=FQ","BEST_FPERIOD_OVERRIDE=FQ","FILING_STATUS=MR","Sort=A","Dates=H","DateFormat=P","Fill=—","Direction=H","UseDPDF=Y")</f>
        <v>74.431700000000006</v>
      </c>
    </row>
    <row r="35" spans="1:27" x14ac:dyDescent="0.25">
      <c r="A35" s="10" t="s">
        <v>1499</v>
      </c>
      <c r="B35" s="10" t="s">
        <v>299</v>
      </c>
      <c r="C35" s="14">
        <f>_xll.BDH("SRPT US Equity","TOT_DBT_TO_CPTL_EX_OP_LEA_LIABS","FQ4 2018","FQ4 2018","Currency=USD","Period=FQ","BEST_FPERIOD_OVERRIDE=FQ","FILING_STATUS=MR","Sort=A","Dates=H","DateFormat=P","Fill=—","Direction=H","UseDPDF=Y")</f>
        <v>28.947199999999999</v>
      </c>
      <c r="D35" s="14">
        <f>_xll.BDH("SRPT US Equity","TOT_DBT_TO_CPTL_EX_OP_LEA_LIABS","FQ1 2019","FQ1 2019","Currency=USD","Period=FQ","BEST_FPERIOD_OVERRIDE=FQ","FILING_STATUS=MR","Sort=A","Dates=H","DateFormat=P","Fill=—","Direction=H","UseDPDF=Y")</f>
        <v>23.9953</v>
      </c>
      <c r="E35" s="14">
        <f>_xll.BDH("SRPT US Equity","TOT_DBT_TO_CPTL_EX_OP_LEA_LIABS","FQ2 2019","FQ2 2019","Currency=USD","Period=FQ","BEST_FPERIOD_OVERRIDE=FQ","FILING_STATUS=MR","Sort=A","Dates=H","DateFormat=P","Fill=—","Direction=H","UseDPDF=Y")</f>
        <v>28.168700000000001</v>
      </c>
      <c r="F35" s="14">
        <f>_xll.BDH("SRPT US Equity","TOT_DBT_TO_CPTL_EX_OP_LEA_LIABS","FQ3 2019","FQ3 2019","Currency=USD","Period=FQ","BEST_FPERIOD_OVERRIDE=FQ","FILING_STATUS=MR","Sort=A","Dates=H","DateFormat=P","Fill=—","Direction=H","UseDPDF=Y")</f>
        <v>30.484300000000001</v>
      </c>
      <c r="G35" s="14">
        <f>_xll.BDH("SRPT US Equity","TOT_DBT_TO_CPTL_EX_OP_LEA_LIABS","FQ4 2019","FQ4 2019","Currency=USD","Period=FQ","BEST_FPERIOD_OVERRIDE=FQ","FILING_STATUS=MR","Sort=A","Dates=H","DateFormat=P","Fill=—","Direction=H","UseDPDF=Y")</f>
        <v>45.4574</v>
      </c>
      <c r="H35" s="14">
        <f>_xll.BDH("SRPT US Equity","TOT_DBT_TO_CPTL_EX_OP_LEA_LIABS","FQ1 2020","FQ1 2020","Currency=USD","Period=FQ","BEST_FPERIOD_OVERRIDE=FQ","FILING_STATUS=MR","Sort=A","Dates=H","DateFormat=P","Fill=—","Direction=H","UseDPDF=Y")</f>
        <v>37.536000000000001</v>
      </c>
      <c r="I35" s="14">
        <f>_xll.BDH("SRPT US Equity","TOT_DBT_TO_CPTL_EX_OP_LEA_LIABS","FQ2 2020","FQ2 2020","Currency=USD","Period=FQ","BEST_FPERIOD_OVERRIDE=FQ","FILING_STATUS=MR","Sort=A","Dates=H","DateFormat=P","Fill=—","Direction=H","UseDPDF=Y")</f>
        <v>39.962400000000002</v>
      </c>
      <c r="J35" s="14">
        <f>_xll.BDH("SRPT US Equity","TOT_DBT_TO_CPTL_EX_OP_LEA_LIABS","FQ3 2020","FQ3 2020","Currency=USD","Period=FQ","BEST_FPERIOD_OVERRIDE=FQ","FILING_STATUS=MR","Sort=A","Dates=H","DateFormat=P","Fill=—","Direction=H","UseDPDF=Y")</f>
        <v>43.985100000000003</v>
      </c>
      <c r="K35" s="14">
        <f>_xll.BDH("SRPT US Equity","TOT_DBT_TO_CPTL_EX_OP_LEA_LIABS","FQ4 2020","FQ4 2020","Currency=USD","Period=FQ","BEST_FPERIOD_OVERRIDE=FQ","FILING_STATUS=MR","Sort=A","Dates=H","DateFormat=P","Fill=—","Direction=H","UseDPDF=Y")</f>
        <v>56.5764</v>
      </c>
      <c r="L35" s="14">
        <f>_xll.BDH("SRPT US Equity","TOT_DBT_TO_CPTL_EX_OP_LEA_LIABS","FQ1 2021","FQ1 2021","Currency=USD","Period=FQ","BEST_FPERIOD_OVERRIDE=FQ","FILING_STATUS=MR","Sort=A","Dates=H","DateFormat=P","Fill=—","Direction=H","UseDPDF=Y")</f>
        <v>67.081000000000003</v>
      </c>
      <c r="M35" s="14">
        <f>_xll.BDH("SRPT US Equity","TOT_DBT_TO_CPTL_EX_OP_LEA_LIABS","FQ2 2021","FQ2 2021","Currency=USD","Period=FQ","BEST_FPERIOD_OVERRIDE=FQ","FILING_STATUS=MR","Sort=A","Dates=H","DateFormat=P","Fill=—","Direction=H","UseDPDF=Y")</f>
        <v>69.259900000000002</v>
      </c>
      <c r="N35" s="14">
        <f>_xll.BDH("SRPT US Equity","TOT_DBT_TO_CPTL_EX_OP_LEA_LIABS","FQ3 2021","FQ3 2021","Currency=USD","Period=FQ","BEST_FPERIOD_OVERRIDE=FQ","FILING_STATUS=MR","Sort=A","Dates=H","DateFormat=P","Fill=—","Direction=H","UseDPDF=Y")</f>
        <v>69.987499999999997</v>
      </c>
      <c r="O35" s="14">
        <f>_xll.BDH("SRPT US Equity","TOT_DBT_TO_CPTL_EX_OP_LEA_LIABS","FQ4 2021","FQ4 2021","Currency=USD","Period=FQ","BEST_FPERIOD_OVERRIDE=FQ","FILING_STATUS=MR","Sort=A","Dates=H","DateFormat=P","Fill=—","Direction=H","UseDPDF=Y")</f>
        <v>54.169800000000002</v>
      </c>
      <c r="P35" s="14">
        <f>_xll.BDH("SRPT US Equity","TOT_DBT_TO_CPTL_EX_OP_LEA_LIABS","FQ1 2022","FQ1 2022","Currency=USD","Period=FQ","BEST_FPERIOD_OVERRIDE=FQ","FILING_STATUS=MR","Sort=A","Dates=H","DateFormat=P","Fill=—","Direction=H","UseDPDF=Y")</f>
        <v>56.185899999999997</v>
      </c>
      <c r="Q35" s="14">
        <f>_xll.BDH("SRPT US Equity","TOT_DBT_TO_CPTL_EX_OP_LEA_LIABS","FQ2 2022","FQ2 2022","Currency=USD","Period=FQ","BEST_FPERIOD_OVERRIDE=FQ","FILING_STATUS=MR","Sort=A","Dates=H","DateFormat=P","Fill=—","Direction=H","UseDPDF=Y")</f>
        <v>60.244900000000001</v>
      </c>
      <c r="R35" s="14">
        <f>_xll.BDH("SRPT US Equity","TOT_DBT_TO_CPTL_EX_OP_LEA_LIABS","FQ3 2022","FQ3 2022","Currency=USD","Period=FQ","BEST_FPERIOD_OVERRIDE=FQ","FILING_STATUS=MR","Sort=A","Dates=H","DateFormat=P","Fill=—","Direction=H","UseDPDF=Y")</f>
        <v>78.17</v>
      </c>
      <c r="S35" s="14">
        <f>_xll.BDH("SRPT US Equity","TOT_DBT_TO_CPTL_EX_OP_LEA_LIABS","FQ4 2022","FQ4 2022","Currency=USD","Period=FQ","BEST_FPERIOD_OVERRIDE=FQ","FILING_STATUS=MR","Sort=A","Dates=H","DateFormat=P","Fill=—","Direction=H","UseDPDF=Y")</f>
        <v>80.046599999999998</v>
      </c>
      <c r="T35" s="14">
        <f>_xll.BDH("SRPT US Equity","TOT_DBT_TO_CPTL_EX_OP_LEA_LIABS","FQ1 2023","FQ1 2023","Currency=USD","Period=FQ","BEST_FPERIOD_OVERRIDE=FQ","FILING_STATUS=MR","Sort=A","Dates=H","DateFormat=P","Fill=—","Direction=H","UseDPDF=Y")</f>
        <v>63.393099999999997</v>
      </c>
      <c r="U35" s="14">
        <f>_xll.BDH("SRPT US Equity","TOT_DBT_TO_CPTL_EX_OP_LEA_LIABS","FQ2 2023","FQ2 2023","Currency=USD","Period=FQ","BEST_FPERIOD_OVERRIDE=FQ","FILING_STATUS=MR","Sort=A","Dates=H","DateFormat=P","Fill=—","Direction=H","UseDPDF=Y")</f>
        <v>62.4968</v>
      </c>
      <c r="V35" s="14">
        <f>_xll.BDH("SRPT US Equity","TOT_DBT_TO_CPTL_EX_OP_LEA_LIABS","FQ3 2023","FQ3 2023","Currency=USD","Period=FQ","BEST_FPERIOD_OVERRIDE=FQ","FILING_STATUS=MR","Sort=A","Dates=H","DateFormat=P","Fill=—","Direction=H","UseDPDF=Y")</f>
        <v>61.803400000000003</v>
      </c>
      <c r="W35" s="14">
        <f>_xll.BDH("SRPT US Equity","TOT_DBT_TO_CPTL_EX_OP_LEA_LIABS","FQ4 2023","FQ4 2023","Currency=USD","Period=FQ","BEST_FPERIOD_OVERRIDE=FQ","FILING_STATUS=MR","Sort=A","Dates=H","DateFormat=P","Fill=—","Direction=H","UseDPDF=Y")</f>
        <v>59.027200000000001</v>
      </c>
      <c r="X35" s="14">
        <f>_xll.BDH("SRPT US Equity","TOT_DBT_TO_CPTL_EX_OP_LEA_LIABS","FQ1 2024","FQ1 2024","Currency=USD","Period=FQ","BEST_FPERIOD_OVERRIDE=FQ","FILING_STATUS=MR","Sort=A","Dates=H","DateFormat=P","Fill=—","Direction=H","UseDPDF=Y")</f>
        <v>56.318199999999997</v>
      </c>
      <c r="Y35" s="14">
        <f>_xll.BDH("SRPT US Equity","TOT_DBT_TO_CPTL_EX_OP_LEA_LIABS","FQ2 2024","FQ2 2024","Currency=USD","Period=FQ","BEST_FPERIOD_OVERRIDE=FQ","FILING_STATUS=MR","Sort=A","Dates=H","DateFormat=P","Fill=—","Direction=H","UseDPDF=Y")</f>
        <v>53.239699999999999</v>
      </c>
      <c r="Z35" s="14">
        <f>_xll.BDH("SRPT US Equity","TOT_DBT_TO_CPTL_EX_OP_LEA_LIABS","FQ3 2024","FQ3 2024","Currency=USD","Period=FQ","BEST_FPERIOD_OVERRIDE=FQ","FILING_STATUS=MR","Sort=A","Dates=H","DateFormat=P","Fill=—","Direction=H","UseDPDF=Y")</f>
        <v>50.1325</v>
      </c>
      <c r="AA35" s="14">
        <f>_xll.BDH("SRPT US Equity","TOT_DBT_TO_CPTL_EX_OP_LEA_LIABS","FQ4 2024","FQ4 2024","Currency=USD","Period=FQ","BEST_FPERIOD_OVERRIDE=FQ","FILING_STATUS=MR","Sort=A","Dates=H","DateFormat=P","Fill=—","Direction=H","UseDPDF=Y")</f>
        <v>42.670999999999999</v>
      </c>
    </row>
    <row r="36" spans="1:27" x14ac:dyDescent="0.25">
      <c r="A36" s="10" t="s">
        <v>1500</v>
      </c>
      <c r="B36" s="10" t="s">
        <v>1527</v>
      </c>
      <c r="C36" s="14">
        <f>_xll.BDH("SRPT US Equity","TOT_DBT_AST_EX_OP_LEA_LIAB_AST","FQ4 2018","FQ4 2018","Currency=USD","Period=FQ","BEST_FPERIOD_OVERRIDE=FQ","FILING_STATUS=MR","Sort=A","Dates=H","DateFormat=P","Fill=—","Direction=H","UseDPDF=Y")</f>
        <v>25.6111</v>
      </c>
      <c r="D36" s="14">
        <f>_xll.BDH("SRPT US Equity","TOT_DBT_AST_EX_OP_LEA_LIAB_AST","FQ1 2019","FQ1 2019","Currency=USD","Period=FQ","BEST_FPERIOD_OVERRIDE=FQ","FILING_STATUS=MR","Sort=A","Dates=H","DateFormat=P","Fill=—","Direction=H","UseDPDF=Y")</f>
        <v>22.142299999999999</v>
      </c>
      <c r="E36" s="14">
        <f>_xll.BDH("SRPT US Equity","TOT_DBT_AST_EX_OP_LEA_LIAB_AST","FQ2 2019","FQ2 2019","Currency=USD","Period=FQ","BEST_FPERIOD_OVERRIDE=FQ","FILING_STATUS=MR","Sort=A","Dates=H","DateFormat=P","Fill=—","Direction=H","UseDPDF=Y")</f>
        <v>25.231999999999999</v>
      </c>
      <c r="F36" s="14">
        <f>_xll.BDH("SRPT US Equity","TOT_DBT_AST_EX_OP_LEA_LIAB_AST","FQ3 2019","FQ3 2019","Currency=USD","Period=FQ","BEST_FPERIOD_OVERRIDE=FQ","FILING_STATUS=MR","Sort=A","Dates=H","DateFormat=P","Fill=—","Direction=H","UseDPDF=Y")</f>
        <v>26.243400000000001</v>
      </c>
      <c r="G36" s="14">
        <f>_xll.BDH("SRPT US Equity","TOT_DBT_AST_EX_OP_LEA_LIAB_AST","FQ4 2019","FQ4 2019","Currency=USD","Period=FQ","BEST_FPERIOD_OVERRIDE=FQ","FILING_STATUS=MR","Sort=A","Dates=H","DateFormat=P","Fill=—","Direction=H","UseDPDF=Y")</f>
        <v>38.204099999999997</v>
      </c>
      <c r="H36" s="14">
        <f>_xll.BDH("SRPT US Equity","TOT_DBT_AST_EX_OP_LEA_LIAB_AST","FQ1 2020","FQ1 2020","Currency=USD","Period=FQ","BEST_FPERIOD_OVERRIDE=FQ","FILING_STATUS=MR","Sort=A","Dates=H","DateFormat=P","Fill=—","Direction=H","UseDPDF=Y")</f>
        <v>23.851700000000001</v>
      </c>
      <c r="I36" s="14">
        <f>_xll.BDH("SRPT US Equity","TOT_DBT_AST_EX_OP_LEA_LIAB_AST","FQ2 2020","FQ2 2020","Currency=USD","Period=FQ","BEST_FPERIOD_OVERRIDE=FQ","FILING_STATUS=MR","Sort=A","Dates=H","DateFormat=P","Fill=—","Direction=H","UseDPDF=Y")</f>
        <v>24.713200000000001</v>
      </c>
      <c r="J36" s="14">
        <f>_xll.BDH("SRPT US Equity","TOT_DBT_AST_EX_OP_LEA_LIAB_AST","FQ3 2020","FQ3 2020","Currency=USD","Period=FQ","BEST_FPERIOD_OVERRIDE=FQ","FILING_STATUS=MR","Sort=A","Dates=H","DateFormat=P","Fill=—","Direction=H","UseDPDF=Y")</f>
        <v>25.851600000000001</v>
      </c>
      <c r="K36" s="14">
        <f>_xll.BDH("SRPT US Equity","TOT_DBT_AST_EX_OP_LEA_LIAB_AST","FQ4 2020","FQ4 2020","Currency=USD","Period=FQ","BEST_FPERIOD_OVERRIDE=FQ","FILING_STATUS=MR","Sort=A","Dates=H","DateFormat=P","Fill=—","Direction=H","UseDPDF=Y")</f>
        <v>34.307200000000002</v>
      </c>
      <c r="L36" s="14">
        <f>_xll.BDH("SRPT US Equity","TOT_DBT_AST_EX_OP_LEA_LIAB_AST","FQ1 2021","FQ1 2021","Currency=USD","Period=FQ","BEST_FPERIOD_OVERRIDE=FQ","FILING_STATUS=MR","Sort=A","Dates=H","DateFormat=P","Fill=—","Direction=H","UseDPDF=Y")</f>
        <v>40.408999999999999</v>
      </c>
      <c r="M36" s="14">
        <f>_xll.BDH("SRPT US Equity","TOT_DBT_AST_EX_OP_LEA_LIAB_AST","FQ2 2021","FQ2 2021","Currency=USD","Period=FQ","BEST_FPERIOD_OVERRIDE=FQ","FILING_STATUS=MR","Sort=A","Dates=H","DateFormat=P","Fill=—","Direction=H","UseDPDF=Y")</f>
        <v>40.688800000000001</v>
      </c>
      <c r="N36" s="14">
        <f>_xll.BDH("SRPT US Equity","TOT_DBT_AST_EX_OP_LEA_LIAB_AST","FQ3 2021","FQ3 2021","Currency=USD","Period=FQ","BEST_FPERIOD_OVERRIDE=FQ","FILING_STATUS=MR","Sort=A","Dates=H","DateFormat=P","Fill=—","Direction=H","UseDPDF=Y")</f>
        <v>42.2819</v>
      </c>
      <c r="O36" s="14">
        <f>_xll.BDH("SRPT US Equity","TOT_DBT_AST_EX_OP_LEA_LIAB_AST","FQ4 2021","FQ4 2021","Currency=USD","Period=FQ","BEST_FPERIOD_OVERRIDE=FQ","FILING_STATUS=MR","Sort=A","Dates=H","DateFormat=P","Fill=—","Direction=H","UseDPDF=Y")</f>
        <v>35.355200000000004</v>
      </c>
      <c r="P36" s="14">
        <f>_xll.BDH("SRPT US Equity","TOT_DBT_AST_EX_OP_LEA_LIAB_AST","FQ1 2022","FQ1 2022","Currency=USD","Period=FQ","BEST_FPERIOD_OVERRIDE=FQ","FILING_STATUS=MR","Sort=A","Dates=H","DateFormat=P","Fill=—","Direction=H","UseDPDF=Y")</f>
        <v>36.5045</v>
      </c>
      <c r="Q36" s="14">
        <f>_xll.BDH("SRPT US Equity","TOT_DBT_AST_EX_OP_LEA_LIAB_AST","FQ2 2022","FQ2 2022","Currency=USD","Period=FQ","BEST_FPERIOD_OVERRIDE=FQ","FILING_STATUS=MR","Sort=A","Dates=H","DateFormat=P","Fill=—","Direction=H","UseDPDF=Y")</f>
        <v>37.319600000000001</v>
      </c>
      <c r="R36" s="14">
        <f>_xll.BDH("SRPT US Equity","TOT_DBT_AST_EX_OP_LEA_LIAB_AST","FQ3 2022","FQ3 2022","Currency=USD","Period=FQ","BEST_FPERIOD_OVERRIDE=FQ","FILING_STATUS=MR","Sort=A","Dates=H","DateFormat=P","Fill=—","Direction=H","UseDPDF=Y")</f>
        <v>49.557099999999998</v>
      </c>
      <c r="S36" s="14">
        <f>_xll.BDH("SRPT US Equity","TOT_DBT_AST_EX_OP_LEA_LIAB_AST","FQ4 2022","FQ4 2022","Currency=USD","Period=FQ","BEST_FPERIOD_OVERRIDE=FQ","FILING_STATUS=MR","Sort=A","Dates=H","DateFormat=P","Fill=—","Direction=H","UseDPDF=Y")</f>
        <v>50.410800000000002</v>
      </c>
      <c r="T36" s="14">
        <f>_xll.BDH("SRPT US Equity","TOT_DBT_AST_EX_OP_LEA_LIAB_AST","FQ1 2023","FQ1 2023","Currency=USD","Period=FQ","BEST_FPERIOD_OVERRIDE=FQ","FILING_STATUS=MR","Sort=A","Dates=H","DateFormat=P","Fill=—","Direction=H","UseDPDF=Y")</f>
        <v>41.173400000000001</v>
      </c>
      <c r="U36" s="14">
        <f>_xll.BDH("SRPT US Equity","TOT_DBT_AST_EX_OP_LEA_LIAB_AST","FQ2 2023","FQ2 2023","Currency=USD","Period=FQ","BEST_FPERIOD_OVERRIDE=FQ","FILING_STATUS=MR","Sort=A","Dates=H","DateFormat=P","Fill=—","Direction=H","UseDPDF=Y")</f>
        <v>41.305599999999998</v>
      </c>
      <c r="V36" s="14">
        <f>_xll.BDH("SRPT US Equity","TOT_DBT_AST_EX_OP_LEA_LIAB_AST","FQ3 2023","FQ3 2023","Currency=USD","Period=FQ","BEST_FPERIOD_OVERRIDE=FQ","FILING_STATUS=MR","Sort=A","Dates=H","DateFormat=P","Fill=—","Direction=H","UseDPDF=Y")</f>
        <v>41.554099999999998</v>
      </c>
      <c r="W36" s="14">
        <f>_xll.BDH("SRPT US Equity","TOT_DBT_AST_EX_OP_LEA_LIAB_AST","FQ4 2023","FQ4 2023","Currency=USD","Period=FQ","BEST_FPERIOD_OVERRIDE=FQ","FILING_STATUS=MR","Sort=A","Dates=H","DateFormat=P","Fill=—","Direction=H","UseDPDF=Y")</f>
        <v>39.494300000000003</v>
      </c>
      <c r="X36" s="14">
        <f>_xll.BDH("SRPT US Equity","TOT_DBT_AST_EX_OP_LEA_LIAB_AST","FQ1 2024","FQ1 2024","Currency=USD","Period=FQ","BEST_FPERIOD_OVERRIDE=FQ","FILING_STATUS=MR","Sort=A","Dates=H","DateFormat=P","Fill=—","Direction=H","UseDPDF=Y")</f>
        <v>40</v>
      </c>
      <c r="Y36" s="14">
        <f>_xll.BDH("SRPT US Equity","TOT_DBT_AST_EX_OP_LEA_LIAB_AST","FQ2 2024","FQ2 2024","Currency=USD","Period=FQ","BEST_FPERIOD_OVERRIDE=FQ","FILING_STATUS=MR","Sort=A","Dates=H","DateFormat=P","Fill=—","Direction=H","UseDPDF=Y")</f>
        <v>37.158200000000001</v>
      </c>
      <c r="Z36" s="14">
        <f>_xll.BDH("SRPT US Equity","TOT_DBT_AST_EX_OP_LEA_LIAB_AST","FQ3 2024","FQ3 2024","Currency=USD","Period=FQ","BEST_FPERIOD_OVERRIDE=FQ","FILING_STATUS=MR","Sort=A","Dates=H","DateFormat=P","Fill=—","Direction=H","UseDPDF=Y")</f>
        <v>35.488500000000002</v>
      </c>
      <c r="AA36" s="14">
        <f>_xll.BDH("SRPT US Equity","TOT_DBT_AST_EX_OP_LEA_LIAB_AST","FQ4 2024","FQ4 2024","Currency=USD","Period=FQ","BEST_FPERIOD_OVERRIDE=FQ","FILING_STATUS=MR","Sort=A","Dates=H","DateFormat=P","Fill=—","Direction=H","UseDPDF=Y")</f>
        <v>29.807700000000001</v>
      </c>
    </row>
    <row r="37" spans="1:27" x14ac:dyDescent="0.25">
      <c r="A37" s="10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x14ac:dyDescent="0.25">
      <c r="A38" s="10" t="s">
        <v>1502</v>
      </c>
      <c r="B38" s="10" t="s">
        <v>1528</v>
      </c>
      <c r="C38" s="14">
        <f>_xll.BDH("SRPT US Equity","NET_DBT_EX_OPER_LEA_LIABS_EQTY","FQ4 2018","FQ4 2018","Currency=USD","Period=FQ","BEST_FPERIOD_OVERRIDE=FQ","FILING_STATUS=MR","Sort=A","Dates=H","DateFormat=P","Fill=—","Direction=H","UseDPDF=Y")</f>
        <v>-72.9803</v>
      </c>
      <c r="D38" s="14">
        <f>_xll.BDH("SRPT US Equity","NET_DBT_EX_OPER_LEA_LIABS_EQTY","FQ1 2019","FQ1 2019","Currency=USD","Period=FQ","BEST_FPERIOD_OVERRIDE=FQ","FILING_STATUS=MR","Sort=A","Dates=H","DateFormat=P","Fill=—","Direction=H","UseDPDF=Y")</f>
        <v>-68.106200000000001</v>
      </c>
      <c r="E38" s="14">
        <f>_xll.BDH("SRPT US Equity","NET_DBT_EX_OPER_LEA_LIABS_EQTY","FQ2 2019","FQ2 2019","Currency=USD","Period=FQ","BEST_FPERIOD_OVERRIDE=FQ","FILING_STATUS=MR","Sort=A","Dates=H","DateFormat=P","Fill=—","Direction=H","UseDPDF=Y")</f>
        <v>-61.139800000000001</v>
      </c>
      <c r="F38" s="14">
        <f>_xll.BDH("SRPT US Equity","NET_DBT_EX_OPER_LEA_LIABS_EQTY","FQ3 2019","FQ3 2019","Currency=USD","Period=FQ","BEST_FPERIOD_OVERRIDE=FQ","FILING_STATUS=MR","Sort=A","Dates=H","DateFormat=P","Fill=—","Direction=H","UseDPDF=Y")</f>
        <v>-61.542299999999997</v>
      </c>
      <c r="G38" s="14">
        <f>_xll.BDH("SRPT US Equity","NET_DBT_EX_OPER_LEA_LIABS_EQTY","FQ4 2019","FQ4 2019","Currency=USD","Period=FQ","BEST_FPERIOD_OVERRIDE=FQ","FILING_STATUS=MR","Sort=A","Dates=H","DateFormat=P","Fill=—","Direction=H","UseDPDF=Y")</f>
        <v>-54.125500000000002</v>
      </c>
      <c r="H38" s="14">
        <f>_xll.BDH("SRPT US Equity","NET_DBT_EX_OPER_LEA_LIABS_EQTY","FQ1 2020","FQ1 2020","Currency=USD","Period=FQ","BEST_FPERIOD_OVERRIDE=FQ","FILING_STATUS=MR","Sort=A","Dates=H","DateFormat=P","Fill=—","Direction=H","UseDPDF=Y")</f>
        <v>-130.3921</v>
      </c>
      <c r="I38" s="14">
        <f>_xll.BDH("SRPT US Equity","NET_DBT_EX_OPER_LEA_LIABS_EQTY","FQ2 2020","FQ2 2020","Currency=USD","Period=FQ","BEST_FPERIOD_OVERRIDE=FQ","FILING_STATUS=MR","Sort=A","Dates=H","DateFormat=P","Fill=—","Direction=H","UseDPDF=Y")</f>
        <v>-132.0129</v>
      </c>
      <c r="J38" s="14">
        <f>_xll.BDH("SRPT US Equity","NET_DBT_EX_OPER_LEA_LIABS_EQTY","FQ3 2020","FQ3 2020","Currency=USD","Period=FQ","BEST_FPERIOD_OVERRIDE=FQ","FILING_STATUS=MR","Sort=A","Dates=H","DateFormat=P","Fill=—","Direction=H","UseDPDF=Y")</f>
        <v>-126.1369</v>
      </c>
      <c r="K38" s="14">
        <f>_xll.BDH("SRPT US Equity","NET_DBT_EX_OPER_LEA_LIABS_EQTY","FQ4 2020","FQ4 2020","Currency=USD","Period=FQ","BEST_FPERIOD_OVERRIDE=FQ","FILING_STATUS=MR","Sort=A","Dates=H","DateFormat=P","Fill=—","Direction=H","UseDPDF=Y")</f>
        <v>-125.41930000000001</v>
      </c>
      <c r="L38" s="14">
        <f>_xll.BDH("SRPT US Equity","NET_DBT_EX_OPER_LEA_LIABS_EQTY","FQ1 2021","FQ1 2021","Currency=USD","Period=FQ","BEST_FPERIOD_OVERRIDE=FQ","FILING_STATUS=MR","Sort=A","Dates=H","DateFormat=P","Fill=—","Direction=H","UseDPDF=Y")</f>
        <v>-122.52200000000001</v>
      </c>
      <c r="M38" s="14">
        <f>_xll.BDH("SRPT US Equity","NET_DBT_EX_OPER_LEA_LIABS_EQTY","FQ2 2021","FQ2 2021","Currency=USD","Period=FQ","BEST_FPERIOD_OVERRIDE=FQ","FILING_STATUS=MR","Sort=A","Dates=H","DateFormat=P","Fill=—","Direction=H","UseDPDF=Y")</f>
        <v>-132.67250000000001</v>
      </c>
      <c r="N38" s="14">
        <f>_xll.BDH("SRPT US Equity","NET_DBT_EX_OPER_LEA_LIABS_EQTY","FQ3 2021","FQ3 2021","Currency=USD","Period=FQ","BEST_FPERIOD_OVERRIDE=FQ","FILING_STATUS=MR","Sort=A","Dates=H","DateFormat=P","Fill=—","Direction=H","UseDPDF=Y")</f>
        <v>-109.3686</v>
      </c>
      <c r="O38" s="14">
        <f>_xll.BDH("SRPT US Equity","NET_DBT_EX_OPER_LEA_LIABS_EQTY","FQ4 2021","FQ4 2021","Currency=USD","Period=FQ","BEST_FPERIOD_OVERRIDE=FQ","FILING_STATUS=MR","Sort=A","Dates=H","DateFormat=P","Fill=—","Direction=H","UseDPDF=Y")</f>
        <v>-110.87139999999999</v>
      </c>
      <c r="P38" s="14">
        <f>_xll.BDH("SRPT US Equity","NET_DBT_EX_OPER_LEA_LIABS_EQTY","FQ1 2022","FQ1 2022","Currency=USD","Period=FQ","BEST_FPERIOD_OVERRIDE=FQ","FILING_STATUS=MR","Sort=A","Dates=H","DateFormat=P","Fill=—","Direction=H","UseDPDF=Y")</f>
        <v>-107.85939999999999</v>
      </c>
      <c r="Q38" s="14">
        <f>_xll.BDH("SRPT US Equity","NET_DBT_EX_OPER_LEA_LIABS_EQTY","FQ2 2022","FQ2 2022","Currency=USD","Period=FQ","BEST_FPERIOD_OVERRIDE=FQ","FILING_STATUS=MR","Sort=A","Dates=H","DateFormat=P","Fill=—","Direction=H","UseDPDF=Y")</f>
        <v>-116.4068</v>
      </c>
      <c r="R38" s="14">
        <f>_xll.BDH("SRPT US Equity","NET_DBT_EX_OPER_LEA_LIABS_EQTY","FQ3 2022","FQ3 2022","Currency=USD","Period=FQ","BEST_FPERIOD_OVERRIDE=FQ","FILING_STATUS=MR","Sort=A","Dates=H","DateFormat=P","Fill=—","Direction=H","UseDPDF=Y")</f>
        <v>-127.3647</v>
      </c>
      <c r="S38" s="14">
        <f>_xll.BDH("SRPT US Equity","NET_DBT_EX_OPER_LEA_LIABS_EQTY","FQ4 2022","FQ4 2022","Currency=USD","Period=FQ","BEST_FPERIOD_OVERRIDE=FQ","FILING_STATUS=MR","Sort=A","Dates=H","DateFormat=P","Fill=—","Direction=H","UseDPDF=Y")</f>
        <v>-120.56270000000001</v>
      </c>
      <c r="T38" s="14">
        <f>_xll.BDH("SRPT US Equity","NET_DBT_EX_OPER_LEA_LIABS_EQTY","FQ1 2023","FQ1 2023","Currency=USD","Period=FQ","BEST_FPERIOD_OVERRIDE=FQ","FILING_STATUS=MR","Sort=A","Dates=H","DateFormat=P","Fill=—","Direction=H","UseDPDF=Y")</f>
        <v>-93.558499999999995</v>
      </c>
      <c r="U38" s="14">
        <f>_xll.BDH("SRPT US Equity","NET_DBT_EX_OPER_LEA_LIABS_EQTY","FQ2 2023","FQ2 2023","Currency=USD","Period=FQ","BEST_FPERIOD_OVERRIDE=FQ","FILING_STATUS=MR","Sort=A","Dates=H","DateFormat=P","Fill=—","Direction=H","UseDPDF=Y")</f>
        <v>-86.891300000000001</v>
      </c>
      <c r="V38" s="14">
        <f>_xll.BDH("SRPT US Equity","NET_DBT_EX_OPER_LEA_LIABS_EQTY","FQ3 2023","FQ3 2023","Currency=USD","Period=FQ","BEST_FPERIOD_OVERRIDE=FQ","FILING_STATUS=MR","Sort=A","Dates=H","DateFormat=P","Fill=—","Direction=H","UseDPDF=Y")</f>
        <v>-65.975300000000004</v>
      </c>
      <c r="W38" s="14">
        <f>_xll.BDH("SRPT US Equity","NET_DBT_EX_OPER_LEA_LIABS_EQTY","FQ4 2023","FQ4 2023","Currency=USD","Period=FQ","BEST_FPERIOD_OVERRIDE=FQ","FILING_STATUS=MR","Sort=A","Dates=H","DateFormat=P","Fill=—","Direction=H","UseDPDF=Y")</f>
        <v>-51.758400000000002</v>
      </c>
      <c r="X38" s="14">
        <f>_xll.BDH("SRPT US Equity","NET_DBT_EX_OPER_LEA_LIABS_EQTY","FQ1 2024","FQ1 2024","Currency=USD","Period=FQ","BEST_FPERIOD_OVERRIDE=FQ","FILING_STATUS=MR","Sort=A","Dates=H","DateFormat=P","Fill=—","Direction=H","UseDPDF=Y")</f>
        <v>-17.382200000000001</v>
      </c>
      <c r="Y38" s="14">
        <f>_xll.BDH("SRPT US Equity","NET_DBT_EX_OPER_LEA_LIABS_EQTY","FQ2 2024","FQ2 2024","Currency=USD","Period=FQ","BEST_FPERIOD_OVERRIDE=FQ","FILING_STATUS=MR","Sort=A","Dates=H","DateFormat=P","Fill=—","Direction=H","UseDPDF=Y")</f>
        <v>-23.186800000000002</v>
      </c>
      <c r="Z38" s="14">
        <f>_xll.BDH("SRPT US Equity","NET_DBT_EX_OPER_LEA_LIABS_EQTY","FQ3 2024","FQ3 2024","Currency=USD","Period=FQ","BEST_FPERIOD_OVERRIDE=FQ","FILING_STATUS=MR","Sort=A","Dates=H","DateFormat=P","Fill=—","Direction=H","UseDPDF=Y")</f>
        <v>2.0022000000000002</v>
      </c>
      <c r="AA38" s="14">
        <f>_xll.BDH("SRPT US Equity","NET_DBT_EX_OPER_LEA_LIABS_EQTY","FQ4 2024","FQ4 2024","Currency=USD","Period=FQ","BEST_FPERIOD_OVERRIDE=FQ","FILING_STATUS=MR","Sort=A","Dates=H","DateFormat=P","Fill=—","Direction=H","UseDPDF=Y")</f>
        <v>-14.490500000000001</v>
      </c>
    </row>
    <row r="39" spans="1:27" x14ac:dyDescent="0.25">
      <c r="A39" s="10" t="s">
        <v>1503</v>
      </c>
      <c r="B39" s="10" t="s">
        <v>1529</v>
      </c>
      <c r="C39" s="14">
        <f>_xll.BDH("SRPT US Equity","NET_DBT_CPTL_EX_OPER_LEA_LIABS","FQ4 2018","FQ4 2018","Currency=USD","Period=FQ","BEST_FPERIOD_OVERRIDE=FQ","FILING_STATUS=MR","Sort=A","Dates=H","DateFormat=P","Fill=—","Direction=H","UseDPDF=Y")</f>
        <v>-270.10019999999997</v>
      </c>
      <c r="D39" s="14">
        <f>_xll.BDH("SRPT US Equity","NET_DBT_CPTL_EX_OPER_LEA_LIABS","FQ1 2019","FQ1 2019","Currency=USD","Period=FQ","BEST_FPERIOD_OVERRIDE=FQ","FILING_STATUS=MR","Sort=A","Dates=H","DateFormat=P","Fill=—","Direction=H","UseDPDF=Y")</f>
        <v>-213.54079999999999</v>
      </c>
      <c r="E39" s="14">
        <f>_xll.BDH("SRPT US Equity","NET_DBT_CPTL_EX_OPER_LEA_LIABS","FQ2 2019","FQ2 2019","Currency=USD","Period=FQ","BEST_FPERIOD_OVERRIDE=FQ","FILING_STATUS=MR","Sort=A","Dates=H","DateFormat=P","Fill=—","Direction=H","UseDPDF=Y")</f>
        <v>-157.333</v>
      </c>
      <c r="F39" s="14">
        <f>_xll.BDH("SRPT US Equity","NET_DBT_CPTL_EX_OPER_LEA_LIABS","FQ3 2019","FQ3 2019","Currency=USD","Period=FQ","BEST_FPERIOD_OVERRIDE=FQ","FILING_STATUS=MR","Sort=A","Dates=H","DateFormat=P","Fill=—","Direction=H","UseDPDF=Y")</f>
        <v>-160.0257</v>
      </c>
      <c r="G39" s="14">
        <f>_xll.BDH("SRPT US Equity","NET_DBT_CPTL_EX_OPER_LEA_LIABS","FQ4 2019","FQ4 2019","Currency=USD","Period=FQ","BEST_FPERIOD_OVERRIDE=FQ","FILING_STATUS=MR","Sort=A","Dates=H","DateFormat=P","Fill=—","Direction=H","UseDPDF=Y")</f>
        <v>-117.98609999999999</v>
      </c>
      <c r="H39" s="14">
        <f>_xll.BDH("SRPT US Equity","NET_DBT_CPTL_EX_OPER_LEA_LIABS","FQ1 2020","FQ1 2020","Currency=USD","Period=FQ","BEST_FPERIOD_OVERRIDE=FQ","FILING_STATUS=MR","Sort=A","Dates=H","DateFormat=P","Fill=—","Direction=H","UseDPDF=Y")</f>
        <v>429.03309999999999</v>
      </c>
      <c r="I39" s="14">
        <f>_xll.BDH("SRPT US Equity","NET_DBT_CPTL_EX_OPER_LEA_LIABS","FQ2 2020","FQ2 2020","Currency=USD","Period=FQ","BEST_FPERIOD_OVERRIDE=FQ","FILING_STATUS=MR","Sort=A","Dates=H","DateFormat=P","Fill=—","Direction=H","UseDPDF=Y")</f>
        <v>412.37369999999999</v>
      </c>
      <c r="J39" s="14">
        <f>_xll.BDH("SRPT US Equity","NET_DBT_CPTL_EX_OPER_LEA_LIABS","FQ3 2020","FQ3 2020","Currency=USD","Period=FQ","BEST_FPERIOD_OVERRIDE=FQ","FILING_STATUS=MR","Sort=A","Dates=H","DateFormat=P","Fill=—","Direction=H","UseDPDF=Y")</f>
        <v>482.60160000000002</v>
      </c>
      <c r="K39" s="14">
        <f>_xll.BDH("SRPT US Equity","NET_DBT_CPTL_EX_OPER_LEA_LIABS","FQ4 2020","FQ4 2020","Currency=USD","Period=FQ","BEST_FPERIOD_OVERRIDE=FQ","FILING_STATUS=MR","Sort=A","Dates=H","DateFormat=P","Fill=—","Direction=H","UseDPDF=Y")</f>
        <v>493.4015</v>
      </c>
      <c r="L39" s="14">
        <f>_xll.BDH("SRPT US Equity","NET_DBT_CPTL_EX_OPER_LEA_LIABS","FQ1 2021","FQ1 2021","Currency=USD","Period=FQ","BEST_FPERIOD_OVERRIDE=FQ","FILING_STATUS=MR","Sort=A","Dates=H","DateFormat=P","Fill=—","Direction=H","UseDPDF=Y")</f>
        <v>544.01</v>
      </c>
      <c r="M39" s="14">
        <f>_xll.BDH("SRPT US Equity","NET_DBT_CPTL_EX_OPER_LEA_LIABS","FQ2 2021","FQ2 2021","Currency=USD","Period=FQ","BEST_FPERIOD_OVERRIDE=FQ","FILING_STATUS=MR","Sort=A","Dates=H","DateFormat=P","Fill=—","Direction=H","UseDPDF=Y")</f>
        <v>406.06760000000003</v>
      </c>
      <c r="N39" s="14">
        <f>_xll.BDH("SRPT US Equity","NET_DBT_CPTL_EX_OPER_LEA_LIABS","FQ3 2021","FQ3 2021","Currency=USD","Period=FQ","BEST_FPERIOD_OVERRIDE=FQ","FILING_STATUS=MR","Sort=A","Dates=H","DateFormat=P","Fill=—","Direction=H","UseDPDF=Y")</f>
        <v>1167.4002</v>
      </c>
      <c r="O39" s="14">
        <f>_xll.BDH("SRPT US Equity","NET_DBT_CPTL_EX_OPER_LEA_LIABS","FQ4 2021","FQ4 2021","Currency=USD","Period=FQ","BEST_FPERIOD_OVERRIDE=FQ","FILING_STATUS=MR","Sort=A","Dates=H","DateFormat=P","Fill=—","Direction=H","UseDPDF=Y")</f>
        <v>1019.8407999999999</v>
      </c>
      <c r="P39" s="14">
        <f>_xll.BDH("SRPT US Equity","NET_DBT_CPTL_EX_OPER_LEA_LIABS","FQ1 2022","FQ1 2022","Currency=USD","Period=FQ","BEST_FPERIOD_OVERRIDE=FQ","FILING_STATUS=MR","Sort=A","Dates=H","DateFormat=P","Fill=—","Direction=H","UseDPDF=Y")</f>
        <v>1372.3635999999999</v>
      </c>
      <c r="Q39" s="14">
        <f>_xll.BDH("SRPT US Equity","NET_DBT_CPTL_EX_OPER_LEA_LIABS","FQ2 2022","FQ2 2022","Currency=USD","Period=FQ","BEST_FPERIOD_OVERRIDE=FQ","FILING_STATUS=MR","Sort=A","Dates=H","DateFormat=P","Fill=—","Direction=H","UseDPDF=Y")</f>
        <v>709.50519999999995</v>
      </c>
      <c r="R39" s="14">
        <f>_xll.BDH("SRPT US Equity","NET_DBT_CPTL_EX_OPER_LEA_LIABS","FQ3 2022","FQ3 2022","Currency=USD","Period=FQ","BEST_FPERIOD_OVERRIDE=FQ","FILING_STATUS=MR","Sort=A","Dates=H","DateFormat=P","Fill=—","Direction=H","UseDPDF=Y")</f>
        <v>465.43450000000001</v>
      </c>
      <c r="S39" s="14">
        <f>_xll.BDH("SRPT US Equity","NET_DBT_CPTL_EX_OPER_LEA_LIABS","FQ4 2022","FQ4 2022","Currency=USD","Period=FQ","BEST_FPERIOD_OVERRIDE=FQ","FILING_STATUS=MR","Sort=A","Dates=H","DateFormat=P","Fill=—","Direction=H","UseDPDF=Y")</f>
        <v>586.31820000000005</v>
      </c>
      <c r="T39" s="14">
        <f>_xll.BDH("SRPT US Equity","NET_DBT_CPTL_EX_OPER_LEA_LIABS","FQ1 2023","FQ1 2023","Currency=USD","Period=FQ","BEST_FPERIOD_OVERRIDE=FQ","FILING_STATUS=MR","Sort=A","Dates=H","DateFormat=P","Fill=—","Direction=H","UseDPDF=Y")</f>
        <v>-1452.4241999999999</v>
      </c>
      <c r="U39" s="14">
        <f>_xll.BDH("SRPT US Equity","NET_DBT_CPTL_EX_OPER_LEA_LIABS","FQ2 2023","FQ2 2023","Currency=USD","Period=FQ","BEST_FPERIOD_OVERRIDE=FQ","FILING_STATUS=MR","Sort=A","Dates=H","DateFormat=P","Fill=—","Direction=H","UseDPDF=Y")</f>
        <v>-662.85479999999995</v>
      </c>
      <c r="V39" s="14">
        <f>_xll.BDH("SRPT US Equity","NET_DBT_CPTL_EX_OPER_LEA_LIABS","FQ3 2023","FQ3 2023","Currency=USD","Period=FQ","BEST_FPERIOD_OVERRIDE=FQ","FILING_STATUS=MR","Sort=A","Dates=H","DateFormat=P","Fill=—","Direction=H","UseDPDF=Y")</f>
        <v>-193.90430000000001</v>
      </c>
      <c r="W39" s="14">
        <f>_xll.BDH("SRPT US Equity","NET_DBT_CPTL_EX_OPER_LEA_LIABS","FQ4 2023","FQ4 2023","Currency=USD","Period=FQ","BEST_FPERIOD_OVERRIDE=FQ","FILING_STATUS=MR","Sort=A","Dates=H","DateFormat=P","Fill=—","Direction=H","UseDPDF=Y")</f>
        <v>-107.2899</v>
      </c>
      <c r="X39" s="14">
        <f>_xll.BDH("SRPT US Equity","NET_DBT_CPTL_EX_OPER_LEA_LIABS","FQ1 2024","FQ1 2024","Currency=USD","Period=FQ","BEST_FPERIOD_OVERRIDE=FQ","FILING_STATUS=MR","Sort=A","Dates=H","DateFormat=P","Fill=—","Direction=H","UseDPDF=Y")</f>
        <v>-21.039200000000001</v>
      </c>
      <c r="Y39" s="14">
        <f>_xll.BDH("SRPT US Equity","NET_DBT_CPTL_EX_OPER_LEA_LIABS","FQ2 2024","FQ2 2024","Currency=USD","Period=FQ","BEST_FPERIOD_OVERRIDE=FQ","FILING_STATUS=MR","Sort=A","Dates=H","DateFormat=P","Fill=—","Direction=H","UseDPDF=Y")</f>
        <v>-30.186</v>
      </c>
      <c r="Z39" s="14">
        <f>_xll.BDH("SRPT US Equity","NET_DBT_CPTL_EX_OPER_LEA_LIABS","FQ3 2024","FQ3 2024","Currency=USD","Period=FQ","BEST_FPERIOD_OVERRIDE=FQ","FILING_STATUS=MR","Sort=A","Dates=H","DateFormat=P","Fill=—","Direction=H","UseDPDF=Y")</f>
        <v>1.9629000000000001</v>
      </c>
      <c r="AA39" s="14">
        <f>_xll.BDH("SRPT US Equity","NET_DBT_CPTL_EX_OPER_LEA_LIABS","FQ4 2024","FQ4 2024","Currency=USD","Period=FQ","BEST_FPERIOD_OVERRIDE=FQ","FILING_STATUS=MR","Sort=A","Dates=H","DateFormat=P","Fill=—","Direction=H","UseDPDF=Y")</f>
        <v>-16.946100000000001</v>
      </c>
    </row>
    <row r="40" spans="1:27" x14ac:dyDescent="0.25">
      <c r="A40" s="10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5">
      <c r="A41" s="10" t="s">
        <v>78</v>
      </c>
      <c r="B41" s="10" t="s">
        <v>1530</v>
      </c>
      <c r="C41" s="13">
        <f>_xll.BDH("SRPT US Equity","EBITDA_AFTER_OPERATING_LEA_EXPN","FQ4 2018","FQ4 2018","Currency=USD","Period=FQ","BEST_FPERIOD_OVERRIDE=FQ","FILING_STATUS=MR","SCALING_FORMAT=MLN","FA_ADJUSTED=GAAP","Sort=A","Dates=H","DateFormat=P","Fill=—","Direction=H","UseDPDF=Y")</f>
        <v>-135.83600000000001</v>
      </c>
      <c r="D41" s="13">
        <f>_xll.BDH("SRPT US Equity","EBITDA_AFTER_OPERATING_LEA_EXPN","FQ1 2019","FQ1 2019","Currency=USD","Period=FQ","BEST_FPERIOD_OVERRIDE=FQ","FILING_STATUS=MR","SCALING_FORMAT=MLN","FA_ADJUSTED=GAAP","Sort=A","Dates=H","DateFormat=P","Fill=—","Direction=H","UseDPDF=Y")</f>
        <v>-70.016999999999996</v>
      </c>
      <c r="E41" s="13">
        <f>_xll.BDH("SRPT US Equity","EBITDA_AFTER_OPERATING_LEA_EXPN","FQ2 2019","FQ2 2019","Currency=USD","Period=FQ","BEST_FPERIOD_OVERRIDE=FQ","FILING_STATUS=MR","SCALING_FORMAT=MLN","FA_ADJUSTED=GAAP","Sort=A","Dates=H","DateFormat=P","Fill=—","Direction=H","UseDPDF=Y")</f>
        <v>-267.673</v>
      </c>
      <c r="F41" s="13">
        <f>_xll.BDH("SRPT US Equity","EBITDA_AFTER_OPERATING_LEA_EXPN","FQ3 2019","FQ3 2019","Currency=USD","Period=FQ","BEST_FPERIOD_OVERRIDE=FQ","FILING_STATUS=MR","SCALING_FORMAT=MLN","FA_ADJUSTED=GAAP","Sort=A","Dates=H","DateFormat=P","Fill=—","Direction=H","UseDPDF=Y")</f>
        <v>-115.313</v>
      </c>
      <c r="G41" s="13">
        <f>_xll.BDH("SRPT US Equity","EBITDA_AFTER_OPERATING_LEA_EXPN","FQ4 2019","FQ4 2019","Currency=USD","Period=FQ","BEST_FPERIOD_OVERRIDE=FQ","FILING_STATUS=MR","SCALING_FORMAT=MLN","FA_ADJUSTED=GAAP","Sort=A","Dates=H","DateFormat=P","Fill=—","Direction=H","UseDPDF=Y")</f>
        <v>-222.01300000000001</v>
      </c>
      <c r="H41" s="13">
        <f>_xll.BDH("SRPT US Equity","EBITDA_AFTER_OPERATING_LEA_EXPN","FQ1 2020","FQ1 2020","Currency=USD","Period=FQ","BEST_FPERIOD_OVERRIDE=FQ","FILING_STATUS=MR","SCALING_FORMAT=MLN","FA_ADJUSTED=GAAP","Sort=A","Dates=H","DateFormat=P","Fill=—","Direction=H","UseDPDF=Y")</f>
        <v>-111.497</v>
      </c>
      <c r="I41" s="13">
        <f>_xll.BDH("SRPT US Equity","EBITDA_AFTER_OPERATING_LEA_EXPN","FQ2 2020","FQ2 2020","Currency=USD","Period=FQ","BEST_FPERIOD_OVERRIDE=FQ","FILING_STATUS=MR","SCALING_FORMAT=MLN","FA_ADJUSTED=GAAP","Sort=A","Dates=H","DateFormat=P","Fill=—","Direction=H","UseDPDF=Y")</f>
        <v>-131.87799999999999</v>
      </c>
      <c r="J41" s="13">
        <f>_xll.BDH("SRPT US Equity","EBITDA_AFTER_OPERATING_LEA_EXPN","FQ3 2020","FQ3 2020","Currency=USD","Period=FQ","BEST_FPERIOD_OVERRIDE=FQ","FILING_STATUS=MR","SCALING_FORMAT=MLN","FA_ADJUSTED=GAAP","Sort=A","Dates=H","DateFormat=P","Fill=—","Direction=H","UseDPDF=Y")</f>
        <v>-130.44900000000001</v>
      </c>
      <c r="K41" s="13">
        <f>_xll.BDH("SRPT US Equity","EBITDA_AFTER_OPERATING_LEA_EXPN","FQ4 2020","FQ4 2020","Currency=USD","Period=FQ","BEST_FPERIOD_OVERRIDE=FQ","FILING_STATUS=MR","SCALING_FORMAT=MLN","FA_ADJUSTED=GAAP","Sort=A","Dates=H","DateFormat=P","Fill=—","Direction=H","UseDPDF=Y")</f>
        <v>-163.428</v>
      </c>
      <c r="L41" s="13">
        <f>_xll.BDH("SRPT US Equity","EBITDA_AFTER_OPERATING_LEA_EXPN","FQ1 2021","FQ1 2021","Currency=USD","Period=FQ","BEST_FPERIOD_OVERRIDE=FQ","FILING_STATUS=MR","SCALING_FORMAT=MLN","FA_ADJUSTED=GAAP","Sort=A","Dates=H","DateFormat=P","Fill=—","Direction=H","UseDPDF=Y")</f>
        <v>-142.935</v>
      </c>
      <c r="M41" s="13">
        <f>_xll.BDH("SRPT US Equity","EBITDA_AFTER_OPERATING_LEA_EXPN","FQ2 2021","FQ2 2021","Currency=USD","Period=FQ","BEST_FPERIOD_OVERRIDE=FQ","FILING_STATUS=MR","SCALING_FORMAT=MLN","FA_ADJUSTED=GAAP","Sort=A","Dates=H","DateFormat=P","Fill=—","Direction=H","UseDPDF=Y")</f>
        <v>-159.12700000000001</v>
      </c>
      <c r="N41" s="13">
        <f>_xll.BDH("SRPT US Equity","EBITDA_AFTER_OPERATING_LEA_EXPN","FQ3 2021","FQ3 2021","Currency=USD","Period=FQ","BEST_FPERIOD_OVERRIDE=FQ","FILING_STATUS=MR","SCALING_FORMAT=MLN","FA_ADJUSTED=GAAP","Sort=A","Dates=H","DateFormat=P","Fill=—","Direction=H","UseDPDF=Y")</f>
        <v>-23.963000000000001</v>
      </c>
      <c r="O41" s="13">
        <f>_xll.BDH("SRPT US Equity","EBITDA_AFTER_OPERATING_LEA_EXPN","FQ4 2021","FQ4 2021","Currency=USD","Period=FQ","BEST_FPERIOD_OVERRIDE=FQ","FILING_STATUS=MR","SCALING_FORMAT=MLN","FA_ADJUSTED=GAAP","Sort=A","Dates=H","DateFormat=P","Fill=—","Direction=H","UseDPDF=Y")</f>
        <v>-95.668000000000006</v>
      </c>
      <c r="P41" s="13">
        <f>_xll.BDH("SRPT US Equity","EBITDA_AFTER_OPERATING_LEA_EXPN","FQ1 2022","FQ1 2022","Currency=USD","Period=FQ","BEST_FPERIOD_OVERRIDE=FQ","FILING_STATUS=MR","SCALING_FORMAT=MLN","FA_ADJUSTED=GAAP","Sort=A","Dates=H","DateFormat=P","Fill=—","Direction=H","UseDPDF=Y")</f>
        <v>-76.162000000000006</v>
      </c>
      <c r="Q41" s="13">
        <f>_xll.BDH("SRPT US Equity","EBITDA_AFTER_OPERATING_LEA_EXPN","FQ2 2022","FQ2 2022","Currency=USD","Period=FQ","BEST_FPERIOD_OVERRIDE=FQ","FILING_STATUS=MR","SCALING_FORMAT=MLN","FA_ADJUSTED=GAAP","Sort=A","Dates=H","DateFormat=P","Fill=—","Direction=H","UseDPDF=Y")</f>
        <v>-201.24299999999999</v>
      </c>
      <c r="R41" s="13">
        <f>_xll.BDH("SRPT US Equity","EBITDA_AFTER_OPERATING_LEA_EXPN","FQ3 2022","FQ3 2022","Currency=USD","Period=FQ","BEST_FPERIOD_OVERRIDE=FQ","FILING_STATUS=MR","SCALING_FORMAT=MLN","FA_ADJUSTED=GAAP","Sort=A","Dates=H","DateFormat=P","Fill=—","Direction=H","UseDPDF=Y")</f>
        <v>-120.652</v>
      </c>
      <c r="S41" s="13">
        <f>_xll.BDH("SRPT US Equity","EBITDA_AFTER_OPERATING_LEA_EXPN","FQ4 2022","FQ4 2022","Currency=USD","Period=FQ","BEST_FPERIOD_OVERRIDE=FQ","FILING_STATUS=MR","SCALING_FORMAT=MLN","FA_ADJUSTED=GAAP","Sort=A","Dates=H","DateFormat=P","Fill=—","Direction=H","UseDPDF=Y")</f>
        <v>-96.28</v>
      </c>
      <c r="T41" s="13">
        <f>_xll.BDH("SRPT US Equity","EBITDA_AFTER_OPERATING_LEA_EXPN","FQ1 2023","FQ1 2023","Currency=USD","Period=FQ","BEST_FPERIOD_OVERRIDE=FQ","FILING_STATUS=MR","SCALING_FORMAT=MLN","FA_ADJUSTED=GAAP","Sort=A","Dates=H","DateFormat=P","Fill=—","Direction=H","UseDPDF=Y")</f>
        <v>-126.783</v>
      </c>
      <c r="U41" s="13">
        <f>_xll.BDH("SRPT US Equity","EBITDA_AFTER_OPERATING_LEA_EXPN","FQ2 2023","FQ2 2023","Currency=USD","Period=FQ","BEST_FPERIOD_OVERRIDE=FQ","FILING_STATUS=MR","SCALING_FORMAT=MLN","FA_ADJUSTED=GAAP","Sort=A","Dates=H","DateFormat=P","Fill=—","Direction=H","UseDPDF=Y")</f>
        <v>-122.727</v>
      </c>
      <c r="V41" s="13">
        <f>_xll.BDH("SRPT US Equity","EBITDA_AFTER_OPERATING_LEA_EXPN","FQ3 2023","FQ3 2023","Currency=USD","Period=FQ","BEST_FPERIOD_OVERRIDE=FQ","FILING_STATUS=MR","SCALING_FORMAT=MLN","FA_ADJUSTED=GAAP","Sort=A","Dates=H","DateFormat=P","Fill=—","Direction=H","UseDPDF=Y")</f>
        <v>-9.9139999999999997</v>
      </c>
      <c r="W41" s="13">
        <f>_xll.BDH("SRPT US Equity","EBITDA_AFTER_OPERATING_LEA_EXPN","FQ4 2023","FQ4 2023","Currency=USD","Period=FQ","BEST_FPERIOD_OVERRIDE=FQ","FILING_STATUS=MR","SCALING_FORMAT=MLN","FA_ADJUSTED=GAAP","Sort=A","Dates=H","DateFormat=P","Fill=—","Direction=H","UseDPDF=Y")</f>
        <v>35.997</v>
      </c>
      <c r="X41" s="13">
        <f>_xll.BDH("SRPT US Equity","EBITDA_AFTER_OPERATING_LEA_EXPN","FQ1 2024","FQ1 2024","Currency=USD","Period=FQ","BEST_FPERIOD_OVERRIDE=FQ","FILING_STATUS=MR","SCALING_FORMAT=MLN","FA_ADJUSTED=GAAP","Sort=A","Dates=H","DateFormat=P","Fill=—","Direction=H","UseDPDF=Y")</f>
        <v>43.649000000000001</v>
      </c>
      <c r="Y41" s="13">
        <f>_xll.BDH("SRPT US Equity","EBITDA_AFTER_OPERATING_LEA_EXPN","FQ2 2024","FQ2 2024","Currency=USD","Period=FQ","BEST_FPERIOD_OVERRIDE=FQ","FILING_STATUS=MR","SCALING_FORMAT=MLN","FA_ADJUSTED=GAAP","Sort=A","Dates=H","DateFormat=P","Fill=—","Direction=H","UseDPDF=Y")</f>
        <v>8.0180000000000007</v>
      </c>
      <c r="Z41" s="13">
        <f>_xll.BDH("SRPT US Equity","EBITDA_AFTER_OPERATING_LEA_EXPN","FQ3 2024","FQ3 2024","Currency=USD","Period=FQ","BEST_FPERIOD_OVERRIDE=FQ","FILING_STATUS=MR","SCALING_FORMAT=MLN","FA_ADJUSTED=GAAP","Sort=A","Dates=H","DateFormat=P","Fill=—","Direction=H","UseDPDF=Y")</f>
        <v>32.002000000000002</v>
      </c>
      <c r="AA41" s="13">
        <f>_xll.BDH("SRPT US Equity","EBITDA_AFTER_OPERATING_LEA_EXPN","FQ4 2024","FQ4 2024","Currency=USD","Period=FQ","BEST_FPERIOD_OVERRIDE=FQ","FILING_STATUS=MR","SCALING_FORMAT=MLN","FA_ADJUSTED=GAAP","Sort=A","Dates=H","DateFormat=P","Fill=—","Direction=H","UseDPDF=Y")</f>
        <v>172.136</v>
      </c>
    </row>
    <row r="42" spans="1:27" x14ac:dyDescent="0.25">
      <c r="A42" s="10" t="s">
        <v>1505</v>
      </c>
      <c r="B42" s="10" t="s">
        <v>1531</v>
      </c>
      <c r="C42" s="13">
        <f>_xll.BDH("SRPT US Equity","EBITDA_AFT_CAPEX_AND_OP_LEA_EXPN","FQ4 2018","FQ4 2018","Currency=USD","Period=FQ","BEST_FPERIOD_OVERRIDE=FQ","FILING_STATUS=MR","SCALING_FORMAT=MLN","FA_ADJUSTED=GAAP","Sort=A","Dates=H","DateFormat=P","Fill=—","Direction=H","UseDPDF=Y")</f>
        <v>-156.03899999999999</v>
      </c>
      <c r="D42" s="13">
        <f>_xll.BDH("SRPT US Equity","EBITDA_AFT_CAPEX_AND_OP_LEA_EXPN","FQ1 2019","FQ1 2019","Currency=USD","Period=FQ","BEST_FPERIOD_OVERRIDE=FQ","FILING_STATUS=MR","SCALING_FORMAT=MLN","FA_ADJUSTED=GAAP","Sort=A","Dates=H","DateFormat=P","Fill=—","Direction=H","UseDPDF=Y")</f>
        <v>-86.28</v>
      </c>
      <c r="E42" s="13">
        <f>_xll.BDH("SRPT US Equity","EBITDA_AFT_CAPEX_AND_OP_LEA_EXPN","FQ2 2019","FQ2 2019","Currency=USD","Period=FQ","BEST_FPERIOD_OVERRIDE=FQ","FILING_STATUS=MR","SCALING_FORMAT=MLN","FA_ADJUSTED=GAAP","Sort=A","Dates=H","DateFormat=P","Fill=—","Direction=H","UseDPDF=Y")</f>
        <v>-284.35500000000002</v>
      </c>
      <c r="F42" s="13">
        <f>_xll.BDH("SRPT US Equity","EBITDA_AFT_CAPEX_AND_OP_LEA_EXPN","FQ3 2019","FQ3 2019","Currency=USD","Period=FQ","BEST_FPERIOD_OVERRIDE=FQ","FILING_STATUS=MR","SCALING_FORMAT=MLN","FA_ADJUSTED=GAAP","Sort=A","Dates=H","DateFormat=P","Fill=—","Direction=H","UseDPDF=Y")</f>
        <v>-124.742</v>
      </c>
      <c r="G42" s="13">
        <f>_xll.BDH("SRPT US Equity","EBITDA_AFT_CAPEX_AND_OP_LEA_EXPN","FQ4 2019","FQ4 2019","Currency=USD","Period=FQ","BEST_FPERIOD_OVERRIDE=FQ","FILING_STATUS=MR","SCALING_FORMAT=MLN","FA_ADJUSTED=GAAP","Sort=A","Dates=H","DateFormat=P","Fill=—","Direction=H","UseDPDF=Y")</f>
        <v>-239.27</v>
      </c>
      <c r="H42" s="13">
        <f>_xll.BDH("SRPT US Equity","EBITDA_AFT_CAPEX_AND_OP_LEA_EXPN","FQ1 2020","FQ1 2020","Currency=USD","Period=FQ","BEST_FPERIOD_OVERRIDE=FQ","FILING_STATUS=MR","SCALING_FORMAT=MLN","FA_ADJUSTED=GAAP","Sort=A","Dates=H","DateFormat=P","Fill=—","Direction=H","UseDPDF=Y")</f>
        <v>-120.617</v>
      </c>
      <c r="I42" s="13">
        <f>_xll.BDH("SRPT US Equity","EBITDA_AFT_CAPEX_AND_OP_LEA_EXPN","FQ2 2020","FQ2 2020","Currency=USD","Period=FQ","BEST_FPERIOD_OVERRIDE=FQ","FILING_STATUS=MR","SCALING_FORMAT=MLN","FA_ADJUSTED=GAAP","Sort=A","Dates=H","DateFormat=P","Fill=—","Direction=H","UseDPDF=Y")</f>
        <v>-151.047</v>
      </c>
      <c r="J42" s="13">
        <f>_xll.BDH("SRPT US Equity","EBITDA_AFT_CAPEX_AND_OP_LEA_EXPN","FQ3 2020","FQ3 2020","Currency=USD","Period=FQ","BEST_FPERIOD_OVERRIDE=FQ","FILING_STATUS=MR","SCALING_FORMAT=MLN","FA_ADJUSTED=GAAP","Sort=A","Dates=H","DateFormat=P","Fill=—","Direction=H","UseDPDF=Y")</f>
        <v>-155.75200000000001</v>
      </c>
      <c r="K42" s="13">
        <f>_xll.BDH("SRPT US Equity","EBITDA_AFT_CAPEX_AND_OP_LEA_EXPN","FQ4 2020","FQ4 2020","Currency=USD","Period=FQ","BEST_FPERIOD_OVERRIDE=FQ","FILING_STATUS=MR","SCALING_FORMAT=MLN","FA_ADJUSTED=GAAP","Sort=A","Dates=H","DateFormat=P","Fill=—","Direction=H","UseDPDF=Y")</f>
        <v>-189.44200000000001</v>
      </c>
      <c r="L42" s="13">
        <f>_xll.BDH("SRPT US Equity","EBITDA_AFT_CAPEX_AND_OP_LEA_EXPN","FQ1 2021","FQ1 2021","Currency=USD","Period=FQ","BEST_FPERIOD_OVERRIDE=FQ","FILING_STATUS=MR","SCALING_FORMAT=MLN","FA_ADJUSTED=GAAP","Sort=A","Dates=H","DateFormat=P","Fill=—","Direction=H","UseDPDF=Y")</f>
        <v>-164.084</v>
      </c>
      <c r="M42" s="13">
        <f>_xll.BDH("SRPT US Equity","EBITDA_AFT_CAPEX_AND_OP_LEA_EXPN","FQ2 2021","FQ2 2021","Currency=USD","Period=FQ","BEST_FPERIOD_OVERRIDE=FQ","FILING_STATUS=MR","SCALING_FORMAT=MLN","FA_ADJUSTED=GAAP","Sort=A","Dates=H","DateFormat=P","Fill=—","Direction=H","UseDPDF=Y")</f>
        <v>-165.02099999999999</v>
      </c>
      <c r="N42" s="13">
        <f>_xll.BDH("SRPT US Equity","EBITDA_AFT_CAPEX_AND_OP_LEA_EXPN","FQ3 2021","FQ3 2021","Currency=USD","Period=FQ","BEST_FPERIOD_OVERRIDE=FQ","FILING_STATUS=MR","SCALING_FORMAT=MLN","FA_ADJUSTED=GAAP","Sort=A","Dates=H","DateFormat=P","Fill=—","Direction=H","UseDPDF=Y")</f>
        <v>-33.204000000000001</v>
      </c>
      <c r="O42" s="13">
        <f>_xll.BDH("SRPT US Equity","EBITDA_AFT_CAPEX_AND_OP_LEA_EXPN","FQ4 2021","FQ4 2021","Currency=USD","Period=FQ","BEST_FPERIOD_OVERRIDE=FQ","FILING_STATUS=MR","SCALING_FORMAT=MLN","FA_ADJUSTED=GAAP","Sort=A","Dates=H","DateFormat=P","Fill=—","Direction=H","UseDPDF=Y")</f>
        <v>-97.873999999999995</v>
      </c>
      <c r="P42" s="13">
        <f>_xll.BDH("SRPT US Equity","EBITDA_AFT_CAPEX_AND_OP_LEA_EXPN","FQ1 2022","FQ1 2022","Currency=USD","Period=FQ","BEST_FPERIOD_OVERRIDE=FQ","FILING_STATUS=MR","SCALING_FORMAT=MLN","FA_ADJUSTED=GAAP","Sort=A","Dates=H","DateFormat=P","Fill=—","Direction=H","UseDPDF=Y")</f>
        <v>-81.712999999999994</v>
      </c>
      <c r="Q42" s="13">
        <f>_xll.BDH("SRPT US Equity","EBITDA_AFT_CAPEX_AND_OP_LEA_EXPN","FQ2 2022","FQ2 2022","Currency=USD","Period=FQ","BEST_FPERIOD_OVERRIDE=FQ","FILING_STATUS=MR","SCALING_FORMAT=MLN","FA_ADJUSTED=GAAP","Sort=A","Dates=H","DateFormat=P","Fill=—","Direction=H","UseDPDF=Y")</f>
        <v>-210.321</v>
      </c>
      <c r="R42" s="13">
        <f>_xll.BDH("SRPT US Equity","EBITDA_AFT_CAPEX_AND_OP_LEA_EXPN","FQ3 2022","FQ3 2022","Currency=USD","Period=FQ","BEST_FPERIOD_OVERRIDE=FQ","FILING_STATUS=MR","SCALING_FORMAT=MLN","FA_ADJUSTED=GAAP","Sort=A","Dates=H","DateFormat=P","Fill=—","Direction=H","UseDPDF=Y")</f>
        <v>-128.88300000000001</v>
      </c>
      <c r="S42" s="13">
        <f>_xll.BDH("SRPT US Equity","EBITDA_AFT_CAPEX_AND_OP_LEA_EXPN","FQ4 2022","FQ4 2022","Currency=USD","Period=FQ","BEST_FPERIOD_OVERRIDE=FQ","FILING_STATUS=MR","SCALING_FORMAT=MLN","FA_ADJUSTED=GAAP","Sort=A","Dates=H","DateFormat=P","Fill=—","Direction=H","UseDPDF=Y")</f>
        <v>-103.01900000000001</v>
      </c>
      <c r="T42" s="13">
        <f>_xll.BDH("SRPT US Equity","EBITDA_AFT_CAPEX_AND_OP_LEA_EXPN","FQ1 2023","FQ1 2023","Currency=USD","Period=FQ","BEST_FPERIOD_OVERRIDE=FQ","FILING_STATUS=MR","SCALING_FORMAT=MLN","FA_ADJUSTED=GAAP","Sort=A","Dates=H","DateFormat=P","Fill=—","Direction=H","UseDPDF=Y")</f>
        <v>-136.268</v>
      </c>
      <c r="U42" s="13">
        <f>_xll.BDH("SRPT US Equity","EBITDA_AFT_CAPEX_AND_OP_LEA_EXPN","FQ2 2023","FQ2 2023","Currency=USD","Period=FQ","BEST_FPERIOD_OVERRIDE=FQ","FILING_STATUS=MR","SCALING_FORMAT=MLN","FA_ADJUSTED=GAAP","Sort=A","Dates=H","DateFormat=P","Fill=—","Direction=H","UseDPDF=Y")</f>
        <v>-140.636</v>
      </c>
      <c r="V42" s="13">
        <f>_xll.BDH("SRPT US Equity","EBITDA_AFT_CAPEX_AND_OP_LEA_EXPN","FQ3 2023","FQ3 2023","Currency=USD","Period=FQ","BEST_FPERIOD_OVERRIDE=FQ","FILING_STATUS=MR","SCALING_FORMAT=MLN","FA_ADJUSTED=GAAP","Sort=A","Dates=H","DateFormat=P","Fill=—","Direction=H","UseDPDF=Y")</f>
        <v>-39.587000000000003</v>
      </c>
      <c r="W42" s="13">
        <f>_xll.BDH("SRPT US Equity","EBITDA_AFT_CAPEX_AND_OP_LEA_EXPN","FQ4 2023","FQ4 2023","Currency=USD","Period=FQ","BEST_FPERIOD_OVERRIDE=FQ","FILING_STATUS=MR","SCALING_FORMAT=MLN","FA_ADJUSTED=GAAP","Sort=A","Dates=H","DateFormat=P","Fill=—","Direction=H","UseDPDF=Y")</f>
        <v>16.957999999999998</v>
      </c>
      <c r="X42" s="13">
        <f>_xll.BDH("SRPT US Equity","EBITDA_AFT_CAPEX_AND_OP_LEA_EXPN","FQ1 2024","FQ1 2024","Currency=USD","Period=FQ","BEST_FPERIOD_OVERRIDE=FQ","FILING_STATUS=MR","SCALING_FORMAT=MLN","FA_ADJUSTED=GAAP","Sort=A","Dates=H","DateFormat=P","Fill=—","Direction=H","UseDPDF=Y")</f>
        <v>11.205</v>
      </c>
      <c r="Y42" s="13">
        <f>_xll.BDH("SRPT US Equity","EBITDA_AFT_CAPEX_AND_OP_LEA_EXPN","FQ2 2024","FQ2 2024","Currency=USD","Period=FQ","BEST_FPERIOD_OVERRIDE=FQ","FILING_STATUS=MR","SCALING_FORMAT=MLN","FA_ADJUSTED=GAAP","Sort=A","Dates=H","DateFormat=P","Fill=—","Direction=H","UseDPDF=Y")</f>
        <v>-21.149000000000001</v>
      </c>
      <c r="Z42" s="13">
        <f>_xll.BDH("SRPT US Equity","EBITDA_AFT_CAPEX_AND_OP_LEA_EXPN","FQ3 2024","FQ3 2024","Currency=USD","Period=FQ","BEST_FPERIOD_OVERRIDE=FQ","FILING_STATUS=MR","SCALING_FORMAT=MLN","FA_ADJUSTED=GAAP","Sort=A","Dates=H","DateFormat=P","Fill=—","Direction=H","UseDPDF=Y")</f>
        <v>-5.2610000000000001</v>
      </c>
      <c r="AA42" s="13">
        <f>_xll.BDH("SRPT US Equity","EBITDA_AFT_CAPEX_AND_OP_LEA_EXPN","FQ4 2024","FQ4 2024","Currency=USD","Period=FQ","BEST_FPERIOD_OVERRIDE=FQ","FILING_STATUS=MR","SCALING_FORMAT=MLN","FA_ADJUSTED=GAAP","Sort=A","Dates=H","DateFormat=P","Fill=—","Direction=H","UseDPDF=Y")</f>
        <v>134.054</v>
      </c>
    </row>
    <row r="43" spans="1:27" x14ac:dyDescent="0.25">
      <c r="A43" s="10" t="s">
        <v>142</v>
      </c>
      <c r="B43" s="10" t="s">
        <v>1532</v>
      </c>
      <c r="C43" s="13">
        <f>_xll.BDH("SRPT US Equity","EBIT_AFTER_OPERATING_LEASE","FQ4 2018","FQ4 2018","Currency=USD","Period=FQ","BEST_FPERIOD_OVERRIDE=FQ","FILING_STATUS=MR","SCALING_FORMAT=MLN","FA_ADJUSTED=GAAP","Sort=A","Dates=H","DateFormat=P","Fill=—","Direction=H","UseDPDF=Y")</f>
        <v>-139.363</v>
      </c>
      <c r="D43" s="13">
        <f>_xll.BDH("SRPT US Equity","EBIT_AFTER_OPERATING_LEASE","FQ1 2019","FQ1 2019","Currency=USD","Period=FQ","BEST_FPERIOD_OVERRIDE=FQ","FILING_STATUS=MR","SCALING_FORMAT=MLN","FA_ADJUSTED=GAAP","Sort=A","Dates=H","DateFormat=P","Fill=—","Direction=H","UseDPDF=Y")</f>
        <v>-76.387</v>
      </c>
      <c r="E43" s="13">
        <f>_xll.BDH("SRPT US Equity","EBIT_AFTER_OPERATING_LEASE","FQ2 2019","FQ2 2019","Currency=USD","Period=FQ","BEST_FPERIOD_OVERRIDE=FQ","FILING_STATUS=MR","SCALING_FORMAT=MLN","FA_ADJUSTED=GAAP","Sort=A","Dates=H","DateFormat=P","Fill=—","Direction=H","UseDPDF=Y")</f>
        <v>-275.36700000000002</v>
      </c>
      <c r="F43" s="13">
        <f>_xll.BDH("SRPT US Equity","EBIT_AFTER_OPERATING_LEASE","FQ3 2019","FQ3 2019","Currency=USD","Period=FQ","BEST_FPERIOD_OVERRIDE=FQ","FILING_STATUS=MR","SCALING_FORMAT=MLN","FA_ADJUSTED=GAAP","Sort=A","Dates=H","DateFormat=P","Fill=—","Direction=H","UseDPDF=Y")</f>
        <v>-123.59</v>
      </c>
      <c r="G43" s="13">
        <f>_xll.BDH("SRPT US Equity","EBIT_AFTER_OPERATING_LEASE","FQ4 2019","FQ4 2019","Currency=USD","Period=FQ","BEST_FPERIOD_OVERRIDE=FQ","FILING_STATUS=MR","SCALING_FORMAT=MLN","FA_ADJUSTED=GAAP","Sort=A","Dates=H","DateFormat=P","Fill=—","Direction=H","UseDPDF=Y")</f>
        <v>-230.21899999999999</v>
      </c>
      <c r="H43" s="13">
        <f>_xll.BDH("SRPT US Equity","EBIT_AFTER_OPERATING_LEASE","FQ1 2020","FQ1 2020","Currency=USD","Period=FQ","BEST_FPERIOD_OVERRIDE=FQ","FILING_STATUS=MR","SCALING_FORMAT=MLN","FA_ADJUSTED=GAAP","Sort=A","Dates=H","DateFormat=P","Fill=—","Direction=H","UseDPDF=Y")</f>
        <v>-118.026</v>
      </c>
      <c r="I43" s="13">
        <f>_xll.BDH("SRPT US Equity","EBIT_AFTER_OPERATING_LEASE","FQ2 2020","FQ2 2020","Currency=USD","Period=FQ","BEST_FPERIOD_OVERRIDE=FQ","FILING_STATUS=MR","SCALING_FORMAT=MLN","FA_ADJUSTED=GAAP","Sort=A","Dates=H","DateFormat=P","Fill=—","Direction=H","UseDPDF=Y")</f>
        <v>-138.35300000000001</v>
      </c>
      <c r="J43" s="13">
        <f>_xll.BDH("SRPT US Equity","EBIT_AFTER_OPERATING_LEASE","FQ3 2020","FQ3 2020","Currency=USD","Period=FQ","BEST_FPERIOD_OVERRIDE=FQ","FILING_STATUS=MR","SCALING_FORMAT=MLN","FA_ADJUSTED=GAAP","Sort=A","Dates=H","DateFormat=P","Fill=—","Direction=H","UseDPDF=Y")</f>
        <v>-137.06800000000001</v>
      </c>
      <c r="K43" s="13">
        <f>_xll.BDH("SRPT US Equity","EBIT_AFTER_OPERATING_LEASE","FQ4 2020","FQ4 2020","Currency=USD","Period=FQ","BEST_FPERIOD_OVERRIDE=FQ","FILING_STATUS=MR","SCALING_FORMAT=MLN","FA_ADJUSTED=GAAP","Sort=A","Dates=H","DateFormat=P","Fill=—","Direction=H","UseDPDF=Y")</f>
        <v>-170.71600000000001</v>
      </c>
      <c r="L43" s="13">
        <f>_xll.BDH("SRPT US Equity","EBIT_AFTER_OPERATING_LEASE","FQ1 2021","FQ1 2021","Currency=USD","Period=FQ","BEST_FPERIOD_OVERRIDE=FQ","FILING_STATUS=MR","SCALING_FORMAT=MLN","FA_ADJUSTED=GAAP","Sort=A","Dates=H","DateFormat=P","Fill=—","Direction=H","UseDPDF=Y")</f>
        <v>-151.86500000000001</v>
      </c>
      <c r="M43" s="13">
        <f>_xll.BDH("SRPT US Equity","EBIT_AFTER_OPERATING_LEASE","FQ2 2021","FQ2 2021","Currency=USD","Period=FQ","BEST_FPERIOD_OVERRIDE=FQ","FILING_STATUS=MR","SCALING_FORMAT=MLN","FA_ADJUSTED=GAAP","Sort=A","Dates=H","DateFormat=P","Fill=—","Direction=H","UseDPDF=Y")</f>
        <v>-167.57400000000001</v>
      </c>
      <c r="N43" s="13">
        <f>_xll.BDH("SRPT US Equity","EBIT_AFTER_OPERATING_LEASE","FQ3 2021","FQ3 2021","Currency=USD","Period=FQ","BEST_FPERIOD_OVERRIDE=FQ","FILING_STATUS=MR","SCALING_FORMAT=MLN","FA_ADJUSTED=GAAP","Sort=A","Dates=H","DateFormat=P","Fill=—","Direction=H","UseDPDF=Y")</f>
        <v>-34.457999999999998</v>
      </c>
      <c r="O43" s="13">
        <f>_xll.BDH("SRPT US Equity","EBIT_AFTER_OPERATING_LEASE","FQ4 2021","FQ4 2021","Currency=USD","Period=FQ","BEST_FPERIOD_OVERRIDE=FQ","FILING_STATUS=MR","SCALING_FORMAT=MLN","FA_ADJUSTED=GAAP","Sort=A","Dates=H","DateFormat=P","Fill=—","Direction=H","UseDPDF=Y")</f>
        <v>-105.813</v>
      </c>
      <c r="P43" s="13">
        <f>_xll.BDH("SRPT US Equity","EBIT_AFTER_OPERATING_LEASE","FQ1 2022","FQ1 2022","Currency=USD","Period=FQ","BEST_FPERIOD_OVERRIDE=FQ","FILING_STATUS=MR","SCALING_FORMAT=MLN","FA_ADJUSTED=GAAP","Sort=A","Dates=H","DateFormat=P","Fill=—","Direction=H","UseDPDF=Y")</f>
        <v>-86.881</v>
      </c>
      <c r="Q43" s="13">
        <f>_xll.BDH("SRPT US Equity","EBIT_AFTER_OPERATING_LEASE","FQ2 2022","FQ2 2022","Currency=USD","Period=FQ","BEST_FPERIOD_OVERRIDE=FQ","FILING_STATUS=MR","SCALING_FORMAT=MLN","FA_ADJUSTED=GAAP","Sort=A","Dates=H","DateFormat=P","Fill=—","Direction=H","UseDPDF=Y")</f>
        <v>-211.13200000000001</v>
      </c>
      <c r="R43" s="13">
        <f>_xll.BDH("SRPT US Equity","EBIT_AFTER_OPERATING_LEASE","FQ3 2022","FQ3 2022","Currency=USD","Period=FQ","BEST_FPERIOD_OVERRIDE=FQ","FILING_STATUS=MR","SCALING_FORMAT=MLN","FA_ADJUSTED=GAAP","Sort=A","Dates=H","DateFormat=P","Fill=—","Direction=H","UseDPDF=Y")</f>
        <v>-131.35499999999999</v>
      </c>
      <c r="S43" s="13">
        <f>_xll.BDH("SRPT US Equity","EBIT_AFTER_OPERATING_LEASE","FQ4 2022","FQ4 2022","Currency=USD","Period=FQ","BEST_FPERIOD_OVERRIDE=FQ","FILING_STATUS=MR","SCALING_FORMAT=MLN","FA_ADJUSTED=GAAP","Sort=A","Dates=H","DateFormat=P","Fill=—","Direction=H","UseDPDF=Y")</f>
        <v>-106.833</v>
      </c>
      <c r="T43" s="13">
        <f>_xll.BDH("SRPT US Equity","EBIT_AFTER_OPERATING_LEASE","FQ1 2023","FQ1 2023","Currency=USD","Period=FQ","BEST_FPERIOD_OVERRIDE=FQ","FILING_STATUS=MR","SCALING_FORMAT=MLN","FA_ADJUSTED=GAAP","Sort=A","Dates=H","DateFormat=P","Fill=—","Direction=H","UseDPDF=Y")</f>
        <v>-138.08799999999999</v>
      </c>
      <c r="U43" s="13">
        <f>_xll.BDH("SRPT US Equity","EBIT_AFTER_OPERATING_LEASE","FQ2 2023","FQ2 2023","Currency=USD","Period=FQ","BEST_FPERIOD_OVERRIDE=FQ","FILING_STATUS=MR","SCALING_FORMAT=MLN","FA_ADJUSTED=GAAP","Sort=A","Dates=H","DateFormat=P","Fill=—","Direction=H","UseDPDF=Y")</f>
        <v>-133.51900000000001</v>
      </c>
      <c r="V43" s="13">
        <f>_xll.BDH("SRPT US Equity","EBIT_AFTER_OPERATING_LEASE","FQ3 2023","FQ3 2023","Currency=USD","Period=FQ","BEST_FPERIOD_OVERRIDE=FQ","FILING_STATUS=MR","SCALING_FORMAT=MLN","FA_ADJUSTED=GAAP","Sort=A","Dates=H","DateFormat=P","Fill=—","Direction=H","UseDPDF=Y")</f>
        <v>-20.841999999999999</v>
      </c>
      <c r="W43" s="13">
        <f>_xll.BDH("SRPT US Equity","EBIT_AFTER_OPERATING_LEASE","FQ4 2023","FQ4 2023","Currency=USD","Period=FQ","BEST_FPERIOD_OVERRIDE=FQ","FILING_STATUS=MR","SCALING_FORMAT=MLN","FA_ADJUSTED=GAAP","Sort=A","Dates=H","DateFormat=P","Fill=—","Direction=H","UseDPDF=Y")</f>
        <v>24.625</v>
      </c>
      <c r="X43" s="13">
        <f>_xll.BDH("SRPT US Equity","EBIT_AFTER_OPERATING_LEASE","FQ1 2024","FQ1 2024","Currency=USD","Period=FQ","BEST_FPERIOD_OVERRIDE=FQ","FILING_STATUS=MR","SCALING_FORMAT=MLN","FA_ADJUSTED=GAAP","Sort=A","Dates=H","DateFormat=P","Fill=—","Direction=H","UseDPDF=Y")</f>
        <v>34.905000000000001</v>
      </c>
      <c r="Y43" s="13">
        <f>_xll.BDH("SRPT US Equity","EBIT_AFTER_OPERATING_LEASE","FQ2 2024","FQ2 2024","Currency=USD","Period=FQ","BEST_FPERIOD_OVERRIDE=FQ","FILING_STATUS=MR","SCALING_FORMAT=MLN","FA_ADJUSTED=GAAP","Sort=A","Dates=H","DateFormat=P","Fill=—","Direction=H","UseDPDF=Y")</f>
        <v>-0.70099999999999996</v>
      </c>
      <c r="Z43" s="13">
        <f>_xll.BDH("SRPT US Equity","EBIT_AFTER_OPERATING_LEASE","FQ3 2024","FQ3 2024","Currency=USD","Period=FQ","BEST_FPERIOD_OVERRIDE=FQ","FILING_STATUS=MR","SCALING_FORMAT=MLN","FA_ADJUSTED=GAAP","Sort=A","Dates=H","DateFormat=P","Fill=—","Direction=H","UseDPDF=Y")</f>
        <v>22.196000000000002</v>
      </c>
      <c r="AA43" s="13">
        <f>_xll.BDH("SRPT US Equity","EBIT_AFTER_OPERATING_LEASE","FQ4 2024","FQ4 2024","Currency=USD","Period=FQ","BEST_FPERIOD_OVERRIDE=FQ","FILING_STATUS=MR","SCALING_FORMAT=MLN","FA_ADJUSTED=GAAP","Sort=A","Dates=H","DateFormat=P","Fill=—","Direction=H","UseDPDF=Y")</f>
        <v>161.68100000000001</v>
      </c>
    </row>
    <row r="44" spans="1:27" x14ac:dyDescent="0.25">
      <c r="A44" s="7" t="s">
        <v>90</v>
      </c>
      <c r="B44" s="7"/>
      <c r="C44" s="7" t="s">
        <v>5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25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1533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10" t="s">
        <v>1534</v>
      </c>
      <c r="B6" s="10" t="s">
        <v>1535</v>
      </c>
      <c r="C6" s="14">
        <f>_xll.BDH("SRPT US Equity","CASH_RATIO","FQ4 2018","FQ4 2018","Currency=USD","Period=FQ","BEST_FPERIOD_OVERRIDE=FQ","FILING_STATUS=MR","Sort=A","Dates=H","DateFormat=P","Fill=—","Direction=H","UseDPDF=Y")</f>
        <v>6.7587000000000002</v>
      </c>
      <c r="D6" s="14">
        <f>_xll.BDH("SRPT US Equity","CASH_RATIO","FQ1 2019","FQ1 2019","Currency=USD","Period=FQ","BEST_FPERIOD_OVERRIDE=FQ","FILING_STATUS=MR","Sort=A","Dates=H","DateFormat=P","Fill=—","Direction=H","UseDPDF=Y")</f>
        <v>9.7856000000000005</v>
      </c>
      <c r="E6" s="14">
        <f>_xll.BDH("SRPT US Equity","CASH_RATIO","FQ2 2019","FQ2 2019","Currency=USD","Period=FQ","BEST_FPERIOD_OVERRIDE=FQ","FILING_STATUS=MR","Sort=A","Dates=H","DateFormat=P","Fill=—","Direction=H","UseDPDF=Y")</f>
        <v>6.8052999999999999</v>
      </c>
      <c r="F6" s="14">
        <f>_xll.BDH("SRPT US Equity","CASH_RATIO","FQ3 2019","FQ3 2019","Currency=USD","Period=FQ","BEST_FPERIOD_OVERRIDE=FQ","FILING_STATUS=MR","Sort=A","Dates=H","DateFormat=P","Fill=—","Direction=H","UseDPDF=Y")</f>
        <v>4.8592000000000004</v>
      </c>
      <c r="G6" s="14">
        <f>_xll.BDH("SRPT US Equity","CASH_RATIO","FQ4 2019","FQ4 2019","Currency=USD","Period=FQ","BEST_FPERIOD_OVERRIDE=FQ","FILING_STATUS=MR","Sort=A","Dates=H","DateFormat=P","Fill=—","Direction=H","UseDPDF=Y")</f>
        <v>4.2481</v>
      </c>
      <c r="H6" s="14">
        <f>_xll.BDH("SRPT US Equity","CASH_RATIO","FQ1 2020","FQ1 2020","Currency=USD","Period=FQ","BEST_FPERIOD_OVERRIDE=FQ","FILING_STATUS=MR","Sort=A","Dates=H","DateFormat=P","Fill=—","Direction=H","UseDPDF=Y")</f>
        <v>7.0853000000000002</v>
      </c>
      <c r="I6" s="14">
        <f>_xll.BDH("SRPT US Equity","CASH_RATIO","FQ2 2020","FQ2 2020","Currency=USD","Period=FQ","BEST_FPERIOD_OVERRIDE=FQ","FILING_STATUS=MR","Sort=A","Dates=H","DateFormat=P","Fill=—","Direction=H","UseDPDF=Y")</f>
        <v>5.8082000000000003</v>
      </c>
      <c r="J6" s="14">
        <f>_xll.BDH("SRPT US Equity","CASH_RATIO","FQ3 2020","FQ3 2020","Currency=USD","Period=FQ","BEST_FPERIOD_OVERRIDE=FQ","FILING_STATUS=MR","Sort=A","Dates=H","DateFormat=P","Fill=—","Direction=H","UseDPDF=Y")</f>
        <v>4.7995999999999999</v>
      </c>
      <c r="K6" s="14">
        <f>_xll.BDH("SRPT US Equity","CASH_RATIO","FQ4 2020","FQ4 2020","Currency=USD","Period=FQ","BEST_FPERIOD_OVERRIDE=FQ","FILING_STATUS=MR","Sort=A","Dates=H","DateFormat=P","Fill=—","Direction=H","UseDPDF=Y")</f>
        <v>4.6597</v>
      </c>
      <c r="L6" s="14">
        <f>_xll.BDH("SRPT US Equity","CASH_RATIO","FQ1 2021","FQ1 2021","Currency=USD","Period=FQ","BEST_FPERIOD_OVERRIDE=FQ","FILING_STATUS=MR","Sort=A","Dates=H","DateFormat=P","Fill=—","Direction=H","UseDPDF=Y")</f>
        <v>4.7645999999999997</v>
      </c>
      <c r="M6" s="14">
        <f>_xll.BDH("SRPT US Equity","CASH_RATIO","FQ2 2021","FQ2 2021","Currency=USD","Period=FQ","BEST_FPERIOD_OVERRIDE=FQ","FILING_STATUS=MR","Sort=A","Dates=H","DateFormat=P","Fill=—","Direction=H","UseDPDF=Y")</f>
        <v>4.0640000000000001</v>
      </c>
      <c r="N6" s="14">
        <f>_xll.BDH("SRPT US Equity","CASH_RATIO","FQ3 2021","FQ3 2021","Currency=USD","Period=FQ","BEST_FPERIOD_OVERRIDE=FQ","FILING_STATUS=MR","Sort=A","Dates=H","DateFormat=P","Fill=—","Direction=H","UseDPDF=Y")</f>
        <v>4.2820999999999998</v>
      </c>
      <c r="O6" s="14">
        <f>_xll.BDH("SRPT US Equity","CASH_RATIO","FQ4 2021","FQ4 2021","Currency=USD","Period=FQ","BEST_FPERIOD_OVERRIDE=FQ","FILING_STATUS=MR","Sort=A","Dates=H","DateFormat=P","Fill=—","Direction=H","UseDPDF=Y")</f>
        <v>4.6734999999999998</v>
      </c>
      <c r="P6" s="14">
        <f>_xll.BDH("SRPT US Equity","CASH_RATIO","FQ1 2022","FQ1 2022","Currency=USD","Period=FQ","BEST_FPERIOD_OVERRIDE=FQ","FILING_STATUS=MR","Sort=A","Dates=H","DateFormat=P","Fill=—","Direction=H","UseDPDF=Y")</f>
        <v>4.4255000000000004</v>
      </c>
      <c r="Q6" s="14">
        <f>_xll.BDH("SRPT US Equity","CASH_RATIO","FQ2 2022","FQ2 2022","Currency=USD","Period=FQ","BEST_FPERIOD_OVERRIDE=FQ","FILING_STATUS=MR","Sort=A","Dates=H","DateFormat=P","Fill=—","Direction=H","UseDPDF=Y")</f>
        <v>3.5339999999999998</v>
      </c>
      <c r="R6" s="14">
        <f>_xll.BDH("SRPT US Equity","CASH_RATIO","FQ3 2022","FQ3 2022","Currency=USD","Period=FQ","BEST_FPERIOD_OVERRIDE=FQ","FILING_STATUS=MR","Sort=A","Dates=H","DateFormat=P","Fill=—","Direction=H","UseDPDF=Y")</f>
        <v>3.4373999999999998</v>
      </c>
      <c r="S6" s="14">
        <f>_xll.BDH("SRPT US Equity","CASH_RATIO","FQ4 2022","FQ4 2022","Currency=USD","Period=FQ","BEST_FPERIOD_OVERRIDE=FQ","FILING_STATUS=MR","Sort=A","Dates=H","DateFormat=P","Fill=—","Direction=H","UseDPDF=Y")</f>
        <v>3.2107000000000001</v>
      </c>
      <c r="T6" s="14">
        <f>_xll.BDH("SRPT US Equity","CASH_RATIO","FQ1 2023","FQ1 2023","Currency=USD","Period=FQ","BEST_FPERIOD_OVERRIDE=FQ","FILING_STATUS=MR","Sort=A","Dates=H","DateFormat=P","Fill=—","Direction=H","UseDPDF=Y")</f>
        <v>3.5055999999999998</v>
      </c>
      <c r="U6" s="14">
        <f>_xll.BDH("SRPT US Equity","CASH_RATIO","FQ2 2023","FQ2 2023","Currency=USD","Period=FQ","BEST_FPERIOD_OVERRIDE=FQ","FILING_STATUS=MR","Sort=A","Dates=H","DateFormat=P","Fill=—","Direction=H","UseDPDF=Y")</f>
        <v>3.7315</v>
      </c>
      <c r="V6" s="14">
        <f>_xll.BDH("SRPT US Equity","CASH_RATIO","FQ3 2023","FQ3 2023","Currency=USD","Period=FQ","BEST_FPERIOD_OVERRIDE=FQ","FILING_STATUS=MR","Sort=A","Dates=H","DateFormat=P","Fill=—","Direction=H","UseDPDF=Y")</f>
        <v>3.8460000000000001</v>
      </c>
      <c r="W6" s="14">
        <f>_xll.BDH("SRPT US Equity","CASH_RATIO","FQ4 2023","FQ4 2023","Currency=USD","Period=FQ","BEST_FPERIOD_OVERRIDE=FQ","FILING_STATUS=MR","Sort=A","Dates=H","DateFormat=P","Fill=—","Direction=H","UseDPDF=Y")</f>
        <v>2.5644</v>
      </c>
      <c r="X6" s="14">
        <f>_xll.BDH("SRPT US Equity","CASH_RATIO","FQ1 2024","FQ1 2024","Currency=USD","Period=FQ","BEST_FPERIOD_OVERRIDE=FQ","FILING_STATUS=MR","Sort=A","Dates=H","DateFormat=P","Fill=—","Direction=H","UseDPDF=Y")</f>
        <v>2.2847</v>
      </c>
      <c r="Y6" s="14">
        <f>_xll.BDH("SRPT US Equity","CASH_RATIO","FQ2 2024","FQ2 2024","Currency=USD","Period=FQ","BEST_FPERIOD_OVERRIDE=FQ","FILING_STATUS=MR","Sort=A","Dates=H","DateFormat=P","Fill=—","Direction=H","UseDPDF=Y")</f>
        <v>2.1213000000000002</v>
      </c>
      <c r="Z6" s="14">
        <f>_xll.BDH("SRPT US Equity","CASH_RATIO","FQ3 2024","FQ3 2024","Currency=USD","Period=FQ","BEST_FPERIOD_OVERRIDE=FQ","FILING_STATUS=MR","Sort=A","Dates=H","DateFormat=P","Fill=—","Direction=H","UseDPDF=Y")</f>
        <v>1.7132000000000001</v>
      </c>
      <c r="AA6" s="14">
        <f>_xll.BDH("SRPT US Equity","CASH_RATIO","FQ4 2024","FQ4 2024","Currency=USD","Period=FQ","BEST_FPERIOD_OVERRIDE=FQ","FILING_STATUS=MR","Sort=A","Dates=H","DateFormat=P","Fill=—","Direction=H","UseDPDF=Y")</f>
        <v>1.8515999999999999</v>
      </c>
    </row>
    <row r="7" spans="1:27" x14ac:dyDescent="0.25">
      <c r="A7" s="10" t="s">
        <v>840</v>
      </c>
      <c r="B7" s="10" t="s">
        <v>841</v>
      </c>
      <c r="C7" s="14">
        <f>_xll.BDH("SRPT US Equity","CUR_RATIO","FQ4 2018","FQ4 2018","Currency=USD","Period=FQ","BEST_FPERIOD_OVERRIDE=FQ","FILING_STATUS=MR","Sort=A","Dates=H","DateFormat=P","Fill=—","Direction=H","UseDPDF=Y")</f>
        <v>8.2111000000000001</v>
      </c>
      <c r="D7" s="14">
        <f>_xll.BDH("SRPT US Equity","CUR_RATIO","FQ1 2019","FQ1 2019","Currency=USD","Period=FQ","BEST_FPERIOD_OVERRIDE=FQ","FILING_STATUS=MR","Sort=A","Dates=H","DateFormat=P","Fill=—","Direction=H","UseDPDF=Y")</f>
        <v>12.1677</v>
      </c>
      <c r="E7" s="14">
        <f>_xll.BDH("SRPT US Equity","CUR_RATIO","FQ2 2019","FQ2 2019","Currency=USD","Period=FQ","BEST_FPERIOD_OVERRIDE=FQ","FILING_STATUS=MR","Sort=A","Dates=H","DateFormat=P","Fill=—","Direction=H","UseDPDF=Y")</f>
        <v>8.8064</v>
      </c>
      <c r="F7" s="14">
        <f>_xll.BDH("SRPT US Equity","CUR_RATIO","FQ3 2019","FQ3 2019","Currency=USD","Period=FQ","BEST_FPERIOD_OVERRIDE=FQ","FILING_STATUS=MR","Sort=A","Dates=H","DateFormat=P","Fill=—","Direction=H","UseDPDF=Y")</f>
        <v>6.3110999999999997</v>
      </c>
      <c r="G7" s="14">
        <f>_xll.BDH("SRPT US Equity","CUR_RATIO","FQ4 2019","FQ4 2019","Currency=USD","Period=FQ","BEST_FPERIOD_OVERRIDE=FQ","FILING_STATUS=MR","Sort=A","Dates=H","DateFormat=P","Fill=—","Direction=H","UseDPDF=Y")</f>
        <v>5.5479000000000003</v>
      </c>
      <c r="H7" s="14">
        <f>_xll.BDH("SRPT US Equity","CUR_RATIO","FQ1 2020","FQ1 2020","Currency=USD","Period=FQ","BEST_FPERIOD_OVERRIDE=FQ","FILING_STATUS=MR","Sort=A","Dates=H","DateFormat=P","Fill=—","Direction=H","UseDPDF=Y")</f>
        <v>8.3130000000000006</v>
      </c>
      <c r="I7" s="14">
        <f>_xll.BDH("SRPT US Equity","CUR_RATIO","FQ2 2020","FQ2 2020","Currency=USD","Period=FQ","BEST_FPERIOD_OVERRIDE=FQ","FILING_STATUS=MR","Sort=A","Dates=H","DateFormat=P","Fill=—","Direction=H","UseDPDF=Y")</f>
        <v>6.93</v>
      </c>
      <c r="J7" s="14">
        <f>_xll.BDH("SRPT US Equity","CUR_RATIO","FQ3 2020","FQ3 2020","Currency=USD","Period=FQ","BEST_FPERIOD_OVERRIDE=FQ","FILING_STATUS=MR","Sort=A","Dates=H","DateFormat=P","Fill=—","Direction=H","UseDPDF=Y")</f>
        <v>6.1383000000000001</v>
      </c>
      <c r="K7" s="14">
        <f>_xll.BDH("SRPT US Equity","CUR_RATIO","FQ4 2020","FQ4 2020","Currency=USD","Period=FQ","BEST_FPERIOD_OVERRIDE=FQ","FILING_STATUS=MR","Sort=A","Dates=H","DateFormat=P","Fill=—","Direction=H","UseDPDF=Y")</f>
        <v>5.9737</v>
      </c>
      <c r="L7" s="14">
        <f>_xll.BDH("SRPT US Equity","CUR_RATIO","FQ1 2021","FQ1 2021","Currency=USD","Period=FQ","BEST_FPERIOD_OVERRIDE=FQ","FILING_STATUS=MR","Sort=A","Dates=H","DateFormat=P","Fill=—","Direction=H","UseDPDF=Y")</f>
        <v>6.2274000000000003</v>
      </c>
      <c r="M7" s="14">
        <f>_xll.BDH("SRPT US Equity","CUR_RATIO","FQ2 2021","FQ2 2021","Currency=USD","Period=FQ","BEST_FPERIOD_OVERRIDE=FQ","FILING_STATUS=MR","Sort=A","Dates=H","DateFormat=P","Fill=—","Direction=H","UseDPDF=Y")</f>
        <v>5.3296000000000001</v>
      </c>
      <c r="N7" s="14">
        <f>_xll.BDH("SRPT US Equity","CUR_RATIO","FQ3 2021","FQ3 2021","Currency=USD","Period=FQ","BEST_FPERIOD_OVERRIDE=FQ","FILING_STATUS=MR","Sort=A","Dates=H","DateFormat=P","Fill=—","Direction=H","UseDPDF=Y")</f>
        <v>5.8517999999999999</v>
      </c>
      <c r="O7" s="14">
        <f>_xll.BDH("SRPT US Equity","CUR_RATIO","FQ4 2021","FQ4 2021","Currency=USD","Period=FQ","BEST_FPERIOD_OVERRIDE=FQ","FILING_STATUS=MR","Sort=A","Dates=H","DateFormat=P","Fill=—","Direction=H","UseDPDF=Y")</f>
        <v>5.7519999999999998</v>
      </c>
      <c r="P7" s="14">
        <f>_xll.BDH("SRPT US Equity","CUR_RATIO","FQ1 2022","FQ1 2022","Currency=USD","Period=FQ","BEST_FPERIOD_OVERRIDE=FQ","FILING_STATUS=MR","Sort=A","Dates=H","DateFormat=P","Fill=—","Direction=H","UseDPDF=Y")</f>
        <v>5.5629999999999997</v>
      </c>
      <c r="Q7" s="14">
        <f>_xll.BDH("SRPT US Equity","CUR_RATIO","FQ2 2022","FQ2 2022","Currency=USD","Period=FQ","BEST_FPERIOD_OVERRIDE=FQ","FILING_STATUS=MR","Sort=A","Dates=H","DateFormat=P","Fill=—","Direction=H","UseDPDF=Y")</f>
        <v>4.5260999999999996</v>
      </c>
      <c r="R7" s="14">
        <f>_xll.BDH("SRPT US Equity","CUR_RATIO","FQ3 2022","FQ3 2022","Currency=USD","Period=FQ","BEST_FPERIOD_OVERRIDE=FQ","FILING_STATUS=MR","Sort=A","Dates=H","DateFormat=P","Fill=—","Direction=H","UseDPDF=Y")</f>
        <v>4.3554000000000004</v>
      </c>
      <c r="S7" s="14">
        <f>_xll.BDH("SRPT US Equity","CUR_RATIO","FQ4 2022","FQ4 2022","Currency=USD","Period=FQ","BEST_FPERIOD_OVERRIDE=FQ","FILING_STATUS=MR","Sort=A","Dates=H","DateFormat=P","Fill=—","Direction=H","UseDPDF=Y")</f>
        <v>4.1281999999999996</v>
      </c>
      <c r="T7" s="14">
        <f>_xll.BDH("SRPT US Equity","CUR_RATIO","FQ1 2023","FQ1 2023","Currency=USD","Period=FQ","BEST_FPERIOD_OVERRIDE=FQ","FILING_STATUS=MR","Sort=A","Dates=H","DateFormat=P","Fill=—","Direction=H","UseDPDF=Y")</f>
        <v>4.6349</v>
      </c>
      <c r="U7" s="14">
        <f>_xll.BDH("SRPT US Equity","CUR_RATIO","FQ2 2023","FQ2 2023","Currency=USD","Period=FQ","BEST_FPERIOD_OVERRIDE=FQ","FILING_STATUS=MR","Sort=A","Dates=H","DateFormat=P","Fill=—","Direction=H","UseDPDF=Y")</f>
        <v>4.9585999999999997</v>
      </c>
      <c r="V7" s="14">
        <f>_xll.BDH("SRPT US Equity","CUR_RATIO","FQ3 2023","FQ3 2023","Currency=USD","Period=FQ","BEST_FPERIOD_OVERRIDE=FQ","FILING_STATUS=MR","Sort=A","Dates=H","DateFormat=P","Fill=—","Direction=H","UseDPDF=Y")</f>
        <v>5.4374000000000002</v>
      </c>
      <c r="W7" s="14">
        <f>_xll.BDH("SRPT US Equity","CUR_RATIO","FQ4 2023","FQ4 2023","Currency=USD","Period=FQ","BEST_FPERIOD_OVERRIDE=FQ","FILING_STATUS=MR","Sort=A","Dates=H","DateFormat=P","Fill=—","Direction=H","UseDPDF=Y")</f>
        <v>3.9460000000000002</v>
      </c>
      <c r="X7" s="14">
        <f>_xll.BDH("SRPT US Equity","CUR_RATIO","FQ1 2024","FQ1 2024","Currency=USD","Period=FQ","BEST_FPERIOD_OVERRIDE=FQ","FILING_STATUS=MR","Sort=A","Dates=H","DateFormat=P","Fill=—","Direction=H","UseDPDF=Y")</f>
        <v>4.0492999999999997</v>
      </c>
      <c r="Y7" s="14">
        <f>_xll.BDH("SRPT US Equity","CUR_RATIO","FQ2 2024","FQ2 2024","Currency=USD","Period=FQ","BEST_FPERIOD_OVERRIDE=FQ","FILING_STATUS=MR","Sort=A","Dates=H","DateFormat=P","Fill=—","Direction=H","UseDPDF=Y")</f>
        <v>3.8978999999999999</v>
      </c>
      <c r="Z7" s="14">
        <f>_xll.BDH("SRPT US Equity","CUR_RATIO","FQ3 2024","FQ3 2024","Currency=USD","Period=FQ","BEST_FPERIOD_OVERRIDE=FQ","FILING_STATUS=MR","Sort=A","Dates=H","DateFormat=P","Fill=—","Direction=H","UseDPDF=Y")</f>
        <v>3.839</v>
      </c>
      <c r="AA7" s="14">
        <f>_xll.BDH("SRPT US Equity","CUR_RATIO","FQ4 2024","FQ4 2024","Currency=USD","Period=FQ","BEST_FPERIOD_OVERRIDE=FQ","FILING_STATUS=MR","Sort=A","Dates=H","DateFormat=P","Fill=—","Direction=H","UseDPDF=Y")</f>
        <v>4.2004999999999999</v>
      </c>
    </row>
    <row r="8" spans="1:27" x14ac:dyDescent="0.25">
      <c r="A8" s="10" t="s">
        <v>1536</v>
      </c>
      <c r="B8" s="10" t="s">
        <v>1537</v>
      </c>
      <c r="C8" s="14">
        <f>_xll.BDH("SRPT US Equity","QUICK_RATIO","FQ4 2018","FQ4 2018","Currency=USD","Period=FQ","BEST_FPERIOD_OVERRIDE=FQ","FILING_STATUS=MR","Sort=A","Dates=H","DateFormat=P","Fill=—","Direction=H","UseDPDF=Y")</f>
        <v>7.0410000000000004</v>
      </c>
      <c r="D8" s="14">
        <f>_xll.BDH("SRPT US Equity","QUICK_RATIO","FQ1 2019","FQ1 2019","Currency=USD","Period=FQ","BEST_FPERIOD_OVERRIDE=FQ","FILING_STATUS=MR","Sort=A","Dates=H","DateFormat=P","Fill=—","Direction=H","UseDPDF=Y")</f>
        <v>10.1533</v>
      </c>
      <c r="E8" s="14">
        <f>_xll.BDH("SRPT US Equity","QUICK_RATIO","FQ2 2019","FQ2 2019","Currency=USD","Period=FQ","BEST_FPERIOD_OVERRIDE=FQ","FILING_STATUS=MR","Sort=A","Dates=H","DateFormat=P","Fill=—","Direction=H","UseDPDF=Y")</f>
        <v>7.1569000000000003</v>
      </c>
      <c r="F8" s="14">
        <f>_xll.BDH("SRPT US Equity","QUICK_RATIO","FQ3 2019","FQ3 2019","Currency=USD","Period=FQ","BEST_FPERIOD_OVERRIDE=FQ","FILING_STATUS=MR","Sort=A","Dates=H","DateFormat=P","Fill=—","Direction=H","UseDPDF=Y")</f>
        <v>5.1744000000000003</v>
      </c>
      <c r="G8" s="14">
        <f>_xll.BDH("SRPT US Equity","QUICK_RATIO","FQ4 2019","FQ4 2019","Currency=USD","Period=FQ","BEST_FPERIOD_OVERRIDE=FQ","FILING_STATUS=MR","Sort=A","Dates=H","DateFormat=P","Fill=—","Direction=H","UseDPDF=Y")</f>
        <v>4.5913000000000004</v>
      </c>
      <c r="H8" s="14">
        <f>_xll.BDH("SRPT US Equity","QUICK_RATIO","FQ1 2020","FQ1 2020","Currency=USD","Period=FQ","BEST_FPERIOD_OVERRIDE=FQ","FILING_STATUS=MR","Sort=A","Dates=H","DateFormat=P","Fill=—","Direction=H","UseDPDF=Y")</f>
        <v>7.4340999999999999</v>
      </c>
      <c r="I8" s="14">
        <f>_xll.BDH("SRPT US Equity","QUICK_RATIO","FQ2 2020","FQ2 2020","Currency=USD","Period=FQ","BEST_FPERIOD_OVERRIDE=FQ","FILING_STATUS=MR","Sort=A","Dates=H","DateFormat=P","Fill=—","Direction=H","UseDPDF=Y")</f>
        <v>6.1013000000000002</v>
      </c>
      <c r="J8" s="14">
        <f>_xll.BDH("SRPT US Equity","QUICK_RATIO","FQ3 2020","FQ3 2020","Currency=USD","Period=FQ","BEST_FPERIOD_OVERRIDE=FQ","FILING_STATUS=MR","Sort=A","Dates=H","DateFormat=P","Fill=—","Direction=H","UseDPDF=Y")</f>
        <v>5.1215000000000002</v>
      </c>
      <c r="K8" s="14">
        <f>_xll.BDH("SRPT US Equity","QUICK_RATIO","FQ4 2020","FQ4 2020","Currency=USD","Period=FQ","BEST_FPERIOD_OVERRIDE=FQ","FILING_STATUS=MR","Sort=A","Dates=H","DateFormat=P","Fill=—","Direction=H","UseDPDF=Y")</f>
        <v>4.9032999999999998</v>
      </c>
      <c r="L8" s="14">
        <f>_xll.BDH("SRPT US Equity","QUICK_RATIO","FQ1 2021","FQ1 2021","Currency=USD","Period=FQ","BEST_FPERIOD_OVERRIDE=FQ","FILING_STATUS=MR","Sort=A","Dates=H","DateFormat=P","Fill=—","Direction=H","UseDPDF=Y")</f>
        <v>5.0887000000000002</v>
      </c>
      <c r="M8" s="14">
        <f>_xll.BDH("SRPT US Equity","QUICK_RATIO","FQ2 2021","FQ2 2021","Currency=USD","Period=FQ","BEST_FPERIOD_OVERRIDE=FQ","FILING_STATUS=MR","Sort=A","Dates=H","DateFormat=P","Fill=—","Direction=H","UseDPDF=Y")</f>
        <v>4.3639999999999999</v>
      </c>
      <c r="N8" s="14">
        <f>_xll.BDH("SRPT US Equity","QUICK_RATIO","FQ3 2021","FQ3 2021","Currency=USD","Period=FQ","BEST_FPERIOD_OVERRIDE=FQ","FILING_STATUS=MR","Sort=A","Dates=H","DateFormat=P","Fill=—","Direction=H","UseDPDF=Y")</f>
        <v>4.6832000000000003</v>
      </c>
      <c r="O8" s="14">
        <f>_xll.BDH("SRPT US Equity","QUICK_RATIO","FQ4 2021","FQ4 2021","Currency=USD","Period=FQ","BEST_FPERIOD_OVERRIDE=FQ","FILING_STATUS=MR","Sort=A","Dates=H","DateFormat=P","Fill=—","Direction=H","UseDPDF=Y")</f>
        <v>5.0114999999999998</v>
      </c>
      <c r="P8" s="14">
        <f>_xll.BDH("SRPT US Equity","QUICK_RATIO","FQ1 2022","FQ1 2022","Currency=USD","Period=FQ","BEST_FPERIOD_OVERRIDE=FQ","FILING_STATUS=MR","Sort=A","Dates=H","DateFormat=P","Fill=—","Direction=H","UseDPDF=Y")</f>
        <v>4.8170999999999999</v>
      </c>
      <c r="Q8" s="14">
        <f>_xll.BDH("SRPT US Equity","QUICK_RATIO","FQ2 2022","FQ2 2022","Currency=USD","Period=FQ","BEST_FPERIOD_OVERRIDE=FQ","FILING_STATUS=MR","Sort=A","Dates=H","DateFormat=P","Fill=—","Direction=H","UseDPDF=Y")</f>
        <v>3.9076</v>
      </c>
      <c r="R8" s="14">
        <f>_xll.BDH("SRPT US Equity","QUICK_RATIO","FQ3 2022","FQ3 2022","Currency=USD","Period=FQ","BEST_FPERIOD_OVERRIDE=FQ","FILING_STATUS=MR","Sort=A","Dates=H","DateFormat=P","Fill=—","Direction=H","UseDPDF=Y")</f>
        <v>3.7717000000000001</v>
      </c>
      <c r="S8" s="14">
        <f>_xll.BDH("SRPT US Equity","QUICK_RATIO","FQ4 2022","FQ4 2022","Currency=USD","Period=FQ","BEST_FPERIOD_OVERRIDE=FQ","FILING_STATUS=MR","Sort=A","Dates=H","DateFormat=P","Fill=—","Direction=H","UseDPDF=Y")</f>
        <v>3.5571000000000002</v>
      </c>
      <c r="T8" s="14">
        <f>_xll.BDH("SRPT US Equity","QUICK_RATIO","FQ1 2023","FQ1 2023","Currency=USD","Period=FQ","BEST_FPERIOD_OVERRIDE=FQ","FILING_STATUS=MR","Sort=A","Dates=H","DateFormat=P","Fill=—","Direction=H","UseDPDF=Y")</f>
        <v>3.9224999999999999</v>
      </c>
      <c r="U8" s="14">
        <f>_xll.BDH("SRPT US Equity","QUICK_RATIO","FQ2 2023","FQ2 2023","Currency=USD","Period=FQ","BEST_FPERIOD_OVERRIDE=FQ","FILING_STATUS=MR","Sort=A","Dates=H","DateFormat=P","Fill=—","Direction=H","UseDPDF=Y")</f>
        <v>4.2064000000000004</v>
      </c>
      <c r="V8" s="14">
        <f>_xll.BDH("SRPT US Equity","QUICK_RATIO","FQ3 2023","FQ3 2023","Currency=USD","Period=FQ","BEST_FPERIOD_OVERRIDE=FQ","FILING_STATUS=MR","Sort=A","Dates=H","DateFormat=P","Fill=—","Direction=H","UseDPDF=Y")</f>
        <v>4.5533999999999999</v>
      </c>
      <c r="W8" s="14">
        <f>_xll.BDH("SRPT US Equity","QUICK_RATIO","FQ4 2023","FQ4 2023","Currency=USD","Period=FQ","BEST_FPERIOD_OVERRIDE=FQ","FILING_STATUS=MR","Sort=A","Dates=H","DateFormat=P","Fill=—","Direction=H","UseDPDF=Y")</f>
        <v>3.1768999999999998</v>
      </c>
      <c r="X8" s="14">
        <f>_xll.BDH("SRPT US Equity","QUICK_RATIO","FQ1 2024","FQ1 2024","Currency=USD","Period=FQ","BEST_FPERIOD_OVERRIDE=FQ","FILING_STATUS=MR","Sort=A","Dates=H","DateFormat=P","Fill=—","Direction=H","UseDPDF=Y")</f>
        <v>2.9070999999999998</v>
      </c>
      <c r="Y8" s="14">
        <f>_xll.BDH("SRPT US Equity","QUICK_RATIO","FQ2 2024","FQ2 2024","Currency=USD","Period=FQ","BEST_FPERIOD_OVERRIDE=FQ","FILING_STATUS=MR","Sort=A","Dates=H","DateFormat=P","Fill=—","Direction=H","UseDPDF=Y")</f>
        <v>2.6442000000000001</v>
      </c>
      <c r="Z8" s="14">
        <f>_xll.BDH("SRPT US Equity","QUICK_RATIO","FQ3 2024","FQ3 2024","Currency=USD","Period=FQ","BEST_FPERIOD_OVERRIDE=FQ","FILING_STATUS=MR","Sort=A","Dates=H","DateFormat=P","Fill=—","Direction=H","UseDPDF=Y")</f>
        <v>2.3344</v>
      </c>
      <c r="AA8" s="14">
        <f>_xll.BDH("SRPT US Equity","QUICK_RATIO","FQ4 2024","FQ4 2024","Currency=USD","Period=FQ","BEST_FPERIOD_OVERRIDE=FQ","FILING_STATUS=MR","Sort=A","Dates=H","DateFormat=P","Fill=—","Direction=H","UseDPDF=Y")</f>
        <v>2.6743999999999999</v>
      </c>
    </row>
    <row r="9" spans="1:27" x14ac:dyDescent="0.25">
      <c r="A9" s="10" t="s">
        <v>1538</v>
      </c>
      <c r="B9" s="10" t="s">
        <v>1539</v>
      </c>
      <c r="C9" s="14">
        <f>_xll.BDH("SRPT US Equity","CFO_TO_AVG_CURRENT_LIABILITIES","FQ4 2018","FQ4 2018","Currency=USD","Period=FQ","BEST_FPERIOD_OVERRIDE=FQ","FILING_STATUS=MR","Sort=A","Dates=H","DateFormat=P","Fill=—","Direction=H","UseDPDF=Y")</f>
        <v>-2.9666000000000001</v>
      </c>
      <c r="D9" s="14">
        <f>_xll.BDH("SRPT US Equity","CFO_TO_AVG_CURRENT_LIABILITIES","FQ1 2019","FQ1 2019","Currency=USD","Period=FQ","BEST_FPERIOD_OVERRIDE=FQ","FILING_STATUS=MR","Sort=A","Dates=H","DateFormat=P","Fill=—","Direction=H","UseDPDF=Y")</f>
        <v>-4.3684000000000003</v>
      </c>
      <c r="E9" s="14">
        <f>_xll.BDH("SRPT US Equity","CFO_TO_AVG_CURRENT_LIABILITIES","FQ2 2019","FQ2 2019","Currency=USD","Period=FQ","BEST_FPERIOD_OVERRIDE=FQ","FILING_STATUS=MR","Sort=A","Dates=H","DateFormat=P","Fill=—","Direction=H","UseDPDF=Y")</f>
        <v>-3.4559000000000002</v>
      </c>
      <c r="F9" s="14">
        <f>_xll.BDH("SRPT US Equity","CFO_TO_AVG_CURRENT_LIABILITIES","FQ3 2019","FQ3 2019","Currency=USD","Period=FQ","BEST_FPERIOD_OVERRIDE=FQ","FILING_STATUS=MR","Sort=A","Dates=H","DateFormat=P","Fill=—","Direction=H","UseDPDF=Y")</f>
        <v>-2.5137999999999998</v>
      </c>
      <c r="G9" s="14">
        <f>_xll.BDH("SRPT US Equity","CFO_TO_AVG_CURRENT_LIABILITIES","FQ4 2019","FQ4 2019","Currency=USD","Period=FQ","BEST_FPERIOD_OVERRIDE=FQ","FILING_STATUS=MR","Sort=A","Dates=H","DateFormat=P","Fill=—","Direction=H","UseDPDF=Y")</f>
        <v>-2.0821000000000001</v>
      </c>
      <c r="H9" s="14">
        <f>_xll.BDH("SRPT US Equity","CFO_TO_AVG_CURRENT_LIABILITIES","FQ1 2020","FQ1 2020","Currency=USD","Period=FQ","BEST_FPERIOD_OVERRIDE=FQ","FILING_STATUS=MR","Sort=A","Dates=H","DateFormat=P","Fill=—","Direction=H","UseDPDF=Y")</f>
        <v>1.4311</v>
      </c>
      <c r="I9" s="14">
        <f>_xll.BDH("SRPT US Equity","CFO_TO_AVG_CURRENT_LIABILITIES","FQ2 2020","FQ2 2020","Currency=USD","Period=FQ","BEST_FPERIOD_OVERRIDE=FQ","FILING_STATUS=MR","Sort=A","Dates=H","DateFormat=P","Fill=—","Direction=H","UseDPDF=Y")</f>
        <v>1.1178999999999999</v>
      </c>
      <c r="J9" s="14">
        <f>_xll.BDH("SRPT US Equity","CFO_TO_AVG_CURRENT_LIABILITIES","FQ3 2020","FQ3 2020","Currency=USD","Period=FQ","BEST_FPERIOD_OVERRIDE=FQ","FILING_STATUS=MR","Sort=A","Dates=H","DateFormat=P","Fill=—","Direction=H","UseDPDF=Y")</f>
        <v>0.39779999999999999</v>
      </c>
      <c r="K9" s="14">
        <f>_xll.BDH("SRPT US Equity","CFO_TO_AVG_CURRENT_LIABILITIES","FQ4 2020","FQ4 2020","Currency=USD","Period=FQ","BEST_FPERIOD_OVERRIDE=FQ","FILING_STATUS=MR","Sort=A","Dates=H","DateFormat=P","Fill=—","Direction=H","UseDPDF=Y")</f>
        <v>0.31569999999999998</v>
      </c>
      <c r="L9" s="14">
        <f>_xll.BDH("SRPT US Equity","CFO_TO_AVG_CURRENT_LIABILITIES","FQ1 2021","FQ1 2021","Currency=USD","Period=FQ","BEST_FPERIOD_OVERRIDE=FQ","FILING_STATUS=MR","Sort=A","Dates=H","DateFormat=P","Fill=—","Direction=H","UseDPDF=Y")</f>
        <v>-2.0880000000000001</v>
      </c>
      <c r="M9" s="14">
        <f>_xll.BDH("SRPT US Equity","CFO_TO_AVG_CURRENT_LIABILITIES","FQ2 2021","FQ2 2021","Currency=USD","Period=FQ","BEST_FPERIOD_OVERRIDE=FQ","FILING_STATUS=MR","Sort=A","Dates=H","DateFormat=P","Fill=—","Direction=H","UseDPDF=Y")</f>
        <v>-1.8008</v>
      </c>
      <c r="N9" s="14">
        <f>_xll.BDH("SRPT US Equity","CFO_TO_AVG_CURRENT_LIABILITIES","FQ3 2021","FQ3 2021","Currency=USD","Period=FQ","BEST_FPERIOD_OVERRIDE=FQ","FILING_STATUS=MR","Sort=A","Dates=H","DateFormat=P","Fill=—","Direction=H","UseDPDF=Y")</f>
        <v>-1.5651999999999999</v>
      </c>
      <c r="O9" s="14">
        <f>_xll.BDH("SRPT US Equity","CFO_TO_AVG_CURRENT_LIABILITIES","FQ4 2021","FQ4 2021","Currency=USD","Period=FQ","BEST_FPERIOD_OVERRIDE=FQ","FILING_STATUS=MR","Sort=A","Dates=H","DateFormat=P","Fill=—","Direction=H","UseDPDF=Y")</f>
        <v>-1.0202</v>
      </c>
      <c r="P9" s="14">
        <f>_xll.BDH("SRPT US Equity","CFO_TO_AVG_CURRENT_LIABILITIES","FQ1 2022","FQ1 2022","Currency=USD","Period=FQ","BEST_FPERIOD_OVERRIDE=FQ","FILING_STATUS=MR","Sort=A","Dates=H","DateFormat=P","Fill=—","Direction=H","UseDPDF=Y")</f>
        <v>-0.8881</v>
      </c>
      <c r="Q9" s="14">
        <f>_xll.BDH("SRPT US Equity","CFO_TO_AVG_CURRENT_LIABILITIES","FQ2 2022","FQ2 2022","Currency=USD","Period=FQ","BEST_FPERIOD_OVERRIDE=FQ","FILING_STATUS=MR","Sort=A","Dates=H","DateFormat=P","Fill=—","Direction=H","UseDPDF=Y")</f>
        <v>-0.66279999999999994</v>
      </c>
      <c r="R9" s="14">
        <f>_xll.BDH("SRPT US Equity","CFO_TO_AVG_CURRENT_LIABILITIES","FQ3 2022","FQ3 2022","Currency=USD","Period=FQ","BEST_FPERIOD_OVERRIDE=FQ","FILING_STATUS=MR","Sort=A","Dates=H","DateFormat=P","Fill=—","Direction=H","UseDPDF=Y")</f>
        <v>-0.5373</v>
      </c>
      <c r="S9" s="14">
        <f>_xll.BDH("SRPT US Equity","CFO_TO_AVG_CURRENT_LIABILITIES","FQ4 2022","FQ4 2022","Currency=USD","Period=FQ","BEST_FPERIOD_OVERRIDE=FQ","FILING_STATUS=MR","Sort=A","Dates=H","DateFormat=P","Fill=—","Direction=H","UseDPDF=Y")</f>
        <v>-0.60680000000000001</v>
      </c>
      <c r="T9" s="14">
        <f>_xll.BDH("SRPT US Equity","CFO_TO_AVG_CURRENT_LIABILITIES","FQ1 2023","FQ1 2023","Currency=USD","Period=FQ","BEST_FPERIOD_OVERRIDE=FQ","FILING_STATUS=MR","Sort=A","Dates=H","DateFormat=P","Fill=—","Direction=H","UseDPDF=Y")</f>
        <v>-0.87429999999999997</v>
      </c>
      <c r="U9" s="14">
        <f>_xll.BDH("SRPT US Equity","CFO_TO_AVG_CURRENT_LIABILITIES","FQ2 2023","FQ2 2023","Currency=USD","Period=FQ","BEST_FPERIOD_OVERRIDE=FQ","FILING_STATUS=MR","Sort=A","Dates=H","DateFormat=P","Fill=—","Direction=H","UseDPDF=Y")</f>
        <v>-0.93659999999999999</v>
      </c>
      <c r="V9" s="14">
        <f>_xll.BDH("SRPT US Equity","CFO_TO_AVG_CURRENT_LIABILITIES","FQ3 2023","FQ3 2023","Currency=USD","Period=FQ","BEST_FPERIOD_OVERRIDE=FQ","FILING_STATUS=MR","Sort=A","Dates=H","DateFormat=P","Fill=—","Direction=H","UseDPDF=Y")</f>
        <v>-1.0226</v>
      </c>
      <c r="W9" s="14">
        <f>_xll.BDH("SRPT US Equity","CFO_TO_AVG_CURRENT_LIABILITIES","FQ4 2023","FQ4 2023","Currency=USD","Period=FQ","BEST_FPERIOD_OVERRIDE=FQ","FILING_STATUS=MR","Sort=A","Dates=H","DateFormat=P","Fill=—","Direction=H","UseDPDF=Y")</f>
        <v>-0.78690000000000004</v>
      </c>
      <c r="X9" s="14">
        <f>_xll.BDH("SRPT US Equity","CFO_TO_AVG_CURRENT_LIABILITIES","FQ1 2024","FQ1 2024","Currency=USD","Period=FQ","BEST_FPERIOD_OVERRIDE=FQ","FILING_STATUS=MR","Sort=A","Dates=H","DateFormat=P","Fill=—","Direction=H","UseDPDF=Y")</f>
        <v>-0.93169999999999997</v>
      </c>
      <c r="Y9" s="14">
        <f>_xll.BDH("SRPT US Equity","CFO_TO_AVG_CURRENT_LIABILITIES","FQ2 2024","FQ2 2024","Currency=USD","Period=FQ","BEST_FPERIOD_OVERRIDE=FQ","FILING_STATUS=MR","Sort=A","Dates=H","DateFormat=P","Fill=—","Direction=H","UseDPDF=Y")</f>
        <v>-0.66800000000000004</v>
      </c>
      <c r="Z9" s="14">
        <f>_xll.BDH("SRPT US Equity","CFO_TO_AVG_CURRENT_LIABILITIES","FQ3 2024","FQ3 2024","Currency=USD","Period=FQ","BEST_FPERIOD_OVERRIDE=FQ","FILING_STATUS=MR","Sort=A","Dates=H","DateFormat=P","Fill=—","Direction=H","UseDPDF=Y")</f>
        <v>-0.6129</v>
      </c>
      <c r="AA9" s="14">
        <f>_xll.BDH("SRPT US Equity","CFO_TO_AVG_CURRENT_LIABILITIES","FQ4 2024","FQ4 2024","Currency=USD","Period=FQ","BEST_FPERIOD_OVERRIDE=FQ","FILING_STATUS=MR","Sort=A","Dates=H","DateFormat=P","Fill=—","Direction=H","UseDPDF=Y")</f>
        <v>-0.29709999999999998</v>
      </c>
    </row>
    <row r="10" spans="1:27" x14ac:dyDescent="0.25">
      <c r="A10" s="10" t="s">
        <v>1489</v>
      </c>
      <c r="B10" s="10" t="s">
        <v>1490</v>
      </c>
      <c r="C10" s="14">
        <f>_xll.BDH("SRPT US Equity","COM_EQY_TO_TOT_ASSET","FQ4 2018","FQ4 2018","Currency=USD","Period=FQ","BEST_FPERIOD_OVERRIDE=FQ","FILING_STATUS=MR","Sort=A","Dates=H","DateFormat=P","Fill=—","Direction=H","UseDPDF=Y")</f>
        <v>62.864100000000001</v>
      </c>
      <c r="D10" s="14">
        <f>_xll.BDH("SRPT US Equity","COM_EQY_TO_TOT_ASSET","FQ1 2019","FQ1 2019","Currency=USD","Period=FQ","BEST_FPERIOD_OVERRIDE=FQ","FILING_STATUS=MR","Sort=A","Dates=H","DateFormat=P","Fill=—","Direction=H","UseDPDF=Y")</f>
        <v>68.6678</v>
      </c>
      <c r="E10" s="14">
        <f>_xll.BDH("SRPT US Equity","COM_EQY_TO_TOT_ASSET","FQ2 2019","FQ2 2019","Currency=USD","Period=FQ","BEST_FPERIOD_OVERRIDE=FQ","FILING_STATUS=MR","Sort=A","Dates=H","DateFormat=P","Fill=—","Direction=H","UseDPDF=Y")</f>
        <v>62.890300000000003</v>
      </c>
      <c r="F10" s="14">
        <f>_xll.BDH("SRPT US Equity","COM_EQY_TO_TOT_ASSET","FQ3 2019","FQ3 2019","Currency=USD","Period=FQ","BEST_FPERIOD_OVERRIDE=FQ","FILING_STATUS=MR","Sort=A","Dates=H","DateFormat=P","Fill=—","Direction=H","UseDPDF=Y")</f>
        <v>58.456499999999998</v>
      </c>
      <c r="G10" s="14">
        <f>_xll.BDH("SRPT US Equity","COM_EQY_TO_TOT_ASSET","FQ4 2019","FQ4 2019","Currency=USD","Period=FQ","BEST_FPERIOD_OVERRIDE=FQ","FILING_STATUS=MR","Sort=A","Dates=H","DateFormat=P","Fill=—","Direction=H","UseDPDF=Y")</f>
        <v>44.8857</v>
      </c>
      <c r="H10" s="14">
        <f>_xll.BDH("SRPT US Equity","COM_EQY_TO_TOT_ASSET","FQ1 2020","FQ1 2020","Currency=USD","Period=FQ","BEST_FPERIOD_OVERRIDE=FQ","FILING_STATUS=MR","Sort=A","Dates=H","DateFormat=P","Fill=—","Direction=H","UseDPDF=Y")</f>
        <v>38.842100000000002</v>
      </c>
      <c r="I10" s="14">
        <f>_xll.BDH("SRPT US Equity","COM_EQY_TO_TOT_ASSET","FQ2 2020","FQ2 2020","Currency=USD","Period=FQ","BEST_FPERIOD_OVERRIDE=FQ","FILING_STATUS=MR","Sort=A","Dates=H","DateFormat=P","Fill=—","Direction=H","UseDPDF=Y")</f>
        <v>36.172400000000003</v>
      </c>
      <c r="J10" s="14">
        <f>_xll.BDH("SRPT US Equity","COM_EQY_TO_TOT_ASSET","FQ3 2020","FQ3 2020","Currency=USD","Period=FQ","BEST_FPERIOD_OVERRIDE=FQ","FILING_STATUS=MR","Sort=A","Dates=H","DateFormat=P","Fill=—","Direction=H","UseDPDF=Y")</f>
        <v>32.080399999999997</v>
      </c>
      <c r="K10" s="14">
        <f>_xll.BDH("SRPT US Equity","COM_EQY_TO_TOT_ASSET","FQ4 2020","FQ4 2020","Currency=USD","Period=FQ","BEST_FPERIOD_OVERRIDE=FQ","FILING_STATUS=MR","Sort=A","Dates=H","DateFormat=P","Fill=—","Direction=H","UseDPDF=Y")</f>
        <v>25.521999999999998</v>
      </c>
      <c r="L10" s="14">
        <f>_xll.BDH("SRPT US Equity","COM_EQY_TO_TOT_ASSET","FQ1 2021","FQ1 2021","Currency=USD","Period=FQ","BEST_FPERIOD_OVERRIDE=FQ","FILING_STATUS=MR","Sort=A","Dates=H","DateFormat=P","Fill=—","Direction=H","UseDPDF=Y")</f>
        <v>19.363499999999998</v>
      </c>
      <c r="M10" s="14">
        <f>_xll.BDH("SRPT US Equity","COM_EQY_TO_TOT_ASSET","FQ2 2021","FQ2 2021","Currency=USD","Period=FQ","BEST_FPERIOD_OVERRIDE=FQ","FILING_STATUS=MR","Sort=A","Dates=H","DateFormat=P","Fill=—","Direction=H","UseDPDF=Y")</f>
        <v>17.5823</v>
      </c>
      <c r="N10" s="14">
        <f>_xll.BDH("SRPT US Equity","COM_EQY_TO_TOT_ASSET","FQ3 2021","FQ3 2021","Currency=USD","Period=FQ","BEST_FPERIOD_OVERRIDE=FQ","FILING_STATUS=MR","Sort=A","Dates=H","DateFormat=P","Fill=—","Direction=H","UseDPDF=Y")</f>
        <v>17.636700000000001</v>
      </c>
      <c r="O10" s="14">
        <f>_xll.BDH("SRPT US Equity","COM_EQY_TO_TOT_ASSET","FQ4 2021","FQ4 2021","Currency=USD","Period=FQ","BEST_FPERIOD_OVERRIDE=FQ","FILING_STATUS=MR","Sort=A","Dates=H","DateFormat=P","Fill=—","Direction=H","UseDPDF=Y")</f>
        <v>29.479600000000001</v>
      </c>
      <c r="P10" s="14">
        <f>_xll.BDH("SRPT US Equity","COM_EQY_TO_TOT_ASSET","FQ1 2022","FQ1 2022","Currency=USD","Period=FQ","BEST_FPERIOD_OVERRIDE=FQ","FILING_STATUS=MR","Sort=A","Dates=H","DateFormat=P","Fill=—","Direction=H","UseDPDF=Y")</f>
        <v>28.0381</v>
      </c>
      <c r="Q10" s="14">
        <f>_xll.BDH("SRPT US Equity","COM_EQY_TO_TOT_ASSET","FQ2 2022","FQ2 2022","Currency=USD","Period=FQ","BEST_FPERIOD_OVERRIDE=FQ","FILING_STATUS=MR","Sort=A","Dates=H","DateFormat=P","Fill=—","Direction=H","UseDPDF=Y")</f>
        <v>24.2407</v>
      </c>
      <c r="R10" s="14">
        <f>_xll.BDH("SRPT US Equity","COM_EQY_TO_TOT_ASSET","FQ3 2022","FQ3 2022","Currency=USD","Period=FQ","BEST_FPERIOD_OVERRIDE=FQ","FILING_STATUS=MR","Sort=A","Dates=H","DateFormat=P","Fill=—","Direction=H","UseDPDF=Y")</f>
        <v>13.6508</v>
      </c>
      <c r="S10" s="14">
        <f>_xll.BDH("SRPT US Equity","COM_EQY_TO_TOT_ASSET","FQ4 2022","FQ4 2022","Currency=USD","Period=FQ","BEST_FPERIOD_OVERRIDE=FQ","FILING_STATUS=MR","Sort=A","Dates=H","DateFormat=P","Fill=—","Direction=H","UseDPDF=Y")</f>
        <v>12.305099999999999</v>
      </c>
      <c r="T10" s="14">
        <f>_xll.BDH("SRPT US Equity","COM_EQY_TO_TOT_ASSET","FQ1 2023","FQ1 2023","Currency=USD","Period=FQ","BEST_FPERIOD_OVERRIDE=FQ","FILING_STATUS=MR","Sort=A","Dates=H","DateFormat=P","Fill=—","Direction=H","UseDPDF=Y")</f>
        <v>23.2941</v>
      </c>
      <c r="U10" s="14">
        <f>_xll.BDH("SRPT US Equity","COM_EQY_TO_TOT_ASSET","FQ2 2023","FQ2 2023","Currency=USD","Period=FQ","BEST_FPERIOD_OVERRIDE=FQ","FILING_STATUS=MR","Sort=A","Dates=H","DateFormat=P","Fill=—","Direction=H","UseDPDF=Y")</f>
        <v>23.718399999999999</v>
      </c>
      <c r="V10" s="14">
        <f>_xll.BDH("SRPT US Equity","COM_EQY_TO_TOT_ASSET","FQ3 2023","FQ3 2023","Currency=USD","Period=FQ","BEST_FPERIOD_OVERRIDE=FQ","FILING_STATUS=MR","Sort=A","Dates=H","DateFormat=P","Fill=—","Direction=H","UseDPDF=Y")</f>
        <v>24.579699999999999</v>
      </c>
      <c r="W10" s="14">
        <f>_xll.BDH("SRPT US Equity","COM_EQY_TO_TOT_ASSET","FQ4 2023","FQ4 2023","Currency=USD","Period=FQ","BEST_FPERIOD_OVERRIDE=FQ","FILING_STATUS=MR","Sort=A","Dates=H","DateFormat=P","Fill=—","Direction=H","UseDPDF=Y")</f>
        <v>26.3231</v>
      </c>
      <c r="X10" s="14">
        <f>_xll.BDH("SRPT US Equity","COM_EQY_TO_TOT_ASSET","FQ1 2024","FQ1 2024","Currency=USD","Period=FQ","BEST_FPERIOD_OVERRIDE=FQ","FILING_STATUS=MR","Sort=A","Dates=H","DateFormat=P","Fill=—","Direction=H","UseDPDF=Y")</f>
        <v>29.810099999999998</v>
      </c>
      <c r="Y10" s="14">
        <f>_xll.BDH("SRPT US Equity","COM_EQY_TO_TOT_ASSET","FQ2 2024","FQ2 2024","Currency=USD","Period=FQ","BEST_FPERIOD_OVERRIDE=FQ","FILING_STATUS=MR","Sort=A","Dates=H","DateFormat=P","Fill=—","Direction=H","UseDPDF=Y")</f>
        <v>31.4541</v>
      </c>
      <c r="Z10" s="14">
        <f>_xll.BDH("SRPT US Equity","COM_EQY_TO_TOT_ASSET","FQ3 2024","FQ3 2024","Currency=USD","Period=FQ","BEST_FPERIOD_OVERRIDE=FQ","FILING_STATUS=MR","Sort=A","Dates=H","DateFormat=P","Fill=—","Direction=H","UseDPDF=Y")</f>
        <v>33.9193</v>
      </c>
      <c r="AA10" s="14">
        <f>_xll.BDH("SRPT US Equity","COM_EQY_TO_TOT_ASSET","FQ4 2024","FQ4 2024","Currency=USD","Period=FQ","BEST_FPERIOD_OVERRIDE=FQ","FILING_STATUS=MR","Sort=A","Dates=H","DateFormat=P","Fill=—","Direction=H","UseDPDF=Y")</f>
        <v>38.548499999999997</v>
      </c>
    </row>
    <row r="11" spans="1:27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10" t="s">
        <v>1491</v>
      </c>
      <c r="B12" s="10" t="s">
        <v>1492</v>
      </c>
      <c r="C12" s="14">
        <f>_xll.BDH("SRPT US Equity","LT_DEBT_TO_TOT_EQY","FQ4 2018","FQ4 2018","Currency=USD","Period=FQ","BEST_FPERIOD_OVERRIDE=FQ","FILING_STATUS=MR","Sort=A","Dates=H","DateFormat=P","Fill=—","Direction=H","UseDPDF=Y")</f>
        <v>40.740499999999997</v>
      </c>
      <c r="D12" s="14">
        <f>_xll.BDH("SRPT US Equity","LT_DEBT_TO_TOT_EQY","FQ1 2019","FQ1 2019","Currency=USD","Period=FQ","BEST_FPERIOD_OVERRIDE=FQ","FILING_STATUS=MR","Sort=A","Dates=H","DateFormat=P","Fill=—","Direction=H","UseDPDF=Y")</f>
        <v>35.439</v>
      </c>
      <c r="E12" s="14">
        <f>_xll.BDH("SRPT US Equity","LT_DEBT_TO_TOT_EQY","FQ2 2019","FQ2 2019","Currency=USD","Period=FQ","BEST_FPERIOD_OVERRIDE=FQ","FILING_STATUS=MR","Sort=A","Dates=H","DateFormat=P","Fill=—","Direction=H","UseDPDF=Y")</f>
        <v>43.783099999999997</v>
      </c>
      <c r="F12" s="14">
        <f>_xll.BDH("SRPT US Equity","LT_DEBT_TO_TOT_EQY","FQ3 2019","FQ3 2019","Currency=USD","Period=FQ","BEST_FPERIOD_OVERRIDE=FQ","FILING_STATUS=MR","Sort=A","Dates=H","DateFormat=P","Fill=—","Direction=H","UseDPDF=Y")</f>
        <v>48.850499999999997</v>
      </c>
      <c r="G12" s="14">
        <f>_xll.BDH("SRPT US Equity","LT_DEBT_TO_TOT_EQY","FQ4 2019","FQ4 2019","Currency=USD","Period=FQ","BEST_FPERIOD_OVERRIDE=FQ","FILING_STATUS=MR","Sort=A","Dates=H","DateFormat=P","Fill=—","Direction=H","UseDPDF=Y")</f>
        <v>89.175200000000004</v>
      </c>
      <c r="H12" s="14">
        <f>_xll.BDH("SRPT US Equity","LT_DEBT_TO_TOT_EQY","FQ1 2020","FQ1 2020","Currency=USD","Period=FQ","BEST_FPERIOD_OVERRIDE=FQ","FILING_STATUS=MR","Sort=A","Dates=H","DateFormat=P","Fill=—","Direction=H","UseDPDF=Y")</f>
        <v>65.792900000000003</v>
      </c>
      <c r="I12" s="14">
        <f>_xll.BDH("SRPT US Equity","LT_DEBT_TO_TOT_EQY","FQ2 2020","FQ2 2020","Currency=USD","Period=FQ","BEST_FPERIOD_OVERRIDE=FQ","FILING_STATUS=MR","Sort=A","Dates=H","DateFormat=P","Fill=—","Direction=H","UseDPDF=Y")</f>
        <v>73.504800000000003</v>
      </c>
      <c r="J12" s="14">
        <f>_xll.BDH("SRPT US Equity","LT_DEBT_TO_TOT_EQY","FQ3 2020","FQ3 2020","Currency=USD","Period=FQ","BEST_FPERIOD_OVERRIDE=FQ","FILING_STATUS=MR","Sort=A","Dates=H","DateFormat=P","Fill=—","Direction=H","UseDPDF=Y")</f>
        <v>86.172499999999999</v>
      </c>
      <c r="K12" s="14">
        <f>_xll.BDH("SRPT US Equity","LT_DEBT_TO_TOT_EQY","FQ4 2020","FQ4 2020","Currency=USD","Period=FQ","BEST_FPERIOD_OVERRIDE=FQ","FILING_STATUS=MR","Sort=A","Dates=H","DateFormat=P","Fill=—","Direction=H","UseDPDF=Y")</f>
        <v>140.8398</v>
      </c>
      <c r="L12" s="14">
        <f>_xll.BDH("SRPT US Equity","LT_DEBT_TO_TOT_EQY","FQ1 2021","FQ1 2021","Currency=USD","Period=FQ","BEST_FPERIOD_OVERRIDE=FQ","FILING_STATUS=MR","Sort=A","Dates=H","DateFormat=P","Fill=—","Direction=H","UseDPDF=Y")</f>
        <v>215.108</v>
      </c>
      <c r="M12" s="14">
        <f>_xll.BDH("SRPT US Equity","LT_DEBT_TO_TOT_EQY","FQ2 2021","FQ2 2021","Currency=USD","Period=FQ","BEST_FPERIOD_OVERRIDE=FQ","FILING_STATUS=MR","Sort=A","Dates=H","DateFormat=P","Fill=—","Direction=H","UseDPDF=Y")</f>
        <v>238.7654</v>
      </c>
      <c r="N12" s="14">
        <f>_xll.BDH("SRPT US Equity","LT_DEBT_TO_TOT_EQY","FQ3 2021","FQ3 2021","Currency=USD","Period=FQ","BEST_FPERIOD_OVERRIDE=FQ","FILING_STATUS=MR","Sort=A","Dates=H","DateFormat=P","Fill=—","Direction=H","UseDPDF=Y")</f>
        <v>246.70310000000001</v>
      </c>
      <c r="O12" s="14">
        <f>_xll.BDH("SRPT US Equity","LT_DEBT_TO_TOT_EQY","FQ4 2021","FQ4 2021","Currency=USD","Period=FQ","BEST_FPERIOD_OVERRIDE=FQ","FILING_STATUS=MR","Sort=A","Dates=H","DateFormat=P","Fill=—","Direction=H","UseDPDF=Y")</f>
        <v>122.6699</v>
      </c>
      <c r="P12" s="14">
        <f>_xll.BDH("SRPT US Equity","LT_DEBT_TO_TOT_EQY","FQ1 2022","FQ1 2022","Currency=USD","Period=FQ","BEST_FPERIOD_OVERRIDE=FQ","FILING_STATUS=MR","Sort=A","Dates=H","DateFormat=P","Fill=—","Direction=H","UseDPDF=Y")</f>
        <v>132.74430000000001</v>
      </c>
      <c r="Q12" s="14">
        <f>_xll.BDH("SRPT US Equity","LT_DEBT_TO_TOT_EQY","FQ2 2022","FQ2 2022","Currency=USD","Period=FQ","BEST_FPERIOD_OVERRIDE=FQ","FILING_STATUS=MR","Sort=A","Dates=H","DateFormat=P","Fill=—","Direction=H","UseDPDF=Y")</f>
        <v>156.95920000000001</v>
      </c>
      <c r="R12" s="14">
        <f>_xll.BDH("SRPT US Equity","LT_DEBT_TO_TOT_EQY","FQ3 2022","FQ3 2022","Currency=USD","Period=FQ","BEST_FPERIOD_OVERRIDE=FQ","FILING_STATUS=MR","Sort=A","Dates=H","DateFormat=P","Fill=—","Direction=H","UseDPDF=Y")</f>
        <v>366.26100000000002</v>
      </c>
      <c r="S12" s="14">
        <f>_xll.BDH("SRPT US Equity","LT_DEBT_TO_TOT_EQY","FQ4 2022","FQ4 2022","Currency=USD","Period=FQ","BEST_FPERIOD_OVERRIDE=FQ","FILING_STATUS=MR","Sort=A","Dates=H","DateFormat=P","Fill=—","Direction=H","UseDPDF=Y")</f>
        <v>416.12419999999997</v>
      </c>
      <c r="T12" s="14">
        <f>_xll.BDH("SRPT US Equity","LT_DEBT_TO_TOT_EQY","FQ1 2023","FQ1 2023","Currency=USD","Period=FQ","BEST_FPERIOD_OVERRIDE=FQ","FILING_STATUS=MR","Sort=A","Dates=H","DateFormat=P","Fill=—","Direction=H","UseDPDF=Y")</f>
        <v>180.7389</v>
      </c>
      <c r="U12" s="14">
        <f>_xll.BDH("SRPT US Equity","LT_DEBT_TO_TOT_EQY","FQ2 2023","FQ2 2023","Currency=USD","Period=FQ","BEST_FPERIOD_OVERRIDE=FQ","FILING_STATUS=MR","Sort=A","Dates=H","DateFormat=P","Fill=—","Direction=H","UseDPDF=Y")</f>
        <v>184.06620000000001</v>
      </c>
      <c r="V12" s="14">
        <f>_xll.BDH("SRPT US Equity","LT_DEBT_TO_TOT_EQY","FQ3 2023","FQ3 2023","Currency=USD","Period=FQ","BEST_FPERIOD_OVERRIDE=FQ","FILING_STATUS=MR","Sort=A","Dates=H","DateFormat=P","Fill=—","Direction=H","UseDPDF=Y")</f>
        <v>179.43279999999999</v>
      </c>
      <c r="W12" s="14">
        <f>_xll.BDH("SRPT US Equity","LT_DEBT_TO_TOT_EQY","FQ4 2023","FQ4 2023","Currency=USD","Period=FQ","BEST_FPERIOD_OVERRIDE=FQ","FILING_STATUS=MR","Sort=A","Dates=H","DateFormat=P","Fill=—","Direction=H","UseDPDF=Y")</f>
        <v>148.19329999999999</v>
      </c>
      <c r="X12" s="14">
        <f>_xll.BDH("SRPT US Equity","LT_DEBT_TO_TOT_EQY","FQ1 2024","FQ1 2024","Currency=USD","Period=FQ","BEST_FPERIOD_OVERRIDE=FQ","FILING_STATUS=MR","Sort=A","Dates=H","DateFormat=P","Fill=—","Direction=H","UseDPDF=Y")</f>
        <v>132.51900000000001</v>
      </c>
      <c r="Y12" s="14">
        <f>_xll.BDH("SRPT US Equity","LT_DEBT_TO_TOT_EQY","FQ2 2024","FQ2 2024","Currency=USD","Period=FQ","BEST_FPERIOD_OVERRIDE=FQ","FILING_STATUS=MR","Sort=A","Dates=H","DateFormat=P","Fill=—","Direction=H","UseDPDF=Y")</f>
        <v>118.6935</v>
      </c>
      <c r="Z12" s="14">
        <f>_xll.BDH("SRPT US Equity","LT_DEBT_TO_TOT_EQY","FQ3 2024","FQ3 2024","Currency=USD","Period=FQ","BEST_FPERIOD_OVERRIDE=FQ","FILING_STATUS=MR","Sort=A","Dates=H","DateFormat=P","Fill=—","Direction=H","UseDPDF=Y")</f>
        <v>106.9532</v>
      </c>
      <c r="AA12" s="14">
        <f>_xll.BDH("SRPT US Equity","LT_DEBT_TO_TOT_EQY","FQ4 2024","FQ4 2024","Currency=USD","Period=FQ","BEST_FPERIOD_OVERRIDE=FQ","FILING_STATUS=MR","Sort=A","Dates=H","DateFormat=P","Fill=—","Direction=H","UseDPDF=Y")</f>
        <v>87.030199999999994</v>
      </c>
    </row>
    <row r="13" spans="1:27" x14ac:dyDescent="0.25">
      <c r="A13" s="10" t="s">
        <v>1493</v>
      </c>
      <c r="B13" s="10" t="s">
        <v>1494</v>
      </c>
      <c r="C13" s="14">
        <f>_xll.BDH("SRPT US Equity","LT_DEBT_TO_TOT_CAP","FQ4 2018","FQ4 2018","Currency=USD","Period=FQ","BEST_FPERIOD_OVERRIDE=FQ","FILING_STATUS=MR","Sort=A","Dates=H","DateFormat=P","Fill=—","Direction=H","UseDPDF=Y")</f>
        <v>28.947199999999999</v>
      </c>
      <c r="D13" s="14">
        <f>_xll.BDH("SRPT US Equity","LT_DEBT_TO_TOT_CAP","FQ1 2019","FQ1 2019","Currency=USD","Period=FQ","BEST_FPERIOD_OVERRIDE=FQ","FILING_STATUS=MR","Sort=A","Dates=H","DateFormat=P","Fill=—","Direction=H","UseDPDF=Y")</f>
        <v>26.069500000000001</v>
      </c>
      <c r="E13" s="14">
        <f>_xll.BDH("SRPT US Equity","LT_DEBT_TO_TOT_CAP","FQ2 2019","FQ2 2019","Currency=USD","Period=FQ","BEST_FPERIOD_OVERRIDE=FQ","FILING_STATUS=MR","Sort=A","Dates=H","DateFormat=P","Fill=—","Direction=H","UseDPDF=Y")</f>
        <v>30.313400000000001</v>
      </c>
      <c r="F13" s="14">
        <f>_xll.BDH("SRPT US Equity","LT_DEBT_TO_TOT_CAP","FQ3 2019","FQ3 2019","Currency=USD","Period=FQ","BEST_FPERIOD_OVERRIDE=FQ","FILING_STATUS=MR","Sort=A","Dates=H","DateFormat=P","Fill=—","Direction=H","UseDPDF=Y")</f>
        <v>32.6511</v>
      </c>
      <c r="G13" s="14">
        <f>_xll.BDH("SRPT US Equity","LT_DEBT_TO_TOT_CAP","FQ4 2019","FQ4 2019","Currency=USD","Period=FQ","BEST_FPERIOD_OVERRIDE=FQ","FILING_STATUS=MR","Sort=A","Dates=H","DateFormat=P","Fill=—","Direction=H","UseDPDF=Y")</f>
        <v>46.901200000000003</v>
      </c>
      <c r="H13" s="14">
        <f>_xll.BDH("SRPT US Equity","LT_DEBT_TO_TOT_CAP","FQ1 2020","FQ1 2020","Currency=USD","Period=FQ","BEST_FPERIOD_OVERRIDE=FQ","FILING_STATUS=MR","Sort=A","Dates=H","DateFormat=P","Fill=—","Direction=H","UseDPDF=Y")</f>
        <v>39.683799999999998</v>
      </c>
      <c r="I13" s="14">
        <f>_xll.BDH("SRPT US Equity","LT_DEBT_TO_TOT_CAP","FQ2 2020","FQ2 2020","Currency=USD","Period=FQ","BEST_FPERIOD_OVERRIDE=FQ","FILING_STATUS=MR","Sort=A","Dates=H","DateFormat=P","Fill=—","Direction=H","UseDPDF=Y")</f>
        <v>42.364699999999999</v>
      </c>
      <c r="J13" s="14">
        <f>_xll.BDH("SRPT US Equity","LT_DEBT_TO_TOT_CAP","FQ3 2020","FQ3 2020","Currency=USD","Period=FQ","BEST_FPERIOD_OVERRIDE=FQ","FILING_STATUS=MR","Sort=A","Dates=H","DateFormat=P","Fill=—","Direction=H","UseDPDF=Y")</f>
        <v>46.2864</v>
      </c>
      <c r="K13" s="14">
        <f>_xll.BDH("SRPT US Equity","LT_DEBT_TO_TOT_CAP","FQ4 2020","FQ4 2020","Currency=USD","Period=FQ","BEST_FPERIOD_OVERRIDE=FQ","FILING_STATUS=MR","Sort=A","Dates=H","DateFormat=P","Fill=—","Direction=H","UseDPDF=Y")</f>
        <v>57.819000000000003</v>
      </c>
      <c r="L13" s="14">
        <f>_xll.BDH("SRPT US Equity","LT_DEBT_TO_TOT_CAP","FQ1 2021","FQ1 2021","Currency=USD","Period=FQ","BEST_FPERIOD_OVERRIDE=FQ","FILING_STATUS=MR","Sort=A","Dates=H","DateFormat=P","Fill=—","Direction=H","UseDPDF=Y")</f>
        <v>68.264799999999994</v>
      </c>
      <c r="M13" s="14">
        <f>_xll.BDH("SRPT US Equity","LT_DEBT_TO_TOT_CAP","FQ2 2021","FQ2 2021","Currency=USD","Period=FQ","BEST_FPERIOD_OVERRIDE=FQ","FILING_STATUS=MR","Sort=A","Dates=H","DateFormat=P","Fill=—","Direction=H","UseDPDF=Y")</f>
        <v>70.480999999999995</v>
      </c>
      <c r="N13" s="14">
        <f>_xll.BDH("SRPT US Equity","LT_DEBT_TO_TOT_CAP","FQ3 2021","FQ3 2021","Currency=USD","Period=FQ","BEST_FPERIOD_OVERRIDE=FQ","FILING_STATUS=MR","Sort=A","Dates=H","DateFormat=P","Fill=—","Direction=H","UseDPDF=Y")</f>
        <v>71.156899999999993</v>
      </c>
      <c r="O13" s="14">
        <f>_xll.BDH("SRPT US Equity","LT_DEBT_TO_TOT_CAP","FQ4 2021","FQ4 2021","Currency=USD","Period=FQ","BEST_FPERIOD_OVERRIDE=FQ","FILING_STATUS=MR","Sort=A","Dates=H","DateFormat=P","Fill=—","Direction=H","UseDPDF=Y")</f>
        <v>54.6922</v>
      </c>
      <c r="P13" s="14">
        <f>_xll.BDH("SRPT US Equity","LT_DEBT_TO_TOT_CAP","FQ1 2022","FQ1 2022","Currency=USD","Period=FQ","BEST_FPERIOD_OVERRIDE=FQ","FILING_STATUS=MR","Sort=A","Dates=H","DateFormat=P","Fill=—","Direction=H","UseDPDF=Y")</f>
        <v>57.034399999999998</v>
      </c>
      <c r="Q13" s="14">
        <f>_xll.BDH("SRPT US Equity","LT_DEBT_TO_TOT_CAP","FQ2 2022","FQ2 2022","Currency=USD","Period=FQ","BEST_FPERIOD_OVERRIDE=FQ","FILING_STATUS=MR","Sort=A","Dates=H","DateFormat=P","Fill=—","Direction=H","UseDPDF=Y")</f>
        <v>61.083300000000001</v>
      </c>
      <c r="R13" s="14">
        <f>_xll.BDH("SRPT US Equity","LT_DEBT_TO_TOT_CAP","FQ3 2022","FQ3 2022","Currency=USD","Period=FQ","BEST_FPERIOD_OVERRIDE=FQ","FILING_STATUS=MR","Sort=A","Dates=H","DateFormat=P","Fill=—","Direction=H","UseDPDF=Y")</f>
        <v>78.552800000000005</v>
      </c>
      <c r="S13" s="14">
        <f>_xll.BDH("SRPT US Equity","LT_DEBT_TO_TOT_CAP","FQ4 2022","FQ4 2022","Currency=USD","Period=FQ","BEST_FPERIOD_OVERRIDE=FQ","FILING_STATUS=MR","Sort=A","Dates=H","DateFormat=P","Fill=—","Direction=H","UseDPDF=Y")</f>
        <v>80.001099999999994</v>
      </c>
      <c r="T13" s="14">
        <f>_xll.BDH("SRPT US Equity","LT_DEBT_TO_TOT_CAP","FQ1 2023","FQ1 2023","Currency=USD","Period=FQ","BEST_FPERIOD_OVERRIDE=FQ","FILING_STATUS=MR","Sort=A","Dates=H","DateFormat=P","Fill=—","Direction=H","UseDPDF=Y")</f>
        <v>64.3797</v>
      </c>
      <c r="U13" s="14">
        <f>_xll.BDH("SRPT US Equity","LT_DEBT_TO_TOT_CAP","FQ2 2023","FQ2 2023","Currency=USD","Period=FQ","BEST_FPERIOD_OVERRIDE=FQ","FILING_STATUS=MR","Sort=A","Dates=H","DateFormat=P","Fill=—","Direction=H","UseDPDF=Y")</f>
        <v>64.796899999999994</v>
      </c>
      <c r="V13" s="14">
        <f>_xll.BDH("SRPT US Equity","LT_DEBT_TO_TOT_CAP","FQ3 2023","FQ3 2023","Currency=USD","Period=FQ","BEST_FPERIOD_OVERRIDE=FQ","FILING_STATUS=MR","Sort=A","Dates=H","DateFormat=P","Fill=—","Direction=H","UseDPDF=Y")</f>
        <v>63.677999999999997</v>
      </c>
      <c r="W13" s="14">
        <f>_xll.BDH("SRPT US Equity","LT_DEBT_TO_TOT_CAP","FQ4 2023","FQ4 2023","Currency=USD","Period=FQ","BEST_FPERIOD_OVERRIDE=FQ","FILING_STATUS=MR","Sort=A","Dates=H","DateFormat=P","Fill=—","Direction=H","UseDPDF=Y")</f>
        <v>56.445</v>
      </c>
      <c r="X13" s="14">
        <f>_xll.BDH("SRPT US Equity","LT_DEBT_TO_TOT_CAP","FQ1 2024","FQ1 2024","Currency=USD","Period=FQ","BEST_FPERIOD_OVERRIDE=FQ","FILING_STATUS=MR","Sort=A","Dates=H","DateFormat=P","Fill=—","Direction=H","UseDPDF=Y")</f>
        <v>54.421700000000001</v>
      </c>
      <c r="Y13" s="14">
        <f>_xll.BDH("SRPT US Equity","LT_DEBT_TO_TOT_CAP","FQ2 2024","FQ2 2024","Currency=USD","Period=FQ","BEST_FPERIOD_OVERRIDE=FQ","FILING_STATUS=MR","Sort=A","Dates=H","DateFormat=P","Fill=—","Direction=H","UseDPDF=Y")</f>
        <v>52.244300000000003</v>
      </c>
      <c r="Z13" s="14">
        <f>_xll.BDH("SRPT US Equity","LT_DEBT_TO_TOT_CAP","FQ3 2024","FQ3 2024","Currency=USD","Period=FQ","BEST_FPERIOD_OVERRIDE=FQ","FILING_STATUS=MR","Sort=A","Dates=H","DateFormat=P","Fill=—","Direction=H","UseDPDF=Y")</f>
        <v>49.872199999999999</v>
      </c>
      <c r="AA13" s="14">
        <f>_xll.BDH("SRPT US Equity","LT_DEBT_TO_TOT_CAP","FQ4 2024","FQ4 2024","Currency=USD","Period=FQ","BEST_FPERIOD_OVERRIDE=FQ","FILING_STATUS=MR","Sort=A","Dates=H","DateFormat=P","Fill=—","Direction=H","UseDPDF=Y")</f>
        <v>46.314300000000003</v>
      </c>
    </row>
    <row r="14" spans="1:27" x14ac:dyDescent="0.25">
      <c r="A14" s="10" t="s">
        <v>1495</v>
      </c>
      <c r="B14" s="10" t="s">
        <v>1496</v>
      </c>
      <c r="C14" s="14">
        <f>_xll.BDH("SRPT US Equity","LT_DEBT_TO_TOT_ASSET","FQ4 2018","FQ4 2018","Currency=USD","Period=FQ","BEST_FPERIOD_OVERRIDE=FQ","FILING_STATUS=MR","Sort=A","Dates=H","DateFormat=P","Fill=—","Direction=H","UseDPDF=Y")</f>
        <v>25.6111</v>
      </c>
      <c r="D14" s="14">
        <f>_xll.BDH("SRPT US Equity","LT_DEBT_TO_TOT_ASSET","FQ1 2019","FQ1 2019","Currency=USD","Period=FQ","BEST_FPERIOD_OVERRIDE=FQ","FILING_STATUS=MR","Sort=A","Dates=H","DateFormat=P","Fill=—","Direction=H","UseDPDF=Y")</f>
        <v>24.3352</v>
      </c>
      <c r="E14" s="14">
        <f>_xll.BDH("SRPT US Equity","LT_DEBT_TO_TOT_ASSET","FQ2 2019","FQ2 2019","Currency=USD","Period=FQ","BEST_FPERIOD_OVERRIDE=FQ","FILING_STATUS=MR","Sort=A","Dates=H","DateFormat=P","Fill=—","Direction=H","UseDPDF=Y")</f>
        <v>27.535299999999999</v>
      </c>
      <c r="F14" s="14">
        <f>_xll.BDH("SRPT US Equity","LT_DEBT_TO_TOT_ASSET","FQ3 2019","FQ3 2019","Currency=USD","Period=FQ","BEST_FPERIOD_OVERRIDE=FQ","FILING_STATUS=MR","Sort=A","Dates=H","DateFormat=P","Fill=—","Direction=H","UseDPDF=Y")</f>
        <v>28.5563</v>
      </c>
      <c r="G14" s="14">
        <f>_xll.BDH("SRPT US Equity","LT_DEBT_TO_TOT_ASSET","FQ4 2019","FQ4 2019","Currency=USD","Period=FQ","BEST_FPERIOD_OVERRIDE=FQ","FILING_STATUS=MR","Sort=A","Dates=H","DateFormat=P","Fill=—","Direction=H","UseDPDF=Y")</f>
        <v>40.026899999999998</v>
      </c>
      <c r="H14" s="14">
        <f>_xll.BDH("SRPT US Equity","LT_DEBT_TO_TOT_ASSET","FQ1 2020","FQ1 2020","Currency=USD","Period=FQ","BEST_FPERIOD_OVERRIDE=FQ","FILING_STATUS=MR","Sort=A","Dates=H","DateFormat=P","Fill=—","Direction=H","UseDPDF=Y")</f>
        <v>25.555399999999999</v>
      </c>
      <c r="I14" s="14">
        <f>_xll.BDH("SRPT US Equity","LT_DEBT_TO_TOT_ASSET","FQ2 2020","FQ2 2020","Currency=USD","Period=FQ","BEST_FPERIOD_OVERRIDE=FQ","FILING_STATUS=MR","Sort=A","Dates=H","DateFormat=P","Fill=—","Direction=H","UseDPDF=Y")</f>
        <v>26.5885</v>
      </c>
      <c r="J14" s="14">
        <f>_xll.BDH("SRPT US Equity","LT_DEBT_TO_TOT_ASSET","FQ3 2020","FQ3 2020","Currency=USD","Period=FQ","BEST_FPERIOD_OVERRIDE=FQ","FILING_STATUS=MR","Sort=A","Dates=H","DateFormat=P","Fill=—","Direction=H","UseDPDF=Y")</f>
        <v>27.644400000000001</v>
      </c>
      <c r="K14" s="14">
        <f>_xll.BDH("SRPT US Equity","LT_DEBT_TO_TOT_ASSET","FQ4 2020","FQ4 2020","Currency=USD","Period=FQ","BEST_FPERIOD_OVERRIDE=FQ","FILING_STATUS=MR","Sort=A","Dates=H","DateFormat=P","Fill=—","Direction=H","UseDPDF=Y")</f>
        <v>35.945099999999996</v>
      </c>
      <c r="L14" s="14">
        <f>_xll.BDH("SRPT US Equity","LT_DEBT_TO_TOT_ASSET","FQ1 2021","FQ1 2021","Currency=USD","Period=FQ","BEST_FPERIOD_OVERRIDE=FQ","FILING_STATUS=MR","Sort=A","Dates=H","DateFormat=P","Fill=—","Direction=H","UseDPDF=Y")</f>
        <v>41.6524</v>
      </c>
      <c r="M14" s="14">
        <f>_xll.BDH("SRPT US Equity","LT_DEBT_TO_TOT_ASSET","FQ2 2021","FQ2 2021","Currency=USD","Period=FQ","BEST_FPERIOD_OVERRIDE=FQ","FILING_STATUS=MR","Sort=A","Dates=H","DateFormat=P","Fill=—","Direction=H","UseDPDF=Y")</f>
        <v>41.980400000000003</v>
      </c>
      <c r="N14" s="14">
        <f>_xll.BDH("SRPT US Equity","LT_DEBT_TO_TOT_ASSET","FQ3 2021","FQ3 2021","Currency=USD","Period=FQ","BEST_FPERIOD_OVERRIDE=FQ","FILING_STATUS=MR","Sort=A","Dates=H","DateFormat=P","Fill=—","Direction=H","UseDPDF=Y")</f>
        <v>43.510300000000001</v>
      </c>
      <c r="O14" s="14">
        <f>_xll.BDH("SRPT US Equity","LT_DEBT_TO_TOT_ASSET","FQ4 2021","FQ4 2021","Currency=USD","Period=FQ","BEST_FPERIOD_OVERRIDE=FQ","FILING_STATUS=MR","Sort=A","Dates=H","DateFormat=P","Fill=—","Direction=H","UseDPDF=Y")</f>
        <v>36.162599999999998</v>
      </c>
      <c r="P14" s="14">
        <f>_xll.BDH("SRPT US Equity","LT_DEBT_TO_TOT_ASSET","FQ1 2022","FQ1 2022","Currency=USD","Period=FQ","BEST_FPERIOD_OVERRIDE=FQ","FILING_STATUS=MR","Sort=A","Dates=H","DateFormat=P","Fill=—","Direction=H","UseDPDF=Y")</f>
        <v>37.218899999999998</v>
      </c>
      <c r="Q14" s="14">
        <f>_xll.BDH("SRPT US Equity","LT_DEBT_TO_TOT_ASSET","FQ2 2022","FQ2 2022","Currency=USD","Period=FQ","BEST_FPERIOD_OVERRIDE=FQ","FILING_STATUS=MR","Sort=A","Dates=H","DateFormat=P","Fill=—","Direction=H","UseDPDF=Y")</f>
        <v>38.047899999999998</v>
      </c>
      <c r="R14" s="14">
        <f>_xll.BDH("SRPT US Equity","LT_DEBT_TO_TOT_ASSET","FQ3 2022","FQ3 2022","Currency=USD","Period=FQ","BEST_FPERIOD_OVERRIDE=FQ","FILING_STATUS=MR","Sort=A","Dates=H","DateFormat=P","Fill=—","Direction=H","UseDPDF=Y")</f>
        <v>49.997599999999998</v>
      </c>
      <c r="S14" s="14">
        <f>_xll.BDH("SRPT US Equity","LT_DEBT_TO_TOT_ASSET","FQ4 2022","FQ4 2022","Currency=USD","Period=FQ","BEST_FPERIOD_OVERRIDE=FQ","FILING_STATUS=MR","Sort=A","Dates=H","DateFormat=P","Fill=—","Direction=H","UseDPDF=Y")</f>
        <v>51.204700000000003</v>
      </c>
      <c r="T14" s="14">
        <f>_xll.BDH("SRPT US Equity","LT_DEBT_TO_TOT_ASSET","FQ1 2023","FQ1 2023","Currency=USD","Period=FQ","BEST_FPERIOD_OVERRIDE=FQ","FILING_STATUS=MR","Sort=A","Dates=H","DateFormat=P","Fill=—","Direction=H","UseDPDF=Y")</f>
        <v>42.101500000000001</v>
      </c>
      <c r="U14" s="14">
        <f>_xll.BDH("SRPT US Equity","LT_DEBT_TO_TOT_ASSET","FQ2 2023","FQ2 2023","Currency=USD","Period=FQ","BEST_FPERIOD_OVERRIDE=FQ","FILING_STATUS=MR","Sort=A","Dates=H","DateFormat=P","Fill=—","Direction=H","UseDPDF=Y")</f>
        <v>43.657600000000002</v>
      </c>
      <c r="V14" s="14">
        <f>_xll.BDH("SRPT US Equity","LT_DEBT_TO_TOT_ASSET","FQ3 2023","FQ3 2023","Currency=USD","Period=FQ","BEST_FPERIOD_OVERRIDE=FQ","FILING_STATUS=MR","Sort=A","Dates=H","DateFormat=P","Fill=—","Direction=H","UseDPDF=Y")</f>
        <v>44.104100000000003</v>
      </c>
      <c r="W14" s="14">
        <f>_xll.BDH("SRPT US Equity","LT_DEBT_TO_TOT_ASSET","FQ4 2023","FQ4 2023","Currency=USD","Period=FQ","BEST_FPERIOD_OVERRIDE=FQ","FILING_STATUS=MR","Sort=A","Dates=H","DateFormat=P","Fill=—","Direction=H","UseDPDF=Y")</f>
        <v>39.009</v>
      </c>
      <c r="X14" s="14">
        <f>_xll.BDH("SRPT US Equity","LT_DEBT_TO_TOT_ASSET","FQ1 2024","FQ1 2024","Currency=USD","Period=FQ","BEST_FPERIOD_OVERRIDE=FQ","FILING_STATUS=MR","Sort=A","Dates=H","DateFormat=P","Fill=—","Direction=H","UseDPDF=Y")</f>
        <v>39.503999999999998</v>
      </c>
      <c r="Y14" s="14">
        <f>_xll.BDH("SRPT US Equity","LT_DEBT_TO_TOT_ASSET","FQ2 2024","FQ2 2024","Currency=USD","Period=FQ","BEST_FPERIOD_OVERRIDE=FQ","FILING_STATUS=MR","Sort=A","Dates=H","DateFormat=P","Fill=—","Direction=H","UseDPDF=Y")</f>
        <v>37.334000000000003</v>
      </c>
      <c r="Z14" s="14">
        <f>_xll.BDH("SRPT US Equity","LT_DEBT_TO_TOT_ASSET","FQ3 2024","FQ3 2024","Currency=USD","Period=FQ","BEST_FPERIOD_OVERRIDE=FQ","FILING_STATUS=MR","Sort=A","Dates=H","DateFormat=P","Fill=—","Direction=H","UseDPDF=Y")</f>
        <v>36.277700000000003</v>
      </c>
      <c r="AA14" s="14">
        <f>_xll.BDH("SRPT US Equity","LT_DEBT_TO_TOT_ASSET","FQ4 2024","FQ4 2024","Currency=USD","Period=FQ","BEST_FPERIOD_OVERRIDE=FQ","FILING_STATUS=MR","Sort=A","Dates=H","DateFormat=P","Fill=—","Direction=H","UseDPDF=Y")</f>
        <v>33.5488</v>
      </c>
    </row>
    <row r="15" spans="1:27" x14ac:dyDescent="0.25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5">
      <c r="A16" s="10" t="s">
        <v>1497</v>
      </c>
      <c r="B16" s="10" t="s">
        <v>1498</v>
      </c>
      <c r="C16" s="14">
        <f>_xll.BDH("SRPT US Equity","TOT_DEBT_TO_TOT_EQY","FQ4 2018","FQ4 2018","Currency=USD","Period=FQ","BEST_FPERIOD_OVERRIDE=FQ","FILING_STATUS=MR","Sort=A","Dates=H","DateFormat=P","Fill=—","Direction=H","UseDPDF=Y")</f>
        <v>40.740499999999997</v>
      </c>
      <c r="D16" s="14">
        <f>_xll.BDH("SRPT US Equity","TOT_DEBT_TO_TOT_EQY","FQ1 2019","FQ1 2019","Currency=USD","Period=FQ","BEST_FPERIOD_OVERRIDE=FQ","FILING_STATUS=MR","Sort=A","Dates=H","DateFormat=P","Fill=—","Direction=H","UseDPDF=Y")</f>
        <v>35.9405</v>
      </c>
      <c r="E16" s="14">
        <f>_xll.BDH("SRPT US Equity","TOT_DEBT_TO_TOT_EQY","FQ2 2019","FQ2 2019","Currency=USD","Period=FQ","BEST_FPERIOD_OVERRIDE=FQ","FILING_STATUS=MR","Sort=A","Dates=H","DateFormat=P","Fill=—","Direction=H","UseDPDF=Y")</f>
        <v>44.434600000000003</v>
      </c>
      <c r="F16" s="14">
        <f>_xll.BDH("SRPT US Equity","TOT_DEBT_TO_TOT_EQY","FQ3 2019","FQ3 2019","Currency=USD","Period=FQ","BEST_FPERIOD_OVERRIDE=FQ","FILING_STATUS=MR","Sort=A","Dates=H","DateFormat=P","Fill=—","Direction=H","UseDPDF=Y")</f>
        <v>49.613700000000001</v>
      </c>
      <c r="G16" s="14">
        <f>_xll.BDH("SRPT US Equity","TOT_DEBT_TO_TOT_EQY","FQ4 2019","FQ4 2019","Currency=USD","Period=FQ","BEST_FPERIOD_OVERRIDE=FQ","FILING_STATUS=MR","Sort=A","Dates=H","DateFormat=P","Fill=—","Direction=H","UseDPDF=Y")</f>
        <v>90.134200000000007</v>
      </c>
      <c r="H16" s="14">
        <f>_xll.BDH("SRPT US Equity","TOT_DEBT_TO_TOT_EQY","FQ1 2020","FQ1 2020","Currency=USD","Period=FQ","BEST_FPERIOD_OVERRIDE=FQ","FILING_STATUS=MR","Sort=A","Dates=H","DateFormat=P","Fill=—","Direction=H","UseDPDF=Y")</f>
        <v>65.792900000000003</v>
      </c>
      <c r="I16" s="14">
        <f>_xll.BDH("SRPT US Equity","TOT_DEBT_TO_TOT_EQY","FQ2 2020","FQ2 2020","Currency=USD","Period=FQ","BEST_FPERIOD_OVERRIDE=FQ","FILING_STATUS=MR","Sort=A","Dates=H","DateFormat=P","Fill=—","Direction=H","UseDPDF=Y")</f>
        <v>73.504800000000003</v>
      </c>
      <c r="J16" s="14">
        <f>_xll.BDH("SRPT US Equity","TOT_DEBT_TO_TOT_EQY","FQ3 2020","FQ3 2020","Currency=USD","Period=FQ","BEST_FPERIOD_OVERRIDE=FQ","FILING_STATUS=MR","Sort=A","Dates=H","DateFormat=P","Fill=—","Direction=H","UseDPDF=Y")</f>
        <v>86.172499999999999</v>
      </c>
      <c r="K16" s="14">
        <f>_xll.BDH("SRPT US Equity","TOT_DEBT_TO_TOT_EQY","FQ4 2020","FQ4 2020","Currency=USD","Period=FQ","BEST_FPERIOD_OVERRIDE=FQ","FILING_STATUS=MR","Sort=A","Dates=H","DateFormat=P","Fill=—","Direction=H","UseDPDF=Y")</f>
        <v>143.5874</v>
      </c>
      <c r="L16" s="14">
        <f>_xll.BDH("SRPT US Equity","TOT_DEBT_TO_TOT_EQY","FQ1 2021","FQ1 2021","Currency=USD","Period=FQ","BEST_FPERIOD_OVERRIDE=FQ","FILING_STATUS=MR","Sort=A","Dates=H","DateFormat=P","Fill=—","Direction=H","UseDPDF=Y")</f>
        <v>215.108</v>
      </c>
      <c r="M16" s="14">
        <f>_xll.BDH("SRPT US Equity","TOT_DEBT_TO_TOT_EQY","FQ2 2021","FQ2 2021","Currency=USD","Period=FQ","BEST_FPERIOD_OVERRIDE=FQ","FILING_STATUS=MR","Sort=A","Dates=H","DateFormat=P","Fill=—","Direction=H","UseDPDF=Y")</f>
        <v>238.7654</v>
      </c>
      <c r="N16" s="14">
        <f>_xll.BDH("SRPT US Equity","TOT_DEBT_TO_TOT_EQY","FQ3 2021","FQ3 2021","Currency=USD","Period=FQ","BEST_FPERIOD_OVERRIDE=FQ","FILING_STATUS=MR","Sort=A","Dates=H","DateFormat=P","Fill=—","Direction=H","UseDPDF=Y")</f>
        <v>246.70310000000001</v>
      </c>
      <c r="O16" s="14">
        <f>_xll.BDH("SRPT US Equity","TOT_DEBT_TO_TOT_EQY","FQ4 2021","FQ4 2021","Currency=USD","Period=FQ","BEST_FPERIOD_OVERRIDE=FQ","FILING_STATUS=MR","Sort=A","Dates=H","DateFormat=P","Fill=—","Direction=H","UseDPDF=Y")</f>
        <v>124.2916</v>
      </c>
      <c r="P16" s="14">
        <f>_xll.BDH("SRPT US Equity","TOT_DEBT_TO_TOT_EQY","FQ1 2022","FQ1 2022","Currency=USD","Period=FQ","BEST_FPERIOD_OVERRIDE=FQ","FILING_STATUS=MR","Sort=A","Dates=H","DateFormat=P","Fill=—","Direction=H","UseDPDF=Y")</f>
        <v>132.74430000000001</v>
      </c>
      <c r="Q16" s="14">
        <f>_xll.BDH("SRPT US Equity","TOT_DEBT_TO_TOT_EQY","FQ2 2022","FQ2 2022","Currency=USD","Period=FQ","BEST_FPERIOD_OVERRIDE=FQ","FILING_STATUS=MR","Sort=A","Dates=H","DateFormat=P","Fill=—","Direction=H","UseDPDF=Y")</f>
        <v>156.95920000000001</v>
      </c>
      <c r="R16" s="14">
        <f>_xll.BDH("SRPT US Equity","TOT_DEBT_TO_TOT_EQY","FQ3 2022","FQ3 2022","Currency=USD","Period=FQ","BEST_FPERIOD_OVERRIDE=FQ","FILING_STATUS=MR","Sort=A","Dates=H","DateFormat=P","Fill=—","Direction=H","UseDPDF=Y")</f>
        <v>366.26100000000002</v>
      </c>
      <c r="S16" s="14">
        <f>_xll.BDH("SRPT US Equity","TOT_DEBT_TO_TOT_EQY","FQ4 2022","FQ4 2022","Currency=USD","Period=FQ","BEST_FPERIOD_OVERRIDE=FQ","FILING_STATUS=MR","Sort=A","Dates=H","DateFormat=P","Fill=—","Direction=H","UseDPDF=Y")</f>
        <v>420.14780000000002</v>
      </c>
      <c r="T16" s="14">
        <f>_xll.BDH("SRPT US Equity","TOT_DEBT_TO_TOT_EQY","FQ1 2023","FQ1 2023","Currency=USD","Period=FQ","BEST_FPERIOD_OVERRIDE=FQ","FILING_STATUS=MR","Sort=A","Dates=H","DateFormat=P","Fill=—","Direction=H","UseDPDF=Y")</f>
        <v>180.7389</v>
      </c>
      <c r="U16" s="14">
        <f>_xll.BDH("SRPT US Equity","TOT_DEBT_TO_TOT_EQY","FQ2 2023","FQ2 2023","Currency=USD","Period=FQ","BEST_FPERIOD_OVERRIDE=FQ","FILING_STATUS=MR","Sort=A","Dates=H","DateFormat=P","Fill=—","Direction=H","UseDPDF=Y")</f>
        <v>184.06620000000001</v>
      </c>
      <c r="V16" s="14">
        <f>_xll.BDH("SRPT US Equity","TOT_DEBT_TO_TOT_EQY","FQ3 2023","FQ3 2023","Currency=USD","Period=FQ","BEST_FPERIOD_OVERRIDE=FQ","FILING_STATUS=MR","Sort=A","Dates=H","DateFormat=P","Fill=—","Direction=H","UseDPDF=Y")</f>
        <v>181.78129999999999</v>
      </c>
      <c r="W16" s="14">
        <f>_xll.BDH("SRPT US Equity","TOT_DEBT_TO_TOT_EQY","FQ4 2023","FQ4 2023","Currency=USD","Period=FQ","BEST_FPERIOD_OVERRIDE=FQ","FILING_STATUS=MR","Sort=A","Dates=H","DateFormat=P","Fill=—","Direction=H","UseDPDF=Y")</f>
        <v>162.54480000000001</v>
      </c>
      <c r="X16" s="14">
        <f>_xll.BDH("SRPT US Equity","TOT_DEBT_TO_TOT_EQY","FQ1 2024","FQ1 2024","Currency=USD","Period=FQ","BEST_FPERIOD_OVERRIDE=FQ","FILING_STATUS=MR","Sort=A","Dates=H","DateFormat=P","Fill=—","Direction=H","UseDPDF=Y")</f>
        <v>143.50389999999999</v>
      </c>
      <c r="Y16" s="14">
        <f>_xll.BDH("SRPT US Equity","TOT_DEBT_TO_TOT_EQY","FQ2 2024","FQ2 2024","Currency=USD","Period=FQ","BEST_FPERIOD_OVERRIDE=FQ","FILING_STATUS=MR","Sort=A","Dates=H","DateFormat=P","Fill=—","Direction=H","UseDPDF=Y")</f>
        <v>127.1893</v>
      </c>
      <c r="Z16" s="14">
        <f>_xll.BDH("SRPT US Equity","TOT_DEBT_TO_TOT_EQY","FQ3 2024","FQ3 2024","Currency=USD","Period=FQ","BEST_FPERIOD_OVERRIDE=FQ","FILING_STATUS=MR","Sort=A","Dates=H","DateFormat=P","Fill=—","Direction=H","UseDPDF=Y")</f>
        <v>114.45440000000001</v>
      </c>
      <c r="AA16" s="14">
        <f>_xll.BDH("SRPT US Equity","TOT_DEBT_TO_TOT_EQY","FQ4 2024","FQ4 2024","Currency=USD","Period=FQ","BEST_FPERIOD_OVERRIDE=FQ","FILING_STATUS=MR","Sort=A","Dates=H","DateFormat=P","Fill=—","Direction=H","UseDPDF=Y")</f>
        <v>87.912099999999995</v>
      </c>
    </row>
    <row r="17" spans="1:27" x14ac:dyDescent="0.25">
      <c r="A17" s="10" t="s">
        <v>1499</v>
      </c>
      <c r="B17" s="10" t="s">
        <v>175</v>
      </c>
      <c r="C17" s="14">
        <f>_xll.BDH("SRPT US Equity","TOT_DEBT_TO_TOT_CAP","FQ4 2018","FQ4 2018","Currency=USD","Period=FQ","BEST_FPERIOD_OVERRIDE=FQ","FILING_STATUS=MR","Sort=A","Dates=H","DateFormat=P","Fill=—","Direction=H","UseDPDF=Y")</f>
        <v>28.947199999999999</v>
      </c>
      <c r="D17" s="14">
        <f>_xll.BDH("SRPT US Equity","TOT_DEBT_TO_TOT_CAP","FQ1 2019","FQ1 2019","Currency=USD","Period=FQ","BEST_FPERIOD_OVERRIDE=FQ","FILING_STATUS=MR","Sort=A","Dates=H","DateFormat=P","Fill=—","Direction=H","UseDPDF=Y")</f>
        <v>26.438400000000001</v>
      </c>
      <c r="E17" s="14">
        <f>_xll.BDH("SRPT US Equity","TOT_DEBT_TO_TOT_CAP","FQ2 2019","FQ2 2019","Currency=USD","Period=FQ","BEST_FPERIOD_OVERRIDE=FQ","FILING_STATUS=MR","Sort=A","Dates=H","DateFormat=P","Fill=—","Direction=H","UseDPDF=Y")</f>
        <v>30.764500000000002</v>
      </c>
      <c r="F17" s="14">
        <f>_xll.BDH("SRPT US Equity","TOT_DEBT_TO_TOT_CAP","FQ3 2019","FQ3 2019","Currency=USD","Period=FQ","BEST_FPERIOD_OVERRIDE=FQ","FILING_STATUS=MR","Sort=A","Dates=H","DateFormat=P","Fill=—","Direction=H","UseDPDF=Y")</f>
        <v>33.161200000000001</v>
      </c>
      <c r="G17" s="14">
        <f>_xll.BDH("SRPT US Equity","TOT_DEBT_TO_TOT_CAP","FQ4 2019","FQ4 2019","Currency=USD","Period=FQ","BEST_FPERIOD_OVERRIDE=FQ","FILING_STATUS=MR","Sort=A","Dates=H","DateFormat=P","Fill=—","Direction=H","UseDPDF=Y")</f>
        <v>47.4056</v>
      </c>
      <c r="H17" s="14">
        <f>_xll.BDH("SRPT US Equity","TOT_DEBT_TO_TOT_CAP","FQ1 2020","FQ1 2020","Currency=USD","Period=FQ","BEST_FPERIOD_OVERRIDE=FQ","FILING_STATUS=MR","Sort=A","Dates=H","DateFormat=P","Fill=—","Direction=H","UseDPDF=Y")</f>
        <v>39.683799999999998</v>
      </c>
      <c r="I17" s="14">
        <f>_xll.BDH("SRPT US Equity","TOT_DEBT_TO_TOT_CAP","FQ2 2020","FQ2 2020","Currency=USD","Period=FQ","BEST_FPERIOD_OVERRIDE=FQ","FILING_STATUS=MR","Sort=A","Dates=H","DateFormat=P","Fill=—","Direction=H","UseDPDF=Y")</f>
        <v>42.364699999999999</v>
      </c>
      <c r="J17" s="14">
        <f>_xll.BDH("SRPT US Equity","TOT_DEBT_TO_TOT_CAP","FQ3 2020","FQ3 2020","Currency=USD","Period=FQ","BEST_FPERIOD_OVERRIDE=FQ","FILING_STATUS=MR","Sort=A","Dates=H","DateFormat=P","Fill=—","Direction=H","UseDPDF=Y")</f>
        <v>46.2864</v>
      </c>
      <c r="K17" s="14">
        <f>_xll.BDH("SRPT US Equity","TOT_DEBT_TO_TOT_CAP","FQ4 2020","FQ4 2020","Currency=USD","Period=FQ","BEST_FPERIOD_OVERRIDE=FQ","FILING_STATUS=MR","Sort=A","Dates=H","DateFormat=P","Fill=—","Direction=H","UseDPDF=Y")</f>
        <v>58.947000000000003</v>
      </c>
      <c r="L17" s="14">
        <f>_xll.BDH("SRPT US Equity","TOT_DEBT_TO_TOT_CAP","FQ1 2021","FQ1 2021","Currency=USD","Period=FQ","BEST_FPERIOD_OVERRIDE=FQ","FILING_STATUS=MR","Sort=A","Dates=H","DateFormat=P","Fill=—","Direction=H","UseDPDF=Y")</f>
        <v>68.264799999999994</v>
      </c>
      <c r="M17" s="14">
        <f>_xll.BDH("SRPT US Equity","TOT_DEBT_TO_TOT_CAP","FQ2 2021","FQ2 2021","Currency=USD","Period=FQ","BEST_FPERIOD_OVERRIDE=FQ","FILING_STATUS=MR","Sort=A","Dates=H","DateFormat=P","Fill=—","Direction=H","UseDPDF=Y")</f>
        <v>70.480999999999995</v>
      </c>
      <c r="N17" s="14">
        <f>_xll.BDH("SRPT US Equity","TOT_DEBT_TO_TOT_CAP","FQ3 2021","FQ3 2021","Currency=USD","Period=FQ","BEST_FPERIOD_OVERRIDE=FQ","FILING_STATUS=MR","Sort=A","Dates=H","DateFormat=P","Fill=—","Direction=H","UseDPDF=Y")</f>
        <v>71.156899999999993</v>
      </c>
      <c r="O17" s="14">
        <f>_xll.BDH("SRPT US Equity","TOT_DEBT_TO_TOT_CAP","FQ4 2021","FQ4 2021","Currency=USD","Period=FQ","BEST_FPERIOD_OVERRIDE=FQ","FILING_STATUS=MR","Sort=A","Dates=H","DateFormat=P","Fill=—","Direction=H","UseDPDF=Y")</f>
        <v>55.415199999999999</v>
      </c>
      <c r="P17" s="14">
        <f>_xll.BDH("SRPT US Equity","TOT_DEBT_TO_TOT_CAP","FQ1 2022","FQ1 2022","Currency=USD","Period=FQ","BEST_FPERIOD_OVERRIDE=FQ","FILING_STATUS=MR","Sort=A","Dates=H","DateFormat=P","Fill=—","Direction=H","UseDPDF=Y")</f>
        <v>57.034399999999998</v>
      </c>
      <c r="Q17" s="14">
        <f>_xll.BDH("SRPT US Equity","TOT_DEBT_TO_TOT_CAP","FQ2 2022","FQ2 2022","Currency=USD","Period=FQ","BEST_FPERIOD_OVERRIDE=FQ","FILING_STATUS=MR","Sort=A","Dates=H","DateFormat=P","Fill=—","Direction=H","UseDPDF=Y")</f>
        <v>61.083300000000001</v>
      </c>
      <c r="R17" s="14">
        <f>_xll.BDH("SRPT US Equity","TOT_DEBT_TO_TOT_CAP","FQ3 2022","FQ3 2022","Currency=USD","Period=FQ","BEST_FPERIOD_OVERRIDE=FQ","FILING_STATUS=MR","Sort=A","Dates=H","DateFormat=P","Fill=—","Direction=H","UseDPDF=Y")</f>
        <v>78.552800000000005</v>
      </c>
      <c r="S17" s="14">
        <f>_xll.BDH("SRPT US Equity","TOT_DEBT_TO_TOT_CAP","FQ4 2022","FQ4 2022","Currency=USD","Period=FQ","BEST_FPERIOD_OVERRIDE=FQ","FILING_STATUS=MR","Sort=A","Dates=H","DateFormat=P","Fill=—","Direction=H","UseDPDF=Y")</f>
        <v>80.774699999999996</v>
      </c>
      <c r="T17" s="14">
        <f>_xll.BDH("SRPT US Equity","TOT_DEBT_TO_TOT_CAP","FQ1 2023","FQ1 2023","Currency=USD","Period=FQ","BEST_FPERIOD_OVERRIDE=FQ","FILING_STATUS=MR","Sort=A","Dates=H","DateFormat=P","Fill=—","Direction=H","UseDPDF=Y")</f>
        <v>64.3797</v>
      </c>
      <c r="U17" s="14">
        <f>_xll.BDH("SRPT US Equity","TOT_DEBT_TO_TOT_CAP","FQ2 2023","FQ2 2023","Currency=USD","Period=FQ","BEST_FPERIOD_OVERRIDE=FQ","FILING_STATUS=MR","Sort=A","Dates=H","DateFormat=P","Fill=—","Direction=H","UseDPDF=Y")</f>
        <v>64.796899999999994</v>
      </c>
      <c r="V17" s="14">
        <f>_xll.BDH("SRPT US Equity","TOT_DEBT_TO_TOT_CAP","FQ3 2023","FQ3 2023","Currency=USD","Period=FQ","BEST_FPERIOD_OVERRIDE=FQ","FILING_STATUS=MR","Sort=A","Dates=H","DateFormat=P","Fill=—","Direction=H","UseDPDF=Y")</f>
        <v>64.511499999999998</v>
      </c>
      <c r="W17" s="14">
        <f>_xll.BDH("SRPT US Equity","TOT_DEBT_TO_TOT_CAP","FQ4 2023","FQ4 2023","Currency=USD","Period=FQ","BEST_FPERIOD_OVERRIDE=FQ","FILING_STATUS=MR","Sort=A","Dates=H","DateFormat=P","Fill=—","Direction=H","UseDPDF=Y")</f>
        <v>61.911299999999997</v>
      </c>
      <c r="X17" s="14">
        <f>_xll.BDH("SRPT US Equity","TOT_DEBT_TO_TOT_CAP","FQ1 2024","FQ1 2024","Currency=USD","Period=FQ","BEST_FPERIOD_OVERRIDE=FQ","FILING_STATUS=MR","Sort=A","Dates=H","DateFormat=P","Fill=—","Direction=H","UseDPDF=Y")</f>
        <v>58.932899999999997</v>
      </c>
      <c r="Y17" s="14">
        <f>_xll.BDH("SRPT US Equity","TOT_DEBT_TO_TOT_CAP","FQ2 2024","FQ2 2024","Currency=USD","Period=FQ","BEST_FPERIOD_OVERRIDE=FQ","FILING_STATUS=MR","Sort=A","Dates=H","DateFormat=P","Fill=—","Direction=H","UseDPDF=Y")</f>
        <v>55.983800000000002</v>
      </c>
      <c r="Z17" s="14">
        <f>_xll.BDH("SRPT US Equity","TOT_DEBT_TO_TOT_CAP","FQ3 2024","FQ3 2024","Currency=USD","Period=FQ","BEST_FPERIOD_OVERRIDE=FQ","FILING_STATUS=MR","Sort=A","Dates=H","DateFormat=P","Fill=—","Direction=H","UseDPDF=Y")</f>
        <v>53.37</v>
      </c>
      <c r="AA17" s="14">
        <f>_xll.BDH("SRPT US Equity","TOT_DEBT_TO_TOT_CAP","FQ4 2024","FQ4 2024","Currency=USD","Period=FQ","BEST_FPERIOD_OVERRIDE=FQ","FILING_STATUS=MR","Sort=A","Dates=H","DateFormat=P","Fill=—","Direction=H","UseDPDF=Y")</f>
        <v>46.7836</v>
      </c>
    </row>
    <row r="18" spans="1:27" x14ac:dyDescent="0.25">
      <c r="A18" s="10" t="s">
        <v>1500</v>
      </c>
      <c r="B18" s="10" t="s">
        <v>1501</v>
      </c>
      <c r="C18" s="14">
        <f>_xll.BDH("SRPT US Equity","TOT_DEBT_TO_TOT_ASSET","FQ4 2018","FQ4 2018","Currency=USD","Period=FQ","BEST_FPERIOD_OVERRIDE=FQ","FILING_STATUS=MR","Sort=A","Dates=H","DateFormat=P","Fill=—","Direction=H","UseDPDF=Y")</f>
        <v>25.6111</v>
      </c>
      <c r="D18" s="14">
        <f>_xll.BDH("SRPT US Equity","TOT_DEBT_TO_TOT_ASSET","FQ1 2019","FQ1 2019","Currency=USD","Period=FQ","BEST_FPERIOD_OVERRIDE=FQ","FILING_STATUS=MR","Sort=A","Dates=H","DateFormat=P","Fill=—","Direction=H","UseDPDF=Y")</f>
        <v>24.679600000000001</v>
      </c>
      <c r="E18" s="14">
        <f>_xll.BDH("SRPT US Equity","TOT_DEBT_TO_TOT_ASSET","FQ2 2019","FQ2 2019","Currency=USD","Period=FQ","BEST_FPERIOD_OVERRIDE=FQ","FILING_STATUS=MR","Sort=A","Dates=H","DateFormat=P","Fill=—","Direction=H","UseDPDF=Y")</f>
        <v>27.945</v>
      </c>
      <c r="F18" s="14">
        <f>_xll.BDH("SRPT US Equity","TOT_DEBT_TO_TOT_ASSET","FQ3 2019","FQ3 2019","Currency=USD","Period=FQ","BEST_FPERIOD_OVERRIDE=FQ","FILING_STATUS=MR","Sort=A","Dates=H","DateFormat=P","Fill=—","Direction=H","UseDPDF=Y")</f>
        <v>29.002400000000002</v>
      </c>
      <c r="G18" s="14">
        <f>_xll.BDH("SRPT US Equity","TOT_DEBT_TO_TOT_ASSET","FQ4 2019","FQ4 2019","Currency=USD","Period=FQ","BEST_FPERIOD_OVERRIDE=FQ","FILING_STATUS=MR","Sort=A","Dates=H","DateFormat=P","Fill=—","Direction=H","UseDPDF=Y")</f>
        <v>40.4574</v>
      </c>
      <c r="H18" s="14">
        <f>_xll.BDH("SRPT US Equity","TOT_DEBT_TO_TOT_ASSET","FQ1 2020","FQ1 2020","Currency=USD","Period=FQ","BEST_FPERIOD_OVERRIDE=FQ","FILING_STATUS=MR","Sort=A","Dates=H","DateFormat=P","Fill=—","Direction=H","UseDPDF=Y")</f>
        <v>25.555399999999999</v>
      </c>
      <c r="I18" s="14">
        <f>_xll.BDH("SRPT US Equity","TOT_DEBT_TO_TOT_ASSET","FQ2 2020","FQ2 2020","Currency=USD","Period=FQ","BEST_FPERIOD_OVERRIDE=FQ","FILING_STATUS=MR","Sort=A","Dates=H","DateFormat=P","Fill=—","Direction=H","UseDPDF=Y")</f>
        <v>26.5885</v>
      </c>
      <c r="J18" s="14">
        <f>_xll.BDH("SRPT US Equity","TOT_DEBT_TO_TOT_ASSET","FQ3 2020","FQ3 2020","Currency=USD","Period=FQ","BEST_FPERIOD_OVERRIDE=FQ","FILING_STATUS=MR","Sort=A","Dates=H","DateFormat=P","Fill=—","Direction=H","UseDPDF=Y")</f>
        <v>27.644400000000001</v>
      </c>
      <c r="K18" s="14">
        <f>_xll.BDH("SRPT US Equity","TOT_DEBT_TO_TOT_ASSET","FQ4 2020","FQ4 2020","Currency=USD","Period=FQ","BEST_FPERIOD_OVERRIDE=FQ","FILING_STATUS=MR","Sort=A","Dates=H","DateFormat=P","Fill=—","Direction=H","UseDPDF=Y")</f>
        <v>36.646299999999997</v>
      </c>
      <c r="L18" s="14">
        <f>_xll.BDH("SRPT US Equity","TOT_DEBT_TO_TOT_ASSET","FQ1 2021","FQ1 2021","Currency=USD","Period=FQ","BEST_FPERIOD_OVERRIDE=FQ","FILING_STATUS=MR","Sort=A","Dates=H","DateFormat=P","Fill=—","Direction=H","UseDPDF=Y")</f>
        <v>41.6524</v>
      </c>
      <c r="M18" s="14">
        <f>_xll.BDH("SRPT US Equity","TOT_DEBT_TO_TOT_ASSET","FQ2 2021","FQ2 2021","Currency=USD","Period=FQ","BEST_FPERIOD_OVERRIDE=FQ","FILING_STATUS=MR","Sort=A","Dates=H","DateFormat=P","Fill=—","Direction=H","UseDPDF=Y")</f>
        <v>41.980400000000003</v>
      </c>
      <c r="N18" s="14">
        <f>_xll.BDH("SRPT US Equity","TOT_DEBT_TO_TOT_ASSET","FQ3 2021","FQ3 2021","Currency=USD","Period=FQ","BEST_FPERIOD_OVERRIDE=FQ","FILING_STATUS=MR","Sort=A","Dates=H","DateFormat=P","Fill=—","Direction=H","UseDPDF=Y")</f>
        <v>43.510300000000001</v>
      </c>
      <c r="O18" s="14">
        <f>_xll.BDH("SRPT US Equity","TOT_DEBT_TO_TOT_ASSET","FQ4 2021","FQ4 2021","Currency=USD","Period=FQ","BEST_FPERIOD_OVERRIDE=FQ","FILING_STATUS=MR","Sort=A","Dates=H","DateFormat=P","Fill=—","Direction=H","UseDPDF=Y")</f>
        <v>36.640599999999999</v>
      </c>
      <c r="P18" s="14">
        <f>_xll.BDH("SRPT US Equity","TOT_DEBT_TO_TOT_ASSET","FQ1 2022","FQ1 2022","Currency=USD","Period=FQ","BEST_FPERIOD_OVERRIDE=FQ","FILING_STATUS=MR","Sort=A","Dates=H","DateFormat=P","Fill=—","Direction=H","UseDPDF=Y")</f>
        <v>37.218899999999998</v>
      </c>
      <c r="Q18" s="14">
        <f>_xll.BDH("SRPT US Equity","TOT_DEBT_TO_TOT_ASSET","FQ2 2022","FQ2 2022","Currency=USD","Period=FQ","BEST_FPERIOD_OVERRIDE=FQ","FILING_STATUS=MR","Sort=A","Dates=H","DateFormat=P","Fill=—","Direction=H","UseDPDF=Y")</f>
        <v>38.047899999999998</v>
      </c>
      <c r="R18" s="14">
        <f>_xll.BDH("SRPT US Equity","TOT_DEBT_TO_TOT_ASSET","FQ3 2022","FQ3 2022","Currency=USD","Period=FQ","BEST_FPERIOD_OVERRIDE=FQ","FILING_STATUS=MR","Sort=A","Dates=H","DateFormat=P","Fill=—","Direction=H","UseDPDF=Y")</f>
        <v>49.997599999999998</v>
      </c>
      <c r="S18" s="14">
        <f>_xll.BDH("SRPT US Equity","TOT_DEBT_TO_TOT_ASSET","FQ4 2022","FQ4 2022","Currency=USD","Period=FQ","BEST_FPERIOD_OVERRIDE=FQ","FILING_STATUS=MR","Sort=A","Dates=H","DateFormat=P","Fill=—","Direction=H","UseDPDF=Y")</f>
        <v>51.699800000000003</v>
      </c>
      <c r="T18" s="14">
        <f>_xll.BDH("SRPT US Equity","TOT_DEBT_TO_TOT_ASSET","FQ1 2023","FQ1 2023","Currency=USD","Period=FQ","BEST_FPERIOD_OVERRIDE=FQ","FILING_STATUS=MR","Sort=A","Dates=H","DateFormat=P","Fill=—","Direction=H","UseDPDF=Y")</f>
        <v>42.101500000000001</v>
      </c>
      <c r="U18" s="14">
        <f>_xll.BDH("SRPT US Equity","TOT_DEBT_TO_TOT_ASSET","FQ2 2023","FQ2 2023","Currency=USD","Period=FQ","BEST_FPERIOD_OVERRIDE=FQ","FILING_STATUS=MR","Sort=A","Dates=H","DateFormat=P","Fill=—","Direction=H","UseDPDF=Y")</f>
        <v>43.657600000000002</v>
      </c>
      <c r="V18" s="14">
        <f>_xll.BDH("SRPT US Equity","TOT_DEBT_TO_TOT_ASSET","FQ3 2023","FQ3 2023","Currency=USD","Period=FQ","BEST_FPERIOD_OVERRIDE=FQ","FILING_STATUS=MR","Sort=A","Dates=H","DateFormat=P","Fill=—","Direction=H","UseDPDF=Y")</f>
        <v>44.6813</v>
      </c>
      <c r="W18" s="14">
        <f>_xll.BDH("SRPT US Equity","TOT_DEBT_TO_TOT_ASSET","FQ4 2023","FQ4 2023","Currency=USD","Period=FQ","BEST_FPERIOD_OVERRIDE=FQ","FILING_STATUS=MR","Sort=A","Dates=H","DateFormat=P","Fill=—","Direction=H","UseDPDF=Y")</f>
        <v>42.786799999999999</v>
      </c>
      <c r="X18" s="14">
        <f>_xll.BDH("SRPT US Equity","TOT_DEBT_TO_TOT_ASSET","FQ1 2024","FQ1 2024","Currency=USD","Period=FQ","BEST_FPERIOD_OVERRIDE=FQ","FILING_STATUS=MR","Sort=A","Dates=H","DateFormat=P","Fill=—","Direction=H","UseDPDF=Y")</f>
        <v>42.778599999999997</v>
      </c>
      <c r="Y18" s="14">
        <f>_xll.BDH("SRPT US Equity","TOT_DEBT_TO_TOT_ASSET","FQ2 2024","FQ2 2024","Currency=USD","Period=FQ","BEST_FPERIOD_OVERRIDE=FQ","FILING_STATUS=MR","Sort=A","Dates=H","DateFormat=P","Fill=—","Direction=H","UseDPDF=Y")</f>
        <v>40.0062</v>
      </c>
      <c r="Z18" s="14">
        <f>_xll.BDH("SRPT US Equity","TOT_DEBT_TO_TOT_ASSET","FQ3 2024","FQ3 2024","Currency=USD","Period=FQ","BEST_FPERIOD_OVERRIDE=FQ","FILING_STATUS=MR","Sort=A","Dates=H","DateFormat=P","Fill=—","Direction=H","UseDPDF=Y")</f>
        <v>38.822099999999999</v>
      </c>
      <c r="AA18" s="14">
        <f>_xll.BDH("SRPT US Equity","TOT_DEBT_TO_TOT_ASSET","FQ4 2024","FQ4 2024","Currency=USD","Period=FQ","BEST_FPERIOD_OVERRIDE=FQ","FILING_STATUS=MR","Sort=A","Dates=H","DateFormat=P","Fill=—","Direction=H","UseDPDF=Y")</f>
        <v>33.888800000000003</v>
      </c>
    </row>
    <row r="19" spans="1:27" x14ac:dyDescent="0.25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5">
      <c r="A20" s="10" t="s">
        <v>1540</v>
      </c>
      <c r="B20" s="10" t="s">
        <v>1541</v>
      </c>
      <c r="C20" s="14">
        <f>_xll.BDH("SRPT US Equity","CASH_FLOW_TO_TOT_LIAB","FQ4 2018","FQ4 2018","Currency=USD","Period=FQ","BEST_FPERIOD_OVERRIDE=FQ","FILING_STATUS=MR","Sort=A","Dates=H","DateFormat=P","Fill=—","Direction=H","UseDPDF=Y")</f>
        <v>-63.735799999999998</v>
      </c>
      <c r="D20" s="14">
        <f>_xll.BDH("SRPT US Equity","CASH_FLOW_TO_TOT_LIAB","FQ1 2019","FQ1 2019","Currency=USD","Period=FQ","BEST_FPERIOD_OVERRIDE=FQ","FILING_STATUS=MR","Sort=A","Dates=H","DateFormat=P","Fill=—","Direction=H","UseDPDF=Y")</f>
        <v>-81.131100000000004</v>
      </c>
      <c r="E20" s="14">
        <f>_xll.BDH("SRPT US Equity","CASH_FLOW_TO_TOT_LIAB","FQ2 2019","FQ2 2019","Currency=USD","Period=FQ","BEST_FPERIOD_OVERRIDE=FQ","FILING_STATUS=MR","Sort=A","Dates=H","DateFormat=P","Fill=—","Direction=H","UseDPDF=Y")</f>
        <v>-71.073800000000006</v>
      </c>
      <c r="F20" s="14">
        <f>_xll.BDH("SRPT US Equity","CASH_FLOW_TO_TOT_LIAB","FQ3 2019","FQ3 2019","Currency=USD","Period=FQ","BEST_FPERIOD_OVERRIDE=FQ","FILING_STATUS=MR","Sort=A","Dates=H","DateFormat=P","Fill=—","Direction=H","UseDPDF=Y")</f>
        <v>-58.689100000000003</v>
      </c>
      <c r="G20" s="14">
        <f>_xll.BDH("SRPT US Equity","CASH_FLOW_TO_TOT_LIAB","FQ4 2019","FQ4 2019","Currency=USD","Period=FQ","BEST_FPERIOD_OVERRIDE=FQ","FILING_STATUS=MR","Sort=A","Dates=H","DateFormat=P","Fill=—","Direction=H","UseDPDF=Y")</f>
        <v>-45.435699999999997</v>
      </c>
      <c r="H20" s="14">
        <f>_xll.BDH("SRPT US Equity","CASH_FLOW_TO_TOT_LIAB","FQ1 2020","FQ1 2020","Currency=USD","Period=FQ","BEST_FPERIOD_OVERRIDE=FQ","FILING_STATUS=MR","Sort=A","Dates=H","DateFormat=P","Fill=—","Direction=H","UseDPDF=Y")</f>
        <v>17.6172</v>
      </c>
      <c r="I20" s="14">
        <f>_xll.BDH("SRPT US Equity","CASH_FLOW_TO_TOT_LIAB","FQ2 2020","FQ2 2020","Currency=USD","Period=FQ","BEST_FPERIOD_OVERRIDE=FQ","FILING_STATUS=MR","Sort=A","Dates=H","DateFormat=P","Fill=—","Direction=H","UseDPDF=Y")</f>
        <v>15.7029</v>
      </c>
      <c r="J20" s="14">
        <f>_xll.BDH("SRPT US Equity","CASH_FLOW_TO_TOT_LIAB","FQ3 2020","FQ3 2020","Currency=USD","Period=FQ","BEST_FPERIOD_OVERRIDE=FQ","FILING_STATUS=MR","Sort=A","Dates=H","DateFormat=P","Fill=—","Direction=H","UseDPDF=Y")</f>
        <v>6.2588999999999997</v>
      </c>
      <c r="K20" s="14">
        <f>_xll.BDH("SRPT US Equity","CASH_FLOW_TO_TOT_LIAB","FQ4 2020","FQ4 2020","Currency=USD","Period=FQ","BEST_FPERIOD_OVERRIDE=FQ","FILING_STATUS=MR","Sort=A","Dates=H","DateFormat=P","Fill=—","Direction=H","UseDPDF=Y")</f>
        <v>4.8343999999999996</v>
      </c>
      <c r="L20" s="14">
        <f>_xll.BDH("SRPT US Equity","CASH_FLOW_TO_TOT_LIAB","FQ1 2021","FQ1 2021","Currency=USD","Period=FQ","BEST_FPERIOD_OVERRIDE=FQ","FILING_STATUS=MR","Sort=A","Dates=H","DateFormat=P","Fill=—","Direction=H","UseDPDF=Y")</f>
        <v>-31.424299999999999</v>
      </c>
      <c r="M20" s="14">
        <f>_xll.BDH("SRPT US Equity","CASH_FLOW_TO_TOT_LIAB","FQ2 2021","FQ2 2021","Currency=USD","Period=FQ","BEST_FPERIOD_OVERRIDE=FQ","FILING_STATUS=MR","Sort=A","Dates=H","DateFormat=P","Fill=—","Direction=H","UseDPDF=Y")</f>
        <v>-30.881699999999999</v>
      </c>
      <c r="N20" s="14">
        <f>_xll.BDH("SRPT US Equity","CASH_FLOW_TO_TOT_LIAB","FQ3 2021","FQ3 2021","Currency=USD","Period=FQ","BEST_FPERIOD_OVERRIDE=FQ","FILING_STATUS=MR","Sort=A","Dates=H","DateFormat=P","Fill=—","Direction=H","UseDPDF=Y")</f>
        <v>-26.8338</v>
      </c>
      <c r="O20" s="14">
        <f>_xll.BDH("SRPT US Equity","CASH_FLOW_TO_TOT_LIAB","FQ4 2021","FQ4 2021","Currency=USD","Period=FQ","BEST_FPERIOD_OVERRIDE=FQ","FILING_STATUS=MR","Sort=A","Dates=H","DateFormat=P","Fill=—","Direction=H","UseDPDF=Y")</f>
        <v>-19.963000000000001</v>
      </c>
      <c r="P20" s="14">
        <f>_xll.BDH("SRPT US Equity","CASH_FLOW_TO_TOT_LIAB","FQ1 2022","FQ1 2022","Currency=USD","Period=FQ","BEST_FPERIOD_OVERRIDE=FQ","FILING_STATUS=MR","Sort=A","Dates=H","DateFormat=P","Fill=—","Direction=H","UseDPDF=Y")</f>
        <v>-16.549900000000001</v>
      </c>
      <c r="Q20" s="14">
        <f>_xll.BDH("SRPT US Equity","CASH_FLOW_TO_TOT_LIAB","FQ2 2022","FQ2 2022","Currency=USD","Period=FQ","BEST_FPERIOD_OVERRIDE=FQ","FILING_STATUS=MR","Sort=A","Dates=H","DateFormat=P","Fill=—","Direction=H","UseDPDF=Y")</f>
        <v>-14.1669</v>
      </c>
      <c r="R20" s="14">
        <f>_xll.BDH("SRPT US Equity","CASH_FLOW_TO_TOT_LIAB","FQ3 2022","FQ3 2022","Currency=USD","Period=FQ","BEST_FPERIOD_OVERRIDE=FQ","FILING_STATUS=MR","Sort=A","Dates=H","DateFormat=P","Fill=—","Direction=H","UseDPDF=Y")</f>
        <v>-9.6239000000000008</v>
      </c>
      <c r="S20" s="14">
        <f>_xll.BDH("SRPT US Equity","CASH_FLOW_TO_TOT_LIAB","FQ4 2022","FQ4 2022","Currency=USD","Period=FQ","BEST_FPERIOD_OVERRIDE=FQ","FILING_STATUS=MR","Sort=A","Dates=H","DateFormat=P","Fill=—","Direction=H","UseDPDF=Y")</f>
        <v>-11.8592</v>
      </c>
      <c r="T20" s="14">
        <f>_xll.BDH("SRPT US Equity","CASH_FLOW_TO_TOT_LIAB","FQ1 2023","FQ1 2023","Currency=USD","Period=FQ","BEST_FPERIOD_OVERRIDE=FQ","FILING_STATUS=MR","Sort=A","Dates=H","DateFormat=P","Fill=—","Direction=H","UseDPDF=Y")</f>
        <v>-18.472999999999999</v>
      </c>
      <c r="U20" s="14">
        <f>_xll.BDH("SRPT US Equity","CASH_FLOW_TO_TOT_LIAB","FQ2 2023","FQ2 2023","Currency=USD","Period=FQ","BEST_FPERIOD_OVERRIDE=FQ","FILING_STATUS=MR","Sort=A","Dates=H","DateFormat=P","Fill=—","Direction=H","UseDPDF=Y")</f>
        <v>-20.507000000000001</v>
      </c>
      <c r="V20" s="14">
        <f>_xll.BDH("SRPT US Equity","CASH_FLOW_TO_TOT_LIAB","FQ3 2023","FQ3 2023","Currency=USD","Period=FQ","BEST_FPERIOD_OVERRIDE=FQ","FILING_STATUS=MR","Sort=A","Dates=H","DateFormat=P","Fill=—","Direction=H","UseDPDF=Y")</f>
        <v>-22.97</v>
      </c>
      <c r="W20" s="14">
        <f>_xll.BDH("SRPT US Equity","CASH_FLOW_TO_TOT_LIAB","FQ4 2023","FQ4 2023","Currency=USD","Period=FQ","BEST_FPERIOD_OVERRIDE=FQ","FILING_STATUS=MR","Sort=A","Dates=H","DateFormat=P","Fill=—","Direction=H","UseDPDF=Y")</f>
        <v>-20.8292</v>
      </c>
      <c r="X20" s="14">
        <f>_xll.BDH("SRPT US Equity","CASH_FLOW_TO_TOT_LIAB","FQ1 2024","FQ1 2024","Currency=USD","Period=FQ","BEST_FPERIOD_OVERRIDE=FQ","FILING_STATUS=MR","Sort=A","Dates=H","DateFormat=P","Fill=—","Direction=H","UseDPDF=Y")</f>
        <v>-23.580500000000001</v>
      </c>
      <c r="Y20" s="14">
        <f>_xll.BDH("SRPT US Equity","CASH_FLOW_TO_TOT_LIAB","FQ2 2024","FQ2 2024","Currency=USD","Period=FQ","BEST_FPERIOD_OVERRIDE=FQ","FILING_STATUS=MR","Sort=A","Dates=H","DateFormat=P","Fill=—","Direction=H","UseDPDF=Y")</f>
        <v>-16.892399999999999</v>
      </c>
      <c r="Z20" s="14">
        <f>_xll.BDH("SRPT US Equity","CASH_FLOW_TO_TOT_LIAB","FQ3 2024","FQ3 2024","Currency=USD","Period=FQ","BEST_FPERIOD_OVERRIDE=FQ","FILING_STATUS=MR","Sort=A","Dates=H","DateFormat=P","Fill=—","Direction=H","UseDPDF=Y")</f>
        <v>-14.817600000000001</v>
      </c>
      <c r="AA20" s="14">
        <f>_xll.BDH("SRPT US Equity","CASH_FLOW_TO_TOT_LIAB","FQ4 2024","FQ4 2024","Currency=USD","Period=FQ","BEST_FPERIOD_OVERRIDE=FQ","FILING_STATUS=MR","Sort=A","Dates=H","DateFormat=P","Fill=—","Direction=H","UseDPDF=Y")</f>
        <v>-8.4497</v>
      </c>
    </row>
    <row r="21" spans="1:27" x14ac:dyDescent="0.25">
      <c r="A21" s="10" t="s">
        <v>1542</v>
      </c>
      <c r="B21" s="10" t="s">
        <v>1543</v>
      </c>
      <c r="C21" s="14">
        <f>_xll.BDH("SRPT US Equity","CAP_EXPEND_RATIO","FQ4 2018","FQ4 2018","Currency=USD","Period=FQ","BEST_FPERIOD_OVERRIDE=FQ","FILING_STATUS=MR","Sort=A","Dates=H","DateFormat=P","Fill=—","Direction=H","UseDPDF=Y")</f>
        <v>-6.0594999999999999</v>
      </c>
      <c r="D21" s="14">
        <f>_xll.BDH("SRPT US Equity","CAP_EXPEND_RATIO","FQ1 2019","FQ1 2019","Currency=USD","Period=FQ","BEST_FPERIOD_OVERRIDE=FQ","FILING_STATUS=MR","Sort=A","Dates=H","DateFormat=P","Fill=—","Direction=H","UseDPDF=Y")</f>
        <v>-8.9917999999999996</v>
      </c>
      <c r="E21" s="14">
        <f>_xll.BDH("SRPT US Equity","CAP_EXPEND_RATIO","FQ2 2019","FQ2 2019","Currency=USD","Period=FQ","BEST_FPERIOD_OVERRIDE=FQ","FILING_STATUS=MR","Sort=A","Dates=H","DateFormat=P","Fill=—","Direction=H","UseDPDF=Y")</f>
        <v>-4.7359</v>
      </c>
      <c r="F21" s="14">
        <f>_xll.BDH("SRPT US Equity","CAP_EXPEND_RATIO","FQ3 2019","FQ3 2019","Currency=USD","Period=FQ","BEST_FPERIOD_OVERRIDE=FQ","FILING_STATUS=MR","Sort=A","Dates=H","DateFormat=P","Fill=—","Direction=H","UseDPDF=Y")</f>
        <v>-7.1513999999999998</v>
      </c>
      <c r="G21" s="14">
        <f>_xll.BDH("SRPT US Equity","CAP_EXPEND_RATIO","FQ4 2019","FQ4 2019","Currency=USD","Period=FQ","BEST_FPERIOD_OVERRIDE=FQ","FILING_STATUS=MR","Sort=A","Dates=H","DateFormat=P","Fill=—","Direction=H","UseDPDF=Y")</f>
        <v>-9.4915000000000003</v>
      </c>
      <c r="H21" s="14">
        <f>_xll.BDH("SRPT US Equity","CAP_EXPEND_RATIO","FQ1 2020","FQ1 2020","Currency=USD","Period=FQ","BEST_FPERIOD_OVERRIDE=FQ","FILING_STATUS=MR","Sort=A","Dates=H","DateFormat=P","Fill=—","Direction=H","UseDPDF=Y")</f>
        <v>68.836600000000004</v>
      </c>
      <c r="I21" s="14">
        <f>_xll.BDH("SRPT US Equity","CAP_EXPEND_RATIO","FQ2 2020","FQ2 2020","Currency=USD","Period=FQ","BEST_FPERIOD_OVERRIDE=FQ","FILING_STATUS=MR","Sort=A","Dates=H","DateFormat=P","Fill=—","Direction=H","UseDPDF=Y")</f>
        <v>-5.6134000000000004</v>
      </c>
      <c r="J21" s="14">
        <f>_xll.BDH("SRPT US Equity","CAP_EXPEND_RATIO","FQ3 2020","FQ3 2020","Currency=USD","Period=FQ","BEST_FPERIOD_OVERRIDE=FQ","FILING_STATUS=MR","Sort=A","Dates=H","DateFormat=P","Fill=—","Direction=H","UseDPDF=Y")</f>
        <v>-9.4133999999999993</v>
      </c>
      <c r="K21" s="14">
        <f>_xll.BDH("SRPT US Equity","CAP_EXPEND_RATIO","FQ4 2020","FQ4 2020","Currency=USD","Period=FQ","BEST_FPERIOD_OVERRIDE=FQ","FILING_STATUS=MR","Sort=A","Dates=H","DateFormat=P","Fill=—","Direction=H","UseDPDF=Y")</f>
        <v>-6.7092999999999998</v>
      </c>
      <c r="L21" s="14">
        <f>_xll.BDH("SRPT US Equity","CAP_EXPEND_RATIO","FQ1 2021","FQ1 2021","Currency=USD","Period=FQ","BEST_FPERIOD_OVERRIDE=FQ","FILING_STATUS=MR","Sort=A","Dates=H","DateFormat=P","Fill=—","Direction=H","UseDPDF=Y")</f>
        <v>-8.5286000000000008</v>
      </c>
      <c r="M21" s="14">
        <f>_xll.BDH("SRPT US Equity","CAP_EXPEND_RATIO","FQ2 2021","FQ2 2021","Currency=USD","Period=FQ","BEST_FPERIOD_OVERRIDE=FQ","FILING_STATUS=MR","Sort=A","Dates=H","DateFormat=P","Fill=—","Direction=H","UseDPDF=Y")</f>
        <v>-18.5182</v>
      </c>
      <c r="N21" s="14">
        <f>_xll.BDH("SRPT US Equity","CAP_EXPEND_RATIO","FQ3 2021","FQ3 2021","Currency=USD","Period=FQ","BEST_FPERIOD_OVERRIDE=FQ","FILING_STATUS=MR","Sort=A","Dates=H","DateFormat=P","Fill=—","Direction=H","UseDPDF=Y")</f>
        <v>-13.4541</v>
      </c>
      <c r="O21" s="14">
        <f>_xll.BDH("SRPT US Equity","CAP_EXPEND_RATIO","FQ4 2021","FQ4 2021","Currency=USD","Period=FQ","BEST_FPERIOD_OVERRIDE=FQ","FILING_STATUS=MR","Sort=A","Dates=H","DateFormat=P","Fill=—","Direction=H","UseDPDF=Y")</f>
        <v>-13.293699999999999</v>
      </c>
      <c r="P21" s="14">
        <f>_xll.BDH("SRPT US Equity","CAP_EXPEND_RATIO","FQ1 2022","FQ1 2022","Currency=USD","Period=FQ","BEST_FPERIOD_OVERRIDE=FQ","FILING_STATUS=MR","Sort=A","Dates=H","DateFormat=P","Fill=—","Direction=H","UseDPDF=Y")</f>
        <v>-18.226400000000002</v>
      </c>
      <c r="Q21" s="14">
        <f>_xll.BDH("SRPT US Equity","CAP_EXPEND_RATIO","FQ2 2022","FQ2 2022","Currency=USD","Period=FQ","BEST_FPERIOD_OVERRIDE=FQ","FILING_STATUS=MR","Sort=A","Dates=H","DateFormat=P","Fill=—","Direction=H","UseDPDF=Y")</f>
        <v>-7.3601000000000001</v>
      </c>
      <c r="R21" s="14">
        <f>_xll.BDH("SRPT US Equity","CAP_EXPEND_RATIO","FQ3 2022","FQ3 2022","Currency=USD","Period=FQ","BEST_FPERIOD_OVERRIDE=FQ","FILING_STATUS=MR","Sort=A","Dates=H","DateFormat=P","Fill=—","Direction=H","UseDPDF=Y")</f>
        <v>-7.8925999999999998</v>
      </c>
      <c r="S21" s="14">
        <f>_xll.BDH("SRPT US Equity","CAP_EXPEND_RATIO","FQ4 2022","FQ4 2022","Currency=USD","Period=FQ","BEST_FPERIOD_OVERRIDE=FQ","FILING_STATUS=MR","Sort=A","Dates=H","DateFormat=P","Fill=—","Direction=H","UseDPDF=Y")</f>
        <v>-13.71</v>
      </c>
      <c r="T21" s="14">
        <f>_xll.BDH("SRPT US Equity","CAP_EXPEND_RATIO","FQ1 2023","FQ1 2023","Currency=USD","Period=FQ","BEST_FPERIOD_OVERRIDE=FQ","FILING_STATUS=MR","Sort=A","Dates=H","DateFormat=P","Fill=—","Direction=H","UseDPDF=Y")</f>
        <v>-22.076499999999999</v>
      </c>
      <c r="U21" s="14">
        <f>_xll.BDH("SRPT US Equity","CAP_EXPEND_RATIO","FQ2 2023","FQ2 2023","Currency=USD","Period=FQ","BEST_FPERIOD_OVERRIDE=FQ","FILING_STATUS=MR","Sort=A","Dates=H","DateFormat=P","Fill=—","Direction=H","UseDPDF=Y")</f>
        <v>-6.8253000000000004</v>
      </c>
      <c r="V21" s="14">
        <f>_xll.BDH("SRPT US Equity","CAP_EXPEND_RATIO","FQ3 2023","FQ3 2023","Currency=USD","Period=FQ","BEST_FPERIOD_OVERRIDE=FQ","FILING_STATUS=MR","Sort=A","Dates=H","DateFormat=P","Fill=—","Direction=H","UseDPDF=Y")</f>
        <v>-3.8656999999999999</v>
      </c>
      <c r="W21" s="14">
        <f>_xll.BDH("SRPT US Equity","CAP_EXPEND_RATIO","FQ4 2023","FQ4 2023","Currency=USD","Period=FQ","BEST_FPERIOD_OVERRIDE=FQ","FILING_STATUS=MR","Sort=A","Dates=H","DateFormat=P","Fill=—","Direction=H","UseDPDF=Y")</f>
        <v>-2.8708</v>
      </c>
      <c r="X21" s="14">
        <f>_xll.BDH("SRPT US Equity","CAP_EXPEND_RATIO","FQ1 2024","FQ1 2024","Currency=USD","Period=FQ","BEST_FPERIOD_OVERRIDE=FQ","FILING_STATUS=MR","Sort=A","Dates=H","DateFormat=P","Fill=—","Direction=H","UseDPDF=Y")</f>
        <v>-7.4612999999999996</v>
      </c>
      <c r="Y21" s="14">
        <f>_xll.BDH("SRPT US Equity","CAP_EXPEND_RATIO","FQ2 2024","FQ2 2024","Currency=USD","Period=FQ","BEST_FPERIOD_OVERRIDE=FQ","FILING_STATUS=MR","Sort=A","Dates=H","DateFormat=P","Fill=—","Direction=H","UseDPDF=Y")</f>
        <v>0.51229999999999998</v>
      </c>
      <c r="Z21" s="14">
        <f>_xll.BDH("SRPT US Equity","CAP_EXPEND_RATIO","FQ3 2024","FQ3 2024","Currency=USD","Period=FQ","BEST_FPERIOD_OVERRIDE=FQ","FILING_STATUS=MR","Sort=A","Dates=H","DateFormat=P","Fill=—","Direction=H","UseDPDF=Y")</f>
        <v>-1.8973</v>
      </c>
      <c r="AA21" s="14">
        <f>_xll.BDH("SRPT US Equity","CAP_EXPEND_RATIO","FQ4 2024","FQ4 2024","Currency=USD","Period=FQ","BEST_FPERIOD_OVERRIDE=FQ","FILING_STATUS=MR","Sort=A","Dates=H","DateFormat=P","Fill=—","Direction=H","UseDPDF=Y")</f>
        <v>2.4169999999999998</v>
      </c>
    </row>
    <row r="22" spans="1:27" x14ac:dyDescent="0.25">
      <c r="A22" s="10" t="s">
        <v>1544</v>
      </c>
      <c r="B22" s="10" t="s">
        <v>1545</v>
      </c>
      <c r="C22" s="14">
        <f>_xll.BDH("SRPT US Equity","ALTMAN_Z_SCORE","FQ4 2018","FQ4 2018","Currency=USD","Period=FQ","BEST_FPERIOD_OVERRIDE=FQ","FILING_STATUS=MR","Sort=A","Dates=H","DateFormat=P","Fill=—","Direction=H","UseDPDF=Y")</f>
        <v>6.6879</v>
      </c>
      <c r="D22" s="14">
        <f>_xll.BDH("SRPT US Equity","ALTMAN_Z_SCORE","FQ1 2019","FQ1 2019","Currency=USD","Period=FQ","BEST_FPERIOD_OVERRIDE=FQ","FILING_STATUS=MR","Sort=A","Dates=H","DateFormat=P","Fill=—","Direction=H","UseDPDF=Y")</f>
        <v>7.8516000000000004</v>
      </c>
      <c r="E22" s="14">
        <f>_xll.BDH("SRPT US Equity","ALTMAN_Z_SCORE","FQ2 2019","FQ2 2019","Currency=USD","Period=FQ","BEST_FPERIOD_OVERRIDE=FQ","FILING_STATUS=MR","Sort=A","Dates=H","DateFormat=P","Fill=—","Direction=H","UseDPDF=Y")</f>
        <v>8.8718000000000004</v>
      </c>
      <c r="F22" s="14">
        <f>_xll.BDH("SRPT US Equity","ALTMAN_Z_SCORE","FQ3 2019","FQ3 2019","Currency=USD","Period=FQ","BEST_FPERIOD_OVERRIDE=FQ","FILING_STATUS=MR","Sort=A","Dates=H","DateFormat=P","Fill=—","Direction=H","UseDPDF=Y")</f>
        <v>2.8753000000000002</v>
      </c>
      <c r="G22" s="14">
        <f>_xll.BDH("SRPT US Equity","ALTMAN_Z_SCORE","FQ4 2019","FQ4 2019","Currency=USD","Period=FQ","BEST_FPERIOD_OVERRIDE=FQ","FILING_STATUS=MR","Sort=A","Dates=H","DateFormat=P","Fill=—","Direction=H","UseDPDF=Y")</f>
        <v>3.6932</v>
      </c>
      <c r="H22" s="14">
        <f>_xll.BDH("SRPT US Equity","ALTMAN_Z_SCORE","FQ1 2020","FQ1 2020","Currency=USD","Period=FQ","BEST_FPERIOD_OVERRIDE=FQ","FILING_STATUS=MR","Sort=A","Dates=H","DateFormat=P","Fill=—","Direction=H","UseDPDF=Y")</f>
        <v>1.6447000000000001</v>
      </c>
      <c r="I22" s="14">
        <f>_xll.BDH("SRPT US Equity","ALTMAN_Z_SCORE","FQ2 2020","FQ2 2020","Currency=USD","Period=FQ","BEST_FPERIOD_OVERRIDE=FQ","FILING_STATUS=MR","Sort=A","Dates=H","DateFormat=P","Fill=—","Direction=H","UseDPDF=Y")</f>
        <v>3.2113</v>
      </c>
      <c r="J22" s="14">
        <f>_xll.BDH("SRPT US Equity","ALTMAN_Z_SCORE","FQ3 2020","FQ3 2020","Currency=USD","Period=FQ","BEST_FPERIOD_OVERRIDE=FQ","FILING_STATUS=MR","Sort=A","Dates=H","DateFormat=P","Fill=—","Direction=H","UseDPDF=Y")</f>
        <v>2.4356</v>
      </c>
      <c r="K22" s="14">
        <f>_xll.BDH("SRPT US Equity","ALTMAN_Z_SCORE","FQ4 2020","FQ4 2020","Currency=USD","Period=FQ","BEST_FPERIOD_OVERRIDE=FQ","FILING_STATUS=MR","Sort=A","Dates=H","DateFormat=P","Fill=—","Direction=H","UseDPDF=Y")</f>
        <v>2.6802000000000001</v>
      </c>
      <c r="L22" s="14">
        <f>_xll.BDH("SRPT US Equity","ALTMAN_Z_SCORE","FQ1 2021","FQ1 2021","Currency=USD","Period=FQ","BEST_FPERIOD_OVERRIDE=FQ","FILING_STATUS=MR","Sort=A","Dates=H","DateFormat=P","Fill=—","Direction=H","UseDPDF=Y")</f>
        <v>0.41160000000000002</v>
      </c>
      <c r="M22" s="14">
        <f>_xll.BDH("SRPT US Equity","ALTMAN_Z_SCORE","FQ2 2021","FQ2 2021","Currency=USD","Period=FQ","BEST_FPERIOD_OVERRIDE=FQ","FILING_STATUS=MR","Sort=A","Dates=H","DateFormat=P","Fill=—","Direction=H","UseDPDF=Y")</f>
        <v>0.35659999999999997</v>
      </c>
      <c r="N22" s="14">
        <f>_xll.BDH("SRPT US Equity","ALTMAN_Z_SCORE","FQ3 2021","FQ3 2021","Currency=USD","Period=FQ","BEST_FPERIOD_OVERRIDE=FQ","FILING_STATUS=MR","Sort=A","Dates=H","DateFormat=P","Fill=—","Direction=H","UseDPDF=Y")</f>
        <v>0.80069999999999997</v>
      </c>
      <c r="O22" s="14">
        <f>_xll.BDH("SRPT US Equity","ALTMAN_Z_SCORE","FQ4 2021","FQ4 2021","Currency=USD","Period=FQ","BEST_FPERIOD_OVERRIDE=FQ","FILING_STATUS=MR","Sort=A","Dates=H","DateFormat=P","Fill=—","Direction=H","UseDPDF=Y")</f>
        <v>1.2504</v>
      </c>
      <c r="P22" s="14">
        <f>_xll.BDH("SRPT US Equity","ALTMAN_Z_SCORE","FQ1 2022","FQ1 2022","Currency=USD","Period=FQ","BEST_FPERIOD_OVERRIDE=FQ","FILING_STATUS=MR","Sort=A","Dates=H","DateFormat=P","Fill=—","Direction=H","UseDPDF=Y")</f>
        <v>0.97589999999999999</v>
      </c>
      <c r="Q22" s="14">
        <f>_xll.BDH("SRPT US Equity","ALTMAN_Z_SCORE","FQ2 2022","FQ2 2022","Currency=USD","Period=FQ","BEST_FPERIOD_OVERRIDE=FQ","FILING_STATUS=MR","Sort=A","Dates=H","DateFormat=P","Fill=—","Direction=H","UseDPDF=Y")</f>
        <v>0.63970000000000005</v>
      </c>
      <c r="R22" s="14">
        <f>_xll.BDH("SRPT US Equity","ALTMAN_Z_SCORE","FQ3 2022","FQ3 2022","Currency=USD","Period=FQ","BEST_FPERIOD_OVERRIDE=FQ","FILING_STATUS=MR","Sort=A","Dates=H","DateFormat=P","Fill=—","Direction=H","UseDPDF=Y")</f>
        <v>0.92720000000000002</v>
      </c>
      <c r="S22" s="14">
        <f>_xll.BDH("SRPT US Equity","ALTMAN_Z_SCORE","FQ4 2022","FQ4 2022","Currency=USD","Period=FQ","BEST_FPERIOD_OVERRIDE=FQ","FILING_STATUS=MR","Sort=A","Dates=H","DateFormat=P","Fill=—","Direction=H","UseDPDF=Y")</f>
        <v>1.2081999999999999</v>
      </c>
      <c r="T22" s="14">
        <f>_xll.BDH("SRPT US Equity","ALTMAN_Z_SCORE","FQ1 2023","FQ1 2023","Currency=USD","Period=FQ","BEST_FPERIOD_OVERRIDE=FQ","FILING_STATUS=MR","Sort=A","Dates=H","DateFormat=P","Fill=—","Direction=H","UseDPDF=Y")</f>
        <v>1.5215000000000001</v>
      </c>
      <c r="U22" s="14">
        <f>_xll.BDH("SRPT US Equity","ALTMAN_Z_SCORE","FQ2 2023","FQ2 2023","Currency=USD","Period=FQ","BEST_FPERIOD_OVERRIDE=FQ","FILING_STATUS=MR","Sort=A","Dates=H","DateFormat=P","Fill=—","Direction=H","UseDPDF=Y")</f>
        <v>1.2229000000000001</v>
      </c>
      <c r="V22" s="14">
        <f>_xll.BDH("SRPT US Equity","ALTMAN_Z_SCORE","FQ3 2023","FQ3 2023","Currency=USD","Period=FQ","BEST_FPERIOD_OVERRIDE=FQ","FILING_STATUS=MR","Sort=A","Dates=H","DateFormat=P","Fill=—","Direction=H","UseDPDF=Y")</f>
        <v>1.5654999999999999</v>
      </c>
      <c r="W22" s="14">
        <f>_xll.BDH("SRPT US Equity","ALTMAN_Z_SCORE","FQ4 2023","FQ4 2023","Currency=USD","Period=FQ","BEST_FPERIOD_OVERRIDE=FQ","FILING_STATUS=MR","Sort=A","Dates=H","DateFormat=P","Fill=—","Direction=H","UseDPDF=Y")</f>
        <v>1.1487000000000001</v>
      </c>
      <c r="X22" s="14">
        <f>_xll.BDH("SRPT US Equity","ALTMAN_Z_SCORE","FQ1 2024","FQ1 2024","Currency=USD","Period=FQ","BEST_FPERIOD_OVERRIDE=FQ","FILING_STATUS=MR","Sort=A","Dates=H","DateFormat=P","Fill=—","Direction=H","UseDPDF=Y")</f>
        <v>2.3273999999999999</v>
      </c>
      <c r="Y22" s="14">
        <f>_xll.BDH("SRPT US Equity","ALTMAN_Z_SCORE","FQ2 2024","FQ2 2024","Currency=USD","Period=FQ","BEST_FPERIOD_OVERRIDE=FQ","FILING_STATUS=MR","Sort=A","Dates=H","DateFormat=P","Fill=—","Direction=H","UseDPDF=Y")</f>
        <v>3.1873999999999998</v>
      </c>
      <c r="Z22" s="14">
        <f>_xll.BDH("SRPT US Equity","ALTMAN_Z_SCORE","FQ3 2024","FQ3 2024","Currency=USD","Period=FQ","BEST_FPERIOD_OVERRIDE=FQ","FILING_STATUS=MR","Sort=A","Dates=H","DateFormat=P","Fill=—","Direction=H","UseDPDF=Y")</f>
        <v>2.4925000000000002</v>
      </c>
      <c r="AA22" s="14">
        <f>_xll.BDH("SRPT US Equity","ALTMAN_Z_SCORE","FQ4 2024","FQ4 2024","Currency=USD","Period=FQ","BEST_FPERIOD_OVERRIDE=FQ","FILING_STATUS=MR","Sort=A","Dates=H","DateFormat=P","Fill=—","Direction=H","UseDPDF=Y")</f>
        <v>2.7431999999999999</v>
      </c>
    </row>
    <row r="23" spans="1:27" x14ac:dyDescent="0.25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5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5">
      <c r="A25" s="7" t="s">
        <v>90</v>
      </c>
      <c r="B25" s="7"/>
      <c r="C25" s="7" t="s">
        <v>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21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1546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1547</v>
      </c>
      <c r="B6" s="6" t="s">
        <v>1548</v>
      </c>
      <c r="C6" s="20">
        <f>_xll.BDH("SRPT US Equity","ACCT_RCV_TURN","FQ4 2018","FQ4 2018","Currency=USD","Period=FQ","BEST_FPERIOD_OVERRIDE=FQ","FILING_STATUS=MR","FA_ADJUSTED=GAAP","Sort=A","Dates=H","DateFormat=P","Fill=—","Direction=H","UseDPDF=Y")</f>
        <v>7.6684999999999999</v>
      </c>
      <c r="D6" s="20">
        <f>_xll.BDH("SRPT US Equity","ACCT_RCV_TURN","FQ1 2019","FQ1 2019","Currency=USD","Period=FQ","BEST_FPERIOD_OVERRIDE=FQ","FILING_STATUS=MR","FA_ADJUSTED=GAAP","Sort=A","Dates=H","DateFormat=P","Fill=—","Direction=H","UseDPDF=Y")</f>
        <v>7.1590999999999996</v>
      </c>
      <c r="E6" s="20">
        <f>_xll.BDH("SRPT US Equity","ACCT_RCV_TURN","FQ2 2019","FQ2 2019","Currency=USD","Period=FQ","BEST_FPERIOD_OVERRIDE=FQ","FILING_STATUS=MR","FA_ADJUSTED=GAAP","Sort=A","Dates=H","DateFormat=P","Fill=—","Direction=H","UseDPDF=Y")</f>
        <v>6.8939000000000004</v>
      </c>
      <c r="F6" s="20">
        <f>_xll.BDH("SRPT US Equity","ACCT_RCV_TURN","FQ3 2019","FQ3 2019","Currency=USD","Period=FQ","BEST_FPERIOD_OVERRIDE=FQ","FILING_STATUS=MR","FA_ADJUSTED=GAAP","Sort=A","Dates=H","DateFormat=P","Fill=—","Direction=H","UseDPDF=Y")</f>
        <v>6.2613000000000003</v>
      </c>
      <c r="G6" s="20">
        <f>_xll.BDH("SRPT US Equity","ACCT_RCV_TURN","FQ4 2019","FQ4 2019","Currency=USD","Period=FQ","BEST_FPERIOD_OVERRIDE=FQ","FILING_STATUS=MR","FA_ADJUSTED=GAAP","Sort=A","Dates=H","DateFormat=P","Fill=—","Direction=H","UseDPDF=Y")</f>
        <v>5.4435000000000002</v>
      </c>
      <c r="H6" s="20">
        <f>_xll.BDH("SRPT US Equity","ACCT_RCV_TURN","FQ1 2020","FQ1 2020","Currency=USD","Period=FQ","BEST_FPERIOD_OVERRIDE=FQ","FILING_STATUS=MR","FA_ADJUSTED=GAAP","Sort=A","Dates=H","DateFormat=P","Fill=—","Direction=H","UseDPDF=Y")</f>
        <v>5.1783000000000001</v>
      </c>
      <c r="I6" s="20">
        <f>_xll.BDH("SRPT US Equity","ACCT_RCV_TURN","FQ2 2020","FQ2 2020","Currency=USD","Period=FQ","BEST_FPERIOD_OVERRIDE=FQ","FILING_STATUS=MR","FA_ADJUSTED=GAAP","Sort=A","Dates=H","DateFormat=P","Fill=—","Direction=H","UseDPDF=Y")</f>
        <v>5.5921000000000003</v>
      </c>
      <c r="J6" s="20">
        <f>_xll.BDH("SRPT US Equity","ACCT_RCV_TURN","FQ3 2020","FQ3 2020","Currency=USD","Period=FQ","BEST_FPERIOD_OVERRIDE=FQ","FILING_STATUS=MR","FA_ADJUSTED=GAAP","Sort=A","Dates=H","DateFormat=P","Fill=—","Direction=H","UseDPDF=Y")</f>
        <v>5.2152000000000003</v>
      </c>
      <c r="K6" s="20">
        <f>_xll.BDH("SRPT US Equity","ACCT_RCV_TURN","FQ4 2020","FQ4 2020","Currency=USD","Period=FQ","BEST_FPERIOD_OVERRIDE=FQ","FILING_STATUS=MR","FA_ADJUSTED=GAAP","Sort=A","Dates=H","DateFormat=P","Fill=—","Direction=H","UseDPDF=Y")</f>
        <v>5.6196000000000002</v>
      </c>
      <c r="L6" s="20">
        <f>_xll.BDH("SRPT US Equity","ACCT_RCV_TURN","FQ1 2021","FQ1 2021","Currency=USD","Period=FQ","BEST_FPERIOD_OVERRIDE=FQ","FILING_STATUS=MR","FA_ADJUSTED=GAAP","Sort=A","Dates=H","DateFormat=P","Fill=—","Direction=H","UseDPDF=Y")</f>
        <v>5.0946999999999996</v>
      </c>
      <c r="M6" s="20">
        <f>_xll.BDH("SRPT US Equity","ACCT_RCV_TURN","FQ2 2021","FQ2 2021","Currency=USD","Period=FQ","BEST_FPERIOD_OVERRIDE=FQ","FILING_STATUS=MR","FA_ADJUSTED=GAAP","Sort=A","Dates=H","DateFormat=P","Fill=—","Direction=H","UseDPDF=Y")</f>
        <v>5.1832000000000003</v>
      </c>
      <c r="N6" s="20">
        <f>_xll.BDH("SRPT US Equity","ACCT_RCV_TURN","FQ3 2021","FQ3 2021","Currency=USD","Period=FQ","BEST_FPERIOD_OVERRIDE=FQ","FILING_STATUS=MR","FA_ADJUSTED=GAAP","Sort=A","Dates=H","DateFormat=P","Fill=—","Direction=H","UseDPDF=Y")</f>
        <v>4.7534999999999998</v>
      </c>
      <c r="O6" s="20">
        <f>_xll.BDH("SRPT US Equity","ACCT_RCV_TURN","FQ4 2021","FQ4 2021","Currency=USD","Period=FQ","BEST_FPERIOD_OVERRIDE=FQ","FILING_STATUS=MR","FA_ADJUSTED=GAAP","Sort=A","Dates=H","DateFormat=P","Fill=—","Direction=H","UseDPDF=Y")</f>
        <v>5.5194999999999999</v>
      </c>
      <c r="P6" s="20">
        <f>_xll.BDH("SRPT US Equity","ACCT_RCV_TURN","FQ1 2022","FQ1 2022","Currency=USD","Period=FQ","BEST_FPERIOD_OVERRIDE=FQ","FILING_STATUS=MR","FA_ADJUSTED=GAAP","Sort=A","Dates=H","DateFormat=P","Fill=—","Direction=H","UseDPDF=Y")</f>
        <v>5.1673</v>
      </c>
      <c r="Q6" s="20">
        <f>_xll.BDH("SRPT US Equity","ACCT_RCV_TURN","FQ2 2022","FQ2 2022","Currency=USD","Period=FQ","BEST_FPERIOD_OVERRIDE=FQ","FILING_STATUS=MR","FA_ADJUSTED=GAAP","Sort=A","Dates=H","DateFormat=P","Fill=—","Direction=H","UseDPDF=Y")</f>
        <v>5.0407000000000002</v>
      </c>
      <c r="R6" s="20">
        <f>_xll.BDH("SRPT US Equity","ACCT_RCV_TURN","FQ3 2022","FQ3 2022","Currency=USD","Period=FQ","BEST_FPERIOD_OVERRIDE=FQ","FILING_STATUS=MR","FA_ADJUSTED=GAAP","Sort=A","Dates=H","DateFormat=P","Fill=—","Direction=H","UseDPDF=Y")</f>
        <v>4.9874999999999998</v>
      </c>
      <c r="S6" s="20">
        <f>_xll.BDH("SRPT US Equity","ACCT_RCV_TURN","FQ4 2022","FQ4 2022","Currency=USD","Period=FQ","BEST_FPERIOD_OVERRIDE=FQ","FILING_STATUS=MR","FA_ADJUSTED=GAAP","Sort=A","Dates=H","DateFormat=P","Fill=—","Direction=H","UseDPDF=Y")</f>
        <v>5.0759999999999996</v>
      </c>
      <c r="T6" s="20">
        <f>_xll.BDH("SRPT US Equity","ACCT_RCV_TURN","FQ1 2023","FQ1 2023","Currency=USD","Period=FQ","BEST_FPERIOD_OVERRIDE=FQ","FILING_STATUS=MR","FA_ADJUSTED=GAAP","Sort=A","Dates=H","DateFormat=P","Fill=—","Direction=H","UseDPDF=Y")</f>
        <v>4.8537999999999997</v>
      </c>
      <c r="U6" s="20">
        <f>_xll.BDH("SRPT US Equity","ACCT_RCV_TURN","FQ2 2023","FQ2 2023","Currency=USD","Period=FQ","BEST_FPERIOD_OVERRIDE=FQ","FILING_STATUS=MR","FA_ADJUSTED=GAAP","Sort=A","Dates=H","DateFormat=P","Fill=—","Direction=H","UseDPDF=Y")</f>
        <v>4.5541999999999998</v>
      </c>
      <c r="V6" s="20">
        <f>_xll.BDH("SRPT US Equity","ACCT_RCV_TURN","FQ3 2023","FQ3 2023","Currency=USD","Period=FQ","BEST_FPERIOD_OVERRIDE=FQ","FILING_STATUS=MR","FA_ADJUSTED=GAAP","Sort=A","Dates=H","DateFormat=P","Fill=—","Direction=H","UseDPDF=Y")</f>
        <v>4.2469999999999999</v>
      </c>
      <c r="W6" s="20">
        <f>_xll.BDH("SRPT US Equity","ACCT_RCV_TURN","FQ4 2023","FQ4 2023","Currency=USD","Period=FQ","BEST_FPERIOD_OVERRIDE=FQ","FILING_STATUS=MR","FA_ADJUSTED=GAAP","Sort=A","Dates=H","DateFormat=P","Fill=—","Direction=H","UseDPDF=Y")</f>
        <v>4.0437000000000003</v>
      </c>
      <c r="X6" s="20">
        <f>_xll.BDH("SRPT US Equity","ACCT_RCV_TURN","FQ1 2024","FQ1 2024","Currency=USD","Period=FQ","BEST_FPERIOD_OVERRIDE=FQ","FILING_STATUS=MR","FA_ADJUSTED=GAAP","Sort=A","Dates=H","DateFormat=P","Fill=—","Direction=H","UseDPDF=Y")</f>
        <v>4.6571999999999996</v>
      </c>
      <c r="Y6" s="20">
        <f>_xll.BDH("SRPT US Equity","ACCT_RCV_TURN","FQ2 2024","FQ2 2024","Currency=USD","Period=FQ","BEST_FPERIOD_OVERRIDE=FQ","FILING_STATUS=MR","FA_ADJUSTED=GAAP","Sort=A","Dates=H","DateFormat=P","Fill=—","Direction=H","UseDPDF=Y")</f>
        <v>5.0434999999999999</v>
      </c>
      <c r="Z6" s="20">
        <f>_xll.BDH("SRPT US Equity","ACCT_RCV_TURN","FQ3 2024","FQ3 2024","Currency=USD","Period=FQ","BEST_FPERIOD_OVERRIDE=FQ","FILING_STATUS=MR","FA_ADJUSTED=GAAP","Sort=A","Dates=H","DateFormat=P","Fill=—","Direction=H","UseDPDF=Y")</f>
        <v>4.3545999999999996</v>
      </c>
      <c r="AA6" s="20">
        <f>_xll.BDH("SRPT US Equity","ACCT_RCV_TURN","FQ4 2024","FQ4 2024","Currency=USD","Period=FQ","BEST_FPERIOD_OVERRIDE=FQ","FILING_STATUS=MR","FA_ADJUSTED=GAAP","Sort=A","Dates=H","DateFormat=P","Fill=—","Direction=H","UseDPDF=Y")</f>
        <v>3.7951999999999999</v>
      </c>
    </row>
    <row r="7" spans="1:27" x14ac:dyDescent="0.25">
      <c r="A7" s="10" t="s">
        <v>1549</v>
      </c>
      <c r="B7" s="10" t="s">
        <v>1550</v>
      </c>
      <c r="C7" s="14">
        <f>_xll.BDH("SRPT US Equity","ACCT_RCV_DAYS","FQ4 2018","FQ4 2018","Currency=USD","Period=FQ","BEST_FPERIOD_OVERRIDE=FQ","FILING_STATUS=MR","FA_ADJUSTED=GAAP","Sort=A","Dates=H","DateFormat=P","Fill=—","Direction=H","UseDPDF=Y")</f>
        <v>47.5974</v>
      </c>
      <c r="D7" s="14">
        <f>_xll.BDH("SRPT US Equity","ACCT_RCV_DAYS","FQ1 2019","FQ1 2019","Currency=USD","Period=FQ","BEST_FPERIOD_OVERRIDE=FQ","FILING_STATUS=MR","FA_ADJUSTED=GAAP","Sort=A","Dates=H","DateFormat=P","Fill=—","Direction=H","UseDPDF=Y")</f>
        <v>50.984099999999998</v>
      </c>
      <c r="E7" s="14">
        <f>_xll.BDH("SRPT US Equity","ACCT_RCV_DAYS","FQ2 2019","FQ2 2019","Currency=USD","Period=FQ","BEST_FPERIOD_OVERRIDE=FQ","FILING_STATUS=MR","FA_ADJUSTED=GAAP","Sort=A","Dates=H","DateFormat=P","Fill=—","Direction=H","UseDPDF=Y")</f>
        <v>52.945</v>
      </c>
      <c r="F7" s="14">
        <f>_xll.BDH("SRPT US Equity","ACCT_RCV_DAYS","FQ3 2019","FQ3 2019","Currency=USD","Period=FQ","BEST_FPERIOD_OVERRIDE=FQ","FILING_STATUS=MR","FA_ADJUSTED=GAAP","Sort=A","Dates=H","DateFormat=P","Fill=—","Direction=H","UseDPDF=Y")</f>
        <v>58.294899999999998</v>
      </c>
      <c r="G7" s="14">
        <f>_xll.BDH("SRPT US Equity","ACCT_RCV_DAYS","FQ4 2019","FQ4 2019","Currency=USD","Period=FQ","BEST_FPERIOD_OVERRIDE=FQ","FILING_STATUS=MR","FA_ADJUSTED=GAAP","Sort=A","Dates=H","DateFormat=P","Fill=—","Direction=H","UseDPDF=Y")</f>
        <v>67.052899999999994</v>
      </c>
      <c r="H7" s="14">
        <f>_xll.BDH("SRPT US Equity","ACCT_RCV_DAYS","FQ1 2020","FQ1 2020","Currency=USD","Period=FQ","BEST_FPERIOD_OVERRIDE=FQ","FILING_STATUS=MR","FA_ADJUSTED=GAAP","Sort=A","Dates=H","DateFormat=P","Fill=—","Direction=H","UseDPDF=Y")</f>
        <v>70.679100000000005</v>
      </c>
      <c r="I7" s="14">
        <f>_xll.BDH("SRPT US Equity","ACCT_RCV_DAYS","FQ2 2020","FQ2 2020","Currency=USD","Period=FQ","BEST_FPERIOD_OVERRIDE=FQ","FILING_STATUS=MR","FA_ADJUSTED=GAAP","Sort=A","Dates=H","DateFormat=P","Fill=—","Direction=H","UseDPDF=Y")</f>
        <v>65.449200000000005</v>
      </c>
      <c r="J7" s="14">
        <f>_xll.BDH("SRPT US Equity","ACCT_RCV_DAYS","FQ3 2020","FQ3 2020","Currency=USD","Period=FQ","BEST_FPERIOD_OVERRIDE=FQ","FILING_STATUS=MR","FA_ADJUSTED=GAAP","Sort=A","Dates=H","DateFormat=P","Fill=—","Direction=H","UseDPDF=Y")</f>
        <v>70.1798</v>
      </c>
      <c r="K7" s="14">
        <f>_xll.BDH("SRPT US Equity","ACCT_RCV_DAYS","FQ4 2020","FQ4 2020","Currency=USD","Period=FQ","BEST_FPERIOD_OVERRIDE=FQ","FILING_STATUS=MR","FA_ADJUSTED=GAAP","Sort=A","Dates=H","DateFormat=P","Fill=—","Direction=H","UseDPDF=Y")</f>
        <v>65.128900000000002</v>
      </c>
      <c r="L7" s="14">
        <f>_xll.BDH("SRPT US Equity","ACCT_RCV_DAYS","FQ1 2021","FQ1 2021","Currency=USD","Period=FQ","BEST_FPERIOD_OVERRIDE=FQ","FILING_STATUS=MR","FA_ADJUSTED=GAAP","Sort=A","Dates=H","DateFormat=P","Fill=—","Direction=H","UseDPDF=Y")</f>
        <v>71.642600000000002</v>
      </c>
      <c r="M7" s="14">
        <f>_xll.BDH("SRPT US Equity","ACCT_RCV_DAYS","FQ2 2021","FQ2 2021","Currency=USD","Period=FQ","BEST_FPERIOD_OVERRIDE=FQ","FILING_STATUS=MR","FA_ADJUSTED=GAAP","Sort=A","Dates=H","DateFormat=P","Fill=—","Direction=H","UseDPDF=Y")</f>
        <v>70.419600000000003</v>
      </c>
      <c r="N7" s="14">
        <f>_xll.BDH("SRPT US Equity","ACCT_RCV_DAYS","FQ3 2021","FQ3 2021","Currency=USD","Period=FQ","BEST_FPERIOD_OVERRIDE=FQ","FILING_STATUS=MR","FA_ADJUSTED=GAAP","Sort=A","Dates=H","DateFormat=P","Fill=—","Direction=H","UseDPDF=Y")</f>
        <v>76.784899999999993</v>
      </c>
      <c r="O7" s="14">
        <f>_xll.BDH("SRPT US Equity","ACCT_RCV_DAYS","FQ4 2021","FQ4 2021","Currency=USD","Period=FQ","BEST_FPERIOD_OVERRIDE=FQ","FILING_STATUS=MR","FA_ADJUSTED=GAAP","Sort=A","Dates=H","DateFormat=P","Fill=—","Direction=H","UseDPDF=Y")</f>
        <v>66.129199999999997</v>
      </c>
      <c r="P7" s="14">
        <f>_xll.BDH("SRPT US Equity","ACCT_RCV_DAYS","FQ1 2022","FQ1 2022","Currency=USD","Period=FQ","BEST_FPERIOD_OVERRIDE=FQ","FILING_STATUS=MR","FA_ADJUSTED=GAAP","Sort=A","Dates=H","DateFormat=P","Fill=—","Direction=H","UseDPDF=Y")</f>
        <v>70.636499999999998</v>
      </c>
      <c r="Q7" s="14">
        <f>_xll.BDH("SRPT US Equity","ACCT_RCV_DAYS","FQ2 2022","FQ2 2022","Currency=USD","Period=FQ","BEST_FPERIOD_OVERRIDE=FQ","FILING_STATUS=MR","FA_ADJUSTED=GAAP","Sort=A","Dates=H","DateFormat=P","Fill=—","Direction=H","UseDPDF=Y")</f>
        <v>72.4101</v>
      </c>
      <c r="R7" s="14">
        <f>_xll.BDH("SRPT US Equity","ACCT_RCV_DAYS","FQ3 2022","FQ3 2022","Currency=USD","Period=FQ","BEST_FPERIOD_OVERRIDE=FQ","FILING_STATUS=MR","FA_ADJUSTED=GAAP","Sort=A","Dates=H","DateFormat=P","Fill=—","Direction=H","UseDPDF=Y")</f>
        <v>73.182699999999997</v>
      </c>
      <c r="S7" s="14">
        <f>_xll.BDH("SRPT US Equity","ACCT_RCV_DAYS","FQ4 2022","FQ4 2022","Currency=USD","Period=FQ","BEST_FPERIOD_OVERRIDE=FQ","FILING_STATUS=MR","FA_ADJUSTED=GAAP","Sort=A","Dates=H","DateFormat=P","Fill=—","Direction=H","UseDPDF=Y")</f>
        <v>71.9071</v>
      </c>
      <c r="T7" s="14">
        <f>_xll.BDH("SRPT US Equity","ACCT_RCV_DAYS","FQ1 2023","FQ1 2023","Currency=USD","Period=FQ","BEST_FPERIOD_OVERRIDE=FQ","FILING_STATUS=MR","FA_ADJUSTED=GAAP","Sort=A","Dates=H","DateFormat=P","Fill=—","Direction=H","UseDPDF=Y")</f>
        <v>75.199100000000001</v>
      </c>
      <c r="U7" s="14">
        <f>_xll.BDH("SRPT US Equity","ACCT_RCV_DAYS","FQ2 2023","FQ2 2023","Currency=USD","Period=FQ","BEST_FPERIOD_OVERRIDE=FQ","FILING_STATUS=MR","FA_ADJUSTED=GAAP","Sort=A","Dates=H","DateFormat=P","Fill=—","Direction=H","UseDPDF=Y")</f>
        <v>80.145600000000002</v>
      </c>
      <c r="V7" s="14">
        <f>_xll.BDH("SRPT US Equity","ACCT_RCV_DAYS","FQ3 2023","FQ3 2023","Currency=USD","Period=FQ","BEST_FPERIOD_OVERRIDE=FQ","FILING_STATUS=MR","FA_ADJUSTED=GAAP","Sort=A","Dates=H","DateFormat=P","Fill=—","Direction=H","UseDPDF=Y")</f>
        <v>85.943899999999999</v>
      </c>
      <c r="W7" s="14">
        <f>_xll.BDH("SRPT US Equity","ACCT_RCV_DAYS","FQ4 2023","FQ4 2023","Currency=USD","Period=FQ","BEST_FPERIOD_OVERRIDE=FQ","FILING_STATUS=MR","FA_ADJUSTED=GAAP","Sort=A","Dates=H","DateFormat=P","Fill=—","Direction=H","UseDPDF=Y")</f>
        <v>90.264600000000002</v>
      </c>
      <c r="X7" s="14">
        <f>_xll.BDH("SRPT US Equity","ACCT_RCV_DAYS","FQ1 2024","FQ1 2024","Currency=USD","Period=FQ","BEST_FPERIOD_OVERRIDE=FQ","FILING_STATUS=MR","FA_ADJUSTED=GAAP","Sort=A","Dates=H","DateFormat=P","Fill=—","Direction=H","UseDPDF=Y")</f>
        <v>78.588700000000003</v>
      </c>
      <c r="Y7" s="14">
        <f>_xll.BDH("SRPT US Equity","ACCT_RCV_DAYS","FQ2 2024","FQ2 2024","Currency=USD","Period=FQ","BEST_FPERIOD_OVERRIDE=FQ","FILING_STATUS=MR","FA_ADJUSTED=GAAP","Sort=A","Dates=H","DateFormat=P","Fill=—","Direction=H","UseDPDF=Y")</f>
        <v>72.568700000000007</v>
      </c>
      <c r="Z7" s="14">
        <f>_xll.BDH("SRPT US Equity","ACCT_RCV_DAYS","FQ3 2024","FQ3 2024","Currency=USD","Period=FQ","BEST_FPERIOD_OVERRIDE=FQ","FILING_STATUS=MR","FA_ADJUSTED=GAAP","Sort=A","Dates=H","DateFormat=P","Fill=—","Direction=H","UseDPDF=Y")</f>
        <v>84.048199999999994</v>
      </c>
      <c r="AA7" s="14">
        <f>_xll.BDH("SRPT US Equity","ACCT_RCV_DAYS","FQ4 2024","FQ4 2024","Currency=USD","Period=FQ","BEST_FPERIOD_OVERRIDE=FQ","FILING_STATUS=MR","FA_ADJUSTED=GAAP","Sort=A","Dates=H","DateFormat=P","Fill=—","Direction=H","UseDPDF=Y")</f>
        <v>96.438299999999998</v>
      </c>
    </row>
    <row r="8" spans="1:27" x14ac:dyDescent="0.25">
      <c r="A8" s="6" t="s">
        <v>1551</v>
      </c>
      <c r="B8" s="6" t="s">
        <v>1552</v>
      </c>
      <c r="C8" s="20">
        <f>_xll.BDH("SRPT US Equity","INVENT_TURN","FQ4 2018","FQ4 2018","Currency=USD","Period=FQ","BEST_FPERIOD_OVERRIDE=FQ","FILING_STATUS=MR","FA_ADJUSTED=GAAP","Sort=A","Dates=H","DateFormat=P","Fill=—","Direction=H","UseDPDF=Y")</f>
        <v>0.3271</v>
      </c>
      <c r="D8" s="20">
        <f>_xll.BDH("SRPT US Equity","INVENT_TURN","FQ1 2019","FQ1 2019","Currency=USD","Period=FQ","BEST_FPERIOD_OVERRIDE=FQ","FILING_STATUS=MR","FA_ADJUSTED=GAAP","Sort=A","Dates=H","DateFormat=P","Fill=—","Direction=H","UseDPDF=Y")</f>
        <v>0.3392</v>
      </c>
      <c r="E8" s="20">
        <f>_xll.BDH("SRPT US Equity","INVENT_TURN","FQ2 2019","FQ2 2019","Currency=USD","Period=FQ","BEST_FPERIOD_OVERRIDE=FQ","FILING_STATUS=MR","FA_ADJUSTED=GAAP","Sort=A","Dates=H","DateFormat=P","Fill=—","Direction=H","UseDPDF=Y")</f>
        <v>0.38250000000000001</v>
      </c>
      <c r="F8" s="20">
        <f>_xll.BDH("SRPT US Equity","INVENT_TURN","FQ3 2019","FQ3 2019","Currency=USD","Period=FQ","BEST_FPERIOD_OVERRIDE=FQ","FILING_STATUS=MR","FA_ADJUSTED=GAAP","Sort=A","Dates=H","DateFormat=P","Fill=—","Direction=H","UseDPDF=Y")</f>
        <v>0.38379999999999997</v>
      </c>
      <c r="G8" s="20">
        <f>_xll.BDH("SRPT US Equity","INVENT_TURN","FQ4 2019","FQ4 2019","Currency=USD","Period=FQ","BEST_FPERIOD_OVERRIDE=FQ","FILING_STATUS=MR","FA_ADJUSTED=GAAP","Sort=A","Dates=H","DateFormat=P","Fill=—","Direction=H","UseDPDF=Y")</f>
        <v>0.38129999999999997</v>
      </c>
      <c r="H8" s="20">
        <f>_xll.BDH("SRPT US Equity","INVENT_TURN","FQ1 2020","FQ1 2020","Currency=USD","Period=FQ","BEST_FPERIOD_OVERRIDE=FQ","FILING_STATUS=MR","FA_ADJUSTED=GAAP","Sort=A","Dates=H","DateFormat=P","Fill=—","Direction=H","UseDPDF=Y")</f>
        <v>0.3644</v>
      </c>
      <c r="I8" s="20">
        <f>_xll.BDH("SRPT US Equity","INVENT_TURN","FQ2 2020","FQ2 2020","Currency=USD","Period=FQ","BEST_FPERIOD_OVERRIDE=FQ","FILING_STATUS=MR","FA_ADJUSTED=GAAP","Sort=A","Dates=H","DateFormat=P","Fill=—","Direction=H","UseDPDF=Y")</f>
        <v>0.3246</v>
      </c>
      <c r="J8" s="20">
        <f>_xll.BDH("SRPT US Equity","INVENT_TURN","FQ3 2020","FQ3 2020","Currency=USD","Period=FQ","BEST_FPERIOD_OVERRIDE=FQ","FILING_STATUS=MR","FA_ADJUSTED=GAAP","Sort=A","Dates=H","DateFormat=P","Fill=—","Direction=H","UseDPDF=Y")</f>
        <v>0.29260000000000003</v>
      </c>
      <c r="K8" s="20">
        <f>_xll.BDH("SRPT US Equity","INVENT_TURN","FQ4 2020","FQ4 2020","Currency=USD","Period=FQ","BEST_FPERIOD_OVERRIDE=FQ","FILING_STATUS=MR","FA_ADJUSTED=GAAP","Sort=A","Dates=H","DateFormat=P","Fill=—","Direction=H","UseDPDF=Y")</f>
        <v>0.31430000000000002</v>
      </c>
      <c r="L8" s="20">
        <f>_xll.BDH("SRPT US Equity","INVENT_TURN","FQ1 2021","FQ1 2021","Currency=USD","Period=FQ","BEST_FPERIOD_OVERRIDE=FQ","FILING_STATUS=MR","FA_ADJUSTED=GAAP","Sort=A","Dates=H","DateFormat=P","Fill=—","Direction=H","UseDPDF=Y")</f>
        <v>0.35360000000000003</v>
      </c>
      <c r="M8" s="20">
        <f>_xll.BDH("SRPT US Equity","INVENT_TURN","FQ2 2021","FQ2 2021","Currency=USD","Period=FQ","BEST_FPERIOD_OVERRIDE=FQ","FILING_STATUS=MR","FA_ADJUSTED=GAAP","Sort=A","Dates=H","DateFormat=P","Fill=—","Direction=H","UseDPDF=Y")</f>
        <v>0.35360000000000003</v>
      </c>
      <c r="N8" s="20">
        <f>_xll.BDH("SRPT US Equity","INVENT_TURN","FQ3 2021","FQ3 2021","Currency=USD","Period=FQ","BEST_FPERIOD_OVERRIDE=FQ","FILING_STATUS=MR","FA_ADJUSTED=GAAP","Sort=A","Dates=H","DateFormat=P","Fill=—","Direction=H","UseDPDF=Y")</f>
        <v>0.34489999999999998</v>
      </c>
      <c r="O8" s="20">
        <f>_xll.BDH("SRPT US Equity","INVENT_TURN","FQ4 2021","FQ4 2021","Currency=USD","Period=FQ","BEST_FPERIOD_OVERRIDE=FQ","FILING_STATUS=MR","FA_ADJUSTED=GAAP","Sort=A","Dates=H","DateFormat=P","Fill=—","Direction=H","UseDPDF=Y")</f>
        <v>0.4642</v>
      </c>
      <c r="P8" s="20">
        <f>_xll.BDH("SRPT US Equity","INVENT_TURN","FQ1 2022","FQ1 2022","Currency=USD","Period=FQ","BEST_FPERIOD_OVERRIDE=FQ","FILING_STATUS=MR","FA_ADJUSTED=GAAP","Sort=A","Dates=H","DateFormat=P","Fill=—","Direction=H","UseDPDF=Y")</f>
        <v>0.48320000000000002</v>
      </c>
      <c r="Q8" s="20">
        <f>_xll.BDH("SRPT US Equity","INVENT_TURN","FQ2 2022","FQ2 2022","Currency=USD","Period=FQ","BEST_FPERIOD_OVERRIDE=FQ","FILING_STATUS=MR","FA_ADJUSTED=GAAP","Sort=A","Dates=H","DateFormat=P","Fill=—","Direction=H","UseDPDF=Y")</f>
        <v>0.52190000000000003</v>
      </c>
      <c r="R8" s="20">
        <f>_xll.BDH("SRPT US Equity","INVENT_TURN","FQ3 2022","FQ3 2022","Currency=USD","Period=FQ","BEST_FPERIOD_OVERRIDE=FQ","FILING_STATUS=MR","FA_ADJUSTED=GAAP","Sort=A","Dates=H","DateFormat=P","Fill=—","Direction=H","UseDPDF=Y")</f>
        <v>0.55300000000000005</v>
      </c>
      <c r="S8" s="20">
        <f>_xll.BDH("SRPT US Equity","INVENT_TURN","FQ4 2022","FQ4 2022","Currency=USD","Period=FQ","BEST_FPERIOD_OVERRIDE=FQ","FILING_STATUS=MR","FA_ADJUSTED=GAAP","Sort=A","Dates=H","DateFormat=P","Fill=—","Direction=H","UseDPDF=Y")</f>
        <v>0.71760000000000002</v>
      </c>
      <c r="T8" s="20">
        <f>_xll.BDH("SRPT US Equity","INVENT_TURN","FQ1 2023","FQ1 2023","Currency=USD","Period=FQ","BEST_FPERIOD_OVERRIDE=FQ","FILING_STATUS=MR","FA_ADJUSTED=GAAP","Sort=A","Dates=H","DateFormat=P","Fill=—","Direction=H","UseDPDF=Y")</f>
        <v>0.71479999999999999</v>
      </c>
      <c r="U8" s="20">
        <f>_xll.BDH("SRPT US Equity","INVENT_TURN","FQ2 2023","FQ2 2023","Currency=USD","Period=FQ","BEST_FPERIOD_OVERRIDE=FQ","FILING_STATUS=MR","FA_ADJUSTED=GAAP","Sort=A","Dates=H","DateFormat=P","Fill=—","Direction=H","UseDPDF=Y")</f>
        <v>0.64319999999999999</v>
      </c>
      <c r="V8" s="20">
        <f>_xll.BDH("SRPT US Equity","INVENT_TURN","FQ3 2023","FQ3 2023","Currency=USD","Period=FQ","BEST_FPERIOD_OVERRIDE=FQ","FILING_STATUS=MR","FA_ADJUSTED=GAAP","Sort=A","Dates=H","DateFormat=P","Fill=—","Direction=H","UseDPDF=Y")</f>
        <v>0.58879999999999999</v>
      </c>
      <c r="W8" s="20">
        <f>_xll.BDH("SRPT US Equity","INVENT_TURN","FQ4 2023","FQ4 2023","Currency=USD","Period=FQ","BEST_FPERIOD_OVERRIDE=FQ","FILING_STATUS=MR","FA_ADJUSTED=GAAP","Sort=A","Dates=H","DateFormat=P","Fill=—","Direction=H","UseDPDF=Y")</f>
        <v>0.57069999999999999</v>
      </c>
      <c r="X8" s="20">
        <f>_xll.BDH("SRPT US Equity","INVENT_TURN","FQ1 2024","FQ1 2024","Currency=USD","Period=FQ","BEST_FPERIOD_OVERRIDE=FQ","FILING_STATUS=MR","FA_ADJUSTED=GAAP","Sort=A","Dates=H","DateFormat=P","Fill=—","Direction=H","UseDPDF=Y")</f>
        <v>0.57579999999999998</v>
      </c>
      <c r="Y8" s="20">
        <f>_xll.BDH("SRPT US Equity","INVENT_TURN","FQ2 2024","FQ2 2024","Currency=USD","Period=FQ","BEST_FPERIOD_OVERRIDE=FQ","FILING_STATUS=MR","FA_ADJUSTED=GAAP","Sort=A","Dates=H","DateFormat=P","Fill=—","Direction=H","UseDPDF=Y")</f>
        <v>0.49480000000000002</v>
      </c>
      <c r="Z8" s="20">
        <f>_xll.BDH("SRPT US Equity","INVENT_TURN","FQ3 2024","FQ3 2024","Currency=USD","Period=FQ","BEST_FPERIOD_OVERRIDE=FQ","FILING_STATUS=MR","FA_ADJUSTED=GAAP","Sort=A","Dates=H","DateFormat=P","Fill=—","Direction=H","UseDPDF=Y")</f>
        <v>0.57030000000000003</v>
      </c>
      <c r="AA8" s="20">
        <f>_xll.BDH("SRPT US Equity","INVENT_TURN","FQ4 2024","FQ4 2024","Currency=USD","Period=FQ","BEST_FPERIOD_OVERRIDE=FQ","FILING_STATUS=MR","FA_ADJUSTED=GAAP","Sort=A","Dates=H","DateFormat=P","Fill=—","Direction=H","UseDPDF=Y")</f>
        <v>0.59489999999999998</v>
      </c>
    </row>
    <row r="9" spans="1:27" x14ac:dyDescent="0.25">
      <c r="A9" s="10" t="s">
        <v>1553</v>
      </c>
      <c r="B9" s="10" t="s">
        <v>1554</v>
      </c>
      <c r="C9" s="14">
        <f>_xll.BDH("SRPT US Equity","INVENT_DAYS","FQ4 2018","FQ4 2018","Currency=USD","Period=FQ","BEST_FPERIOD_OVERRIDE=FQ","FILING_STATUS=MR","FA_ADJUSTED=GAAP","Sort=A","Dates=H","DateFormat=P","Fill=—","Direction=H","UseDPDF=Y")</f>
        <v>1115.7729999999999</v>
      </c>
      <c r="D9" s="14">
        <f>_xll.BDH("SRPT US Equity","INVENT_DAYS","FQ1 2019","FQ1 2019","Currency=USD","Period=FQ","BEST_FPERIOD_OVERRIDE=FQ","FILING_STATUS=MR","FA_ADJUSTED=GAAP","Sort=A","Dates=H","DateFormat=P","Fill=—","Direction=H","UseDPDF=Y")</f>
        <v>1076.1460999999999</v>
      </c>
      <c r="E9" s="14">
        <f>_xll.BDH("SRPT US Equity","INVENT_DAYS","FQ2 2019","FQ2 2019","Currency=USD","Period=FQ","BEST_FPERIOD_OVERRIDE=FQ","FILING_STATUS=MR","FA_ADJUSTED=GAAP","Sort=A","Dates=H","DateFormat=P","Fill=—","Direction=H","UseDPDF=Y")</f>
        <v>954.24680000000001</v>
      </c>
      <c r="F9" s="14">
        <f>_xll.BDH("SRPT US Equity","INVENT_DAYS","FQ3 2019","FQ3 2019","Currency=USD","Period=FQ","BEST_FPERIOD_OVERRIDE=FQ","FILING_STATUS=MR","FA_ADJUSTED=GAAP","Sort=A","Dates=H","DateFormat=P","Fill=—","Direction=H","UseDPDF=Y")</f>
        <v>950.9384</v>
      </c>
      <c r="G9" s="14">
        <f>_xll.BDH("SRPT US Equity","INVENT_DAYS","FQ4 2019","FQ4 2019","Currency=USD","Period=FQ","BEST_FPERIOD_OVERRIDE=FQ","FILING_STATUS=MR","FA_ADJUSTED=GAAP","Sort=A","Dates=H","DateFormat=P","Fill=—","Direction=H","UseDPDF=Y")</f>
        <v>957.31060000000002</v>
      </c>
      <c r="H9" s="14">
        <f>_xll.BDH("SRPT US Equity","INVENT_DAYS","FQ1 2020","FQ1 2020","Currency=USD","Period=FQ","BEST_FPERIOD_OVERRIDE=FQ","FILING_STATUS=MR","FA_ADJUSTED=GAAP","Sort=A","Dates=H","DateFormat=P","Fill=—","Direction=H","UseDPDF=Y")</f>
        <v>1004.3784000000001</v>
      </c>
      <c r="I9" s="14">
        <f>_xll.BDH("SRPT US Equity","INVENT_DAYS","FQ2 2020","FQ2 2020","Currency=USD","Period=FQ","BEST_FPERIOD_OVERRIDE=FQ","FILING_STATUS=MR","FA_ADJUSTED=GAAP","Sort=A","Dates=H","DateFormat=P","Fill=—","Direction=H","UseDPDF=Y")</f>
        <v>1127.5694000000001</v>
      </c>
      <c r="J9" s="14">
        <f>_xll.BDH("SRPT US Equity","INVENT_DAYS","FQ3 2020","FQ3 2020","Currency=USD","Period=FQ","BEST_FPERIOD_OVERRIDE=FQ","FILING_STATUS=MR","FA_ADJUSTED=GAAP","Sort=A","Dates=H","DateFormat=P","Fill=—","Direction=H","UseDPDF=Y")</f>
        <v>1250.7820999999999</v>
      </c>
      <c r="K9" s="14">
        <f>_xll.BDH("SRPT US Equity","INVENT_DAYS","FQ4 2020","FQ4 2020","Currency=USD","Period=FQ","BEST_FPERIOD_OVERRIDE=FQ","FILING_STATUS=MR","FA_ADJUSTED=GAAP","Sort=A","Dates=H","DateFormat=P","Fill=—","Direction=H","UseDPDF=Y")</f>
        <v>1164.5454999999999</v>
      </c>
      <c r="L9" s="14">
        <f>_xll.BDH("SRPT US Equity","INVENT_DAYS","FQ1 2021","FQ1 2021","Currency=USD","Period=FQ","BEST_FPERIOD_OVERRIDE=FQ","FILING_STATUS=MR","FA_ADJUSTED=GAAP","Sort=A","Dates=H","DateFormat=P","Fill=—","Direction=H","UseDPDF=Y")</f>
        <v>1032.2536</v>
      </c>
      <c r="M9" s="14">
        <f>_xll.BDH("SRPT US Equity","INVENT_DAYS","FQ2 2021","FQ2 2021","Currency=USD","Period=FQ","BEST_FPERIOD_OVERRIDE=FQ","FILING_STATUS=MR","FA_ADJUSTED=GAAP","Sort=A","Dates=H","DateFormat=P","Fill=—","Direction=H","UseDPDF=Y")</f>
        <v>1032.2161000000001</v>
      </c>
      <c r="N9" s="14">
        <f>_xll.BDH("SRPT US Equity","INVENT_DAYS","FQ3 2021","FQ3 2021","Currency=USD","Period=FQ","BEST_FPERIOD_OVERRIDE=FQ","FILING_STATUS=MR","FA_ADJUSTED=GAAP","Sort=A","Dates=H","DateFormat=P","Fill=—","Direction=H","UseDPDF=Y")</f>
        <v>1058.2394999999999</v>
      </c>
      <c r="O9" s="14">
        <f>_xll.BDH("SRPT US Equity","INVENT_DAYS","FQ4 2021","FQ4 2021","Currency=USD","Period=FQ","BEST_FPERIOD_OVERRIDE=FQ","FILING_STATUS=MR","FA_ADJUSTED=GAAP","Sort=A","Dates=H","DateFormat=P","Fill=—","Direction=H","UseDPDF=Y")</f>
        <v>786.37149999999997</v>
      </c>
      <c r="P9" s="14">
        <f>_xll.BDH("SRPT US Equity","INVENT_DAYS","FQ1 2022","FQ1 2022","Currency=USD","Period=FQ","BEST_FPERIOD_OVERRIDE=FQ","FILING_STATUS=MR","FA_ADJUSTED=GAAP","Sort=A","Dates=H","DateFormat=P","Fill=—","Direction=H","UseDPDF=Y")</f>
        <v>755.35320000000002</v>
      </c>
      <c r="Q9" s="14">
        <f>_xll.BDH("SRPT US Equity","INVENT_DAYS","FQ2 2022","FQ2 2022","Currency=USD","Period=FQ","BEST_FPERIOD_OVERRIDE=FQ","FILING_STATUS=MR","FA_ADJUSTED=GAAP","Sort=A","Dates=H","DateFormat=P","Fill=—","Direction=H","UseDPDF=Y")</f>
        <v>699.41420000000005</v>
      </c>
      <c r="R9" s="14">
        <f>_xll.BDH("SRPT US Equity","INVENT_DAYS","FQ3 2022","FQ3 2022","Currency=USD","Period=FQ","BEST_FPERIOD_OVERRIDE=FQ","FILING_STATUS=MR","FA_ADJUSTED=GAAP","Sort=A","Dates=H","DateFormat=P","Fill=—","Direction=H","UseDPDF=Y")</f>
        <v>659.97649999999999</v>
      </c>
      <c r="S9" s="14">
        <f>_xll.BDH("SRPT US Equity","INVENT_DAYS","FQ4 2022","FQ4 2022","Currency=USD","Period=FQ","BEST_FPERIOD_OVERRIDE=FQ","FILING_STATUS=MR","FA_ADJUSTED=GAAP","Sort=A","Dates=H","DateFormat=P","Fill=—","Direction=H","UseDPDF=Y")</f>
        <v>508.66750000000002</v>
      </c>
      <c r="T9" s="14">
        <f>_xll.BDH("SRPT US Equity","INVENT_DAYS","FQ1 2023","FQ1 2023","Currency=USD","Period=FQ","BEST_FPERIOD_OVERRIDE=FQ","FILING_STATUS=MR","FA_ADJUSTED=GAAP","Sort=A","Dates=H","DateFormat=P","Fill=—","Direction=H","UseDPDF=Y")</f>
        <v>510.613</v>
      </c>
      <c r="U9" s="14">
        <f>_xll.BDH("SRPT US Equity","INVENT_DAYS","FQ2 2023","FQ2 2023","Currency=USD","Period=FQ","BEST_FPERIOD_OVERRIDE=FQ","FILING_STATUS=MR","FA_ADJUSTED=GAAP","Sort=A","Dates=H","DateFormat=P","Fill=—","Direction=H","UseDPDF=Y")</f>
        <v>567.45349999999996</v>
      </c>
      <c r="V9" s="14">
        <f>_xll.BDH("SRPT US Equity","INVENT_DAYS","FQ3 2023","FQ3 2023","Currency=USD","Period=FQ","BEST_FPERIOD_OVERRIDE=FQ","FILING_STATUS=MR","FA_ADJUSTED=GAAP","Sort=A","Dates=H","DateFormat=P","Fill=—","Direction=H","UseDPDF=Y")</f>
        <v>619.85860000000002</v>
      </c>
      <c r="W9" s="14">
        <f>_xll.BDH("SRPT US Equity","INVENT_DAYS","FQ4 2023","FQ4 2023","Currency=USD","Period=FQ","BEST_FPERIOD_OVERRIDE=FQ","FILING_STATUS=MR","FA_ADJUSTED=GAAP","Sort=A","Dates=H","DateFormat=P","Fill=—","Direction=H","UseDPDF=Y")</f>
        <v>639.51049999999998</v>
      </c>
      <c r="X9" s="14">
        <f>_xll.BDH("SRPT US Equity","INVENT_DAYS","FQ1 2024","FQ1 2024","Currency=USD","Period=FQ","BEST_FPERIOD_OVERRIDE=FQ","FILING_STATUS=MR","FA_ADJUSTED=GAAP","Sort=A","Dates=H","DateFormat=P","Fill=—","Direction=H","UseDPDF=Y")</f>
        <v>635.65430000000003</v>
      </c>
      <c r="Y9" s="14">
        <f>_xll.BDH("SRPT US Equity","INVENT_DAYS","FQ2 2024","FQ2 2024","Currency=USD","Period=FQ","BEST_FPERIOD_OVERRIDE=FQ","FILING_STATUS=MR","FA_ADJUSTED=GAAP","Sort=A","Dates=H","DateFormat=P","Fill=—","Direction=H","UseDPDF=Y")</f>
        <v>739.72969999999998</v>
      </c>
      <c r="Z9" s="14">
        <f>_xll.BDH("SRPT US Equity","INVENT_DAYS","FQ3 2024","FQ3 2024","Currency=USD","Period=FQ","BEST_FPERIOD_OVERRIDE=FQ","FILING_STATUS=MR","FA_ADJUSTED=GAAP","Sort=A","Dates=H","DateFormat=P","Fill=—","Direction=H","UseDPDF=Y")</f>
        <v>641.7174</v>
      </c>
      <c r="AA9" s="14">
        <f>_xll.BDH("SRPT US Equity","INVENT_DAYS","FQ4 2024","FQ4 2024","Currency=USD","Period=FQ","BEST_FPERIOD_OVERRIDE=FQ","FILING_STATUS=MR","FA_ADJUSTED=GAAP","Sort=A","Dates=H","DateFormat=P","Fill=—","Direction=H","UseDPDF=Y")</f>
        <v>615.25070000000005</v>
      </c>
    </row>
    <row r="10" spans="1:27" x14ac:dyDescent="0.25">
      <c r="A10" s="6" t="s">
        <v>1555</v>
      </c>
      <c r="B10" s="6" t="s">
        <v>1556</v>
      </c>
      <c r="C10" s="20">
        <f>_xll.BDH("SRPT US Equity","ACCOUNTS_PAYABLE_TURNOVER","FQ4 2018","FQ4 2018","Currency=USD","Period=FQ","BEST_FPERIOD_OVERRIDE=FQ","FILING_STATUS=MR","FA_ADJUSTED=GAAP","Sort=A","Dates=H","DateFormat=P","Fill=—","Direction=H","UseDPDF=Y")</f>
        <v>3.5952999999999999</v>
      </c>
      <c r="D10" s="20">
        <f>_xll.BDH("SRPT US Equity","ACCOUNTS_PAYABLE_TURNOVER","FQ1 2019","FQ1 2019","Currency=USD","Period=FQ","BEST_FPERIOD_OVERRIDE=FQ","FILING_STATUS=MR","FA_ADJUSTED=GAAP","Sort=A","Dates=H","DateFormat=P","Fill=—","Direction=H","UseDPDF=Y")</f>
        <v>3.7269999999999999</v>
      </c>
      <c r="E10" s="20">
        <f>_xll.BDH("SRPT US Equity","ACCOUNTS_PAYABLE_TURNOVER","FQ2 2019","FQ2 2019","Currency=USD","Period=FQ","BEST_FPERIOD_OVERRIDE=FQ","FILING_STATUS=MR","FA_ADJUSTED=GAAP","Sort=A","Dates=H","DateFormat=P","Fill=—","Direction=H","UseDPDF=Y")</f>
        <v>3.3308</v>
      </c>
      <c r="F10" s="20">
        <f>_xll.BDH("SRPT US Equity","ACCOUNTS_PAYABLE_TURNOVER","FQ3 2019","FQ3 2019","Currency=USD","Period=FQ","BEST_FPERIOD_OVERRIDE=FQ","FILING_STATUS=MR","FA_ADJUSTED=GAAP","Sort=A","Dates=H","DateFormat=P","Fill=—","Direction=H","UseDPDF=Y")</f>
        <v>2.0457999999999998</v>
      </c>
      <c r="G10" s="20">
        <f>_xll.BDH("SRPT US Equity","ACCOUNTS_PAYABLE_TURNOVER","FQ4 2019","FQ4 2019","Currency=USD","Period=FQ","BEST_FPERIOD_OVERRIDE=FQ","FILING_STATUS=MR","FA_ADJUSTED=GAAP","Sort=A","Dates=H","DateFormat=P","Fill=—","Direction=H","UseDPDF=Y")</f>
        <v>2.0116999999999998</v>
      </c>
      <c r="H10" s="20">
        <f>_xll.BDH("SRPT US Equity","ACCOUNTS_PAYABLE_TURNOVER","FQ1 2020","FQ1 2020","Currency=USD","Period=FQ","BEST_FPERIOD_OVERRIDE=FQ","FILING_STATUS=MR","FA_ADJUSTED=GAAP","Sort=A","Dates=H","DateFormat=P","Fill=—","Direction=H","UseDPDF=Y")</f>
        <v>3.3843999999999999</v>
      </c>
      <c r="I10" s="20">
        <f>_xll.BDH("SRPT US Equity","ACCOUNTS_PAYABLE_TURNOVER","FQ2 2020","FQ2 2020","Currency=USD","Period=FQ","BEST_FPERIOD_OVERRIDE=FQ","FILING_STATUS=MR","FA_ADJUSTED=GAAP","Sort=A","Dates=H","DateFormat=P","Fill=—","Direction=H","UseDPDF=Y")</f>
        <v>1.1444000000000001</v>
      </c>
      <c r="J10" s="20">
        <f>_xll.BDH("SRPT US Equity","ACCOUNTS_PAYABLE_TURNOVER","FQ3 2020","FQ3 2020","Currency=USD","Period=FQ","BEST_FPERIOD_OVERRIDE=FQ","FILING_STATUS=MR","FA_ADJUSTED=GAAP","Sort=A","Dates=H","DateFormat=P","Fill=—","Direction=H","UseDPDF=Y")</f>
        <v>1.4098999999999999</v>
      </c>
      <c r="K10" s="20">
        <f>_xll.BDH("SRPT US Equity","ACCOUNTS_PAYABLE_TURNOVER","FQ4 2020","FQ4 2020","Currency=USD","Period=FQ","BEST_FPERIOD_OVERRIDE=FQ","FILING_STATUS=MR","FA_ADJUSTED=GAAP","Sort=A","Dates=H","DateFormat=P","Fill=—","Direction=H","UseDPDF=Y")</f>
        <v>1.3836999999999999</v>
      </c>
      <c r="L10" s="20">
        <f>_xll.BDH("SRPT US Equity","ACCOUNTS_PAYABLE_TURNOVER","FQ1 2021","FQ1 2021","Currency=USD","Period=FQ","BEST_FPERIOD_OVERRIDE=FQ","FILING_STATUS=MR","FA_ADJUSTED=GAAP","Sort=A","Dates=H","DateFormat=P","Fill=—","Direction=H","UseDPDF=Y")</f>
        <v>2.7172000000000001</v>
      </c>
      <c r="M10" s="20">
        <f>_xll.BDH("SRPT US Equity","ACCOUNTS_PAYABLE_TURNOVER","FQ2 2021","FQ2 2021","Currency=USD","Period=FQ","BEST_FPERIOD_OVERRIDE=FQ","FILING_STATUS=MR","FA_ADJUSTED=GAAP","Sort=A","Dates=H","DateFormat=P","Fill=—","Direction=H","UseDPDF=Y")</f>
        <v>2.0005000000000002</v>
      </c>
      <c r="N10" s="20">
        <f>_xll.BDH("SRPT US Equity","ACCOUNTS_PAYABLE_TURNOVER","FQ3 2021","FQ3 2021","Currency=USD","Period=FQ","BEST_FPERIOD_OVERRIDE=FQ","FILING_STATUS=MR","FA_ADJUSTED=GAAP","Sort=A","Dates=H","DateFormat=P","Fill=—","Direction=H","UseDPDF=Y")</f>
        <v>2.6297000000000001</v>
      </c>
      <c r="O10" s="20">
        <f>_xll.BDH("SRPT US Equity","ACCOUNTS_PAYABLE_TURNOVER","FQ4 2021","FQ4 2021","Currency=USD","Period=FQ","BEST_FPERIOD_OVERRIDE=FQ","FILING_STATUS=MR","FA_ADJUSTED=GAAP","Sort=A","Dates=H","DateFormat=P","Fill=—","Direction=H","UseDPDF=Y")</f>
        <v>0.54620000000000002</v>
      </c>
      <c r="P10" s="20">
        <f>_xll.BDH("SRPT US Equity","ACCOUNTS_PAYABLE_TURNOVER","FQ1 2022","FQ1 2022","Currency=USD","Period=FQ","BEST_FPERIOD_OVERRIDE=FQ","FILING_STATUS=MR","FA_ADJUSTED=GAAP","Sort=A","Dates=H","DateFormat=P","Fill=—","Direction=H","UseDPDF=Y")</f>
        <v>0.99209999999999998</v>
      </c>
      <c r="Q10" s="20">
        <f>_xll.BDH("SRPT US Equity","ACCOUNTS_PAYABLE_TURNOVER","FQ2 2022","FQ2 2022","Currency=USD","Period=FQ","BEST_FPERIOD_OVERRIDE=FQ","FILING_STATUS=MR","FA_ADJUSTED=GAAP","Sort=A","Dates=H","DateFormat=P","Fill=—","Direction=H","UseDPDF=Y")</f>
        <v>0.9597</v>
      </c>
      <c r="R10" s="20">
        <f>_xll.BDH("SRPT US Equity","ACCOUNTS_PAYABLE_TURNOVER","FQ3 2022","FQ3 2022","Currency=USD","Period=FQ","BEST_FPERIOD_OVERRIDE=FQ","FILING_STATUS=MR","FA_ADJUSTED=GAAP","Sort=A","Dates=H","DateFormat=P","Fill=—","Direction=H","UseDPDF=Y")</f>
        <v>0.90590000000000004</v>
      </c>
      <c r="S10" s="20">
        <f>_xll.BDH("SRPT US Equity","ACCOUNTS_PAYABLE_TURNOVER","FQ4 2022","FQ4 2022","Currency=USD","Period=FQ","BEST_FPERIOD_OVERRIDE=FQ","FILING_STATUS=MR","FA_ADJUSTED=GAAP","Sort=A","Dates=H","DateFormat=P","Fill=—","Direction=H","UseDPDF=Y")</f>
        <v>1.8277000000000001</v>
      </c>
      <c r="T10" s="20">
        <f>_xll.BDH("SRPT US Equity","ACCOUNTS_PAYABLE_TURNOVER","FQ1 2023","FQ1 2023","Currency=USD","Period=FQ","BEST_FPERIOD_OVERRIDE=FQ","FILING_STATUS=MR","FA_ADJUSTED=GAAP","Sort=A","Dates=H","DateFormat=P","Fill=—","Direction=H","UseDPDF=Y")</f>
        <v>1.8323</v>
      </c>
      <c r="U10" s="20">
        <f>_xll.BDH("SRPT US Equity","ACCOUNTS_PAYABLE_TURNOVER","FQ2 2023","FQ2 2023","Currency=USD","Period=FQ","BEST_FPERIOD_OVERRIDE=FQ","FILING_STATUS=MR","FA_ADJUSTED=GAAP","Sort=A","Dates=H","DateFormat=P","Fill=—","Direction=H","UseDPDF=Y")</f>
        <v>1.9117</v>
      </c>
      <c r="V10" s="20">
        <f>_xll.BDH("SRPT US Equity","ACCOUNTS_PAYABLE_TURNOVER","FQ3 2023","FQ3 2023","Currency=USD","Period=FQ","BEST_FPERIOD_OVERRIDE=FQ","FILING_STATUS=MR","FA_ADJUSTED=GAAP","Sort=A","Dates=H","DateFormat=P","Fill=—","Direction=H","UseDPDF=Y")</f>
        <v>1.5482</v>
      </c>
      <c r="W10" s="20">
        <f>_xll.BDH("SRPT US Equity","ACCOUNTS_PAYABLE_TURNOVER","FQ4 2023","FQ4 2023","Currency=USD","Period=FQ","BEST_FPERIOD_OVERRIDE=FQ","FILING_STATUS=MR","FA_ADJUSTED=GAAP","Sort=A","Dates=H","DateFormat=P","Fill=—","Direction=H","UseDPDF=Y")</f>
        <v>2.0647000000000002</v>
      </c>
      <c r="X10" s="20">
        <f>_xll.BDH("SRPT US Equity","ACCOUNTS_PAYABLE_TURNOVER","FQ1 2024","FQ1 2024","Currency=USD","Period=FQ","BEST_FPERIOD_OVERRIDE=FQ","FILING_STATUS=MR","FA_ADJUSTED=GAAP","Sort=A","Dates=H","DateFormat=P","Fill=—","Direction=H","UseDPDF=Y")</f>
        <v>3.3972000000000002</v>
      </c>
      <c r="Y10" s="20">
        <f>_xll.BDH("SRPT US Equity","ACCOUNTS_PAYABLE_TURNOVER","FQ2 2024","FQ2 2024","Currency=USD","Period=FQ","BEST_FPERIOD_OVERRIDE=FQ","FILING_STATUS=MR","FA_ADJUSTED=GAAP","Sort=A","Dates=H","DateFormat=P","Fill=—","Direction=H","UseDPDF=Y")</f>
        <v>4.0073999999999996</v>
      </c>
      <c r="Z10" s="20">
        <f>_xll.BDH("SRPT US Equity","ACCOUNTS_PAYABLE_TURNOVER","FQ3 2024","FQ3 2024","Currency=USD","Period=FQ","BEST_FPERIOD_OVERRIDE=FQ","FILING_STATUS=MR","FA_ADJUSTED=GAAP","Sort=A","Dates=H","DateFormat=P","Fill=—","Direction=H","UseDPDF=Y")</f>
        <v>5.3491</v>
      </c>
      <c r="AA10" s="20">
        <f>_xll.BDH("SRPT US Equity","ACCOUNTS_PAYABLE_TURNOVER","FQ4 2024","FQ4 2024","Currency=USD","Period=FQ","BEST_FPERIOD_OVERRIDE=FQ","FILING_STATUS=MR","FA_ADJUSTED=GAAP","Sort=A","Dates=H","DateFormat=P","Fill=—","Direction=H","UseDPDF=Y")</f>
        <v>3.9340000000000002</v>
      </c>
    </row>
    <row r="11" spans="1:27" x14ac:dyDescent="0.25">
      <c r="A11" s="10" t="s">
        <v>1557</v>
      </c>
      <c r="B11" s="10" t="s">
        <v>1558</v>
      </c>
      <c r="C11" s="14">
        <f>_xll.BDH("SRPT US Equity","ACCOUNTS_PAYABLE_TURNOVER_DAYS","FQ4 2018","FQ4 2018","Currency=USD","Period=FQ","BEST_FPERIOD_OVERRIDE=FQ","FILING_STATUS=MR","FA_ADJUSTED=GAAP","Sort=A","Dates=H","DateFormat=P","Fill=—","Direction=H","UseDPDF=Y")</f>
        <v>101.52200000000001</v>
      </c>
      <c r="D11" s="14">
        <f>_xll.BDH("SRPT US Equity","ACCOUNTS_PAYABLE_TURNOVER_DAYS","FQ1 2019","FQ1 2019","Currency=USD","Period=FQ","BEST_FPERIOD_OVERRIDE=FQ","FILING_STATUS=MR","FA_ADJUSTED=GAAP","Sort=A","Dates=H","DateFormat=P","Fill=—","Direction=H","UseDPDF=Y")</f>
        <v>97.934799999999996</v>
      </c>
      <c r="E11" s="14">
        <f>_xll.BDH("SRPT US Equity","ACCOUNTS_PAYABLE_TURNOVER_DAYS","FQ2 2019","FQ2 2019","Currency=USD","Period=FQ","BEST_FPERIOD_OVERRIDE=FQ","FILING_STATUS=MR","FA_ADJUSTED=GAAP","Sort=A","Dates=H","DateFormat=P","Fill=—","Direction=H","UseDPDF=Y")</f>
        <v>109.58280000000001</v>
      </c>
      <c r="F11" s="14">
        <f>_xll.BDH("SRPT US Equity","ACCOUNTS_PAYABLE_TURNOVER_DAYS","FQ3 2019","FQ3 2019","Currency=USD","Period=FQ","BEST_FPERIOD_OVERRIDE=FQ","FILING_STATUS=MR","FA_ADJUSTED=GAAP","Sort=A","Dates=H","DateFormat=P","Fill=—","Direction=H","UseDPDF=Y")</f>
        <v>178.41419999999999</v>
      </c>
      <c r="G11" s="14">
        <f>_xll.BDH("SRPT US Equity","ACCOUNTS_PAYABLE_TURNOVER_DAYS","FQ4 2019","FQ4 2019","Currency=USD","Period=FQ","BEST_FPERIOD_OVERRIDE=FQ","FILING_STATUS=MR","FA_ADJUSTED=GAAP","Sort=A","Dates=H","DateFormat=P","Fill=—","Direction=H","UseDPDF=Y")</f>
        <v>181.43729999999999</v>
      </c>
      <c r="H11" s="14">
        <f>_xll.BDH("SRPT US Equity","ACCOUNTS_PAYABLE_TURNOVER_DAYS","FQ1 2020","FQ1 2020","Currency=USD","Period=FQ","BEST_FPERIOD_OVERRIDE=FQ","FILING_STATUS=MR","FA_ADJUSTED=GAAP","Sort=A","Dates=H","DateFormat=P","Fill=—","Direction=H","UseDPDF=Y")</f>
        <v>108.14279999999999</v>
      </c>
      <c r="I11" s="14">
        <f>_xll.BDH("SRPT US Equity","ACCOUNTS_PAYABLE_TURNOVER_DAYS","FQ2 2020","FQ2 2020","Currency=USD","Period=FQ","BEST_FPERIOD_OVERRIDE=FQ","FILING_STATUS=MR","FA_ADJUSTED=GAAP","Sort=A","Dates=H","DateFormat=P","Fill=—","Direction=H","UseDPDF=Y")</f>
        <v>319.82810000000001</v>
      </c>
      <c r="J11" s="14">
        <f>_xll.BDH("SRPT US Equity","ACCOUNTS_PAYABLE_TURNOVER_DAYS","FQ3 2020","FQ3 2020","Currency=USD","Period=FQ","BEST_FPERIOD_OVERRIDE=FQ","FILING_STATUS=MR","FA_ADJUSTED=GAAP","Sort=A","Dates=H","DateFormat=P","Fill=—","Direction=H","UseDPDF=Y")</f>
        <v>259.60079999999999</v>
      </c>
      <c r="K11" s="14">
        <f>_xll.BDH("SRPT US Equity","ACCOUNTS_PAYABLE_TURNOVER_DAYS","FQ4 2020","FQ4 2020","Currency=USD","Period=FQ","BEST_FPERIOD_OVERRIDE=FQ","FILING_STATUS=MR","FA_ADJUSTED=GAAP","Sort=A","Dates=H","DateFormat=P","Fill=—","Direction=H","UseDPDF=Y")</f>
        <v>264.51769999999999</v>
      </c>
      <c r="L11" s="14">
        <f>_xll.BDH("SRPT US Equity","ACCOUNTS_PAYABLE_TURNOVER_DAYS","FQ1 2021","FQ1 2021","Currency=USD","Period=FQ","BEST_FPERIOD_OVERRIDE=FQ","FILING_STATUS=MR","FA_ADJUSTED=GAAP","Sort=A","Dates=H","DateFormat=P","Fill=—","Direction=H","UseDPDF=Y")</f>
        <v>134.32849999999999</v>
      </c>
      <c r="M11" s="14">
        <f>_xll.BDH("SRPT US Equity","ACCOUNTS_PAYABLE_TURNOVER_DAYS","FQ2 2021","FQ2 2021","Currency=USD","Period=FQ","BEST_FPERIOD_OVERRIDE=FQ","FILING_STATUS=MR","FA_ADJUSTED=GAAP","Sort=A","Dates=H","DateFormat=P","Fill=—","Direction=H","UseDPDF=Y")</f>
        <v>182.4512</v>
      </c>
      <c r="N11" s="14">
        <f>_xll.BDH("SRPT US Equity","ACCOUNTS_PAYABLE_TURNOVER_DAYS","FQ3 2021","FQ3 2021","Currency=USD","Period=FQ","BEST_FPERIOD_OVERRIDE=FQ","FILING_STATUS=MR","FA_ADJUSTED=GAAP","Sort=A","Dates=H","DateFormat=P","Fill=—","Direction=H","UseDPDF=Y")</f>
        <v>138.79990000000001</v>
      </c>
      <c r="O11" s="14">
        <f>_xll.BDH("SRPT US Equity","ACCOUNTS_PAYABLE_TURNOVER_DAYS","FQ4 2021","FQ4 2021","Currency=USD","Period=FQ","BEST_FPERIOD_OVERRIDE=FQ","FILING_STATUS=MR","FA_ADJUSTED=GAAP","Sort=A","Dates=H","DateFormat=P","Fill=—","Direction=H","UseDPDF=Y")</f>
        <v>668.2097</v>
      </c>
      <c r="P11" s="14">
        <f>_xll.BDH("SRPT US Equity","ACCOUNTS_PAYABLE_TURNOVER_DAYS","FQ1 2022","FQ1 2022","Currency=USD","Period=FQ","BEST_FPERIOD_OVERRIDE=FQ","FILING_STATUS=MR","FA_ADJUSTED=GAAP","Sort=A","Dates=H","DateFormat=P","Fill=—","Direction=H","UseDPDF=Y")</f>
        <v>367.92290000000003</v>
      </c>
      <c r="Q11" s="14">
        <f>_xll.BDH("SRPT US Equity","ACCOUNTS_PAYABLE_TURNOVER_DAYS","FQ2 2022","FQ2 2022","Currency=USD","Period=FQ","BEST_FPERIOD_OVERRIDE=FQ","FILING_STATUS=MR","FA_ADJUSTED=GAAP","Sort=A","Dates=H","DateFormat=P","Fill=—","Direction=H","UseDPDF=Y")</f>
        <v>380.33499999999998</v>
      </c>
      <c r="R11" s="14">
        <f>_xll.BDH("SRPT US Equity","ACCOUNTS_PAYABLE_TURNOVER_DAYS","FQ3 2022","FQ3 2022","Currency=USD","Period=FQ","BEST_FPERIOD_OVERRIDE=FQ","FILING_STATUS=MR","FA_ADJUSTED=GAAP","Sort=A","Dates=H","DateFormat=P","Fill=—","Direction=H","UseDPDF=Y")</f>
        <v>402.93360000000001</v>
      </c>
      <c r="S11" s="14">
        <f>_xll.BDH("SRPT US Equity","ACCOUNTS_PAYABLE_TURNOVER_DAYS","FQ4 2022","FQ4 2022","Currency=USD","Period=FQ","BEST_FPERIOD_OVERRIDE=FQ","FILING_STATUS=MR","FA_ADJUSTED=GAAP","Sort=A","Dates=H","DateFormat=P","Fill=—","Direction=H","UseDPDF=Y")</f>
        <v>199.7047</v>
      </c>
      <c r="T11" s="14">
        <f>_xll.BDH("SRPT US Equity","ACCOUNTS_PAYABLE_TURNOVER_DAYS","FQ1 2023","FQ1 2023","Currency=USD","Period=FQ","BEST_FPERIOD_OVERRIDE=FQ","FILING_STATUS=MR","FA_ADJUSTED=GAAP","Sort=A","Dates=H","DateFormat=P","Fill=—","Direction=H","UseDPDF=Y")</f>
        <v>199.203</v>
      </c>
      <c r="U11" s="14">
        <f>_xll.BDH("SRPT US Equity","ACCOUNTS_PAYABLE_TURNOVER_DAYS","FQ2 2023","FQ2 2023","Currency=USD","Period=FQ","BEST_FPERIOD_OVERRIDE=FQ","FILING_STATUS=MR","FA_ADJUSTED=GAAP","Sort=A","Dates=H","DateFormat=P","Fill=—","Direction=H","UseDPDF=Y")</f>
        <v>190.9307</v>
      </c>
      <c r="V11" s="14">
        <f>_xll.BDH("SRPT US Equity","ACCOUNTS_PAYABLE_TURNOVER_DAYS","FQ3 2023","FQ3 2023","Currency=USD","Period=FQ","BEST_FPERIOD_OVERRIDE=FQ","FILING_STATUS=MR","FA_ADJUSTED=GAAP","Sort=A","Dates=H","DateFormat=P","Fill=—","Direction=H","UseDPDF=Y")</f>
        <v>235.75210000000001</v>
      </c>
      <c r="W11" s="14">
        <f>_xll.BDH("SRPT US Equity","ACCOUNTS_PAYABLE_TURNOVER_DAYS","FQ4 2023","FQ4 2023","Currency=USD","Period=FQ","BEST_FPERIOD_OVERRIDE=FQ","FILING_STATUS=MR","FA_ADJUSTED=GAAP","Sort=A","Dates=H","DateFormat=P","Fill=—","Direction=H","UseDPDF=Y")</f>
        <v>176.7783</v>
      </c>
      <c r="X11" s="14">
        <f>_xll.BDH("SRPT US Equity","ACCOUNTS_PAYABLE_TURNOVER_DAYS","FQ1 2024","FQ1 2024","Currency=USD","Period=FQ","BEST_FPERIOD_OVERRIDE=FQ","FILING_STATUS=MR","FA_ADJUSTED=GAAP","Sort=A","Dates=H","DateFormat=P","Fill=—","Direction=H","UseDPDF=Y")</f>
        <v>107.736</v>
      </c>
      <c r="Y11" s="14">
        <f>_xll.BDH("SRPT US Equity","ACCOUNTS_PAYABLE_TURNOVER_DAYS","FQ2 2024","FQ2 2024","Currency=USD","Period=FQ","BEST_FPERIOD_OVERRIDE=FQ","FILING_STATUS=MR","FA_ADJUSTED=GAAP","Sort=A","Dates=H","DateFormat=P","Fill=—","Direction=H","UseDPDF=Y")</f>
        <v>91.331999999999994</v>
      </c>
      <c r="Z11" s="14">
        <f>_xll.BDH("SRPT US Equity","ACCOUNTS_PAYABLE_TURNOVER_DAYS","FQ3 2024","FQ3 2024","Currency=USD","Period=FQ","BEST_FPERIOD_OVERRIDE=FQ","FILING_STATUS=MR","FA_ADJUSTED=GAAP","Sort=A","Dates=H","DateFormat=P","Fill=—","Direction=H","UseDPDF=Y")</f>
        <v>68.423299999999998</v>
      </c>
      <c r="AA11" s="14">
        <f>_xll.BDH("SRPT US Equity","ACCOUNTS_PAYABLE_TURNOVER_DAYS","FQ4 2024","FQ4 2024","Currency=USD","Period=FQ","BEST_FPERIOD_OVERRIDE=FQ","FILING_STATUS=MR","FA_ADJUSTED=GAAP","Sort=A","Dates=H","DateFormat=P","Fill=—","Direction=H","UseDPDF=Y")</f>
        <v>93.035200000000003</v>
      </c>
    </row>
    <row r="12" spans="1:27" x14ac:dyDescent="0.25">
      <c r="A12" s="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x14ac:dyDescent="0.25">
      <c r="A13" s="6" t="s">
        <v>842</v>
      </c>
      <c r="B13" s="6" t="s">
        <v>843</v>
      </c>
      <c r="C13" s="20">
        <f>_xll.BDH("SRPT US Equity","CASH_CONVERSION_CYCLE","FQ4 2018","FQ4 2018","Currency=USD","Period=FQ","BEST_FPERIOD_OVERRIDE=FQ","FILING_STATUS=MR","FA_ADJUSTED=GAAP","Sort=A","Dates=H","DateFormat=P","Fill=—","Direction=H","UseDPDF=Y")</f>
        <v>1061.8484000000001</v>
      </c>
      <c r="D13" s="20">
        <f>_xll.BDH("SRPT US Equity","CASH_CONVERSION_CYCLE","FQ1 2019","FQ1 2019","Currency=USD","Period=FQ","BEST_FPERIOD_OVERRIDE=FQ","FILING_STATUS=MR","FA_ADJUSTED=GAAP","Sort=A","Dates=H","DateFormat=P","Fill=—","Direction=H","UseDPDF=Y")</f>
        <v>1029.1953000000001</v>
      </c>
      <c r="E13" s="20">
        <f>_xll.BDH("SRPT US Equity","CASH_CONVERSION_CYCLE","FQ2 2019","FQ2 2019","Currency=USD","Period=FQ","BEST_FPERIOD_OVERRIDE=FQ","FILING_STATUS=MR","FA_ADJUSTED=GAAP","Sort=A","Dates=H","DateFormat=P","Fill=—","Direction=H","UseDPDF=Y")</f>
        <v>897.60910000000001</v>
      </c>
      <c r="F13" s="20">
        <f>_xll.BDH("SRPT US Equity","CASH_CONVERSION_CYCLE","FQ3 2019","FQ3 2019","Currency=USD","Period=FQ","BEST_FPERIOD_OVERRIDE=FQ","FILING_STATUS=MR","FA_ADJUSTED=GAAP","Sort=A","Dates=H","DateFormat=P","Fill=—","Direction=H","UseDPDF=Y")</f>
        <v>830.81920000000002</v>
      </c>
      <c r="G13" s="20">
        <f>_xll.BDH("SRPT US Equity","CASH_CONVERSION_CYCLE","FQ4 2019","FQ4 2019","Currency=USD","Period=FQ","BEST_FPERIOD_OVERRIDE=FQ","FILING_STATUS=MR","FA_ADJUSTED=GAAP","Sort=A","Dates=H","DateFormat=P","Fill=—","Direction=H","UseDPDF=Y")</f>
        <v>842.92629999999997</v>
      </c>
      <c r="H13" s="20">
        <f>_xll.BDH("SRPT US Equity","CASH_CONVERSION_CYCLE","FQ1 2020","FQ1 2020","Currency=USD","Period=FQ","BEST_FPERIOD_OVERRIDE=FQ","FILING_STATUS=MR","FA_ADJUSTED=GAAP","Sort=A","Dates=H","DateFormat=P","Fill=—","Direction=H","UseDPDF=Y")</f>
        <v>966.91470000000004</v>
      </c>
      <c r="I13" s="20">
        <f>_xll.BDH("SRPT US Equity","CASH_CONVERSION_CYCLE","FQ2 2020","FQ2 2020","Currency=USD","Period=FQ","BEST_FPERIOD_OVERRIDE=FQ","FILING_STATUS=MR","FA_ADJUSTED=GAAP","Sort=A","Dates=H","DateFormat=P","Fill=—","Direction=H","UseDPDF=Y")</f>
        <v>873.19039999999995</v>
      </c>
      <c r="J13" s="20">
        <f>_xll.BDH("SRPT US Equity","CASH_CONVERSION_CYCLE","FQ3 2020","FQ3 2020","Currency=USD","Period=FQ","BEST_FPERIOD_OVERRIDE=FQ","FILING_STATUS=MR","FA_ADJUSTED=GAAP","Sort=A","Dates=H","DateFormat=P","Fill=—","Direction=H","UseDPDF=Y")</f>
        <v>1061.3612000000001</v>
      </c>
      <c r="K13" s="20">
        <f>_xll.BDH("SRPT US Equity","CASH_CONVERSION_CYCLE","FQ4 2020","FQ4 2020","Currency=USD","Period=FQ","BEST_FPERIOD_OVERRIDE=FQ","FILING_STATUS=MR","FA_ADJUSTED=GAAP","Sort=A","Dates=H","DateFormat=P","Fill=—","Direction=H","UseDPDF=Y")</f>
        <v>965.1567</v>
      </c>
      <c r="L13" s="20">
        <f>_xll.BDH("SRPT US Equity","CASH_CONVERSION_CYCLE","FQ1 2021","FQ1 2021","Currency=USD","Period=FQ","BEST_FPERIOD_OVERRIDE=FQ","FILING_STATUS=MR","FA_ADJUSTED=GAAP","Sort=A","Dates=H","DateFormat=P","Fill=—","Direction=H","UseDPDF=Y")</f>
        <v>969.56769999999995</v>
      </c>
      <c r="M13" s="20">
        <f>_xll.BDH("SRPT US Equity","CASH_CONVERSION_CYCLE","FQ2 2021","FQ2 2021","Currency=USD","Period=FQ","BEST_FPERIOD_OVERRIDE=FQ","FILING_STATUS=MR","FA_ADJUSTED=GAAP","Sort=A","Dates=H","DateFormat=P","Fill=—","Direction=H","UseDPDF=Y")</f>
        <v>920.18449999999996</v>
      </c>
      <c r="N13" s="20">
        <f>_xll.BDH("SRPT US Equity","CASH_CONVERSION_CYCLE","FQ3 2021","FQ3 2021","Currency=USD","Period=FQ","BEST_FPERIOD_OVERRIDE=FQ","FILING_STATUS=MR","FA_ADJUSTED=GAAP","Sort=A","Dates=H","DateFormat=P","Fill=—","Direction=H","UseDPDF=Y")</f>
        <v>996.22450000000003</v>
      </c>
      <c r="O13" s="20">
        <f>_xll.BDH("SRPT US Equity","CASH_CONVERSION_CYCLE","FQ4 2021","FQ4 2021","Currency=USD","Period=FQ","BEST_FPERIOD_OVERRIDE=FQ","FILING_STATUS=MR","FA_ADJUSTED=GAAP","Sort=A","Dates=H","DateFormat=P","Fill=—","Direction=H","UseDPDF=Y")</f>
        <v>184.2911</v>
      </c>
      <c r="P13" s="20">
        <f>_xll.BDH("SRPT US Equity","CASH_CONVERSION_CYCLE","FQ1 2022","FQ1 2022","Currency=USD","Period=FQ","BEST_FPERIOD_OVERRIDE=FQ","FILING_STATUS=MR","FA_ADJUSTED=GAAP","Sort=A","Dates=H","DateFormat=P","Fill=—","Direction=H","UseDPDF=Y")</f>
        <v>458.0668</v>
      </c>
      <c r="Q13" s="20">
        <f>_xll.BDH("SRPT US Equity","CASH_CONVERSION_CYCLE","FQ2 2022","FQ2 2022","Currency=USD","Period=FQ","BEST_FPERIOD_OVERRIDE=FQ","FILING_STATUS=MR","FA_ADJUSTED=GAAP","Sort=A","Dates=H","DateFormat=P","Fill=—","Direction=H","UseDPDF=Y")</f>
        <v>391.48930000000001</v>
      </c>
      <c r="R13" s="20">
        <f>_xll.BDH("SRPT US Equity","CASH_CONVERSION_CYCLE","FQ3 2022","FQ3 2022","Currency=USD","Period=FQ","BEST_FPERIOD_OVERRIDE=FQ","FILING_STATUS=MR","FA_ADJUSTED=GAAP","Sort=A","Dates=H","DateFormat=P","Fill=—","Direction=H","UseDPDF=Y")</f>
        <v>330.22570000000002</v>
      </c>
      <c r="S13" s="20">
        <f>_xll.BDH("SRPT US Equity","CASH_CONVERSION_CYCLE","FQ4 2022","FQ4 2022","Currency=USD","Period=FQ","BEST_FPERIOD_OVERRIDE=FQ","FILING_STATUS=MR","FA_ADJUSTED=GAAP","Sort=A","Dates=H","DateFormat=P","Fill=—","Direction=H","UseDPDF=Y")</f>
        <v>380.86989999999997</v>
      </c>
      <c r="T13" s="20">
        <f>_xll.BDH("SRPT US Equity","CASH_CONVERSION_CYCLE","FQ1 2023","FQ1 2023","Currency=USD","Period=FQ","BEST_FPERIOD_OVERRIDE=FQ","FILING_STATUS=MR","FA_ADJUSTED=GAAP","Sort=A","Dates=H","DateFormat=P","Fill=—","Direction=H","UseDPDF=Y")</f>
        <v>386.60910000000001</v>
      </c>
      <c r="U13" s="20">
        <f>_xll.BDH("SRPT US Equity","CASH_CONVERSION_CYCLE","FQ2 2023","FQ2 2023","Currency=USD","Period=FQ","BEST_FPERIOD_OVERRIDE=FQ","FILING_STATUS=MR","FA_ADJUSTED=GAAP","Sort=A","Dates=H","DateFormat=P","Fill=—","Direction=H","UseDPDF=Y")</f>
        <v>456.66840000000002</v>
      </c>
      <c r="V13" s="20">
        <f>_xll.BDH("SRPT US Equity","CASH_CONVERSION_CYCLE","FQ3 2023","FQ3 2023","Currency=USD","Period=FQ","BEST_FPERIOD_OVERRIDE=FQ","FILING_STATUS=MR","FA_ADJUSTED=GAAP","Sort=A","Dates=H","DateFormat=P","Fill=—","Direction=H","UseDPDF=Y")</f>
        <v>470.05040000000002</v>
      </c>
      <c r="W13" s="20">
        <f>_xll.BDH("SRPT US Equity","CASH_CONVERSION_CYCLE","FQ4 2023","FQ4 2023","Currency=USD","Period=FQ","BEST_FPERIOD_OVERRIDE=FQ","FILING_STATUS=MR","FA_ADJUSTED=GAAP","Sort=A","Dates=H","DateFormat=P","Fill=—","Direction=H","UseDPDF=Y")</f>
        <v>552.99689999999998</v>
      </c>
      <c r="X13" s="20">
        <f>_xll.BDH("SRPT US Equity","CASH_CONVERSION_CYCLE","FQ1 2024","FQ1 2024","Currency=USD","Period=FQ","BEST_FPERIOD_OVERRIDE=FQ","FILING_STATUS=MR","FA_ADJUSTED=GAAP","Sort=A","Dates=H","DateFormat=P","Fill=—","Direction=H","UseDPDF=Y")</f>
        <v>606.50699999999995</v>
      </c>
      <c r="Y13" s="20">
        <f>_xll.BDH("SRPT US Equity","CASH_CONVERSION_CYCLE","FQ2 2024","FQ2 2024","Currency=USD","Period=FQ","BEST_FPERIOD_OVERRIDE=FQ","FILING_STATUS=MR","FA_ADJUSTED=GAAP","Sort=A","Dates=H","DateFormat=P","Fill=—","Direction=H","UseDPDF=Y")</f>
        <v>720.96640000000002</v>
      </c>
      <c r="Z13" s="20">
        <f>_xll.BDH("SRPT US Equity","CASH_CONVERSION_CYCLE","FQ3 2024","FQ3 2024","Currency=USD","Period=FQ","BEST_FPERIOD_OVERRIDE=FQ","FILING_STATUS=MR","FA_ADJUSTED=GAAP","Sort=A","Dates=H","DateFormat=P","Fill=—","Direction=H","UseDPDF=Y")</f>
        <v>657.3424</v>
      </c>
      <c r="AA13" s="20">
        <f>_xll.BDH("SRPT US Equity","CASH_CONVERSION_CYCLE","FQ4 2024","FQ4 2024","Currency=USD","Period=FQ","BEST_FPERIOD_OVERRIDE=FQ","FILING_STATUS=MR","FA_ADJUSTED=GAAP","Sort=A","Dates=H","DateFormat=P","Fill=—","Direction=H","UseDPDF=Y")</f>
        <v>618.65380000000005</v>
      </c>
    </row>
    <row r="14" spans="1:27" x14ac:dyDescent="0.25">
      <c r="A14" s="6" t="s">
        <v>1559</v>
      </c>
      <c r="B14" s="6" t="s">
        <v>1560</v>
      </c>
      <c r="C14" s="20">
        <f>_xll.BDH("SRPT US Equity","INV_TO_CASH_DAYS","FQ4 2018","FQ4 2018","Currency=USD","Period=FQ","BEST_FPERIOD_OVERRIDE=FQ","FILING_STATUS=MR","FA_ADJUSTED=GAAP","Sort=A","Dates=H","DateFormat=P","Fill=—","Direction=H","UseDPDF=Y")</f>
        <v>1163.3704</v>
      </c>
      <c r="D14" s="20">
        <f>_xll.BDH("SRPT US Equity","INV_TO_CASH_DAYS","FQ1 2019","FQ1 2019","Currency=USD","Period=FQ","BEST_FPERIOD_OVERRIDE=FQ","FILING_STATUS=MR","FA_ADJUSTED=GAAP","Sort=A","Dates=H","DateFormat=P","Fill=—","Direction=H","UseDPDF=Y")</f>
        <v>1127.1301000000001</v>
      </c>
      <c r="E14" s="20">
        <f>_xll.BDH("SRPT US Equity","INV_TO_CASH_DAYS","FQ2 2019","FQ2 2019","Currency=USD","Period=FQ","BEST_FPERIOD_OVERRIDE=FQ","FILING_STATUS=MR","FA_ADJUSTED=GAAP","Sort=A","Dates=H","DateFormat=P","Fill=—","Direction=H","UseDPDF=Y")</f>
        <v>1007.1917999999999</v>
      </c>
      <c r="F14" s="20">
        <f>_xll.BDH("SRPT US Equity","INV_TO_CASH_DAYS","FQ3 2019","FQ3 2019","Currency=USD","Period=FQ","BEST_FPERIOD_OVERRIDE=FQ","FILING_STATUS=MR","FA_ADJUSTED=GAAP","Sort=A","Dates=H","DateFormat=P","Fill=—","Direction=H","UseDPDF=Y")</f>
        <v>1009.2334</v>
      </c>
      <c r="G14" s="20">
        <f>_xll.BDH("SRPT US Equity","INV_TO_CASH_DAYS","FQ4 2019","FQ4 2019","Currency=USD","Period=FQ","BEST_FPERIOD_OVERRIDE=FQ","FILING_STATUS=MR","FA_ADJUSTED=GAAP","Sort=A","Dates=H","DateFormat=P","Fill=—","Direction=H","UseDPDF=Y")</f>
        <v>1024.3634999999999</v>
      </c>
      <c r="H14" s="20">
        <f>_xll.BDH("SRPT US Equity","INV_TO_CASH_DAYS","FQ1 2020","FQ1 2020","Currency=USD","Period=FQ","BEST_FPERIOD_OVERRIDE=FQ","FILING_STATUS=MR","FA_ADJUSTED=GAAP","Sort=A","Dates=H","DateFormat=P","Fill=—","Direction=H","UseDPDF=Y")</f>
        <v>1075.0574999999999</v>
      </c>
      <c r="I14" s="20">
        <f>_xll.BDH("SRPT US Equity","INV_TO_CASH_DAYS","FQ2 2020","FQ2 2020","Currency=USD","Period=FQ","BEST_FPERIOD_OVERRIDE=FQ","FILING_STATUS=MR","FA_ADJUSTED=GAAP","Sort=A","Dates=H","DateFormat=P","Fill=—","Direction=H","UseDPDF=Y")</f>
        <v>1193.0186000000001</v>
      </c>
      <c r="J14" s="20">
        <f>_xll.BDH("SRPT US Equity","INV_TO_CASH_DAYS","FQ3 2020","FQ3 2020","Currency=USD","Period=FQ","BEST_FPERIOD_OVERRIDE=FQ","FILING_STATUS=MR","FA_ADJUSTED=GAAP","Sort=A","Dates=H","DateFormat=P","Fill=—","Direction=H","UseDPDF=Y")</f>
        <v>1320.9619</v>
      </c>
      <c r="K14" s="20">
        <f>_xll.BDH("SRPT US Equity","INV_TO_CASH_DAYS","FQ4 2020","FQ4 2020","Currency=USD","Period=FQ","BEST_FPERIOD_OVERRIDE=FQ","FILING_STATUS=MR","FA_ADJUSTED=GAAP","Sort=A","Dates=H","DateFormat=P","Fill=—","Direction=H","UseDPDF=Y")</f>
        <v>1229.6744000000001</v>
      </c>
      <c r="L14" s="20">
        <f>_xll.BDH("SRPT US Equity","INV_TO_CASH_DAYS","FQ1 2021","FQ1 2021","Currency=USD","Period=FQ","BEST_FPERIOD_OVERRIDE=FQ","FILING_STATUS=MR","FA_ADJUSTED=GAAP","Sort=A","Dates=H","DateFormat=P","Fill=—","Direction=H","UseDPDF=Y")</f>
        <v>1103.8961999999999</v>
      </c>
      <c r="M14" s="20">
        <f>_xll.BDH("SRPT US Equity","INV_TO_CASH_DAYS","FQ2 2021","FQ2 2021","Currency=USD","Period=FQ","BEST_FPERIOD_OVERRIDE=FQ","FILING_STATUS=MR","FA_ADJUSTED=GAAP","Sort=A","Dates=H","DateFormat=P","Fill=—","Direction=H","UseDPDF=Y")</f>
        <v>1102.6357</v>
      </c>
      <c r="N14" s="20">
        <f>_xll.BDH("SRPT US Equity","INV_TO_CASH_DAYS","FQ3 2021","FQ3 2021","Currency=USD","Period=FQ","BEST_FPERIOD_OVERRIDE=FQ","FILING_STATUS=MR","FA_ADJUSTED=GAAP","Sort=A","Dates=H","DateFormat=P","Fill=—","Direction=H","UseDPDF=Y")</f>
        <v>1135.0244</v>
      </c>
      <c r="O14" s="20">
        <f>_xll.BDH("SRPT US Equity","INV_TO_CASH_DAYS","FQ4 2021","FQ4 2021","Currency=USD","Period=FQ","BEST_FPERIOD_OVERRIDE=FQ","FILING_STATUS=MR","FA_ADJUSTED=GAAP","Sort=A","Dates=H","DateFormat=P","Fill=—","Direction=H","UseDPDF=Y")</f>
        <v>852.50070000000005</v>
      </c>
      <c r="P14" s="20">
        <f>_xll.BDH("SRPT US Equity","INV_TO_CASH_DAYS","FQ1 2022","FQ1 2022","Currency=USD","Period=FQ","BEST_FPERIOD_OVERRIDE=FQ","FILING_STATUS=MR","FA_ADJUSTED=GAAP","Sort=A","Dates=H","DateFormat=P","Fill=—","Direction=H","UseDPDF=Y")</f>
        <v>825.98979999999995</v>
      </c>
      <c r="Q14" s="20">
        <f>_xll.BDH("SRPT US Equity","INV_TO_CASH_DAYS","FQ2 2022","FQ2 2022","Currency=USD","Period=FQ","BEST_FPERIOD_OVERRIDE=FQ","FILING_STATUS=MR","FA_ADJUSTED=GAAP","Sort=A","Dates=H","DateFormat=P","Fill=—","Direction=H","UseDPDF=Y")</f>
        <v>771.82429999999999</v>
      </c>
      <c r="R14" s="20">
        <f>_xll.BDH("SRPT US Equity","INV_TO_CASH_DAYS","FQ3 2022","FQ3 2022","Currency=USD","Period=FQ","BEST_FPERIOD_OVERRIDE=FQ","FILING_STATUS=MR","FA_ADJUSTED=GAAP","Sort=A","Dates=H","DateFormat=P","Fill=—","Direction=H","UseDPDF=Y")</f>
        <v>733.15930000000003</v>
      </c>
      <c r="S14" s="20">
        <f>_xll.BDH("SRPT US Equity","INV_TO_CASH_DAYS","FQ4 2022","FQ4 2022","Currency=USD","Period=FQ","BEST_FPERIOD_OVERRIDE=FQ","FILING_STATUS=MR","FA_ADJUSTED=GAAP","Sort=A","Dates=H","DateFormat=P","Fill=—","Direction=H","UseDPDF=Y")</f>
        <v>580.57460000000003</v>
      </c>
      <c r="T14" s="20">
        <f>_xll.BDH("SRPT US Equity","INV_TO_CASH_DAYS","FQ1 2023","FQ1 2023","Currency=USD","Period=FQ","BEST_FPERIOD_OVERRIDE=FQ","FILING_STATUS=MR","FA_ADJUSTED=GAAP","Sort=A","Dates=H","DateFormat=P","Fill=—","Direction=H","UseDPDF=Y")</f>
        <v>585.81209999999999</v>
      </c>
      <c r="U14" s="20">
        <f>_xll.BDH("SRPT US Equity","INV_TO_CASH_DAYS","FQ2 2023","FQ2 2023","Currency=USD","Period=FQ","BEST_FPERIOD_OVERRIDE=FQ","FILING_STATUS=MR","FA_ADJUSTED=GAAP","Sort=A","Dates=H","DateFormat=P","Fill=—","Direction=H","UseDPDF=Y")</f>
        <v>647.59910000000002</v>
      </c>
      <c r="V14" s="20">
        <f>_xll.BDH("SRPT US Equity","INV_TO_CASH_DAYS","FQ3 2023","FQ3 2023","Currency=USD","Period=FQ","BEST_FPERIOD_OVERRIDE=FQ","FILING_STATUS=MR","FA_ADJUSTED=GAAP","Sort=A","Dates=H","DateFormat=P","Fill=—","Direction=H","UseDPDF=Y")</f>
        <v>705.80240000000003</v>
      </c>
      <c r="W14" s="20">
        <f>_xll.BDH("SRPT US Equity","INV_TO_CASH_DAYS","FQ4 2023","FQ4 2023","Currency=USD","Period=FQ","BEST_FPERIOD_OVERRIDE=FQ","FILING_STATUS=MR","FA_ADJUSTED=GAAP","Sort=A","Dates=H","DateFormat=P","Fill=—","Direction=H","UseDPDF=Y")</f>
        <v>729.77520000000004</v>
      </c>
      <c r="X14" s="20">
        <f>_xll.BDH("SRPT US Equity","INV_TO_CASH_DAYS","FQ1 2024","FQ1 2024","Currency=USD","Period=FQ","BEST_FPERIOD_OVERRIDE=FQ","FILING_STATUS=MR","FA_ADJUSTED=GAAP","Sort=A","Dates=H","DateFormat=P","Fill=—","Direction=H","UseDPDF=Y")</f>
        <v>714.24300000000005</v>
      </c>
      <c r="Y14" s="20">
        <f>_xll.BDH("SRPT US Equity","INV_TO_CASH_DAYS","FQ2 2024","FQ2 2024","Currency=USD","Period=FQ","BEST_FPERIOD_OVERRIDE=FQ","FILING_STATUS=MR","FA_ADJUSTED=GAAP","Sort=A","Dates=H","DateFormat=P","Fill=—","Direction=H","UseDPDF=Y")</f>
        <v>812.29840000000002</v>
      </c>
      <c r="Z14" s="20">
        <f>_xll.BDH("SRPT US Equity","INV_TO_CASH_DAYS","FQ3 2024","FQ3 2024","Currency=USD","Period=FQ","BEST_FPERIOD_OVERRIDE=FQ","FILING_STATUS=MR","FA_ADJUSTED=GAAP","Sort=A","Dates=H","DateFormat=P","Fill=—","Direction=H","UseDPDF=Y")</f>
        <v>725.76559999999995</v>
      </c>
      <c r="AA14" s="20">
        <f>_xll.BDH("SRPT US Equity","INV_TO_CASH_DAYS","FQ4 2024","FQ4 2024","Currency=USD","Period=FQ","BEST_FPERIOD_OVERRIDE=FQ","FILING_STATUS=MR","FA_ADJUSTED=GAAP","Sort=A","Dates=H","DateFormat=P","Fill=—","Direction=H","UseDPDF=Y")</f>
        <v>711.68899999999996</v>
      </c>
    </row>
    <row r="15" spans="1:27" x14ac:dyDescent="0.25">
      <c r="A15" s="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x14ac:dyDescent="0.25">
      <c r="A16" s="6" t="s">
        <v>1561</v>
      </c>
      <c r="B16" s="6" t="s">
        <v>704</v>
      </c>
      <c r="C16" s="19">
        <f>_xll.BDH("SRPT US Equity","BS_INVENTORIES","FQ4 2018","FQ4 2018","Currency=USD","Period=FQ","BEST_FPERIOD_OVERRIDE=FQ","FILING_STATUS=MR","SCALING_FORMAT=MLN","Sort=A","Dates=H","DateFormat=P","Fill=—","Direction=H","UseDPDF=Y")</f>
        <v>125.44499999999999</v>
      </c>
      <c r="D16" s="19">
        <f>_xll.BDH("SRPT US Equity","BS_INVENTORIES","FQ1 2019","FQ1 2019","Currency=USD","Period=FQ","BEST_FPERIOD_OVERRIDE=FQ","FILING_STATUS=MR","SCALING_FORMAT=MLN","Sort=A","Dates=H","DateFormat=P","Fill=—","Direction=H","UseDPDF=Y")</f>
        <v>140.46700000000001</v>
      </c>
      <c r="E16" s="19">
        <f>_xll.BDH("SRPT US Equity","BS_INVENTORIES","FQ2 2019","FQ2 2019","Currency=USD","Period=FQ","BEST_FPERIOD_OVERRIDE=FQ","FILING_STATUS=MR","SCALING_FORMAT=MLN","Sort=A","Dates=H","DateFormat=P","Fill=—","Direction=H","UseDPDF=Y")</f>
        <v>156.56899999999999</v>
      </c>
      <c r="F16" s="19">
        <f>_xll.BDH("SRPT US Equity","BS_INVENTORIES","FQ3 2019","FQ3 2019","Currency=USD","Period=FQ","BEST_FPERIOD_OVERRIDE=FQ","FILING_STATUS=MR","SCALING_FORMAT=MLN","Sort=A","Dates=H","DateFormat=P","Fill=—","Direction=H","UseDPDF=Y")</f>
        <v>166.36</v>
      </c>
      <c r="G16" s="19">
        <f>_xll.BDH("SRPT US Equity","BS_INVENTORIES","FQ4 2019","FQ4 2019","Currency=USD","Period=FQ","BEST_FPERIOD_OVERRIDE=FQ","FILING_STATUS=MR","SCALING_FORMAT=MLN","Sort=A","Dates=H","DateFormat=P","Fill=—","Direction=H","UseDPDF=Y")</f>
        <v>171.37899999999999</v>
      </c>
      <c r="H16" s="19">
        <f>_xll.BDH("SRPT US Equity","BS_INVENTORIES","FQ1 2020","FQ1 2020","Currency=USD","Period=FQ","BEST_FPERIOD_OVERRIDE=FQ","FILING_STATUS=MR","SCALING_FORMAT=MLN","Sort=A","Dates=H","DateFormat=P","Fill=—","Direction=H","UseDPDF=Y")</f>
        <v>173.16800000000001</v>
      </c>
      <c r="I16" s="19">
        <f>_xll.BDH("SRPT US Equity","BS_INVENTORIES","FQ2 2020","FQ2 2020","Currency=USD","Period=FQ","BEST_FPERIOD_OVERRIDE=FQ","FILING_STATUS=MR","SCALING_FORMAT=MLN","Sort=A","Dates=H","DateFormat=P","Fill=—","Direction=H","UseDPDF=Y")</f>
        <v>179.65</v>
      </c>
      <c r="J16" s="19">
        <f>_xll.BDH("SRPT US Equity","BS_INVENTORIES","FQ3 2020","FQ3 2020","Currency=USD","Period=FQ","BEST_FPERIOD_OVERRIDE=FQ","FILING_STATUS=MR","SCALING_FORMAT=MLN","Sort=A","Dates=H","DateFormat=P","Fill=—","Direction=H","UseDPDF=Y")</f>
        <v>220.11799999999999</v>
      </c>
      <c r="K16" s="19">
        <f>_xll.BDH("SRPT US Equity","BS_INVENTORIES","FQ4 2020","FQ4 2020","Currency=USD","Period=FQ","BEST_FPERIOD_OVERRIDE=FQ","FILING_STATUS=MR","SCALING_FORMAT=MLN","Sort=A","Dates=H","DateFormat=P","Fill=—","Direction=H","UseDPDF=Y")</f>
        <v>231.96100000000001</v>
      </c>
      <c r="L16" s="19">
        <f>_xll.BDH("SRPT US Equity","BS_INVENTORIES","FQ1 2021","FQ1 2021","Currency=USD","Period=FQ","BEST_FPERIOD_OVERRIDE=FQ","FILING_STATUS=MR","SCALING_FORMAT=MLN","Sort=A","Dates=H","DateFormat=P","Fill=—","Direction=H","UseDPDF=Y")</f>
        <v>240.333</v>
      </c>
      <c r="M16" s="19">
        <f>_xll.BDH("SRPT US Equity","BS_INVENTORIES","FQ2 2021","FQ2 2021","Currency=USD","Period=FQ","BEST_FPERIOD_OVERRIDE=FQ","FILING_STATUS=MR","SCALING_FORMAT=MLN","Sort=A","Dates=H","DateFormat=P","Fill=—","Direction=H","UseDPDF=Y")</f>
        <v>268.75599999999997</v>
      </c>
      <c r="N16" s="19">
        <f>_xll.BDH("SRPT US Equity","BS_INVENTORIES","FQ3 2021","FQ3 2021","Currency=USD","Period=FQ","BEST_FPERIOD_OVERRIDE=FQ","FILING_STATUS=MR","SCALING_FORMAT=MLN","Sort=A","Dates=H","DateFormat=P","Fill=—","Direction=H","UseDPDF=Y")</f>
        <v>288.46899999999999</v>
      </c>
      <c r="O16" s="19">
        <f>_xll.BDH("SRPT US Equity","BS_INVENTORIES","FQ4 2021","FQ4 2021","Currency=USD","Period=FQ","BEST_FPERIOD_OVERRIDE=FQ","FILING_STATUS=MR","SCALING_FORMAT=MLN","Sort=A","Dates=H","DateFormat=P","Fill=—","Direction=H","UseDPDF=Y")</f>
        <v>186.21199999999999</v>
      </c>
      <c r="P16" s="19">
        <f>_xll.BDH("SRPT US Equity","BS_INVENTORIES","FQ1 2022","FQ1 2022","Currency=USD","Period=FQ","BEST_FPERIOD_OVERRIDE=FQ","FILING_STATUS=MR","SCALING_FORMAT=MLN","Sort=A","Dates=H","DateFormat=P","Fill=—","Direction=H","UseDPDF=Y")</f>
        <v>198.99700000000001</v>
      </c>
      <c r="Q16" s="19">
        <f>_xll.BDH("SRPT US Equity","BS_INVENTORIES","FQ2 2022","FQ2 2022","Currency=USD","Period=FQ","BEST_FPERIOD_OVERRIDE=FQ","FILING_STATUS=MR","SCALING_FORMAT=MLN","Sort=A","Dates=H","DateFormat=P","Fill=—","Direction=H","UseDPDF=Y")</f>
        <v>208.095</v>
      </c>
      <c r="R16" s="19">
        <f>_xll.BDH("SRPT US Equity","BS_INVENTORIES","FQ3 2022","FQ3 2022","Currency=USD","Period=FQ","BEST_FPERIOD_OVERRIDE=FQ","FILING_STATUS=MR","SCALING_FORMAT=MLN","Sort=A","Dates=H","DateFormat=P","Fill=—","Direction=H","UseDPDF=Y")</f>
        <v>221.19200000000001</v>
      </c>
      <c r="S16" s="19">
        <f>_xll.BDH("SRPT US Equity","BS_INVENTORIES","FQ4 2022","FQ4 2022","Currency=USD","Period=FQ","BEST_FPERIOD_OVERRIDE=FQ","FILING_STATUS=MR","SCALING_FORMAT=MLN","Sort=A","Dates=H","DateFormat=P","Fill=—","Direction=H","UseDPDF=Y")</f>
        <v>203.96799999999999</v>
      </c>
      <c r="T16" s="19">
        <f>_xll.BDH("SRPT US Equity","BS_INVENTORIES","FQ1 2023","FQ1 2023","Currency=USD","Period=FQ","BEST_FPERIOD_OVERRIDE=FQ","FILING_STATUS=MR","SCALING_FORMAT=MLN","Sort=A","Dates=H","DateFormat=P","Fill=—","Direction=H","UseDPDF=Y")</f>
        <v>202.67500000000001</v>
      </c>
      <c r="U16" s="19">
        <f>_xll.BDH("SRPT US Equity","BS_INVENTORIES","FQ2 2023","FQ2 2023","Currency=USD","Period=FQ","BEST_FPERIOD_OVERRIDE=FQ","FILING_STATUS=MR","SCALING_FORMAT=MLN","Sort=A","Dates=H","DateFormat=P","Fill=—","Direction=H","UseDPDF=Y")</f>
        <v>226.876</v>
      </c>
      <c r="V16" s="19">
        <f>_xll.BDH("SRPT US Equity","BS_INVENTORIES","FQ3 2023","FQ3 2023","Currency=USD","Period=FQ","BEST_FPERIOD_OVERRIDE=FQ","FILING_STATUS=MR","SCALING_FORMAT=MLN","Sort=A","Dates=H","DateFormat=P","Fill=—","Direction=H","UseDPDF=Y")</f>
        <v>244.011</v>
      </c>
      <c r="W16" s="19">
        <f>_xll.BDH("SRPT US Equity","BS_INVENTORIES","FQ4 2023","FQ4 2023","Currency=USD","Period=FQ","BEST_FPERIOD_OVERRIDE=FQ","FILING_STATUS=MR","SCALING_FORMAT=MLN","Sort=A","Dates=H","DateFormat=P","Fill=—","Direction=H","UseDPDF=Y")</f>
        <v>322.85899999999998</v>
      </c>
      <c r="X16" s="19">
        <f>_xll.BDH("SRPT US Equity","BS_INVENTORIES","FQ1 2024","FQ1 2024","Currency=USD","Period=FQ","BEST_FPERIOD_OVERRIDE=FQ","FILING_STATUS=MR","SCALING_FORMAT=MLN","Sort=A","Dates=H","DateFormat=P","Fill=—","Direction=H","UseDPDF=Y")</f>
        <v>373.53</v>
      </c>
      <c r="Y16" s="19">
        <f>_xll.BDH("SRPT US Equity","BS_INVENTORIES","FQ2 2024","FQ2 2024","Currency=USD","Period=FQ","BEST_FPERIOD_OVERRIDE=FQ","FILING_STATUS=MR","SCALING_FORMAT=MLN","Sort=A","Dates=H","DateFormat=P","Fill=—","Direction=H","UseDPDF=Y")</f>
        <v>485.79500000000002</v>
      </c>
      <c r="Z16" s="19">
        <f>_xll.BDH("SRPT US Equity","BS_INVENTORIES","FQ3 2024","FQ3 2024","Currency=USD","Period=FQ","BEST_FPERIOD_OVERRIDE=FQ","FILING_STATUS=MR","SCALING_FORMAT=MLN","Sort=A","Dates=H","DateFormat=P","Fill=—","Direction=H","UseDPDF=Y")</f>
        <v>565.92399999999998</v>
      </c>
      <c r="AA16" s="19">
        <f>_xll.BDH("SRPT US Equity","BS_INVENTORIES","FQ4 2024","FQ4 2024","Currency=USD","Period=FQ","BEST_FPERIOD_OVERRIDE=FQ","FILING_STATUS=MR","SCALING_FORMAT=MLN","Sort=A","Dates=H","DateFormat=P","Fill=—","Direction=H","UseDPDF=Y")</f>
        <v>749.96</v>
      </c>
    </row>
    <row r="17" spans="1:27" x14ac:dyDescent="0.25">
      <c r="A17" s="10" t="s">
        <v>1562</v>
      </c>
      <c r="B17" s="10" t="s">
        <v>706</v>
      </c>
      <c r="C17" s="13">
        <f>_xll.BDH("SRPT US Equity","INVTRY_RAW_MATERIALS","FQ4 2018","FQ4 2018","Currency=USD","Period=FQ","BEST_FPERIOD_OVERRIDE=FQ","FILING_STATUS=MR","SCALING_FORMAT=MLN","Sort=A","Dates=H","DateFormat=P","Fill=—","Direction=H","UseDPDF=Y")</f>
        <v>71.313000000000002</v>
      </c>
      <c r="D17" s="13">
        <f>_xll.BDH("SRPT US Equity","INVTRY_RAW_MATERIALS","FQ1 2019","FQ1 2019","Currency=USD","Period=FQ","BEST_FPERIOD_OVERRIDE=FQ","FILING_STATUS=MR","SCALING_FORMAT=MLN","Sort=A","Dates=H","DateFormat=P","Fill=—","Direction=H","UseDPDF=Y")</f>
        <v>70.271000000000001</v>
      </c>
      <c r="E17" s="13">
        <f>_xll.BDH("SRPT US Equity","INVTRY_RAW_MATERIALS","FQ2 2019","FQ2 2019","Currency=USD","Period=FQ","BEST_FPERIOD_OVERRIDE=FQ","FILING_STATUS=MR","SCALING_FORMAT=MLN","Sort=A","Dates=H","DateFormat=P","Fill=—","Direction=H","UseDPDF=Y")</f>
        <v>72.126000000000005</v>
      </c>
      <c r="F17" s="13">
        <f>_xll.BDH("SRPT US Equity","INVTRY_RAW_MATERIALS","FQ3 2019","FQ3 2019","Currency=USD","Period=FQ","BEST_FPERIOD_OVERRIDE=FQ","FILING_STATUS=MR","SCALING_FORMAT=MLN","Sort=A","Dates=H","DateFormat=P","Fill=—","Direction=H","UseDPDF=Y")</f>
        <v>74.076999999999998</v>
      </c>
      <c r="G17" s="13">
        <f>_xll.BDH("SRPT US Equity","INVTRY_RAW_MATERIALS","FQ4 2019","FQ4 2019","Currency=USD","Period=FQ","BEST_FPERIOD_OVERRIDE=FQ","FILING_STATUS=MR","SCALING_FORMAT=MLN","Sort=A","Dates=H","DateFormat=P","Fill=—","Direction=H","UseDPDF=Y")</f>
        <v>82.03</v>
      </c>
      <c r="H17" s="13">
        <f>_xll.BDH("SRPT US Equity","INVTRY_RAW_MATERIALS","FQ1 2020","FQ1 2020","Currency=USD","Period=FQ","BEST_FPERIOD_OVERRIDE=FQ","FILING_STATUS=MR","SCALING_FORMAT=MLN","Sort=A","Dates=H","DateFormat=P","Fill=—","Direction=H","UseDPDF=Y")</f>
        <v>81.736000000000004</v>
      </c>
      <c r="I17" s="13">
        <f>_xll.BDH("SRPT US Equity","INVTRY_RAW_MATERIALS","FQ2 2020","FQ2 2020","Currency=USD","Period=FQ","BEST_FPERIOD_OVERRIDE=FQ","FILING_STATUS=MR","SCALING_FORMAT=MLN","Sort=A","Dates=H","DateFormat=P","Fill=—","Direction=H","UseDPDF=Y")</f>
        <v>75.980999999999995</v>
      </c>
      <c r="J17" s="13">
        <f>_xll.BDH("SRPT US Equity","INVTRY_RAW_MATERIALS","FQ3 2020","FQ3 2020","Currency=USD","Period=FQ","BEST_FPERIOD_OVERRIDE=FQ","FILING_STATUS=MR","SCALING_FORMAT=MLN","Sort=A","Dates=H","DateFormat=P","Fill=—","Direction=H","UseDPDF=Y")</f>
        <v>80.135000000000005</v>
      </c>
      <c r="K17" s="13">
        <f>_xll.BDH("SRPT US Equity","INVTRY_RAW_MATERIALS","FQ4 2020","FQ4 2020","Currency=USD","Period=FQ","BEST_FPERIOD_OVERRIDE=FQ","FILING_STATUS=MR","SCALING_FORMAT=MLN","Sort=A","Dates=H","DateFormat=P","Fill=—","Direction=H","UseDPDF=Y")</f>
        <v>71.716999999999999</v>
      </c>
      <c r="L17" s="13">
        <f>_xll.BDH("SRPT US Equity","INVTRY_RAW_MATERIALS","FQ1 2021","FQ1 2021","Currency=USD","Period=FQ","BEST_FPERIOD_OVERRIDE=FQ","FILING_STATUS=MR","SCALING_FORMAT=MLN","Sort=A","Dates=H","DateFormat=P","Fill=—","Direction=H","UseDPDF=Y")</f>
        <v>62.244</v>
      </c>
      <c r="M17" s="13">
        <f>_xll.BDH("SRPT US Equity","INVTRY_RAW_MATERIALS","FQ2 2021","FQ2 2021","Currency=USD","Period=FQ","BEST_FPERIOD_OVERRIDE=FQ","FILING_STATUS=MR","SCALING_FORMAT=MLN","Sort=A","Dates=H","DateFormat=P","Fill=—","Direction=H","UseDPDF=Y")</f>
        <v>47.774000000000001</v>
      </c>
      <c r="N17" s="13">
        <f>_xll.BDH("SRPT US Equity","INVTRY_RAW_MATERIALS","FQ3 2021","FQ3 2021","Currency=USD","Period=FQ","BEST_FPERIOD_OVERRIDE=FQ","FILING_STATUS=MR","SCALING_FORMAT=MLN","Sort=A","Dates=H","DateFormat=P","Fill=—","Direction=H","UseDPDF=Y")</f>
        <v>40.155999999999999</v>
      </c>
      <c r="O17" s="13" t="str">
        <f>_xll.BDH("SRPT US Equity","INVTRY_RAW_MATERIALS","FQ4 2021","FQ4 2021","Currency=USD","Period=FQ","BEST_FPERIOD_OVERRIDE=FQ","FILING_STATUS=MR","SCALING_FORMAT=MLN","Sort=A","Dates=H","DateFormat=P","Fill=—","Direction=H","UseDPDF=Y")</f>
        <v>—</v>
      </c>
      <c r="P17" s="13">
        <f>_xll.BDH("SRPT US Equity","INVTRY_RAW_MATERIALS","FQ1 2022","FQ1 2022","Currency=USD","Period=FQ","BEST_FPERIOD_OVERRIDE=FQ","FILING_STATUS=MR","SCALING_FORMAT=MLN","Sort=A","Dates=H","DateFormat=P","Fill=—","Direction=H","UseDPDF=Y")</f>
        <v>41.271000000000001</v>
      </c>
      <c r="Q17" s="13">
        <f>_xll.BDH("SRPT US Equity","INVTRY_RAW_MATERIALS","FQ2 2022","FQ2 2022","Currency=USD","Period=FQ","BEST_FPERIOD_OVERRIDE=FQ","FILING_STATUS=MR","SCALING_FORMAT=MLN","Sort=A","Dates=H","DateFormat=P","Fill=—","Direction=H","UseDPDF=Y")</f>
        <v>42.398000000000003</v>
      </c>
      <c r="R17" s="13">
        <f>_xll.BDH("SRPT US Equity","INVTRY_RAW_MATERIALS","FQ3 2022","FQ3 2022","Currency=USD","Period=FQ","BEST_FPERIOD_OVERRIDE=FQ","FILING_STATUS=MR","SCALING_FORMAT=MLN","Sort=A","Dates=H","DateFormat=P","Fill=—","Direction=H","UseDPDF=Y")</f>
        <v>57.981000000000002</v>
      </c>
      <c r="S17" s="13" t="str">
        <f>_xll.BDH("SRPT US Equity","INVTRY_RAW_MATERIALS","FQ4 2022","FQ4 2022","Currency=USD","Period=FQ","BEST_FPERIOD_OVERRIDE=FQ","FILING_STATUS=MR","SCALING_FORMAT=MLN","Sort=A","Dates=H","DateFormat=P","Fill=—","Direction=H","UseDPDF=Y")</f>
        <v>—</v>
      </c>
      <c r="T17" s="13">
        <f>_xll.BDH("SRPT US Equity","INVTRY_RAW_MATERIALS","FQ1 2023","FQ1 2023","Currency=USD","Period=FQ","BEST_FPERIOD_OVERRIDE=FQ","FILING_STATUS=MR","SCALING_FORMAT=MLN","Sort=A","Dates=H","DateFormat=P","Fill=—","Direction=H","UseDPDF=Y")</f>
        <v>84.474999999999994</v>
      </c>
      <c r="U17" s="13">
        <f>_xll.BDH("SRPT US Equity","INVTRY_RAW_MATERIALS","FQ2 2023","FQ2 2023","Currency=USD","Period=FQ","BEST_FPERIOD_OVERRIDE=FQ","FILING_STATUS=MR","SCALING_FORMAT=MLN","Sort=A","Dates=H","DateFormat=P","Fill=—","Direction=H","UseDPDF=Y")</f>
        <v>102.83799999999999</v>
      </c>
      <c r="V17" s="13">
        <f>_xll.BDH("SRPT US Equity","INVTRY_RAW_MATERIALS","FQ3 2023","FQ3 2023","Currency=USD","Period=FQ","BEST_FPERIOD_OVERRIDE=FQ","FILING_STATUS=MR","SCALING_FORMAT=MLN","Sort=A","Dates=H","DateFormat=P","Fill=—","Direction=H","UseDPDF=Y")</f>
        <v>114.622</v>
      </c>
      <c r="W17" s="13" t="str">
        <f>_xll.BDH("SRPT US Equity","INVTRY_RAW_MATERIALS","FQ4 2023","FQ4 2023","Currency=USD","Period=FQ","BEST_FPERIOD_OVERRIDE=FQ","FILING_STATUS=MR","SCALING_FORMAT=MLN","Sort=A","Dates=H","DateFormat=P","Fill=—","Direction=H","UseDPDF=Y")</f>
        <v>—</v>
      </c>
      <c r="X17" s="13">
        <f>_xll.BDH("SRPT US Equity","INVTRY_RAW_MATERIALS","FQ1 2024","FQ1 2024","Currency=USD","Period=FQ","BEST_FPERIOD_OVERRIDE=FQ","FILING_STATUS=MR","SCALING_FORMAT=MLN","Sort=A","Dates=H","DateFormat=P","Fill=—","Direction=H","UseDPDF=Y")</f>
        <v>150.011</v>
      </c>
      <c r="Y17" s="13">
        <f>_xll.BDH("SRPT US Equity","INVTRY_RAW_MATERIALS","FQ2 2024","FQ2 2024","Currency=USD","Period=FQ","BEST_FPERIOD_OVERRIDE=FQ","FILING_STATUS=MR","SCALING_FORMAT=MLN","Sort=A","Dates=H","DateFormat=P","Fill=—","Direction=H","UseDPDF=Y")</f>
        <v>167.20099999999999</v>
      </c>
      <c r="Z17" s="13">
        <f>_xll.BDH("SRPT US Equity","INVTRY_RAW_MATERIALS","FQ3 2024","FQ3 2024","Currency=USD","Period=FQ","BEST_FPERIOD_OVERRIDE=FQ","FILING_STATUS=MR","SCALING_FORMAT=MLN","Sort=A","Dates=H","DateFormat=P","Fill=—","Direction=H","UseDPDF=Y")</f>
        <v>208.32</v>
      </c>
      <c r="AA17" s="13">
        <f>_xll.BDH("SRPT US Equity","INVTRY_RAW_MATERIALS","FQ4 2024","FQ4 2024","Currency=USD","Period=FQ","BEST_FPERIOD_OVERRIDE=FQ","FILING_STATUS=MR","SCALING_FORMAT=MLN","Sort=A","Dates=H","DateFormat=P","Fill=—","Direction=H","UseDPDF=Y")</f>
        <v>280.04500000000002</v>
      </c>
    </row>
    <row r="18" spans="1:27" x14ac:dyDescent="0.25">
      <c r="A18" s="10" t="s">
        <v>1563</v>
      </c>
      <c r="B18" s="10" t="s">
        <v>708</v>
      </c>
      <c r="C18" s="13">
        <f>_xll.BDH("SRPT US Equity","INVTRY_IN_PROGRESS","FQ4 2018","FQ4 2018","Currency=USD","Period=FQ","BEST_FPERIOD_OVERRIDE=FQ","FILING_STATUS=MR","SCALING_FORMAT=MLN","Sort=A","Dates=H","DateFormat=P","Fill=—","Direction=H","UseDPDF=Y")</f>
        <v>47.279000000000003</v>
      </c>
      <c r="D18" s="13">
        <f>_xll.BDH("SRPT US Equity","INVTRY_IN_PROGRESS","FQ1 2019","FQ1 2019","Currency=USD","Period=FQ","BEST_FPERIOD_OVERRIDE=FQ","FILING_STATUS=MR","SCALING_FORMAT=MLN","Sort=A","Dates=H","DateFormat=P","Fill=—","Direction=H","UseDPDF=Y")</f>
        <v>66.884</v>
      </c>
      <c r="E18" s="13">
        <f>_xll.BDH("SRPT US Equity","INVTRY_IN_PROGRESS","FQ2 2019","FQ2 2019","Currency=USD","Period=FQ","BEST_FPERIOD_OVERRIDE=FQ","FILING_STATUS=MR","SCALING_FORMAT=MLN","Sort=A","Dates=H","DateFormat=P","Fill=—","Direction=H","UseDPDF=Y")</f>
        <v>78.353999999999999</v>
      </c>
      <c r="F18" s="13">
        <f>_xll.BDH("SRPT US Equity","INVTRY_IN_PROGRESS","FQ3 2019","FQ3 2019","Currency=USD","Period=FQ","BEST_FPERIOD_OVERRIDE=FQ","FILING_STATUS=MR","SCALING_FORMAT=MLN","Sort=A","Dates=H","DateFormat=P","Fill=—","Direction=H","UseDPDF=Y")</f>
        <v>90.489000000000004</v>
      </c>
      <c r="G18" s="13">
        <f>_xll.BDH("SRPT US Equity","INVTRY_IN_PROGRESS","FQ4 2019","FQ4 2019","Currency=USD","Period=FQ","BEST_FPERIOD_OVERRIDE=FQ","FILING_STATUS=MR","SCALING_FORMAT=MLN","Sort=A","Dates=H","DateFormat=P","Fill=—","Direction=H","UseDPDF=Y")</f>
        <v>88.031000000000006</v>
      </c>
      <c r="H18" s="13">
        <f>_xll.BDH("SRPT US Equity","INVTRY_IN_PROGRESS","FQ1 2020","FQ1 2020","Currency=USD","Period=FQ","BEST_FPERIOD_OVERRIDE=FQ","FILING_STATUS=MR","SCALING_FORMAT=MLN","Sort=A","Dates=H","DateFormat=P","Fill=—","Direction=H","UseDPDF=Y")</f>
        <v>84.521000000000001</v>
      </c>
      <c r="I18" s="13">
        <f>_xll.BDH("SRPT US Equity","INVTRY_IN_PROGRESS","FQ2 2020","FQ2 2020","Currency=USD","Period=FQ","BEST_FPERIOD_OVERRIDE=FQ","FILING_STATUS=MR","SCALING_FORMAT=MLN","Sort=A","Dates=H","DateFormat=P","Fill=—","Direction=H","UseDPDF=Y")</f>
        <v>100.04600000000001</v>
      </c>
      <c r="J18" s="13">
        <f>_xll.BDH("SRPT US Equity","INVTRY_IN_PROGRESS","FQ3 2020","FQ3 2020","Currency=USD","Period=FQ","BEST_FPERIOD_OVERRIDE=FQ","FILING_STATUS=MR","SCALING_FORMAT=MLN","Sort=A","Dates=H","DateFormat=P","Fill=—","Direction=H","UseDPDF=Y")</f>
        <v>135.43</v>
      </c>
      <c r="K18" s="13">
        <f>_xll.BDH("SRPT US Equity","INVTRY_IN_PROGRESS","FQ4 2020","FQ4 2020","Currency=USD","Period=FQ","BEST_FPERIOD_OVERRIDE=FQ","FILING_STATUS=MR","SCALING_FORMAT=MLN","Sort=A","Dates=H","DateFormat=P","Fill=—","Direction=H","UseDPDF=Y")</f>
        <v>139.70400000000001</v>
      </c>
      <c r="L18" s="13">
        <f>_xll.BDH("SRPT US Equity","INVTRY_IN_PROGRESS","FQ1 2021","FQ1 2021","Currency=USD","Period=FQ","BEST_FPERIOD_OVERRIDE=FQ","FILING_STATUS=MR","SCALING_FORMAT=MLN","Sort=A","Dates=H","DateFormat=P","Fill=—","Direction=H","UseDPDF=Y")</f>
        <v>149.81100000000001</v>
      </c>
      <c r="M18" s="13">
        <f>_xll.BDH("SRPT US Equity","INVTRY_IN_PROGRESS","FQ2 2021","FQ2 2021","Currency=USD","Period=FQ","BEST_FPERIOD_OVERRIDE=FQ","FILING_STATUS=MR","SCALING_FORMAT=MLN","Sort=A","Dates=H","DateFormat=P","Fill=—","Direction=H","UseDPDF=Y")</f>
        <v>191.511</v>
      </c>
      <c r="N18" s="13">
        <f>_xll.BDH("SRPT US Equity","INVTRY_IN_PROGRESS","FQ3 2021","FQ3 2021","Currency=USD","Period=FQ","BEST_FPERIOD_OVERRIDE=FQ","FILING_STATUS=MR","SCALING_FORMAT=MLN","Sort=A","Dates=H","DateFormat=P","Fill=—","Direction=H","UseDPDF=Y")</f>
        <v>221.47900000000001</v>
      </c>
      <c r="O18" s="13" t="str">
        <f>_xll.BDH("SRPT US Equity","INVTRY_IN_PROGRESS","FQ4 2021","FQ4 2021","Currency=USD","Period=FQ","BEST_FPERIOD_OVERRIDE=FQ","FILING_STATUS=MR","SCALING_FORMAT=MLN","Sort=A","Dates=H","DateFormat=P","Fill=—","Direction=H","UseDPDF=Y")</f>
        <v>—</v>
      </c>
      <c r="P18" s="13">
        <f>_xll.BDH("SRPT US Equity","INVTRY_IN_PROGRESS","FQ1 2022","FQ1 2022","Currency=USD","Period=FQ","BEST_FPERIOD_OVERRIDE=FQ","FILING_STATUS=MR","SCALING_FORMAT=MLN","Sort=A","Dates=H","DateFormat=P","Fill=—","Direction=H","UseDPDF=Y")</f>
        <v>245.273</v>
      </c>
      <c r="Q18" s="13">
        <f>_xll.BDH("SRPT US Equity","INVTRY_IN_PROGRESS","FQ2 2022","FQ2 2022","Currency=USD","Period=FQ","BEST_FPERIOD_OVERRIDE=FQ","FILING_STATUS=MR","SCALING_FORMAT=MLN","Sort=A","Dates=H","DateFormat=P","Fill=—","Direction=H","UseDPDF=Y")</f>
        <v>253.2</v>
      </c>
      <c r="R18" s="13">
        <f>_xll.BDH("SRPT US Equity","INVTRY_IN_PROGRESS","FQ3 2022","FQ3 2022","Currency=USD","Period=FQ","BEST_FPERIOD_OVERRIDE=FQ","FILING_STATUS=MR","SCALING_FORMAT=MLN","Sort=A","Dates=H","DateFormat=P","Fill=—","Direction=H","UseDPDF=Y")</f>
        <v>250.39099999999999</v>
      </c>
      <c r="S18" s="13" t="str">
        <f>_xll.BDH("SRPT US Equity","INVTRY_IN_PROGRESS","FQ4 2022","FQ4 2022","Currency=USD","Period=FQ","BEST_FPERIOD_OVERRIDE=FQ","FILING_STATUS=MR","SCALING_FORMAT=MLN","Sort=A","Dates=H","DateFormat=P","Fill=—","Direction=H","UseDPDF=Y")</f>
        <v>—</v>
      </c>
      <c r="T18" s="13">
        <f>_xll.BDH("SRPT US Equity","INVTRY_IN_PROGRESS","FQ1 2023","FQ1 2023","Currency=USD","Period=FQ","BEST_FPERIOD_OVERRIDE=FQ","FILING_STATUS=MR","SCALING_FORMAT=MLN","Sort=A","Dates=H","DateFormat=P","Fill=—","Direction=H","UseDPDF=Y")</f>
        <v>239.65700000000001</v>
      </c>
      <c r="U18" s="13">
        <f>_xll.BDH("SRPT US Equity","INVTRY_IN_PROGRESS","FQ2 2023","FQ2 2023","Currency=USD","Period=FQ","BEST_FPERIOD_OVERRIDE=FQ","FILING_STATUS=MR","SCALING_FORMAT=MLN","Sort=A","Dates=H","DateFormat=P","Fill=—","Direction=H","UseDPDF=Y")</f>
        <v>243.06100000000001</v>
      </c>
      <c r="V18" s="13">
        <f>_xll.BDH("SRPT US Equity","INVTRY_IN_PROGRESS","FQ3 2023","FQ3 2023","Currency=USD","Period=FQ","BEST_FPERIOD_OVERRIDE=FQ","FILING_STATUS=MR","SCALING_FORMAT=MLN","Sort=A","Dates=H","DateFormat=P","Fill=—","Direction=H","UseDPDF=Y")</f>
        <v>258.25799999999998</v>
      </c>
      <c r="W18" s="13" t="str">
        <f>_xll.BDH("SRPT US Equity","INVTRY_IN_PROGRESS","FQ4 2023","FQ4 2023","Currency=USD","Period=FQ","BEST_FPERIOD_OVERRIDE=FQ","FILING_STATUS=MR","SCALING_FORMAT=MLN","Sort=A","Dates=H","DateFormat=P","Fill=—","Direction=H","UseDPDF=Y")</f>
        <v>—</v>
      </c>
      <c r="X18" s="13">
        <f>_xll.BDH("SRPT US Equity","INVTRY_IN_PROGRESS","FQ1 2024","FQ1 2024","Currency=USD","Period=FQ","BEST_FPERIOD_OVERRIDE=FQ","FILING_STATUS=MR","SCALING_FORMAT=MLN","Sort=A","Dates=H","DateFormat=P","Fill=—","Direction=H","UseDPDF=Y")</f>
        <v>391.55799999999999</v>
      </c>
      <c r="Y18" s="13">
        <f>_xll.BDH("SRPT US Equity","INVTRY_IN_PROGRESS","FQ2 2024","FQ2 2024","Currency=USD","Period=FQ","BEST_FPERIOD_OVERRIDE=FQ","FILING_STATUS=MR","SCALING_FORMAT=MLN","Sort=A","Dates=H","DateFormat=P","Fill=—","Direction=H","UseDPDF=Y")</f>
        <v>470.38099999999997</v>
      </c>
      <c r="Z18" s="13">
        <f>_xll.BDH("SRPT US Equity","INVTRY_IN_PROGRESS","FQ3 2024","FQ3 2024","Currency=USD","Period=FQ","BEST_FPERIOD_OVERRIDE=FQ","FILING_STATUS=MR","SCALING_FORMAT=MLN","Sort=A","Dates=H","DateFormat=P","Fill=—","Direction=H","UseDPDF=Y")</f>
        <v>482.17099999999999</v>
      </c>
      <c r="AA18" s="13">
        <f>_xll.BDH("SRPT US Equity","INVTRY_IN_PROGRESS","FQ4 2024","FQ4 2024","Currency=USD","Period=FQ","BEST_FPERIOD_OVERRIDE=FQ","FILING_STATUS=MR","SCALING_FORMAT=MLN","Sort=A","Dates=H","DateFormat=P","Fill=—","Direction=H","UseDPDF=Y")</f>
        <v>610.69200000000001</v>
      </c>
    </row>
    <row r="19" spans="1:27" x14ac:dyDescent="0.25">
      <c r="A19" s="10" t="s">
        <v>1564</v>
      </c>
      <c r="B19" s="10" t="s">
        <v>710</v>
      </c>
      <c r="C19" s="13">
        <f>_xll.BDH("SRPT US Equity","INVTRY_FINISHED_GOODS","FQ4 2018","FQ4 2018","Currency=USD","Period=FQ","BEST_FPERIOD_OVERRIDE=FQ","FILING_STATUS=MR","SCALING_FORMAT=MLN","Sort=A","Dates=H","DateFormat=P","Fill=—","Direction=H","UseDPDF=Y")</f>
        <v>6.8529999999999998</v>
      </c>
      <c r="D19" s="13">
        <f>_xll.BDH("SRPT US Equity","INVTRY_FINISHED_GOODS","FQ1 2019","FQ1 2019","Currency=USD","Period=FQ","BEST_FPERIOD_OVERRIDE=FQ","FILING_STATUS=MR","SCALING_FORMAT=MLN","Sort=A","Dates=H","DateFormat=P","Fill=—","Direction=H","UseDPDF=Y")</f>
        <v>3.3119999999999998</v>
      </c>
      <c r="E19" s="13">
        <f>_xll.BDH("SRPT US Equity","INVTRY_FINISHED_GOODS","FQ2 2019","FQ2 2019","Currency=USD","Period=FQ","BEST_FPERIOD_OVERRIDE=FQ","FILING_STATUS=MR","SCALING_FORMAT=MLN","Sort=A","Dates=H","DateFormat=P","Fill=—","Direction=H","UseDPDF=Y")</f>
        <v>6.0890000000000004</v>
      </c>
      <c r="F19" s="13">
        <f>_xll.BDH("SRPT US Equity","INVTRY_FINISHED_GOODS","FQ3 2019","FQ3 2019","Currency=USD","Period=FQ","BEST_FPERIOD_OVERRIDE=FQ","FILING_STATUS=MR","SCALING_FORMAT=MLN","Sort=A","Dates=H","DateFormat=P","Fill=—","Direction=H","UseDPDF=Y")</f>
        <v>1.794</v>
      </c>
      <c r="G19" s="13">
        <f>_xll.BDH("SRPT US Equity","INVTRY_FINISHED_GOODS","FQ4 2019","FQ4 2019","Currency=USD","Period=FQ","BEST_FPERIOD_OVERRIDE=FQ","FILING_STATUS=MR","SCALING_FORMAT=MLN","Sort=A","Dates=H","DateFormat=P","Fill=—","Direction=H","UseDPDF=Y")</f>
        <v>1.3180000000000001</v>
      </c>
      <c r="H19" s="13">
        <f>_xll.BDH("SRPT US Equity","INVTRY_FINISHED_GOODS","FQ1 2020","FQ1 2020","Currency=USD","Period=FQ","BEST_FPERIOD_OVERRIDE=FQ","FILING_STATUS=MR","SCALING_FORMAT=MLN","Sort=A","Dates=H","DateFormat=P","Fill=—","Direction=H","UseDPDF=Y")</f>
        <v>6.9109999999999996</v>
      </c>
      <c r="I19" s="13">
        <f>_xll.BDH("SRPT US Equity","INVTRY_FINISHED_GOODS","FQ2 2020","FQ2 2020","Currency=USD","Period=FQ","BEST_FPERIOD_OVERRIDE=FQ","FILING_STATUS=MR","SCALING_FORMAT=MLN","Sort=A","Dates=H","DateFormat=P","Fill=—","Direction=H","UseDPDF=Y")</f>
        <v>3.6230000000000002</v>
      </c>
      <c r="J19" s="13">
        <f>_xll.BDH("SRPT US Equity","INVTRY_FINISHED_GOODS","FQ3 2020","FQ3 2020","Currency=USD","Period=FQ","BEST_FPERIOD_OVERRIDE=FQ","FILING_STATUS=MR","SCALING_FORMAT=MLN","Sort=A","Dates=H","DateFormat=P","Fill=—","Direction=H","UseDPDF=Y")</f>
        <v>4.5529999999999999</v>
      </c>
      <c r="K19" s="13">
        <f>_xll.BDH("SRPT US Equity","INVTRY_FINISHED_GOODS","FQ4 2020","FQ4 2020","Currency=USD","Period=FQ","BEST_FPERIOD_OVERRIDE=FQ","FILING_STATUS=MR","SCALING_FORMAT=MLN","Sort=A","Dates=H","DateFormat=P","Fill=—","Direction=H","UseDPDF=Y")</f>
        <v>20.54</v>
      </c>
      <c r="L19" s="13">
        <f>_xll.BDH("SRPT US Equity","INVTRY_FINISHED_GOODS","FQ1 2021","FQ1 2021","Currency=USD","Period=FQ","BEST_FPERIOD_OVERRIDE=FQ","FILING_STATUS=MR","SCALING_FORMAT=MLN","Sort=A","Dates=H","DateFormat=P","Fill=—","Direction=H","UseDPDF=Y")</f>
        <v>28.277999999999999</v>
      </c>
      <c r="M19" s="13">
        <f>_xll.BDH("SRPT US Equity","INVTRY_FINISHED_GOODS","FQ2 2021","FQ2 2021","Currency=USD","Period=FQ","BEST_FPERIOD_OVERRIDE=FQ","FILING_STATUS=MR","SCALING_FORMAT=MLN","Sort=A","Dates=H","DateFormat=P","Fill=—","Direction=H","UseDPDF=Y")</f>
        <v>29.471</v>
      </c>
      <c r="N19" s="13">
        <f>_xll.BDH("SRPT US Equity","INVTRY_FINISHED_GOODS","FQ3 2021","FQ3 2021","Currency=USD","Period=FQ","BEST_FPERIOD_OVERRIDE=FQ","FILING_STATUS=MR","SCALING_FORMAT=MLN","Sort=A","Dates=H","DateFormat=P","Fill=—","Direction=H","UseDPDF=Y")</f>
        <v>26.834</v>
      </c>
      <c r="O19" s="13" t="str">
        <f>_xll.BDH("SRPT US Equity","INVTRY_FINISHED_GOODS","FQ4 2021","FQ4 2021","Currency=USD","Period=FQ","BEST_FPERIOD_OVERRIDE=FQ","FILING_STATUS=MR","SCALING_FORMAT=MLN","Sort=A","Dates=H","DateFormat=P","Fill=—","Direction=H","UseDPDF=Y")</f>
        <v>—</v>
      </c>
      <c r="P19" s="13">
        <f>_xll.BDH("SRPT US Equity","INVTRY_FINISHED_GOODS","FQ1 2022","FQ1 2022","Currency=USD","Period=FQ","BEST_FPERIOD_OVERRIDE=FQ","FILING_STATUS=MR","SCALING_FORMAT=MLN","Sort=A","Dates=H","DateFormat=P","Fill=—","Direction=H","UseDPDF=Y")</f>
        <v>33.875999999999998</v>
      </c>
      <c r="Q19" s="13">
        <f>_xll.BDH("SRPT US Equity","INVTRY_FINISHED_GOODS","FQ2 2022","FQ2 2022","Currency=USD","Period=FQ","BEST_FPERIOD_OVERRIDE=FQ","FILING_STATUS=MR","SCALING_FORMAT=MLN","Sort=A","Dates=H","DateFormat=P","Fill=—","Direction=H","UseDPDF=Y")</f>
        <v>35.499000000000002</v>
      </c>
      <c r="R19" s="13">
        <f>_xll.BDH("SRPT US Equity","INVTRY_FINISHED_GOODS","FQ3 2022","FQ3 2022","Currency=USD","Period=FQ","BEST_FPERIOD_OVERRIDE=FQ","FILING_STATUS=MR","SCALING_FORMAT=MLN","Sort=A","Dates=H","DateFormat=P","Fill=—","Direction=H","UseDPDF=Y")</f>
        <v>49.261000000000003</v>
      </c>
      <c r="S19" s="13" t="str">
        <f>_xll.BDH("SRPT US Equity","INVTRY_FINISHED_GOODS","FQ4 2022","FQ4 2022","Currency=USD","Period=FQ","BEST_FPERIOD_OVERRIDE=FQ","FILING_STATUS=MR","SCALING_FORMAT=MLN","Sort=A","Dates=H","DateFormat=P","Fill=—","Direction=H","UseDPDF=Y")</f>
        <v>—</v>
      </c>
      <c r="T19" s="13">
        <f>_xll.BDH("SRPT US Equity","INVTRY_FINISHED_GOODS","FQ1 2023","FQ1 2023","Currency=USD","Period=FQ","BEST_FPERIOD_OVERRIDE=FQ","FILING_STATUS=MR","SCALING_FORMAT=MLN","Sort=A","Dates=H","DateFormat=P","Fill=—","Direction=H","UseDPDF=Y")</f>
        <v>42.686999999999998</v>
      </c>
      <c r="U19" s="13">
        <f>_xll.BDH("SRPT US Equity","INVTRY_FINISHED_GOODS","FQ2 2023","FQ2 2023","Currency=USD","Period=FQ","BEST_FPERIOD_OVERRIDE=FQ","FILING_STATUS=MR","SCALING_FORMAT=MLN","Sort=A","Dates=H","DateFormat=P","Fill=—","Direction=H","UseDPDF=Y")</f>
        <v>47.612000000000002</v>
      </c>
      <c r="V19" s="13">
        <f>_xll.BDH("SRPT US Equity","INVTRY_FINISHED_GOODS","FQ3 2023","FQ3 2023","Currency=USD","Period=FQ","BEST_FPERIOD_OVERRIDE=FQ","FILING_STATUS=MR","SCALING_FORMAT=MLN","Sort=A","Dates=H","DateFormat=P","Fill=—","Direction=H","UseDPDF=Y")</f>
        <v>47.243000000000002</v>
      </c>
      <c r="W19" s="13" t="str">
        <f>_xll.BDH("SRPT US Equity","INVTRY_FINISHED_GOODS","FQ4 2023","FQ4 2023","Currency=USD","Period=FQ","BEST_FPERIOD_OVERRIDE=FQ","FILING_STATUS=MR","SCALING_FORMAT=MLN","Sort=A","Dates=H","DateFormat=P","Fill=—","Direction=H","UseDPDF=Y")</f>
        <v>—</v>
      </c>
      <c r="X19" s="13">
        <f>_xll.BDH("SRPT US Equity","INVTRY_FINISHED_GOODS","FQ1 2024","FQ1 2024","Currency=USD","Period=FQ","BEST_FPERIOD_OVERRIDE=FQ","FILING_STATUS=MR","SCALING_FORMAT=MLN","Sort=A","Dates=H","DateFormat=P","Fill=—","Direction=H","UseDPDF=Y")</f>
        <v>39.503</v>
      </c>
      <c r="Y19" s="13">
        <f>_xll.BDH("SRPT US Equity","INVTRY_FINISHED_GOODS","FQ2 2024","FQ2 2024","Currency=USD","Period=FQ","BEST_FPERIOD_OVERRIDE=FQ","FILING_STATUS=MR","SCALING_FORMAT=MLN","Sort=A","Dates=H","DateFormat=P","Fill=—","Direction=H","UseDPDF=Y")</f>
        <v>52.904000000000003</v>
      </c>
      <c r="Z19" s="13">
        <f>_xll.BDH("SRPT US Equity","INVTRY_FINISHED_GOODS","FQ3 2024","FQ3 2024","Currency=USD","Period=FQ","BEST_FPERIOD_OVERRIDE=FQ","FILING_STATUS=MR","SCALING_FORMAT=MLN","Sort=A","Dates=H","DateFormat=P","Fill=—","Direction=H","UseDPDF=Y")</f>
        <v>77.983000000000004</v>
      </c>
      <c r="AA19" s="13">
        <f>_xll.BDH("SRPT US Equity","INVTRY_FINISHED_GOODS","FQ4 2024","FQ4 2024","Currency=USD","Period=FQ","BEST_FPERIOD_OVERRIDE=FQ","FILING_STATUS=MR","SCALING_FORMAT=MLN","Sort=A","Dates=H","DateFormat=P","Fill=—","Direction=H","UseDPDF=Y")</f>
        <v>47.209000000000003</v>
      </c>
    </row>
    <row r="20" spans="1:27" x14ac:dyDescent="0.25">
      <c r="A20" s="10" t="s">
        <v>1565</v>
      </c>
      <c r="B20" s="10" t="s">
        <v>712</v>
      </c>
      <c r="C20" s="13">
        <f>_xll.BDH("SRPT US Equity","BS_OTHER_INV","FQ4 2018","FQ4 2018","Currency=USD","Period=FQ","BEST_FPERIOD_OVERRIDE=FQ","FILING_STATUS=MR","SCALING_FORMAT=MLN","Sort=A","Dates=H","DateFormat=P","Fill=—","Direction=H","UseDPDF=Y")</f>
        <v>0</v>
      </c>
      <c r="D20" s="13">
        <f>_xll.BDH("SRPT US Equity","BS_OTHER_INV","FQ1 2019","FQ1 2019","Currency=USD","Period=FQ","BEST_FPERIOD_OVERRIDE=FQ","FILING_STATUS=MR","SCALING_FORMAT=MLN","Sort=A","Dates=H","DateFormat=P","Fill=—","Direction=H","UseDPDF=Y")</f>
        <v>0</v>
      </c>
      <c r="E20" s="13">
        <f>_xll.BDH("SRPT US Equity","BS_OTHER_INV","FQ2 2019","FQ2 2019","Currency=USD","Period=FQ","BEST_FPERIOD_OVERRIDE=FQ","FILING_STATUS=MR","SCALING_FORMAT=MLN","Sort=A","Dates=H","DateFormat=P","Fill=—","Direction=H","UseDPDF=Y")</f>
        <v>0</v>
      </c>
      <c r="F20" s="13">
        <f>_xll.BDH("SRPT US Equity","BS_OTHER_INV","FQ3 2019","FQ3 2019","Currency=USD","Period=FQ","BEST_FPERIOD_OVERRIDE=FQ","FILING_STATUS=MR","SCALING_FORMAT=MLN","Sort=A","Dates=H","DateFormat=P","Fill=—","Direction=H","UseDPDF=Y")</f>
        <v>0</v>
      </c>
      <c r="G20" s="13">
        <f>_xll.BDH("SRPT US Equity","BS_OTHER_INV","FQ4 2019","FQ4 2019","Currency=USD","Period=FQ","BEST_FPERIOD_OVERRIDE=FQ","FILING_STATUS=MR","SCALING_FORMAT=MLN","Sort=A","Dates=H","DateFormat=P","Fill=—","Direction=H","UseDPDF=Y")</f>
        <v>0</v>
      </c>
      <c r="H20" s="13">
        <f>_xll.BDH("SRPT US Equity","BS_OTHER_INV","FQ1 2020","FQ1 2020","Currency=USD","Period=FQ","BEST_FPERIOD_OVERRIDE=FQ","FILING_STATUS=MR","SCALING_FORMAT=MLN","Sort=A","Dates=H","DateFormat=P","Fill=—","Direction=H","UseDPDF=Y")</f>
        <v>0</v>
      </c>
      <c r="I20" s="13">
        <f>_xll.BDH("SRPT US Equity","BS_OTHER_INV","FQ2 2020","FQ2 2020","Currency=USD","Period=FQ","BEST_FPERIOD_OVERRIDE=FQ","FILING_STATUS=MR","SCALING_FORMAT=MLN","Sort=A","Dates=H","DateFormat=P","Fill=—","Direction=H","UseDPDF=Y")</f>
        <v>0</v>
      </c>
      <c r="J20" s="13">
        <f>_xll.BDH("SRPT US Equity","BS_OTHER_INV","FQ3 2020","FQ3 2020","Currency=USD","Period=FQ","BEST_FPERIOD_OVERRIDE=FQ","FILING_STATUS=MR","SCALING_FORMAT=MLN","Sort=A","Dates=H","DateFormat=P","Fill=—","Direction=H","UseDPDF=Y")</f>
        <v>0</v>
      </c>
      <c r="K20" s="13">
        <f>_xll.BDH("SRPT US Equity","BS_OTHER_INV","FQ4 2020","FQ4 2020","Currency=USD","Period=FQ","BEST_FPERIOD_OVERRIDE=FQ","FILING_STATUS=MR","SCALING_FORMAT=MLN","Sort=A","Dates=H","DateFormat=P","Fill=—","Direction=H","UseDPDF=Y")</f>
        <v>0</v>
      </c>
      <c r="L20" s="13">
        <f>_xll.BDH("SRPT US Equity","BS_OTHER_INV","FQ1 2021","FQ1 2021","Currency=USD","Period=FQ","BEST_FPERIOD_OVERRIDE=FQ","FILING_STATUS=MR","SCALING_FORMAT=MLN","Sort=A","Dates=H","DateFormat=P","Fill=—","Direction=H","UseDPDF=Y")</f>
        <v>0</v>
      </c>
      <c r="M20" s="13">
        <f>_xll.BDH("SRPT US Equity","BS_OTHER_INV","FQ2 2021","FQ2 2021","Currency=USD","Period=FQ","BEST_FPERIOD_OVERRIDE=FQ","FILING_STATUS=MR","SCALING_FORMAT=MLN","Sort=A","Dates=H","DateFormat=P","Fill=—","Direction=H","UseDPDF=Y")</f>
        <v>0</v>
      </c>
      <c r="N20" s="13">
        <f>_xll.BDH("SRPT US Equity","BS_OTHER_INV","FQ3 2021","FQ3 2021","Currency=USD","Period=FQ","BEST_FPERIOD_OVERRIDE=FQ","FILING_STATUS=MR","SCALING_FORMAT=MLN","Sort=A","Dates=H","DateFormat=P","Fill=—","Direction=H","UseDPDF=Y")</f>
        <v>0</v>
      </c>
      <c r="O20" s="13" t="str">
        <f>_xll.BDH("SRPT US Equity","BS_OTHER_INV","FQ4 2021","FQ4 2021","Currency=USD","Period=FQ","BEST_FPERIOD_OVERRIDE=FQ","FILING_STATUS=MR","SCALING_FORMAT=MLN","Sort=A","Dates=H","DateFormat=P","Fill=—","Direction=H","UseDPDF=Y")</f>
        <v>—</v>
      </c>
      <c r="P20" s="13">
        <f>_xll.BDH("SRPT US Equity","BS_OTHER_INV","FQ1 2022","FQ1 2022","Currency=USD","Period=FQ","BEST_FPERIOD_OVERRIDE=FQ","FILING_STATUS=MR","SCALING_FORMAT=MLN","Sort=A","Dates=H","DateFormat=P","Fill=—","Direction=H","UseDPDF=Y")</f>
        <v>-121.423</v>
      </c>
      <c r="Q20" s="13">
        <f>_xll.BDH("SRPT US Equity","BS_OTHER_INV","FQ2 2022","FQ2 2022","Currency=USD","Period=FQ","BEST_FPERIOD_OVERRIDE=FQ","FILING_STATUS=MR","SCALING_FORMAT=MLN","Sort=A","Dates=H","DateFormat=P","Fill=—","Direction=H","UseDPDF=Y")</f>
        <v>-123.002</v>
      </c>
      <c r="R20" s="13">
        <f>_xll.BDH("SRPT US Equity","BS_OTHER_INV","FQ3 2022","FQ3 2022","Currency=USD","Period=FQ","BEST_FPERIOD_OVERRIDE=FQ","FILING_STATUS=MR","SCALING_FORMAT=MLN","Sort=A","Dates=H","DateFormat=P","Fill=—","Direction=H","UseDPDF=Y")</f>
        <v>-136.441</v>
      </c>
      <c r="S20" s="13" t="str">
        <f>_xll.BDH("SRPT US Equity","BS_OTHER_INV","FQ4 2022","FQ4 2022","Currency=USD","Period=FQ","BEST_FPERIOD_OVERRIDE=FQ","FILING_STATUS=MR","SCALING_FORMAT=MLN","Sort=A","Dates=H","DateFormat=P","Fill=—","Direction=H","UseDPDF=Y")</f>
        <v>—</v>
      </c>
      <c r="T20" s="13">
        <f>_xll.BDH("SRPT US Equity","BS_OTHER_INV","FQ1 2023","FQ1 2023","Currency=USD","Period=FQ","BEST_FPERIOD_OVERRIDE=FQ","FILING_STATUS=MR","SCALING_FORMAT=MLN","Sort=A","Dates=H","DateFormat=P","Fill=—","Direction=H","UseDPDF=Y")</f>
        <v>-164.14400000000001</v>
      </c>
      <c r="U20" s="13">
        <f>_xll.BDH("SRPT US Equity","BS_OTHER_INV","FQ2 2023","FQ2 2023","Currency=USD","Period=FQ","BEST_FPERIOD_OVERRIDE=FQ","FILING_STATUS=MR","SCALING_FORMAT=MLN","Sort=A","Dates=H","DateFormat=P","Fill=—","Direction=H","UseDPDF=Y")</f>
        <v>-166.63499999999999</v>
      </c>
      <c r="V20" s="13">
        <f>_xll.BDH("SRPT US Equity","BS_OTHER_INV","FQ3 2023","FQ3 2023","Currency=USD","Period=FQ","BEST_FPERIOD_OVERRIDE=FQ","FILING_STATUS=MR","SCALING_FORMAT=MLN","Sort=A","Dates=H","DateFormat=P","Fill=—","Direction=H","UseDPDF=Y")</f>
        <v>-176.11199999999999</v>
      </c>
      <c r="W20" s="13" t="str">
        <f>_xll.BDH("SRPT US Equity","BS_OTHER_INV","FQ4 2023","FQ4 2023","Currency=USD","Period=FQ","BEST_FPERIOD_OVERRIDE=FQ","FILING_STATUS=MR","SCALING_FORMAT=MLN","Sort=A","Dates=H","DateFormat=P","Fill=—","Direction=H","UseDPDF=Y")</f>
        <v>—</v>
      </c>
      <c r="X20" s="13">
        <f>_xll.BDH("SRPT US Equity","BS_OTHER_INV","FQ1 2024","FQ1 2024","Currency=USD","Period=FQ","BEST_FPERIOD_OVERRIDE=FQ","FILING_STATUS=MR","SCALING_FORMAT=MLN","Sort=A","Dates=H","DateFormat=P","Fill=—","Direction=H","UseDPDF=Y")</f>
        <v>-207.542</v>
      </c>
      <c r="Y20" s="13">
        <f>_xll.BDH("SRPT US Equity","BS_OTHER_INV","FQ2 2024","FQ2 2024","Currency=USD","Period=FQ","BEST_FPERIOD_OVERRIDE=FQ","FILING_STATUS=MR","SCALING_FORMAT=MLN","Sort=A","Dates=H","DateFormat=P","Fill=—","Direction=H","UseDPDF=Y")</f>
        <v>-204.691</v>
      </c>
      <c r="Z20" s="13">
        <f>_xll.BDH("SRPT US Equity","BS_OTHER_INV","FQ3 2024","FQ3 2024","Currency=USD","Period=FQ","BEST_FPERIOD_OVERRIDE=FQ","FILING_STATUS=MR","SCALING_FORMAT=MLN","Sort=A","Dates=H","DateFormat=P","Fill=—","Direction=H","UseDPDF=Y")</f>
        <v>-202.55</v>
      </c>
      <c r="AA20" s="13">
        <f>_xll.BDH("SRPT US Equity","BS_OTHER_INV","FQ4 2024","FQ4 2024","Currency=USD","Period=FQ","BEST_FPERIOD_OVERRIDE=FQ","FILING_STATUS=MR","SCALING_FORMAT=MLN","Sort=A","Dates=H","DateFormat=P","Fill=—","Direction=H","UseDPDF=Y")</f>
        <v>-187.98599999999999</v>
      </c>
    </row>
    <row r="21" spans="1:27" x14ac:dyDescent="0.25">
      <c r="A21" s="7" t="s">
        <v>90</v>
      </c>
      <c r="B21" s="7"/>
      <c r="C21" s="7" t="s">
        <v>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44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1566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94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31</v>
      </c>
      <c r="AA4" s="4" t="s">
        <v>32</v>
      </c>
    </row>
    <row r="5" spans="1:27" x14ac:dyDescent="0.25">
      <c r="A5" s="9" t="s">
        <v>34</v>
      </c>
      <c r="B5" s="9"/>
      <c r="C5" s="5" t="s">
        <v>96</v>
      </c>
      <c r="D5" s="5" t="s">
        <v>35</v>
      </c>
      <c r="E5" s="5" t="s">
        <v>36</v>
      </c>
      <c r="F5" s="5" t="s">
        <v>37</v>
      </c>
      <c r="G5" s="5" t="s">
        <v>38</v>
      </c>
      <c r="H5" s="5" t="s">
        <v>39</v>
      </c>
      <c r="I5" s="5" t="s">
        <v>40</v>
      </c>
      <c r="J5" s="5" t="s">
        <v>41</v>
      </c>
      <c r="K5" s="5" t="s">
        <v>42</v>
      </c>
      <c r="L5" s="5" t="s">
        <v>43</v>
      </c>
      <c r="M5" s="5" t="s">
        <v>44</v>
      </c>
      <c r="N5" s="5" t="s">
        <v>45</v>
      </c>
      <c r="O5" s="5" t="s">
        <v>46</v>
      </c>
      <c r="P5" s="5" t="s">
        <v>47</v>
      </c>
      <c r="Q5" s="5" t="s">
        <v>48</v>
      </c>
      <c r="R5" s="5" t="s">
        <v>49</v>
      </c>
      <c r="S5" s="5" t="s">
        <v>50</v>
      </c>
      <c r="T5" s="5" t="s">
        <v>51</v>
      </c>
      <c r="U5" s="5" t="s">
        <v>52</v>
      </c>
      <c r="V5" s="5" t="s">
        <v>53</v>
      </c>
      <c r="W5" s="5" t="s">
        <v>54</v>
      </c>
      <c r="X5" s="5" t="s">
        <v>55</v>
      </c>
      <c r="Y5" s="5" t="s">
        <v>56</v>
      </c>
      <c r="Z5" s="5" t="s">
        <v>57</v>
      </c>
      <c r="AA5" s="5" t="s">
        <v>58</v>
      </c>
    </row>
    <row r="6" spans="1:27" x14ac:dyDescent="0.25">
      <c r="A6" s="6" t="s">
        <v>1567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1568</v>
      </c>
      <c r="B7" s="10" t="s">
        <v>1569</v>
      </c>
      <c r="C7" s="13">
        <f>_xll.BDH("SRPT US Equity","TRAIL_12M_CASH_FROM_OPER","FQ1 2019","FQ1 2019","Currency=USD","Period=FQ","BEST_FPERIOD_OVERRIDE=FQ","FILING_STATUS=MR","SCALING_FORMAT=MLN","Sort=A","Dates=H","DateFormat=P","Fill=—","Direction=H","UseDPDF=Y")</f>
        <v>-499.22500000000002</v>
      </c>
      <c r="D7" s="13">
        <f>_xll.BDH("SRPT US Equity","TRAIL_12M_CASH_FROM_OPER","FQ2 2019","FQ2 2019","Currency=USD","Period=FQ","BEST_FPERIOD_OVERRIDE=FQ","FILING_STATUS=MR","SCALING_FORMAT=MLN","Sort=A","Dates=H","DateFormat=P","Fill=—","Direction=H","UseDPDF=Y")</f>
        <v>-460.97500000000002</v>
      </c>
      <c r="E7" s="13">
        <f>_xll.BDH("SRPT US Equity","TRAIL_12M_CASH_FROM_OPER","FQ3 2019","FQ3 2019","Currency=USD","Period=FQ","BEST_FPERIOD_OVERRIDE=FQ","FILING_STATUS=MR","SCALING_FORMAT=MLN","Sort=A","Dates=H","DateFormat=P","Fill=—","Direction=H","UseDPDF=Y")</f>
        <v>-415.08800000000002</v>
      </c>
      <c r="F7" s="13">
        <f>_xll.BDH("SRPT US Equity","TRAIL_12M_CASH_FROM_OPER","FQ4 2019","FQ4 2019","Currency=USD","Period=FQ","BEST_FPERIOD_OVERRIDE=FQ","FILING_STATUS=MR","SCALING_FORMAT=MLN","Sort=A","Dates=H","DateFormat=P","Fill=—","Direction=H","UseDPDF=Y")</f>
        <v>-456.46300000000002</v>
      </c>
      <c r="G7" s="13">
        <f>_xll.BDH("SRPT US Equity","TRAIL_12M_CASH_FROM_OPER","FQ1 2020","FQ1 2020","Currency=USD","Period=FQ","BEST_FPERIOD_OVERRIDE=FQ","FILING_STATUS=MR","SCALING_FORMAT=MLN","Sort=A","Dates=H","DateFormat=P","Fill=—","Direction=H","UseDPDF=Y")</f>
        <v>317.56</v>
      </c>
      <c r="H7" s="13">
        <f>_xll.BDH("SRPT US Equity","TRAIL_12M_CASH_FROM_OPER","FQ2 2020","FQ2 2020","Currency=USD","Period=FQ","BEST_FPERIOD_OVERRIDE=FQ","FILING_STATUS=MR","SCALING_FORMAT=MLN","Sort=A","Dates=H","DateFormat=P","Fill=—","Direction=H","UseDPDF=Y")</f>
        <v>288.96100000000001</v>
      </c>
      <c r="I7" s="13">
        <f>_xll.BDH("SRPT US Equity","TRAIL_12M_CASH_FROM_OPER","FQ3 2020","FQ3 2020","Currency=USD","Period=FQ","BEST_FPERIOD_OVERRIDE=FQ","FILING_STATUS=MR","SCALING_FORMAT=MLN","Sort=A","Dates=H","DateFormat=P","Fill=—","Direction=H","UseDPDF=Y")</f>
        <v>118.206</v>
      </c>
      <c r="J7" s="13">
        <f>_xll.BDH("SRPT US Equity","TRAIL_12M_CASH_FROM_OPER","FQ4 2020","FQ4 2020","Currency=USD","Period=FQ","BEST_FPERIOD_OVERRIDE=FQ","FILING_STATUS=MR","SCALING_FORMAT=MLN","Sort=A","Dates=H","DateFormat=P","Fill=—","Direction=H","UseDPDF=Y")</f>
        <v>107.46599999999999</v>
      </c>
      <c r="K7" s="13">
        <f>_xll.BDH("SRPT US Equity","TRAIL_12M_CASH_FROM_OPER","FQ1 2021","FQ1 2021","Currency=USD","Period=FQ","BEST_FPERIOD_OVERRIDE=FQ","FILING_STATUS=MR","SCALING_FORMAT=MLN","Sort=A","Dates=H","DateFormat=P","Fill=—","Direction=H","UseDPDF=Y")</f>
        <v>-700.69500000000005</v>
      </c>
      <c r="L7" s="13">
        <f>_xll.BDH("SRPT US Equity","TRAIL_12M_CASH_FROM_OPER","FQ2 2021","FQ2 2021","Currency=USD","Period=FQ","BEST_FPERIOD_OVERRIDE=FQ","FILING_STATUS=MR","SCALING_FORMAT=MLN","Sort=A","Dates=H","DateFormat=P","Fill=—","Direction=H","UseDPDF=Y")</f>
        <v>-702.23800000000006</v>
      </c>
      <c r="M7" s="13">
        <f>_xll.BDH("SRPT US Equity","TRAIL_12M_CASH_FROM_OPER","FQ3 2021","FQ3 2021","Currency=USD","Period=FQ","BEST_FPERIOD_OVERRIDE=FQ","FILING_STATUS=MR","SCALING_FORMAT=MLN","Sort=A","Dates=H","DateFormat=P","Fill=—","Direction=H","UseDPDF=Y")</f>
        <v>-588.38099999999997</v>
      </c>
      <c r="N7" s="13">
        <f>_xll.BDH("SRPT US Equity","TRAIL_12M_CASH_FROM_OPER","FQ4 2021","FQ4 2021","Currency=USD","Period=FQ","BEST_FPERIOD_OVERRIDE=FQ","FILING_STATUS=MR","SCALING_FORMAT=MLN","Sort=A","Dates=H","DateFormat=P","Fill=—","Direction=H","UseDPDF=Y")</f>
        <v>-443.17200000000003</v>
      </c>
      <c r="O7" s="13">
        <f>_xll.BDH("SRPT US Equity","TRAIL_12M_CASH_FROM_OPER","FQ1 2022","FQ1 2022","Currency=USD","Period=FQ","BEST_FPERIOD_OVERRIDE=FQ","FILING_STATUS=MR","SCALING_FORMAT=MLN","Sort=A","Dates=H","DateFormat=P","Fill=—","Direction=H","UseDPDF=Y")</f>
        <v>-363.976</v>
      </c>
      <c r="P7" s="13">
        <f>_xll.BDH("SRPT US Equity","TRAIL_12M_CASH_FROM_OPER","FQ2 2022","FQ2 2022","Currency=USD","Period=FQ","BEST_FPERIOD_OVERRIDE=FQ","FILING_STATUS=MR","SCALING_FORMAT=MLN","Sort=A","Dates=H","DateFormat=P","Fill=—","Direction=H","UseDPDF=Y")</f>
        <v>-321.64499999999998</v>
      </c>
      <c r="Q7" s="13">
        <f>_xll.BDH("SRPT US Equity","TRAIL_12M_CASH_FROM_OPER","FQ3 2022","FQ3 2022","Currency=USD","Period=FQ","BEST_FPERIOD_OVERRIDE=FQ","FILING_STATUS=MR","SCALING_FORMAT=MLN","Sort=A","Dates=H","DateFormat=P","Fill=—","Direction=H","UseDPDF=Y")</f>
        <v>-262.27999999999997</v>
      </c>
      <c r="R7" s="13">
        <f>_xll.BDH("SRPT US Equity","TRAIL_12M_CASH_FROM_OPER","FQ4 2022","FQ4 2022","Currency=USD","Period=FQ","BEST_FPERIOD_OVERRIDE=FQ","FILING_STATUS=MR","SCALING_FORMAT=MLN","Sort=A","Dates=H","DateFormat=P","Fill=—","Direction=H","UseDPDF=Y")</f>
        <v>-325.346</v>
      </c>
      <c r="S7" s="13">
        <f>_xll.BDH("SRPT US Equity","TRAIL_12M_CASH_FROM_OPER","FQ1 2023","FQ1 2023","Currency=USD","Period=FQ","BEST_FPERIOD_OVERRIDE=FQ","FILING_STATUS=MR","SCALING_FORMAT=MLN","Sort=A","Dates=H","DateFormat=P","Fill=—","Direction=H","UseDPDF=Y")</f>
        <v>-433.56700000000001</v>
      </c>
      <c r="T7" s="13">
        <f>_xll.BDH("SRPT US Equity","TRAIL_12M_CASH_FROM_OPER","FQ2 2023","FQ2 2023","Currency=USD","Period=FQ","BEST_FPERIOD_OVERRIDE=FQ","FILING_STATUS=MR","SCALING_FORMAT=MLN","Sort=A","Dates=H","DateFormat=P","Fill=—","Direction=H","UseDPDF=Y")</f>
        <v>-488.98599999999999</v>
      </c>
      <c r="U7" s="13">
        <f>_xll.BDH("SRPT US Equity","TRAIL_12M_CASH_FROM_OPER","FQ3 2023","FQ3 2023","Currency=USD","Period=FQ","BEST_FPERIOD_OVERRIDE=FQ","FILING_STATUS=MR","SCALING_FORMAT=MLN","Sort=A","Dates=H","DateFormat=P","Fill=—","Direction=H","UseDPDF=Y")</f>
        <v>-538.72799999999995</v>
      </c>
      <c r="V7" s="13">
        <f>_xll.BDH("SRPT US Equity","TRAIL_12M_CASH_FROM_OPER","FQ4 2023","FQ4 2023","Currency=USD","Period=FQ","BEST_FPERIOD_OVERRIDE=FQ","FILING_STATUS=MR","SCALING_FORMAT=MLN","Sort=A","Dates=H","DateFormat=P","Fill=—","Direction=H","UseDPDF=Y")</f>
        <v>-500.99299999999999</v>
      </c>
      <c r="W7" s="13">
        <f>_xll.BDH("SRPT US Equity","TRAIL_12M_CASH_FROM_OPER","FQ1 2024","FQ1 2024","Currency=USD","Period=FQ","BEST_FPERIOD_OVERRIDE=FQ","FILING_STATUS=MR","SCALING_FORMAT=MLN","Sort=A","Dates=H","DateFormat=P","Fill=—","Direction=H","UseDPDF=Y")</f>
        <v>-533.673</v>
      </c>
      <c r="X7" s="13">
        <f>_xll.BDH("SRPT US Equity","TRAIL_12M_CASH_FROM_OPER","FQ2 2024","FQ2 2024","Currency=USD","Period=FQ","BEST_FPERIOD_OVERRIDE=FQ","FILING_STATUS=MR","SCALING_FORMAT=MLN","Sort=A","Dates=H","DateFormat=P","Fill=—","Direction=H","UseDPDF=Y")</f>
        <v>-396.49700000000001</v>
      </c>
      <c r="Y7" s="13">
        <f>_xll.BDH("SRPT US Equity","TRAIL_12M_CASH_FROM_OPER","FQ3 2024","FQ3 2024","Currency=USD","Period=FQ","BEST_FPERIOD_OVERRIDE=FQ","FILING_STATUS=MR","SCALING_FORMAT=MLN","Sort=A","Dates=H","DateFormat=P","Fill=—","Direction=H","UseDPDF=Y")</f>
        <v>-352.49</v>
      </c>
      <c r="Z7" s="13">
        <f>_xll.BDH("SRPT US Equity","TRAIL_12M_CASH_FROM_OPER","FQ4 2024","FQ4 2024","Currency=USD","Period=FQ","BEST_FPERIOD_OVERRIDE=FQ","FILING_STATUS=MR","SCALING_FORMAT=MLN","Sort=A","Dates=H","DateFormat=P","Fill=—","Direction=H","UseDPDF=Y")</f>
        <v>-205.78700000000001</v>
      </c>
      <c r="AA7" s="13">
        <v>1699.941</v>
      </c>
    </row>
    <row r="8" spans="1:27" x14ac:dyDescent="0.25">
      <c r="A8" s="10" t="s">
        <v>1570</v>
      </c>
      <c r="B8" s="10" t="s">
        <v>1571</v>
      </c>
      <c r="C8" s="13">
        <f>_xll.BDH("SRPT US Equity","TRAIL_12M_CAP_EXPEND","FQ1 2019","FQ1 2019","Currency=USD","Period=FQ","BEST_FPERIOD_OVERRIDE=FQ","FILING_STATUS=MR","SCALING_FORMAT=MLN","Sort=A","Dates=H","DateFormat=P","Fill=—","Direction=H","UseDPDF=Y")</f>
        <v>-65.254000000000005</v>
      </c>
      <c r="D8" s="13">
        <f>_xll.BDH("SRPT US Equity","TRAIL_12M_CAP_EXPEND","FQ2 2019","FQ2 2019","Currency=USD","Period=FQ","BEST_FPERIOD_OVERRIDE=FQ","FILING_STATUS=MR","SCALING_FORMAT=MLN","Sort=A","Dates=H","DateFormat=P","Fill=—","Direction=H","UseDPDF=Y")</f>
        <v>-73.239000000000004</v>
      </c>
      <c r="E8" s="13">
        <f>_xll.BDH("SRPT US Equity","TRAIL_12M_CAP_EXPEND","FQ3 2019","FQ3 2019","Currency=USD","Period=FQ","BEST_FPERIOD_OVERRIDE=FQ","FILING_STATUS=MR","SCALING_FORMAT=MLN","Sort=A","Dates=H","DateFormat=P","Fill=—","Direction=H","UseDPDF=Y")</f>
        <v>-62.576999999999998</v>
      </c>
      <c r="F8" s="13">
        <f>_xll.BDH("SRPT US Equity","TRAIL_12M_CAP_EXPEND","FQ4 2019","FQ4 2019","Currency=USD","Period=FQ","BEST_FPERIOD_OVERRIDE=FQ","FILING_STATUS=MR","SCALING_FORMAT=MLN","Sort=A","Dates=H","DateFormat=P","Fill=—","Direction=H","UseDPDF=Y")</f>
        <v>-59.631</v>
      </c>
      <c r="G8" s="13">
        <f>_xll.BDH("SRPT US Equity","TRAIL_12M_CAP_EXPEND","FQ1 2020","FQ1 2020","Currency=USD","Period=FQ","BEST_FPERIOD_OVERRIDE=FQ","FILING_STATUS=MR","SCALING_FORMAT=MLN","Sort=A","Dates=H","DateFormat=P","Fill=—","Direction=H","UseDPDF=Y")</f>
        <v>-52.488</v>
      </c>
      <c r="H8" s="13">
        <f>_xll.BDH("SRPT US Equity","TRAIL_12M_CAP_EXPEND","FQ2 2020","FQ2 2020","Currency=USD","Period=FQ","BEST_FPERIOD_OVERRIDE=FQ","FILING_STATUS=MR","SCALING_FORMAT=MLN","Sort=A","Dates=H","DateFormat=P","Fill=—","Direction=H","UseDPDF=Y")</f>
        <v>-54.975000000000001</v>
      </c>
      <c r="I8" s="13">
        <f>_xll.BDH("SRPT US Equity","TRAIL_12M_CAP_EXPEND","FQ3 2020","FQ3 2020","Currency=USD","Period=FQ","BEST_FPERIOD_OVERRIDE=FQ","FILING_STATUS=MR","SCALING_FORMAT=MLN","Sort=A","Dates=H","DateFormat=P","Fill=—","Direction=H","UseDPDF=Y")</f>
        <v>-70.849000000000004</v>
      </c>
      <c r="J8" s="13">
        <f>_xll.BDH("SRPT US Equity","TRAIL_12M_CAP_EXPEND","FQ4 2020","FQ4 2020","Currency=USD","Period=FQ","BEST_FPERIOD_OVERRIDE=FQ","FILING_STATUS=MR","SCALING_FORMAT=MLN","Sort=A","Dates=H","DateFormat=P","Fill=—","Direction=H","UseDPDF=Y")</f>
        <v>-79.605999999999995</v>
      </c>
      <c r="K8" s="13">
        <f>_xll.BDH("SRPT US Equity","TRAIL_12M_CAP_EXPEND","FQ1 2021","FQ1 2021","Currency=USD","Period=FQ","BEST_FPERIOD_OVERRIDE=FQ","FILING_STATUS=MR","SCALING_FORMAT=MLN","Sort=A","Dates=H","DateFormat=P","Fill=—","Direction=H","UseDPDF=Y")</f>
        <v>-91.635000000000005</v>
      </c>
      <c r="L8" s="13">
        <f>_xll.BDH("SRPT US Equity","TRAIL_12M_CAP_EXPEND","FQ2 2021","FQ2 2021","Currency=USD","Period=FQ","BEST_FPERIOD_OVERRIDE=FQ","FILING_STATUS=MR","SCALING_FORMAT=MLN","Sort=A","Dates=H","DateFormat=P","Fill=—","Direction=H","UseDPDF=Y")</f>
        <v>-78.36</v>
      </c>
      <c r="M8" s="13">
        <f>_xll.BDH("SRPT US Equity","TRAIL_12M_CAP_EXPEND","FQ3 2021","FQ3 2021","Currency=USD","Period=FQ","BEST_FPERIOD_OVERRIDE=FQ","FILING_STATUS=MR","SCALING_FORMAT=MLN","Sort=A","Dates=H","DateFormat=P","Fill=—","Direction=H","UseDPDF=Y")</f>
        <v>-62.298000000000002</v>
      </c>
      <c r="N8" s="13">
        <f>_xll.BDH("SRPT US Equity","TRAIL_12M_CAP_EXPEND","FQ4 2021","FQ4 2021","Currency=USD","Period=FQ","BEST_FPERIOD_OVERRIDE=FQ","FILING_STATUS=MR","SCALING_FORMAT=MLN","Sort=A","Dates=H","DateFormat=P","Fill=—","Direction=H","UseDPDF=Y")</f>
        <v>-38.49</v>
      </c>
      <c r="O8" s="13">
        <f>_xll.BDH("SRPT US Equity","TRAIL_12M_CAP_EXPEND","FQ1 2022","FQ1 2022","Currency=USD","Period=FQ","BEST_FPERIOD_OVERRIDE=FQ","FILING_STATUS=MR","SCALING_FORMAT=MLN","Sort=A","Dates=H","DateFormat=P","Fill=—","Direction=H","UseDPDF=Y")</f>
        <v>-22.891999999999999</v>
      </c>
      <c r="P8" s="13">
        <f>_xll.BDH("SRPT US Equity","TRAIL_12M_CAP_EXPEND","FQ2 2022","FQ2 2022","Currency=USD","Period=FQ","BEST_FPERIOD_OVERRIDE=FQ","FILING_STATUS=MR","SCALING_FORMAT=MLN","Sort=A","Dates=H","DateFormat=P","Fill=—","Direction=H","UseDPDF=Y")</f>
        <v>-26.076000000000001</v>
      </c>
      <c r="Q8" s="13">
        <f>_xll.BDH("SRPT US Equity","TRAIL_12M_CAP_EXPEND","FQ3 2022","FQ3 2022","Currency=USD","Period=FQ","BEST_FPERIOD_OVERRIDE=FQ","FILING_STATUS=MR","SCALING_FORMAT=MLN","Sort=A","Dates=H","DateFormat=P","Fill=—","Direction=H","UseDPDF=Y")</f>
        <v>-25.065999999999999</v>
      </c>
      <c r="R8" s="13">
        <f>_xll.BDH("SRPT US Equity","TRAIL_12M_CAP_EXPEND","FQ4 2022","FQ4 2022","Currency=USD","Period=FQ","BEST_FPERIOD_OVERRIDE=FQ","FILING_STATUS=MR","SCALING_FORMAT=MLN","Sort=A","Dates=H","DateFormat=P","Fill=—","Direction=H","UseDPDF=Y")</f>
        <v>-29.599</v>
      </c>
      <c r="S8" s="13">
        <f>_xll.BDH("SRPT US Equity","TRAIL_12M_CAP_EXPEND","FQ1 2023","FQ1 2023","Currency=USD","Period=FQ","BEST_FPERIOD_OVERRIDE=FQ","FILING_STATUS=MR","SCALING_FORMAT=MLN","Sort=A","Dates=H","DateFormat=P","Fill=—","Direction=H","UseDPDF=Y")</f>
        <v>-33.533000000000001</v>
      </c>
      <c r="T8" s="13">
        <f>_xll.BDH("SRPT US Equity","TRAIL_12M_CAP_EXPEND","FQ2 2023","FQ2 2023","Currency=USD","Period=FQ","BEST_FPERIOD_OVERRIDE=FQ","FILING_STATUS=MR","SCALING_FORMAT=MLN","Sort=A","Dates=H","DateFormat=P","Fill=—","Direction=H","UseDPDF=Y")</f>
        <v>-42.363999999999997</v>
      </c>
      <c r="U8" s="13">
        <f>_xll.BDH("SRPT US Equity","TRAIL_12M_CAP_EXPEND","FQ3 2023","FQ3 2023","Currency=USD","Period=FQ","BEST_FPERIOD_OVERRIDE=FQ","FILING_STATUS=MR","SCALING_FORMAT=MLN","Sort=A","Dates=H","DateFormat=P","Fill=—","Direction=H","UseDPDF=Y")</f>
        <v>-63.805999999999997</v>
      </c>
      <c r="V8" s="13">
        <f>_xll.BDH("SRPT US Equity","TRAIL_12M_CAP_EXPEND","FQ4 2023","FQ4 2023","Currency=USD","Period=FQ","BEST_FPERIOD_OVERRIDE=FQ","FILING_STATUS=MR","SCALING_FORMAT=MLN","Sort=A","Dates=H","DateFormat=P","Fill=—","Direction=H","UseDPDF=Y")</f>
        <v>-76.105999999999995</v>
      </c>
      <c r="W8" s="13">
        <f>_xll.BDH("SRPT US Equity","TRAIL_12M_CAP_EXPEND","FQ1 2024","FQ1 2024","Currency=USD","Period=FQ","BEST_FPERIOD_OVERRIDE=FQ","FILING_STATUS=MR","SCALING_FORMAT=MLN","Sort=A","Dates=H","DateFormat=P","Fill=—","Direction=H","UseDPDF=Y")</f>
        <v>-99.064999999999998</v>
      </c>
      <c r="X8" s="13">
        <f>_xll.BDH("SRPT US Equity","TRAIL_12M_CAP_EXPEND","FQ2 2024","FQ2 2024","Currency=USD","Period=FQ","BEST_FPERIOD_OVERRIDE=FQ","FILING_STATUS=MR","SCALING_FORMAT=MLN","Sort=A","Dates=H","DateFormat=P","Fill=—","Direction=H","UseDPDF=Y")</f>
        <v>-110.32299999999999</v>
      </c>
      <c r="Y8" s="13">
        <f>_xll.BDH("SRPT US Equity","TRAIL_12M_CAP_EXPEND","FQ3 2024","FQ3 2024","Currency=USD","Period=FQ","BEST_FPERIOD_OVERRIDE=FQ","FILING_STATUS=MR","SCALING_FORMAT=MLN","Sort=A","Dates=H","DateFormat=P","Fill=—","Direction=H","UseDPDF=Y")</f>
        <v>-117.913</v>
      </c>
      <c r="Z8" s="13">
        <f>_xll.BDH("SRPT US Equity","TRAIL_12M_CAP_EXPEND","FQ4 2024","FQ4 2024","Currency=USD","Period=FQ","BEST_FPERIOD_OVERRIDE=FQ","FILING_STATUS=MR","SCALING_FORMAT=MLN","Sort=A","Dates=H","DateFormat=P","Fill=—","Direction=H","UseDPDF=Y")</f>
        <v>-136.95599999999999</v>
      </c>
      <c r="AA8" s="13"/>
    </row>
    <row r="9" spans="1:27" x14ac:dyDescent="0.25">
      <c r="A9" s="6" t="s">
        <v>88</v>
      </c>
      <c r="B9" s="6" t="s">
        <v>1572</v>
      </c>
      <c r="C9" s="19">
        <f>_xll.BDH("SRPT US Equity","TRAIL_12M_FREE_CASH_FLOW","FQ1 2019","FQ1 2019","Currency=USD","Period=FQ","BEST_FPERIOD_OVERRIDE=FQ","FILING_STATUS=MR","SCALING_FORMAT=MLN","Sort=A","Dates=H","DateFormat=P","Fill=—","Direction=H","UseDPDF=Y")</f>
        <v>-564.47900000000004</v>
      </c>
      <c r="D9" s="19">
        <f>_xll.BDH("SRPT US Equity","TRAIL_12M_FREE_CASH_FLOW","FQ2 2019","FQ2 2019","Currency=USD","Period=FQ","BEST_FPERIOD_OVERRIDE=FQ","FILING_STATUS=MR","SCALING_FORMAT=MLN","Sort=A","Dates=H","DateFormat=P","Fill=—","Direction=H","UseDPDF=Y")</f>
        <v>-534.21400000000006</v>
      </c>
      <c r="E9" s="19">
        <f>_xll.BDH("SRPT US Equity","TRAIL_12M_FREE_CASH_FLOW","FQ3 2019","FQ3 2019","Currency=USD","Period=FQ","BEST_FPERIOD_OVERRIDE=FQ","FILING_STATUS=MR","SCALING_FORMAT=MLN","Sort=A","Dates=H","DateFormat=P","Fill=—","Direction=H","UseDPDF=Y")</f>
        <v>-477.66500000000002</v>
      </c>
      <c r="F9" s="19">
        <f>_xll.BDH("SRPT US Equity","TRAIL_12M_FREE_CASH_FLOW","FQ4 2019","FQ4 2019","Currency=USD","Period=FQ","BEST_FPERIOD_OVERRIDE=FQ","FILING_STATUS=MR","SCALING_FORMAT=MLN","Sort=A","Dates=H","DateFormat=P","Fill=—","Direction=H","UseDPDF=Y")</f>
        <v>-516.09400000000005</v>
      </c>
      <c r="G9" s="19">
        <f>_xll.BDH("SRPT US Equity","TRAIL_12M_FREE_CASH_FLOW","FQ1 2020","FQ1 2020","Currency=USD","Period=FQ","BEST_FPERIOD_OVERRIDE=FQ","FILING_STATUS=MR","SCALING_FORMAT=MLN","Sort=A","Dates=H","DateFormat=P","Fill=—","Direction=H","UseDPDF=Y")</f>
        <v>265.072</v>
      </c>
      <c r="H9" s="19">
        <f>_xll.BDH("SRPT US Equity","TRAIL_12M_FREE_CASH_FLOW","FQ2 2020","FQ2 2020","Currency=USD","Period=FQ","BEST_FPERIOD_OVERRIDE=FQ","FILING_STATUS=MR","SCALING_FORMAT=MLN","Sort=A","Dates=H","DateFormat=P","Fill=—","Direction=H","UseDPDF=Y")</f>
        <v>233.98599999999999</v>
      </c>
      <c r="I9" s="19">
        <f>_xll.BDH("SRPT US Equity","TRAIL_12M_FREE_CASH_FLOW","FQ3 2020","FQ3 2020","Currency=USD","Period=FQ","BEST_FPERIOD_OVERRIDE=FQ","FILING_STATUS=MR","SCALING_FORMAT=MLN","Sort=A","Dates=H","DateFormat=P","Fill=—","Direction=H","UseDPDF=Y")</f>
        <v>47.356999999999999</v>
      </c>
      <c r="J9" s="19">
        <f>_xll.BDH("SRPT US Equity","TRAIL_12M_FREE_CASH_FLOW","FQ4 2020","FQ4 2020","Currency=USD","Period=FQ","BEST_FPERIOD_OVERRIDE=FQ","FILING_STATUS=MR","SCALING_FORMAT=MLN","Sort=A","Dates=H","DateFormat=P","Fill=—","Direction=H","UseDPDF=Y")</f>
        <v>27.86</v>
      </c>
      <c r="K9" s="19">
        <f>_xll.BDH("SRPT US Equity","TRAIL_12M_FREE_CASH_FLOW","FQ1 2021","FQ1 2021","Currency=USD","Period=FQ","BEST_FPERIOD_OVERRIDE=FQ","FILING_STATUS=MR","SCALING_FORMAT=MLN","Sort=A","Dates=H","DateFormat=P","Fill=—","Direction=H","UseDPDF=Y")</f>
        <v>-792.33</v>
      </c>
      <c r="L9" s="19">
        <f>_xll.BDH("SRPT US Equity","TRAIL_12M_FREE_CASH_FLOW","FQ2 2021","FQ2 2021","Currency=USD","Period=FQ","BEST_FPERIOD_OVERRIDE=FQ","FILING_STATUS=MR","SCALING_FORMAT=MLN","Sort=A","Dates=H","DateFormat=P","Fill=—","Direction=H","UseDPDF=Y")</f>
        <v>-780.59799999999996</v>
      </c>
      <c r="M9" s="19">
        <f>_xll.BDH("SRPT US Equity","TRAIL_12M_FREE_CASH_FLOW","FQ3 2021","FQ3 2021","Currency=USD","Period=FQ","BEST_FPERIOD_OVERRIDE=FQ","FILING_STATUS=MR","SCALING_FORMAT=MLN","Sort=A","Dates=H","DateFormat=P","Fill=—","Direction=H","UseDPDF=Y")</f>
        <v>-650.67899999999997</v>
      </c>
      <c r="N9" s="19">
        <f>_xll.BDH("SRPT US Equity","TRAIL_12M_FREE_CASH_FLOW","FQ4 2021","FQ4 2021","Currency=USD","Period=FQ","BEST_FPERIOD_OVERRIDE=FQ","FILING_STATUS=MR","SCALING_FORMAT=MLN","Sort=A","Dates=H","DateFormat=P","Fill=—","Direction=H","UseDPDF=Y")</f>
        <v>-481.66199999999998</v>
      </c>
      <c r="O9" s="19">
        <f>_xll.BDH("SRPT US Equity","TRAIL_12M_FREE_CASH_FLOW","FQ1 2022","FQ1 2022","Currency=USD","Period=FQ","BEST_FPERIOD_OVERRIDE=FQ","FILING_STATUS=MR","SCALING_FORMAT=MLN","Sort=A","Dates=H","DateFormat=P","Fill=—","Direction=H","UseDPDF=Y")</f>
        <v>-386.86799999999999</v>
      </c>
      <c r="P9" s="19">
        <f>_xll.BDH("SRPT US Equity","TRAIL_12M_FREE_CASH_FLOW","FQ2 2022","FQ2 2022","Currency=USD","Period=FQ","BEST_FPERIOD_OVERRIDE=FQ","FILING_STATUS=MR","SCALING_FORMAT=MLN","Sort=A","Dates=H","DateFormat=P","Fill=—","Direction=H","UseDPDF=Y")</f>
        <v>-347.721</v>
      </c>
      <c r="Q9" s="19">
        <f>_xll.BDH("SRPT US Equity","TRAIL_12M_FREE_CASH_FLOW","FQ3 2022","FQ3 2022","Currency=USD","Period=FQ","BEST_FPERIOD_OVERRIDE=FQ","FILING_STATUS=MR","SCALING_FORMAT=MLN","Sort=A","Dates=H","DateFormat=P","Fill=—","Direction=H","UseDPDF=Y")</f>
        <v>-287.346</v>
      </c>
      <c r="R9" s="19">
        <f>_xll.BDH("SRPT US Equity","TRAIL_12M_FREE_CASH_FLOW","FQ4 2022","FQ4 2022","Currency=USD","Period=FQ","BEST_FPERIOD_OVERRIDE=FQ","FILING_STATUS=MR","SCALING_FORMAT=MLN","Sort=A","Dates=H","DateFormat=P","Fill=—","Direction=H","UseDPDF=Y")</f>
        <v>-354.94499999999999</v>
      </c>
      <c r="S9" s="19">
        <f>_xll.BDH("SRPT US Equity","TRAIL_12M_FREE_CASH_FLOW","FQ1 2023","FQ1 2023","Currency=USD","Period=FQ","BEST_FPERIOD_OVERRIDE=FQ","FILING_STATUS=MR","SCALING_FORMAT=MLN","Sort=A","Dates=H","DateFormat=P","Fill=—","Direction=H","UseDPDF=Y")</f>
        <v>-467.1</v>
      </c>
      <c r="T9" s="19">
        <f>_xll.BDH("SRPT US Equity","TRAIL_12M_FREE_CASH_FLOW","FQ2 2023","FQ2 2023","Currency=USD","Period=FQ","BEST_FPERIOD_OVERRIDE=FQ","FILING_STATUS=MR","SCALING_FORMAT=MLN","Sort=A","Dates=H","DateFormat=P","Fill=—","Direction=H","UseDPDF=Y")</f>
        <v>-531.35</v>
      </c>
      <c r="U9" s="19">
        <f>_xll.BDH("SRPT US Equity","TRAIL_12M_FREE_CASH_FLOW","FQ3 2023","FQ3 2023","Currency=USD","Period=FQ","BEST_FPERIOD_OVERRIDE=FQ","FILING_STATUS=MR","SCALING_FORMAT=MLN","Sort=A","Dates=H","DateFormat=P","Fill=—","Direction=H","UseDPDF=Y")</f>
        <v>-602.53399999999999</v>
      </c>
      <c r="V9" s="19">
        <f>_xll.BDH("SRPT US Equity","TRAIL_12M_FREE_CASH_FLOW","FQ4 2023","FQ4 2023","Currency=USD","Period=FQ","BEST_FPERIOD_OVERRIDE=FQ","FILING_STATUS=MR","SCALING_FORMAT=MLN","Sort=A","Dates=H","DateFormat=P","Fill=—","Direction=H","UseDPDF=Y")</f>
        <v>-577.09900000000005</v>
      </c>
      <c r="W9" s="19">
        <f>_xll.BDH("SRPT US Equity","TRAIL_12M_FREE_CASH_FLOW","FQ1 2024","FQ1 2024","Currency=USD","Period=FQ","BEST_FPERIOD_OVERRIDE=FQ","FILING_STATUS=MR","SCALING_FORMAT=MLN","Sort=A","Dates=H","DateFormat=P","Fill=—","Direction=H","UseDPDF=Y")</f>
        <v>-632.73800000000006</v>
      </c>
      <c r="X9" s="19">
        <f>_xll.BDH("SRPT US Equity","TRAIL_12M_FREE_CASH_FLOW","FQ2 2024","FQ2 2024","Currency=USD","Period=FQ","BEST_FPERIOD_OVERRIDE=FQ","FILING_STATUS=MR","SCALING_FORMAT=MLN","Sort=A","Dates=H","DateFormat=P","Fill=—","Direction=H","UseDPDF=Y")</f>
        <v>-506.82</v>
      </c>
      <c r="Y9" s="19">
        <f>_xll.BDH("SRPT US Equity","TRAIL_12M_FREE_CASH_FLOW","FQ3 2024","FQ3 2024","Currency=USD","Period=FQ","BEST_FPERIOD_OVERRIDE=FQ","FILING_STATUS=MR","SCALING_FORMAT=MLN","Sort=A","Dates=H","DateFormat=P","Fill=—","Direction=H","UseDPDF=Y")</f>
        <v>-470.40300000000002</v>
      </c>
      <c r="Z9" s="19">
        <f>_xll.BDH("SRPT US Equity","TRAIL_12M_FREE_CASH_FLOW","FQ4 2024","FQ4 2024","Currency=USD","Period=FQ","BEST_FPERIOD_OVERRIDE=FQ","FILING_STATUS=MR","SCALING_FORMAT=MLN","Sort=A","Dates=H","DateFormat=P","Fill=—","Direction=H","UseDPDF=Y")</f>
        <v>-342.74299999999999</v>
      </c>
      <c r="AA9" s="19">
        <v>1627.508</v>
      </c>
    </row>
    <row r="10" spans="1:27" x14ac:dyDescent="0.25">
      <c r="A10" s="11" t="s">
        <v>60</v>
      </c>
      <c r="B10" s="11" t="s">
        <v>61</v>
      </c>
      <c r="C10" s="25">
        <f>_xll.BDH("SRPT US Equity","HISTORICAL_MARKET_CAP","FQ1 2019","FQ1 2019","Currency=USD","Period=FQ","BEST_FPERIOD_OVERRIDE=FQ","FILING_STATUS=MR","SCALING_FORMAT=MLN","Sort=A","Dates=H","DateFormat=P","Fill=—","Direction=H","UseDPDF=Y")</f>
        <v>8835.9743999999992</v>
      </c>
      <c r="D10" s="25">
        <f>_xll.BDH("SRPT US Equity","HISTORICAL_MARKET_CAP","FQ2 2019","FQ2 2019","Currency=USD","Period=FQ","BEST_FPERIOD_OVERRIDE=FQ","FILING_STATUS=MR","SCALING_FORMAT=MLN","Sort=A","Dates=H","DateFormat=P","Fill=—","Direction=H","UseDPDF=Y")</f>
        <v>11294.1042</v>
      </c>
      <c r="E10" s="25">
        <f>_xll.BDH("SRPT US Equity","HISTORICAL_MARKET_CAP","FQ3 2019","FQ3 2019","Currency=USD","Period=FQ","BEST_FPERIOD_OVERRIDE=FQ","FILING_STATUS=MR","SCALING_FORMAT=MLN","Sort=A","Dates=H","DateFormat=P","Fill=—","Direction=H","UseDPDF=Y")</f>
        <v>5611.7042000000001</v>
      </c>
      <c r="F10" s="25">
        <f>_xll.BDH("SRPT US Equity","HISTORICAL_MARKET_CAP","FQ4 2019","FQ4 2019","Currency=USD","Period=FQ","BEST_FPERIOD_OVERRIDE=FQ","FILING_STATUS=MR","SCALING_FORMAT=MLN","Sort=A","Dates=H","DateFormat=P","Fill=—","Direction=H","UseDPDF=Y")</f>
        <v>9701.8546999999999</v>
      </c>
      <c r="G10" s="25">
        <f>_xll.BDH("SRPT US Equity","HISTORICAL_MARKET_CAP","FQ1 2020","FQ1 2020","Currency=USD","Period=FQ","BEST_FPERIOD_OVERRIDE=FQ","FILING_STATUS=MR","SCALING_FORMAT=MLN","Sort=A","Dates=H","DateFormat=P","Fill=—","Direction=H","UseDPDF=Y")</f>
        <v>7625.8310000000001</v>
      </c>
      <c r="H10" s="25">
        <f>_xll.BDH("SRPT US Equity","HISTORICAL_MARKET_CAP","FQ2 2020","FQ2 2020","Currency=USD","Period=FQ","BEST_FPERIOD_OVERRIDE=FQ","FILING_STATUS=MR","SCALING_FORMAT=MLN","Sort=A","Dates=H","DateFormat=P","Fill=—","Direction=H","UseDPDF=Y")</f>
        <v>12575.826300000001</v>
      </c>
      <c r="I10" s="25">
        <f>_xll.BDH("SRPT US Equity","HISTORICAL_MARKET_CAP","FQ3 2020","FQ3 2020","Currency=USD","Period=FQ","BEST_FPERIOD_OVERRIDE=FQ","FILING_STATUS=MR","SCALING_FORMAT=MLN","Sort=A","Dates=H","DateFormat=P","Fill=—","Direction=H","UseDPDF=Y")</f>
        <v>11064.446</v>
      </c>
      <c r="J10" s="25">
        <f>_xll.BDH("SRPT US Equity","HISTORICAL_MARKET_CAP","FQ4 2020","FQ4 2020","Currency=USD","Period=FQ","BEST_FPERIOD_OVERRIDE=FQ","FILING_STATUS=MR","SCALING_FORMAT=MLN","Sort=A","Dates=H","DateFormat=P","Fill=—","Direction=H","UseDPDF=Y")</f>
        <v>13532.5154</v>
      </c>
      <c r="K10" s="25">
        <f>_xll.BDH("SRPT US Equity","HISTORICAL_MARKET_CAP","FQ1 2021","FQ1 2021","Currency=USD","Period=FQ","BEST_FPERIOD_OVERRIDE=FQ","FILING_STATUS=MR","SCALING_FORMAT=MLN","Sort=A","Dates=H","DateFormat=P","Fill=—","Direction=H","UseDPDF=Y")</f>
        <v>5943.6265999999996</v>
      </c>
      <c r="L10" s="25">
        <f>_xll.BDH("SRPT US Equity","HISTORICAL_MARKET_CAP","FQ2 2021","FQ2 2021","Currency=USD","Period=FQ","BEST_FPERIOD_OVERRIDE=FQ","FILING_STATUS=MR","SCALING_FORMAT=MLN","Sort=A","Dates=H","DateFormat=P","Fill=—","Direction=H","UseDPDF=Y")</f>
        <v>6206.0162</v>
      </c>
      <c r="M10" s="25">
        <f>_xll.BDH("SRPT US Equity","HISTORICAL_MARKET_CAP","FQ3 2021","FQ3 2021","Currency=USD","Period=FQ","BEST_FPERIOD_OVERRIDE=FQ","FILING_STATUS=MR","SCALING_FORMAT=MLN","Sort=A","Dates=H","DateFormat=P","Fill=—","Direction=H","UseDPDF=Y")</f>
        <v>7394.5645999999997</v>
      </c>
      <c r="N10" s="25">
        <f>_xll.BDH("SRPT US Equity","HISTORICAL_MARKET_CAP","FQ4 2021","FQ4 2021","Currency=USD","Period=FQ","BEST_FPERIOD_OVERRIDE=FQ","FILING_STATUS=MR","SCALING_FORMAT=MLN","Sort=A","Dates=H","DateFormat=P","Fill=—","Direction=H","UseDPDF=Y")</f>
        <v>7845.7839999999997</v>
      </c>
      <c r="O10" s="25">
        <f>_xll.BDH("SRPT US Equity","HISTORICAL_MARKET_CAP","FQ1 2022","FQ1 2022","Currency=USD","Period=FQ","BEST_FPERIOD_OVERRIDE=FQ","FILING_STATUS=MR","SCALING_FORMAT=MLN","Sort=A","Dates=H","DateFormat=P","Fill=—","Direction=H","UseDPDF=Y")</f>
        <v>6835.1567999999997</v>
      </c>
      <c r="P10" s="25">
        <f>_xll.BDH("SRPT US Equity","HISTORICAL_MARKET_CAP","FQ2 2022","FQ2 2022","Currency=USD","Period=FQ","BEST_FPERIOD_OVERRIDE=FQ","FILING_STATUS=MR","SCALING_FORMAT=MLN","Sort=A","Dates=H","DateFormat=P","Fill=—","Direction=H","UseDPDF=Y")</f>
        <v>6561.6459999999997</v>
      </c>
      <c r="Q10" s="25">
        <f>_xll.BDH("SRPT US Equity","HISTORICAL_MARKET_CAP","FQ3 2022","FQ3 2022","Currency=USD","Period=FQ","BEST_FPERIOD_OVERRIDE=FQ","FILING_STATUS=MR","SCALING_FORMAT=MLN","Sort=A","Dates=H","DateFormat=P","Fill=—","Direction=H","UseDPDF=Y")</f>
        <v>9701.6756000000005</v>
      </c>
      <c r="R10" s="25">
        <f>_xll.BDH("SRPT US Equity","HISTORICAL_MARKET_CAP","FQ4 2022","FQ4 2022","Currency=USD","Period=FQ","BEST_FPERIOD_OVERRIDE=FQ","FILING_STATUS=MR","SCALING_FORMAT=MLN","Sort=A","Dates=H","DateFormat=P","Fill=—","Direction=H","UseDPDF=Y")</f>
        <v>11396.5762</v>
      </c>
      <c r="S10" s="25">
        <f>_xll.BDH("SRPT US Equity","HISTORICAL_MARKET_CAP","FQ1 2023","FQ1 2023","Currency=USD","Period=FQ","BEST_FPERIOD_OVERRIDE=FQ","FILING_STATUS=MR","SCALING_FORMAT=MLN","Sort=A","Dates=H","DateFormat=P","Fill=—","Direction=H","UseDPDF=Y")</f>
        <v>12837.504800000001</v>
      </c>
      <c r="T10" s="25">
        <f>_xll.BDH("SRPT US Equity","HISTORICAL_MARKET_CAP","FQ2 2023","FQ2 2023","Currency=USD","Period=FQ","BEST_FPERIOD_OVERRIDE=FQ","FILING_STATUS=MR","SCALING_FORMAT=MLN","Sort=A","Dates=H","DateFormat=P","Fill=—","Direction=H","UseDPDF=Y")</f>
        <v>10681.6859</v>
      </c>
      <c r="U10" s="25">
        <f>_xll.BDH("SRPT US Equity","HISTORICAL_MARKET_CAP","FQ3 2023","FQ3 2023","Currency=USD","Period=FQ","BEST_FPERIOD_OVERRIDE=FQ","FILING_STATUS=MR","SCALING_FORMAT=MLN","Sort=A","Dates=H","DateFormat=P","Fill=—","Direction=H","UseDPDF=Y")</f>
        <v>11338.5982</v>
      </c>
      <c r="V10" s="25">
        <f>_xll.BDH("SRPT US Equity","HISTORICAL_MARKET_CAP","FQ4 2023","FQ4 2023","Currency=USD","Period=FQ","BEST_FPERIOD_OVERRIDE=FQ","FILING_STATUS=MR","SCALING_FORMAT=MLN","Sort=A","Dates=H","DateFormat=P","Fill=—","Direction=H","UseDPDF=Y")</f>
        <v>9038.5604999999996</v>
      </c>
      <c r="W10" s="25">
        <f>_xll.BDH("SRPT US Equity","HISTORICAL_MARKET_CAP","FQ1 2024","FQ1 2024","Currency=USD","Period=FQ","BEST_FPERIOD_OVERRIDE=FQ","FILING_STATUS=MR","SCALING_FORMAT=MLN","Sort=A","Dates=H","DateFormat=P","Fill=—","Direction=H","UseDPDF=Y")</f>
        <v>12232.6957</v>
      </c>
      <c r="X10" s="25">
        <f>_xll.BDH("SRPT US Equity","HISTORICAL_MARKET_CAP","FQ2 2024","FQ2 2024","Currency=USD","Period=FQ","BEST_FPERIOD_OVERRIDE=FQ","FILING_STATUS=MR","SCALING_FORMAT=MLN","Sort=A","Dates=H","DateFormat=P","Fill=—","Direction=H","UseDPDF=Y")</f>
        <v>15054.650799999999</v>
      </c>
      <c r="Y10" s="25">
        <f>_xll.BDH("SRPT US Equity","HISTORICAL_MARKET_CAP","FQ3 2024","FQ3 2024","Currency=USD","Period=FQ","BEST_FPERIOD_OVERRIDE=FQ","FILING_STATUS=MR","SCALING_FORMAT=MLN","Sort=A","Dates=H","DateFormat=P","Fill=—","Direction=H","UseDPDF=Y")</f>
        <v>11926.1214</v>
      </c>
      <c r="Z10" s="25">
        <f>_xll.BDH("SRPT US Equity","HISTORICAL_MARKET_CAP","FQ4 2024","FQ4 2024","Currency=USD","Period=FQ","BEST_FPERIOD_OVERRIDE=FQ","FILING_STATUS=MR","SCALING_FORMAT=MLN","Sort=A","Dates=H","DateFormat=P","Fill=—","Direction=H","UseDPDF=Y")</f>
        <v>11782.131299999999</v>
      </c>
      <c r="AA10" s="25"/>
    </row>
    <row r="11" spans="1:27" x14ac:dyDescent="0.25">
      <c r="A11" s="6" t="s">
        <v>1573</v>
      </c>
      <c r="B11" s="6" t="s">
        <v>1574</v>
      </c>
      <c r="C11" s="20">
        <f>_xll.BDH("SRPT US Equity","FREE_CASH_FLOW_YIELD","FQ1 2019","FQ1 2019","Currency=USD","Period=FQ","BEST_FPERIOD_OVERRIDE=FQ","FILING_STATUS=MR","Sort=A","Dates=H","DateFormat=P","Fill=—","Direction=H","UseDPDF=Y")</f>
        <v>-6.9478999999999997</v>
      </c>
      <c r="D11" s="20">
        <f>_xll.BDH("SRPT US Equity","FREE_CASH_FLOW_YIELD","FQ2 2019","FQ2 2019","Currency=USD","Period=FQ","BEST_FPERIOD_OVERRIDE=FQ","FILING_STATUS=MR","Sort=A","Dates=H","DateFormat=P","Fill=—","Direction=H","UseDPDF=Y")</f>
        <v>-5.0355999999999996</v>
      </c>
      <c r="E11" s="20">
        <f>_xll.BDH("SRPT US Equity","FREE_CASH_FLOW_YIELD","FQ3 2019","FQ3 2019","Currency=USD","Period=FQ","BEST_FPERIOD_OVERRIDE=FQ","FILING_STATUS=MR","Sort=A","Dates=H","DateFormat=P","Fill=—","Direction=H","UseDPDF=Y")</f>
        <v>-8.8591999999999995</v>
      </c>
      <c r="F11" s="20">
        <f>_xll.BDH("SRPT US Equity","FREE_CASH_FLOW_YIELD","FQ4 2019","FQ4 2019","Currency=USD","Period=FQ","BEST_FPERIOD_OVERRIDE=FQ","FILING_STATUS=MR","Sort=A","Dates=H","DateFormat=P","Fill=—","Direction=H","UseDPDF=Y")</f>
        <v>-5.4429999999999996</v>
      </c>
      <c r="G11" s="20">
        <f>_xll.BDH("SRPT US Equity","FREE_CASH_FLOW_YIELD","FQ1 2020","FQ1 2020","Currency=USD","Period=FQ","BEST_FPERIOD_OVERRIDE=FQ","FILING_STATUS=MR","Sort=A","Dates=H","DateFormat=P","Fill=—","Direction=H","UseDPDF=Y")</f>
        <v>3.4104000000000001</v>
      </c>
      <c r="H11" s="20">
        <f>_xll.BDH("SRPT US Equity","FREE_CASH_FLOW_YIELD","FQ2 2020","FQ2 2020","Currency=USD","Period=FQ","BEST_FPERIOD_OVERRIDE=FQ","FILING_STATUS=MR","Sort=A","Dates=H","DateFormat=P","Fill=—","Direction=H","UseDPDF=Y")</f>
        <v>1.8734999999999999</v>
      </c>
      <c r="I11" s="20">
        <f>_xll.BDH("SRPT US Equity","FREE_CASH_FLOW_YIELD","FQ3 2020","FQ3 2020","Currency=USD","Period=FQ","BEST_FPERIOD_OVERRIDE=FQ","FILING_STATUS=MR","Sort=A","Dates=H","DateFormat=P","Fill=—","Direction=H","UseDPDF=Y")</f>
        <v>0.48680000000000001</v>
      </c>
      <c r="J11" s="20">
        <f>_xll.BDH("SRPT US Equity","FREE_CASH_FLOW_YIELD","FQ4 2020","FQ4 2020","Currency=USD","Period=FQ","BEST_FPERIOD_OVERRIDE=FQ","FILING_STATUS=MR","Sort=A","Dates=H","DateFormat=P","Fill=—","Direction=H","UseDPDF=Y")</f>
        <v>0.33450000000000002</v>
      </c>
      <c r="K11" s="20">
        <f>_xll.BDH("SRPT US Equity","FREE_CASH_FLOW_YIELD","FQ1 2021","FQ1 2021","Currency=USD","Period=FQ","BEST_FPERIOD_OVERRIDE=FQ","FILING_STATUS=MR","Sort=A","Dates=H","DateFormat=P","Fill=—","Direction=H","UseDPDF=Y")</f>
        <v>-13.4985</v>
      </c>
      <c r="L11" s="20">
        <f>_xll.BDH("SRPT US Equity","FREE_CASH_FLOW_YIELD","FQ2 2021","FQ2 2021","Currency=USD","Period=FQ","BEST_FPERIOD_OVERRIDE=FQ","FILING_STATUS=MR","Sort=A","Dates=H","DateFormat=P","Fill=—","Direction=H","UseDPDF=Y")</f>
        <v>-12.7052</v>
      </c>
      <c r="M11" s="20">
        <f>_xll.BDH("SRPT US Equity","FREE_CASH_FLOW_YIELD","FQ3 2021","FQ3 2021","Currency=USD","Period=FQ","BEST_FPERIOD_OVERRIDE=FQ","FILING_STATUS=MR","Sort=A","Dates=H","DateFormat=P","Fill=—","Direction=H","UseDPDF=Y")</f>
        <v>-8.8589000000000002</v>
      </c>
      <c r="N11" s="20">
        <f>_xll.BDH("SRPT US Equity","FREE_CASH_FLOW_YIELD","FQ4 2021","FQ4 2021","Currency=USD","Period=FQ","BEST_FPERIOD_OVERRIDE=FQ","FILING_STATUS=MR","Sort=A","Dates=H","DateFormat=P","Fill=—","Direction=H","UseDPDF=Y")</f>
        <v>-6.6828000000000003</v>
      </c>
      <c r="O11" s="20">
        <f>_xll.BDH("SRPT US Equity","FREE_CASH_FLOW_YIELD","FQ1 2022","FQ1 2022","Currency=USD","Period=FQ","BEST_FPERIOD_OVERRIDE=FQ","FILING_STATUS=MR","Sort=A","Dates=H","DateFormat=P","Fill=—","Direction=H","UseDPDF=Y")</f>
        <v>-6.0225</v>
      </c>
      <c r="P11" s="20">
        <f>_xll.BDH("SRPT US Equity","FREE_CASH_FLOW_YIELD","FQ2 2022","FQ2 2022","Currency=USD","Period=FQ","BEST_FPERIOD_OVERRIDE=FQ","FILING_STATUS=MR","Sort=A","Dates=H","DateFormat=P","Fill=—","Direction=H","UseDPDF=Y")</f>
        <v>-5.5087999999999999</v>
      </c>
      <c r="Q11" s="20">
        <f>_xll.BDH("SRPT US Equity","FREE_CASH_FLOW_YIELD","FQ3 2022","FQ3 2022","Currency=USD","Period=FQ","BEST_FPERIOD_OVERRIDE=FQ","FILING_STATUS=MR","Sort=A","Dates=H","DateFormat=P","Fill=—","Direction=H","UseDPDF=Y")</f>
        <v>-2.9786000000000001</v>
      </c>
      <c r="R11" s="20">
        <f>_xll.BDH("SRPT US Equity","FREE_CASH_FLOW_YIELD","FQ4 2022","FQ4 2022","Currency=USD","Period=FQ","BEST_FPERIOD_OVERRIDE=FQ","FILING_STATUS=MR","Sort=A","Dates=H","DateFormat=P","Fill=—","Direction=H","UseDPDF=Y")</f>
        <v>-3.1288</v>
      </c>
      <c r="S11" s="20">
        <f>_xll.BDH("SRPT US Equity","FREE_CASH_FLOW_YIELD","FQ1 2023","FQ1 2023","Currency=USD","Period=FQ","BEST_FPERIOD_OVERRIDE=FQ","FILING_STATUS=MR","Sort=A","Dates=H","DateFormat=P","Fill=—","Direction=H","UseDPDF=Y")</f>
        <v>-3.8548</v>
      </c>
      <c r="T11" s="20">
        <f>_xll.BDH("SRPT US Equity","FREE_CASH_FLOW_YIELD","FQ2 2023","FQ2 2023","Currency=USD","Period=FQ","BEST_FPERIOD_OVERRIDE=FQ","FILING_STATUS=MR","Sort=A","Dates=H","DateFormat=P","Fill=—","Direction=H","UseDPDF=Y")</f>
        <v>-5.2611999999999997</v>
      </c>
      <c r="U11" s="20">
        <f>_xll.BDH("SRPT US Equity","FREE_CASH_FLOW_YIELD","FQ3 2023","FQ3 2023","Currency=USD","Period=FQ","BEST_FPERIOD_OVERRIDE=FQ","FILING_STATUS=MR","Sort=A","Dates=H","DateFormat=P","Fill=—","Direction=H","UseDPDF=Y")</f>
        <v>-5.6212</v>
      </c>
      <c r="V11" s="20">
        <f>_xll.BDH("SRPT US Equity","FREE_CASH_FLOW_YIELD","FQ4 2023","FQ4 2023","Currency=USD","Period=FQ","BEST_FPERIOD_OVERRIDE=FQ","FILING_STATUS=MR","Sort=A","Dates=H","DateFormat=P","Fill=—","Direction=H","UseDPDF=Y")</f>
        <v>-6.7122999999999999</v>
      </c>
      <c r="W11" s="20">
        <f>_xll.BDH("SRPT US Equity","FREE_CASH_FLOW_YIELD","FQ1 2024","FQ1 2024","Currency=USD","Period=FQ","BEST_FPERIOD_OVERRIDE=FQ","FILING_STATUS=MR","Sort=A","Dates=H","DateFormat=P","Fill=—","Direction=H","UseDPDF=Y")</f>
        <v>-5.3385999999999996</v>
      </c>
      <c r="X11" s="20">
        <f>_xll.BDH("SRPT US Equity","FREE_CASH_FLOW_YIELD","FQ2 2024","FQ2 2024","Currency=USD","Period=FQ","BEST_FPERIOD_OVERRIDE=FQ","FILING_STATUS=MR","Sort=A","Dates=H","DateFormat=P","Fill=—","Direction=H","UseDPDF=Y")</f>
        <v>-3.4699</v>
      </c>
      <c r="Y11" s="20">
        <f>_xll.BDH("SRPT US Equity","FREE_CASH_FLOW_YIELD","FQ3 2024","FQ3 2024","Currency=USD","Period=FQ","BEST_FPERIOD_OVERRIDE=FQ","FILING_STATUS=MR","Sort=A","Dates=H","DateFormat=P","Fill=—","Direction=H","UseDPDF=Y")</f>
        <v>-3.9956</v>
      </c>
      <c r="Z11" s="20">
        <f>_xll.BDH("SRPT US Equity","FREE_CASH_FLOW_YIELD","FQ4 2024","FQ4 2024","Currency=USD","Period=FQ","BEST_FPERIOD_OVERRIDE=FQ","FILING_STATUS=MR","Sort=A","Dates=H","DateFormat=P","Fill=—","Direction=H","UseDPDF=Y")</f>
        <v>-2.9956</v>
      </c>
      <c r="AA11" s="20"/>
    </row>
    <row r="12" spans="1:27" x14ac:dyDescent="0.25">
      <c r="A12" s="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x14ac:dyDescent="0.25">
      <c r="A13" s="10" t="s">
        <v>1575</v>
      </c>
      <c r="B13" s="10" t="s">
        <v>1576</v>
      </c>
      <c r="C13" s="13">
        <f>_xll.BDH("SRPT US Equity","T12M_DVDS_PAID","FQ1 2019","FQ1 2019","Currency=USD","Period=FQ","BEST_FPERIOD_OVERRIDE=FQ","FILING_STATUS=MR","SCALING_FORMAT=MLN","Sort=A","Dates=H","DateFormat=P","Fill=—","Direction=H","UseDPDF=Y")</f>
        <v>0</v>
      </c>
      <c r="D13" s="13">
        <f>_xll.BDH("SRPT US Equity","T12M_DVDS_PAID","FQ2 2019","FQ2 2019","Currency=USD","Period=FQ","BEST_FPERIOD_OVERRIDE=FQ","FILING_STATUS=MR","SCALING_FORMAT=MLN","Sort=A","Dates=H","DateFormat=P","Fill=—","Direction=H","UseDPDF=Y")</f>
        <v>0</v>
      </c>
      <c r="E13" s="13">
        <f>_xll.BDH("SRPT US Equity","T12M_DVDS_PAID","FQ3 2019","FQ3 2019","Currency=USD","Period=FQ","BEST_FPERIOD_OVERRIDE=FQ","FILING_STATUS=MR","SCALING_FORMAT=MLN","Sort=A","Dates=H","DateFormat=P","Fill=—","Direction=H","UseDPDF=Y")</f>
        <v>0</v>
      </c>
      <c r="F13" s="13">
        <f>_xll.BDH("SRPT US Equity","T12M_DVDS_PAID","FQ4 2019","FQ4 2019","Currency=USD","Period=FQ","BEST_FPERIOD_OVERRIDE=FQ","FILING_STATUS=MR","SCALING_FORMAT=MLN","Sort=A","Dates=H","DateFormat=P","Fill=—","Direction=H","UseDPDF=Y")</f>
        <v>0</v>
      </c>
      <c r="G13" s="13">
        <f>_xll.BDH("SRPT US Equity","T12M_DVDS_PAID","FQ1 2020","FQ1 2020","Currency=USD","Period=FQ","BEST_FPERIOD_OVERRIDE=FQ","FILING_STATUS=MR","SCALING_FORMAT=MLN","Sort=A","Dates=H","DateFormat=P","Fill=—","Direction=H","UseDPDF=Y")</f>
        <v>0</v>
      </c>
      <c r="H13" s="13">
        <f>_xll.BDH("SRPT US Equity","T12M_DVDS_PAID","FQ2 2020","FQ2 2020","Currency=USD","Period=FQ","BEST_FPERIOD_OVERRIDE=FQ","FILING_STATUS=MR","SCALING_FORMAT=MLN","Sort=A","Dates=H","DateFormat=P","Fill=—","Direction=H","UseDPDF=Y")</f>
        <v>0</v>
      </c>
      <c r="I13" s="13">
        <f>_xll.BDH("SRPT US Equity","T12M_DVDS_PAID","FQ3 2020","FQ3 2020","Currency=USD","Period=FQ","BEST_FPERIOD_OVERRIDE=FQ","FILING_STATUS=MR","SCALING_FORMAT=MLN","Sort=A","Dates=H","DateFormat=P","Fill=—","Direction=H","UseDPDF=Y")</f>
        <v>0</v>
      </c>
      <c r="J13" s="13">
        <f>_xll.BDH("SRPT US Equity","T12M_DVDS_PAID","FQ4 2020","FQ4 2020","Currency=USD","Period=FQ","BEST_FPERIOD_OVERRIDE=FQ","FILING_STATUS=MR","SCALING_FORMAT=MLN","Sort=A","Dates=H","DateFormat=P","Fill=—","Direction=H","UseDPDF=Y")</f>
        <v>0</v>
      </c>
      <c r="K13" s="13">
        <f>_xll.BDH("SRPT US Equity","T12M_DVDS_PAID","FQ1 2021","FQ1 2021","Currency=USD","Period=FQ","BEST_FPERIOD_OVERRIDE=FQ","FILING_STATUS=MR","SCALING_FORMAT=MLN","Sort=A","Dates=H","DateFormat=P","Fill=—","Direction=H","UseDPDF=Y")</f>
        <v>0</v>
      </c>
      <c r="L13" s="13">
        <f>_xll.BDH("SRPT US Equity","T12M_DVDS_PAID","FQ2 2021","FQ2 2021","Currency=USD","Period=FQ","BEST_FPERIOD_OVERRIDE=FQ","FILING_STATUS=MR","SCALING_FORMAT=MLN","Sort=A","Dates=H","DateFormat=P","Fill=—","Direction=H","UseDPDF=Y")</f>
        <v>0</v>
      </c>
      <c r="M13" s="13">
        <f>_xll.BDH("SRPT US Equity","T12M_DVDS_PAID","FQ3 2021","FQ3 2021","Currency=USD","Period=FQ","BEST_FPERIOD_OVERRIDE=FQ","FILING_STATUS=MR","SCALING_FORMAT=MLN","Sort=A","Dates=H","DateFormat=P","Fill=—","Direction=H","UseDPDF=Y")</f>
        <v>0</v>
      </c>
      <c r="N13" s="13">
        <f>_xll.BDH("SRPT US Equity","T12M_DVDS_PAID","FQ4 2021","FQ4 2021","Currency=USD","Period=FQ","BEST_FPERIOD_OVERRIDE=FQ","FILING_STATUS=MR","SCALING_FORMAT=MLN","Sort=A","Dates=H","DateFormat=P","Fill=—","Direction=H","UseDPDF=Y")</f>
        <v>0</v>
      </c>
      <c r="O13" s="13">
        <f>_xll.BDH("SRPT US Equity","T12M_DVDS_PAID","FQ1 2022","FQ1 2022","Currency=USD","Period=FQ","BEST_FPERIOD_OVERRIDE=FQ","FILING_STATUS=MR","SCALING_FORMAT=MLN","Sort=A","Dates=H","DateFormat=P","Fill=—","Direction=H","UseDPDF=Y")</f>
        <v>0</v>
      </c>
      <c r="P13" s="13">
        <f>_xll.BDH("SRPT US Equity","T12M_DVDS_PAID","FQ2 2022","FQ2 2022","Currency=USD","Period=FQ","BEST_FPERIOD_OVERRIDE=FQ","FILING_STATUS=MR","SCALING_FORMAT=MLN","Sort=A","Dates=H","DateFormat=P","Fill=—","Direction=H","UseDPDF=Y")</f>
        <v>0</v>
      </c>
      <c r="Q13" s="13">
        <f>_xll.BDH("SRPT US Equity","T12M_DVDS_PAID","FQ3 2022","FQ3 2022","Currency=USD","Period=FQ","BEST_FPERIOD_OVERRIDE=FQ","FILING_STATUS=MR","SCALING_FORMAT=MLN","Sort=A","Dates=H","DateFormat=P","Fill=—","Direction=H","UseDPDF=Y")</f>
        <v>0</v>
      </c>
      <c r="R13" s="13">
        <f>_xll.BDH("SRPT US Equity","T12M_DVDS_PAID","FQ4 2022","FQ4 2022","Currency=USD","Period=FQ","BEST_FPERIOD_OVERRIDE=FQ","FILING_STATUS=MR","SCALING_FORMAT=MLN","Sort=A","Dates=H","DateFormat=P","Fill=—","Direction=H","UseDPDF=Y")</f>
        <v>0</v>
      </c>
      <c r="S13" s="13">
        <f>_xll.BDH("SRPT US Equity","T12M_DVDS_PAID","FQ1 2023","FQ1 2023","Currency=USD","Period=FQ","BEST_FPERIOD_OVERRIDE=FQ","FILING_STATUS=MR","SCALING_FORMAT=MLN","Sort=A","Dates=H","DateFormat=P","Fill=—","Direction=H","UseDPDF=Y")</f>
        <v>0</v>
      </c>
      <c r="T13" s="13">
        <f>_xll.BDH("SRPT US Equity","T12M_DVDS_PAID","FQ2 2023","FQ2 2023","Currency=USD","Period=FQ","BEST_FPERIOD_OVERRIDE=FQ","FILING_STATUS=MR","SCALING_FORMAT=MLN","Sort=A","Dates=H","DateFormat=P","Fill=—","Direction=H","UseDPDF=Y")</f>
        <v>0</v>
      </c>
      <c r="U13" s="13">
        <f>_xll.BDH("SRPT US Equity","T12M_DVDS_PAID","FQ3 2023","FQ3 2023","Currency=USD","Period=FQ","BEST_FPERIOD_OVERRIDE=FQ","FILING_STATUS=MR","SCALING_FORMAT=MLN","Sort=A","Dates=H","DateFormat=P","Fill=—","Direction=H","UseDPDF=Y")</f>
        <v>0</v>
      </c>
      <c r="V13" s="13">
        <f>_xll.BDH("SRPT US Equity","T12M_DVDS_PAID","FQ4 2023","FQ4 2023","Currency=USD","Period=FQ","BEST_FPERIOD_OVERRIDE=FQ","FILING_STATUS=MR","SCALING_FORMAT=MLN","Sort=A","Dates=H","DateFormat=P","Fill=—","Direction=H","UseDPDF=Y")</f>
        <v>0</v>
      </c>
      <c r="W13" s="13">
        <f>_xll.BDH("SRPT US Equity","T12M_DVDS_PAID","FQ1 2024","FQ1 2024","Currency=USD","Period=FQ","BEST_FPERIOD_OVERRIDE=FQ","FILING_STATUS=MR","SCALING_FORMAT=MLN","Sort=A","Dates=H","DateFormat=P","Fill=—","Direction=H","UseDPDF=Y")</f>
        <v>0</v>
      </c>
      <c r="X13" s="13">
        <f>_xll.BDH("SRPT US Equity","T12M_DVDS_PAID","FQ2 2024","FQ2 2024","Currency=USD","Period=FQ","BEST_FPERIOD_OVERRIDE=FQ","FILING_STATUS=MR","SCALING_FORMAT=MLN","Sort=A","Dates=H","DateFormat=P","Fill=—","Direction=H","UseDPDF=Y")</f>
        <v>0</v>
      </c>
      <c r="Y13" s="13">
        <f>_xll.BDH("SRPT US Equity","T12M_DVDS_PAID","FQ3 2024","FQ3 2024","Currency=USD","Period=FQ","BEST_FPERIOD_OVERRIDE=FQ","FILING_STATUS=MR","SCALING_FORMAT=MLN","Sort=A","Dates=H","DateFormat=P","Fill=—","Direction=H","UseDPDF=Y")</f>
        <v>0</v>
      </c>
      <c r="Z13" s="13">
        <f>_xll.BDH("SRPT US Equity","T12M_DVDS_PAID","FQ4 2024","FQ4 2024","Currency=USD","Period=FQ","BEST_FPERIOD_OVERRIDE=FQ","FILING_STATUS=MR","SCALING_FORMAT=MLN","Sort=A","Dates=H","DateFormat=P","Fill=—","Direction=H","UseDPDF=Y")</f>
        <v>0</v>
      </c>
      <c r="AA13" s="13"/>
    </row>
    <row r="14" spans="1:27" x14ac:dyDescent="0.25">
      <c r="A14" s="10" t="s">
        <v>1577</v>
      </c>
      <c r="B14" s="10" t="s">
        <v>1578</v>
      </c>
      <c r="C14" s="13">
        <f>_xll.BDH("SRPT US Equity","T12M_NET_CAPITAL_STOCK","FQ1 2019","FQ1 2019","Currency=USD","Period=FQ","BEST_FPERIOD_OVERRIDE=FQ","FILING_STATUS=MR","SCALING_FORMAT=MLN","Sort=A","Dates=H","DateFormat=P","Fill=—","Direction=H","UseDPDF=Y")</f>
        <v>928.55100000000004</v>
      </c>
      <c r="D14" s="13">
        <f>_xll.BDH("SRPT US Equity","T12M_NET_CAPITAL_STOCK","FQ2 2019","FQ2 2019","Currency=USD","Period=FQ","BEST_FPERIOD_OVERRIDE=FQ","FILING_STATUS=MR","SCALING_FORMAT=MLN","Sort=A","Dates=H","DateFormat=P","Fill=—","Direction=H","UseDPDF=Y")</f>
        <v>913.98900000000003</v>
      </c>
      <c r="E14" s="13">
        <f>_xll.BDH("SRPT US Equity","T12M_NET_CAPITAL_STOCK","FQ3 2019","FQ3 2019","Currency=USD","Period=FQ","BEST_FPERIOD_OVERRIDE=FQ","FILING_STATUS=MR","SCALING_FORMAT=MLN","Sort=A","Dates=H","DateFormat=P","Fill=—","Direction=H","UseDPDF=Y")</f>
        <v>910.52499999999998</v>
      </c>
      <c r="F14" s="13">
        <f>_xll.BDH("SRPT US Equity","T12M_NET_CAPITAL_STOCK","FQ4 2019","FQ4 2019","Currency=USD","Period=FQ","BEST_FPERIOD_OVERRIDE=FQ","FILING_STATUS=MR","SCALING_FORMAT=MLN","Sort=A","Dates=H","DateFormat=P","Fill=—","Direction=H","UseDPDF=Y")</f>
        <v>401.95499999999998</v>
      </c>
      <c r="G14" s="13">
        <f>_xll.BDH("SRPT US Equity","T12M_NET_CAPITAL_STOCK","FQ1 2020","FQ1 2020","Currency=USD","Period=FQ","BEST_FPERIOD_OVERRIDE=FQ","FILING_STATUS=MR","SCALING_FORMAT=MLN","Sort=A","Dates=H","DateFormat=P","Fill=—","Direction=H","UseDPDF=Y")</f>
        <v>348.21199999999999</v>
      </c>
      <c r="H14" s="13">
        <f>_xll.BDH("SRPT US Equity","T12M_NET_CAPITAL_STOCK","FQ2 2020","FQ2 2020","Currency=USD","Period=FQ","BEST_FPERIOD_OVERRIDE=FQ","FILING_STATUS=MR","SCALING_FORMAT=MLN","Sort=A","Dates=H","DateFormat=P","Fill=—","Direction=H","UseDPDF=Y")</f>
        <v>358.60599999999999</v>
      </c>
      <c r="I14" s="13">
        <f>_xll.BDH("SRPT US Equity","T12M_NET_CAPITAL_STOCK","FQ3 2020","FQ3 2020","Currency=USD","Period=FQ","BEST_FPERIOD_OVERRIDE=FQ","FILING_STATUS=MR","SCALING_FORMAT=MLN","Sort=A","Dates=H","DateFormat=P","Fill=—","Direction=H","UseDPDF=Y")</f>
        <v>60.161000000000001</v>
      </c>
      <c r="J14" s="13">
        <f>_xll.BDH("SRPT US Equity","T12M_NET_CAPITAL_STOCK","FQ4 2020","FQ4 2020","Currency=USD","Period=FQ","BEST_FPERIOD_OVERRIDE=FQ","FILING_STATUS=MR","SCALING_FORMAT=MLN","Sort=A","Dates=H","DateFormat=P","Fill=—","Direction=H","UseDPDF=Y")</f>
        <v>396.01</v>
      </c>
      <c r="K14" s="13">
        <f>_xll.BDH("SRPT US Equity","T12M_NET_CAPITAL_STOCK","FQ1 2021","FQ1 2021","Currency=USD","Period=FQ","BEST_FPERIOD_OVERRIDE=FQ","FILING_STATUS=MR","SCALING_FORMAT=MLN","Sort=A","Dates=H","DateFormat=P","Fill=—","Direction=H","UseDPDF=Y")</f>
        <v>81.415999999999997</v>
      </c>
      <c r="L14" s="13">
        <f>_xll.BDH("SRPT US Equity","T12M_NET_CAPITAL_STOCK","FQ2 2021","FQ2 2021","Currency=USD","Period=FQ","BEST_FPERIOD_OVERRIDE=FQ","FILING_STATUS=MR","SCALING_FORMAT=MLN","Sort=A","Dates=H","DateFormat=P","Fill=—","Direction=H","UseDPDF=Y")</f>
        <v>67.367000000000004</v>
      </c>
      <c r="M14" s="13">
        <f>_xll.BDH("SRPT US Equity","T12M_NET_CAPITAL_STOCK","FQ3 2021","FQ3 2021","Currency=USD","Period=FQ","BEST_FPERIOD_OVERRIDE=FQ","FILING_STATUS=MR","SCALING_FORMAT=MLN","Sort=A","Dates=H","DateFormat=P","Fill=—","Direction=H","UseDPDF=Y")</f>
        <v>366.53300000000002</v>
      </c>
      <c r="N14" s="13">
        <f>_xll.BDH("SRPT US Equity","T12M_NET_CAPITAL_STOCK","FQ4 2021","FQ4 2021","Currency=USD","Period=FQ","BEST_FPERIOD_OVERRIDE=FQ","FILING_STATUS=MR","SCALING_FORMAT=MLN","Sort=A","Dates=H","DateFormat=P","Fill=—","Direction=H","UseDPDF=Y")</f>
        <v>569.33399999999995</v>
      </c>
      <c r="O14" s="13">
        <f>_xll.BDH("SRPT US Equity","T12M_NET_CAPITAL_STOCK","FQ1 2022","FQ1 2022","Currency=USD","Period=FQ","BEST_FPERIOD_OVERRIDE=FQ","FILING_STATUS=MR","SCALING_FORMAT=MLN","Sort=A","Dates=H","DateFormat=P","Fill=—","Direction=H","UseDPDF=Y")</f>
        <v>565.09799999999996</v>
      </c>
      <c r="P14" s="13">
        <f>_xll.BDH("SRPT US Equity","T12M_NET_CAPITAL_STOCK","FQ2 2022","FQ2 2022","Currency=USD","Period=FQ","BEST_FPERIOD_OVERRIDE=FQ","FILING_STATUS=MR","SCALING_FORMAT=MLN","Sort=A","Dates=H","DateFormat=P","Fill=—","Direction=H","UseDPDF=Y")</f>
        <v>561.91099999999994</v>
      </c>
      <c r="Q14" s="13">
        <f>_xll.BDH("SRPT US Equity","T12M_NET_CAPITAL_STOCK","FQ3 2022","FQ3 2022","Currency=USD","Period=FQ","BEST_FPERIOD_OVERRIDE=FQ","FILING_STATUS=MR","SCALING_FORMAT=MLN","Sort=A","Dates=H","DateFormat=P","Fill=—","Direction=H","UseDPDF=Y")</f>
        <v>468.43200000000002</v>
      </c>
      <c r="R14" s="13">
        <f>_xll.BDH("SRPT US Equity","T12M_NET_CAPITAL_STOCK","FQ4 2022","FQ4 2022","Currency=USD","Period=FQ","BEST_FPERIOD_OVERRIDE=FQ","FILING_STATUS=MR","SCALING_FORMAT=MLN","Sort=A","Dates=H","DateFormat=P","Fill=—","Direction=H","UseDPDF=Y")</f>
        <v>-70.944999999999993</v>
      </c>
      <c r="S14" s="13">
        <f>_xll.BDH("SRPT US Equity","T12M_NET_CAPITAL_STOCK","FQ1 2023","FQ1 2023","Currency=USD","Period=FQ","BEST_FPERIOD_OVERRIDE=FQ","FILING_STATUS=MR","SCALING_FORMAT=MLN","Sort=A","Dates=H","DateFormat=P","Fill=—","Direction=H","UseDPDF=Y")</f>
        <v>-47.898000000000003</v>
      </c>
      <c r="T14" s="13">
        <f>_xll.BDH("SRPT US Equity","T12M_NET_CAPITAL_STOCK","FQ2 2023","FQ2 2023","Currency=USD","Period=FQ","BEST_FPERIOD_OVERRIDE=FQ","FILING_STATUS=MR","SCALING_FORMAT=MLN","Sort=A","Dates=H","DateFormat=P","Fill=—","Direction=H","UseDPDF=Y")</f>
        <v>-42.375999999999998</v>
      </c>
      <c r="U14" s="13">
        <f>_xll.BDH("SRPT US Equity","T12M_NET_CAPITAL_STOCK","FQ3 2023","FQ3 2023","Currency=USD","Period=FQ","BEST_FPERIOD_OVERRIDE=FQ","FILING_STATUS=MR","SCALING_FORMAT=MLN","Sort=A","Dates=H","DateFormat=P","Fill=—","Direction=H","UseDPDF=Y")</f>
        <v>60.606000000000002</v>
      </c>
      <c r="V14" s="13">
        <f>_xll.BDH("SRPT US Equity","T12M_NET_CAPITAL_STOCK","FQ4 2023","FQ4 2023","Currency=USD","Period=FQ","BEST_FPERIOD_OVERRIDE=FQ","FILING_STATUS=MR","SCALING_FORMAT=MLN","Sort=A","Dates=H","DateFormat=P","Fill=—","Direction=H","UseDPDF=Y")</f>
        <v>51.246000000000002</v>
      </c>
      <c r="W14" s="13">
        <f>_xll.BDH("SRPT US Equity","T12M_NET_CAPITAL_STOCK","FQ1 2024","FQ1 2024","Currency=USD","Period=FQ","BEST_FPERIOD_OVERRIDE=FQ","FILING_STATUS=MR","SCALING_FORMAT=MLN","Sort=A","Dates=H","DateFormat=P","Fill=—","Direction=H","UseDPDF=Y")</f>
        <v>45.348999999999997</v>
      </c>
      <c r="X14" s="13">
        <f>_xll.BDH("SRPT US Equity","T12M_NET_CAPITAL_STOCK","FQ2 2024","FQ2 2024","Currency=USD","Period=FQ","BEST_FPERIOD_OVERRIDE=FQ","FILING_STATUS=MR","SCALING_FORMAT=MLN","Sort=A","Dates=H","DateFormat=P","Fill=—","Direction=H","UseDPDF=Y")</f>
        <v>79.406000000000006</v>
      </c>
      <c r="Y14" s="13">
        <f>_xll.BDH("SRPT US Equity","T12M_NET_CAPITAL_STOCK","FQ3 2024","FQ3 2024","Currency=USD","Period=FQ","BEST_FPERIOD_OVERRIDE=FQ","FILING_STATUS=MR","SCALING_FORMAT=MLN","Sort=A","Dates=H","DateFormat=P","Fill=—","Direction=H","UseDPDF=Y")</f>
        <v>77.757999999999996</v>
      </c>
      <c r="Z14" s="13">
        <f>_xll.BDH("SRPT US Equity","T12M_NET_CAPITAL_STOCK","FQ4 2024","FQ4 2024","Currency=USD","Period=FQ","BEST_FPERIOD_OVERRIDE=FQ","FILING_STATUS=MR","SCALING_FORMAT=MLN","Sort=A","Dates=H","DateFormat=P","Fill=—","Direction=H","UseDPDF=Y")</f>
        <v>79.525000000000006</v>
      </c>
      <c r="AA14" s="13"/>
    </row>
    <row r="15" spans="1:27" x14ac:dyDescent="0.25">
      <c r="A15" s="10" t="s">
        <v>1579</v>
      </c>
      <c r="B15" s="10" t="s">
        <v>1580</v>
      </c>
      <c r="C15" s="13">
        <f>_xll.BDH("SRPT US Equity","T12M_CHG_ST_BORROWINGS","FQ1 2019","FQ1 2019","Currency=USD","Period=FQ","BEST_FPERIOD_OVERRIDE=FQ","FILING_STATUS=MR","SCALING_FORMAT=MLN","Sort=A","Dates=H","DateFormat=P","Fill=—","Direction=H","UseDPDF=Y")</f>
        <v>0</v>
      </c>
      <c r="D15" s="13">
        <f>_xll.BDH("SRPT US Equity","T12M_CHG_ST_BORROWINGS","FQ2 2019","FQ2 2019","Currency=USD","Period=FQ","BEST_FPERIOD_OVERRIDE=FQ","FILING_STATUS=MR","SCALING_FORMAT=MLN","Sort=A","Dates=H","DateFormat=P","Fill=—","Direction=H","UseDPDF=Y")</f>
        <v>0</v>
      </c>
      <c r="E15" s="13">
        <f>_xll.BDH("SRPT US Equity","T12M_CHG_ST_BORROWINGS","FQ3 2019","FQ3 2019","Currency=USD","Period=FQ","BEST_FPERIOD_OVERRIDE=FQ","FILING_STATUS=MR","SCALING_FORMAT=MLN","Sort=A","Dates=H","DateFormat=P","Fill=—","Direction=H","UseDPDF=Y")</f>
        <v>0</v>
      </c>
      <c r="F15" s="13">
        <f>_xll.BDH("SRPT US Equity","T12M_CHG_ST_BORROWINGS","FQ4 2019","FQ4 2019","Currency=USD","Period=FQ","BEST_FPERIOD_OVERRIDE=FQ","FILING_STATUS=MR","SCALING_FORMAT=MLN","Sort=A","Dates=H","DateFormat=P","Fill=—","Direction=H","UseDPDF=Y")</f>
        <v>0</v>
      </c>
      <c r="G15" s="13">
        <f>_xll.BDH("SRPT US Equity","T12M_CHG_ST_BORROWINGS","FQ1 2020","FQ1 2020","Currency=USD","Period=FQ","BEST_FPERIOD_OVERRIDE=FQ","FILING_STATUS=MR","SCALING_FORMAT=MLN","Sort=A","Dates=H","DateFormat=P","Fill=—","Direction=H","UseDPDF=Y")</f>
        <v>0</v>
      </c>
      <c r="H15" s="13">
        <f>_xll.BDH("SRPT US Equity","T12M_CHG_ST_BORROWINGS","FQ2 2020","FQ2 2020","Currency=USD","Period=FQ","BEST_FPERIOD_OVERRIDE=FQ","FILING_STATUS=MR","SCALING_FORMAT=MLN","Sort=A","Dates=H","DateFormat=P","Fill=—","Direction=H","UseDPDF=Y")</f>
        <v>0</v>
      </c>
      <c r="I15" s="13">
        <f>_xll.BDH("SRPT US Equity","T12M_CHG_ST_BORROWINGS","FQ3 2020","FQ3 2020","Currency=USD","Period=FQ","BEST_FPERIOD_OVERRIDE=FQ","FILING_STATUS=MR","SCALING_FORMAT=MLN","Sort=A","Dates=H","DateFormat=P","Fill=—","Direction=H","UseDPDF=Y")</f>
        <v>0</v>
      </c>
      <c r="J15" s="13">
        <f>_xll.BDH("SRPT US Equity","T12M_CHG_ST_BORROWINGS","FQ4 2020","FQ4 2020","Currency=USD","Period=FQ","BEST_FPERIOD_OVERRIDE=FQ","FILING_STATUS=MR","SCALING_FORMAT=MLN","Sort=A","Dates=H","DateFormat=P","Fill=—","Direction=H","UseDPDF=Y")</f>
        <v>0</v>
      </c>
      <c r="K15" s="13">
        <f>_xll.BDH("SRPT US Equity","T12M_CHG_ST_BORROWINGS","FQ1 2021","FQ1 2021","Currency=USD","Period=FQ","BEST_FPERIOD_OVERRIDE=FQ","FILING_STATUS=MR","SCALING_FORMAT=MLN","Sort=A","Dates=H","DateFormat=P","Fill=—","Direction=H","UseDPDF=Y")</f>
        <v>0</v>
      </c>
      <c r="L15" s="13">
        <f>_xll.BDH("SRPT US Equity","T12M_CHG_ST_BORROWINGS","FQ2 2021","FQ2 2021","Currency=USD","Period=FQ","BEST_FPERIOD_OVERRIDE=FQ","FILING_STATUS=MR","SCALING_FORMAT=MLN","Sort=A","Dates=H","DateFormat=P","Fill=—","Direction=H","UseDPDF=Y")</f>
        <v>0</v>
      </c>
      <c r="M15" s="13">
        <f>_xll.BDH("SRPT US Equity","T12M_CHG_ST_BORROWINGS","FQ3 2021","FQ3 2021","Currency=USD","Period=FQ","BEST_FPERIOD_OVERRIDE=FQ","FILING_STATUS=MR","SCALING_FORMAT=MLN","Sort=A","Dates=H","DateFormat=P","Fill=—","Direction=H","UseDPDF=Y")</f>
        <v>0</v>
      </c>
      <c r="N15" s="13">
        <f>_xll.BDH("SRPT US Equity","T12M_CHG_ST_BORROWINGS","FQ4 2021","FQ4 2021","Currency=USD","Period=FQ","BEST_FPERIOD_OVERRIDE=FQ","FILING_STATUS=MR","SCALING_FORMAT=MLN","Sort=A","Dates=H","DateFormat=P","Fill=—","Direction=H","UseDPDF=Y")</f>
        <v>0</v>
      </c>
      <c r="O15" s="13">
        <f>_xll.BDH("SRPT US Equity","T12M_CHG_ST_BORROWINGS","FQ1 2022","FQ1 2022","Currency=USD","Period=FQ","BEST_FPERIOD_OVERRIDE=FQ","FILING_STATUS=MR","SCALING_FORMAT=MLN","Sort=A","Dates=H","DateFormat=P","Fill=—","Direction=H","UseDPDF=Y")</f>
        <v>0</v>
      </c>
      <c r="P15" s="13">
        <f>_xll.BDH("SRPT US Equity","T12M_CHG_ST_BORROWINGS","FQ2 2022","FQ2 2022","Currency=USD","Period=FQ","BEST_FPERIOD_OVERRIDE=FQ","FILING_STATUS=MR","SCALING_FORMAT=MLN","Sort=A","Dates=H","DateFormat=P","Fill=—","Direction=H","UseDPDF=Y")</f>
        <v>0</v>
      </c>
      <c r="Q15" s="13">
        <f>_xll.BDH("SRPT US Equity","T12M_CHG_ST_BORROWINGS","FQ3 2022","FQ3 2022","Currency=USD","Period=FQ","BEST_FPERIOD_OVERRIDE=FQ","FILING_STATUS=MR","SCALING_FORMAT=MLN","Sort=A","Dates=H","DateFormat=P","Fill=—","Direction=H","UseDPDF=Y")</f>
        <v>-25.364000000000001</v>
      </c>
      <c r="R15" s="13">
        <f>_xll.BDH("SRPT US Equity","T12M_CHG_ST_BORROWINGS","FQ4 2022","FQ4 2022","Currency=USD","Period=FQ","BEST_FPERIOD_OVERRIDE=FQ","FILING_STATUS=MR","SCALING_FORMAT=MLN","Sort=A","Dates=H","DateFormat=P","Fill=—","Direction=H","UseDPDF=Y")</f>
        <v>-25.364000000000001</v>
      </c>
      <c r="S15" s="13">
        <f>_xll.BDH("SRPT US Equity","T12M_CHG_ST_BORROWINGS","FQ1 2023","FQ1 2023","Currency=USD","Period=FQ","BEST_FPERIOD_OVERRIDE=FQ","FILING_STATUS=MR","SCALING_FORMAT=MLN","Sort=A","Dates=H","DateFormat=P","Fill=—","Direction=H","UseDPDF=Y")</f>
        <v>-25.364000000000001</v>
      </c>
      <c r="T15" s="13">
        <f>_xll.BDH("SRPT US Equity","T12M_CHG_ST_BORROWINGS","FQ2 2023","FQ2 2023","Currency=USD","Period=FQ","BEST_FPERIOD_OVERRIDE=FQ","FILING_STATUS=MR","SCALING_FORMAT=MLN","Sort=A","Dates=H","DateFormat=P","Fill=—","Direction=H","UseDPDF=Y")</f>
        <v>-25.364000000000001</v>
      </c>
      <c r="U15" s="13">
        <f>_xll.BDH("SRPT US Equity","T12M_CHG_ST_BORROWINGS","FQ3 2023","FQ3 2023","Currency=USD","Period=FQ","BEST_FPERIOD_OVERRIDE=FQ","FILING_STATUS=MR","SCALING_FORMAT=MLN","Sort=A","Dates=H","DateFormat=P","Fill=—","Direction=H","UseDPDF=Y")</f>
        <v>0</v>
      </c>
      <c r="V15" s="13">
        <f>_xll.BDH("SRPT US Equity","T12M_CHG_ST_BORROWINGS","FQ4 2023","FQ4 2023","Currency=USD","Period=FQ","BEST_FPERIOD_OVERRIDE=FQ","FILING_STATUS=MR","SCALING_FORMAT=MLN","Sort=A","Dates=H","DateFormat=P","Fill=—","Direction=H","UseDPDF=Y")</f>
        <v>0</v>
      </c>
      <c r="W15" s="13">
        <f>_xll.BDH("SRPT US Equity","T12M_CHG_ST_BORROWINGS","FQ1 2024","FQ1 2024","Currency=USD","Period=FQ","BEST_FPERIOD_OVERRIDE=FQ","FILING_STATUS=MR","SCALING_FORMAT=MLN","Sort=A","Dates=H","DateFormat=P","Fill=—","Direction=H","UseDPDF=Y")</f>
        <v>0</v>
      </c>
      <c r="X15" s="13">
        <f>_xll.BDH("SRPT US Equity","T12M_CHG_ST_BORROWINGS","FQ2 2024","FQ2 2024","Currency=USD","Period=FQ","BEST_FPERIOD_OVERRIDE=FQ","FILING_STATUS=MR","SCALING_FORMAT=MLN","Sort=A","Dates=H","DateFormat=P","Fill=—","Direction=H","UseDPDF=Y")</f>
        <v>0</v>
      </c>
      <c r="Y15" s="13">
        <f>_xll.BDH("SRPT US Equity","T12M_CHG_ST_BORROWINGS","FQ3 2024","FQ3 2024","Currency=USD","Period=FQ","BEST_FPERIOD_OVERRIDE=FQ","FILING_STATUS=MR","SCALING_FORMAT=MLN","Sort=A","Dates=H","DateFormat=P","Fill=—","Direction=H","UseDPDF=Y")</f>
        <v>0</v>
      </c>
      <c r="Z15" s="13">
        <f>_xll.BDH("SRPT US Equity","T12M_CHG_ST_BORROWINGS","FQ4 2024","FQ4 2024","Currency=USD","Period=FQ","BEST_FPERIOD_OVERRIDE=FQ","FILING_STATUS=MR","SCALING_FORMAT=MLN","Sort=A","Dates=H","DateFormat=P","Fill=—","Direction=H","UseDPDF=Y")</f>
        <v>0</v>
      </c>
      <c r="AA15" s="13"/>
    </row>
    <row r="16" spans="1:27" x14ac:dyDescent="0.25">
      <c r="A16" s="10" t="s">
        <v>1581</v>
      </c>
      <c r="B16" s="10" t="s">
        <v>1582</v>
      </c>
      <c r="C16" s="13">
        <f>_xll.BDH("SRPT US Equity","T12M_CHG_LT_DEBT","FQ1 2019","FQ1 2019","Currency=USD","Period=FQ","BEST_FPERIOD_OVERRIDE=FQ","FILING_STATUS=MR","SCALING_FORMAT=MLN","Sort=A","Dates=H","DateFormat=P","Fill=—","Direction=H","UseDPDF=Y")</f>
        <v>3.8250000000000002</v>
      </c>
      <c r="D16" s="13">
        <f>_xll.BDH("SRPT US Equity","T12M_CHG_LT_DEBT","FQ2 2019","FQ2 2019","Currency=USD","Period=FQ","BEST_FPERIOD_OVERRIDE=FQ","FILING_STATUS=MR","SCALING_FORMAT=MLN","Sort=A","Dates=H","DateFormat=P","Fill=—","Direction=H","UseDPDF=Y")</f>
        <v>0.217</v>
      </c>
      <c r="E16" s="13">
        <f>_xll.BDH("SRPT US Equity","T12M_CHG_LT_DEBT","FQ3 2019","FQ3 2019","Currency=USD","Period=FQ","BEST_FPERIOD_OVERRIDE=FQ","FILING_STATUS=MR","SCALING_FORMAT=MLN","Sort=A","Dates=H","DateFormat=P","Fill=—","Direction=H","UseDPDF=Y")</f>
        <v>30.827000000000002</v>
      </c>
      <c r="F16" s="13">
        <f>_xll.BDH("SRPT US Equity","T12M_CHG_LT_DEBT","FQ4 2019","FQ4 2019","Currency=USD","Period=FQ","BEST_FPERIOD_OVERRIDE=FQ","FILING_STATUS=MR","SCALING_FORMAT=MLN","Sort=A","Dates=H","DateFormat=P","Fill=—","Direction=H","UseDPDF=Y")</f>
        <v>245.625</v>
      </c>
      <c r="G16" s="13">
        <f>_xll.BDH("SRPT US Equity","T12M_CHG_LT_DEBT","FQ1 2020","FQ1 2020","Currency=USD","Period=FQ","BEST_FPERIOD_OVERRIDE=FQ","FILING_STATUS=MR","SCALING_FORMAT=MLN","Sort=A","Dates=H","DateFormat=P","Fill=—","Direction=H","UseDPDF=Y")</f>
        <v>245.625</v>
      </c>
      <c r="H16" s="13">
        <f>_xll.BDH("SRPT US Equity","T12M_CHG_LT_DEBT","FQ2 2020","FQ2 2020","Currency=USD","Period=FQ","BEST_FPERIOD_OVERRIDE=FQ","FILING_STATUS=MR","SCALING_FORMAT=MLN","Sort=A","Dates=H","DateFormat=P","Fill=—","Direction=H","UseDPDF=Y")</f>
        <v>245.625</v>
      </c>
      <c r="I16" s="13">
        <f>_xll.BDH("SRPT US Equity","T12M_CHG_LT_DEBT","FQ3 2020","FQ3 2020","Currency=USD","Period=FQ","BEST_FPERIOD_OVERRIDE=FQ","FILING_STATUS=MR","SCALING_FORMAT=MLN","Sort=A","Dates=H","DateFormat=P","Fill=—","Direction=H","UseDPDF=Y")</f>
        <v>557.678</v>
      </c>
      <c r="J16" s="13">
        <f>_xll.BDH("SRPT US Equity","T12M_CHG_LT_DEBT","FQ4 2020","FQ4 2020","Currency=USD","Period=FQ","BEST_FPERIOD_OVERRIDE=FQ","FILING_STATUS=MR","SCALING_FORMAT=MLN","Sort=A","Dates=H","DateFormat=P","Fill=—","Direction=H","UseDPDF=Y")</f>
        <v>291.14999999999998</v>
      </c>
      <c r="K16" s="13">
        <f>_xll.BDH("SRPT US Equity","T12M_CHG_LT_DEBT","FQ1 2021","FQ1 2021","Currency=USD","Period=FQ","BEST_FPERIOD_OVERRIDE=FQ","FILING_STATUS=MR","SCALING_FORMAT=MLN","Sort=A","Dates=H","DateFormat=P","Fill=—","Direction=H","UseDPDF=Y")</f>
        <v>291.14999999999998</v>
      </c>
      <c r="L16" s="13">
        <f>_xll.BDH("SRPT US Equity","T12M_CHG_LT_DEBT","FQ2 2021","FQ2 2021","Currency=USD","Period=FQ","BEST_FPERIOD_OVERRIDE=FQ","FILING_STATUS=MR","SCALING_FORMAT=MLN","Sort=A","Dates=H","DateFormat=P","Fill=—","Direction=H","UseDPDF=Y")</f>
        <v>291.14999999999998</v>
      </c>
      <c r="M16" s="13">
        <f>_xll.BDH("SRPT US Equity","T12M_CHG_LT_DEBT","FQ3 2021","FQ3 2021","Currency=USD","Period=FQ","BEST_FPERIOD_OVERRIDE=FQ","FILING_STATUS=MR","SCALING_FORMAT=MLN","Sort=A","Dates=H","DateFormat=P","Fill=—","Direction=H","UseDPDF=Y")</f>
        <v>-20.902999999999999</v>
      </c>
      <c r="N16" s="13">
        <f>_xll.BDH("SRPT US Equity","T12M_CHG_LT_DEBT","FQ4 2021","FQ4 2021","Currency=USD","Period=FQ","BEST_FPERIOD_OVERRIDE=FQ","FILING_STATUS=MR","SCALING_FORMAT=MLN","Sort=A","Dates=H","DateFormat=P","Fill=—","Direction=H","UseDPDF=Y")</f>
        <v>0</v>
      </c>
      <c r="O16" s="13">
        <f>_xll.BDH("SRPT US Equity","T12M_CHG_LT_DEBT","FQ1 2022","FQ1 2022","Currency=USD","Period=FQ","BEST_FPERIOD_OVERRIDE=FQ","FILING_STATUS=MR","SCALING_FORMAT=MLN","Sort=A","Dates=H","DateFormat=P","Fill=—","Direction=H","UseDPDF=Y")</f>
        <v>0</v>
      </c>
      <c r="P16" s="13">
        <f>_xll.BDH("SRPT US Equity","T12M_CHG_LT_DEBT","FQ2 2022","FQ2 2022","Currency=USD","Period=FQ","BEST_FPERIOD_OVERRIDE=FQ","FILING_STATUS=MR","SCALING_FORMAT=MLN","Sort=A","Dates=H","DateFormat=P","Fill=—","Direction=H","UseDPDF=Y")</f>
        <v>0</v>
      </c>
      <c r="Q16" s="13">
        <f>_xll.BDH("SRPT US Equity","T12M_CHG_LT_DEBT","FQ3 2022","FQ3 2022","Currency=USD","Period=FQ","BEST_FPERIOD_OVERRIDE=FQ","FILING_STATUS=MR","SCALING_FORMAT=MLN","Sort=A","Dates=H","DateFormat=P","Fill=—","Direction=H","UseDPDF=Y")</f>
        <v>329.53199999999998</v>
      </c>
      <c r="R16" s="13">
        <f>_xll.BDH("SRPT US Equity","T12M_CHG_LT_DEBT","FQ4 2022","FQ4 2022","Currency=USD","Period=FQ","BEST_FPERIOD_OVERRIDE=FQ","FILING_STATUS=MR","SCALING_FORMAT=MLN","Sort=A","Dates=H","DateFormat=P","Fill=—","Direction=H","UseDPDF=Y")</f>
        <v>329.53199999999998</v>
      </c>
      <c r="S16" s="13">
        <f>_xll.BDH("SRPT US Equity","T12M_CHG_LT_DEBT","FQ1 2023","FQ1 2023","Currency=USD","Period=FQ","BEST_FPERIOD_OVERRIDE=FQ","FILING_STATUS=MR","SCALING_FORMAT=MLN","Sort=A","Dates=H","DateFormat=P","Fill=—","Direction=H","UseDPDF=Y")</f>
        <v>322.64499999999998</v>
      </c>
      <c r="T16" s="13">
        <f>_xll.BDH("SRPT US Equity","T12M_CHG_LT_DEBT","FQ2 2023","FQ2 2023","Currency=USD","Period=FQ","BEST_FPERIOD_OVERRIDE=FQ","FILING_STATUS=MR","SCALING_FORMAT=MLN","Sort=A","Dates=H","DateFormat=P","Fill=—","Direction=H","UseDPDF=Y")</f>
        <v>322.64499999999998</v>
      </c>
      <c r="U16" s="13">
        <f>_xll.BDH("SRPT US Equity","T12M_CHG_LT_DEBT","FQ3 2023","FQ3 2023","Currency=USD","Period=FQ","BEST_FPERIOD_OVERRIDE=FQ","FILING_STATUS=MR","SCALING_FORMAT=MLN","Sort=A","Dates=H","DateFormat=P","Fill=—","Direction=H","UseDPDF=Y")</f>
        <v>0</v>
      </c>
      <c r="V16" s="13">
        <f>_xll.BDH("SRPT US Equity","T12M_CHG_LT_DEBT","FQ4 2023","FQ4 2023","Currency=USD","Period=FQ","BEST_FPERIOD_OVERRIDE=FQ","FILING_STATUS=MR","SCALING_FORMAT=MLN","Sort=A","Dates=H","DateFormat=P","Fill=—","Direction=H","UseDPDF=Y")</f>
        <v>0</v>
      </c>
      <c r="W16" s="13">
        <f>_xll.BDH("SRPT US Equity","T12M_CHG_LT_DEBT","FQ1 2024","FQ1 2024","Currency=USD","Period=FQ","BEST_FPERIOD_OVERRIDE=FQ","FILING_STATUS=MR","SCALING_FORMAT=MLN","Sort=A","Dates=H","DateFormat=P","Fill=—","Direction=H","UseDPDF=Y")</f>
        <v>6.8869999999999996</v>
      </c>
      <c r="X16" s="13">
        <f>_xll.BDH("SRPT US Equity","T12M_CHG_LT_DEBT","FQ2 2024","FQ2 2024","Currency=USD","Period=FQ","BEST_FPERIOD_OVERRIDE=FQ","FILING_STATUS=MR","SCALING_FORMAT=MLN","Sort=A","Dates=H","DateFormat=P","Fill=—","Direction=H","UseDPDF=Y")</f>
        <v>6.8869999999999996</v>
      </c>
      <c r="Y16" s="13">
        <f>_xll.BDH("SRPT US Equity","T12M_CHG_LT_DEBT","FQ3 2024","FQ3 2024","Currency=USD","Period=FQ","BEST_FPERIOD_OVERRIDE=FQ","FILING_STATUS=MR","SCALING_FORMAT=MLN","Sort=A","Dates=H","DateFormat=P","Fill=—","Direction=H","UseDPDF=Y")</f>
        <v>0</v>
      </c>
      <c r="Z16" s="13">
        <f>_xll.BDH("SRPT US Equity","T12M_CHG_LT_DEBT","FQ4 2024","FQ4 2024","Currency=USD","Period=FQ","BEST_FPERIOD_OVERRIDE=FQ","FILING_STATUS=MR","SCALING_FORMAT=MLN","Sort=A","Dates=H","DateFormat=P","Fill=—","Direction=H","UseDPDF=Y")</f>
        <v>0</v>
      </c>
      <c r="AA16" s="13"/>
    </row>
    <row r="17" spans="1:27" x14ac:dyDescent="0.25">
      <c r="A17" s="10" t="s">
        <v>1339</v>
      </c>
      <c r="B17" s="10" t="s">
        <v>1583</v>
      </c>
      <c r="C17" s="13">
        <f>_xll.BDH("SRPT US Equity","T12_OTHER_CFF","FQ1 2019","FQ1 2019","Currency=USD","Period=FQ","BEST_FPERIOD_OVERRIDE=FQ","FILING_STATUS=MR","SCALING_FORMAT=MLN","Sort=A","Dates=H","DateFormat=P","Fill=—","Direction=H","UseDPDF=Y")</f>
        <v>-32.134</v>
      </c>
      <c r="D17" s="13">
        <f>_xll.BDH("SRPT US Equity","T12_OTHER_CFF","FQ2 2019","FQ2 2019","Currency=USD","Period=FQ","BEST_FPERIOD_OVERRIDE=FQ","FILING_STATUS=MR","SCALING_FORMAT=MLN","Sort=A","Dates=H","DateFormat=P","Fill=—","Direction=H","UseDPDF=Y")</f>
        <v>-33.023000000000003</v>
      </c>
      <c r="E17" s="13">
        <f>_xll.BDH("SRPT US Equity","T12_OTHER_CFF","FQ3 2019","FQ3 2019","Currency=USD","Period=FQ","BEST_FPERIOD_OVERRIDE=FQ","FILING_STATUS=MR","SCALING_FORMAT=MLN","Sort=A","Dates=H","DateFormat=P","Fill=—","Direction=H","UseDPDF=Y")</f>
        <v>-34.481000000000002</v>
      </c>
      <c r="F17" s="13">
        <f>_xll.BDH("SRPT US Equity","T12_OTHER_CFF","FQ4 2019","FQ4 2019","Currency=USD","Period=FQ","BEST_FPERIOD_OVERRIDE=FQ","FILING_STATUS=MR","SCALING_FORMAT=MLN","Sort=A","Dates=H","DateFormat=P","Fill=—","Direction=H","UseDPDF=Y")</f>
        <v>-5.0259999999999998</v>
      </c>
      <c r="G17" s="13">
        <f>_xll.BDH("SRPT US Equity","T12_OTHER_CFF","FQ1 2020","FQ1 2020","Currency=USD","Period=FQ","BEST_FPERIOD_OVERRIDE=FQ","FILING_STATUS=MR","SCALING_FORMAT=MLN","Sort=A","Dates=H","DateFormat=P","Fill=—","Direction=H","UseDPDF=Y")</f>
        <v>-9.8239999999999998</v>
      </c>
      <c r="H17" s="13">
        <f>_xll.BDH("SRPT US Equity","T12_OTHER_CFF","FQ2 2020","FQ2 2020","Currency=USD","Period=FQ","BEST_FPERIOD_OVERRIDE=FQ","FILING_STATUS=MR","SCALING_FORMAT=MLN","Sort=A","Dates=H","DateFormat=P","Fill=—","Direction=H","UseDPDF=Y")</f>
        <v>-8.9350000000000005</v>
      </c>
      <c r="I17" s="13">
        <f>_xll.BDH("SRPT US Equity","T12_OTHER_CFF","FQ3 2020","FQ3 2020","Currency=USD","Period=FQ","BEST_FPERIOD_OVERRIDE=FQ","FILING_STATUS=MR","SCALING_FORMAT=MLN","Sort=A","Dates=H","DateFormat=P","Fill=—","Direction=H","UseDPDF=Y")</f>
        <v>-298.75099999999998</v>
      </c>
      <c r="J17" s="13">
        <f>_xll.BDH("SRPT US Equity","T12_OTHER_CFF","FQ4 2020","FQ4 2020","Currency=USD","Period=FQ","BEST_FPERIOD_OVERRIDE=FQ","FILING_STATUS=MR","SCALING_FORMAT=MLN","Sort=A","Dates=H","DateFormat=P","Fill=—","Direction=H","UseDPDF=Y")</f>
        <v>49.777999999999999</v>
      </c>
      <c r="K17" s="13">
        <f>_xll.BDH("SRPT US Equity","T12_OTHER_CFF","FQ1 2021","FQ1 2021","Currency=USD","Period=FQ","BEST_FPERIOD_OVERRIDE=FQ","FILING_STATUS=MR","SCALING_FORMAT=MLN","Sort=A","Dates=H","DateFormat=P","Fill=—","Direction=H","UseDPDF=Y")</f>
        <v>48.243000000000002</v>
      </c>
      <c r="L17" s="13">
        <f>_xll.BDH("SRPT US Equity","T12_OTHER_CFF","FQ2 2021","FQ2 2021","Currency=USD","Period=FQ","BEST_FPERIOD_OVERRIDE=FQ","FILING_STATUS=MR","SCALING_FORMAT=MLN","Sort=A","Dates=H","DateFormat=P","Fill=—","Direction=H","UseDPDF=Y")</f>
        <v>48.243000000000002</v>
      </c>
      <c r="M17" s="13">
        <f>_xll.BDH("SRPT US Equity","T12_OTHER_CFF","FQ3 2021","FQ3 2021","Currency=USD","Period=FQ","BEST_FPERIOD_OVERRIDE=FQ","FILING_STATUS=MR","SCALING_FORMAT=MLN","Sort=A","Dates=H","DateFormat=P","Fill=—","Direction=H","UseDPDF=Y")</f>
        <v>341.50700000000001</v>
      </c>
      <c r="N17" s="13">
        <f>_xll.BDH("SRPT US Equity","T12_OTHER_CFF","FQ4 2021","FQ4 2021","Currency=USD","Period=FQ","BEST_FPERIOD_OVERRIDE=FQ","FILING_STATUS=MR","SCALING_FORMAT=MLN","Sort=A","Dates=H","DateFormat=P","Fill=—","Direction=H","UseDPDF=Y")</f>
        <v>-7.7649999999999997</v>
      </c>
      <c r="O17" s="13">
        <f>_xll.BDH("SRPT US Equity","T12_OTHER_CFF","FQ1 2022","FQ1 2022","Currency=USD","Period=FQ","BEST_FPERIOD_OVERRIDE=FQ","FILING_STATUS=MR","SCALING_FORMAT=MLN","Sort=A","Dates=H","DateFormat=P","Fill=—","Direction=H","UseDPDF=Y")</f>
        <v>-1.4319999999999999</v>
      </c>
      <c r="P17" s="13">
        <f>_xll.BDH("SRPT US Equity","T12_OTHER_CFF","FQ2 2022","FQ2 2022","Currency=USD","Period=FQ","BEST_FPERIOD_OVERRIDE=FQ","FILING_STATUS=MR","SCALING_FORMAT=MLN","Sort=A","Dates=H","DateFormat=P","Fill=—","Direction=H","UseDPDF=Y")</f>
        <v>-1.4319999999999999</v>
      </c>
      <c r="Q17" s="13">
        <f>_xll.BDH("SRPT US Equity","T12_OTHER_CFF","FQ3 2022","FQ3 2022","Currency=USD","Period=FQ","BEST_FPERIOD_OVERRIDE=FQ","FILING_STATUS=MR","SCALING_FORMAT=MLN","Sort=A","Dates=H","DateFormat=P","Fill=—","Direction=H","UseDPDF=Y")</f>
        <v>-1.5940000000000001</v>
      </c>
      <c r="R17" s="13">
        <f>_xll.BDH("SRPT US Equity","T12_OTHER_CFF","FQ4 2022","FQ4 2022","Currency=USD","Period=FQ","BEST_FPERIOD_OVERRIDE=FQ","FILING_STATUS=MR","SCALING_FORMAT=MLN","Sort=A","Dates=H","DateFormat=P","Fill=—","Direction=H","UseDPDF=Y")</f>
        <v>-0.71599999999999997</v>
      </c>
      <c r="S17" s="13">
        <f>_xll.BDH("SRPT US Equity","T12_OTHER_CFF","FQ1 2023","FQ1 2023","Currency=USD","Period=FQ","BEST_FPERIOD_OVERRIDE=FQ","FILING_STATUS=MR","SCALING_FORMAT=MLN","Sort=A","Dates=H","DateFormat=P","Fill=—","Direction=H","UseDPDF=Y")</f>
        <v>79.929000000000002</v>
      </c>
      <c r="T17" s="13">
        <f>_xll.BDH("SRPT US Equity","T12_OTHER_CFF","FQ2 2023","FQ2 2023","Currency=USD","Period=FQ","BEST_FPERIOD_OVERRIDE=FQ","FILING_STATUS=MR","SCALING_FORMAT=MLN","Sort=A","Dates=H","DateFormat=P","Fill=—","Direction=H","UseDPDF=Y")</f>
        <v>79.929000000000002</v>
      </c>
      <c r="U17" s="13">
        <f>_xll.BDH("SRPT US Equity","T12_OTHER_CFF","FQ3 2023","FQ3 2023","Currency=USD","Period=FQ","BEST_FPERIOD_OVERRIDE=FQ","FILING_STATUS=MR","SCALING_FORMAT=MLN","Sort=A","Dates=H","DateFormat=P","Fill=—","Direction=H","UseDPDF=Y")</f>
        <v>73.203999999999994</v>
      </c>
      <c r="V17" s="13">
        <f>_xll.BDH("SRPT US Equity","T12_OTHER_CFF","FQ4 2023","FQ4 2023","Currency=USD","Period=FQ","BEST_FPERIOD_OVERRIDE=FQ","FILING_STATUS=MR","SCALING_FORMAT=MLN","Sort=A","Dates=H","DateFormat=P","Fill=—","Direction=H","UseDPDF=Y")</f>
        <v>73.757999999999996</v>
      </c>
      <c r="W17" s="13">
        <f>_xll.BDH("SRPT US Equity","T12_OTHER_CFF","FQ1 2024","FQ1 2024","Currency=USD","Period=FQ","BEST_FPERIOD_OVERRIDE=FQ","FILING_STATUS=MR","SCALING_FORMAT=MLN","Sort=A","Dates=H","DateFormat=P","Fill=—","Direction=H","UseDPDF=Y")</f>
        <v>-6.8869999999999996</v>
      </c>
      <c r="X17" s="13">
        <f>_xll.BDH("SRPT US Equity","T12_OTHER_CFF","FQ2 2024","FQ2 2024","Currency=USD","Period=FQ","BEST_FPERIOD_OVERRIDE=FQ","FILING_STATUS=MR","SCALING_FORMAT=MLN","Sort=A","Dates=H","DateFormat=P","Fill=—","Direction=H","UseDPDF=Y")</f>
        <v>-6.8869999999999996</v>
      </c>
      <c r="Y17" s="13">
        <f>_xll.BDH("SRPT US Equity","T12_OTHER_CFF","FQ3 2024","FQ3 2024","Currency=USD","Period=FQ","BEST_FPERIOD_OVERRIDE=FQ","FILING_STATUS=MR","SCALING_FORMAT=MLN","Sort=A","Dates=H","DateFormat=P","Fill=—","Direction=H","UseDPDF=Y")</f>
        <v>0</v>
      </c>
      <c r="Z17" s="13">
        <f>_xll.BDH("SRPT US Equity","T12_OTHER_CFF","FQ4 2024","FQ4 2024","Currency=USD","Period=FQ","BEST_FPERIOD_OVERRIDE=FQ","FILING_STATUS=MR","SCALING_FORMAT=MLN","Sort=A","Dates=H","DateFormat=P","Fill=—","Direction=H","UseDPDF=Y")</f>
        <v>45.280999999999999</v>
      </c>
      <c r="AA17" s="13"/>
    </row>
    <row r="18" spans="1:27" x14ac:dyDescent="0.25">
      <c r="A18" s="6" t="s">
        <v>1584</v>
      </c>
      <c r="B18" s="6" t="s">
        <v>1585</v>
      </c>
      <c r="C18" s="19">
        <f>_xll.BDH("SRPT US Equity","T12_CFF","FQ1 2019","FQ1 2019","Currency=USD","Period=FQ","BEST_FPERIOD_OVERRIDE=FQ","FILING_STATUS=MR","SCALING_FORMAT=MLN","Sort=A","Dates=H","DateFormat=P","Fill=—","Direction=H","UseDPDF=Y")</f>
        <v>900.24199999999996</v>
      </c>
      <c r="D18" s="19">
        <f>_xll.BDH("SRPT US Equity","T12_CFF","FQ2 2019","FQ2 2019","Currency=USD","Period=FQ","BEST_FPERIOD_OVERRIDE=FQ","FILING_STATUS=MR","SCALING_FORMAT=MLN","Sort=A","Dates=H","DateFormat=P","Fill=—","Direction=H","UseDPDF=Y")</f>
        <v>881.18299999999999</v>
      </c>
      <c r="E18" s="19">
        <f>_xll.BDH("SRPT US Equity","T12_CFF","FQ3 2019","FQ3 2019","Currency=USD","Period=FQ","BEST_FPERIOD_OVERRIDE=FQ","FILING_STATUS=MR","SCALING_FORMAT=MLN","Sort=A","Dates=H","DateFormat=P","Fill=—","Direction=H","UseDPDF=Y")</f>
        <v>906.87099999999998</v>
      </c>
      <c r="F18" s="19">
        <f>_xll.BDH("SRPT US Equity","T12_CFF","FQ4 2019","FQ4 2019","Currency=USD","Period=FQ","BEST_FPERIOD_OVERRIDE=FQ","FILING_STATUS=MR","SCALING_FORMAT=MLN","Sort=A","Dates=H","DateFormat=P","Fill=—","Direction=H","UseDPDF=Y")</f>
        <v>642.55399999999997</v>
      </c>
      <c r="G18" s="19">
        <f>_xll.BDH("SRPT US Equity","T12_CFF","FQ1 2020","FQ1 2020","Currency=USD","Period=FQ","BEST_FPERIOD_OVERRIDE=FQ","FILING_STATUS=MR","SCALING_FORMAT=MLN","Sort=A","Dates=H","DateFormat=P","Fill=—","Direction=H","UseDPDF=Y")</f>
        <v>584.01300000000003</v>
      </c>
      <c r="H18" s="19">
        <f>_xll.BDH("SRPT US Equity","T12_CFF","FQ2 2020","FQ2 2020","Currency=USD","Period=FQ","BEST_FPERIOD_OVERRIDE=FQ","FILING_STATUS=MR","SCALING_FORMAT=MLN","Sort=A","Dates=H","DateFormat=P","Fill=—","Direction=H","UseDPDF=Y")</f>
        <v>595.29600000000005</v>
      </c>
      <c r="I18" s="19">
        <f>_xll.BDH("SRPT US Equity","T12_CFF","FQ3 2020","FQ3 2020","Currency=USD","Period=FQ","BEST_FPERIOD_OVERRIDE=FQ","FILING_STATUS=MR","SCALING_FORMAT=MLN","Sort=A","Dates=H","DateFormat=P","Fill=—","Direction=H","UseDPDF=Y")</f>
        <v>319.08800000000002</v>
      </c>
      <c r="J18" s="19">
        <f>_xll.BDH("SRPT US Equity","T12_CFF","FQ4 2020","FQ4 2020","Currency=USD","Period=FQ","BEST_FPERIOD_OVERRIDE=FQ","FILING_STATUS=MR","SCALING_FORMAT=MLN","Sort=A","Dates=H","DateFormat=P","Fill=—","Direction=H","UseDPDF=Y")</f>
        <v>736.93799999999999</v>
      </c>
      <c r="K18" s="19">
        <f>_xll.BDH("SRPT US Equity","T12_CFF","FQ1 2021","FQ1 2021","Currency=USD","Period=FQ","BEST_FPERIOD_OVERRIDE=FQ","FILING_STATUS=MR","SCALING_FORMAT=MLN","Sort=A","Dates=H","DateFormat=P","Fill=—","Direction=H","UseDPDF=Y")</f>
        <v>420.80900000000003</v>
      </c>
      <c r="L18" s="19">
        <f>_xll.BDH("SRPT US Equity","T12_CFF","FQ2 2021","FQ2 2021","Currency=USD","Period=FQ","BEST_FPERIOD_OVERRIDE=FQ","FILING_STATUS=MR","SCALING_FORMAT=MLN","Sort=A","Dates=H","DateFormat=P","Fill=—","Direction=H","UseDPDF=Y")</f>
        <v>406.76</v>
      </c>
      <c r="M18" s="19">
        <f>_xll.BDH("SRPT US Equity","T12_CFF","FQ3 2021","FQ3 2021","Currency=USD","Period=FQ","BEST_FPERIOD_OVERRIDE=FQ","FILING_STATUS=MR","SCALING_FORMAT=MLN","Sort=A","Dates=H","DateFormat=P","Fill=—","Direction=H","UseDPDF=Y")</f>
        <v>687.13699999999994</v>
      </c>
      <c r="N18" s="19">
        <f>_xll.BDH("SRPT US Equity","T12_CFF","FQ4 2021","FQ4 2021","Currency=USD","Period=FQ","BEST_FPERIOD_OVERRIDE=FQ","FILING_STATUS=MR","SCALING_FORMAT=MLN","Sort=A","Dates=H","DateFormat=P","Fill=—","Direction=H","UseDPDF=Y")</f>
        <v>561.56899999999996</v>
      </c>
      <c r="O18" s="19">
        <f>_xll.BDH("SRPT US Equity","T12_CFF","FQ1 2022","FQ1 2022","Currency=USD","Period=FQ","BEST_FPERIOD_OVERRIDE=FQ","FILING_STATUS=MR","SCALING_FORMAT=MLN","Sort=A","Dates=H","DateFormat=P","Fill=—","Direction=H","UseDPDF=Y")</f>
        <v>563.66600000000005</v>
      </c>
      <c r="P18" s="19">
        <f>_xll.BDH("SRPT US Equity","T12_CFF","FQ2 2022","FQ2 2022","Currency=USD","Period=FQ","BEST_FPERIOD_OVERRIDE=FQ","FILING_STATUS=MR","SCALING_FORMAT=MLN","Sort=A","Dates=H","DateFormat=P","Fill=—","Direction=H","UseDPDF=Y")</f>
        <v>560.47900000000004</v>
      </c>
      <c r="Q18" s="19">
        <f>_xll.BDH("SRPT US Equity","T12_CFF","FQ3 2022","FQ3 2022","Currency=USD","Period=FQ","BEST_FPERIOD_OVERRIDE=FQ","FILING_STATUS=MR","SCALING_FORMAT=MLN","Sort=A","Dates=H","DateFormat=P","Fill=—","Direction=H","UseDPDF=Y")</f>
        <v>771.00599999999997</v>
      </c>
      <c r="R18" s="19">
        <f>_xll.BDH("SRPT US Equity","T12_CFF","FQ4 2022","FQ4 2022","Currency=USD","Period=FQ","BEST_FPERIOD_OVERRIDE=FQ","FILING_STATUS=MR","SCALING_FORMAT=MLN","Sort=A","Dates=H","DateFormat=P","Fill=—","Direction=H","UseDPDF=Y")</f>
        <v>232.50700000000001</v>
      </c>
      <c r="S18" s="19">
        <f>_xll.BDH("SRPT US Equity","T12_CFF","FQ1 2023","FQ1 2023","Currency=USD","Period=FQ","BEST_FPERIOD_OVERRIDE=FQ","FILING_STATUS=MR","SCALING_FORMAT=MLN","Sort=A","Dates=H","DateFormat=P","Fill=—","Direction=H","UseDPDF=Y")</f>
        <v>329.31200000000001</v>
      </c>
      <c r="T18" s="19">
        <f>_xll.BDH("SRPT US Equity","T12_CFF","FQ2 2023","FQ2 2023","Currency=USD","Period=FQ","BEST_FPERIOD_OVERRIDE=FQ","FILING_STATUS=MR","SCALING_FORMAT=MLN","Sort=A","Dates=H","DateFormat=P","Fill=—","Direction=H","UseDPDF=Y")</f>
        <v>334.834</v>
      </c>
      <c r="U18" s="19">
        <f>_xll.BDH("SRPT US Equity","T12_CFF","FQ3 2023","FQ3 2023","Currency=USD","Period=FQ","BEST_FPERIOD_OVERRIDE=FQ","FILING_STATUS=MR","SCALING_FORMAT=MLN","Sort=A","Dates=H","DateFormat=P","Fill=—","Direction=H","UseDPDF=Y")</f>
        <v>133.81</v>
      </c>
      <c r="V18" s="19">
        <f>_xll.BDH("SRPT US Equity","T12_CFF","FQ4 2023","FQ4 2023","Currency=USD","Period=FQ","BEST_FPERIOD_OVERRIDE=FQ","FILING_STATUS=MR","SCALING_FORMAT=MLN","Sort=A","Dates=H","DateFormat=P","Fill=—","Direction=H","UseDPDF=Y")</f>
        <v>125.004</v>
      </c>
      <c r="W18" s="19">
        <f>_xll.BDH("SRPT US Equity","T12_CFF","FQ1 2024","FQ1 2024","Currency=USD","Period=FQ","BEST_FPERIOD_OVERRIDE=FQ","FILING_STATUS=MR","SCALING_FORMAT=MLN","Sort=A","Dates=H","DateFormat=P","Fill=—","Direction=H","UseDPDF=Y")</f>
        <v>45.348999999999997</v>
      </c>
      <c r="X18" s="19">
        <f>_xll.BDH("SRPT US Equity","T12_CFF","FQ2 2024","FQ2 2024","Currency=USD","Period=FQ","BEST_FPERIOD_OVERRIDE=FQ","FILING_STATUS=MR","SCALING_FORMAT=MLN","Sort=A","Dates=H","DateFormat=P","Fill=—","Direction=H","UseDPDF=Y")</f>
        <v>79.406000000000006</v>
      </c>
      <c r="Y18" s="19">
        <f>_xll.BDH("SRPT US Equity","T12_CFF","FQ3 2024","FQ3 2024","Currency=USD","Period=FQ","BEST_FPERIOD_OVERRIDE=FQ","FILING_STATUS=MR","SCALING_FORMAT=MLN","Sort=A","Dates=H","DateFormat=P","Fill=—","Direction=H","UseDPDF=Y")</f>
        <v>77.757999999999996</v>
      </c>
      <c r="Z18" s="19">
        <f>_xll.BDH("SRPT US Equity","T12_CFF","FQ4 2024","FQ4 2024","Currency=USD","Period=FQ","BEST_FPERIOD_OVERRIDE=FQ","FILING_STATUS=MR","SCALING_FORMAT=MLN","Sort=A","Dates=H","DateFormat=P","Fill=—","Direction=H","UseDPDF=Y")</f>
        <v>124.806</v>
      </c>
      <c r="AA18" s="19"/>
    </row>
    <row r="19" spans="1:27" x14ac:dyDescent="0.25">
      <c r="A19" s="11" t="s">
        <v>60</v>
      </c>
      <c r="B19" s="11" t="s">
        <v>61</v>
      </c>
      <c r="C19" s="25">
        <f>_xll.BDH("SRPT US Equity","HISTORICAL_MARKET_CAP","FQ1 2019","FQ1 2019","Currency=USD","Period=FQ","BEST_FPERIOD_OVERRIDE=FQ","FILING_STATUS=MR","SCALING_FORMAT=MLN","Sort=A","Dates=H","DateFormat=P","Fill=—","Direction=H","UseDPDF=Y")</f>
        <v>8835.9743999999992</v>
      </c>
      <c r="D19" s="25">
        <f>_xll.BDH("SRPT US Equity","HISTORICAL_MARKET_CAP","FQ2 2019","FQ2 2019","Currency=USD","Period=FQ","BEST_FPERIOD_OVERRIDE=FQ","FILING_STATUS=MR","SCALING_FORMAT=MLN","Sort=A","Dates=H","DateFormat=P","Fill=—","Direction=H","UseDPDF=Y")</f>
        <v>11294.1042</v>
      </c>
      <c r="E19" s="25">
        <f>_xll.BDH("SRPT US Equity","HISTORICAL_MARKET_CAP","FQ3 2019","FQ3 2019","Currency=USD","Period=FQ","BEST_FPERIOD_OVERRIDE=FQ","FILING_STATUS=MR","SCALING_FORMAT=MLN","Sort=A","Dates=H","DateFormat=P","Fill=—","Direction=H","UseDPDF=Y")</f>
        <v>5611.7042000000001</v>
      </c>
      <c r="F19" s="25">
        <f>_xll.BDH("SRPT US Equity","HISTORICAL_MARKET_CAP","FQ4 2019","FQ4 2019","Currency=USD","Period=FQ","BEST_FPERIOD_OVERRIDE=FQ","FILING_STATUS=MR","SCALING_FORMAT=MLN","Sort=A","Dates=H","DateFormat=P","Fill=—","Direction=H","UseDPDF=Y")</f>
        <v>9701.8546999999999</v>
      </c>
      <c r="G19" s="25">
        <f>_xll.BDH("SRPT US Equity","HISTORICAL_MARKET_CAP","FQ1 2020","FQ1 2020","Currency=USD","Period=FQ","BEST_FPERIOD_OVERRIDE=FQ","FILING_STATUS=MR","SCALING_FORMAT=MLN","Sort=A","Dates=H","DateFormat=P","Fill=—","Direction=H","UseDPDF=Y")</f>
        <v>7625.8310000000001</v>
      </c>
      <c r="H19" s="25">
        <f>_xll.BDH("SRPT US Equity","HISTORICAL_MARKET_CAP","FQ2 2020","FQ2 2020","Currency=USD","Period=FQ","BEST_FPERIOD_OVERRIDE=FQ","FILING_STATUS=MR","SCALING_FORMAT=MLN","Sort=A","Dates=H","DateFormat=P","Fill=—","Direction=H","UseDPDF=Y")</f>
        <v>12575.826300000001</v>
      </c>
      <c r="I19" s="25">
        <f>_xll.BDH("SRPT US Equity","HISTORICAL_MARKET_CAP","FQ3 2020","FQ3 2020","Currency=USD","Period=FQ","BEST_FPERIOD_OVERRIDE=FQ","FILING_STATUS=MR","SCALING_FORMAT=MLN","Sort=A","Dates=H","DateFormat=P","Fill=—","Direction=H","UseDPDF=Y")</f>
        <v>11064.446</v>
      </c>
      <c r="J19" s="25">
        <f>_xll.BDH("SRPT US Equity","HISTORICAL_MARKET_CAP","FQ4 2020","FQ4 2020","Currency=USD","Period=FQ","BEST_FPERIOD_OVERRIDE=FQ","FILING_STATUS=MR","SCALING_FORMAT=MLN","Sort=A","Dates=H","DateFormat=P","Fill=—","Direction=H","UseDPDF=Y")</f>
        <v>13532.5154</v>
      </c>
      <c r="K19" s="25">
        <f>_xll.BDH("SRPT US Equity","HISTORICAL_MARKET_CAP","FQ1 2021","FQ1 2021","Currency=USD","Period=FQ","BEST_FPERIOD_OVERRIDE=FQ","FILING_STATUS=MR","SCALING_FORMAT=MLN","Sort=A","Dates=H","DateFormat=P","Fill=—","Direction=H","UseDPDF=Y")</f>
        <v>5943.6265999999996</v>
      </c>
      <c r="L19" s="25">
        <f>_xll.BDH("SRPT US Equity","HISTORICAL_MARKET_CAP","FQ2 2021","FQ2 2021","Currency=USD","Period=FQ","BEST_FPERIOD_OVERRIDE=FQ","FILING_STATUS=MR","SCALING_FORMAT=MLN","Sort=A","Dates=H","DateFormat=P","Fill=—","Direction=H","UseDPDF=Y")</f>
        <v>6206.0162</v>
      </c>
      <c r="M19" s="25">
        <f>_xll.BDH("SRPT US Equity","HISTORICAL_MARKET_CAP","FQ3 2021","FQ3 2021","Currency=USD","Period=FQ","BEST_FPERIOD_OVERRIDE=FQ","FILING_STATUS=MR","SCALING_FORMAT=MLN","Sort=A","Dates=H","DateFormat=P","Fill=—","Direction=H","UseDPDF=Y")</f>
        <v>7394.5645999999997</v>
      </c>
      <c r="N19" s="25">
        <f>_xll.BDH("SRPT US Equity","HISTORICAL_MARKET_CAP","FQ4 2021","FQ4 2021","Currency=USD","Period=FQ","BEST_FPERIOD_OVERRIDE=FQ","FILING_STATUS=MR","SCALING_FORMAT=MLN","Sort=A","Dates=H","DateFormat=P","Fill=—","Direction=H","UseDPDF=Y")</f>
        <v>7845.7839999999997</v>
      </c>
      <c r="O19" s="25">
        <f>_xll.BDH("SRPT US Equity","HISTORICAL_MARKET_CAP","FQ1 2022","FQ1 2022","Currency=USD","Period=FQ","BEST_FPERIOD_OVERRIDE=FQ","FILING_STATUS=MR","SCALING_FORMAT=MLN","Sort=A","Dates=H","DateFormat=P","Fill=—","Direction=H","UseDPDF=Y")</f>
        <v>6835.1567999999997</v>
      </c>
      <c r="P19" s="25">
        <f>_xll.BDH("SRPT US Equity","HISTORICAL_MARKET_CAP","FQ2 2022","FQ2 2022","Currency=USD","Period=FQ","BEST_FPERIOD_OVERRIDE=FQ","FILING_STATUS=MR","SCALING_FORMAT=MLN","Sort=A","Dates=H","DateFormat=P","Fill=—","Direction=H","UseDPDF=Y")</f>
        <v>6561.6459999999997</v>
      </c>
      <c r="Q19" s="25">
        <f>_xll.BDH("SRPT US Equity","HISTORICAL_MARKET_CAP","FQ3 2022","FQ3 2022","Currency=USD","Period=FQ","BEST_FPERIOD_OVERRIDE=FQ","FILING_STATUS=MR","SCALING_FORMAT=MLN","Sort=A","Dates=H","DateFormat=P","Fill=—","Direction=H","UseDPDF=Y")</f>
        <v>9701.6756000000005</v>
      </c>
      <c r="R19" s="25">
        <f>_xll.BDH("SRPT US Equity","HISTORICAL_MARKET_CAP","FQ4 2022","FQ4 2022","Currency=USD","Period=FQ","BEST_FPERIOD_OVERRIDE=FQ","FILING_STATUS=MR","SCALING_FORMAT=MLN","Sort=A","Dates=H","DateFormat=P","Fill=—","Direction=H","UseDPDF=Y")</f>
        <v>11396.5762</v>
      </c>
      <c r="S19" s="25">
        <f>_xll.BDH("SRPT US Equity","HISTORICAL_MARKET_CAP","FQ1 2023","FQ1 2023","Currency=USD","Period=FQ","BEST_FPERIOD_OVERRIDE=FQ","FILING_STATUS=MR","SCALING_FORMAT=MLN","Sort=A","Dates=H","DateFormat=P","Fill=—","Direction=H","UseDPDF=Y")</f>
        <v>12837.504800000001</v>
      </c>
      <c r="T19" s="25">
        <f>_xll.BDH("SRPT US Equity","HISTORICAL_MARKET_CAP","FQ2 2023","FQ2 2023","Currency=USD","Period=FQ","BEST_FPERIOD_OVERRIDE=FQ","FILING_STATUS=MR","SCALING_FORMAT=MLN","Sort=A","Dates=H","DateFormat=P","Fill=—","Direction=H","UseDPDF=Y")</f>
        <v>10681.6859</v>
      </c>
      <c r="U19" s="25">
        <f>_xll.BDH("SRPT US Equity","HISTORICAL_MARKET_CAP","FQ3 2023","FQ3 2023","Currency=USD","Period=FQ","BEST_FPERIOD_OVERRIDE=FQ","FILING_STATUS=MR","SCALING_FORMAT=MLN","Sort=A","Dates=H","DateFormat=P","Fill=—","Direction=H","UseDPDF=Y")</f>
        <v>11338.5982</v>
      </c>
      <c r="V19" s="25">
        <f>_xll.BDH("SRPT US Equity","HISTORICAL_MARKET_CAP","FQ4 2023","FQ4 2023","Currency=USD","Period=FQ","BEST_FPERIOD_OVERRIDE=FQ","FILING_STATUS=MR","SCALING_FORMAT=MLN","Sort=A","Dates=H","DateFormat=P","Fill=—","Direction=H","UseDPDF=Y")</f>
        <v>9038.5604999999996</v>
      </c>
      <c r="W19" s="25">
        <f>_xll.BDH("SRPT US Equity","HISTORICAL_MARKET_CAP","FQ1 2024","FQ1 2024","Currency=USD","Period=FQ","BEST_FPERIOD_OVERRIDE=FQ","FILING_STATUS=MR","SCALING_FORMAT=MLN","Sort=A","Dates=H","DateFormat=P","Fill=—","Direction=H","UseDPDF=Y")</f>
        <v>12232.6957</v>
      </c>
      <c r="X19" s="25">
        <f>_xll.BDH("SRPT US Equity","HISTORICAL_MARKET_CAP","FQ2 2024","FQ2 2024","Currency=USD","Period=FQ","BEST_FPERIOD_OVERRIDE=FQ","FILING_STATUS=MR","SCALING_FORMAT=MLN","Sort=A","Dates=H","DateFormat=P","Fill=—","Direction=H","UseDPDF=Y")</f>
        <v>15054.650799999999</v>
      </c>
      <c r="Y19" s="25">
        <f>_xll.BDH("SRPT US Equity","HISTORICAL_MARKET_CAP","FQ3 2024","FQ3 2024","Currency=USD","Period=FQ","BEST_FPERIOD_OVERRIDE=FQ","FILING_STATUS=MR","SCALING_FORMAT=MLN","Sort=A","Dates=H","DateFormat=P","Fill=—","Direction=H","UseDPDF=Y")</f>
        <v>11926.1214</v>
      </c>
      <c r="Z19" s="25">
        <f>_xll.BDH("SRPT US Equity","HISTORICAL_MARKET_CAP","FQ4 2024","FQ4 2024","Currency=USD","Period=FQ","BEST_FPERIOD_OVERRIDE=FQ","FILING_STATUS=MR","SCALING_FORMAT=MLN","Sort=A","Dates=H","DateFormat=P","Fill=—","Direction=H","UseDPDF=Y")</f>
        <v>11782.131299999999</v>
      </c>
      <c r="AA19" s="25"/>
    </row>
    <row r="20" spans="1:27" x14ac:dyDescent="0.25">
      <c r="A20" s="6" t="s">
        <v>1586</v>
      </c>
      <c r="B20" s="6" t="s">
        <v>1587</v>
      </c>
      <c r="C20" s="20">
        <f>_xll.BDH("SRPT US Equity","SHAREHOLDER_YIELD_CFF","FQ1 2019","FQ1 2019","Currency=USD","Period=FQ","BEST_FPERIOD_OVERRIDE=FQ","FILING_STATUS=MR","Sort=A","Dates=H","DateFormat=P","Fill=—","Direction=H","UseDPDF=Y")</f>
        <v>-10.1884</v>
      </c>
      <c r="D20" s="20">
        <f>_xll.BDH("SRPT US Equity","SHAREHOLDER_YIELD_CFF","FQ2 2019","FQ2 2019","Currency=USD","Period=FQ","BEST_FPERIOD_OVERRIDE=FQ","FILING_STATUS=MR","Sort=A","Dates=H","DateFormat=P","Fill=—","Direction=H","UseDPDF=Y")</f>
        <v>-7.8022</v>
      </c>
      <c r="E20" s="20">
        <f>_xll.BDH("SRPT US Equity","SHAREHOLDER_YIELD_CFF","FQ3 2019","FQ3 2019","Currency=USD","Period=FQ","BEST_FPERIOD_OVERRIDE=FQ","FILING_STATUS=MR","Sort=A","Dates=H","DateFormat=P","Fill=—","Direction=H","UseDPDF=Y")</f>
        <v>-16.160299999999999</v>
      </c>
      <c r="F20" s="20">
        <f>_xll.BDH("SRPT US Equity","SHAREHOLDER_YIELD_CFF","FQ4 2019","FQ4 2019","Currency=USD","Period=FQ","BEST_FPERIOD_OVERRIDE=FQ","FILING_STATUS=MR","Sort=A","Dates=H","DateFormat=P","Fill=—","Direction=H","UseDPDF=Y")</f>
        <v>-6.6230000000000002</v>
      </c>
      <c r="G20" s="20">
        <f>_xll.BDH("SRPT US Equity","SHAREHOLDER_YIELD_CFF","FQ1 2020","FQ1 2020","Currency=USD","Period=FQ","BEST_FPERIOD_OVERRIDE=FQ","FILING_STATUS=MR","Sort=A","Dates=H","DateFormat=P","Fill=—","Direction=H","UseDPDF=Y")</f>
        <v>-7.6584000000000003</v>
      </c>
      <c r="H20" s="20">
        <f>_xll.BDH("SRPT US Equity","SHAREHOLDER_YIELD_CFF","FQ2 2020","FQ2 2020","Currency=USD","Period=FQ","BEST_FPERIOD_OVERRIDE=FQ","FILING_STATUS=MR","Sort=A","Dates=H","DateFormat=P","Fill=—","Direction=H","UseDPDF=Y")</f>
        <v>-4.7336999999999998</v>
      </c>
      <c r="I20" s="20">
        <f>_xll.BDH("SRPT US Equity","SHAREHOLDER_YIELD_CFF","FQ3 2020","FQ3 2020","Currency=USD","Period=FQ","BEST_FPERIOD_OVERRIDE=FQ","FILING_STATUS=MR","Sort=A","Dates=H","DateFormat=P","Fill=—","Direction=H","UseDPDF=Y")</f>
        <v>-2.8839000000000001</v>
      </c>
      <c r="J20" s="20">
        <f>_xll.BDH("SRPT US Equity","SHAREHOLDER_YIELD_CFF","FQ4 2020","FQ4 2020","Currency=USD","Period=FQ","BEST_FPERIOD_OVERRIDE=FQ","FILING_STATUS=MR","Sort=A","Dates=H","DateFormat=P","Fill=—","Direction=H","UseDPDF=Y")</f>
        <v>-5.4457000000000004</v>
      </c>
      <c r="K20" s="20">
        <f>_xll.BDH("SRPT US Equity","SHAREHOLDER_YIELD_CFF","FQ1 2021","FQ1 2021","Currency=USD","Period=FQ","BEST_FPERIOD_OVERRIDE=FQ","FILING_STATUS=MR","Sort=A","Dates=H","DateFormat=P","Fill=—","Direction=H","UseDPDF=Y")</f>
        <v>-7.08</v>
      </c>
      <c r="L20" s="20">
        <f>_xll.BDH("SRPT US Equity","SHAREHOLDER_YIELD_CFF","FQ2 2021","FQ2 2021","Currency=USD","Period=FQ","BEST_FPERIOD_OVERRIDE=FQ","FILING_STATUS=MR","Sort=A","Dates=H","DateFormat=P","Fill=—","Direction=H","UseDPDF=Y")</f>
        <v>-6.5542999999999996</v>
      </c>
      <c r="M20" s="20">
        <f>_xll.BDH("SRPT US Equity","SHAREHOLDER_YIELD_CFF","FQ3 2021","FQ3 2021","Currency=USD","Period=FQ","BEST_FPERIOD_OVERRIDE=FQ","FILING_STATUS=MR","Sort=A","Dates=H","DateFormat=P","Fill=—","Direction=H","UseDPDF=Y")</f>
        <v>-9.2925000000000004</v>
      </c>
      <c r="N20" s="20">
        <f>_xll.BDH("SRPT US Equity","SHAREHOLDER_YIELD_CFF","FQ4 2021","FQ4 2021","Currency=USD","Period=FQ","BEST_FPERIOD_OVERRIDE=FQ","FILING_STATUS=MR","Sort=A","Dates=H","DateFormat=P","Fill=—","Direction=H","UseDPDF=Y")</f>
        <v>-7.1576000000000004</v>
      </c>
      <c r="O20" s="20">
        <f>_xll.BDH("SRPT US Equity","SHAREHOLDER_YIELD_CFF","FQ1 2022","FQ1 2022","Currency=USD","Period=FQ","BEST_FPERIOD_OVERRIDE=FQ","FILING_STATUS=MR","Sort=A","Dates=H","DateFormat=P","Fill=—","Direction=H","UseDPDF=Y")</f>
        <v>-8.2466000000000008</v>
      </c>
      <c r="P20" s="20">
        <f>_xll.BDH("SRPT US Equity","SHAREHOLDER_YIELD_CFF","FQ2 2022","FQ2 2022","Currency=USD","Period=FQ","BEST_FPERIOD_OVERRIDE=FQ","FILING_STATUS=MR","Sort=A","Dates=H","DateFormat=P","Fill=—","Direction=H","UseDPDF=Y")</f>
        <v>-8.5417000000000005</v>
      </c>
      <c r="Q20" s="20">
        <f>_xll.BDH("SRPT US Equity","SHAREHOLDER_YIELD_CFF","FQ3 2022","FQ3 2022","Currency=USD","Period=FQ","BEST_FPERIOD_OVERRIDE=FQ","FILING_STATUS=MR","Sort=A","Dates=H","DateFormat=P","Fill=—","Direction=H","UseDPDF=Y")</f>
        <v>-7.9470999999999998</v>
      </c>
      <c r="R20" s="20">
        <f>_xll.BDH("SRPT US Equity","SHAREHOLDER_YIELD_CFF","FQ4 2022","FQ4 2022","Currency=USD","Period=FQ","BEST_FPERIOD_OVERRIDE=FQ","FILING_STATUS=MR","Sort=A","Dates=H","DateFormat=P","Fill=—","Direction=H","UseDPDF=Y")</f>
        <v>-2.0400999999999998</v>
      </c>
      <c r="S20" s="20">
        <f>_xll.BDH("SRPT US Equity","SHAREHOLDER_YIELD_CFF","FQ1 2023","FQ1 2023","Currency=USD","Period=FQ","BEST_FPERIOD_OVERRIDE=FQ","FILING_STATUS=MR","Sort=A","Dates=H","DateFormat=P","Fill=—","Direction=H","UseDPDF=Y")</f>
        <v>-2.5651999999999999</v>
      </c>
      <c r="T20" s="20">
        <f>_xll.BDH("SRPT US Equity","SHAREHOLDER_YIELD_CFF","FQ2 2023","FQ2 2023","Currency=USD","Period=FQ","BEST_FPERIOD_OVERRIDE=FQ","FILING_STATUS=MR","Sort=A","Dates=H","DateFormat=P","Fill=—","Direction=H","UseDPDF=Y")</f>
        <v>-3.1347</v>
      </c>
      <c r="U20" s="20">
        <f>_xll.BDH("SRPT US Equity","SHAREHOLDER_YIELD_CFF","FQ3 2023","FQ3 2023","Currency=USD","Period=FQ","BEST_FPERIOD_OVERRIDE=FQ","FILING_STATUS=MR","Sort=A","Dates=H","DateFormat=P","Fill=—","Direction=H","UseDPDF=Y")</f>
        <v>-1.1800999999999999</v>
      </c>
      <c r="V20" s="20">
        <f>_xll.BDH("SRPT US Equity","SHAREHOLDER_YIELD_CFF","FQ4 2023","FQ4 2023","Currency=USD","Period=FQ","BEST_FPERIOD_OVERRIDE=FQ","FILING_STATUS=MR","Sort=A","Dates=H","DateFormat=P","Fill=—","Direction=H","UseDPDF=Y")</f>
        <v>-1.383</v>
      </c>
      <c r="W20" s="20">
        <f>_xll.BDH("SRPT US Equity","SHAREHOLDER_YIELD_CFF","FQ1 2024","FQ1 2024","Currency=USD","Period=FQ","BEST_FPERIOD_OVERRIDE=FQ","FILING_STATUS=MR","Sort=A","Dates=H","DateFormat=P","Fill=—","Direction=H","UseDPDF=Y")</f>
        <v>-0.37069999999999997</v>
      </c>
      <c r="X20" s="20">
        <f>_xll.BDH("SRPT US Equity","SHAREHOLDER_YIELD_CFF","FQ2 2024","FQ2 2024","Currency=USD","Period=FQ","BEST_FPERIOD_OVERRIDE=FQ","FILING_STATUS=MR","Sort=A","Dates=H","DateFormat=P","Fill=—","Direction=H","UseDPDF=Y")</f>
        <v>-0.52749999999999997</v>
      </c>
      <c r="Y20" s="20">
        <f>_xll.BDH("SRPT US Equity","SHAREHOLDER_YIELD_CFF","FQ3 2024","FQ3 2024","Currency=USD","Period=FQ","BEST_FPERIOD_OVERRIDE=FQ","FILING_STATUS=MR","Sort=A","Dates=H","DateFormat=P","Fill=—","Direction=H","UseDPDF=Y")</f>
        <v>-0.65200000000000002</v>
      </c>
      <c r="Z20" s="20">
        <f>_xll.BDH("SRPT US Equity","SHAREHOLDER_YIELD_CFF","FQ4 2024","FQ4 2024","Currency=USD","Period=FQ","BEST_FPERIOD_OVERRIDE=FQ","FILING_STATUS=MR","Sort=A","Dates=H","DateFormat=P","Fill=—","Direction=H","UseDPDF=Y")</f>
        <v>-1.0592999999999999</v>
      </c>
      <c r="AA20" s="20"/>
    </row>
    <row r="21" spans="1:27" x14ac:dyDescent="0.25">
      <c r="A21" s="6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x14ac:dyDescent="0.25">
      <c r="A22" s="10" t="s">
        <v>1588</v>
      </c>
      <c r="B22" s="10" t="s">
        <v>1576</v>
      </c>
      <c r="C22" s="13">
        <f>_xll.BDH("SRPT US Equity","T12M_DVDS_PAID","FQ1 2019","FQ1 2019","Currency=USD","Period=FQ","BEST_FPERIOD_OVERRIDE=FQ","FILING_STATUS=MR","SCALING_FORMAT=MLN","Sort=A","Dates=H","DateFormat=P","Fill=—","Direction=H","UseDPDF=Y")</f>
        <v>0</v>
      </c>
      <c r="D22" s="13">
        <f>_xll.BDH("SRPT US Equity","T12M_DVDS_PAID","FQ2 2019","FQ2 2019","Currency=USD","Period=FQ","BEST_FPERIOD_OVERRIDE=FQ","FILING_STATUS=MR","SCALING_FORMAT=MLN","Sort=A","Dates=H","DateFormat=P","Fill=—","Direction=H","UseDPDF=Y")</f>
        <v>0</v>
      </c>
      <c r="E22" s="13">
        <f>_xll.BDH("SRPT US Equity","T12M_DVDS_PAID","FQ3 2019","FQ3 2019","Currency=USD","Period=FQ","BEST_FPERIOD_OVERRIDE=FQ","FILING_STATUS=MR","SCALING_FORMAT=MLN","Sort=A","Dates=H","DateFormat=P","Fill=—","Direction=H","UseDPDF=Y")</f>
        <v>0</v>
      </c>
      <c r="F22" s="13">
        <f>_xll.BDH("SRPT US Equity","T12M_DVDS_PAID","FQ4 2019","FQ4 2019","Currency=USD","Period=FQ","BEST_FPERIOD_OVERRIDE=FQ","FILING_STATUS=MR","SCALING_FORMAT=MLN","Sort=A","Dates=H","DateFormat=P","Fill=—","Direction=H","UseDPDF=Y")</f>
        <v>0</v>
      </c>
      <c r="G22" s="13">
        <f>_xll.BDH("SRPT US Equity","T12M_DVDS_PAID","FQ1 2020","FQ1 2020","Currency=USD","Period=FQ","BEST_FPERIOD_OVERRIDE=FQ","FILING_STATUS=MR","SCALING_FORMAT=MLN","Sort=A","Dates=H","DateFormat=P","Fill=—","Direction=H","UseDPDF=Y")</f>
        <v>0</v>
      </c>
      <c r="H22" s="13">
        <f>_xll.BDH("SRPT US Equity","T12M_DVDS_PAID","FQ2 2020","FQ2 2020","Currency=USD","Period=FQ","BEST_FPERIOD_OVERRIDE=FQ","FILING_STATUS=MR","SCALING_FORMAT=MLN","Sort=A","Dates=H","DateFormat=P","Fill=—","Direction=H","UseDPDF=Y")</f>
        <v>0</v>
      </c>
      <c r="I22" s="13">
        <f>_xll.BDH("SRPT US Equity","T12M_DVDS_PAID","FQ3 2020","FQ3 2020","Currency=USD","Period=FQ","BEST_FPERIOD_OVERRIDE=FQ","FILING_STATUS=MR","SCALING_FORMAT=MLN","Sort=A","Dates=H","DateFormat=P","Fill=—","Direction=H","UseDPDF=Y")</f>
        <v>0</v>
      </c>
      <c r="J22" s="13">
        <f>_xll.BDH("SRPT US Equity","T12M_DVDS_PAID","FQ4 2020","FQ4 2020","Currency=USD","Period=FQ","BEST_FPERIOD_OVERRIDE=FQ","FILING_STATUS=MR","SCALING_FORMAT=MLN","Sort=A","Dates=H","DateFormat=P","Fill=—","Direction=H","UseDPDF=Y")</f>
        <v>0</v>
      </c>
      <c r="K22" s="13">
        <f>_xll.BDH("SRPT US Equity","T12M_DVDS_PAID","FQ1 2021","FQ1 2021","Currency=USD","Period=FQ","BEST_FPERIOD_OVERRIDE=FQ","FILING_STATUS=MR","SCALING_FORMAT=MLN","Sort=A","Dates=H","DateFormat=P","Fill=—","Direction=H","UseDPDF=Y")</f>
        <v>0</v>
      </c>
      <c r="L22" s="13">
        <f>_xll.BDH("SRPT US Equity","T12M_DVDS_PAID","FQ2 2021","FQ2 2021","Currency=USD","Period=FQ","BEST_FPERIOD_OVERRIDE=FQ","FILING_STATUS=MR","SCALING_FORMAT=MLN","Sort=A","Dates=H","DateFormat=P","Fill=—","Direction=H","UseDPDF=Y")</f>
        <v>0</v>
      </c>
      <c r="M22" s="13">
        <f>_xll.BDH("SRPT US Equity","T12M_DVDS_PAID","FQ3 2021","FQ3 2021","Currency=USD","Period=FQ","BEST_FPERIOD_OVERRIDE=FQ","FILING_STATUS=MR","SCALING_FORMAT=MLN","Sort=A","Dates=H","DateFormat=P","Fill=—","Direction=H","UseDPDF=Y")</f>
        <v>0</v>
      </c>
      <c r="N22" s="13">
        <f>_xll.BDH("SRPT US Equity","T12M_DVDS_PAID","FQ4 2021","FQ4 2021","Currency=USD","Period=FQ","BEST_FPERIOD_OVERRIDE=FQ","FILING_STATUS=MR","SCALING_FORMAT=MLN","Sort=A","Dates=H","DateFormat=P","Fill=—","Direction=H","UseDPDF=Y")</f>
        <v>0</v>
      </c>
      <c r="O22" s="13">
        <f>_xll.BDH("SRPT US Equity","T12M_DVDS_PAID","FQ1 2022","FQ1 2022","Currency=USD","Period=FQ","BEST_FPERIOD_OVERRIDE=FQ","FILING_STATUS=MR","SCALING_FORMAT=MLN","Sort=A","Dates=H","DateFormat=P","Fill=—","Direction=H","UseDPDF=Y")</f>
        <v>0</v>
      </c>
      <c r="P22" s="13">
        <f>_xll.BDH("SRPT US Equity","T12M_DVDS_PAID","FQ2 2022","FQ2 2022","Currency=USD","Period=FQ","BEST_FPERIOD_OVERRIDE=FQ","FILING_STATUS=MR","SCALING_FORMAT=MLN","Sort=A","Dates=H","DateFormat=P","Fill=—","Direction=H","UseDPDF=Y")</f>
        <v>0</v>
      </c>
      <c r="Q22" s="13">
        <f>_xll.BDH("SRPT US Equity","T12M_DVDS_PAID","FQ3 2022","FQ3 2022","Currency=USD","Period=FQ","BEST_FPERIOD_OVERRIDE=FQ","FILING_STATUS=MR","SCALING_FORMAT=MLN","Sort=A","Dates=H","DateFormat=P","Fill=—","Direction=H","UseDPDF=Y")</f>
        <v>0</v>
      </c>
      <c r="R22" s="13">
        <f>_xll.BDH("SRPT US Equity","T12M_DVDS_PAID","FQ4 2022","FQ4 2022","Currency=USD","Period=FQ","BEST_FPERIOD_OVERRIDE=FQ","FILING_STATUS=MR","SCALING_FORMAT=MLN","Sort=A","Dates=H","DateFormat=P","Fill=—","Direction=H","UseDPDF=Y")</f>
        <v>0</v>
      </c>
      <c r="S22" s="13">
        <f>_xll.BDH("SRPT US Equity","T12M_DVDS_PAID","FQ1 2023","FQ1 2023","Currency=USD","Period=FQ","BEST_FPERIOD_OVERRIDE=FQ","FILING_STATUS=MR","SCALING_FORMAT=MLN","Sort=A","Dates=H","DateFormat=P","Fill=—","Direction=H","UseDPDF=Y")</f>
        <v>0</v>
      </c>
      <c r="T22" s="13">
        <f>_xll.BDH("SRPT US Equity","T12M_DVDS_PAID","FQ2 2023","FQ2 2023","Currency=USD","Period=FQ","BEST_FPERIOD_OVERRIDE=FQ","FILING_STATUS=MR","SCALING_FORMAT=MLN","Sort=A","Dates=H","DateFormat=P","Fill=—","Direction=H","UseDPDF=Y")</f>
        <v>0</v>
      </c>
      <c r="U22" s="13">
        <f>_xll.BDH("SRPT US Equity","T12M_DVDS_PAID","FQ3 2023","FQ3 2023","Currency=USD","Period=FQ","BEST_FPERIOD_OVERRIDE=FQ","FILING_STATUS=MR","SCALING_FORMAT=MLN","Sort=A","Dates=H","DateFormat=P","Fill=—","Direction=H","UseDPDF=Y")</f>
        <v>0</v>
      </c>
      <c r="V22" s="13">
        <f>_xll.BDH("SRPT US Equity","T12M_DVDS_PAID","FQ4 2023","FQ4 2023","Currency=USD","Period=FQ","BEST_FPERIOD_OVERRIDE=FQ","FILING_STATUS=MR","SCALING_FORMAT=MLN","Sort=A","Dates=H","DateFormat=P","Fill=—","Direction=H","UseDPDF=Y")</f>
        <v>0</v>
      </c>
      <c r="W22" s="13">
        <f>_xll.BDH("SRPT US Equity","T12M_DVDS_PAID","FQ1 2024","FQ1 2024","Currency=USD","Period=FQ","BEST_FPERIOD_OVERRIDE=FQ","FILING_STATUS=MR","SCALING_FORMAT=MLN","Sort=A","Dates=H","DateFormat=P","Fill=—","Direction=H","UseDPDF=Y")</f>
        <v>0</v>
      </c>
      <c r="X22" s="13">
        <f>_xll.BDH("SRPT US Equity","T12M_DVDS_PAID","FQ2 2024","FQ2 2024","Currency=USD","Period=FQ","BEST_FPERIOD_OVERRIDE=FQ","FILING_STATUS=MR","SCALING_FORMAT=MLN","Sort=A","Dates=H","DateFormat=P","Fill=—","Direction=H","UseDPDF=Y")</f>
        <v>0</v>
      </c>
      <c r="Y22" s="13">
        <f>_xll.BDH("SRPT US Equity","T12M_DVDS_PAID","FQ3 2024","FQ3 2024","Currency=USD","Period=FQ","BEST_FPERIOD_OVERRIDE=FQ","FILING_STATUS=MR","SCALING_FORMAT=MLN","Sort=A","Dates=H","DateFormat=P","Fill=—","Direction=H","UseDPDF=Y")</f>
        <v>0</v>
      </c>
      <c r="Z22" s="13">
        <f>_xll.BDH("SRPT US Equity","T12M_DVDS_PAID","FQ4 2024","FQ4 2024","Currency=USD","Period=FQ","BEST_FPERIOD_OVERRIDE=FQ","FILING_STATUS=MR","SCALING_FORMAT=MLN","Sort=A","Dates=H","DateFormat=P","Fill=—","Direction=H","UseDPDF=Y")</f>
        <v>0</v>
      </c>
      <c r="AA22" s="13"/>
    </row>
    <row r="23" spans="1:27" x14ac:dyDescent="0.25">
      <c r="A23" s="10" t="s">
        <v>1589</v>
      </c>
      <c r="B23" s="10" t="s">
        <v>1578</v>
      </c>
      <c r="C23" s="13">
        <f>_xll.BDH("SRPT US Equity","T12M_NET_CAPITAL_STOCK","FQ1 2019","FQ1 2019","Currency=USD","Period=FQ","BEST_FPERIOD_OVERRIDE=FQ","FILING_STATUS=MR","SCALING_FORMAT=MLN","Sort=A","Dates=H","DateFormat=P","Fill=—","Direction=H","UseDPDF=Y")</f>
        <v>928.55100000000004</v>
      </c>
      <c r="D23" s="13">
        <f>_xll.BDH("SRPT US Equity","T12M_NET_CAPITAL_STOCK","FQ2 2019","FQ2 2019","Currency=USD","Period=FQ","BEST_FPERIOD_OVERRIDE=FQ","FILING_STATUS=MR","SCALING_FORMAT=MLN","Sort=A","Dates=H","DateFormat=P","Fill=—","Direction=H","UseDPDF=Y")</f>
        <v>913.98900000000003</v>
      </c>
      <c r="E23" s="13">
        <f>_xll.BDH("SRPT US Equity","T12M_NET_CAPITAL_STOCK","FQ3 2019","FQ3 2019","Currency=USD","Period=FQ","BEST_FPERIOD_OVERRIDE=FQ","FILING_STATUS=MR","SCALING_FORMAT=MLN","Sort=A","Dates=H","DateFormat=P","Fill=—","Direction=H","UseDPDF=Y")</f>
        <v>910.52499999999998</v>
      </c>
      <c r="F23" s="13">
        <f>_xll.BDH("SRPT US Equity","T12M_NET_CAPITAL_STOCK","FQ4 2019","FQ4 2019","Currency=USD","Period=FQ","BEST_FPERIOD_OVERRIDE=FQ","FILING_STATUS=MR","SCALING_FORMAT=MLN","Sort=A","Dates=H","DateFormat=P","Fill=—","Direction=H","UseDPDF=Y")</f>
        <v>401.95499999999998</v>
      </c>
      <c r="G23" s="13">
        <f>_xll.BDH("SRPT US Equity","T12M_NET_CAPITAL_STOCK","FQ1 2020","FQ1 2020","Currency=USD","Period=FQ","BEST_FPERIOD_OVERRIDE=FQ","FILING_STATUS=MR","SCALING_FORMAT=MLN","Sort=A","Dates=H","DateFormat=P","Fill=—","Direction=H","UseDPDF=Y")</f>
        <v>348.21199999999999</v>
      </c>
      <c r="H23" s="13">
        <f>_xll.BDH("SRPT US Equity","T12M_NET_CAPITAL_STOCK","FQ2 2020","FQ2 2020","Currency=USD","Period=FQ","BEST_FPERIOD_OVERRIDE=FQ","FILING_STATUS=MR","SCALING_FORMAT=MLN","Sort=A","Dates=H","DateFormat=P","Fill=—","Direction=H","UseDPDF=Y")</f>
        <v>358.60599999999999</v>
      </c>
      <c r="I23" s="13">
        <f>_xll.BDH("SRPT US Equity","T12M_NET_CAPITAL_STOCK","FQ3 2020","FQ3 2020","Currency=USD","Period=FQ","BEST_FPERIOD_OVERRIDE=FQ","FILING_STATUS=MR","SCALING_FORMAT=MLN","Sort=A","Dates=H","DateFormat=P","Fill=—","Direction=H","UseDPDF=Y")</f>
        <v>60.161000000000001</v>
      </c>
      <c r="J23" s="13">
        <f>_xll.BDH("SRPT US Equity","T12M_NET_CAPITAL_STOCK","FQ4 2020","FQ4 2020","Currency=USD","Period=FQ","BEST_FPERIOD_OVERRIDE=FQ","FILING_STATUS=MR","SCALING_FORMAT=MLN","Sort=A","Dates=H","DateFormat=P","Fill=—","Direction=H","UseDPDF=Y")</f>
        <v>396.01</v>
      </c>
      <c r="K23" s="13">
        <f>_xll.BDH("SRPT US Equity","T12M_NET_CAPITAL_STOCK","FQ1 2021","FQ1 2021","Currency=USD","Period=FQ","BEST_FPERIOD_OVERRIDE=FQ","FILING_STATUS=MR","SCALING_FORMAT=MLN","Sort=A","Dates=H","DateFormat=P","Fill=—","Direction=H","UseDPDF=Y")</f>
        <v>81.415999999999997</v>
      </c>
      <c r="L23" s="13">
        <f>_xll.BDH("SRPT US Equity","T12M_NET_CAPITAL_STOCK","FQ2 2021","FQ2 2021","Currency=USD","Period=FQ","BEST_FPERIOD_OVERRIDE=FQ","FILING_STATUS=MR","SCALING_FORMAT=MLN","Sort=A","Dates=H","DateFormat=P","Fill=—","Direction=H","UseDPDF=Y")</f>
        <v>67.367000000000004</v>
      </c>
      <c r="M23" s="13">
        <f>_xll.BDH("SRPT US Equity","T12M_NET_CAPITAL_STOCK","FQ3 2021","FQ3 2021","Currency=USD","Period=FQ","BEST_FPERIOD_OVERRIDE=FQ","FILING_STATUS=MR","SCALING_FORMAT=MLN","Sort=A","Dates=H","DateFormat=P","Fill=—","Direction=H","UseDPDF=Y")</f>
        <v>366.53300000000002</v>
      </c>
      <c r="N23" s="13">
        <f>_xll.BDH("SRPT US Equity","T12M_NET_CAPITAL_STOCK","FQ4 2021","FQ4 2021","Currency=USD","Period=FQ","BEST_FPERIOD_OVERRIDE=FQ","FILING_STATUS=MR","SCALING_FORMAT=MLN","Sort=A","Dates=H","DateFormat=P","Fill=—","Direction=H","UseDPDF=Y")</f>
        <v>569.33399999999995</v>
      </c>
      <c r="O23" s="13">
        <f>_xll.BDH("SRPT US Equity","T12M_NET_CAPITAL_STOCK","FQ1 2022","FQ1 2022","Currency=USD","Period=FQ","BEST_FPERIOD_OVERRIDE=FQ","FILING_STATUS=MR","SCALING_FORMAT=MLN","Sort=A","Dates=H","DateFormat=P","Fill=—","Direction=H","UseDPDF=Y")</f>
        <v>565.09799999999996</v>
      </c>
      <c r="P23" s="13">
        <f>_xll.BDH("SRPT US Equity","T12M_NET_CAPITAL_STOCK","FQ2 2022","FQ2 2022","Currency=USD","Period=FQ","BEST_FPERIOD_OVERRIDE=FQ","FILING_STATUS=MR","SCALING_FORMAT=MLN","Sort=A","Dates=H","DateFormat=P","Fill=—","Direction=H","UseDPDF=Y")</f>
        <v>561.91099999999994</v>
      </c>
      <c r="Q23" s="13">
        <f>_xll.BDH("SRPT US Equity","T12M_NET_CAPITAL_STOCK","FQ3 2022","FQ3 2022","Currency=USD","Period=FQ","BEST_FPERIOD_OVERRIDE=FQ","FILING_STATUS=MR","SCALING_FORMAT=MLN","Sort=A","Dates=H","DateFormat=P","Fill=—","Direction=H","UseDPDF=Y")</f>
        <v>468.43200000000002</v>
      </c>
      <c r="R23" s="13">
        <f>_xll.BDH("SRPT US Equity","T12M_NET_CAPITAL_STOCK","FQ4 2022","FQ4 2022","Currency=USD","Period=FQ","BEST_FPERIOD_OVERRIDE=FQ","FILING_STATUS=MR","SCALING_FORMAT=MLN","Sort=A","Dates=H","DateFormat=P","Fill=—","Direction=H","UseDPDF=Y")</f>
        <v>-70.944999999999993</v>
      </c>
      <c r="S23" s="13">
        <f>_xll.BDH("SRPT US Equity","T12M_NET_CAPITAL_STOCK","FQ1 2023","FQ1 2023","Currency=USD","Period=FQ","BEST_FPERIOD_OVERRIDE=FQ","FILING_STATUS=MR","SCALING_FORMAT=MLN","Sort=A","Dates=H","DateFormat=P","Fill=—","Direction=H","UseDPDF=Y")</f>
        <v>-47.898000000000003</v>
      </c>
      <c r="T23" s="13">
        <f>_xll.BDH("SRPT US Equity","T12M_NET_CAPITAL_STOCK","FQ2 2023","FQ2 2023","Currency=USD","Period=FQ","BEST_FPERIOD_OVERRIDE=FQ","FILING_STATUS=MR","SCALING_FORMAT=MLN","Sort=A","Dates=H","DateFormat=P","Fill=—","Direction=H","UseDPDF=Y")</f>
        <v>-42.375999999999998</v>
      </c>
      <c r="U23" s="13">
        <f>_xll.BDH("SRPT US Equity","T12M_NET_CAPITAL_STOCK","FQ3 2023","FQ3 2023","Currency=USD","Period=FQ","BEST_FPERIOD_OVERRIDE=FQ","FILING_STATUS=MR","SCALING_FORMAT=MLN","Sort=A","Dates=H","DateFormat=P","Fill=—","Direction=H","UseDPDF=Y")</f>
        <v>60.606000000000002</v>
      </c>
      <c r="V23" s="13">
        <f>_xll.BDH("SRPT US Equity","T12M_NET_CAPITAL_STOCK","FQ4 2023","FQ4 2023","Currency=USD","Period=FQ","BEST_FPERIOD_OVERRIDE=FQ","FILING_STATUS=MR","SCALING_FORMAT=MLN","Sort=A","Dates=H","DateFormat=P","Fill=—","Direction=H","UseDPDF=Y")</f>
        <v>51.246000000000002</v>
      </c>
      <c r="W23" s="13">
        <f>_xll.BDH("SRPT US Equity","T12M_NET_CAPITAL_STOCK","FQ1 2024","FQ1 2024","Currency=USD","Period=FQ","BEST_FPERIOD_OVERRIDE=FQ","FILING_STATUS=MR","SCALING_FORMAT=MLN","Sort=A","Dates=H","DateFormat=P","Fill=—","Direction=H","UseDPDF=Y")</f>
        <v>45.348999999999997</v>
      </c>
      <c r="X23" s="13">
        <f>_xll.BDH("SRPT US Equity","T12M_NET_CAPITAL_STOCK","FQ2 2024","FQ2 2024","Currency=USD","Period=FQ","BEST_FPERIOD_OVERRIDE=FQ","FILING_STATUS=MR","SCALING_FORMAT=MLN","Sort=A","Dates=H","DateFormat=P","Fill=—","Direction=H","UseDPDF=Y")</f>
        <v>79.406000000000006</v>
      </c>
      <c r="Y23" s="13">
        <f>_xll.BDH("SRPT US Equity","T12M_NET_CAPITAL_STOCK","FQ3 2024","FQ3 2024","Currency=USD","Period=FQ","BEST_FPERIOD_OVERRIDE=FQ","FILING_STATUS=MR","SCALING_FORMAT=MLN","Sort=A","Dates=H","DateFormat=P","Fill=—","Direction=H","UseDPDF=Y")</f>
        <v>77.757999999999996</v>
      </c>
      <c r="Z23" s="13">
        <f>_xll.BDH("SRPT US Equity","T12M_NET_CAPITAL_STOCK","FQ4 2024","FQ4 2024","Currency=USD","Period=FQ","BEST_FPERIOD_OVERRIDE=FQ","FILING_STATUS=MR","SCALING_FORMAT=MLN","Sort=A","Dates=H","DateFormat=P","Fill=—","Direction=H","UseDPDF=Y")</f>
        <v>79.525000000000006</v>
      </c>
      <c r="AA23" s="13"/>
    </row>
    <row r="24" spans="1:27" x14ac:dyDescent="0.25">
      <c r="A24" s="6" t="s">
        <v>1590</v>
      </c>
      <c r="B24" s="6" t="s">
        <v>1591</v>
      </c>
      <c r="C24" s="19">
        <f>_xll.BDH("SRPT US Equity","RETURNED_CAPITAL_EX_DEBT","FQ1 2019","FQ1 2019","Currency=USD","Period=FQ","BEST_FPERIOD_OVERRIDE=FQ","FILING_STATUS=MR","SCALING_FORMAT=MLN","Sort=A","Dates=H","DateFormat=P","Fill=—","Direction=H","UseDPDF=Y")</f>
        <v>-928.55100000000004</v>
      </c>
      <c r="D24" s="19">
        <f>_xll.BDH("SRPT US Equity","RETURNED_CAPITAL_EX_DEBT","FQ2 2019","FQ2 2019","Currency=USD","Period=FQ","BEST_FPERIOD_OVERRIDE=FQ","FILING_STATUS=MR","SCALING_FORMAT=MLN","Sort=A","Dates=H","DateFormat=P","Fill=—","Direction=H","UseDPDF=Y")</f>
        <v>-913.98900000000003</v>
      </c>
      <c r="E24" s="19">
        <f>_xll.BDH("SRPT US Equity","RETURNED_CAPITAL_EX_DEBT","FQ3 2019","FQ3 2019","Currency=USD","Period=FQ","BEST_FPERIOD_OVERRIDE=FQ","FILING_STATUS=MR","SCALING_FORMAT=MLN","Sort=A","Dates=H","DateFormat=P","Fill=—","Direction=H","UseDPDF=Y")</f>
        <v>-910.52499999999998</v>
      </c>
      <c r="F24" s="19">
        <f>_xll.BDH("SRPT US Equity","RETURNED_CAPITAL_EX_DEBT","FQ4 2019","FQ4 2019","Currency=USD","Period=FQ","BEST_FPERIOD_OVERRIDE=FQ","FILING_STATUS=MR","SCALING_FORMAT=MLN","Sort=A","Dates=H","DateFormat=P","Fill=—","Direction=H","UseDPDF=Y")</f>
        <v>-401.95499999999998</v>
      </c>
      <c r="G24" s="19">
        <f>_xll.BDH("SRPT US Equity","RETURNED_CAPITAL_EX_DEBT","FQ1 2020","FQ1 2020","Currency=USD","Period=FQ","BEST_FPERIOD_OVERRIDE=FQ","FILING_STATUS=MR","SCALING_FORMAT=MLN","Sort=A","Dates=H","DateFormat=P","Fill=—","Direction=H","UseDPDF=Y")</f>
        <v>-348.21199999999999</v>
      </c>
      <c r="H24" s="19">
        <f>_xll.BDH("SRPT US Equity","RETURNED_CAPITAL_EX_DEBT","FQ2 2020","FQ2 2020","Currency=USD","Period=FQ","BEST_FPERIOD_OVERRIDE=FQ","FILING_STATUS=MR","SCALING_FORMAT=MLN","Sort=A","Dates=H","DateFormat=P","Fill=—","Direction=H","UseDPDF=Y")</f>
        <v>-358.60599999999999</v>
      </c>
      <c r="I24" s="19">
        <f>_xll.BDH("SRPT US Equity","RETURNED_CAPITAL_EX_DEBT","FQ3 2020","FQ3 2020","Currency=USD","Period=FQ","BEST_FPERIOD_OVERRIDE=FQ","FILING_STATUS=MR","SCALING_FORMAT=MLN","Sort=A","Dates=H","DateFormat=P","Fill=—","Direction=H","UseDPDF=Y")</f>
        <v>-60.161000000000001</v>
      </c>
      <c r="J24" s="19">
        <f>_xll.BDH("SRPT US Equity","RETURNED_CAPITAL_EX_DEBT","FQ4 2020","FQ4 2020","Currency=USD","Period=FQ","BEST_FPERIOD_OVERRIDE=FQ","FILING_STATUS=MR","SCALING_FORMAT=MLN","Sort=A","Dates=H","DateFormat=P","Fill=—","Direction=H","UseDPDF=Y")</f>
        <v>-396.01</v>
      </c>
      <c r="K24" s="19">
        <f>_xll.BDH("SRPT US Equity","RETURNED_CAPITAL_EX_DEBT","FQ1 2021","FQ1 2021","Currency=USD","Period=FQ","BEST_FPERIOD_OVERRIDE=FQ","FILING_STATUS=MR","SCALING_FORMAT=MLN","Sort=A","Dates=H","DateFormat=P","Fill=—","Direction=H","UseDPDF=Y")</f>
        <v>-81.415999999999997</v>
      </c>
      <c r="L24" s="19">
        <f>_xll.BDH("SRPT US Equity","RETURNED_CAPITAL_EX_DEBT","FQ2 2021","FQ2 2021","Currency=USD","Period=FQ","BEST_FPERIOD_OVERRIDE=FQ","FILING_STATUS=MR","SCALING_FORMAT=MLN","Sort=A","Dates=H","DateFormat=P","Fill=—","Direction=H","UseDPDF=Y")</f>
        <v>-67.367000000000004</v>
      </c>
      <c r="M24" s="19">
        <f>_xll.BDH("SRPT US Equity","RETURNED_CAPITAL_EX_DEBT","FQ3 2021","FQ3 2021","Currency=USD","Period=FQ","BEST_FPERIOD_OVERRIDE=FQ","FILING_STATUS=MR","SCALING_FORMAT=MLN","Sort=A","Dates=H","DateFormat=P","Fill=—","Direction=H","UseDPDF=Y")</f>
        <v>-366.53300000000002</v>
      </c>
      <c r="N24" s="19">
        <f>_xll.BDH("SRPT US Equity","RETURNED_CAPITAL_EX_DEBT","FQ4 2021","FQ4 2021","Currency=USD","Period=FQ","BEST_FPERIOD_OVERRIDE=FQ","FILING_STATUS=MR","SCALING_FORMAT=MLN","Sort=A","Dates=H","DateFormat=P","Fill=—","Direction=H","UseDPDF=Y")</f>
        <v>-569.33399999999995</v>
      </c>
      <c r="O24" s="19">
        <f>_xll.BDH("SRPT US Equity","RETURNED_CAPITAL_EX_DEBT","FQ1 2022","FQ1 2022","Currency=USD","Period=FQ","BEST_FPERIOD_OVERRIDE=FQ","FILING_STATUS=MR","SCALING_FORMAT=MLN","Sort=A","Dates=H","DateFormat=P","Fill=—","Direction=H","UseDPDF=Y")</f>
        <v>-565.09799999999996</v>
      </c>
      <c r="P24" s="19">
        <f>_xll.BDH("SRPT US Equity","RETURNED_CAPITAL_EX_DEBT","FQ2 2022","FQ2 2022","Currency=USD","Period=FQ","BEST_FPERIOD_OVERRIDE=FQ","FILING_STATUS=MR","SCALING_FORMAT=MLN","Sort=A","Dates=H","DateFormat=P","Fill=—","Direction=H","UseDPDF=Y")</f>
        <v>-561.91099999999994</v>
      </c>
      <c r="Q24" s="19">
        <f>_xll.BDH("SRPT US Equity","RETURNED_CAPITAL_EX_DEBT","FQ3 2022","FQ3 2022","Currency=USD","Period=FQ","BEST_FPERIOD_OVERRIDE=FQ","FILING_STATUS=MR","SCALING_FORMAT=MLN","Sort=A","Dates=H","DateFormat=P","Fill=—","Direction=H","UseDPDF=Y")</f>
        <v>-468.43200000000002</v>
      </c>
      <c r="R24" s="19">
        <f>_xll.BDH("SRPT US Equity","RETURNED_CAPITAL_EX_DEBT","FQ4 2022","FQ4 2022","Currency=USD","Period=FQ","BEST_FPERIOD_OVERRIDE=FQ","FILING_STATUS=MR","SCALING_FORMAT=MLN","Sort=A","Dates=H","DateFormat=P","Fill=—","Direction=H","UseDPDF=Y")</f>
        <v>70.944999999999993</v>
      </c>
      <c r="S24" s="19">
        <f>_xll.BDH("SRPT US Equity","RETURNED_CAPITAL_EX_DEBT","FQ1 2023","FQ1 2023","Currency=USD","Period=FQ","BEST_FPERIOD_OVERRIDE=FQ","FILING_STATUS=MR","SCALING_FORMAT=MLN","Sort=A","Dates=H","DateFormat=P","Fill=—","Direction=H","UseDPDF=Y")</f>
        <v>47.898000000000003</v>
      </c>
      <c r="T24" s="19">
        <f>_xll.BDH("SRPT US Equity","RETURNED_CAPITAL_EX_DEBT","FQ2 2023","FQ2 2023","Currency=USD","Period=FQ","BEST_FPERIOD_OVERRIDE=FQ","FILING_STATUS=MR","SCALING_FORMAT=MLN","Sort=A","Dates=H","DateFormat=P","Fill=—","Direction=H","UseDPDF=Y")</f>
        <v>42.375999999999998</v>
      </c>
      <c r="U24" s="19">
        <f>_xll.BDH("SRPT US Equity","RETURNED_CAPITAL_EX_DEBT","FQ3 2023","FQ3 2023","Currency=USD","Period=FQ","BEST_FPERIOD_OVERRIDE=FQ","FILING_STATUS=MR","SCALING_FORMAT=MLN","Sort=A","Dates=H","DateFormat=P","Fill=—","Direction=H","UseDPDF=Y")</f>
        <v>-60.606000000000002</v>
      </c>
      <c r="V24" s="19">
        <f>_xll.BDH("SRPT US Equity","RETURNED_CAPITAL_EX_DEBT","FQ4 2023","FQ4 2023","Currency=USD","Period=FQ","BEST_FPERIOD_OVERRIDE=FQ","FILING_STATUS=MR","SCALING_FORMAT=MLN","Sort=A","Dates=H","DateFormat=P","Fill=—","Direction=H","UseDPDF=Y")</f>
        <v>-51.246000000000002</v>
      </c>
      <c r="W24" s="19">
        <f>_xll.BDH("SRPT US Equity","RETURNED_CAPITAL_EX_DEBT","FQ1 2024","FQ1 2024","Currency=USD","Period=FQ","BEST_FPERIOD_OVERRIDE=FQ","FILING_STATUS=MR","SCALING_FORMAT=MLN","Sort=A","Dates=H","DateFormat=P","Fill=—","Direction=H","UseDPDF=Y")</f>
        <v>-45.348999999999997</v>
      </c>
      <c r="X24" s="19">
        <f>_xll.BDH("SRPT US Equity","RETURNED_CAPITAL_EX_DEBT","FQ2 2024","FQ2 2024","Currency=USD","Period=FQ","BEST_FPERIOD_OVERRIDE=FQ","FILING_STATUS=MR","SCALING_FORMAT=MLN","Sort=A","Dates=H","DateFormat=P","Fill=—","Direction=H","UseDPDF=Y")</f>
        <v>-79.406000000000006</v>
      </c>
      <c r="Y24" s="19">
        <f>_xll.BDH("SRPT US Equity","RETURNED_CAPITAL_EX_DEBT","FQ3 2024","FQ3 2024","Currency=USD","Period=FQ","BEST_FPERIOD_OVERRIDE=FQ","FILING_STATUS=MR","SCALING_FORMAT=MLN","Sort=A","Dates=H","DateFormat=P","Fill=—","Direction=H","UseDPDF=Y")</f>
        <v>-77.757999999999996</v>
      </c>
      <c r="Z24" s="19">
        <f>_xll.BDH("SRPT US Equity","RETURNED_CAPITAL_EX_DEBT","FQ4 2024","FQ4 2024","Currency=USD","Period=FQ","BEST_FPERIOD_OVERRIDE=FQ","FILING_STATUS=MR","SCALING_FORMAT=MLN","Sort=A","Dates=H","DateFormat=P","Fill=—","Direction=H","UseDPDF=Y")</f>
        <v>-79.525000000000006</v>
      </c>
      <c r="AA24" s="19"/>
    </row>
    <row r="25" spans="1:27" x14ac:dyDescent="0.25">
      <c r="A25" s="11" t="s">
        <v>60</v>
      </c>
      <c r="B25" s="11" t="s">
        <v>61</v>
      </c>
      <c r="C25" s="25">
        <f>_xll.BDH("SRPT US Equity","HISTORICAL_MARKET_CAP","FQ1 2019","FQ1 2019","Currency=USD","Period=FQ","BEST_FPERIOD_OVERRIDE=FQ","FILING_STATUS=MR","SCALING_FORMAT=MLN","Sort=A","Dates=H","DateFormat=P","Fill=—","Direction=H","UseDPDF=Y")</f>
        <v>8835.9743999999992</v>
      </c>
      <c r="D25" s="25">
        <f>_xll.BDH("SRPT US Equity","HISTORICAL_MARKET_CAP","FQ2 2019","FQ2 2019","Currency=USD","Period=FQ","BEST_FPERIOD_OVERRIDE=FQ","FILING_STATUS=MR","SCALING_FORMAT=MLN","Sort=A","Dates=H","DateFormat=P","Fill=—","Direction=H","UseDPDF=Y")</f>
        <v>11294.1042</v>
      </c>
      <c r="E25" s="25">
        <f>_xll.BDH("SRPT US Equity","HISTORICAL_MARKET_CAP","FQ3 2019","FQ3 2019","Currency=USD","Period=FQ","BEST_FPERIOD_OVERRIDE=FQ","FILING_STATUS=MR","SCALING_FORMAT=MLN","Sort=A","Dates=H","DateFormat=P","Fill=—","Direction=H","UseDPDF=Y")</f>
        <v>5611.7042000000001</v>
      </c>
      <c r="F25" s="25">
        <f>_xll.BDH("SRPT US Equity","HISTORICAL_MARKET_CAP","FQ4 2019","FQ4 2019","Currency=USD","Period=FQ","BEST_FPERIOD_OVERRIDE=FQ","FILING_STATUS=MR","SCALING_FORMAT=MLN","Sort=A","Dates=H","DateFormat=P","Fill=—","Direction=H","UseDPDF=Y")</f>
        <v>9701.8546999999999</v>
      </c>
      <c r="G25" s="25">
        <f>_xll.BDH("SRPT US Equity","HISTORICAL_MARKET_CAP","FQ1 2020","FQ1 2020","Currency=USD","Period=FQ","BEST_FPERIOD_OVERRIDE=FQ","FILING_STATUS=MR","SCALING_FORMAT=MLN","Sort=A","Dates=H","DateFormat=P","Fill=—","Direction=H","UseDPDF=Y")</f>
        <v>7625.8310000000001</v>
      </c>
      <c r="H25" s="25">
        <f>_xll.BDH("SRPT US Equity","HISTORICAL_MARKET_CAP","FQ2 2020","FQ2 2020","Currency=USD","Period=FQ","BEST_FPERIOD_OVERRIDE=FQ","FILING_STATUS=MR","SCALING_FORMAT=MLN","Sort=A","Dates=H","DateFormat=P","Fill=—","Direction=H","UseDPDF=Y")</f>
        <v>12575.826300000001</v>
      </c>
      <c r="I25" s="25">
        <f>_xll.BDH("SRPT US Equity","HISTORICAL_MARKET_CAP","FQ3 2020","FQ3 2020","Currency=USD","Period=FQ","BEST_FPERIOD_OVERRIDE=FQ","FILING_STATUS=MR","SCALING_FORMAT=MLN","Sort=A","Dates=H","DateFormat=P","Fill=—","Direction=H","UseDPDF=Y")</f>
        <v>11064.446</v>
      </c>
      <c r="J25" s="25">
        <f>_xll.BDH("SRPT US Equity","HISTORICAL_MARKET_CAP","FQ4 2020","FQ4 2020","Currency=USD","Period=FQ","BEST_FPERIOD_OVERRIDE=FQ","FILING_STATUS=MR","SCALING_FORMAT=MLN","Sort=A","Dates=H","DateFormat=P","Fill=—","Direction=H","UseDPDF=Y")</f>
        <v>13532.5154</v>
      </c>
      <c r="K25" s="25">
        <f>_xll.BDH("SRPT US Equity","HISTORICAL_MARKET_CAP","FQ1 2021","FQ1 2021","Currency=USD","Period=FQ","BEST_FPERIOD_OVERRIDE=FQ","FILING_STATUS=MR","SCALING_FORMAT=MLN","Sort=A","Dates=H","DateFormat=P","Fill=—","Direction=H","UseDPDF=Y")</f>
        <v>5943.6265999999996</v>
      </c>
      <c r="L25" s="25">
        <f>_xll.BDH("SRPT US Equity","HISTORICAL_MARKET_CAP","FQ2 2021","FQ2 2021","Currency=USD","Period=FQ","BEST_FPERIOD_OVERRIDE=FQ","FILING_STATUS=MR","SCALING_FORMAT=MLN","Sort=A","Dates=H","DateFormat=P","Fill=—","Direction=H","UseDPDF=Y")</f>
        <v>6206.0162</v>
      </c>
      <c r="M25" s="25">
        <f>_xll.BDH("SRPT US Equity","HISTORICAL_MARKET_CAP","FQ3 2021","FQ3 2021","Currency=USD","Period=FQ","BEST_FPERIOD_OVERRIDE=FQ","FILING_STATUS=MR","SCALING_FORMAT=MLN","Sort=A","Dates=H","DateFormat=P","Fill=—","Direction=H","UseDPDF=Y")</f>
        <v>7394.5645999999997</v>
      </c>
      <c r="N25" s="25">
        <f>_xll.BDH("SRPT US Equity","HISTORICAL_MARKET_CAP","FQ4 2021","FQ4 2021","Currency=USD","Period=FQ","BEST_FPERIOD_OVERRIDE=FQ","FILING_STATUS=MR","SCALING_FORMAT=MLN","Sort=A","Dates=H","DateFormat=P","Fill=—","Direction=H","UseDPDF=Y")</f>
        <v>7845.7839999999997</v>
      </c>
      <c r="O25" s="25">
        <f>_xll.BDH("SRPT US Equity","HISTORICAL_MARKET_CAP","FQ1 2022","FQ1 2022","Currency=USD","Period=FQ","BEST_FPERIOD_OVERRIDE=FQ","FILING_STATUS=MR","SCALING_FORMAT=MLN","Sort=A","Dates=H","DateFormat=P","Fill=—","Direction=H","UseDPDF=Y")</f>
        <v>6835.1567999999997</v>
      </c>
      <c r="P25" s="25">
        <f>_xll.BDH("SRPT US Equity","HISTORICAL_MARKET_CAP","FQ2 2022","FQ2 2022","Currency=USD","Period=FQ","BEST_FPERIOD_OVERRIDE=FQ","FILING_STATUS=MR","SCALING_FORMAT=MLN","Sort=A","Dates=H","DateFormat=P","Fill=—","Direction=H","UseDPDF=Y")</f>
        <v>6561.6459999999997</v>
      </c>
      <c r="Q25" s="25">
        <f>_xll.BDH("SRPT US Equity","HISTORICAL_MARKET_CAP","FQ3 2022","FQ3 2022","Currency=USD","Period=FQ","BEST_FPERIOD_OVERRIDE=FQ","FILING_STATUS=MR","SCALING_FORMAT=MLN","Sort=A","Dates=H","DateFormat=P","Fill=—","Direction=H","UseDPDF=Y")</f>
        <v>9701.6756000000005</v>
      </c>
      <c r="R25" s="25">
        <f>_xll.BDH("SRPT US Equity","HISTORICAL_MARKET_CAP","FQ4 2022","FQ4 2022","Currency=USD","Period=FQ","BEST_FPERIOD_OVERRIDE=FQ","FILING_STATUS=MR","SCALING_FORMAT=MLN","Sort=A","Dates=H","DateFormat=P","Fill=—","Direction=H","UseDPDF=Y")</f>
        <v>11396.5762</v>
      </c>
      <c r="S25" s="25">
        <f>_xll.BDH("SRPT US Equity","HISTORICAL_MARKET_CAP","FQ1 2023","FQ1 2023","Currency=USD","Period=FQ","BEST_FPERIOD_OVERRIDE=FQ","FILING_STATUS=MR","SCALING_FORMAT=MLN","Sort=A","Dates=H","DateFormat=P","Fill=—","Direction=H","UseDPDF=Y")</f>
        <v>12837.504800000001</v>
      </c>
      <c r="T25" s="25">
        <f>_xll.BDH("SRPT US Equity","HISTORICAL_MARKET_CAP","FQ2 2023","FQ2 2023","Currency=USD","Period=FQ","BEST_FPERIOD_OVERRIDE=FQ","FILING_STATUS=MR","SCALING_FORMAT=MLN","Sort=A","Dates=H","DateFormat=P","Fill=—","Direction=H","UseDPDF=Y")</f>
        <v>10681.6859</v>
      </c>
      <c r="U25" s="25">
        <f>_xll.BDH("SRPT US Equity","HISTORICAL_MARKET_CAP","FQ3 2023","FQ3 2023","Currency=USD","Period=FQ","BEST_FPERIOD_OVERRIDE=FQ","FILING_STATUS=MR","SCALING_FORMAT=MLN","Sort=A","Dates=H","DateFormat=P","Fill=—","Direction=H","UseDPDF=Y")</f>
        <v>11338.5982</v>
      </c>
      <c r="V25" s="25">
        <f>_xll.BDH("SRPT US Equity","HISTORICAL_MARKET_CAP","FQ4 2023","FQ4 2023","Currency=USD","Period=FQ","BEST_FPERIOD_OVERRIDE=FQ","FILING_STATUS=MR","SCALING_FORMAT=MLN","Sort=A","Dates=H","DateFormat=P","Fill=—","Direction=H","UseDPDF=Y")</f>
        <v>9038.5604999999996</v>
      </c>
      <c r="W25" s="25">
        <f>_xll.BDH("SRPT US Equity","HISTORICAL_MARKET_CAP","FQ1 2024","FQ1 2024","Currency=USD","Period=FQ","BEST_FPERIOD_OVERRIDE=FQ","FILING_STATUS=MR","SCALING_FORMAT=MLN","Sort=A","Dates=H","DateFormat=P","Fill=—","Direction=H","UseDPDF=Y")</f>
        <v>12232.6957</v>
      </c>
      <c r="X25" s="25">
        <f>_xll.BDH("SRPT US Equity","HISTORICAL_MARKET_CAP","FQ2 2024","FQ2 2024","Currency=USD","Period=FQ","BEST_FPERIOD_OVERRIDE=FQ","FILING_STATUS=MR","SCALING_FORMAT=MLN","Sort=A","Dates=H","DateFormat=P","Fill=—","Direction=H","UseDPDF=Y")</f>
        <v>15054.650799999999</v>
      </c>
      <c r="Y25" s="25">
        <f>_xll.BDH("SRPT US Equity","HISTORICAL_MARKET_CAP","FQ3 2024","FQ3 2024","Currency=USD","Period=FQ","BEST_FPERIOD_OVERRIDE=FQ","FILING_STATUS=MR","SCALING_FORMAT=MLN","Sort=A","Dates=H","DateFormat=P","Fill=—","Direction=H","UseDPDF=Y")</f>
        <v>11926.1214</v>
      </c>
      <c r="Z25" s="25">
        <f>_xll.BDH("SRPT US Equity","HISTORICAL_MARKET_CAP","FQ4 2024","FQ4 2024","Currency=USD","Period=FQ","BEST_FPERIOD_OVERRIDE=FQ","FILING_STATUS=MR","SCALING_FORMAT=MLN","Sort=A","Dates=H","DateFormat=P","Fill=—","Direction=H","UseDPDF=Y")</f>
        <v>11782.131299999999</v>
      </c>
      <c r="AA25" s="25"/>
    </row>
    <row r="26" spans="1:27" x14ac:dyDescent="0.25">
      <c r="A26" s="6" t="s">
        <v>1592</v>
      </c>
      <c r="B26" s="6" t="s">
        <v>1593</v>
      </c>
      <c r="C26" s="20">
        <f>_xll.BDH("SRPT US Equity","SHAREHOLDER_YIELD_EX_DEBT","FQ1 2019","FQ1 2019","Currency=USD","Period=FQ","BEST_FPERIOD_OVERRIDE=FQ","FILING_STATUS=MR","Sort=A","Dates=H","DateFormat=P","Fill=—","Direction=H","UseDPDF=Y")</f>
        <v>-10.508800000000001</v>
      </c>
      <c r="D26" s="20">
        <f>_xll.BDH("SRPT US Equity","SHAREHOLDER_YIELD_EX_DEBT","FQ2 2019","FQ2 2019","Currency=USD","Period=FQ","BEST_FPERIOD_OVERRIDE=FQ","FILING_STATUS=MR","Sort=A","Dates=H","DateFormat=P","Fill=—","Direction=H","UseDPDF=Y")</f>
        <v>-8.0925999999999991</v>
      </c>
      <c r="E26" s="20">
        <f>_xll.BDH("SRPT US Equity","SHAREHOLDER_YIELD_EX_DEBT","FQ3 2019","FQ3 2019","Currency=USD","Period=FQ","BEST_FPERIOD_OVERRIDE=FQ","FILING_STATUS=MR","Sort=A","Dates=H","DateFormat=P","Fill=—","Direction=H","UseDPDF=Y")</f>
        <v>-16.2255</v>
      </c>
      <c r="F26" s="20">
        <f>_xll.BDH("SRPT US Equity","SHAREHOLDER_YIELD_EX_DEBT","FQ4 2019","FQ4 2019","Currency=USD","Period=FQ","BEST_FPERIOD_OVERRIDE=FQ","FILING_STATUS=MR","Sort=A","Dates=H","DateFormat=P","Fill=—","Direction=H","UseDPDF=Y")</f>
        <v>-4.1430999999999996</v>
      </c>
      <c r="G26" s="20">
        <f>_xll.BDH("SRPT US Equity","SHAREHOLDER_YIELD_EX_DEBT","FQ1 2020","FQ1 2020","Currency=USD","Period=FQ","BEST_FPERIOD_OVERRIDE=FQ","FILING_STATUS=MR","Sort=A","Dates=H","DateFormat=P","Fill=—","Direction=H","UseDPDF=Y")</f>
        <v>-4.5662000000000003</v>
      </c>
      <c r="H26" s="20">
        <f>_xll.BDH("SRPT US Equity","SHAREHOLDER_YIELD_EX_DEBT","FQ2 2020","FQ2 2020","Currency=USD","Period=FQ","BEST_FPERIOD_OVERRIDE=FQ","FILING_STATUS=MR","Sort=A","Dates=H","DateFormat=P","Fill=—","Direction=H","UseDPDF=Y")</f>
        <v>-2.8515999999999999</v>
      </c>
      <c r="I26" s="20">
        <f>_xll.BDH("SRPT US Equity","SHAREHOLDER_YIELD_EX_DEBT","FQ3 2020","FQ3 2020","Currency=USD","Period=FQ","BEST_FPERIOD_OVERRIDE=FQ","FILING_STATUS=MR","Sort=A","Dates=H","DateFormat=P","Fill=—","Direction=H","UseDPDF=Y")</f>
        <v>-0.54369999999999996</v>
      </c>
      <c r="J26" s="20">
        <f>_xll.BDH("SRPT US Equity","SHAREHOLDER_YIELD_EX_DEBT","FQ4 2020","FQ4 2020","Currency=USD","Period=FQ","BEST_FPERIOD_OVERRIDE=FQ","FILING_STATUS=MR","Sort=A","Dates=H","DateFormat=P","Fill=—","Direction=H","UseDPDF=Y")</f>
        <v>-2.9264000000000001</v>
      </c>
      <c r="K26" s="20">
        <f>_xll.BDH("SRPT US Equity","SHAREHOLDER_YIELD_EX_DEBT","FQ1 2021","FQ1 2021","Currency=USD","Period=FQ","BEST_FPERIOD_OVERRIDE=FQ","FILING_STATUS=MR","Sort=A","Dates=H","DateFormat=P","Fill=—","Direction=H","UseDPDF=Y")</f>
        <v>-1.3697999999999999</v>
      </c>
      <c r="L26" s="20">
        <f>_xll.BDH("SRPT US Equity","SHAREHOLDER_YIELD_EX_DEBT","FQ2 2021","FQ2 2021","Currency=USD","Period=FQ","BEST_FPERIOD_OVERRIDE=FQ","FILING_STATUS=MR","Sort=A","Dates=H","DateFormat=P","Fill=—","Direction=H","UseDPDF=Y")</f>
        <v>-1.0854999999999999</v>
      </c>
      <c r="M26" s="20">
        <f>_xll.BDH("SRPT US Equity","SHAREHOLDER_YIELD_EX_DEBT","FQ3 2021","FQ3 2021","Currency=USD","Period=FQ","BEST_FPERIOD_OVERRIDE=FQ","FILING_STATUS=MR","Sort=A","Dates=H","DateFormat=P","Fill=—","Direction=H","UseDPDF=Y")</f>
        <v>-4.9568000000000003</v>
      </c>
      <c r="N26" s="20">
        <f>_xll.BDH("SRPT US Equity","SHAREHOLDER_YIELD_EX_DEBT","FQ4 2021","FQ4 2021","Currency=USD","Period=FQ","BEST_FPERIOD_OVERRIDE=FQ","FILING_STATUS=MR","Sort=A","Dates=H","DateFormat=P","Fill=—","Direction=H","UseDPDF=Y")</f>
        <v>-7.2565999999999997</v>
      </c>
      <c r="O26" s="20">
        <f>_xll.BDH("SRPT US Equity","SHAREHOLDER_YIELD_EX_DEBT","FQ1 2022","FQ1 2022","Currency=USD","Period=FQ","BEST_FPERIOD_OVERRIDE=FQ","FILING_STATUS=MR","Sort=A","Dates=H","DateFormat=P","Fill=—","Direction=H","UseDPDF=Y")</f>
        <v>-8.2675000000000001</v>
      </c>
      <c r="P26" s="20">
        <f>_xll.BDH("SRPT US Equity","SHAREHOLDER_YIELD_EX_DEBT","FQ2 2022","FQ2 2022","Currency=USD","Period=FQ","BEST_FPERIOD_OVERRIDE=FQ","FILING_STATUS=MR","Sort=A","Dates=H","DateFormat=P","Fill=—","Direction=H","UseDPDF=Y")</f>
        <v>-8.5635999999999992</v>
      </c>
      <c r="Q26" s="20">
        <f>_xll.BDH("SRPT US Equity","SHAREHOLDER_YIELD_EX_DEBT","FQ3 2022","FQ3 2022","Currency=USD","Period=FQ","BEST_FPERIOD_OVERRIDE=FQ","FILING_STATUS=MR","Sort=A","Dates=H","DateFormat=P","Fill=—","Direction=H","UseDPDF=Y")</f>
        <v>-4.8284000000000002</v>
      </c>
      <c r="R26" s="20">
        <f>_xll.BDH("SRPT US Equity","SHAREHOLDER_YIELD_EX_DEBT","FQ4 2022","FQ4 2022","Currency=USD","Period=FQ","BEST_FPERIOD_OVERRIDE=FQ","FILING_STATUS=MR","Sort=A","Dates=H","DateFormat=P","Fill=—","Direction=H","UseDPDF=Y")</f>
        <v>0.62250000000000005</v>
      </c>
      <c r="S26" s="20">
        <f>_xll.BDH("SRPT US Equity","SHAREHOLDER_YIELD_EX_DEBT","FQ1 2023","FQ1 2023","Currency=USD","Period=FQ","BEST_FPERIOD_OVERRIDE=FQ","FILING_STATUS=MR","Sort=A","Dates=H","DateFormat=P","Fill=—","Direction=H","UseDPDF=Y")</f>
        <v>0.37309999999999999</v>
      </c>
      <c r="T26" s="20">
        <f>_xll.BDH("SRPT US Equity","SHAREHOLDER_YIELD_EX_DEBT","FQ2 2023","FQ2 2023","Currency=USD","Period=FQ","BEST_FPERIOD_OVERRIDE=FQ","FILING_STATUS=MR","Sort=A","Dates=H","DateFormat=P","Fill=—","Direction=H","UseDPDF=Y")</f>
        <v>0.3967</v>
      </c>
      <c r="U26" s="20">
        <f>_xll.BDH("SRPT US Equity","SHAREHOLDER_YIELD_EX_DEBT","FQ3 2023","FQ3 2023","Currency=USD","Period=FQ","BEST_FPERIOD_OVERRIDE=FQ","FILING_STATUS=MR","Sort=A","Dates=H","DateFormat=P","Fill=—","Direction=H","UseDPDF=Y")</f>
        <v>-0.53449999999999998</v>
      </c>
      <c r="V26" s="20">
        <f>_xll.BDH("SRPT US Equity","SHAREHOLDER_YIELD_EX_DEBT","FQ4 2023","FQ4 2023","Currency=USD","Period=FQ","BEST_FPERIOD_OVERRIDE=FQ","FILING_STATUS=MR","Sort=A","Dates=H","DateFormat=P","Fill=—","Direction=H","UseDPDF=Y")</f>
        <v>-0.56699999999999995</v>
      </c>
      <c r="W26" s="20">
        <f>_xll.BDH("SRPT US Equity","SHAREHOLDER_YIELD_EX_DEBT","FQ1 2024","FQ1 2024","Currency=USD","Period=FQ","BEST_FPERIOD_OVERRIDE=FQ","FILING_STATUS=MR","Sort=A","Dates=H","DateFormat=P","Fill=—","Direction=H","UseDPDF=Y")</f>
        <v>-0.37069999999999997</v>
      </c>
      <c r="X26" s="20">
        <f>_xll.BDH("SRPT US Equity","SHAREHOLDER_YIELD_EX_DEBT","FQ2 2024","FQ2 2024","Currency=USD","Period=FQ","BEST_FPERIOD_OVERRIDE=FQ","FILING_STATUS=MR","Sort=A","Dates=H","DateFormat=P","Fill=—","Direction=H","UseDPDF=Y")</f>
        <v>-0.52749999999999997</v>
      </c>
      <c r="Y26" s="20">
        <f>_xll.BDH("SRPT US Equity","SHAREHOLDER_YIELD_EX_DEBT","FQ3 2024","FQ3 2024","Currency=USD","Period=FQ","BEST_FPERIOD_OVERRIDE=FQ","FILING_STATUS=MR","Sort=A","Dates=H","DateFormat=P","Fill=—","Direction=H","UseDPDF=Y")</f>
        <v>-0.65200000000000002</v>
      </c>
      <c r="Z26" s="20">
        <f>_xll.BDH("SRPT US Equity","SHAREHOLDER_YIELD_EX_DEBT","FQ4 2024","FQ4 2024","Currency=USD","Period=FQ","BEST_FPERIOD_OVERRIDE=FQ","FILING_STATUS=MR","Sort=A","Dates=H","DateFormat=P","Fill=—","Direction=H","UseDPDF=Y")</f>
        <v>-0.67500000000000004</v>
      </c>
      <c r="AA26" s="20"/>
    </row>
    <row r="27" spans="1:27" x14ac:dyDescent="0.25">
      <c r="A27" s="6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x14ac:dyDescent="0.25">
      <c r="A28" s="6" t="s">
        <v>1594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x14ac:dyDescent="0.25">
      <c r="A29" s="10" t="s">
        <v>1568</v>
      </c>
      <c r="B29" s="10" t="s">
        <v>1569</v>
      </c>
      <c r="C29" s="13">
        <f>_xll.BDH("SRPT US Equity","TRAIL_12M_CASH_FROM_OPER","FQ1 2019","FQ1 2019","Currency=USD","Period=FQ","BEST_FPERIOD_OVERRIDE=FQ","FILING_STATUS=MR","SCALING_FORMAT=MLN","Sort=A","Dates=H","DateFormat=P","Fill=—","Direction=H","UseDPDF=Y")</f>
        <v>-499.22500000000002</v>
      </c>
      <c r="D29" s="13">
        <f>_xll.BDH("SRPT US Equity","TRAIL_12M_CASH_FROM_OPER","FQ2 2019","FQ2 2019","Currency=USD","Period=FQ","BEST_FPERIOD_OVERRIDE=FQ","FILING_STATUS=MR","SCALING_FORMAT=MLN","Sort=A","Dates=H","DateFormat=P","Fill=—","Direction=H","UseDPDF=Y")</f>
        <v>-460.97500000000002</v>
      </c>
      <c r="E29" s="13">
        <f>_xll.BDH("SRPT US Equity","TRAIL_12M_CASH_FROM_OPER","FQ3 2019","FQ3 2019","Currency=USD","Period=FQ","BEST_FPERIOD_OVERRIDE=FQ","FILING_STATUS=MR","SCALING_FORMAT=MLN","Sort=A","Dates=H","DateFormat=P","Fill=—","Direction=H","UseDPDF=Y")</f>
        <v>-415.08800000000002</v>
      </c>
      <c r="F29" s="13">
        <f>_xll.BDH("SRPT US Equity","TRAIL_12M_CASH_FROM_OPER","FQ4 2019","FQ4 2019","Currency=USD","Period=FQ","BEST_FPERIOD_OVERRIDE=FQ","FILING_STATUS=MR","SCALING_FORMAT=MLN","Sort=A","Dates=H","DateFormat=P","Fill=—","Direction=H","UseDPDF=Y")</f>
        <v>-456.46300000000002</v>
      </c>
      <c r="G29" s="13">
        <f>_xll.BDH("SRPT US Equity","TRAIL_12M_CASH_FROM_OPER","FQ1 2020","FQ1 2020","Currency=USD","Period=FQ","BEST_FPERIOD_OVERRIDE=FQ","FILING_STATUS=MR","SCALING_FORMAT=MLN","Sort=A","Dates=H","DateFormat=P","Fill=—","Direction=H","UseDPDF=Y")</f>
        <v>317.56</v>
      </c>
      <c r="H29" s="13">
        <f>_xll.BDH("SRPT US Equity","TRAIL_12M_CASH_FROM_OPER","FQ2 2020","FQ2 2020","Currency=USD","Period=FQ","BEST_FPERIOD_OVERRIDE=FQ","FILING_STATUS=MR","SCALING_FORMAT=MLN","Sort=A","Dates=H","DateFormat=P","Fill=—","Direction=H","UseDPDF=Y")</f>
        <v>288.96100000000001</v>
      </c>
      <c r="I29" s="13">
        <f>_xll.BDH("SRPT US Equity","TRAIL_12M_CASH_FROM_OPER","FQ3 2020","FQ3 2020","Currency=USD","Period=FQ","BEST_FPERIOD_OVERRIDE=FQ","FILING_STATUS=MR","SCALING_FORMAT=MLN","Sort=A","Dates=H","DateFormat=P","Fill=—","Direction=H","UseDPDF=Y")</f>
        <v>118.206</v>
      </c>
      <c r="J29" s="13">
        <f>_xll.BDH("SRPT US Equity","TRAIL_12M_CASH_FROM_OPER","FQ4 2020","FQ4 2020","Currency=USD","Period=FQ","BEST_FPERIOD_OVERRIDE=FQ","FILING_STATUS=MR","SCALING_FORMAT=MLN","Sort=A","Dates=H","DateFormat=P","Fill=—","Direction=H","UseDPDF=Y")</f>
        <v>107.46599999999999</v>
      </c>
      <c r="K29" s="13">
        <f>_xll.BDH("SRPT US Equity","TRAIL_12M_CASH_FROM_OPER","FQ1 2021","FQ1 2021","Currency=USD","Period=FQ","BEST_FPERIOD_OVERRIDE=FQ","FILING_STATUS=MR","SCALING_FORMAT=MLN","Sort=A","Dates=H","DateFormat=P","Fill=—","Direction=H","UseDPDF=Y")</f>
        <v>-700.69500000000005</v>
      </c>
      <c r="L29" s="13">
        <f>_xll.BDH("SRPT US Equity","TRAIL_12M_CASH_FROM_OPER","FQ2 2021","FQ2 2021","Currency=USD","Period=FQ","BEST_FPERIOD_OVERRIDE=FQ","FILING_STATUS=MR","SCALING_FORMAT=MLN","Sort=A","Dates=H","DateFormat=P","Fill=—","Direction=H","UseDPDF=Y")</f>
        <v>-702.23800000000006</v>
      </c>
      <c r="M29" s="13">
        <f>_xll.BDH("SRPT US Equity","TRAIL_12M_CASH_FROM_OPER","FQ3 2021","FQ3 2021","Currency=USD","Period=FQ","BEST_FPERIOD_OVERRIDE=FQ","FILING_STATUS=MR","SCALING_FORMAT=MLN","Sort=A","Dates=H","DateFormat=P","Fill=—","Direction=H","UseDPDF=Y")</f>
        <v>-588.38099999999997</v>
      </c>
      <c r="N29" s="13">
        <f>_xll.BDH("SRPT US Equity","TRAIL_12M_CASH_FROM_OPER","FQ4 2021","FQ4 2021","Currency=USD","Period=FQ","BEST_FPERIOD_OVERRIDE=FQ","FILING_STATUS=MR","SCALING_FORMAT=MLN","Sort=A","Dates=H","DateFormat=P","Fill=—","Direction=H","UseDPDF=Y")</f>
        <v>-443.17200000000003</v>
      </c>
      <c r="O29" s="13">
        <f>_xll.BDH("SRPT US Equity","TRAIL_12M_CASH_FROM_OPER","FQ1 2022","FQ1 2022","Currency=USD","Period=FQ","BEST_FPERIOD_OVERRIDE=FQ","FILING_STATUS=MR","SCALING_FORMAT=MLN","Sort=A","Dates=H","DateFormat=P","Fill=—","Direction=H","UseDPDF=Y")</f>
        <v>-363.976</v>
      </c>
      <c r="P29" s="13">
        <f>_xll.BDH("SRPT US Equity","TRAIL_12M_CASH_FROM_OPER","FQ2 2022","FQ2 2022","Currency=USD","Period=FQ","BEST_FPERIOD_OVERRIDE=FQ","FILING_STATUS=MR","SCALING_FORMAT=MLN","Sort=A","Dates=H","DateFormat=P","Fill=—","Direction=H","UseDPDF=Y")</f>
        <v>-321.64499999999998</v>
      </c>
      <c r="Q29" s="13">
        <f>_xll.BDH("SRPT US Equity","TRAIL_12M_CASH_FROM_OPER","FQ3 2022","FQ3 2022","Currency=USD","Period=FQ","BEST_FPERIOD_OVERRIDE=FQ","FILING_STATUS=MR","SCALING_FORMAT=MLN","Sort=A","Dates=H","DateFormat=P","Fill=—","Direction=H","UseDPDF=Y")</f>
        <v>-262.27999999999997</v>
      </c>
      <c r="R29" s="13">
        <f>_xll.BDH("SRPT US Equity","TRAIL_12M_CASH_FROM_OPER","FQ4 2022","FQ4 2022","Currency=USD","Period=FQ","BEST_FPERIOD_OVERRIDE=FQ","FILING_STATUS=MR","SCALING_FORMAT=MLN","Sort=A","Dates=H","DateFormat=P","Fill=—","Direction=H","UseDPDF=Y")</f>
        <v>-325.346</v>
      </c>
      <c r="S29" s="13">
        <f>_xll.BDH("SRPT US Equity","TRAIL_12M_CASH_FROM_OPER","FQ1 2023","FQ1 2023","Currency=USD","Period=FQ","BEST_FPERIOD_OVERRIDE=FQ","FILING_STATUS=MR","SCALING_FORMAT=MLN","Sort=A","Dates=H","DateFormat=P","Fill=—","Direction=H","UseDPDF=Y")</f>
        <v>-433.56700000000001</v>
      </c>
      <c r="T29" s="13">
        <f>_xll.BDH("SRPT US Equity","TRAIL_12M_CASH_FROM_OPER","FQ2 2023","FQ2 2023","Currency=USD","Period=FQ","BEST_FPERIOD_OVERRIDE=FQ","FILING_STATUS=MR","SCALING_FORMAT=MLN","Sort=A","Dates=H","DateFormat=P","Fill=—","Direction=H","UseDPDF=Y")</f>
        <v>-488.98599999999999</v>
      </c>
      <c r="U29" s="13">
        <f>_xll.BDH("SRPT US Equity","TRAIL_12M_CASH_FROM_OPER","FQ3 2023","FQ3 2023","Currency=USD","Period=FQ","BEST_FPERIOD_OVERRIDE=FQ","FILING_STATUS=MR","SCALING_FORMAT=MLN","Sort=A","Dates=H","DateFormat=P","Fill=—","Direction=H","UseDPDF=Y")</f>
        <v>-538.72799999999995</v>
      </c>
      <c r="V29" s="13">
        <f>_xll.BDH("SRPT US Equity","TRAIL_12M_CASH_FROM_OPER","FQ4 2023","FQ4 2023","Currency=USD","Period=FQ","BEST_FPERIOD_OVERRIDE=FQ","FILING_STATUS=MR","SCALING_FORMAT=MLN","Sort=A","Dates=H","DateFormat=P","Fill=—","Direction=H","UseDPDF=Y")</f>
        <v>-500.99299999999999</v>
      </c>
      <c r="W29" s="13">
        <f>_xll.BDH("SRPT US Equity","TRAIL_12M_CASH_FROM_OPER","FQ1 2024","FQ1 2024","Currency=USD","Period=FQ","BEST_FPERIOD_OVERRIDE=FQ","FILING_STATUS=MR","SCALING_FORMAT=MLN","Sort=A","Dates=H","DateFormat=P","Fill=—","Direction=H","UseDPDF=Y")</f>
        <v>-533.673</v>
      </c>
      <c r="X29" s="13">
        <f>_xll.BDH("SRPT US Equity","TRAIL_12M_CASH_FROM_OPER","FQ2 2024","FQ2 2024","Currency=USD","Period=FQ","BEST_FPERIOD_OVERRIDE=FQ","FILING_STATUS=MR","SCALING_FORMAT=MLN","Sort=A","Dates=H","DateFormat=P","Fill=—","Direction=H","UseDPDF=Y")</f>
        <v>-396.49700000000001</v>
      </c>
      <c r="Y29" s="13">
        <f>_xll.BDH("SRPT US Equity","TRAIL_12M_CASH_FROM_OPER","FQ3 2024","FQ3 2024","Currency=USD","Period=FQ","BEST_FPERIOD_OVERRIDE=FQ","FILING_STATUS=MR","SCALING_FORMAT=MLN","Sort=A","Dates=H","DateFormat=P","Fill=—","Direction=H","UseDPDF=Y")</f>
        <v>-352.49</v>
      </c>
      <c r="Z29" s="13">
        <f>_xll.BDH("SRPT US Equity","TRAIL_12M_CASH_FROM_OPER","FQ4 2024","FQ4 2024","Currency=USD","Period=FQ","BEST_FPERIOD_OVERRIDE=FQ","FILING_STATUS=MR","SCALING_FORMAT=MLN","Sort=A","Dates=H","DateFormat=P","Fill=—","Direction=H","UseDPDF=Y")</f>
        <v>-205.78700000000001</v>
      </c>
      <c r="AA29" s="13">
        <v>1699.941</v>
      </c>
    </row>
    <row r="30" spans="1:27" x14ac:dyDescent="0.25">
      <c r="A30" s="10" t="s">
        <v>1570</v>
      </c>
      <c r="B30" s="10" t="s">
        <v>1571</v>
      </c>
      <c r="C30" s="13">
        <f>_xll.BDH("SRPT US Equity","TRAIL_12M_CAP_EXPEND","FQ1 2019","FQ1 2019","Currency=USD","Period=FQ","BEST_FPERIOD_OVERRIDE=FQ","FILING_STATUS=MR","SCALING_FORMAT=MLN","Sort=A","Dates=H","DateFormat=P","Fill=—","Direction=H","UseDPDF=Y")</f>
        <v>-65.254000000000005</v>
      </c>
      <c r="D30" s="13">
        <f>_xll.BDH("SRPT US Equity","TRAIL_12M_CAP_EXPEND","FQ2 2019","FQ2 2019","Currency=USD","Period=FQ","BEST_FPERIOD_OVERRIDE=FQ","FILING_STATUS=MR","SCALING_FORMAT=MLN","Sort=A","Dates=H","DateFormat=P","Fill=—","Direction=H","UseDPDF=Y")</f>
        <v>-73.239000000000004</v>
      </c>
      <c r="E30" s="13">
        <f>_xll.BDH("SRPT US Equity","TRAIL_12M_CAP_EXPEND","FQ3 2019","FQ3 2019","Currency=USD","Period=FQ","BEST_FPERIOD_OVERRIDE=FQ","FILING_STATUS=MR","SCALING_FORMAT=MLN","Sort=A","Dates=H","DateFormat=P","Fill=—","Direction=H","UseDPDF=Y")</f>
        <v>-62.576999999999998</v>
      </c>
      <c r="F30" s="13">
        <f>_xll.BDH("SRPT US Equity","TRAIL_12M_CAP_EXPEND","FQ4 2019","FQ4 2019","Currency=USD","Period=FQ","BEST_FPERIOD_OVERRIDE=FQ","FILING_STATUS=MR","SCALING_FORMAT=MLN","Sort=A","Dates=H","DateFormat=P","Fill=—","Direction=H","UseDPDF=Y")</f>
        <v>-59.631</v>
      </c>
      <c r="G30" s="13">
        <f>_xll.BDH("SRPT US Equity","TRAIL_12M_CAP_EXPEND","FQ1 2020","FQ1 2020","Currency=USD","Period=FQ","BEST_FPERIOD_OVERRIDE=FQ","FILING_STATUS=MR","SCALING_FORMAT=MLN","Sort=A","Dates=H","DateFormat=P","Fill=—","Direction=H","UseDPDF=Y")</f>
        <v>-52.488</v>
      </c>
      <c r="H30" s="13">
        <f>_xll.BDH("SRPT US Equity","TRAIL_12M_CAP_EXPEND","FQ2 2020","FQ2 2020","Currency=USD","Period=FQ","BEST_FPERIOD_OVERRIDE=FQ","FILING_STATUS=MR","SCALING_FORMAT=MLN","Sort=A","Dates=H","DateFormat=P","Fill=—","Direction=H","UseDPDF=Y")</f>
        <v>-54.975000000000001</v>
      </c>
      <c r="I30" s="13">
        <f>_xll.BDH("SRPT US Equity","TRAIL_12M_CAP_EXPEND","FQ3 2020","FQ3 2020","Currency=USD","Period=FQ","BEST_FPERIOD_OVERRIDE=FQ","FILING_STATUS=MR","SCALING_FORMAT=MLN","Sort=A","Dates=H","DateFormat=P","Fill=—","Direction=H","UseDPDF=Y")</f>
        <v>-70.849000000000004</v>
      </c>
      <c r="J30" s="13">
        <f>_xll.BDH("SRPT US Equity","TRAIL_12M_CAP_EXPEND","FQ4 2020","FQ4 2020","Currency=USD","Period=FQ","BEST_FPERIOD_OVERRIDE=FQ","FILING_STATUS=MR","SCALING_FORMAT=MLN","Sort=A","Dates=H","DateFormat=P","Fill=—","Direction=H","UseDPDF=Y")</f>
        <v>-79.605999999999995</v>
      </c>
      <c r="K30" s="13">
        <f>_xll.BDH("SRPT US Equity","TRAIL_12M_CAP_EXPEND","FQ1 2021","FQ1 2021","Currency=USD","Period=FQ","BEST_FPERIOD_OVERRIDE=FQ","FILING_STATUS=MR","SCALING_FORMAT=MLN","Sort=A","Dates=H","DateFormat=P","Fill=—","Direction=H","UseDPDF=Y")</f>
        <v>-91.635000000000005</v>
      </c>
      <c r="L30" s="13">
        <f>_xll.BDH("SRPT US Equity","TRAIL_12M_CAP_EXPEND","FQ2 2021","FQ2 2021","Currency=USD","Period=FQ","BEST_FPERIOD_OVERRIDE=FQ","FILING_STATUS=MR","SCALING_FORMAT=MLN","Sort=A","Dates=H","DateFormat=P","Fill=—","Direction=H","UseDPDF=Y")</f>
        <v>-78.36</v>
      </c>
      <c r="M30" s="13">
        <f>_xll.BDH("SRPT US Equity","TRAIL_12M_CAP_EXPEND","FQ3 2021","FQ3 2021","Currency=USD","Period=FQ","BEST_FPERIOD_OVERRIDE=FQ","FILING_STATUS=MR","SCALING_FORMAT=MLN","Sort=A","Dates=H","DateFormat=P","Fill=—","Direction=H","UseDPDF=Y")</f>
        <v>-62.298000000000002</v>
      </c>
      <c r="N30" s="13">
        <f>_xll.BDH("SRPT US Equity","TRAIL_12M_CAP_EXPEND","FQ4 2021","FQ4 2021","Currency=USD","Period=FQ","BEST_FPERIOD_OVERRIDE=FQ","FILING_STATUS=MR","SCALING_FORMAT=MLN","Sort=A","Dates=H","DateFormat=P","Fill=—","Direction=H","UseDPDF=Y")</f>
        <v>-38.49</v>
      </c>
      <c r="O30" s="13">
        <f>_xll.BDH("SRPT US Equity","TRAIL_12M_CAP_EXPEND","FQ1 2022","FQ1 2022","Currency=USD","Period=FQ","BEST_FPERIOD_OVERRIDE=FQ","FILING_STATUS=MR","SCALING_FORMAT=MLN","Sort=A","Dates=H","DateFormat=P","Fill=—","Direction=H","UseDPDF=Y")</f>
        <v>-22.891999999999999</v>
      </c>
      <c r="P30" s="13">
        <f>_xll.BDH("SRPT US Equity","TRAIL_12M_CAP_EXPEND","FQ2 2022","FQ2 2022","Currency=USD","Period=FQ","BEST_FPERIOD_OVERRIDE=FQ","FILING_STATUS=MR","SCALING_FORMAT=MLN","Sort=A","Dates=H","DateFormat=P","Fill=—","Direction=H","UseDPDF=Y")</f>
        <v>-26.076000000000001</v>
      </c>
      <c r="Q30" s="13">
        <f>_xll.BDH("SRPT US Equity","TRAIL_12M_CAP_EXPEND","FQ3 2022","FQ3 2022","Currency=USD","Period=FQ","BEST_FPERIOD_OVERRIDE=FQ","FILING_STATUS=MR","SCALING_FORMAT=MLN","Sort=A","Dates=H","DateFormat=P","Fill=—","Direction=H","UseDPDF=Y")</f>
        <v>-25.065999999999999</v>
      </c>
      <c r="R30" s="13">
        <f>_xll.BDH("SRPT US Equity","TRAIL_12M_CAP_EXPEND","FQ4 2022","FQ4 2022","Currency=USD","Period=FQ","BEST_FPERIOD_OVERRIDE=FQ","FILING_STATUS=MR","SCALING_FORMAT=MLN","Sort=A","Dates=H","DateFormat=P","Fill=—","Direction=H","UseDPDF=Y")</f>
        <v>-29.599</v>
      </c>
      <c r="S30" s="13">
        <f>_xll.BDH("SRPT US Equity","TRAIL_12M_CAP_EXPEND","FQ1 2023","FQ1 2023","Currency=USD","Period=FQ","BEST_FPERIOD_OVERRIDE=FQ","FILING_STATUS=MR","SCALING_FORMAT=MLN","Sort=A","Dates=H","DateFormat=P","Fill=—","Direction=H","UseDPDF=Y")</f>
        <v>-33.533000000000001</v>
      </c>
      <c r="T30" s="13">
        <f>_xll.BDH("SRPT US Equity","TRAIL_12M_CAP_EXPEND","FQ2 2023","FQ2 2023","Currency=USD","Period=FQ","BEST_FPERIOD_OVERRIDE=FQ","FILING_STATUS=MR","SCALING_FORMAT=MLN","Sort=A","Dates=H","DateFormat=P","Fill=—","Direction=H","UseDPDF=Y")</f>
        <v>-42.363999999999997</v>
      </c>
      <c r="U30" s="13">
        <f>_xll.BDH("SRPT US Equity","TRAIL_12M_CAP_EXPEND","FQ3 2023","FQ3 2023","Currency=USD","Period=FQ","BEST_FPERIOD_OVERRIDE=FQ","FILING_STATUS=MR","SCALING_FORMAT=MLN","Sort=A","Dates=H","DateFormat=P","Fill=—","Direction=H","UseDPDF=Y")</f>
        <v>-63.805999999999997</v>
      </c>
      <c r="V30" s="13">
        <f>_xll.BDH("SRPT US Equity","TRAIL_12M_CAP_EXPEND","FQ4 2023","FQ4 2023","Currency=USD","Period=FQ","BEST_FPERIOD_OVERRIDE=FQ","FILING_STATUS=MR","SCALING_FORMAT=MLN","Sort=A","Dates=H","DateFormat=P","Fill=—","Direction=H","UseDPDF=Y")</f>
        <v>-76.105999999999995</v>
      </c>
      <c r="W30" s="13">
        <f>_xll.BDH("SRPT US Equity","TRAIL_12M_CAP_EXPEND","FQ1 2024","FQ1 2024","Currency=USD","Period=FQ","BEST_FPERIOD_OVERRIDE=FQ","FILING_STATUS=MR","SCALING_FORMAT=MLN","Sort=A","Dates=H","DateFormat=P","Fill=—","Direction=H","UseDPDF=Y")</f>
        <v>-99.064999999999998</v>
      </c>
      <c r="X30" s="13">
        <f>_xll.BDH("SRPT US Equity","TRAIL_12M_CAP_EXPEND","FQ2 2024","FQ2 2024","Currency=USD","Period=FQ","BEST_FPERIOD_OVERRIDE=FQ","FILING_STATUS=MR","SCALING_FORMAT=MLN","Sort=A","Dates=H","DateFormat=P","Fill=—","Direction=H","UseDPDF=Y")</f>
        <v>-110.32299999999999</v>
      </c>
      <c r="Y30" s="13">
        <f>_xll.BDH("SRPT US Equity","TRAIL_12M_CAP_EXPEND","FQ3 2024","FQ3 2024","Currency=USD","Period=FQ","BEST_FPERIOD_OVERRIDE=FQ","FILING_STATUS=MR","SCALING_FORMAT=MLN","Sort=A","Dates=H","DateFormat=P","Fill=—","Direction=H","UseDPDF=Y")</f>
        <v>-117.913</v>
      </c>
      <c r="Z30" s="13">
        <f>_xll.BDH("SRPT US Equity","TRAIL_12M_CAP_EXPEND","FQ4 2024","FQ4 2024","Currency=USD","Period=FQ","BEST_FPERIOD_OVERRIDE=FQ","FILING_STATUS=MR","SCALING_FORMAT=MLN","Sort=A","Dates=H","DateFormat=P","Fill=—","Direction=H","UseDPDF=Y")</f>
        <v>-136.95599999999999</v>
      </c>
      <c r="AA30" s="13"/>
    </row>
    <row r="31" spans="1:27" x14ac:dyDescent="0.25">
      <c r="A31" s="10" t="s">
        <v>1595</v>
      </c>
      <c r="B31" s="10" t="s">
        <v>1596</v>
      </c>
      <c r="C31" s="13" t="str">
        <f>_xll.BDH("SRPT US Equity","AFTER_TAX_INTEREST_EXPENSE","FQ1 2019","FQ1 2019","Currency=USD","Period=FQ","BEST_FPERIOD_OVERRIDE=FQ","FILING_STATUS=MR","SCALING_FORMAT=MLN","FA_ADJUSTED=GAAP","Sort=A","Dates=H","DateFormat=P","Fill=—","Direction=H","UseDPDF=Y")</f>
        <v>—</v>
      </c>
      <c r="D31" s="13" t="str">
        <f>_xll.BDH("SRPT US Equity","AFTER_TAX_INTEREST_EXPENSE","FQ2 2019","FQ2 2019","Currency=USD","Period=FQ","BEST_FPERIOD_OVERRIDE=FQ","FILING_STATUS=MR","SCALING_FORMAT=MLN","FA_ADJUSTED=GAAP","Sort=A","Dates=H","DateFormat=P","Fill=—","Direction=H","UseDPDF=Y")</f>
        <v>—</v>
      </c>
      <c r="E31" s="13" t="str">
        <f>_xll.BDH("SRPT US Equity","AFTER_TAX_INTEREST_EXPENSE","FQ3 2019","FQ3 2019","Currency=USD","Period=FQ","BEST_FPERIOD_OVERRIDE=FQ","FILING_STATUS=MR","SCALING_FORMAT=MLN","FA_ADJUSTED=GAAP","Sort=A","Dates=H","DateFormat=P","Fill=—","Direction=H","UseDPDF=Y")</f>
        <v>—</v>
      </c>
      <c r="F31" s="13" t="str">
        <f>_xll.BDH("SRPT US Equity","AFTER_TAX_INTEREST_EXPENSE","FQ4 2019","FQ4 2019","Currency=USD","Period=FQ","BEST_FPERIOD_OVERRIDE=FQ","FILING_STATUS=MR","SCALING_FORMAT=MLN","FA_ADJUSTED=GAAP","Sort=A","Dates=H","DateFormat=P","Fill=—","Direction=H","UseDPDF=Y")</f>
        <v>—</v>
      </c>
      <c r="G31" s="13" t="str">
        <f>_xll.BDH("SRPT US Equity","AFTER_TAX_INTEREST_EXPENSE","FQ1 2020","FQ1 2020","Currency=USD","Period=FQ","BEST_FPERIOD_OVERRIDE=FQ","FILING_STATUS=MR","SCALING_FORMAT=MLN","FA_ADJUSTED=GAAP","Sort=A","Dates=H","DateFormat=P","Fill=—","Direction=H","UseDPDF=Y")</f>
        <v>—</v>
      </c>
      <c r="H31" s="13" t="str">
        <f>_xll.BDH("SRPT US Equity","AFTER_TAX_INTEREST_EXPENSE","FQ2 2020","FQ2 2020","Currency=USD","Period=FQ","BEST_FPERIOD_OVERRIDE=FQ","FILING_STATUS=MR","SCALING_FORMAT=MLN","FA_ADJUSTED=GAAP","Sort=A","Dates=H","DateFormat=P","Fill=—","Direction=H","UseDPDF=Y")</f>
        <v>—</v>
      </c>
      <c r="I31" s="13" t="str">
        <f>_xll.BDH("SRPT US Equity","AFTER_TAX_INTEREST_EXPENSE","FQ3 2020","FQ3 2020","Currency=USD","Period=FQ","BEST_FPERIOD_OVERRIDE=FQ","FILING_STATUS=MR","SCALING_FORMAT=MLN","FA_ADJUSTED=GAAP","Sort=A","Dates=H","DateFormat=P","Fill=—","Direction=H","UseDPDF=Y")</f>
        <v>—</v>
      </c>
      <c r="J31" s="13" t="str">
        <f>_xll.BDH("SRPT US Equity","AFTER_TAX_INTEREST_EXPENSE","FQ4 2020","FQ4 2020","Currency=USD","Period=FQ","BEST_FPERIOD_OVERRIDE=FQ","FILING_STATUS=MR","SCALING_FORMAT=MLN","FA_ADJUSTED=GAAP","Sort=A","Dates=H","DateFormat=P","Fill=—","Direction=H","UseDPDF=Y")</f>
        <v>—</v>
      </c>
      <c r="K31" s="13" t="str">
        <f>_xll.BDH("SRPT US Equity","AFTER_TAX_INTEREST_EXPENSE","FQ1 2021","FQ1 2021","Currency=USD","Period=FQ","BEST_FPERIOD_OVERRIDE=FQ","FILING_STATUS=MR","SCALING_FORMAT=MLN","FA_ADJUSTED=GAAP","Sort=A","Dates=H","DateFormat=P","Fill=—","Direction=H","UseDPDF=Y")</f>
        <v>—</v>
      </c>
      <c r="L31" s="13" t="str">
        <f>_xll.BDH("SRPT US Equity","AFTER_TAX_INTEREST_EXPENSE","FQ2 2021","FQ2 2021","Currency=USD","Period=FQ","BEST_FPERIOD_OVERRIDE=FQ","FILING_STATUS=MR","SCALING_FORMAT=MLN","FA_ADJUSTED=GAAP","Sort=A","Dates=H","DateFormat=P","Fill=—","Direction=H","UseDPDF=Y")</f>
        <v>—</v>
      </c>
      <c r="M31" s="13" t="str">
        <f>_xll.BDH("SRPT US Equity","AFTER_TAX_INTEREST_EXPENSE","FQ3 2021","FQ3 2021","Currency=USD","Period=FQ","BEST_FPERIOD_OVERRIDE=FQ","FILING_STATUS=MR","SCALING_FORMAT=MLN","FA_ADJUSTED=GAAP","Sort=A","Dates=H","DateFormat=P","Fill=—","Direction=H","UseDPDF=Y")</f>
        <v>—</v>
      </c>
      <c r="N31" s="13" t="str">
        <f>_xll.BDH("SRPT US Equity","AFTER_TAX_INTEREST_EXPENSE","FQ4 2021","FQ4 2021","Currency=USD","Period=FQ","BEST_FPERIOD_OVERRIDE=FQ","FILING_STATUS=MR","SCALING_FORMAT=MLN","FA_ADJUSTED=GAAP","Sort=A","Dates=H","DateFormat=P","Fill=—","Direction=H","UseDPDF=Y")</f>
        <v>—</v>
      </c>
      <c r="O31" s="13" t="str">
        <f>_xll.BDH("SRPT US Equity","AFTER_TAX_INTEREST_EXPENSE","FQ1 2022","FQ1 2022","Currency=USD","Period=FQ","BEST_FPERIOD_OVERRIDE=FQ","FILING_STATUS=MR","SCALING_FORMAT=MLN","FA_ADJUSTED=GAAP","Sort=A","Dates=H","DateFormat=P","Fill=—","Direction=H","UseDPDF=Y")</f>
        <v>—</v>
      </c>
      <c r="P31" s="13" t="str">
        <f>_xll.BDH("SRPT US Equity","AFTER_TAX_INTEREST_EXPENSE","FQ2 2022","FQ2 2022","Currency=USD","Period=FQ","BEST_FPERIOD_OVERRIDE=FQ","FILING_STATUS=MR","SCALING_FORMAT=MLN","FA_ADJUSTED=GAAP","Sort=A","Dates=H","DateFormat=P","Fill=—","Direction=H","UseDPDF=Y")</f>
        <v>—</v>
      </c>
      <c r="Q31" s="13" t="str">
        <f>_xll.BDH("SRPT US Equity","AFTER_TAX_INTEREST_EXPENSE","FQ3 2022","FQ3 2022","Currency=USD","Period=FQ","BEST_FPERIOD_OVERRIDE=FQ","FILING_STATUS=MR","SCALING_FORMAT=MLN","FA_ADJUSTED=GAAP","Sort=A","Dates=H","DateFormat=P","Fill=—","Direction=H","UseDPDF=Y")</f>
        <v>—</v>
      </c>
      <c r="R31" s="13" t="str">
        <f>_xll.BDH("SRPT US Equity","AFTER_TAX_INTEREST_EXPENSE","FQ4 2022","FQ4 2022","Currency=USD","Period=FQ","BEST_FPERIOD_OVERRIDE=FQ","FILING_STATUS=MR","SCALING_FORMAT=MLN","FA_ADJUSTED=GAAP","Sort=A","Dates=H","DateFormat=P","Fill=—","Direction=H","UseDPDF=Y")</f>
        <v>—</v>
      </c>
      <c r="S31" s="13" t="str">
        <f>_xll.BDH("SRPT US Equity","AFTER_TAX_INTEREST_EXPENSE","FQ1 2023","FQ1 2023","Currency=USD","Period=FQ","BEST_FPERIOD_OVERRIDE=FQ","FILING_STATUS=MR","SCALING_FORMAT=MLN","FA_ADJUSTED=GAAP","Sort=A","Dates=H","DateFormat=P","Fill=—","Direction=H","UseDPDF=Y")</f>
        <v>—</v>
      </c>
      <c r="T31" s="13" t="str">
        <f>_xll.BDH("SRPT US Equity","AFTER_TAX_INTEREST_EXPENSE","FQ2 2023","FQ2 2023","Currency=USD","Period=FQ","BEST_FPERIOD_OVERRIDE=FQ","FILING_STATUS=MR","SCALING_FORMAT=MLN","FA_ADJUSTED=GAAP","Sort=A","Dates=H","DateFormat=P","Fill=—","Direction=H","UseDPDF=Y")</f>
        <v>—</v>
      </c>
      <c r="U31" s="13" t="str">
        <f>_xll.BDH("SRPT US Equity","AFTER_TAX_INTEREST_EXPENSE","FQ3 2023","FQ3 2023","Currency=USD","Period=FQ","BEST_FPERIOD_OVERRIDE=FQ","FILING_STATUS=MR","SCALING_FORMAT=MLN","FA_ADJUSTED=GAAP","Sort=A","Dates=H","DateFormat=P","Fill=—","Direction=H","UseDPDF=Y")</f>
        <v>—</v>
      </c>
      <c r="V31" s="13" t="str">
        <f>_xll.BDH("SRPT US Equity","AFTER_TAX_INTEREST_EXPENSE","FQ4 2023","FQ4 2023","Currency=USD","Period=FQ","BEST_FPERIOD_OVERRIDE=FQ","FILING_STATUS=MR","SCALING_FORMAT=MLN","FA_ADJUSTED=GAAP","Sort=A","Dates=H","DateFormat=P","Fill=—","Direction=H","UseDPDF=Y")</f>
        <v>—</v>
      </c>
      <c r="W31" s="13">
        <f>_xll.BDH("SRPT US Equity","AFTER_TAX_INTEREST_EXPENSE","FQ1 2024","FQ1 2024","Currency=USD","Period=FQ","BEST_FPERIOD_OVERRIDE=FQ","FILING_STATUS=MR","SCALING_FORMAT=MLN","FA_ADJUSTED=GAAP","Sort=A","Dates=H","DateFormat=P","Fill=—","Direction=H","UseDPDF=Y")</f>
        <v>9.8490000000000002</v>
      </c>
      <c r="X31" s="13">
        <f>_xll.BDH("SRPT US Equity","AFTER_TAX_INTEREST_EXPENSE","FQ2 2024","FQ2 2024","Currency=USD","Period=FQ","BEST_FPERIOD_OVERRIDE=FQ","FILING_STATUS=MR","SCALING_FORMAT=MLN","FA_ADJUSTED=GAAP","Sort=A","Dates=H","DateFormat=P","Fill=—","Direction=H","UseDPDF=Y")</f>
        <v>14.792899999999999</v>
      </c>
      <c r="Y31" s="13">
        <f>_xll.BDH("SRPT US Equity","AFTER_TAX_INTEREST_EXPENSE","FQ3 2024","FQ3 2024","Currency=USD","Period=FQ","BEST_FPERIOD_OVERRIDE=FQ","FILING_STATUS=MR","SCALING_FORMAT=MLN","FA_ADJUSTED=GAAP","Sort=A","Dates=H","DateFormat=P","Fill=—","Direction=H","UseDPDF=Y")</f>
        <v>18.031700000000001</v>
      </c>
      <c r="Z31" s="13">
        <f>_xll.BDH("SRPT US Equity","AFTER_TAX_INTEREST_EXPENSE","FQ4 2024","FQ4 2024","Currency=USD","Period=FQ","BEST_FPERIOD_OVERRIDE=FQ","FILING_STATUS=MR","SCALING_FORMAT=MLN","FA_ADJUSTED=GAAP","Sort=A","Dates=H","DateFormat=P","Fill=—","Direction=H","UseDPDF=Y")</f>
        <v>16.590199999999999</v>
      </c>
      <c r="AA31" s="13"/>
    </row>
    <row r="32" spans="1:27" x14ac:dyDescent="0.25">
      <c r="A32" s="6" t="s">
        <v>1597</v>
      </c>
      <c r="B32" s="6" t="s">
        <v>205</v>
      </c>
      <c r="C32" s="19" t="str">
        <f>_xll.BDH("SRPT US Equity","TRAIL_12M_FREE_CASH_FLOW_FIRM","FQ1 2019","FQ1 2019","Currency=USD","Period=FQ","BEST_FPERIOD_OVERRIDE=FQ","FILING_STATUS=MR","SCALING_FORMAT=MLN","FA_ADJUSTED=GAAP","Sort=A","Dates=H","DateFormat=P","Fill=—","Direction=H","UseDPDF=Y")</f>
        <v>—</v>
      </c>
      <c r="D32" s="19" t="str">
        <f>_xll.BDH("SRPT US Equity","TRAIL_12M_FREE_CASH_FLOW_FIRM","FQ2 2019","FQ2 2019","Currency=USD","Period=FQ","BEST_FPERIOD_OVERRIDE=FQ","FILING_STATUS=MR","SCALING_FORMAT=MLN","FA_ADJUSTED=GAAP","Sort=A","Dates=H","DateFormat=P","Fill=—","Direction=H","UseDPDF=Y")</f>
        <v>—</v>
      </c>
      <c r="E32" s="19" t="str">
        <f>_xll.BDH("SRPT US Equity","TRAIL_12M_FREE_CASH_FLOW_FIRM","FQ3 2019","FQ3 2019","Currency=USD","Period=FQ","BEST_FPERIOD_OVERRIDE=FQ","FILING_STATUS=MR","SCALING_FORMAT=MLN","FA_ADJUSTED=GAAP","Sort=A","Dates=H","DateFormat=P","Fill=—","Direction=H","UseDPDF=Y")</f>
        <v>—</v>
      </c>
      <c r="F32" s="19" t="str">
        <f>_xll.BDH("SRPT US Equity","TRAIL_12M_FREE_CASH_FLOW_FIRM","FQ4 2019","FQ4 2019","Currency=USD","Period=FQ","BEST_FPERIOD_OVERRIDE=FQ","FILING_STATUS=MR","SCALING_FORMAT=MLN","FA_ADJUSTED=GAAP","Sort=A","Dates=H","DateFormat=P","Fill=—","Direction=H","UseDPDF=Y")</f>
        <v>—</v>
      </c>
      <c r="G32" s="19" t="str">
        <f>_xll.BDH("SRPT US Equity","TRAIL_12M_FREE_CASH_FLOW_FIRM","FQ1 2020","FQ1 2020","Currency=USD","Period=FQ","BEST_FPERIOD_OVERRIDE=FQ","FILING_STATUS=MR","SCALING_FORMAT=MLN","FA_ADJUSTED=GAAP","Sort=A","Dates=H","DateFormat=P","Fill=—","Direction=H","UseDPDF=Y")</f>
        <v>—</v>
      </c>
      <c r="H32" s="19" t="str">
        <f>_xll.BDH("SRPT US Equity","TRAIL_12M_FREE_CASH_FLOW_FIRM","FQ2 2020","FQ2 2020","Currency=USD","Period=FQ","BEST_FPERIOD_OVERRIDE=FQ","FILING_STATUS=MR","SCALING_FORMAT=MLN","FA_ADJUSTED=GAAP","Sort=A","Dates=H","DateFormat=P","Fill=—","Direction=H","UseDPDF=Y")</f>
        <v>—</v>
      </c>
      <c r="I32" s="19" t="str">
        <f>_xll.BDH("SRPT US Equity","TRAIL_12M_FREE_CASH_FLOW_FIRM","FQ3 2020","FQ3 2020","Currency=USD","Period=FQ","BEST_FPERIOD_OVERRIDE=FQ","FILING_STATUS=MR","SCALING_FORMAT=MLN","FA_ADJUSTED=GAAP","Sort=A","Dates=H","DateFormat=P","Fill=—","Direction=H","UseDPDF=Y")</f>
        <v>—</v>
      </c>
      <c r="J32" s="19" t="str">
        <f>_xll.BDH("SRPT US Equity","TRAIL_12M_FREE_CASH_FLOW_FIRM","FQ4 2020","FQ4 2020","Currency=USD","Period=FQ","BEST_FPERIOD_OVERRIDE=FQ","FILING_STATUS=MR","SCALING_FORMAT=MLN","FA_ADJUSTED=GAAP","Sort=A","Dates=H","DateFormat=P","Fill=—","Direction=H","UseDPDF=Y")</f>
        <v>—</v>
      </c>
      <c r="K32" s="19" t="str">
        <f>_xll.BDH("SRPT US Equity","TRAIL_12M_FREE_CASH_FLOW_FIRM","FQ1 2021","FQ1 2021","Currency=USD","Period=FQ","BEST_FPERIOD_OVERRIDE=FQ","FILING_STATUS=MR","SCALING_FORMAT=MLN","FA_ADJUSTED=GAAP","Sort=A","Dates=H","DateFormat=P","Fill=—","Direction=H","UseDPDF=Y")</f>
        <v>—</v>
      </c>
      <c r="L32" s="19" t="str">
        <f>_xll.BDH("SRPT US Equity","TRAIL_12M_FREE_CASH_FLOW_FIRM","FQ2 2021","FQ2 2021","Currency=USD","Period=FQ","BEST_FPERIOD_OVERRIDE=FQ","FILING_STATUS=MR","SCALING_FORMAT=MLN","FA_ADJUSTED=GAAP","Sort=A","Dates=H","DateFormat=P","Fill=—","Direction=H","UseDPDF=Y")</f>
        <v>—</v>
      </c>
      <c r="M32" s="19" t="str">
        <f>_xll.BDH("SRPT US Equity","TRAIL_12M_FREE_CASH_FLOW_FIRM","FQ3 2021","FQ3 2021","Currency=USD","Period=FQ","BEST_FPERIOD_OVERRIDE=FQ","FILING_STATUS=MR","SCALING_FORMAT=MLN","FA_ADJUSTED=GAAP","Sort=A","Dates=H","DateFormat=P","Fill=—","Direction=H","UseDPDF=Y")</f>
        <v>—</v>
      </c>
      <c r="N32" s="19" t="str">
        <f>_xll.BDH("SRPT US Equity","TRAIL_12M_FREE_CASH_FLOW_FIRM","FQ4 2021","FQ4 2021","Currency=USD","Period=FQ","BEST_FPERIOD_OVERRIDE=FQ","FILING_STATUS=MR","SCALING_FORMAT=MLN","FA_ADJUSTED=GAAP","Sort=A","Dates=H","DateFormat=P","Fill=—","Direction=H","UseDPDF=Y")</f>
        <v>—</v>
      </c>
      <c r="O32" s="19" t="str">
        <f>_xll.BDH("SRPT US Equity","TRAIL_12M_FREE_CASH_FLOW_FIRM","FQ1 2022","FQ1 2022","Currency=USD","Period=FQ","BEST_FPERIOD_OVERRIDE=FQ","FILING_STATUS=MR","SCALING_FORMAT=MLN","FA_ADJUSTED=GAAP","Sort=A","Dates=H","DateFormat=P","Fill=—","Direction=H","UseDPDF=Y")</f>
        <v>—</v>
      </c>
      <c r="P32" s="19" t="str">
        <f>_xll.BDH("SRPT US Equity","TRAIL_12M_FREE_CASH_FLOW_FIRM","FQ2 2022","FQ2 2022","Currency=USD","Period=FQ","BEST_FPERIOD_OVERRIDE=FQ","FILING_STATUS=MR","SCALING_FORMAT=MLN","FA_ADJUSTED=GAAP","Sort=A","Dates=H","DateFormat=P","Fill=—","Direction=H","UseDPDF=Y")</f>
        <v>—</v>
      </c>
      <c r="Q32" s="19" t="str">
        <f>_xll.BDH("SRPT US Equity","TRAIL_12M_FREE_CASH_FLOW_FIRM","FQ3 2022","FQ3 2022","Currency=USD","Period=FQ","BEST_FPERIOD_OVERRIDE=FQ","FILING_STATUS=MR","SCALING_FORMAT=MLN","FA_ADJUSTED=GAAP","Sort=A","Dates=H","DateFormat=P","Fill=—","Direction=H","UseDPDF=Y")</f>
        <v>—</v>
      </c>
      <c r="R32" s="19" t="str">
        <f>_xll.BDH("SRPT US Equity","TRAIL_12M_FREE_CASH_FLOW_FIRM","FQ4 2022","FQ4 2022","Currency=USD","Period=FQ","BEST_FPERIOD_OVERRIDE=FQ","FILING_STATUS=MR","SCALING_FORMAT=MLN","FA_ADJUSTED=GAAP","Sort=A","Dates=H","DateFormat=P","Fill=—","Direction=H","UseDPDF=Y")</f>
        <v>—</v>
      </c>
      <c r="S32" s="19" t="str">
        <f>_xll.BDH("SRPT US Equity","TRAIL_12M_FREE_CASH_FLOW_FIRM","FQ1 2023","FQ1 2023","Currency=USD","Period=FQ","BEST_FPERIOD_OVERRIDE=FQ","FILING_STATUS=MR","SCALING_FORMAT=MLN","FA_ADJUSTED=GAAP","Sort=A","Dates=H","DateFormat=P","Fill=—","Direction=H","UseDPDF=Y")</f>
        <v>—</v>
      </c>
      <c r="T32" s="19" t="str">
        <f>_xll.BDH("SRPT US Equity","TRAIL_12M_FREE_CASH_FLOW_FIRM","FQ2 2023","FQ2 2023","Currency=USD","Period=FQ","BEST_FPERIOD_OVERRIDE=FQ","FILING_STATUS=MR","SCALING_FORMAT=MLN","FA_ADJUSTED=GAAP","Sort=A","Dates=H","DateFormat=P","Fill=—","Direction=H","UseDPDF=Y")</f>
        <v>—</v>
      </c>
      <c r="U32" s="19" t="str">
        <f>_xll.BDH("SRPT US Equity","TRAIL_12M_FREE_CASH_FLOW_FIRM","FQ3 2023","FQ3 2023","Currency=USD","Period=FQ","BEST_FPERIOD_OVERRIDE=FQ","FILING_STATUS=MR","SCALING_FORMAT=MLN","FA_ADJUSTED=GAAP","Sort=A","Dates=H","DateFormat=P","Fill=—","Direction=H","UseDPDF=Y")</f>
        <v>—</v>
      </c>
      <c r="V32" s="19" t="str">
        <f>_xll.BDH("SRPT US Equity","TRAIL_12M_FREE_CASH_FLOW_FIRM","FQ4 2023","FQ4 2023","Currency=USD","Period=FQ","BEST_FPERIOD_OVERRIDE=FQ","FILING_STATUS=MR","SCALING_FORMAT=MLN","FA_ADJUSTED=GAAP","Sort=A","Dates=H","DateFormat=P","Fill=—","Direction=H","UseDPDF=Y")</f>
        <v>—</v>
      </c>
      <c r="W32" s="19">
        <f>_xll.BDH("SRPT US Equity","TRAIL_12M_FREE_CASH_FLOW_FIRM","FQ1 2024","FQ1 2024","Currency=USD","Period=FQ","BEST_FPERIOD_OVERRIDE=FQ","FILING_STATUS=MR","SCALING_FORMAT=MLN","FA_ADJUSTED=GAAP","Sort=A","Dates=H","DateFormat=P","Fill=—","Direction=H","UseDPDF=Y")</f>
        <v>-622.88900000000001</v>
      </c>
      <c r="X32" s="19">
        <f>_xll.BDH("SRPT US Equity","TRAIL_12M_FREE_CASH_FLOW_FIRM","FQ2 2024","FQ2 2024","Currency=USD","Period=FQ","BEST_FPERIOD_OVERRIDE=FQ","FILING_STATUS=MR","SCALING_FORMAT=MLN","FA_ADJUSTED=GAAP","Sort=A","Dates=H","DateFormat=P","Fill=—","Direction=H","UseDPDF=Y")</f>
        <v>-492.02710000000002</v>
      </c>
      <c r="Y32" s="19">
        <f>_xll.BDH("SRPT US Equity","TRAIL_12M_FREE_CASH_FLOW_FIRM","FQ3 2024","FQ3 2024","Currency=USD","Period=FQ","BEST_FPERIOD_OVERRIDE=FQ","FILING_STATUS=MR","SCALING_FORMAT=MLN","FA_ADJUSTED=GAAP","Sort=A","Dates=H","DateFormat=P","Fill=—","Direction=H","UseDPDF=Y")</f>
        <v>-452.37130000000002</v>
      </c>
      <c r="Z32" s="19">
        <f>_xll.BDH("SRPT US Equity","TRAIL_12M_FREE_CASH_FLOW_FIRM","FQ4 2024","FQ4 2024","Currency=USD","Period=FQ","BEST_FPERIOD_OVERRIDE=FQ","FILING_STATUS=MR","SCALING_FORMAT=MLN","FA_ADJUSTED=GAAP","Sort=A","Dates=H","DateFormat=P","Fill=—","Direction=H","UseDPDF=Y")</f>
        <v>-326.15280000000001</v>
      </c>
      <c r="AA32" s="19"/>
    </row>
    <row r="33" spans="1:27" x14ac:dyDescent="0.25">
      <c r="A33" s="11" t="s">
        <v>1598</v>
      </c>
      <c r="B33" s="11" t="s">
        <v>69</v>
      </c>
      <c r="C33" s="25">
        <f>_xll.BDH("SRPT US Equity","ENTERPRISE_VALUE","FQ1 2019","FQ1 2019","Currency=USD","Period=FQ","BEST_FPERIOD_OVERRIDE=FQ","FILING_STATUS=MR","SCALING_FORMAT=MLN","Sort=A","Dates=H","DateFormat=P","Fill=—","Direction=H","UseDPDF=Y")</f>
        <v>7976.4474</v>
      </c>
      <c r="D33" s="25">
        <f>_xll.BDH("SRPT US Equity","ENTERPRISE_VALUE","FQ2 2019","FQ2 2019","Currency=USD","Period=FQ","BEST_FPERIOD_OVERRIDE=FQ","FILING_STATUS=MR","SCALING_FORMAT=MLN","Sort=A","Dates=H","DateFormat=P","Fill=—","Direction=H","UseDPDF=Y")</f>
        <v>10679.4452</v>
      </c>
      <c r="E33" s="25">
        <f>_xll.BDH("SRPT US Equity","ENTERPRISE_VALUE","FQ3 2019","FQ3 2019","Currency=USD","Period=FQ","BEST_FPERIOD_OVERRIDE=FQ","FILING_STATUS=MR","SCALING_FORMAT=MLN","Sort=A","Dates=H","DateFormat=P","Fill=—","Direction=H","UseDPDF=Y")</f>
        <v>5056.5702000000001</v>
      </c>
      <c r="F33" s="25">
        <f>_xll.BDH("SRPT US Equity","ENTERPRISE_VALUE","FQ4 2019","FQ4 2019","Currency=USD","Period=FQ","BEST_FPERIOD_OVERRIDE=FQ","FILING_STATUS=MR","SCALING_FORMAT=MLN","Sort=A","Dates=H","DateFormat=P","Fill=—","Direction=H","UseDPDF=Y")</f>
        <v>9314.5727000000006</v>
      </c>
      <c r="G33" s="25">
        <f>_xll.BDH("SRPT US Equity","ENTERPRISE_VALUE","FQ1 2020","FQ1 2020","Currency=USD","Period=FQ","BEST_FPERIOD_OVERRIDE=FQ","FILING_STATUS=MR","SCALING_FORMAT=MLN","Sort=A","Dates=H","DateFormat=P","Fill=—","Direction=H","UseDPDF=Y")</f>
        <v>6198.3289999999997</v>
      </c>
      <c r="H33" s="25">
        <f>_xll.BDH("SRPT US Equity","ENTERPRISE_VALUE","FQ2 2020","FQ2 2020","Currency=USD","Period=FQ","BEST_FPERIOD_OVERRIDE=FQ","FILING_STATUS=MR","SCALING_FORMAT=MLN","Sort=A","Dates=H","DateFormat=P","Fill=—","Direction=H","UseDPDF=Y")</f>
        <v>11271.5093</v>
      </c>
      <c r="I33" s="25">
        <f>_xll.BDH("SRPT US Equity","ENTERPRISE_VALUE","FQ3 2020","FQ3 2020","Currency=USD","Period=FQ","BEST_FPERIOD_OVERRIDE=FQ","FILING_STATUS=MR","SCALING_FORMAT=MLN","Sort=A","Dates=H","DateFormat=P","Fill=—","Direction=H","UseDPDF=Y")</f>
        <v>10007.475</v>
      </c>
      <c r="J33" s="25">
        <f>_xll.BDH("SRPT US Equity","ENTERPRISE_VALUE","FQ4 2020","FQ4 2020","Currency=USD","Period=FQ","BEST_FPERIOD_OVERRIDE=FQ","FILING_STATUS=MR","SCALING_FORMAT=MLN","Sort=A","Dates=H","DateFormat=P","Fill=—","Direction=H","UseDPDF=Y")</f>
        <v>12678.419400000001</v>
      </c>
      <c r="K33" s="25">
        <f>_xll.BDH("SRPT US Equity","ENTERPRISE_VALUE","FQ1 2021","FQ1 2021","Currency=USD","Period=FQ","BEST_FPERIOD_OVERRIDE=FQ","FILING_STATUS=MR","SCALING_FORMAT=MLN","Sort=A","Dates=H","DateFormat=P","Fill=—","Direction=H","UseDPDF=Y")</f>
        <v>5348.2636000000002</v>
      </c>
      <c r="L33" s="25">
        <f>_xll.BDH("SRPT US Equity","ENTERPRISE_VALUE","FQ2 2021","FQ2 2021","Currency=USD","Period=FQ","BEST_FPERIOD_OVERRIDE=FQ","FILING_STATUS=MR","SCALING_FORMAT=MLN","Sort=A","Dates=H","DateFormat=P","Fill=—","Direction=H","UseDPDF=Y")</f>
        <v>5627.6962000000003</v>
      </c>
      <c r="M33" s="25">
        <f>_xll.BDH("SRPT US Equity","ENTERPRISE_VALUE","FQ3 2021","FQ3 2021","Currency=USD","Period=FQ","BEST_FPERIOD_OVERRIDE=FQ","FILING_STATUS=MR","SCALING_FORMAT=MLN","Sort=A","Dates=H","DateFormat=P","Fill=—","Direction=H","UseDPDF=Y")</f>
        <v>6944.4766</v>
      </c>
      <c r="N33" s="25">
        <f>_xll.BDH("SRPT US Equity","ENTERPRISE_VALUE","FQ4 2021","FQ4 2021","Currency=USD","Period=FQ","BEST_FPERIOD_OVERRIDE=FQ","FILING_STATUS=MR","SCALING_FORMAT=MLN","Sort=A","Dates=H","DateFormat=P","Fill=—","Direction=H","UseDPDF=Y")</f>
        <v>6873.4480000000003</v>
      </c>
      <c r="O33" s="25">
        <f>_xll.BDH("SRPT US Equity","ENTERPRISE_VALUE","FQ1 2022","FQ1 2022","Currency=USD","Period=FQ","BEST_FPERIOD_OVERRIDE=FQ","FILING_STATUS=MR","SCALING_FORMAT=MLN","Sort=A","Dates=H","DateFormat=P","Fill=—","Direction=H","UseDPDF=Y")</f>
        <v>5949.5447999999997</v>
      </c>
      <c r="P33" s="25">
        <f>_xll.BDH("SRPT US Equity","ENTERPRISE_VALUE","FQ2 2022","FQ2 2022","Currency=USD","Period=FQ","BEST_FPERIOD_OVERRIDE=FQ","FILING_STATUS=MR","SCALING_FORMAT=MLN","Sort=A","Dates=H","DateFormat=P","Fill=—","Direction=H","UseDPDF=Y")</f>
        <v>5755.3689999999997</v>
      </c>
      <c r="Q33" s="25">
        <f>_xll.BDH("SRPT US Equity","ENTERPRISE_VALUE","FQ3 2022","FQ3 2022","Currency=USD","Period=FQ","BEST_FPERIOD_OVERRIDE=FQ","FILING_STATUS=MR","SCALING_FORMAT=MLN","Sort=A","Dates=H","DateFormat=P","Fill=—","Direction=H","UseDPDF=Y")</f>
        <v>9188.1666000000005</v>
      </c>
      <c r="R33" s="25">
        <f>_xll.BDH("SRPT US Equity","ENTERPRISE_VALUE","FQ4 2022","FQ4 2022","Currency=USD","Period=FQ","BEST_FPERIOD_OVERRIDE=FQ","FILING_STATUS=MR","SCALING_FORMAT=MLN","Sort=A","Dates=H","DateFormat=P","Fill=—","Direction=H","UseDPDF=Y")</f>
        <v>11005.537200000001</v>
      </c>
      <c r="S33" s="25">
        <f>_xll.BDH("SRPT US Equity","ENTERPRISE_VALUE","FQ1 2023","FQ1 2023","Currency=USD","Period=FQ","BEST_FPERIOD_OVERRIDE=FQ","FILING_STATUS=MR","SCALING_FORMAT=MLN","Sort=A","Dates=H","DateFormat=P","Fill=—","Direction=H","UseDPDF=Y")</f>
        <v>12224.5988</v>
      </c>
      <c r="T33" s="25">
        <f>_xll.BDH("SRPT US Equity","ENTERPRISE_VALUE","FQ2 2023","FQ2 2023","Currency=USD","Period=FQ","BEST_FPERIOD_OVERRIDE=FQ","FILING_STATUS=MR","SCALING_FORMAT=MLN","Sort=A","Dates=H","DateFormat=P","Fill=—","Direction=H","UseDPDF=Y")</f>
        <v>10166.633900000001</v>
      </c>
      <c r="U33" s="25">
        <f>_xll.BDH("SRPT US Equity","ENTERPRISE_VALUE","FQ3 2023","FQ3 2023","Currency=USD","Period=FQ","BEST_FPERIOD_OVERRIDE=FQ","FILING_STATUS=MR","SCALING_FORMAT=MLN","Sort=A","Dates=H","DateFormat=P","Fill=—","Direction=H","UseDPDF=Y")</f>
        <v>10987.0142</v>
      </c>
      <c r="V33" s="25">
        <f>_xll.BDH("SRPT US Equity","ENTERPRISE_VALUE","FQ4 2023","FQ4 2023","Currency=USD","Period=FQ","BEST_FPERIOD_OVERRIDE=FQ","FILING_STATUS=MR","SCALING_FORMAT=MLN","Sort=A","Dates=H","DateFormat=P","Fill=—","Direction=H","UseDPDF=Y")</f>
        <v>8752.5915000000005</v>
      </c>
      <c r="W33" s="25">
        <f>_xll.BDH("SRPT US Equity","ENTERPRISE_VALUE","FQ1 2024","FQ1 2024","Currency=USD","Period=FQ","BEST_FPERIOD_OVERRIDE=FQ","FILING_STATUS=MR","SCALING_FORMAT=MLN","Sort=A","Dates=H","DateFormat=P","Fill=—","Direction=H","UseDPDF=Y")</f>
        <v>12205.7217</v>
      </c>
      <c r="X33" s="25">
        <f>_xll.BDH("SRPT US Equity","ENTERPRISE_VALUE","FQ2 2024","FQ2 2024","Currency=USD","Period=FQ","BEST_FPERIOD_OVERRIDE=FQ","FILING_STATUS=MR","SCALING_FORMAT=MLN","Sort=A","Dates=H","DateFormat=P","Fill=—","Direction=H","UseDPDF=Y")</f>
        <v>14948.513800000001</v>
      </c>
      <c r="Y33" s="25">
        <f>_xll.BDH("SRPT US Equity","ENTERPRISE_VALUE","FQ3 2024","FQ3 2024","Currency=USD","Period=FQ","BEST_FPERIOD_OVERRIDE=FQ","FILING_STATUS=MR","SCALING_FORMAT=MLN","Sort=A","Dates=H","DateFormat=P","Fill=—","Direction=H","UseDPDF=Y")</f>
        <v>12120.5784</v>
      </c>
      <c r="Z33" s="25">
        <f>_xll.BDH("SRPT US Equity","ENTERPRISE_VALUE","FQ4 2024","FQ4 2024","Currency=USD","Period=FQ","BEST_FPERIOD_OVERRIDE=FQ","FILING_STATUS=MR","SCALING_FORMAT=MLN","Sort=A","Dates=H","DateFormat=P","Fill=—","Direction=H","UseDPDF=Y")</f>
        <v>11766.6993</v>
      </c>
      <c r="AA33" s="25"/>
    </row>
    <row r="34" spans="1:27" x14ac:dyDescent="0.25">
      <c r="A34" s="6" t="s">
        <v>1599</v>
      </c>
      <c r="B34" s="6" t="s">
        <v>1600</v>
      </c>
      <c r="C34" s="20" t="str">
        <f>_xll.BDH("SRPT US Equity","T12M_FCF_TO_FIRM_YIELD","FQ1 2019","FQ1 2019","Currency=USD","Period=FQ","BEST_FPERIOD_OVERRIDE=FQ","FILING_STATUS=MR","FA_ADJUSTED=GAAP","Sort=A","Dates=H","DateFormat=P","Fill=—","Direction=H","UseDPDF=Y")</f>
        <v>—</v>
      </c>
      <c r="D34" s="20" t="str">
        <f>_xll.BDH("SRPT US Equity","T12M_FCF_TO_FIRM_YIELD","FQ2 2019","FQ2 2019","Currency=USD","Period=FQ","BEST_FPERIOD_OVERRIDE=FQ","FILING_STATUS=MR","FA_ADJUSTED=GAAP","Sort=A","Dates=H","DateFormat=P","Fill=—","Direction=H","UseDPDF=Y")</f>
        <v>—</v>
      </c>
      <c r="E34" s="20" t="str">
        <f>_xll.BDH("SRPT US Equity","T12M_FCF_TO_FIRM_YIELD","FQ3 2019","FQ3 2019","Currency=USD","Period=FQ","BEST_FPERIOD_OVERRIDE=FQ","FILING_STATUS=MR","FA_ADJUSTED=GAAP","Sort=A","Dates=H","DateFormat=P","Fill=—","Direction=H","UseDPDF=Y")</f>
        <v>—</v>
      </c>
      <c r="F34" s="20" t="str">
        <f>_xll.BDH("SRPT US Equity","T12M_FCF_TO_FIRM_YIELD","FQ4 2019","FQ4 2019","Currency=USD","Period=FQ","BEST_FPERIOD_OVERRIDE=FQ","FILING_STATUS=MR","FA_ADJUSTED=GAAP","Sort=A","Dates=H","DateFormat=P","Fill=—","Direction=H","UseDPDF=Y")</f>
        <v>—</v>
      </c>
      <c r="G34" s="20" t="str">
        <f>_xll.BDH("SRPT US Equity","T12M_FCF_TO_FIRM_YIELD","FQ1 2020","FQ1 2020","Currency=USD","Period=FQ","BEST_FPERIOD_OVERRIDE=FQ","FILING_STATUS=MR","FA_ADJUSTED=GAAP","Sort=A","Dates=H","DateFormat=P","Fill=—","Direction=H","UseDPDF=Y")</f>
        <v>—</v>
      </c>
      <c r="H34" s="20" t="str">
        <f>_xll.BDH("SRPT US Equity","T12M_FCF_TO_FIRM_YIELD","FQ2 2020","FQ2 2020","Currency=USD","Period=FQ","BEST_FPERIOD_OVERRIDE=FQ","FILING_STATUS=MR","FA_ADJUSTED=GAAP","Sort=A","Dates=H","DateFormat=P","Fill=—","Direction=H","UseDPDF=Y")</f>
        <v>—</v>
      </c>
      <c r="I34" s="20" t="str">
        <f>_xll.BDH("SRPT US Equity","T12M_FCF_TO_FIRM_YIELD","FQ3 2020","FQ3 2020","Currency=USD","Period=FQ","BEST_FPERIOD_OVERRIDE=FQ","FILING_STATUS=MR","FA_ADJUSTED=GAAP","Sort=A","Dates=H","DateFormat=P","Fill=—","Direction=H","UseDPDF=Y")</f>
        <v>—</v>
      </c>
      <c r="J34" s="20" t="str">
        <f>_xll.BDH("SRPT US Equity","T12M_FCF_TO_FIRM_YIELD","FQ4 2020","FQ4 2020","Currency=USD","Period=FQ","BEST_FPERIOD_OVERRIDE=FQ","FILING_STATUS=MR","FA_ADJUSTED=GAAP","Sort=A","Dates=H","DateFormat=P","Fill=—","Direction=H","UseDPDF=Y")</f>
        <v>—</v>
      </c>
      <c r="K34" s="20" t="str">
        <f>_xll.BDH("SRPT US Equity","T12M_FCF_TO_FIRM_YIELD","FQ1 2021","FQ1 2021","Currency=USD","Period=FQ","BEST_FPERIOD_OVERRIDE=FQ","FILING_STATUS=MR","FA_ADJUSTED=GAAP","Sort=A","Dates=H","DateFormat=P","Fill=—","Direction=H","UseDPDF=Y")</f>
        <v>—</v>
      </c>
      <c r="L34" s="20" t="str">
        <f>_xll.BDH("SRPT US Equity","T12M_FCF_TO_FIRM_YIELD","FQ2 2021","FQ2 2021","Currency=USD","Period=FQ","BEST_FPERIOD_OVERRIDE=FQ","FILING_STATUS=MR","FA_ADJUSTED=GAAP","Sort=A","Dates=H","DateFormat=P","Fill=—","Direction=H","UseDPDF=Y")</f>
        <v>—</v>
      </c>
      <c r="M34" s="20" t="str">
        <f>_xll.BDH("SRPT US Equity","T12M_FCF_TO_FIRM_YIELD","FQ3 2021","FQ3 2021","Currency=USD","Period=FQ","BEST_FPERIOD_OVERRIDE=FQ","FILING_STATUS=MR","FA_ADJUSTED=GAAP","Sort=A","Dates=H","DateFormat=P","Fill=—","Direction=H","UseDPDF=Y")</f>
        <v>—</v>
      </c>
      <c r="N34" s="20" t="str">
        <f>_xll.BDH("SRPT US Equity","T12M_FCF_TO_FIRM_YIELD","FQ4 2021","FQ4 2021","Currency=USD","Period=FQ","BEST_FPERIOD_OVERRIDE=FQ","FILING_STATUS=MR","FA_ADJUSTED=GAAP","Sort=A","Dates=H","DateFormat=P","Fill=—","Direction=H","UseDPDF=Y")</f>
        <v>—</v>
      </c>
      <c r="O34" s="20" t="str">
        <f>_xll.BDH("SRPT US Equity","T12M_FCF_TO_FIRM_YIELD","FQ1 2022","FQ1 2022","Currency=USD","Period=FQ","BEST_FPERIOD_OVERRIDE=FQ","FILING_STATUS=MR","FA_ADJUSTED=GAAP","Sort=A","Dates=H","DateFormat=P","Fill=—","Direction=H","UseDPDF=Y")</f>
        <v>—</v>
      </c>
      <c r="P34" s="20" t="str">
        <f>_xll.BDH("SRPT US Equity","T12M_FCF_TO_FIRM_YIELD","FQ2 2022","FQ2 2022","Currency=USD","Period=FQ","BEST_FPERIOD_OVERRIDE=FQ","FILING_STATUS=MR","FA_ADJUSTED=GAAP","Sort=A","Dates=H","DateFormat=P","Fill=—","Direction=H","UseDPDF=Y")</f>
        <v>—</v>
      </c>
      <c r="Q34" s="20" t="str">
        <f>_xll.BDH("SRPT US Equity","T12M_FCF_TO_FIRM_YIELD","FQ3 2022","FQ3 2022","Currency=USD","Period=FQ","BEST_FPERIOD_OVERRIDE=FQ","FILING_STATUS=MR","FA_ADJUSTED=GAAP","Sort=A","Dates=H","DateFormat=P","Fill=—","Direction=H","UseDPDF=Y")</f>
        <v>—</v>
      </c>
      <c r="R34" s="20" t="str">
        <f>_xll.BDH("SRPT US Equity","T12M_FCF_TO_FIRM_YIELD","FQ4 2022","FQ4 2022","Currency=USD","Period=FQ","BEST_FPERIOD_OVERRIDE=FQ","FILING_STATUS=MR","FA_ADJUSTED=GAAP","Sort=A","Dates=H","DateFormat=P","Fill=—","Direction=H","UseDPDF=Y")</f>
        <v>—</v>
      </c>
      <c r="S34" s="20" t="str">
        <f>_xll.BDH("SRPT US Equity","T12M_FCF_TO_FIRM_YIELD","FQ1 2023","FQ1 2023","Currency=USD","Period=FQ","BEST_FPERIOD_OVERRIDE=FQ","FILING_STATUS=MR","FA_ADJUSTED=GAAP","Sort=A","Dates=H","DateFormat=P","Fill=—","Direction=H","UseDPDF=Y")</f>
        <v>—</v>
      </c>
      <c r="T34" s="20" t="str">
        <f>_xll.BDH("SRPT US Equity","T12M_FCF_TO_FIRM_YIELD","FQ2 2023","FQ2 2023","Currency=USD","Period=FQ","BEST_FPERIOD_OVERRIDE=FQ","FILING_STATUS=MR","FA_ADJUSTED=GAAP","Sort=A","Dates=H","DateFormat=P","Fill=—","Direction=H","UseDPDF=Y")</f>
        <v>—</v>
      </c>
      <c r="U34" s="20" t="str">
        <f>_xll.BDH("SRPT US Equity","T12M_FCF_TO_FIRM_YIELD","FQ3 2023","FQ3 2023","Currency=USD","Period=FQ","BEST_FPERIOD_OVERRIDE=FQ","FILING_STATUS=MR","FA_ADJUSTED=GAAP","Sort=A","Dates=H","DateFormat=P","Fill=—","Direction=H","UseDPDF=Y")</f>
        <v>—</v>
      </c>
      <c r="V34" s="20" t="str">
        <f>_xll.BDH("SRPT US Equity","T12M_FCF_TO_FIRM_YIELD","FQ4 2023","FQ4 2023","Currency=USD","Period=FQ","BEST_FPERIOD_OVERRIDE=FQ","FILING_STATUS=MR","FA_ADJUSTED=GAAP","Sort=A","Dates=H","DateFormat=P","Fill=—","Direction=H","UseDPDF=Y")</f>
        <v>—</v>
      </c>
      <c r="W34" s="20">
        <f>_xll.BDH("SRPT US Equity","T12M_FCF_TO_FIRM_YIELD","FQ1 2024","FQ1 2024","Currency=USD","Period=FQ","BEST_FPERIOD_OVERRIDE=FQ","FILING_STATUS=MR","FA_ADJUSTED=GAAP","Sort=A","Dates=H","DateFormat=P","Fill=—","Direction=H","UseDPDF=Y")</f>
        <v>-5.1032999999999999</v>
      </c>
      <c r="X34" s="20">
        <f>_xll.BDH("SRPT US Equity","T12M_FCF_TO_FIRM_YIELD","FQ2 2024","FQ2 2024","Currency=USD","Period=FQ","BEST_FPERIOD_OVERRIDE=FQ","FILING_STATUS=MR","FA_ADJUSTED=GAAP","Sort=A","Dates=H","DateFormat=P","Fill=—","Direction=H","UseDPDF=Y")</f>
        <v>-3.2915000000000001</v>
      </c>
      <c r="Y34" s="20">
        <f>_xll.BDH("SRPT US Equity","T12M_FCF_TO_FIRM_YIELD","FQ3 2024","FQ3 2024","Currency=USD","Period=FQ","BEST_FPERIOD_OVERRIDE=FQ","FILING_STATUS=MR","FA_ADJUSTED=GAAP","Sort=A","Dates=H","DateFormat=P","Fill=—","Direction=H","UseDPDF=Y")</f>
        <v>-3.7323</v>
      </c>
      <c r="Z34" s="20">
        <f>_xll.BDH("SRPT US Equity","T12M_FCF_TO_FIRM_YIELD","FQ4 2024","FQ4 2024","Currency=USD","Period=FQ","BEST_FPERIOD_OVERRIDE=FQ","FILING_STATUS=MR","FA_ADJUSTED=GAAP","Sort=A","Dates=H","DateFormat=P","Fill=—","Direction=H","UseDPDF=Y")</f>
        <v>-2.7717999999999998</v>
      </c>
      <c r="AA34" s="20"/>
    </row>
    <row r="35" spans="1:27" x14ac:dyDescent="0.25">
      <c r="A35" s="6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 x14ac:dyDescent="0.25">
      <c r="A36" s="10" t="s">
        <v>1588</v>
      </c>
      <c r="B36" s="10" t="s">
        <v>1576</v>
      </c>
      <c r="C36" s="13">
        <f>_xll.BDH("SRPT US Equity","T12M_DVDS_PAID","FQ1 2019","FQ1 2019","Currency=USD","Period=FQ","BEST_FPERIOD_OVERRIDE=FQ","FILING_STATUS=MR","SCALING_FORMAT=MLN","Sort=A","Dates=H","DateFormat=P","Fill=—","Direction=H","UseDPDF=Y")</f>
        <v>0</v>
      </c>
      <c r="D36" s="13">
        <f>_xll.BDH("SRPT US Equity","T12M_DVDS_PAID","FQ2 2019","FQ2 2019","Currency=USD","Period=FQ","BEST_FPERIOD_OVERRIDE=FQ","FILING_STATUS=MR","SCALING_FORMAT=MLN","Sort=A","Dates=H","DateFormat=P","Fill=—","Direction=H","UseDPDF=Y")</f>
        <v>0</v>
      </c>
      <c r="E36" s="13">
        <f>_xll.BDH("SRPT US Equity","T12M_DVDS_PAID","FQ3 2019","FQ3 2019","Currency=USD","Period=FQ","BEST_FPERIOD_OVERRIDE=FQ","FILING_STATUS=MR","SCALING_FORMAT=MLN","Sort=A","Dates=H","DateFormat=P","Fill=—","Direction=H","UseDPDF=Y")</f>
        <v>0</v>
      </c>
      <c r="F36" s="13">
        <f>_xll.BDH("SRPT US Equity","T12M_DVDS_PAID","FQ4 2019","FQ4 2019","Currency=USD","Period=FQ","BEST_FPERIOD_OVERRIDE=FQ","FILING_STATUS=MR","SCALING_FORMAT=MLN","Sort=A","Dates=H","DateFormat=P","Fill=—","Direction=H","UseDPDF=Y")</f>
        <v>0</v>
      </c>
      <c r="G36" s="13">
        <f>_xll.BDH("SRPT US Equity","T12M_DVDS_PAID","FQ1 2020","FQ1 2020","Currency=USD","Period=FQ","BEST_FPERIOD_OVERRIDE=FQ","FILING_STATUS=MR","SCALING_FORMAT=MLN","Sort=A","Dates=H","DateFormat=P","Fill=—","Direction=H","UseDPDF=Y")</f>
        <v>0</v>
      </c>
      <c r="H36" s="13">
        <f>_xll.BDH("SRPT US Equity","T12M_DVDS_PAID","FQ2 2020","FQ2 2020","Currency=USD","Period=FQ","BEST_FPERIOD_OVERRIDE=FQ","FILING_STATUS=MR","SCALING_FORMAT=MLN","Sort=A","Dates=H","DateFormat=P","Fill=—","Direction=H","UseDPDF=Y")</f>
        <v>0</v>
      </c>
      <c r="I36" s="13">
        <f>_xll.BDH("SRPT US Equity","T12M_DVDS_PAID","FQ3 2020","FQ3 2020","Currency=USD","Period=FQ","BEST_FPERIOD_OVERRIDE=FQ","FILING_STATUS=MR","SCALING_FORMAT=MLN","Sort=A","Dates=H","DateFormat=P","Fill=—","Direction=H","UseDPDF=Y")</f>
        <v>0</v>
      </c>
      <c r="J36" s="13">
        <f>_xll.BDH("SRPT US Equity","T12M_DVDS_PAID","FQ4 2020","FQ4 2020","Currency=USD","Period=FQ","BEST_FPERIOD_OVERRIDE=FQ","FILING_STATUS=MR","SCALING_FORMAT=MLN","Sort=A","Dates=H","DateFormat=P","Fill=—","Direction=H","UseDPDF=Y")</f>
        <v>0</v>
      </c>
      <c r="K36" s="13">
        <f>_xll.BDH("SRPT US Equity","T12M_DVDS_PAID","FQ1 2021","FQ1 2021","Currency=USD","Period=FQ","BEST_FPERIOD_OVERRIDE=FQ","FILING_STATUS=MR","SCALING_FORMAT=MLN","Sort=A","Dates=H","DateFormat=P","Fill=—","Direction=H","UseDPDF=Y")</f>
        <v>0</v>
      </c>
      <c r="L36" s="13">
        <f>_xll.BDH("SRPT US Equity","T12M_DVDS_PAID","FQ2 2021","FQ2 2021","Currency=USD","Period=FQ","BEST_FPERIOD_OVERRIDE=FQ","FILING_STATUS=MR","SCALING_FORMAT=MLN","Sort=A","Dates=H","DateFormat=P","Fill=—","Direction=H","UseDPDF=Y")</f>
        <v>0</v>
      </c>
      <c r="M36" s="13">
        <f>_xll.BDH("SRPT US Equity","T12M_DVDS_PAID","FQ3 2021","FQ3 2021","Currency=USD","Period=FQ","BEST_FPERIOD_OVERRIDE=FQ","FILING_STATUS=MR","SCALING_FORMAT=MLN","Sort=A","Dates=H","DateFormat=P","Fill=—","Direction=H","UseDPDF=Y")</f>
        <v>0</v>
      </c>
      <c r="N36" s="13">
        <f>_xll.BDH("SRPT US Equity","T12M_DVDS_PAID","FQ4 2021","FQ4 2021","Currency=USD","Period=FQ","BEST_FPERIOD_OVERRIDE=FQ","FILING_STATUS=MR","SCALING_FORMAT=MLN","Sort=A","Dates=H","DateFormat=P","Fill=—","Direction=H","UseDPDF=Y")</f>
        <v>0</v>
      </c>
      <c r="O36" s="13">
        <f>_xll.BDH("SRPT US Equity","T12M_DVDS_PAID","FQ1 2022","FQ1 2022","Currency=USD","Period=FQ","BEST_FPERIOD_OVERRIDE=FQ","FILING_STATUS=MR","SCALING_FORMAT=MLN","Sort=A","Dates=H","DateFormat=P","Fill=—","Direction=H","UseDPDF=Y")</f>
        <v>0</v>
      </c>
      <c r="P36" s="13">
        <f>_xll.BDH("SRPT US Equity","T12M_DVDS_PAID","FQ2 2022","FQ2 2022","Currency=USD","Period=FQ","BEST_FPERIOD_OVERRIDE=FQ","FILING_STATUS=MR","SCALING_FORMAT=MLN","Sort=A","Dates=H","DateFormat=P","Fill=—","Direction=H","UseDPDF=Y")</f>
        <v>0</v>
      </c>
      <c r="Q36" s="13">
        <f>_xll.BDH("SRPT US Equity","T12M_DVDS_PAID","FQ3 2022","FQ3 2022","Currency=USD","Period=FQ","BEST_FPERIOD_OVERRIDE=FQ","FILING_STATUS=MR","SCALING_FORMAT=MLN","Sort=A","Dates=H","DateFormat=P","Fill=—","Direction=H","UseDPDF=Y")</f>
        <v>0</v>
      </c>
      <c r="R36" s="13">
        <f>_xll.BDH("SRPT US Equity","T12M_DVDS_PAID","FQ4 2022","FQ4 2022","Currency=USD","Period=FQ","BEST_FPERIOD_OVERRIDE=FQ","FILING_STATUS=MR","SCALING_FORMAT=MLN","Sort=A","Dates=H","DateFormat=P","Fill=—","Direction=H","UseDPDF=Y")</f>
        <v>0</v>
      </c>
      <c r="S36" s="13">
        <f>_xll.BDH("SRPT US Equity","T12M_DVDS_PAID","FQ1 2023","FQ1 2023","Currency=USD","Period=FQ","BEST_FPERIOD_OVERRIDE=FQ","FILING_STATUS=MR","SCALING_FORMAT=MLN","Sort=A","Dates=H","DateFormat=P","Fill=—","Direction=H","UseDPDF=Y")</f>
        <v>0</v>
      </c>
      <c r="T36" s="13">
        <f>_xll.BDH("SRPT US Equity","T12M_DVDS_PAID","FQ2 2023","FQ2 2023","Currency=USD","Period=FQ","BEST_FPERIOD_OVERRIDE=FQ","FILING_STATUS=MR","SCALING_FORMAT=MLN","Sort=A","Dates=H","DateFormat=P","Fill=—","Direction=H","UseDPDF=Y")</f>
        <v>0</v>
      </c>
      <c r="U36" s="13">
        <f>_xll.BDH("SRPT US Equity","T12M_DVDS_PAID","FQ3 2023","FQ3 2023","Currency=USD","Period=FQ","BEST_FPERIOD_OVERRIDE=FQ","FILING_STATUS=MR","SCALING_FORMAT=MLN","Sort=A","Dates=H","DateFormat=P","Fill=—","Direction=H","UseDPDF=Y")</f>
        <v>0</v>
      </c>
      <c r="V36" s="13">
        <f>_xll.BDH("SRPT US Equity","T12M_DVDS_PAID","FQ4 2023","FQ4 2023","Currency=USD","Period=FQ","BEST_FPERIOD_OVERRIDE=FQ","FILING_STATUS=MR","SCALING_FORMAT=MLN","Sort=A","Dates=H","DateFormat=P","Fill=—","Direction=H","UseDPDF=Y")</f>
        <v>0</v>
      </c>
      <c r="W36" s="13">
        <f>_xll.BDH("SRPT US Equity","T12M_DVDS_PAID","FQ1 2024","FQ1 2024","Currency=USD","Period=FQ","BEST_FPERIOD_OVERRIDE=FQ","FILING_STATUS=MR","SCALING_FORMAT=MLN","Sort=A","Dates=H","DateFormat=P","Fill=—","Direction=H","UseDPDF=Y")</f>
        <v>0</v>
      </c>
      <c r="X36" s="13">
        <f>_xll.BDH("SRPT US Equity","T12M_DVDS_PAID","FQ2 2024","FQ2 2024","Currency=USD","Period=FQ","BEST_FPERIOD_OVERRIDE=FQ","FILING_STATUS=MR","SCALING_FORMAT=MLN","Sort=A","Dates=H","DateFormat=P","Fill=—","Direction=H","UseDPDF=Y")</f>
        <v>0</v>
      </c>
      <c r="Y36" s="13">
        <f>_xll.BDH("SRPT US Equity","T12M_DVDS_PAID","FQ3 2024","FQ3 2024","Currency=USD","Period=FQ","BEST_FPERIOD_OVERRIDE=FQ","FILING_STATUS=MR","SCALING_FORMAT=MLN","Sort=A","Dates=H","DateFormat=P","Fill=—","Direction=H","UseDPDF=Y")</f>
        <v>0</v>
      </c>
      <c r="Z36" s="13">
        <f>_xll.BDH("SRPT US Equity","T12M_DVDS_PAID","FQ4 2024","FQ4 2024","Currency=USD","Period=FQ","BEST_FPERIOD_OVERRIDE=FQ","FILING_STATUS=MR","SCALING_FORMAT=MLN","Sort=A","Dates=H","DateFormat=P","Fill=—","Direction=H","UseDPDF=Y")</f>
        <v>0</v>
      </c>
      <c r="AA36" s="13"/>
    </row>
    <row r="37" spans="1:27" x14ac:dyDescent="0.25">
      <c r="A37" s="10" t="s">
        <v>1589</v>
      </c>
      <c r="B37" s="10" t="s">
        <v>1578</v>
      </c>
      <c r="C37" s="13">
        <f>_xll.BDH("SRPT US Equity","T12M_NET_CAPITAL_STOCK","FQ1 2019","FQ1 2019","Currency=USD","Period=FQ","BEST_FPERIOD_OVERRIDE=FQ","FILING_STATUS=MR","SCALING_FORMAT=MLN","Sort=A","Dates=H","DateFormat=P","Fill=—","Direction=H","UseDPDF=Y")</f>
        <v>928.55100000000004</v>
      </c>
      <c r="D37" s="13">
        <f>_xll.BDH("SRPT US Equity","T12M_NET_CAPITAL_STOCK","FQ2 2019","FQ2 2019","Currency=USD","Period=FQ","BEST_FPERIOD_OVERRIDE=FQ","FILING_STATUS=MR","SCALING_FORMAT=MLN","Sort=A","Dates=H","DateFormat=P","Fill=—","Direction=H","UseDPDF=Y")</f>
        <v>913.98900000000003</v>
      </c>
      <c r="E37" s="13">
        <f>_xll.BDH("SRPT US Equity","T12M_NET_CAPITAL_STOCK","FQ3 2019","FQ3 2019","Currency=USD","Period=FQ","BEST_FPERIOD_OVERRIDE=FQ","FILING_STATUS=MR","SCALING_FORMAT=MLN","Sort=A","Dates=H","DateFormat=P","Fill=—","Direction=H","UseDPDF=Y")</f>
        <v>910.52499999999998</v>
      </c>
      <c r="F37" s="13">
        <f>_xll.BDH("SRPT US Equity","T12M_NET_CAPITAL_STOCK","FQ4 2019","FQ4 2019","Currency=USD","Period=FQ","BEST_FPERIOD_OVERRIDE=FQ","FILING_STATUS=MR","SCALING_FORMAT=MLN","Sort=A","Dates=H","DateFormat=P","Fill=—","Direction=H","UseDPDF=Y")</f>
        <v>401.95499999999998</v>
      </c>
      <c r="G37" s="13">
        <f>_xll.BDH("SRPT US Equity","T12M_NET_CAPITAL_STOCK","FQ1 2020","FQ1 2020","Currency=USD","Period=FQ","BEST_FPERIOD_OVERRIDE=FQ","FILING_STATUS=MR","SCALING_FORMAT=MLN","Sort=A","Dates=H","DateFormat=P","Fill=—","Direction=H","UseDPDF=Y")</f>
        <v>348.21199999999999</v>
      </c>
      <c r="H37" s="13">
        <f>_xll.BDH("SRPT US Equity","T12M_NET_CAPITAL_STOCK","FQ2 2020","FQ2 2020","Currency=USD","Period=FQ","BEST_FPERIOD_OVERRIDE=FQ","FILING_STATUS=MR","SCALING_FORMAT=MLN","Sort=A","Dates=H","DateFormat=P","Fill=—","Direction=H","UseDPDF=Y")</f>
        <v>358.60599999999999</v>
      </c>
      <c r="I37" s="13">
        <f>_xll.BDH("SRPT US Equity","T12M_NET_CAPITAL_STOCK","FQ3 2020","FQ3 2020","Currency=USD","Period=FQ","BEST_FPERIOD_OVERRIDE=FQ","FILING_STATUS=MR","SCALING_FORMAT=MLN","Sort=A","Dates=H","DateFormat=P","Fill=—","Direction=H","UseDPDF=Y")</f>
        <v>60.161000000000001</v>
      </c>
      <c r="J37" s="13">
        <f>_xll.BDH("SRPT US Equity","T12M_NET_CAPITAL_STOCK","FQ4 2020","FQ4 2020","Currency=USD","Period=FQ","BEST_FPERIOD_OVERRIDE=FQ","FILING_STATUS=MR","SCALING_FORMAT=MLN","Sort=A","Dates=H","DateFormat=P","Fill=—","Direction=H","UseDPDF=Y")</f>
        <v>396.01</v>
      </c>
      <c r="K37" s="13">
        <f>_xll.BDH("SRPT US Equity","T12M_NET_CAPITAL_STOCK","FQ1 2021","FQ1 2021","Currency=USD","Period=FQ","BEST_FPERIOD_OVERRIDE=FQ","FILING_STATUS=MR","SCALING_FORMAT=MLN","Sort=A","Dates=H","DateFormat=P","Fill=—","Direction=H","UseDPDF=Y")</f>
        <v>81.415999999999997</v>
      </c>
      <c r="L37" s="13">
        <f>_xll.BDH("SRPT US Equity","T12M_NET_CAPITAL_STOCK","FQ2 2021","FQ2 2021","Currency=USD","Period=FQ","BEST_FPERIOD_OVERRIDE=FQ","FILING_STATUS=MR","SCALING_FORMAT=MLN","Sort=A","Dates=H","DateFormat=P","Fill=—","Direction=H","UseDPDF=Y")</f>
        <v>67.367000000000004</v>
      </c>
      <c r="M37" s="13">
        <f>_xll.BDH("SRPT US Equity","T12M_NET_CAPITAL_STOCK","FQ3 2021","FQ3 2021","Currency=USD","Period=FQ","BEST_FPERIOD_OVERRIDE=FQ","FILING_STATUS=MR","SCALING_FORMAT=MLN","Sort=A","Dates=H","DateFormat=P","Fill=—","Direction=H","UseDPDF=Y")</f>
        <v>366.53300000000002</v>
      </c>
      <c r="N37" s="13">
        <f>_xll.BDH("SRPT US Equity","T12M_NET_CAPITAL_STOCK","FQ4 2021","FQ4 2021","Currency=USD","Period=FQ","BEST_FPERIOD_OVERRIDE=FQ","FILING_STATUS=MR","SCALING_FORMAT=MLN","Sort=A","Dates=H","DateFormat=P","Fill=—","Direction=H","UseDPDF=Y")</f>
        <v>569.33399999999995</v>
      </c>
      <c r="O37" s="13">
        <f>_xll.BDH("SRPT US Equity","T12M_NET_CAPITAL_STOCK","FQ1 2022","FQ1 2022","Currency=USD","Period=FQ","BEST_FPERIOD_OVERRIDE=FQ","FILING_STATUS=MR","SCALING_FORMAT=MLN","Sort=A","Dates=H","DateFormat=P","Fill=—","Direction=H","UseDPDF=Y")</f>
        <v>565.09799999999996</v>
      </c>
      <c r="P37" s="13">
        <f>_xll.BDH("SRPT US Equity","T12M_NET_CAPITAL_STOCK","FQ2 2022","FQ2 2022","Currency=USD","Period=FQ","BEST_FPERIOD_OVERRIDE=FQ","FILING_STATUS=MR","SCALING_FORMAT=MLN","Sort=A","Dates=H","DateFormat=P","Fill=—","Direction=H","UseDPDF=Y")</f>
        <v>561.91099999999994</v>
      </c>
      <c r="Q37" s="13">
        <f>_xll.BDH("SRPT US Equity","T12M_NET_CAPITAL_STOCK","FQ3 2022","FQ3 2022","Currency=USD","Period=FQ","BEST_FPERIOD_OVERRIDE=FQ","FILING_STATUS=MR","SCALING_FORMAT=MLN","Sort=A","Dates=H","DateFormat=P","Fill=—","Direction=H","UseDPDF=Y")</f>
        <v>468.43200000000002</v>
      </c>
      <c r="R37" s="13">
        <f>_xll.BDH("SRPT US Equity","T12M_NET_CAPITAL_STOCK","FQ4 2022","FQ4 2022","Currency=USD","Period=FQ","BEST_FPERIOD_OVERRIDE=FQ","FILING_STATUS=MR","SCALING_FORMAT=MLN","Sort=A","Dates=H","DateFormat=P","Fill=—","Direction=H","UseDPDF=Y")</f>
        <v>-70.944999999999993</v>
      </c>
      <c r="S37" s="13">
        <f>_xll.BDH("SRPT US Equity","T12M_NET_CAPITAL_STOCK","FQ1 2023","FQ1 2023","Currency=USD","Period=FQ","BEST_FPERIOD_OVERRIDE=FQ","FILING_STATUS=MR","SCALING_FORMAT=MLN","Sort=A","Dates=H","DateFormat=P","Fill=—","Direction=H","UseDPDF=Y")</f>
        <v>-47.898000000000003</v>
      </c>
      <c r="T37" s="13">
        <f>_xll.BDH("SRPT US Equity","T12M_NET_CAPITAL_STOCK","FQ2 2023","FQ2 2023","Currency=USD","Period=FQ","BEST_FPERIOD_OVERRIDE=FQ","FILING_STATUS=MR","SCALING_FORMAT=MLN","Sort=A","Dates=H","DateFormat=P","Fill=—","Direction=H","UseDPDF=Y")</f>
        <v>-42.375999999999998</v>
      </c>
      <c r="U37" s="13">
        <f>_xll.BDH("SRPT US Equity","T12M_NET_CAPITAL_STOCK","FQ3 2023","FQ3 2023","Currency=USD","Period=FQ","BEST_FPERIOD_OVERRIDE=FQ","FILING_STATUS=MR","SCALING_FORMAT=MLN","Sort=A","Dates=H","DateFormat=P","Fill=—","Direction=H","UseDPDF=Y")</f>
        <v>60.606000000000002</v>
      </c>
      <c r="V37" s="13">
        <f>_xll.BDH("SRPT US Equity","T12M_NET_CAPITAL_STOCK","FQ4 2023","FQ4 2023","Currency=USD","Period=FQ","BEST_FPERIOD_OVERRIDE=FQ","FILING_STATUS=MR","SCALING_FORMAT=MLN","Sort=A","Dates=H","DateFormat=P","Fill=—","Direction=H","UseDPDF=Y")</f>
        <v>51.246000000000002</v>
      </c>
      <c r="W37" s="13">
        <f>_xll.BDH("SRPT US Equity","T12M_NET_CAPITAL_STOCK","FQ1 2024","FQ1 2024","Currency=USD","Period=FQ","BEST_FPERIOD_OVERRIDE=FQ","FILING_STATUS=MR","SCALING_FORMAT=MLN","Sort=A","Dates=H","DateFormat=P","Fill=—","Direction=H","UseDPDF=Y")</f>
        <v>45.348999999999997</v>
      </c>
      <c r="X37" s="13">
        <f>_xll.BDH("SRPT US Equity","T12M_NET_CAPITAL_STOCK","FQ2 2024","FQ2 2024","Currency=USD","Period=FQ","BEST_FPERIOD_OVERRIDE=FQ","FILING_STATUS=MR","SCALING_FORMAT=MLN","Sort=A","Dates=H","DateFormat=P","Fill=—","Direction=H","UseDPDF=Y")</f>
        <v>79.406000000000006</v>
      </c>
      <c r="Y37" s="13">
        <f>_xll.BDH("SRPT US Equity","T12M_NET_CAPITAL_STOCK","FQ3 2024","FQ3 2024","Currency=USD","Period=FQ","BEST_FPERIOD_OVERRIDE=FQ","FILING_STATUS=MR","SCALING_FORMAT=MLN","Sort=A","Dates=H","DateFormat=P","Fill=—","Direction=H","UseDPDF=Y")</f>
        <v>77.757999999999996</v>
      </c>
      <c r="Z37" s="13">
        <f>_xll.BDH("SRPT US Equity","T12M_NET_CAPITAL_STOCK","FQ4 2024","FQ4 2024","Currency=USD","Period=FQ","BEST_FPERIOD_OVERRIDE=FQ","FILING_STATUS=MR","SCALING_FORMAT=MLN","Sort=A","Dates=H","DateFormat=P","Fill=—","Direction=H","UseDPDF=Y")</f>
        <v>79.525000000000006</v>
      </c>
      <c r="AA37" s="13"/>
    </row>
    <row r="38" spans="1:27" x14ac:dyDescent="0.25">
      <c r="A38" s="10" t="s">
        <v>1601</v>
      </c>
      <c r="B38" s="10" t="s">
        <v>1580</v>
      </c>
      <c r="C38" s="13">
        <f>_xll.BDH("SRPT US Equity","T12M_CHG_ST_BORROWINGS","FQ1 2019","FQ1 2019","Currency=USD","Period=FQ","BEST_FPERIOD_OVERRIDE=FQ","FILING_STATUS=MR","SCALING_FORMAT=MLN","Sort=A","Dates=H","DateFormat=P","Fill=—","Direction=H","UseDPDF=Y")</f>
        <v>0</v>
      </c>
      <c r="D38" s="13">
        <f>_xll.BDH("SRPT US Equity","T12M_CHG_ST_BORROWINGS","FQ2 2019","FQ2 2019","Currency=USD","Period=FQ","BEST_FPERIOD_OVERRIDE=FQ","FILING_STATUS=MR","SCALING_FORMAT=MLN","Sort=A","Dates=H","DateFormat=P","Fill=—","Direction=H","UseDPDF=Y")</f>
        <v>0</v>
      </c>
      <c r="E38" s="13">
        <f>_xll.BDH("SRPT US Equity","T12M_CHG_ST_BORROWINGS","FQ3 2019","FQ3 2019","Currency=USD","Period=FQ","BEST_FPERIOD_OVERRIDE=FQ","FILING_STATUS=MR","SCALING_FORMAT=MLN","Sort=A","Dates=H","DateFormat=P","Fill=—","Direction=H","UseDPDF=Y")</f>
        <v>0</v>
      </c>
      <c r="F38" s="13">
        <f>_xll.BDH("SRPT US Equity","T12M_CHG_ST_BORROWINGS","FQ4 2019","FQ4 2019","Currency=USD","Period=FQ","BEST_FPERIOD_OVERRIDE=FQ","FILING_STATUS=MR","SCALING_FORMAT=MLN","Sort=A","Dates=H","DateFormat=P","Fill=—","Direction=H","UseDPDF=Y")</f>
        <v>0</v>
      </c>
      <c r="G38" s="13">
        <f>_xll.BDH("SRPT US Equity","T12M_CHG_ST_BORROWINGS","FQ1 2020","FQ1 2020","Currency=USD","Period=FQ","BEST_FPERIOD_OVERRIDE=FQ","FILING_STATUS=MR","SCALING_FORMAT=MLN","Sort=A","Dates=H","DateFormat=P","Fill=—","Direction=H","UseDPDF=Y")</f>
        <v>0</v>
      </c>
      <c r="H38" s="13">
        <f>_xll.BDH("SRPT US Equity","T12M_CHG_ST_BORROWINGS","FQ2 2020","FQ2 2020","Currency=USD","Period=FQ","BEST_FPERIOD_OVERRIDE=FQ","FILING_STATUS=MR","SCALING_FORMAT=MLN","Sort=A","Dates=H","DateFormat=P","Fill=—","Direction=H","UseDPDF=Y")</f>
        <v>0</v>
      </c>
      <c r="I38" s="13">
        <f>_xll.BDH("SRPT US Equity","T12M_CHG_ST_BORROWINGS","FQ3 2020","FQ3 2020","Currency=USD","Period=FQ","BEST_FPERIOD_OVERRIDE=FQ","FILING_STATUS=MR","SCALING_FORMAT=MLN","Sort=A","Dates=H","DateFormat=P","Fill=—","Direction=H","UseDPDF=Y")</f>
        <v>0</v>
      </c>
      <c r="J38" s="13">
        <f>_xll.BDH("SRPT US Equity","T12M_CHG_ST_BORROWINGS","FQ4 2020","FQ4 2020","Currency=USD","Period=FQ","BEST_FPERIOD_OVERRIDE=FQ","FILING_STATUS=MR","SCALING_FORMAT=MLN","Sort=A","Dates=H","DateFormat=P","Fill=—","Direction=H","UseDPDF=Y")</f>
        <v>0</v>
      </c>
      <c r="K38" s="13">
        <f>_xll.BDH("SRPT US Equity","T12M_CHG_ST_BORROWINGS","FQ1 2021","FQ1 2021","Currency=USD","Period=FQ","BEST_FPERIOD_OVERRIDE=FQ","FILING_STATUS=MR","SCALING_FORMAT=MLN","Sort=A","Dates=H","DateFormat=P","Fill=—","Direction=H","UseDPDF=Y")</f>
        <v>0</v>
      </c>
      <c r="L38" s="13">
        <f>_xll.BDH("SRPT US Equity","T12M_CHG_ST_BORROWINGS","FQ2 2021","FQ2 2021","Currency=USD","Period=FQ","BEST_FPERIOD_OVERRIDE=FQ","FILING_STATUS=MR","SCALING_FORMAT=MLN","Sort=A","Dates=H","DateFormat=P","Fill=—","Direction=H","UseDPDF=Y")</f>
        <v>0</v>
      </c>
      <c r="M38" s="13">
        <f>_xll.BDH("SRPT US Equity","T12M_CHG_ST_BORROWINGS","FQ3 2021","FQ3 2021","Currency=USD","Period=FQ","BEST_FPERIOD_OVERRIDE=FQ","FILING_STATUS=MR","SCALING_FORMAT=MLN","Sort=A","Dates=H","DateFormat=P","Fill=—","Direction=H","UseDPDF=Y")</f>
        <v>0</v>
      </c>
      <c r="N38" s="13">
        <f>_xll.BDH("SRPT US Equity","T12M_CHG_ST_BORROWINGS","FQ4 2021","FQ4 2021","Currency=USD","Period=FQ","BEST_FPERIOD_OVERRIDE=FQ","FILING_STATUS=MR","SCALING_FORMAT=MLN","Sort=A","Dates=H","DateFormat=P","Fill=—","Direction=H","UseDPDF=Y")</f>
        <v>0</v>
      </c>
      <c r="O38" s="13">
        <f>_xll.BDH("SRPT US Equity","T12M_CHG_ST_BORROWINGS","FQ1 2022","FQ1 2022","Currency=USD","Period=FQ","BEST_FPERIOD_OVERRIDE=FQ","FILING_STATUS=MR","SCALING_FORMAT=MLN","Sort=A","Dates=H","DateFormat=P","Fill=—","Direction=H","UseDPDF=Y")</f>
        <v>0</v>
      </c>
      <c r="P38" s="13">
        <f>_xll.BDH("SRPT US Equity","T12M_CHG_ST_BORROWINGS","FQ2 2022","FQ2 2022","Currency=USD","Period=FQ","BEST_FPERIOD_OVERRIDE=FQ","FILING_STATUS=MR","SCALING_FORMAT=MLN","Sort=A","Dates=H","DateFormat=P","Fill=—","Direction=H","UseDPDF=Y")</f>
        <v>0</v>
      </c>
      <c r="Q38" s="13">
        <f>_xll.BDH("SRPT US Equity","T12M_CHG_ST_BORROWINGS","FQ3 2022","FQ3 2022","Currency=USD","Period=FQ","BEST_FPERIOD_OVERRIDE=FQ","FILING_STATUS=MR","SCALING_FORMAT=MLN","Sort=A","Dates=H","DateFormat=P","Fill=—","Direction=H","UseDPDF=Y")</f>
        <v>-25.364000000000001</v>
      </c>
      <c r="R38" s="13">
        <f>_xll.BDH("SRPT US Equity","T12M_CHG_ST_BORROWINGS","FQ4 2022","FQ4 2022","Currency=USD","Period=FQ","BEST_FPERIOD_OVERRIDE=FQ","FILING_STATUS=MR","SCALING_FORMAT=MLN","Sort=A","Dates=H","DateFormat=P","Fill=—","Direction=H","UseDPDF=Y")</f>
        <v>-25.364000000000001</v>
      </c>
      <c r="S38" s="13">
        <f>_xll.BDH("SRPT US Equity","T12M_CHG_ST_BORROWINGS","FQ1 2023","FQ1 2023","Currency=USD","Period=FQ","BEST_FPERIOD_OVERRIDE=FQ","FILING_STATUS=MR","SCALING_FORMAT=MLN","Sort=A","Dates=H","DateFormat=P","Fill=—","Direction=H","UseDPDF=Y")</f>
        <v>-25.364000000000001</v>
      </c>
      <c r="T38" s="13">
        <f>_xll.BDH("SRPT US Equity","T12M_CHG_ST_BORROWINGS","FQ2 2023","FQ2 2023","Currency=USD","Period=FQ","BEST_FPERIOD_OVERRIDE=FQ","FILING_STATUS=MR","SCALING_FORMAT=MLN","Sort=A","Dates=H","DateFormat=P","Fill=—","Direction=H","UseDPDF=Y")</f>
        <v>-25.364000000000001</v>
      </c>
      <c r="U38" s="13">
        <f>_xll.BDH("SRPT US Equity","T12M_CHG_ST_BORROWINGS","FQ3 2023","FQ3 2023","Currency=USD","Period=FQ","BEST_FPERIOD_OVERRIDE=FQ","FILING_STATUS=MR","SCALING_FORMAT=MLN","Sort=A","Dates=H","DateFormat=P","Fill=—","Direction=H","UseDPDF=Y")</f>
        <v>0</v>
      </c>
      <c r="V38" s="13">
        <f>_xll.BDH("SRPT US Equity","T12M_CHG_ST_BORROWINGS","FQ4 2023","FQ4 2023","Currency=USD","Period=FQ","BEST_FPERIOD_OVERRIDE=FQ","FILING_STATUS=MR","SCALING_FORMAT=MLN","Sort=A","Dates=H","DateFormat=P","Fill=—","Direction=H","UseDPDF=Y")</f>
        <v>0</v>
      </c>
      <c r="W38" s="13">
        <f>_xll.BDH("SRPT US Equity","T12M_CHG_ST_BORROWINGS","FQ1 2024","FQ1 2024","Currency=USD","Period=FQ","BEST_FPERIOD_OVERRIDE=FQ","FILING_STATUS=MR","SCALING_FORMAT=MLN","Sort=A","Dates=H","DateFormat=P","Fill=—","Direction=H","UseDPDF=Y")</f>
        <v>0</v>
      </c>
      <c r="X38" s="13">
        <f>_xll.BDH("SRPT US Equity","T12M_CHG_ST_BORROWINGS","FQ2 2024","FQ2 2024","Currency=USD","Period=FQ","BEST_FPERIOD_OVERRIDE=FQ","FILING_STATUS=MR","SCALING_FORMAT=MLN","Sort=A","Dates=H","DateFormat=P","Fill=—","Direction=H","UseDPDF=Y")</f>
        <v>0</v>
      </c>
      <c r="Y38" s="13">
        <f>_xll.BDH("SRPT US Equity","T12M_CHG_ST_BORROWINGS","FQ3 2024","FQ3 2024","Currency=USD","Period=FQ","BEST_FPERIOD_OVERRIDE=FQ","FILING_STATUS=MR","SCALING_FORMAT=MLN","Sort=A","Dates=H","DateFormat=P","Fill=—","Direction=H","UseDPDF=Y")</f>
        <v>0</v>
      </c>
      <c r="Z38" s="13">
        <f>_xll.BDH("SRPT US Equity","T12M_CHG_ST_BORROWINGS","FQ4 2024","FQ4 2024","Currency=USD","Period=FQ","BEST_FPERIOD_OVERRIDE=FQ","FILING_STATUS=MR","SCALING_FORMAT=MLN","Sort=A","Dates=H","DateFormat=P","Fill=—","Direction=H","UseDPDF=Y")</f>
        <v>0</v>
      </c>
      <c r="AA38" s="13"/>
    </row>
    <row r="39" spans="1:27" x14ac:dyDescent="0.25">
      <c r="A39" s="10" t="s">
        <v>1602</v>
      </c>
      <c r="B39" s="10" t="s">
        <v>1582</v>
      </c>
      <c r="C39" s="13">
        <f>_xll.BDH("SRPT US Equity","T12M_CHG_LT_DEBT","FQ1 2019","FQ1 2019","Currency=USD","Period=FQ","BEST_FPERIOD_OVERRIDE=FQ","FILING_STATUS=MR","SCALING_FORMAT=MLN","Sort=A","Dates=H","DateFormat=P","Fill=—","Direction=H","UseDPDF=Y")</f>
        <v>3.8250000000000002</v>
      </c>
      <c r="D39" s="13">
        <f>_xll.BDH("SRPT US Equity","T12M_CHG_LT_DEBT","FQ2 2019","FQ2 2019","Currency=USD","Period=FQ","BEST_FPERIOD_OVERRIDE=FQ","FILING_STATUS=MR","SCALING_FORMAT=MLN","Sort=A","Dates=H","DateFormat=P","Fill=—","Direction=H","UseDPDF=Y")</f>
        <v>0.217</v>
      </c>
      <c r="E39" s="13">
        <f>_xll.BDH("SRPT US Equity","T12M_CHG_LT_DEBT","FQ3 2019","FQ3 2019","Currency=USD","Period=FQ","BEST_FPERIOD_OVERRIDE=FQ","FILING_STATUS=MR","SCALING_FORMAT=MLN","Sort=A","Dates=H","DateFormat=P","Fill=—","Direction=H","UseDPDF=Y")</f>
        <v>30.827000000000002</v>
      </c>
      <c r="F39" s="13">
        <f>_xll.BDH("SRPT US Equity","T12M_CHG_LT_DEBT","FQ4 2019","FQ4 2019","Currency=USD","Period=FQ","BEST_FPERIOD_OVERRIDE=FQ","FILING_STATUS=MR","SCALING_FORMAT=MLN","Sort=A","Dates=H","DateFormat=P","Fill=—","Direction=H","UseDPDF=Y")</f>
        <v>245.625</v>
      </c>
      <c r="G39" s="13">
        <f>_xll.BDH("SRPT US Equity","T12M_CHG_LT_DEBT","FQ1 2020","FQ1 2020","Currency=USD","Period=FQ","BEST_FPERIOD_OVERRIDE=FQ","FILING_STATUS=MR","SCALING_FORMAT=MLN","Sort=A","Dates=H","DateFormat=P","Fill=—","Direction=H","UseDPDF=Y")</f>
        <v>245.625</v>
      </c>
      <c r="H39" s="13">
        <f>_xll.BDH("SRPT US Equity","T12M_CHG_LT_DEBT","FQ2 2020","FQ2 2020","Currency=USD","Period=FQ","BEST_FPERIOD_OVERRIDE=FQ","FILING_STATUS=MR","SCALING_FORMAT=MLN","Sort=A","Dates=H","DateFormat=P","Fill=—","Direction=H","UseDPDF=Y")</f>
        <v>245.625</v>
      </c>
      <c r="I39" s="13">
        <f>_xll.BDH("SRPT US Equity","T12M_CHG_LT_DEBT","FQ3 2020","FQ3 2020","Currency=USD","Period=FQ","BEST_FPERIOD_OVERRIDE=FQ","FILING_STATUS=MR","SCALING_FORMAT=MLN","Sort=A","Dates=H","DateFormat=P","Fill=—","Direction=H","UseDPDF=Y")</f>
        <v>557.678</v>
      </c>
      <c r="J39" s="13">
        <f>_xll.BDH("SRPT US Equity","T12M_CHG_LT_DEBT","FQ4 2020","FQ4 2020","Currency=USD","Period=FQ","BEST_FPERIOD_OVERRIDE=FQ","FILING_STATUS=MR","SCALING_FORMAT=MLN","Sort=A","Dates=H","DateFormat=P","Fill=—","Direction=H","UseDPDF=Y")</f>
        <v>291.14999999999998</v>
      </c>
      <c r="K39" s="13">
        <f>_xll.BDH("SRPT US Equity","T12M_CHG_LT_DEBT","FQ1 2021","FQ1 2021","Currency=USD","Period=FQ","BEST_FPERIOD_OVERRIDE=FQ","FILING_STATUS=MR","SCALING_FORMAT=MLN","Sort=A","Dates=H","DateFormat=P","Fill=—","Direction=H","UseDPDF=Y")</f>
        <v>291.14999999999998</v>
      </c>
      <c r="L39" s="13">
        <f>_xll.BDH("SRPT US Equity","T12M_CHG_LT_DEBT","FQ2 2021","FQ2 2021","Currency=USD","Period=FQ","BEST_FPERIOD_OVERRIDE=FQ","FILING_STATUS=MR","SCALING_FORMAT=MLN","Sort=A","Dates=H","DateFormat=P","Fill=—","Direction=H","UseDPDF=Y")</f>
        <v>291.14999999999998</v>
      </c>
      <c r="M39" s="13">
        <f>_xll.BDH("SRPT US Equity","T12M_CHG_LT_DEBT","FQ3 2021","FQ3 2021","Currency=USD","Period=FQ","BEST_FPERIOD_OVERRIDE=FQ","FILING_STATUS=MR","SCALING_FORMAT=MLN","Sort=A","Dates=H","DateFormat=P","Fill=—","Direction=H","UseDPDF=Y")</f>
        <v>-20.902999999999999</v>
      </c>
      <c r="N39" s="13">
        <f>_xll.BDH("SRPT US Equity","T12M_CHG_LT_DEBT","FQ4 2021","FQ4 2021","Currency=USD","Period=FQ","BEST_FPERIOD_OVERRIDE=FQ","FILING_STATUS=MR","SCALING_FORMAT=MLN","Sort=A","Dates=H","DateFormat=P","Fill=—","Direction=H","UseDPDF=Y")</f>
        <v>0</v>
      </c>
      <c r="O39" s="13">
        <f>_xll.BDH("SRPT US Equity","T12M_CHG_LT_DEBT","FQ1 2022","FQ1 2022","Currency=USD","Period=FQ","BEST_FPERIOD_OVERRIDE=FQ","FILING_STATUS=MR","SCALING_FORMAT=MLN","Sort=A","Dates=H","DateFormat=P","Fill=—","Direction=H","UseDPDF=Y")</f>
        <v>0</v>
      </c>
      <c r="P39" s="13">
        <f>_xll.BDH("SRPT US Equity","T12M_CHG_LT_DEBT","FQ2 2022","FQ2 2022","Currency=USD","Period=FQ","BEST_FPERIOD_OVERRIDE=FQ","FILING_STATUS=MR","SCALING_FORMAT=MLN","Sort=A","Dates=H","DateFormat=P","Fill=—","Direction=H","UseDPDF=Y")</f>
        <v>0</v>
      </c>
      <c r="Q39" s="13">
        <f>_xll.BDH("SRPT US Equity","T12M_CHG_LT_DEBT","FQ3 2022","FQ3 2022","Currency=USD","Period=FQ","BEST_FPERIOD_OVERRIDE=FQ","FILING_STATUS=MR","SCALING_FORMAT=MLN","Sort=A","Dates=H","DateFormat=P","Fill=—","Direction=H","UseDPDF=Y")</f>
        <v>329.53199999999998</v>
      </c>
      <c r="R39" s="13">
        <f>_xll.BDH("SRPT US Equity","T12M_CHG_LT_DEBT","FQ4 2022","FQ4 2022","Currency=USD","Period=FQ","BEST_FPERIOD_OVERRIDE=FQ","FILING_STATUS=MR","SCALING_FORMAT=MLN","Sort=A","Dates=H","DateFormat=P","Fill=—","Direction=H","UseDPDF=Y")</f>
        <v>329.53199999999998</v>
      </c>
      <c r="S39" s="13">
        <f>_xll.BDH("SRPT US Equity","T12M_CHG_LT_DEBT","FQ1 2023","FQ1 2023","Currency=USD","Period=FQ","BEST_FPERIOD_OVERRIDE=FQ","FILING_STATUS=MR","SCALING_FORMAT=MLN","Sort=A","Dates=H","DateFormat=P","Fill=—","Direction=H","UseDPDF=Y")</f>
        <v>322.64499999999998</v>
      </c>
      <c r="T39" s="13">
        <f>_xll.BDH("SRPT US Equity","T12M_CHG_LT_DEBT","FQ2 2023","FQ2 2023","Currency=USD","Period=FQ","BEST_FPERIOD_OVERRIDE=FQ","FILING_STATUS=MR","SCALING_FORMAT=MLN","Sort=A","Dates=H","DateFormat=P","Fill=—","Direction=H","UseDPDF=Y")</f>
        <v>322.64499999999998</v>
      </c>
      <c r="U39" s="13">
        <f>_xll.BDH("SRPT US Equity","T12M_CHG_LT_DEBT","FQ3 2023","FQ3 2023","Currency=USD","Period=FQ","BEST_FPERIOD_OVERRIDE=FQ","FILING_STATUS=MR","SCALING_FORMAT=MLN","Sort=A","Dates=H","DateFormat=P","Fill=—","Direction=H","UseDPDF=Y")</f>
        <v>0</v>
      </c>
      <c r="V39" s="13">
        <f>_xll.BDH("SRPT US Equity","T12M_CHG_LT_DEBT","FQ4 2023","FQ4 2023","Currency=USD","Period=FQ","BEST_FPERIOD_OVERRIDE=FQ","FILING_STATUS=MR","SCALING_FORMAT=MLN","Sort=A","Dates=H","DateFormat=P","Fill=—","Direction=H","UseDPDF=Y")</f>
        <v>0</v>
      </c>
      <c r="W39" s="13">
        <f>_xll.BDH("SRPT US Equity","T12M_CHG_LT_DEBT","FQ1 2024","FQ1 2024","Currency=USD","Period=FQ","BEST_FPERIOD_OVERRIDE=FQ","FILING_STATUS=MR","SCALING_FORMAT=MLN","Sort=A","Dates=H","DateFormat=P","Fill=—","Direction=H","UseDPDF=Y")</f>
        <v>6.8869999999999996</v>
      </c>
      <c r="X39" s="13">
        <f>_xll.BDH("SRPT US Equity","T12M_CHG_LT_DEBT","FQ2 2024","FQ2 2024","Currency=USD","Period=FQ","BEST_FPERIOD_OVERRIDE=FQ","FILING_STATUS=MR","SCALING_FORMAT=MLN","Sort=A","Dates=H","DateFormat=P","Fill=—","Direction=H","UseDPDF=Y")</f>
        <v>6.8869999999999996</v>
      </c>
      <c r="Y39" s="13">
        <f>_xll.BDH("SRPT US Equity","T12M_CHG_LT_DEBT","FQ3 2024","FQ3 2024","Currency=USD","Period=FQ","BEST_FPERIOD_OVERRIDE=FQ","FILING_STATUS=MR","SCALING_FORMAT=MLN","Sort=A","Dates=H","DateFormat=P","Fill=—","Direction=H","UseDPDF=Y")</f>
        <v>0</v>
      </c>
      <c r="Z39" s="13">
        <f>_xll.BDH("SRPT US Equity","T12M_CHG_LT_DEBT","FQ4 2024","FQ4 2024","Currency=USD","Period=FQ","BEST_FPERIOD_OVERRIDE=FQ","FILING_STATUS=MR","SCALING_FORMAT=MLN","Sort=A","Dates=H","DateFormat=P","Fill=—","Direction=H","UseDPDF=Y")</f>
        <v>0</v>
      </c>
      <c r="AA39" s="13"/>
    </row>
    <row r="40" spans="1:27" x14ac:dyDescent="0.25">
      <c r="A40" s="10" t="s">
        <v>1603</v>
      </c>
      <c r="B40" s="10" t="s">
        <v>1583</v>
      </c>
      <c r="C40" s="13">
        <f>_xll.BDH("SRPT US Equity","T12_OTHER_CFF","FQ1 2019","FQ1 2019","Currency=USD","Period=FQ","BEST_FPERIOD_OVERRIDE=FQ","FILING_STATUS=MR","SCALING_FORMAT=MLN","Sort=A","Dates=H","DateFormat=P","Fill=—","Direction=H","UseDPDF=Y")</f>
        <v>-32.134</v>
      </c>
      <c r="D40" s="13">
        <f>_xll.BDH("SRPT US Equity","T12_OTHER_CFF","FQ2 2019","FQ2 2019","Currency=USD","Period=FQ","BEST_FPERIOD_OVERRIDE=FQ","FILING_STATUS=MR","SCALING_FORMAT=MLN","Sort=A","Dates=H","DateFormat=P","Fill=—","Direction=H","UseDPDF=Y")</f>
        <v>-33.023000000000003</v>
      </c>
      <c r="E40" s="13">
        <f>_xll.BDH("SRPT US Equity","T12_OTHER_CFF","FQ3 2019","FQ3 2019","Currency=USD","Period=FQ","BEST_FPERIOD_OVERRIDE=FQ","FILING_STATUS=MR","SCALING_FORMAT=MLN","Sort=A","Dates=H","DateFormat=P","Fill=—","Direction=H","UseDPDF=Y")</f>
        <v>-34.481000000000002</v>
      </c>
      <c r="F40" s="13">
        <f>_xll.BDH("SRPT US Equity","T12_OTHER_CFF","FQ4 2019","FQ4 2019","Currency=USD","Period=FQ","BEST_FPERIOD_OVERRIDE=FQ","FILING_STATUS=MR","SCALING_FORMAT=MLN","Sort=A","Dates=H","DateFormat=P","Fill=—","Direction=H","UseDPDF=Y")</f>
        <v>-5.0259999999999998</v>
      </c>
      <c r="G40" s="13">
        <f>_xll.BDH("SRPT US Equity","T12_OTHER_CFF","FQ1 2020","FQ1 2020","Currency=USD","Period=FQ","BEST_FPERIOD_OVERRIDE=FQ","FILING_STATUS=MR","SCALING_FORMAT=MLN","Sort=A","Dates=H","DateFormat=P","Fill=—","Direction=H","UseDPDF=Y")</f>
        <v>-9.8239999999999998</v>
      </c>
      <c r="H40" s="13">
        <f>_xll.BDH("SRPT US Equity","T12_OTHER_CFF","FQ2 2020","FQ2 2020","Currency=USD","Period=FQ","BEST_FPERIOD_OVERRIDE=FQ","FILING_STATUS=MR","SCALING_FORMAT=MLN","Sort=A","Dates=H","DateFormat=P","Fill=—","Direction=H","UseDPDF=Y")</f>
        <v>-8.9350000000000005</v>
      </c>
      <c r="I40" s="13">
        <f>_xll.BDH("SRPT US Equity","T12_OTHER_CFF","FQ3 2020","FQ3 2020","Currency=USD","Period=FQ","BEST_FPERIOD_OVERRIDE=FQ","FILING_STATUS=MR","SCALING_FORMAT=MLN","Sort=A","Dates=H","DateFormat=P","Fill=—","Direction=H","UseDPDF=Y")</f>
        <v>-298.75099999999998</v>
      </c>
      <c r="J40" s="13">
        <f>_xll.BDH("SRPT US Equity","T12_OTHER_CFF","FQ4 2020","FQ4 2020","Currency=USD","Period=FQ","BEST_FPERIOD_OVERRIDE=FQ","FILING_STATUS=MR","SCALING_FORMAT=MLN","Sort=A","Dates=H","DateFormat=P","Fill=—","Direction=H","UseDPDF=Y")</f>
        <v>49.777999999999999</v>
      </c>
      <c r="K40" s="13">
        <f>_xll.BDH("SRPT US Equity","T12_OTHER_CFF","FQ1 2021","FQ1 2021","Currency=USD","Period=FQ","BEST_FPERIOD_OVERRIDE=FQ","FILING_STATUS=MR","SCALING_FORMAT=MLN","Sort=A","Dates=H","DateFormat=P","Fill=—","Direction=H","UseDPDF=Y")</f>
        <v>48.243000000000002</v>
      </c>
      <c r="L40" s="13">
        <f>_xll.BDH("SRPT US Equity","T12_OTHER_CFF","FQ2 2021","FQ2 2021","Currency=USD","Period=FQ","BEST_FPERIOD_OVERRIDE=FQ","FILING_STATUS=MR","SCALING_FORMAT=MLN","Sort=A","Dates=H","DateFormat=P","Fill=—","Direction=H","UseDPDF=Y")</f>
        <v>48.243000000000002</v>
      </c>
      <c r="M40" s="13">
        <f>_xll.BDH("SRPT US Equity","T12_OTHER_CFF","FQ3 2021","FQ3 2021","Currency=USD","Period=FQ","BEST_FPERIOD_OVERRIDE=FQ","FILING_STATUS=MR","SCALING_FORMAT=MLN","Sort=A","Dates=H","DateFormat=P","Fill=—","Direction=H","UseDPDF=Y")</f>
        <v>341.50700000000001</v>
      </c>
      <c r="N40" s="13">
        <f>_xll.BDH("SRPT US Equity","T12_OTHER_CFF","FQ4 2021","FQ4 2021","Currency=USD","Period=FQ","BEST_FPERIOD_OVERRIDE=FQ","FILING_STATUS=MR","SCALING_FORMAT=MLN","Sort=A","Dates=H","DateFormat=P","Fill=—","Direction=H","UseDPDF=Y")</f>
        <v>-7.7649999999999997</v>
      </c>
      <c r="O40" s="13">
        <f>_xll.BDH("SRPT US Equity","T12_OTHER_CFF","FQ1 2022","FQ1 2022","Currency=USD","Period=FQ","BEST_FPERIOD_OVERRIDE=FQ","FILING_STATUS=MR","SCALING_FORMAT=MLN","Sort=A","Dates=H","DateFormat=P","Fill=—","Direction=H","UseDPDF=Y")</f>
        <v>-1.4319999999999999</v>
      </c>
      <c r="P40" s="13">
        <f>_xll.BDH("SRPT US Equity","T12_OTHER_CFF","FQ2 2022","FQ2 2022","Currency=USD","Period=FQ","BEST_FPERIOD_OVERRIDE=FQ","FILING_STATUS=MR","SCALING_FORMAT=MLN","Sort=A","Dates=H","DateFormat=P","Fill=—","Direction=H","UseDPDF=Y")</f>
        <v>-1.4319999999999999</v>
      </c>
      <c r="Q40" s="13">
        <f>_xll.BDH("SRPT US Equity","T12_OTHER_CFF","FQ3 2022","FQ3 2022","Currency=USD","Period=FQ","BEST_FPERIOD_OVERRIDE=FQ","FILING_STATUS=MR","SCALING_FORMAT=MLN","Sort=A","Dates=H","DateFormat=P","Fill=—","Direction=H","UseDPDF=Y")</f>
        <v>-1.5940000000000001</v>
      </c>
      <c r="R40" s="13">
        <f>_xll.BDH("SRPT US Equity","T12_OTHER_CFF","FQ4 2022","FQ4 2022","Currency=USD","Period=FQ","BEST_FPERIOD_OVERRIDE=FQ","FILING_STATUS=MR","SCALING_FORMAT=MLN","Sort=A","Dates=H","DateFormat=P","Fill=—","Direction=H","UseDPDF=Y")</f>
        <v>-0.71599999999999997</v>
      </c>
      <c r="S40" s="13">
        <f>_xll.BDH("SRPT US Equity","T12_OTHER_CFF","FQ1 2023","FQ1 2023","Currency=USD","Period=FQ","BEST_FPERIOD_OVERRIDE=FQ","FILING_STATUS=MR","SCALING_FORMAT=MLN","Sort=A","Dates=H","DateFormat=P","Fill=—","Direction=H","UseDPDF=Y")</f>
        <v>79.929000000000002</v>
      </c>
      <c r="T40" s="13">
        <f>_xll.BDH("SRPT US Equity","T12_OTHER_CFF","FQ2 2023","FQ2 2023","Currency=USD","Period=FQ","BEST_FPERIOD_OVERRIDE=FQ","FILING_STATUS=MR","SCALING_FORMAT=MLN","Sort=A","Dates=H","DateFormat=P","Fill=—","Direction=H","UseDPDF=Y")</f>
        <v>79.929000000000002</v>
      </c>
      <c r="U40" s="13">
        <f>_xll.BDH("SRPT US Equity","T12_OTHER_CFF","FQ3 2023","FQ3 2023","Currency=USD","Period=FQ","BEST_FPERIOD_OVERRIDE=FQ","FILING_STATUS=MR","SCALING_FORMAT=MLN","Sort=A","Dates=H","DateFormat=P","Fill=—","Direction=H","UseDPDF=Y")</f>
        <v>73.203999999999994</v>
      </c>
      <c r="V40" s="13">
        <f>_xll.BDH("SRPT US Equity","T12_OTHER_CFF","FQ4 2023","FQ4 2023","Currency=USD","Period=FQ","BEST_FPERIOD_OVERRIDE=FQ","FILING_STATUS=MR","SCALING_FORMAT=MLN","Sort=A","Dates=H","DateFormat=P","Fill=—","Direction=H","UseDPDF=Y")</f>
        <v>73.757999999999996</v>
      </c>
      <c r="W40" s="13">
        <f>_xll.BDH("SRPT US Equity","T12_OTHER_CFF","FQ1 2024","FQ1 2024","Currency=USD","Period=FQ","BEST_FPERIOD_OVERRIDE=FQ","FILING_STATUS=MR","SCALING_FORMAT=MLN","Sort=A","Dates=H","DateFormat=P","Fill=—","Direction=H","UseDPDF=Y")</f>
        <v>-6.8869999999999996</v>
      </c>
      <c r="X40" s="13">
        <f>_xll.BDH("SRPT US Equity","T12_OTHER_CFF","FQ2 2024","FQ2 2024","Currency=USD","Period=FQ","BEST_FPERIOD_OVERRIDE=FQ","FILING_STATUS=MR","SCALING_FORMAT=MLN","Sort=A","Dates=H","DateFormat=P","Fill=—","Direction=H","UseDPDF=Y")</f>
        <v>-6.8869999999999996</v>
      </c>
      <c r="Y40" s="13">
        <f>_xll.BDH("SRPT US Equity","T12_OTHER_CFF","FQ3 2024","FQ3 2024","Currency=USD","Period=FQ","BEST_FPERIOD_OVERRIDE=FQ","FILING_STATUS=MR","SCALING_FORMAT=MLN","Sort=A","Dates=H","DateFormat=P","Fill=—","Direction=H","UseDPDF=Y")</f>
        <v>0</v>
      </c>
      <c r="Z40" s="13">
        <f>_xll.BDH("SRPT US Equity","T12_OTHER_CFF","FQ4 2024","FQ4 2024","Currency=USD","Period=FQ","BEST_FPERIOD_OVERRIDE=FQ","FILING_STATUS=MR","SCALING_FORMAT=MLN","Sort=A","Dates=H","DateFormat=P","Fill=—","Direction=H","UseDPDF=Y")</f>
        <v>45.280999999999999</v>
      </c>
      <c r="AA40" s="13"/>
    </row>
    <row r="41" spans="1:27" x14ac:dyDescent="0.25">
      <c r="A41" s="6" t="s">
        <v>1584</v>
      </c>
      <c r="B41" s="6" t="s">
        <v>1585</v>
      </c>
      <c r="C41" s="19">
        <f>_xll.BDH("SRPT US Equity","T12_CFF","FQ1 2019","FQ1 2019","Currency=USD","Period=FQ","BEST_FPERIOD_OVERRIDE=FQ","FILING_STATUS=MR","SCALING_FORMAT=MLN","Sort=A","Dates=H","DateFormat=P","Fill=—","Direction=H","UseDPDF=Y")</f>
        <v>900.24199999999996</v>
      </c>
      <c r="D41" s="19">
        <f>_xll.BDH("SRPT US Equity","T12_CFF","FQ2 2019","FQ2 2019","Currency=USD","Period=FQ","BEST_FPERIOD_OVERRIDE=FQ","FILING_STATUS=MR","SCALING_FORMAT=MLN","Sort=A","Dates=H","DateFormat=P","Fill=—","Direction=H","UseDPDF=Y")</f>
        <v>881.18299999999999</v>
      </c>
      <c r="E41" s="19">
        <f>_xll.BDH("SRPT US Equity","T12_CFF","FQ3 2019","FQ3 2019","Currency=USD","Period=FQ","BEST_FPERIOD_OVERRIDE=FQ","FILING_STATUS=MR","SCALING_FORMAT=MLN","Sort=A","Dates=H","DateFormat=P","Fill=—","Direction=H","UseDPDF=Y")</f>
        <v>906.87099999999998</v>
      </c>
      <c r="F41" s="19">
        <f>_xll.BDH("SRPT US Equity","T12_CFF","FQ4 2019","FQ4 2019","Currency=USD","Period=FQ","BEST_FPERIOD_OVERRIDE=FQ","FILING_STATUS=MR","SCALING_FORMAT=MLN","Sort=A","Dates=H","DateFormat=P","Fill=—","Direction=H","UseDPDF=Y")</f>
        <v>642.55399999999997</v>
      </c>
      <c r="G41" s="19">
        <f>_xll.BDH("SRPT US Equity","T12_CFF","FQ1 2020","FQ1 2020","Currency=USD","Period=FQ","BEST_FPERIOD_OVERRIDE=FQ","FILING_STATUS=MR","SCALING_FORMAT=MLN","Sort=A","Dates=H","DateFormat=P","Fill=—","Direction=H","UseDPDF=Y")</f>
        <v>584.01300000000003</v>
      </c>
      <c r="H41" s="19">
        <f>_xll.BDH("SRPT US Equity","T12_CFF","FQ2 2020","FQ2 2020","Currency=USD","Period=FQ","BEST_FPERIOD_OVERRIDE=FQ","FILING_STATUS=MR","SCALING_FORMAT=MLN","Sort=A","Dates=H","DateFormat=P","Fill=—","Direction=H","UseDPDF=Y")</f>
        <v>595.29600000000005</v>
      </c>
      <c r="I41" s="19">
        <f>_xll.BDH("SRPT US Equity","T12_CFF","FQ3 2020","FQ3 2020","Currency=USD","Period=FQ","BEST_FPERIOD_OVERRIDE=FQ","FILING_STATUS=MR","SCALING_FORMAT=MLN","Sort=A","Dates=H","DateFormat=P","Fill=—","Direction=H","UseDPDF=Y")</f>
        <v>319.08800000000002</v>
      </c>
      <c r="J41" s="19">
        <f>_xll.BDH("SRPT US Equity","T12_CFF","FQ4 2020","FQ4 2020","Currency=USD","Period=FQ","BEST_FPERIOD_OVERRIDE=FQ","FILING_STATUS=MR","SCALING_FORMAT=MLN","Sort=A","Dates=H","DateFormat=P","Fill=—","Direction=H","UseDPDF=Y")</f>
        <v>736.93799999999999</v>
      </c>
      <c r="K41" s="19">
        <f>_xll.BDH("SRPT US Equity","T12_CFF","FQ1 2021","FQ1 2021","Currency=USD","Period=FQ","BEST_FPERIOD_OVERRIDE=FQ","FILING_STATUS=MR","SCALING_FORMAT=MLN","Sort=A","Dates=H","DateFormat=P","Fill=—","Direction=H","UseDPDF=Y")</f>
        <v>420.80900000000003</v>
      </c>
      <c r="L41" s="19">
        <f>_xll.BDH("SRPT US Equity","T12_CFF","FQ2 2021","FQ2 2021","Currency=USD","Period=FQ","BEST_FPERIOD_OVERRIDE=FQ","FILING_STATUS=MR","SCALING_FORMAT=MLN","Sort=A","Dates=H","DateFormat=P","Fill=—","Direction=H","UseDPDF=Y")</f>
        <v>406.76</v>
      </c>
      <c r="M41" s="19">
        <f>_xll.BDH("SRPT US Equity","T12_CFF","FQ3 2021","FQ3 2021","Currency=USD","Period=FQ","BEST_FPERIOD_OVERRIDE=FQ","FILING_STATUS=MR","SCALING_FORMAT=MLN","Sort=A","Dates=H","DateFormat=P","Fill=—","Direction=H","UseDPDF=Y")</f>
        <v>687.13699999999994</v>
      </c>
      <c r="N41" s="19">
        <f>_xll.BDH("SRPT US Equity","T12_CFF","FQ4 2021","FQ4 2021","Currency=USD","Period=FQ","BEST_FPERIOD_OVERRIDE=FQ","FILING_STATUS=MR","SCALING_FORMAT=MLN","Sort=A","Dates=H","DateFormat=P","Fill=—","Direction=H","UseDPDF=Y")</f>
        <v>561.56899999999996</v>
      </c>
      <c r="O41" s="19">
        <f>_xll.BDH("SRPT US Equity","T12_CFF","FQ1 2022","FQ1 2022","Currency=USD","Period=FQ","BEST_FPERIOD_OVERRIDE=FQ","FILING_STATUS=MR","SCALING_FORMAT=MLN","Sort=A","Dates=H","DateFormat=P","Fill=—","Direction=H","UseDPDF=Y")</f>
        <v>563.66600000000005</v>
      </c>
      <c r="P41" s="19">
        <f>_xll.BDH("SRPT US Equity","T12_CFF","FQ2 2022","FQ2 2022","Currency=USD","Period=FQ","BEST_FPERIOD_OVERRIDE=FQ","FILING_STATUS=MR","SCALING_FORMAT=MLN","Sort=A","Dates=H","DateFormat=P","Fill=—","Direction=H","UseDPDF=Y")</f>
        <v>560.47900000000004</v>
      </c>
      <c r="Q41" s="19">
        <f>_xll.BDH("SRPT US Equity","T12_CFF","FQ3 2022","FQ3 2022","Currency=USD","Period=FQ","BEST_FPERIOD_OVERRIDE=FQ","FILING_STATUS=MR","SCALING_FORMAT=MLN","Sort=A","Dates=H","DateFormat=P","Fill=—","Direction=H","UseDPDF=Y")</f>
        <v>771.00599999999997</v>
      </c>
      <c r="R41" s="19">
        <f>_xll.BDH("SRPT US Equity","T12_CFF","FQ4 2022","FQ4 2022","Currency=USD","Period=FQ","BEST_FPERIOD_OVERRIDE=FQ","FILING_STATUS=MR","SCALING_FORMAT=MLN","Sort=A","Dates=H","DateFormat=P","Fill=—","Direction=H","UseDPDF=Y")</f>
        <v>232.50700000000001</v>
      </c>
      <c r="S41" s="19">
        <f>_xll.BDH("SRPT US Equity","T12_CFF","FQ1 2023","FQ1 2023","Currency=USD","Period=FQ","BEST_FPERIOD_OVERRIDE=FQ","FILING_STATUS=MR","SCALING_FORMAT=MLN","Sort=A","Dates=H","DateFormat=P","Fill=—","Direction=H","UseDPDF=Y")</f>
        <v>329.31200000000001</v>
      </c>
      <c r="T41" s="19">
        <f>_xll.BDH("SRPT US Equity","T12_CFF","FQ2 2023","FQ2 2023","Currency=USD","Period=FQ","BEST_FPERIOD_OVERRIDE=FQ","FILING_STATUS=MR","SCALING_FORMAT=MLN","Sort=A","Dates=H","DateFormat=P","Fill=—","Direction=H","UseDPDF=Y")</f>
        <v>334.834</v>
      </c>
      <c r="U41" s="19">
        <f>_xll.BDH("SRPT US Equity","T12_CFF","FQ3 2023","FQ3 2023","Currency=USD","Period=FQ","BEST_FPERIOD_OVERRIDE=FQ","FILING_STATUS=MR","SCALING_FORMAT=MLN","Sort=A","Dates=H","DateFormat=P","Fill=—","Direction=H","UseDPDF=Y")</f>
        <v>133.81</v>
      </c>
      <c r="V41" s="19">
        <f>_xll.BDH("SRPT US Equity","T12_CFF","FQ4 2023","FQ4 2023","Currency=USD","Period=FQ","BEST_FPERIOD_OVERRIDE=FQ","FILING_STATUS=MR","SCALING_FORMAT=MLN","Sort=A","Dates=H","DateFormat=P","Fill=—","Direction=H","UseDPDF=Y")</f>
        <v>125.004</v>
      </c>
      <c r="W41" s="19">
        <f>_xll.BDH("SRPT US Equity","T12_CFF","FQ1 2024","FQ1 2024","Currency=USD","Period=FQ","BEST_FPERIOD_OVERRIDE=FQ","FILING_STATUS=MR","SCALING_FORMAT=MLN","Sort=A","Dates=H","DateFormat=P","Fill=—","Direction=H","UseDPDF=Y")</f>
        <v>45.348999999999997</v>
      </c>
      <c r="X41" s="19">
        <f>_xll.BDH("SRPT US Equity","T12_CFF","FQ2 2024","FQ2 2024","Currency=USD","Period=FQ","BEST_FPERIOD_OVERRIDE=FQ","FILING_STATUS=MR","SCALING_FORMAT=MLN","Sort=A","Dates=H","DateFormat=P","Fill=—","Direction=H","UseDPDF=Y")</f>
        <v>79.406000000000006</v>
      </c>
      <c r="Y41" s="19">
        <f>_xll.BDH("SRPT US Equity","T12_CFF","FQ3 2024","FQ3 2024","Currency=USD","Period=FQ","BEST_FPERIOD_OVERRIDE=FQ","FILING_STATUS=MR","SCALING_FORMAT=MLN","Sort=A","Dates=H","DateFormat=P","Fill=—","Direction=H","UseDPDF=Y")</f>
        <v>77.757999999999996</v>
      </c>
      <c r="Z41" s="19">
        <f>_xll.BDH("SRPT US Equity","T12_CFF","FQ4 2024","FQ4 2024","Currency=USD","Period=FQ","BEST_FPERIOD_OVERRIDE=FQ","FILING_STATUS=MR","SCALING_FORMAT=MLN","Sort=A","Dates=H","DateFormat=P","Fill=—","Direction=H","UseDPDF=Y")</f>
        <v>124.806</v>
      </c>
      <c r="AA41" s="19"/>
    </row>
    <row r="42" spans="1:27" x14ac:dyDescent="0.25">
      <c r="A42" s="11" t="s">
        <v>1598</v>
      </c>
      <c r="B42" s="11" t="s">
        <v>69</v>
      </c>
      <c r="C42" s="25">
        <f>_xll.BDH("SRPT US Equity","ENTERPRISE_VALUE","FQ1 2019","FQ1 2019","Currency=USD","Period=FQ","BEST_FPERIOD_OVERRIDE=FQ","FILING_STATUS=MR","SCALING_FORMAT=MLN","Sort=A","Dates=H","DateFormat=P","Fill=—","Direction=H","UseDPDF=Y")</f>
        <v>7976.4474</v>
      </c>
      <c r="D42" s="25">
        <f>_xll.BDH("SRPT US Equity","ENTERPRISE_VALUE","FQ2 2019","FQ2 2019","Currency=USD","Period=FQ","BEST_FPERIOD_OVERRIDE=FQ","FILING_STATUS=MR","SCALING_FORMAT=MLN","Sort=A","Dates=H","DateFormat=P","Fill=—","Direction=H","UseDPDF=Y")</f>
        <v>10679.4452</v>
      </c>
      <c r="E42" s="25">
        <f>_xll.BDH("SRPT US Equity","ENTERPRISE_VALUE","FQ3 2019","FQ3 2019","Currency=USD","Period=FQ","BEST_FPERIOD_OVERRIDE=FQ","FILING_STATUS=MR","SCALING_FORMAT=MLN","Sort=A","Dates=H","DateFormat=P","Fill=—","Direction=H","UseDPDF=Y")</f>
        <v>5056.5702000000001</v>
      </c>
      <c r="F42" s="25">
        <f>_xll.BDH("SRPT US Equity","ENTERPRISE_VALUE","FQ4 2019","FQ4 2019","Currency=USD","Period=FQ","BEST_FPERIOD_OVERRIDE=FQ","FILING_STATUS=MR","SCALING_FORMAT=MLN","Sort=A","Dates=H","DateFormat=P","Fill=—","Direction=H","UseDPDF=Y")</f>
        <v>9314.5727000000006</v>
      </c>
      <c r="G42" s="25">
        <f>_xll.BDH("SRPT US Equity","ENTERPRISE_VALUE","FQ1 2020","FQ1 2020","Currency=USD","Period=FQ","BEST_FPERIOD_OVERRIDE=FQ","FILING_STATUS=MR","SCALING_FORMAT=MLN","Sort=A","Dates=H","DateFormat=P","Fill=—","Direction=H","UseDPDF=Y")</f>
        <v>6198.3289999999997</v>
      </c>
      <c r="H42" s="25">
        <f>_xll.BDH("SRPT US Equity","ENTERPRISE_VALUE","FQ2 2020","FQ2 2020","Currency=USD","Period=FQ","BEST_FPERIOD_OVERRIDE=FQ","FILING_STATUS=MR","SCALING_FORMAT=MLN","Sort=A","Dates=H","DateFormat=P","Fill=—","Direction=H","UseDPDF=Y")</f>
        <v>11271.5093</v>
      </c>
      <c r="I42" s="25">
        <f>_xll.BDH("SRPT US Equity","ENTERPRISE_VALUE","FQ3 2020","FQ3 2020","Currency=USD","Period=FQ","BEST_FPERIOD_OVERRIDE=FQ","FILING_STATUS=MR","SCALING_FORMAT=MLN","Sort=A","Dates=H","DateFormat=P","Fill=—","Direction=H","UseDPDF=Y")</f>
        <v>10007.475</v>
      </c>
      <c r="J42" s="25">
        <f>_xll.BDH("SRPT US Equity","ENTERPRISE_VALUE","FQ4 2020","FQ4 2020","Currency=USD","Period=FQ","BEST_FPERIOD_OVERRIDE=FQ","FILING_STATUS=MR","SCALING_FORMAT=MLN","Sort=A","Dates=H","DateFormat=P","Fill=—","Direction=H","UseDPDF=Y")</f>
        <v>12678.419400000001</v>
      </c>
      <c r="K42" s="25">
        <f>_xll.BDH("SRPT US Equity","ENTERPRISE_VALUE","FQ1 2021","FQ1 2021","Currency=USD","Period=FQ","BEST_FPERIOD_OVERRIDE=FQ","FILING_STATUS=MR","SCALING_FORMAT=MLN","Sort=A","Dates=H","DateFormat=P","Fill=—","Direction=H","UseDPDF=Y")</f>
        <v>5348.2636000000002</v>
      </c>
      <c r="L42" s="25">
        <f>_xll.BDH("SRPT US Equity","ENTERPRISE_VALUE","FQ2 2021","FQ2 2021","Currency=USD","Period=FQ","BEST_FPERIOD_OVERRIDE=FQ","FILING_STATUS=MR","SCALING_FORMAT=MLN","Sort=A","Dates=H","DateFormat=P","Fill=—","Direction=H","UseDPDF=Y")</f>
        <v>5627.6962000000003</v>
      </c>
      <c r="M42" s="25">
        <f>_xll.BDH("SRPT US Equity","ENTERPRISE_VALUE","FQ3 2021","FQ3 2021","Currency=USD","Period=FQ","BEST_FPERIOD_OVERRIDE=FQ","FILING_STATUS=MR","SCALING_FORMAT=MLN","Sort=A","Dates=H","DateFormat=P","Fill=—","Direction=H","UseDPDF=Y")</f>
        <v>6944.4766</v>
      </c>
      <c r="N42" s="25">
        <f>_xll.BDH("SRPT US Equity","ENTERPRISE_VALUE","FQ4 2021","FQ4 2021","Currency=USD","Period=FQ","BEST_FPERIOD_OVERRIDE=FQ","FILING_STATUS=MR","SCALING_FORMAT=MLN","Sort=A","Dates=H","DateFormat=P","Fill=—","Direction=H","UseDPDF=Y")</f>
        <v>6873.4480000000003</v>
      </c>
      <c r="O42" s="25">
        <f>_xll.BDH("SRPT US Equity","ENTERPRISE_VALUE","FQ1 2022","FQ1 2022","Currency=USD","Period=FQ","BEST_FPERIOD_OVERRIDE=FQ","FILING_STATUS=MR","SCALING_FORMAT=MLN","Sort=A","Dates=H","DateFormat=P","Fill=—","Direction=H","UseDPDF=Y")</f>
        <v>5949.5447999999997</v>
      </c>
      <c r="P42" s="25">
        <f>_xll.BDH("SRPT US Equity","ENTERPRISE_VALUE","FQ2 2022","FQ2 2022","Currency=USD","Period=FQ","BEST_FPERIOD_OVERRIDE=FQ","FILING_STATUS=MR","SCALING_FORMAT=MLN","Sort=A","Dates=H","DateFormat=P","Fill=—","Direction=H","UseDPDF=Y")</f>
        <v>5755.3689999999997</v>
      </c>
      <c r="Q42" s="25">
        <f>_xll.BDH("SRPT US Equity","ENTERPRISE_VALUE","FQ3 2022","FQ3 2022","Currency=USD","Period=FQ","BEST_FPERIOD_OVERRIDE=FQ","FILING_STATUS=MR","SCALING_FORMAT=MLN","Sort=A","Dates=H","DateFormat=P","Fill=—","Direction=H","UseDPDF=Y")</f>
        <v>9188.1666000000005</v>
      </c>
      <c r="R42" s="25">
        <f>_xll.BDH("SRPT US Equity","ENTERPRISE_VALUE","FQ4 2022","FQ4 2022","Currency=USD","Period=FQ","BEST_FPERIOD_OVERRIDE=FQ","FILING_STATUS=MR","SCALING_FORMAT=MLN","Sort=A","Dates=H","DateFormat=P","Fill=—","Direction=H","UseDPDF=Y")</f>
        <v>11005.537200000001</v>
      </c>
      <c r="S42" s="25">
        <f>_xll.BDH("SRPT US Equity","ENTERPRISE_VALUE","FQ1 2023","FQ1 2023","Currency=USD","Period=FQ","BEST_FPERIOD_OVERRIDE=FQ","FILING_STATUS=MR","SCALING_FORMAT=MLN","Sort=A","Dates=H","DateFormat=P","Fill=—","Direction=H","UseDPDF=Y")</f>
        <v>12224.5988</v>
      </c>
      <c r="T42" s="25">
        <f>_xll.BDH("SRPT US Equity","ENTERPRISE_VALUE","FQ2 2023","FQ2 2023","Currency=USD","Period=FQ","BEST_FPERIOD_OVERRIDE=FQ","FILING_STATUS=MR","SCALING_FORMAT=MLN","Sort=A","Dates=H","DateFormat=P","Fill=—","Direction=H","UseDPDF=Y")</f>
        <v>10166.633900000001</v>
      </c>
      <c r="U42" s="25">
        <f>_xll.BDH("SRPT US Equity","ENTERPRISE_VALUE","FQ3 2023","FQ3 2023","Currency=USD","Period=FQ","BEST_FPERIOD_OVERRIDE=FQ","FILING_STATUS=MR","SCALING_FORMAT=MLN","Sort=A","Dates=H","DateFormat=P","Fill=—","Direction=H","UseDPDF=Y")</f>
        <v>10987.0142</v>
      </c>
      <c r="V42" s="25">
        <f>_xll.BDH("SRPT US Equity","ENTERPRISE_VALUE","FQ4 2023","FQ4 2023","Currency=USD","Period=FQ","BEST_FPERIOD_OVERRIDE=FQ","FILING_STATUS=MR","SCALING_FORMAT=MLN","Sort=A","Dates=H","DateFormat=P","Fill=—","Direction=H","UseDPDF=Y")</f>
        <v>8752.5915000000005</v>
      </c>
      <c r="W42" s="25">
        <f>_xll.BDH("SRPT US Equity","ENTERPRISE_VALUE","FQ1 2024","FQ1 2024","Currency=USD","Period=FQ","BEST_FPERIOD_OVERRIDE=FQ","FILING_STATUS=MR","SCALING_FORMAT=MLN","Sort=A","Dates=H","DateFormat=P","Fill=—","Direction=H","UseDPDF=Y")</f>
        <v>12205.7217</v>
      </c>
      <c r="X42" s="25">
        <f>_xll.BDH("SRPT US Equity","ENTERPRISE_VALUE","FQ2 2024","FQ2 2024","Currency=USD","Period=FQ","BEST_FPERIOD_OVERRIDE=FQ","FILING_STATUS=MR","SCALING_FORMAT=MLN","Sort=A","Dates=H","DateFormat=P","Fill=—","Direction=H","UseDPDF=Y")</f>
        <v>14948.513800000001</v>
      </c>
      <c r="Y42" s="25">
        <f>_xll.BDH("SRPT US Equity","ENTERPRISE_VALUE","FQ3 2024","FQ3 2024","Currency=USD","Period=FQ","BEST_FPERIOD_OVERRIDE=FQ","FILING_STATUS=MR","SCALING_FORMAT=MLN","Sort=A","Dates=H","DateFormat=P","Fill=—","Direction=H","UseDPDF=Y")</f>
        <v>12120.5784</v>
      </c>
      <c r="Z42" s="25">
        <f>_xll.BDH("SRPT US Equity","ENTERPRISE_VALUE","FQ4 2024","FQ4 2024","Currency=USD","Period=FQ","BEST_FPERIOD_OVERRIDE=FQ","FILING_STATUS=MR","SCALING_FORMAT=MLN","Sort=A","Dates=H","DateFormat=P","Fill=—","Direction=H","UseDPDF=Y")</f>
        <v>11766.6993</v>
      </c>
      <c r="AA42" s="25"/>
    </row>
    <row r="43" spans="1:27" x14ac:dyDescent="0.25">
      <c r="A43" s="6" t="s">
        <v>1604</v>
      </c>
      <c r="B43" s="6" t="s">
        <v>1605</v>
      </c>
      <c r="C43" s="20">
        <f>_xll.BDH("SRPT US Equity","CAPITAL_YIELD","FQ1 2019","FQ1 2019","Currency=USD","Period=FQ","BEST_FPERIOD_OVERRIDE=FQ","FILING_STATUS=MR","Sort=A","Dates=H","DateFormat=P","Fill=—","Direction=H","UseDPDF=Y")</f>
        <v>-11.286300000000001</v>
      </c>
      <c r="D43" s="20">
        <f>_xll.BDH("SRPT US Equity","CAPITAL_YIELD","FQ2 2019","FQ2 2019","Currency=USD","Period=FQ","BEST_FPERIOD_OVERRIDE=FQ","FILING_STATUS=MR","Sort=A","Dates=H","DateFormat=P","Fill=—","Direction=H","UseDPDF=Y")</f>
        <v>-8.2512000000000008</v>
      </c>
      <c r="E43" s="20">
        <f>_xll.BDH("SRPT US Equity","CAPITAL_YIELD","FQ3 2019","FQ3 2019","Currency=USD","Period=FQ","BEST_FPERIOD_OVERRIDE=FQ","FILING_STATUS=MR","Sort=A","Dates=H","DateFormat=P","Fill=—","Direction=H","UseDPDF=Y")</f>
        <v>-17.9345</v>
      </c>
      <c r="F43" s="20">
        <f>_xll.BDH("SRPT US Equity","CAPITAL_YIELD","FQ4 2019","FQ4 2019","Currency=USD","Period=FQ","BEST_FPERIOD_OVERRIDE=FQ","FILING_STATUS=MR","Sort=A","Dates=H","DateFormat=P","Fill=—","Direction=H","UseDPDF=Y")</f>
        <v>-6.8983999999999996</v>
      </c>
      <c r="G43" s="20">
        <f>_xll.BDH("SRPT US Equity","CAPITAL_YIELD","FQ1 2020","FQ1 2020","Currency=USD","Period=FQ","BEST_FPERIOD_OVERRIDE=FQ","FILING_STATUS=MR","Sort=A","Dates=H","DateFormat=P","Fill=—","Direction=H","UseDPDF=Y")</f>
        <v>-9.4221000000000004</v>
      </c>
      <c r="H43" s="20">
        <f>_xll.BDH("SRPT US Equity","CAPITAL_YIELD","FQ2 2020","FQ2 2020","Currency=USD","Period=FQ","BEST_FPERIOD_OVERRIDE=FQ","FILING_STATUS=MR","Sort=A","Dates=H","DateFormat=P","Fill=—","Direction=H","UseDPDF=Y")</f>
        <v>-5.2813999999999997</v>
      </c>
      <c r="I43" s="20">
        <f>_xll.BDH("SRPT US Equity","CAPITAL_YIELD","FQ3 2020","FQ3 2020","Currency=USD","Period=FQ","BEST_FPERIOD_OVERRIDE=FQ","FILING_STATUS=MR","Sort=A","Dates=H","DateFormat=P","Fill=—","Direction=H","UseDPDF=Y")</f>
        <v>-3.1884999999999999</v>
      </c>
      <c r="J43" s="20">
        <f>_xll.BDH("SRPT US Equity","CAPITAL_YIELD","FQ4 2020","FQ4 2020","Currency=USD","Period=FQ","BEST_FPERIOD_OVERRIDE=FQ","FILING_STATUS=MR","Sort=A","Dates=H","DateFormat=P","Fill=—","Direction=H","UseDPDF=Y")</f>
        <v>-5.8125</v>
      </c>
      <c r="K43" s="20">
        <f>_xll.BDH("SRPT US Equity","CAPITAL_YIELD","FQ1 2021","FQ1 2021","Currency=USD","Period=FQ","BEST_FPERIOD_OVERRIDE=FQ","FILING_STATUS=MR","Sort=A","Dates=H","DateFormat=P","Fill=—","Direction=H","UseDPDF=Y")</f>
        <v>-7.8681000000000001</v>
      </c>
      <c r="L43" s="20">
        <f>_xll.BDH("SRPT US Equity","CAPITAL_YIELD","FQ2 2021","FQ2 2021","Currency=USD","Period=FQ","BEST_FPERIOD_OVERRIDE=FQ","FILING_STATUS=MR","Sort=A","Dates=H","DateFormat=P","Fill=—","Direction=H","UseDPDF=Y")</f>
        <v>-7.2278000000000002</v>
      </c>
      <c r="M43" s="20">
        <f>_xll.BDH("SRPT US Equity","CAPITAL_YIELD","FQ3 2021","FQ3 2021","Currency=USD","Period=FQ","BEST_FPERIOD_OVERRIDE=FQ","FILING_STATUS=MR","Sort=A","Dates=H","DateFormat=P","Fill=—","Direction=H","UseDPDF=Y")</f>
        <v>-9.8947000000000003</v>
      </c>
      <c r="N43" s="20">
        <f>_xll.BDH("SRPT US Equity","CAPITAL_YIELD","FQ4 2021","FQ4 2021","Currency=USD","Period=FQ","BEST_FPERIOD_OVERRIDE=FQ","FILING_STATUS=MR","Sort=A","Dates=H","DateFormat=P","Fill=—","Direction=H","UseDPDF=Y")</f>
        <v>-8.1700999999999997</v>
      </c>
      <c r="O43" s="20">
        <f>_xll.BDH("SRPT US Equity","CAPITAL_YIELD","FQ1 2022","FQ1 2022","Currency=USD","Period=FQ","BEST_FPERIOD_OVERRIDE=FQ","FILING_STATUS=MR","Sort=A","Dates=H","DateFormat=P","Fill=—","Direction=H","UseDPDF=Y")</f>
        <v>-9.4741</v>
      </c>
      <c r="P43" s="20">
        <f>_xll.BDH("SRPT US Equity","CAPITAL_YIELD","FQ2 2022","FQ2 2022","Currency=USD","Period=FQ","BEST_FPERIOD_OVERRIDE=FQ","FILING_STATUS=MR","Sort=A","Dates=H","DateFormat=P","Fill=—","Direction=H","UseDPDF=Y")</f>
        <v>-9.7384000000000004</v>
      </c>
      <c r="Q43" s="20">
        <f>_xll.BDH("SRPT US Equity","CAPITAL_YIELD","FQ3 2022","FQ3 2022","Currency=USD","Period=FQ","BEST_FPERIOD_OVERRIDE=FQ","FILING_STATUS=MR","Sort=A","Dates=H","DateFormat=P","Fill=—","Direction=H","UseDPDF=Y")</f>
        <v>-8.3912999999999993</v>
      </c>
      <c r="R43" s="20">
        <f>_xll.BDH("SRPT US Equity","CAPITAL_YIELD","FQ4 2022","FQ4 2022","Currency=USD","Period=FQ","BEST_FPERIOD_OVERRIDE=FQ","FILING_STATUS=MR","Sort=A","Dates=H","DateFormat=P","Fill=—","Direction=H","UseDPDF=Y")</f>
        <v>-2.1126</v>
      </c>
      <c r="S43" s="20">
        <f>_xll.BDH("SRPT US Equity","CAPITAL_YIELD","FQ1 2023","FQ1 2023","Currency=USD","Period=FQ","BEST_FPERIOD_OVERRIDE=FQ","FILING_STATUS=MR","Sort=A","Dates=H","DateFormat=P","Fill=—","Direction=H","UseDPDF=Y")</f>
        <v>-2.6938</v>
      </c>
      <c r="T43" s="20">
        <f>_xll.BDH("SRPT US Equity","CAPITAL_YIELD","FQ2 2023","FQ2 2023","Currency=USD","Period=FQ","BEST_FPERIOD_OVERRIDE=FQ","FILING_STATUS=MR","Sort=A","Dates=H","DateFormat=P","Fill=—","Direction=H","UseDPDF=Y")</f>
        <v>-3.2934999999999999</v>
      </c>
      <c r="U43" s="20">
        <f>_xll.BDH("SRPT US Equity","CAPITAL_YIELD","FQ3 2023","FQ3 2023","Currency=USD","Period=FQ","BEST_FPERIOD_OVERRIDE=FQ","FILING_STATUS=MR","Sort=A","Dates=H","DateFormat=P","Fill=—","Direction=H","UseDPDF=Y")</f>
        <v>-1.2179</v>
      </c>
      <c r="V43" s="20">
        <f>_xll.BDH("SRPT US Equity","CAPITAL_YIELD","FQ4 2023","FQ4 2023","Currency=USD","Period=FQ","BEST_FPERIOD_OVERRIDE=FQ","FILING_STATUS=MR","Sort=A","Dates=H","DateFormat=P","Fill=—","Direction=H","UseDPDF=Y")</f>
        <v>-1.4281999999999999</v>
      </c>
      <c r="W43" s="20">
        <f>_xll.BDH("SRPT US Equity","CAPITAL_YIELD","FQ1 2024","FQ1 2024","Currency=USD","Period=FQ","BEST_FPERIOD_OVERRIDE=FQ","FILING_STATUS=MR","Sort=A","Dates=H","DateFormat=P","Fill=—","Direction=H","UseDPDF=Y")</f>
        <v>-0.3715</v>
      </c>
      <c r="X43" s="20">
        <f>_xll.BDH("SRPT US Equity","CAPITAL_YIELD","FQ2 2024","FQ2 2024","Currency=USD","Period=FQ","BEST_FPERIOD_OVERRIDE=FQ","FILING_STATUS=MR","Sort=A","Dates=H","DateFormat=P","Fill=—","Direction=H","UseDPDF=Y")</f>
        <v>-0.53120000000000001</v>
      </c>
      <c r="Y43" s="20">
        <f>_xll.BDH("SRPT US Equity","CAPITAL_YIELD","FQ3 2024","FQ3 2024","Currency=USD","Period=FQ","BEST_FPERIOD_OVERRIDE=FQ","FILING_STATUS=MR","Sort=A","Dates=H","DateFormat=P","Fill=—","Direction=H","UseDPDF=Y")</f>
        <v>-0.64149999999999996</v>
      </c>
      <c r="Z43" s="20">
        <f>_xll.BDH("SRPT US Equity","CAPITAL_YIELD","FQ4 2024","FQ4 2024","Currency=USD","Period=FQ","BEST_FPERIOD_OVERRIDE=FQ","FILING_STATUS=MR","Sort=A","Dates=H","DateFormat=P","Fill=—","Direction=H","UseDPDF=Y")</f>
        <v>-1.0607</v>
      </c>
      <c r="AA43" s="20"/>
    </row>
    <row r="44" spans="1:27" x14ac:dyDescent="0.25">
      <c r="A44" s="7" t="s">
        <v>90</v>
      </c>
      <c r="B44" s="7"/>
      <c r="C44" s="7" t="s">
        <v>5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24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1606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1607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1608</v>
      </c>
      <c r="B7" s="10" t="s">
        <v>1609</v>
      </c>
      <c r="C7" s="14">
        <f>_xll.BDH("SRPT US Equity","TAX_EFFICIENCY","FQ4 2018","FQ4 2018","Currency=USD","Period=FQ","BEST_FPERIOD_OVERRIDE=FQ","FILING_STATUS=MR","FA_ADJUSTED=GAAP","Sort=A","Dates=H","DateFormat=P","Fill=—","Direction=H","UseDPDF=Y")</f>
        <v>99.809200000000004</v>
      </c>
      <c r="D7" s="14">
        <f>_xll.BDH("SRPT US Equity","TAX_EFFICIENCY","FQ1 2019","FQ1 2019","Currency=USD","Period=FQ","BEST_FPERIOD_OVERRIDE=FQ","FILING_STATUS=MR","FA_ADJUSTED=GAAP","Sort=A","Dates=H","DateFormat=P","Fill=—","Direction=H","UseDPDF=Y")</f>
        <v>99.815100000000001</v>
      </c>
      <c r="E7" s="14">
        <f>_xll.BDH("SRPT US Equity","TAX_EFFICIENCY","FQ2 2019","FQ2 2019","Currency=USD","Period=FQ","BEST_FPERIOD_OVERRIDE=FQ","FILING_STATUS=MR","FA_ADJUSTED=GAAP","Sort=A","Dates=H","DateFormat=P","Fill=—","Direction=H","UseDPDF=Y")</f>
        <v>99.790899999999993</v>
      </c>
      <c r="F7" s="14">
        <f>_xll.BDH("SRPT US Equity","TAX_EFFICIENCY","FQ3 2019","FQ3 2019","Currency=USD","Period=FQ","BEST_FPERIOD_OVERRIDE=FQ","FILING_STATUS=MR","FA_ADJUSTED=GAAP","Sort=A","Dates=H","DateFormat=P","Fill=—","Direction=H","UseDPDF=Y")</f>
        <v>99.952500000000001</v>
      </c>
      <c r="G7" s="14">
        <f>_xll.BDH("SRPT US Equity","TAX_EFFICIENCY","FQ4 2019","FQ4 2019","Currency=USD","Period=FQ","BEST_FPERIOD_OVERRIDE=FQ","FILING_STATUS=MR","FA_ADJUSTED=GAAP","Sort=A","Dates=H","DateFormat=P","Fill=—","Direction=H","UseDPDF=Y")</f>
        <v>100.1674</v>
      </c>
      <c r="H7" s="14">
        <f>_xll.BDH("SRPT US Equity","TAX_EFFICIENCY","FQ1 2020","FQ1 2020","Currency=USD","Period=FQ","BEST_FPERIOD_OVERRIDE=FQ","FILING_STATUS=MR","FA_ADJUSTED=GAAP","Sort=A","Dates=H","DateFormat=P","Fill=—","Direction=H","UseDPDF=Y")</f>
        <v>100.18729999999999</v>
      </c>
      <c r="I7" s="14">
        <f>_xll.BDH("SRPT US Equity","TAX_EFFICIENCY","FQ2 2020","FQ2 2020","Currency=USD","Period=FQ","BEST_FPERIOD_OVERRIDE=FQ","FILING_STATUS=MR","FA_ADJUSTED=GAAP","Sort=A","Dates=H","DateFormat=P","Fill=—","Direction=H","UseDPDF=Y")</f>
        <v>100.2025</v>
      </c>
      <c r="J7" s="14">
        <f>_xll.BDH("SRPT US Equity","TAX_EFFICIENCY","FQ3 2020","FQ3 2020","Currency=USD","Period=FQ","BEST_FPERIOD_OVERRIDE=FQ","FILING_STATUS=MR","FA_ADJUSTED=GAAP","Sort=A","Dates=H","DateFormat=P","Fill=—","Direction=H","UseDPDF=Y")</f>
        <v>100.1571</v>
      </c>
      <c r="K7" s="14">
        <f>_xll.BDH("SRPT US Equity","TAX_EFFICIENCY","FQ4 2020","FQ4 2020","Currency=USD","Period=FQ","BEST_FPERIOD_OVERRIDE=FQ","FILING_STATUS=MR","FA_ADJUSTED=GAAP","Sort=A","Dates=H","DateFormat=P","Fill=—","Direction=H","UseDPDF=Y")</f>
        <v>100.1922</v>
      </c>
      <c r="L7" s="14">
        <f>_xll.BDH("SRPT US Equity","TAX_EFFICIENCY","FQ1 2021","FQ1 2021","Currency=USD","Period=FQ","BEST_FPERIOD_OVERRIDE=FQ","FILING_STATUS=MR","FA_ADJUSTED=GAAP","Sort=A","Dates=H","DateFormat=P","Fill=—","Direction=H","UseDPDF=Y")</f>
        <v>100.11450000000001</v>
      </c>
      <c r="M7" s="14">
        <f>_xll.BDH("SRPT US Equity","TAX_EFFICIENCY","FQ2 2021","FQ2 2021","Currency=USD","Period=FQ","BEST_FPERIOD_OVERRIDE=FQ","FILING_STATUS=MR","FA_ADJUSTED=GAAP","Sort=A","Dates=H","DateFormat=P","Fill=—","Direction=H","UseDPDF=Y")</f>
        <v>100.068</v>
      </c>
      <c r="N7" s="14">
        <f>_xll.BDH("SRPT US Equity","TAX_EFFICIENCY","FQ3 2021","FQ3 2021","Currency=USD","Period=FQ","BEST_FPERIOD_OVERRIDE=FQ","FILING_STATUS=MR","FA_ADJUSTED=GAAP","Sort=A","Dates=H","DateFormat=P","Fill=—","Direction=H","UseDPDF=Y")</f>
        <v>100.1178</v>
      </c>
      <c r="O7" s="14">
        <f>_xll.BDH("SRPT US Equity","TAX_EFFICIENCY","FQ4 2021","FQ4 2021","Currency=USD","Period=FQ","BEST_FPERIOD_OVERRIDE=FQ","FILING_STATUS=MR","FA_ADJUSTED=GAAP","Sort=A","Dates=H","DateFormat=P","Fill=—","Direction=H","UseDPDF=Y")</f>
        <v>99.959900000000005</v>
      </c>
      <c r="P7" s="14">
        <f>_xll.BDH("SRPT US Equity","TAX_EFFICIENCY","FQ1 2022","FQ1 2022","Currency=USD","Period=FQ","BEST_FPERIOD_OVERRIDE=FQ","FILING_STATUS=MR","FA_ADJUSTED=GAAP","Sort=A","Dates=H","DateFormat=P","Fill=—","Direction=H","UseDPDF=Y")</f>
        <v>100.2401</v>
      </c>
      <c r="Q7" s="14">
        <f>_xll.BDH("SRPT US Equity","TAX_EFFICIENCY","FQ2 2022","FQ2 2022","Currency=USD","Period=FQ","BEST_FPERIOD_OVERRIDE=FQ","FILING_STATUS=MR","FA_ADJUSTED=GAAP","Sort=A","Dates=H","DateFormat=P","Fill=—","Direction=H","UseDPDF=Y")</f>
        <v>100.91549999999999</v>
      </c>
      <c r="R7" s="14">
        <f>_xll.BDH("SRPT US Equity","TAX_EFFICIENCY","FQ3 2022","FQ3 2022","Currency=USD","Period=FQ","BEST_FPERIOD_OVERRIDE=FQ","FILING_STATUS=MR","FA_ADJUSTED=GAAP","Sort=A","Dates=H","DateFormat=P","Fill=—","Direction=H","UseDPDF=Y")</f>
        <v>100.7992</v>
      </c>
      <c r="S7" s="14">
        <f>_xll.BDH("SRPT US Equity","TAX_EFFICIENCY","FQ4 2022","FQ4 2022","Currency=USD","Period=FQ","BEST_FPERIOD_OVERRIDE=FQ","FILING_STATUS=MR","FA_ADJUSTED=GAAP","Sort=A","Dates=H","DateFormat=P","Fill=—","Direction=H","UseDPDF=Y")</f>
        <v>101.9603</v>
      </c>
      <c r="T7" s="14">
        <f>_xll.BDH("SRPT US Equity","TAX_EFFICIENCY","FQ1 2023","FQ1 2023","Currency=USD","Period=FQ","BEST_FPERIOD_OVERRIDE=FQ","FILING_STATUS=MR","FA_ADJUSTED=GAAP","Sort=A","Dates=H","DateFormat=P","Fill=—","Direction=H","UseDPDF=Y")</f>
        <v>101.5194</v>
      </c>
      <c r="U7" s="14">
        <f>_xll.BDH("SRPT US Equity","TAX_EFFICIENCY","FQ2 2023","FQ2 2023","Currency=USD","Period=FQ","BEST_FPERIOD_OVERRIDE=FQ","FILING_STATUS=MR","FA_ADJUSTED=GAAP","Sort=A","Dates=H","DateFormat=P","Fill=—","Direction=H","UseDPDF=Y")</f>
        <v>102.56019999999999</v>
      </c>
      <c r="V7" s="14">
        <f>_xll.BDH("SRPT US Equity","TAX_EFFICIENCY","FQ3 2023","FQ3 2023","Currency=USD","Period=FQ","BEST_FPERIOD_OVERRIDE=FQ","FILING_STATUS=MR","FA_ADJUSTED=GAAP","Sort=A","Dates=H","DateFormat=P","Fill=—","Direction=H","UseDPDF=Y")</f>
        <v>104.3974</v>
      </c>
      <c r="W7" s="14">
        <f>_xll.BDH("SRPT US Equity","TAX_EFFICIENCY","FQ4 2023","FQ4 2023","Currency=USD","Period=FQ","BEST_FPERIOD_OVERRIDE=FQ","FILING_STATUS=MR","FA_ADJUSTED=GAAP","Sort=A","Dates=H","DateFormat=P","Fill=—","Direction=H","UseDPDF=Y")</f>
        <v>103.0531</v>
      </c>
      <c r="X7" s="14">
        <f>_xll.BDH("SRPT US Equity","TAX_EFFICIENCY","FQ1 2024","FQ1 2024","Currency=USD","Period=FQ","BEST_FPERIOD_OVERRIDE=FQ","FILING_STATUS=MR","FA_ADJUSTED=GAAP","Sort=A","Dates=H","DateFormat=P","Fill=—","Direction=H","UseDPDF=Y")</f>
        <v>49.609499999999997</v>
      </c>
      <c r="Y7" s="14">
        <f>_xll.BDH("SRPT US Equity","TAX_EFFICIENCY","FQ2 2024","FQ2 2024","Currency=USD","Period=FQ","BEST_FPERIOD_OVERRIDE=FQ","FILING_STATUS=MR","FA_ADJUSTED=GAAP","Sort=A","Dates=H","DateFormat=P","Fill=—","Direction=H","UseDPDF=Y")</f>
        <v>76.013300000000001</v>
      </c>
      <c r="Z7" s="14">
        <f>_xll.BDH("SRPT US Equity","TAX_EFFICIENCY","FQ3 2024","FQ3 2024","Currency=USD","Period=FQ","BEST_FPERIOD_OVERRIDE=FQ","FILING_STATUS=MR","FA_ADJUSTED=GAAP","Sort=A","Dates=H","DateFormat=P","Fill=—","Direction=H","UseDPDF=Y")</f>
        <v>94.1601</v>
      </c>
      <c r="AA7" s="14">
        <f>_xll.BDH("SRPT US Equity","TAX_EFFICIENCY","FQ4 2024","FQ4 2024","Currency=USD","Period=FQ","BEST_FPERIOD_OVERRIDE=FQ","FILING_STATUS=MR","FA_ADJUSTED=GAAP","Sort=A","Dates=H","DateFormat=P","Fill=—","Direction=H","UseDPDF=Y")</f>
        <v>90.207999999999998</v>
      </c>
    </row>
    <row r="8" spans="1:27" x14ac:dyDescent="0.25">
      <c r="A8" s="6" t="s">
        <v>1610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x14ac:dyDescent="0.25">
      <c r="A9" s="10" t="s">
        <v>1611</v>
      </c>
      <c r="B9" s="10" t="s">
        <v>1612</v>
      </c>
      <c r="C9" s="14" t="str">
        <f>_xll.BDH("SRPT US Equity","NORM_NET_INC_TO_NET_INC_FO_COM","FQ4 2018","FQ4 2018","Currency=USD","Period=FQ","BEST_FPERIOD_OVERRIDE=FQ","FILING_STATUS=MR","FA_ADJUSTED=GAAP","Sort=A","Dates=H","DateFormat=P","Fill=—","Direction=H","UseDPDF=Y")</f>
        <v>—</v>
      </c>
      <c r="D9" s="14" t="str">
        <f>_xll.BDH("SRPT US Equity","NORM_NET_INC_TO_NET_INC_FO_COM","FQ1 2019","FQ1 2019","Currency=USD","Period=FQ","BEST_FPERIOD_OVERRIDE=FQ","FILING_STATUS=MR","FA_ADJUSTED=GAAP","Sort=A","Dates=H","DateFormat=P","Fill=—","Direction=H","UseDPDF=Y")</f>
        <v>—</v>
      </c>
      <c r="E9" s="14" t="str">
        <f>_xll.BDH("SRPT US Equity","NORM_NET_INC_TO_NET_INC_FO_COM","FQ2 2019","FQ2 2019","Currency=USD","Period=FQ","BEST_FPERIOD_OVERRIDE=FQ","FILING_STATUS=MR","FA_ADJUSTED=GAAP","Sort=A","Dates=H","DateFormat=P","Fill=—","Direction=H","UseDPDF=Y")</f>
        <v>—</v>
      </c>
      <c r="F9" s="14" t="str">
        <f>_xll.BDH("SRPT US Equity","NORM_NET_INC_TO_NET_INC_FO_COM","FQ3 2019","FQ3 2019","Currency=USD","Period=FQ","BEST_FPERIOD_OVERRIDE=FQ","FILING_STATUS=MR","FA_ADJUSTED=GAAP","Sort=A","Dates=H","DateFormat=P","Fill=—","Direction=H","UseDPDF=Y")</f>
        <v>—</v>
      </c>
      <c r="G9" s="14" t="str">
        <f>_xll.BDH("SRPT US Equity","NORM_NET_INC_TO_NET_INC_FO_COM","FQ4 2019","FQ4 2019","Currency=USD","Period=FQ","BEST_FPERIOD_OVERRIDE=FQ","FILING_STATUS=MR","FA_ADJUSTED=GAAP","Sort=A","Dates=H","DateFormat=P","Fill=—","Direction=H","UseDPDF=Y")</f>
        <v>—</v>
      </c>
      <c r="H9" s="14" t="str">
        <f>_xll.BDH("SRPT US Equity","NORM_NET_INC_TO_NET_INC_FO_COM","FQ1 2020","FQ1 2020","Currency=USD","Period=FQ","BEST_FPERIOD_OVERRIDE=FQ","FILING_STATUS=MR","FA_ADJUSTED=GAAP","Sort=A","Dates=H","DateFormat=P","Fill=—","Direction=H","UseDPDF=Y")</f>
        <v>—</v>
      </c>
      <c r="I9" s="14" t="str">
        <f>_xll.BDH("SRPT US Equity","NORM_NET_INC_TO_NET_INC_FO_COM","FQ2 2020","FQ2 2020","Currency=USD","Period=FQ","BEST_FPERIOD_OVERRIDE=FQ","FILING_STATUS=MR","FA_ADJUSTED=GAAP","Sort=A","Dates=H","DateFormat=P","Fill=—","Direction=H","UseDPDF=Y")</f>
        <v>—</v>
      </c>
      <c r="J9" s="14" t="str">
        <f>_xll.BDH("SRPT US Equity","NORM_NET_INC_TO_NET_INC_FO_COM","FQ3 2020","FQ3 2020","Currency=USD","Period=FQ","BEST_FPERIOD_OVERRIDE=FQ","FILING_STATUS=MR","FA_ADJUSTED=GAAP","Sort=A","Dates=H","DateFormat=P","Fill=—","Direction=H","UseDPDF=Y")</f>
        <v>—</v>
      </c>
      <c r="K9" s="14" t="str">
        <f>_xll.BDH("SRPT US Equity","NORM_NET_INC_TO_NET_INC_FO_COM","FQ4 2020","FQ4 2020","Currency=USD","Period=FQ","BEST_FPERIOD_OVERRIDE=FQ","FILING_STATUS=MR","FA_ADJUSTED=GAAP","Sort=A","Dates=H","DateFormat=P","Fill=—","Direction=H","UseDPDF=Y")</f>
        <v>—</v>
      </c>
      <c r="L9" s="14" t="str">
        <f>_xll.BDH("SRPT US Equity","NORM_NET_INC_TO_NET_INC_FO_COM","FQ1 2021","FQ1 2021","Currency=USD","Period=FQ","BEST_FPERIOD_OVERRIDE=FQ","FILING_STATUS=MR","FA_ADJUSTED=GAAP","Sort=A","Dates=H","DateFormat=P","Fill=—","Direction=H","UseDPDF=Y")</f>
        <v>—</v>
      </c>
      <c r="M9" s="14" t="str">
        <f>_xll.BDH("SRPT US Equity","NORM_NET_INC_TO_NET_INC_FO_COM","FQ2 2021","FQ2 2021","Currency=USD","Period=FQ","BEST_FPERIOD_OVERRIDE=FQ","FILING_STATUS=MR","FA_ADJUSTED=GAAP","Sort=A","Dates=H","DateFormat=P","Fill=—","Direction=H","UseDPDF=Y")</f>
        <v>—</v>
      </c>
      <c r="N9" s="14" t="str">
        <f>_xll.BDH("SRPT US Equity","NORM_NET_INC_TO_NET_INC_FO_COM","FQ3 2021","FQ3 2021","Currency=USD","Period=FQ","BEST_FPERIOD_OVERRIDE=FQ","FILING_STATUS=MR","FA_ADJUSTED=GAAP","Sort=A","Dates=H","DateFormat=P","Fill=—","Direction=H","UseDPDF=Y")</f>
        <v>—</v>
      </c>
      <c r="O9" s="14" t="str">
        <f>_xll.BDH("SRPT US Equity","NORM_NET_INC_TO_NET_INC_FO_COM","FQ4 2021","FQ4 2021","Currency=USD","Period=FQ","BEST_FPERIOD_OVERRIDE=FQ","FILING_STATUS=MR","FA_ADJUSTED=GAAP","Sort=A","Dates=H","DateFormat=P","Fill=—","Direction=H","UseDPDF=Y")</f>
        <v>—</v>
      </c>
      <c r="P9" s="14" t="str">
        <f>_xll.BDH("SRPT US Equity","NORM_NET_INC_TO_NET_INC_FO_COM","FQ1 2022","FQ1 2022","Currency=USD","Period=FQ","BEST_FPERIOD_OVERRIDE=FQ","FILING_STATUS=MR","FA_ADJUSTED=GAAP","Sort=A","Dates=H","DateFormat=P","Fill=—","Direction=H","UseDPDF=Y")</f>
        <v>—</v>
      </c>
      <c r="Q9" s="14" t="str">
        <f>_xll.BDH("SRPT US Equity","NORM_NET_INC_TO_NET_INC_FO_COM","FQ2 2022","FQ2 2022","Currency=USD","Period=FQ","BEST_FPERIOD_OVERRIDE=FQ","FILING_STATUS=MR","FA_ADJUSTED=GAAP","Sort=A","Dates=H","DateFormat=P","Fill=—","Direction=H","UseDPDF=Y")</f>
        <v>—</v>
      </c>
      <c r="R9" s="14" t="str">
        <f>_xll.BDH("SRPT US Equity","NORM_NET_INC_TO_NET_INC_FO_COM","FQ3 2022","FQ3 2022","Currency=USD","Period=FQ","BEST_FPERIOD_OVERRIDE=FQ","FILING_STATUS=MR","FA_ADJUSTED=GAAP","Sort=A","Dates=H","DateFormat=P","Fill=—","Direction=H","UseDPDF=Y")</f>
        <v>—</v>
      </c>
      <c r="S9" s="14" t="str">
        <f>_xll.BDH("SRPT US Equity","NORM_NET_INC_TO_NET_INC_FO_COM","FQ4 2022","FQ4 2022","Currency=USD","Period=FQ","BEST_FPERIOD_OVERRIDE=FQ","FILING_STATUS=MR","FA_ADJUSTED=GAAP","Sort=A","Dates=H","DateFormat=P","Fill=—","Direction=H","UseDPDF=Y")</f>
        <v>—</v>
      </c>
      <c r="T9" s="14" t="str">
        <f>_xll.BDH("SRPT US Equity","NORM_NET_INC_TO_NET_INC_FO_COM","FQ1 2023","FQ1 2023","Currency=USD","Period=FQ","BEST_FPERIOD_OVERRIDE=FQ","FILING_STATUS=MR","FA_ADJUSTED=GAAP","Sort=A","Dates=H","DateFormat=P","Fill=—","Direction=H","UseDPDF=Y")</f>
        <v>—</v>
      </c>
      <c r="U9" s="14" t="str">
        <f>_xll.BDH("SRPT US Equity","NORM_NET_INC_TO_NET_INC_FO_COM","FQ2 2023","FQ2 2023","Currency=USD","Period=FQ","BEST_FPERIOD_OVERRIDE=FQ","FILING_STATUS=MR","FA_ADJUSTED=GAAP","Sort=A","Dates=H","DateFormat=P","Fill=—","Direction=H","UseDPDF=Y")</f>
        <v>—</v>
      </c>
      <c r="V9" s="14" t="str">
        <f>_xll.BDH("SRPT US Equity","NORM_NET_INC_TO_NET_INC_FO_COM","FQ3 2023","FQ3 2023","Currency=USD","Period=FQ","BEST_FPERIOD_OVERRIDE=FQ","FILING_STATUS=MR","FA_ADJUSTED=GAAP","Sort=A","Dates=H","DateFormat=P","Fill=—","Direction=H","UseDPDF=Y")</f>
        <v>—</v>
      </c>
      <c r="W9" s="14" t="str">
        <f>_xll.BDH("SRPT US Equity","NORM_NET_INC_TO_NET_INC_FO_COM","FQ4 2023","FQ4 2023","Currency=USD","Period=FQ","BEST_FPERIOD_OVERRIDE=FQ","FILING_STATUS=MR","FA_ADJUSTED=GAAP","Sort=A","Dates=H","DateFormat=P","Fill=—","Direction=H","UseDPDF=Y")</f>
        <v>—</v>
      </c>
      <c r="X9" s="14">
        <f>_xll.BDH("SRPT US Equity","NORM_NET_INC_TO_NET_INC_FO_COM","FQ1 2024","FQ1 2024","Currency=USD","Period=FQ","BEST_FPERIOD_OVERRIDE=FQ","FILING_STATUS=MR","FA_ADJUSTED=GAAP","Sort=A","Dates=H","DateFormat=P","Fill=—","Direction=H","UseDPDF=Y")</f>
        <v>-3.1335000000000002</v>
      </c>
      <c r="Y9" s="14">
        <f>_xll.BDH("SRPT US Equity","NORM_NET_INC_TO_NET_INC_FO_COM","FQ2 2024","FQ2 2024","Currency=USD","Period=FQ","BEST_FPERIOD_OVERRIDE=FQ","FILING_STATUS=MR","FA_ADJUSTED=GAAP","Sort=A","Dates=H","DateFormat=P","Fill=—","Direction=H","UseDPDF=Y")</f>
        <v>1.2403999999999999</v>
      </c>
      <c r="Z9" s="14">
        <f>_xll.BDH("SRPT US Equity","NORM_NET_INC_TO_NET_INC_FO_COM","FQ3 2024","FQ3 2024","Currency=USD","Period=FQ","BEST_FPERIOD_OVERRIDE=FQ","FILING_STATUS=MR","FA_ADJUSTED=GAAP","Sort=A","Dates=H","DateFormat=P","Fill=—","Direction=H","UseDPDF=Y")</f>
        <v>1.0691999999999999</v>
      </c>
      <c r="AA9" s="14">
        <f>_xll.BDH("SRPT US Equity","NORM_NET_INC_TO_NET_INC_FO_COM","FQ4 2024","FQ4 2024","Currency=USD","Period=FQ","BEST_FPERIOD_OVERRIDE=FQ","FILING_STATUS=MR","FA_ADJUSTED=GAAP","Sort=A","Dates=H","DateFormat=P","Fill=—","Direction=H","UseDPDF=Y")</f>
        <v>1.0327999999999999</v>
      </c>
    </row>
    <row r="10" spans="1:27" x14ac:dyDescent="0.25">
      <c r="A10" s="6" t="s">
        <v>1613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x14ac:dyDescent="0.25">
      <c r="A11" s="10" t="s">
        <v>1614</v>
      </c>
      <c r="B11" s="10" t="s">
        <v>1615</v>
      </c>
      <c r="C11" s="14" t="str">
        <f>_xll.BDH("SRPT US Equity","INT_BURDEN","FQ4 2018","FQ4 2018","Currency=USD","Period=FQ","BEST_FPERIOD_OVERRIDE=FQ","FILING_STATUS=MR","FA_ADJUSTED=GAAP","Sort=A","Dates=H","DateFormat=P","Fill=—","Direction=H","UseDPDF=Y")</f>
        <v>—</v>
      </c>
      <c r="D11" s="14" t="str">
        <f>_xll.BDH("SRPT US Equity","INT_BURDEN","FQ1 2019","FQ1 2019","Currency=USD","Period=FQ","BEST_FPERIOD_OVERRIDE=FQ","FILING_STATUS=MR","FA_ADJUSTED=GAAP","Sort=A","Dates=H","DateFormat=P","Fill=—","Direction=H","UseDPDF=Y")</f>
        <v>—</v>
      </c>
      <c r="E11" s="14" t="str">
        <f>_xll.BDH("SRPT US Equity","INT_BURDEN","FQ2 2019","FQ2 2019","Currency=USD","Period=FQ","BEST_FPERIOD_OVERRIDE=FQ","FILING_STATUS=MR","FA_ADJUSTED=GAAP","Sort=A","Dates=H","DateFormat=P","Fill=—","Direction=H","UseDPDF=Y")</f>
        <v>—</v>
      </c>
      <c r="F11" s="14" t="str">
        <f>_xll.BDH("SRPT US Equity","INT_BURDEN","FQ3 2019","FQ3 2019","Currency=USD","Period=FQ","BEST_FPERIOD_OVERRIDE=FQ","FILING_STATUS=MR","FA_ADJUSTED=GAAP","Sort=A","Dates=H","DateFormat=P","Fill=—","Direction=H","UseDPDF=Y")</f>
        <v>—</v>
      </c>
      <c r="G11" s="14" t="str">
        <f>_xll.BDH("SRPT US Equity","INT_BURDEN","FQ4 2019","FQ4 2019","Currency=USD","Period=FQ","BEST_FPERIOD_OVERRIDE=FQ","FILING_STATUS=MR","FA_ADJUSTED=GAAP","Sort=A","Dates=H","DateFormat=P","Fill=—","Direction=H","UseDPDF=Y")</f>
        <v>—</v>
      </c>
      <c r="H11" s="14" t="str">
        <f>_xll.BDH("SRPT US Equity","INT_BURDEN","FQ1 2020","FQ1 2020","Currency=USD","Period=FQ","BEST_FPERIOD_OVERRIDE=FQ","FILING_STATUS=MR","FA_ADJUSTED=GAAP","Sort=A","Dates=H","DateFormat=P","Fill=—","Direction=H","UseDPDF=Y")</f>
        <v>—</v>
      </c>
      <c r="I11" s="14">
        <f>_xll.BDH("SRPT US Equity","INT_BURDEN","FQ2 2020","FQ2 2020","Currency=USD","Period=FQ","BEST_FPERIOD_OVERRIDE=FQ","FILING_STATUS=MR","FA_ADJUSTED=GAAP","Sort=A","Dates=H","DateFormat=P","Fill=—","Direction=H","UseDPDF=Y")</f>
        <v>106.6144</v>
      </c>
      <c r="J11" s="14">
        <f>_xll.BDH("SRPT US Equity","INT_BURDEN","FQ3 2020","FQ3 2020","Currency=USD","Period=FQ","BEST_FPERIOD_OVERRIDE=FQ","FILING_STATUS=MR","FA_ADJUSTED=GAAP","Sort=A","Dates=H","DateFormat=P","Fill=—","Direction=H","UseDPDF=Y")</f>
        <v>107.7226</v>
      </c>
      <c r="K11" s="14">
        <f>_xll.BDH("SRPT US Equity","INT_BURDEN","FQ4 2020","FQ4 2020","Currency=USD","Period=FQ","BEST_FPERIOD_OVERRIDE=FQ","FILING_STATUS=MR","FA_ADJUSTED=GAAP","Sort=A","Dates=H","DateFormat=P","Fill=—","Direction=H","UseDPDF=Y")</f>
        <v>111.14490000000001</v>
      </c>
      <c r="L11" s="14">
        <f>_xll.BDH("SRPT US Equity","INT_BURDEN","FQ1 2021","FQ1 2021","Currency=USD","Period=FQ","BEST_FPERIOD_OVERRIDE=FQ","FILING_STATUS=MR","FA_ADJUSTED=GAAP","Sort=A","Dates=H","DateFormat=P","Fill=—","Direction=H","UseDPDF=Y")</f>
        <v>109.3849</v>
      </c>
      <c r="M11" s="14">
        <f>_xll.BDH("SRPT US Equity","INT_BURDEN","FQ2 2021","FQ2 2021","Currency=USD","Period=FQ","BEST_FPERIOD_OVERRIDE=FQ","FILING_STATUS=MR","FA_ADJUSTED=GAAP","Sort=A","Dates=H","DateFormat=P","Fill=—","Direction=H","UseDPDF=Y")</f>
        <v>111.1138</v>
      </c>
      <c r="N11" s="14">
        <f>_xll.BDH("SRPT US Equity","INT_BURDEN","FQ3 2021","FQ3 2021","Currency=USD","Period=FQ","BEST_FPERIOD_OVERRIDE=FQ","FILING_STATUS=MR","FA_ADJUSTED=GAAP","Sort=A","Dates=H","DateFormat=P","Fill=—","Direction=H","UseDPDF=Y")</f>
        <v>115.68640000000001</v>
      </c>
      <c r="O11" s="14">
        <f>_xll.BDH("SRPT US Equity","INT_BURDEN","FQ4 2021","FQ4 2021","Currency=USD","Period=FQ","BEST_FPERIOD_OVERRIDE=FQ","FILING_STATUS=MR","FA_ADJUSTED=GAAP","Sort=A","Dates=H","DateFormat=P","Fill=—","Direction=H","UseDPDF=Y")</f>
        <v>117.821</v>
      </c>
      <c r="P11" s="14">
        <f>_xll.BDH("SRPT US Equity","INT_BURDEN","FQ1 2022","FQ1 2022","Currency=USD","Period=FQ","BEST_FPERIOD_OVERRIDE=FQ","FILING_STATUS=MR","FA_ADJUSTED=GAAP","Sort=A","Dates=H","DateFormat=P","Fill=—","Direction=H","UseDPDF=Y")</f>
        <v>121.7937</v>
      </c>
      <c r="Q11" s="14">
        <f>_xll.BDH("SRPT US Equity","INT_BURDEN","FQ2 2022","FQ2 2022","Currency=USD","Period=FQ","BEST_FPERIOD_OVERRIDE=FQ","FILING_STATUS=MR","FA_ADJUSTED=GAAP","Sort=A","Dates=H","DateFormat=P","Fill=—","Direction=H","UseDPDF=Y")</f>
        <v>114.2289</v>
      </c>
      <c r="R11" s="14">
        <f>_xll.BDH("SRPT US Equity","INT_BURDEN","FQ3 2022","FQ3 2022","Currency=USD","Period=FQ","BEST_FPERIOD_OVERRIDE=FQ","FILING_STATUS=MR","FA_ADJUSTED=GAAP","Sort=A","Dates=H","DateFormat=P","Fill=—","Direction=H","UseDPDF=Y")</f>
        <v>108.86190000000001</v>
      </c>
      <c r="S11" s="14">
        <f>_xll.BDH("SRPT US Equity","INT_BURDEN","FQ4 2022","FQ4 2022","Currency=USD","Period=FQ","BEST_FPERIOD_OVERRIDE=FQ","FILING_STATUS=MR","FA_ADJUSTED=GAAP","Sort=A","Dates=H","DateFormat=P","Fill=—","Direction=H","UseDPDF=Y")</f>
        <v>106.4909</v>
      </c>
      <c r="T11" s="14">
        <f>_xll.BDH("SRPT US Equity","INT_BURDEN","FQ1 2023","FQ1 2023","Currency=USD","Period=FQ","BEST_FPERIOD_OVERRIDE=FQ","FILING_STATUS=MR","FA_ADJUSTED=GAAP","Sort=A","Dates=H","DateFormat=P","Fill=—","Direction=H","UseDPDF=Y")</f>
        <v>103.0566</v>
      </c>
      <c r="U11" s="14">
        <f>_xll.BDH("SRPT US Equity","INT_BURDEN","FQ2 2023","FQ2 2023","Currency=USD","Period=FQ","BEST_FPERIOD_OVERRIDE=FQ","FILING_STATUS=MR","FA_ADJUSTED=GAAP","Sort=A","Dates=H","DateFormat=P","Fill=—","Direction=H","UseDPDF=Y")</f>
        <v>102.6811</v>
      </c>
      <c r="V11" s="14">
        <f>_xll.BDH("SRPT US Equity","INT_BURDEN","FQ3 2023","FQ3 2023","Currency=USD","Period=FQ","BEST_FPERIOD_OVERRIDE=FQ","FILING_STATUS=MR","FA_ADJUSTED=GAAP","Sort=A","Dates=H","DateFormat=P","Fill=—","Direction=H","UseDPDF=Y")</f>
        <v>102.6425</v>
      </c>
      <c r="W11" s="14">
        <f>_xll.BDH("SRPT US Equity","INT_BURDEN","FQ4 2023","FQ4 2023","Currency=USD","Period=FQ","BEST_FPERIOD_OVERRIDE=FQ","FILING_STATUS=MR","FA_ADJUSTED=GAAP","Sort=A","Dates=H","DateFormat=P","Fill=—","Direction=H","UseDPDF=Y")</f>
        <v>104.41889999999999</v>
      </c>
      <c r="X11" s="14">
        <f>_xll.BDH("SRPT US Equity","INT_BURDEN","FQ1 2024","FQ1 2024","Currency=USD","Period=FQ","BEST_FPERIOD_OVERRIDE=FQ","FILING_STATUS=MR","FA_ADJUSTED=GAAP","Sort=A","Dates=H","DateFormat=P","Fill=—","Direction=H","UseDPDF=Y")</f>
        <v>63.175899999999999</v>
      </c>
      <c r="Y11" s="14">
        <f>_xll.BDH("SRPT US Equity","INT_BURDEN","FQ2 2024","FQ2 2024","Currency=USD","Period=FQ","BEST_FPERIOD_OVERRIDE=FQ","FILING_STATUS=MR","FA_ADJUSTED=GAAP","Sort=A","Dates=H","DateFormat=P","Fill=—","Direction=H","UseDPDF=Y")</f>
        <v>76.174999999999997</v>
      </c>
      <c r="Z11" s="14">
        <f>_xll.BDH("SRPT US Equity","INT_BURDEN","FQ3 2024","FQ3 2024","Currency=USD","Period=FQ","BEST_FPERIOD_OVERRIDE=FQ","FILING_STATUS=MR","FA_ADJUSTED=GAAP","Sort=A","Dates=H","DateFormat=P","Fill=—","Direction=H","UseDPDF=Y")</f>
        <v>87.108900000000006</v>
      </c>
      <c r="AA11" s="14">
        <f>_xll.BDH("SRPT US Equity","INT_BURDEN","FQ4 2024","FQ4 2024","Currency=USD","Period=FQ","BEST_FPERIOD_OVERRIDE=FQ","FILING_STATUS=MR","FA_ADJUSTED=GAAP","Sort=A","Dates=H","DateFormat=P","Fill=—","Direction=H","UseDPDF=Y")</f>
        <v>93.412099999999995</v>
      </c>
    </row>
    <row r="12" spans="1:27" x14ac:dyDescent="0.25">
      <c r="A12" s="6" t="s">
        <v>402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x14ac:dyDescent="0.25">
      <c r="A13" s="10" t="s">
        <v>1616</v>
      </c>
      <c r="B13" s="10" t="s">
        <v>1617</v>
      </c>
      <c r="C13" s="14" t="str">
        <f>_xll.BDH("SRPT US Equity","T12_EBIT_TO_REVENUE","FQ4 2018","FQ4 2018","Currency=USD","Period=FQ","BEST_FPERIOD_OVERRIDE=FQ","FILING_STATUS=MR","FA_ADJUSTED=GAAP","Sort=A","Dates=H","DateFormat=P","Fill=—","Direction=H","UseDPDF=Y")</f>
        <v>—</v>
      </c>
      <c r="D13" s="14" t="str">
        <f>_xll.BDH("SRPT US Equity","T12_EBIT_TO_REVENUE","FQ1 2019","FQ1 2019","Currency=USD","Period=FQ","BEST_FPERIOD_OVERRIDE=FQ","FILING_STATUS=MR","FA_ADJUSTED=GAAP","Sort=A","Dates=H","DateFormat=P","Fill=—","Direction=H","UseDPDF=Y")</f>
        <v>—</v>
      </c>
      <c r="E13" s="14" t="str">
        <f>_xll.BDH("SRPT US Equity","T12_EBIT_TO_REVENUE","FQ2 2019","FQ2 2019","Currency=USD","Period=FQ","BEST_FPERIOD_OVERRIDE=FQ","FILING_STATUS=MR","FA_ADJUSTED=GAAP","Sort=A","Dates=H","DateFormat=P","Fill=—","Direction=H","UseDPDF=Y")</f>
        <v>—</v>
      </c>
      <c r="F13" s="14" t="str">
        <f>_xll.BDH("SRPT US Equity","T12_EBIT_TO_REVENUE","FQ3 2019","FQ3 2019","Currency=USD","Period=FQ","BEST_FPERIOD_OVERRIDE=FQ","FILING_STATUS=MR","FA_ADJUSTED=GAAP","Sort=A","Dates=H","DateFormat=P","Fill=—","Direction=H","UseDPDF=Y")</f>
        <v>—</v>
      </c>
      <c r="G13" s="14" t="str">
        <f>_xll.BDH("SRPT US Equity","T12_EBIT_TO_REVENUE","FQ4 2019","FQ4 2019","Currency=USD","Period=FQ","BEST_FPERIOD_OVERRIDE=FQ","FILING_STATUS=MR","FA_ADJUSTED=GAAP","Sort=A","Dates=H","DateFormat=P","Fill=—","Direction=H","UseDPDF=Y")</f>
        <v>—</v>
      </c>
      <c r="H13" s="14" t="str">
        <f>_xll.BDH("SRPT US Equity","T12_EBIT_TO_REVENUE","FQ1 2020","FQ1 2020","Currency=USD","Period=FQ","BEST_FPERIOD_OVERRIDE=FQ","FILING_STATUS=MR","FA_ADJUSTED=GAAP","Sort=A","Dates=H","DateFormat=P","Fill=—","Direction=H","UseDPDF=Y")</f>
        <v>—</v>
      </c>
      <c r="I13" s="14">
        <f>_xll.BDH("SRPT US Equity","T12_EBIT_TO_REVENUE","FQ2 2020","FQ2 2020","Currency=USD","Period=FQ","BEST_FPERIOD_OVERRIDE=FQ","FILING_STATUS=MR","FA_ADJUSTED=GAAP","Sort=A","Dates=H","DateFormat=P","Fill=—","Direction=H","UseDPDF=Y")</f>
        <v>-110.27160000000001</v>
      </c>
      <c r="J13" s="14">
        <f>_xll.BDH("SRPT US Equity","T12_EBIT_TO_REVENUE","FQ3 2020","FQ3 2020","Currency=USD","Period=FQ","BEST_FPERIOD_OVERRIDE=FQ","FILING_STATUS=MR","FA_ADJUSTED=GAAP","Sort=A","Dates=H","DateFormat=P","Fill=—","Direction=H","UseDPDF=Y")</f>
        <v>-112.4254</v>
      </c>
      <c r="K13" s="14">
        <f>_xll.BDH("SRPT US Equity","T12_EBIT_TO_REVENUE","FQ4 2020","FQ4 2020","Currency=USD","Period=FQ","BEST_FPERIOD_OVERRIDE=FQ","FILING_STATUS=MR","FA_ADJUSTED=GAAP","Sort=A","Dates=H","DateFormat=P","Fill=—","Direction=H","UseDPDF=Y")</f>
        <v>-92.132599999999996</v>
      </c>
      <c r="L13" s="14">
        <f>_xll.BDH("SRPT US Equity","T12_EBIT_TO_REVENUE","FQ1 2021","FQ1 2021","Currency=USD","Period=FQ","BEST_FPERIOD_OVERRIDE=FQ","FILING_STATUS=MR","FA_ADJUSTED=GAAP","Sort=A","Dates=H","DateFormat=P","Fill=—","Direction=H","UseDPDF=Y")</f>
        <v>-112.10469999999999</v>
      </c>
      <c r="M13" s="14">
        <f>_xll.BDH("SRPT US Equity","T12_EBIT_TO_REVENUE","FQ2 2021","FQ2 2021","Currency=USD","Period=FQ","BEST_FPERIOD_OVERRIDE=FQ","FILING_STATUS=MR","FA_ADJUSTED=GAAP","Sort=A","Dates=H","DateFormat=P","Fill=—","Direction=H","UseDPDF=Y")</f>
        <v>-95.090699999999998</v>
      </c>
      <c r="N13" s="14">
        <f>_xll.BDH("SRPT US Equity","T12_EBIT_TO_REVENUE","FQ3 2021","FQ3 2021","Currency=USD","Period=FQ","BEST_FPERIOD_OVERRIDE=FQ","FILING_STATUS=MR","FA_ADJUSTED=GAAP","Sort=A","Dates=H","DateFormat=P","Fill=—","Direction=H","UseDPDF=Y")</f>
        <v>-65.013999999999996</v>
      </c>
      <c r="O13" s="14">
        <f>_xll.BDH("SRPT US Equity","T12_EBIT_TO_REVENUE","FQ4 2021","FQ4 2021","Currency=USD","Period=FQ","BEST_FPERIOD_OVERRIDE=FQ","FILING_STATUS=MR","FA_ADJUSTED=GAAP","Sort=A","Dates=H","DateFormat=P","Fill=—","Direction=H","UseDPDF=Y")</f>
        <v>-50.660600000000002</v>
      </c>
      <c r="P13" s="14">
        <f>_xll.BDH("SRPT US Equity","T12_EBIT_TO_REVENUE","FQ1 2022","FQ1 2022","Currency=USD","Period=FQ","BEST_FPERIOD_OVERRIDE=FQ","FILING_STATUS=MR","FA_ADJUSTED=GAAP","Sort=A","Dates=H","DateFormat=P","Fill=—","Direction=H","UseDPDF=Y")</f>
        <v>-38.137500000000003</v>
      </c>
      <c r="Q13" s="14">
        <f>_xll.BDH("SRPT US Equity","T12_EBIT_TO_REVENUE","FQ2 2022","FQ2 2022","Currency=USD","Period=FQ","BEST_FPERIOD_OVERRIDE=FQ","FILING_STATUS=MR","FA_ADJUSTED=GAAP","Sort=A","Dates=H","DateFormat=P","Fill=—","Direction=H","UseDPDF=Y")</f>
        <v>-52.622999999999998</v>
      </c>
      <c r="R13" s="14">
        <f>_xll.BDH("SRPT US Equity","T12_EBIT_TO_REVENUE","FQ3 2022","FQ3 2022","Currency=USD","Period=FQ","BEST_FPERIOD_OVERRIDE=FQ","FILING_STATUS=MR","FA_ADJUSTED=GAAP","Sort=A","Dates=H","DateFormat=P","Fill=—","Direction=H","UseDPDF=Y")</f>
        <v>-74.505600000000001</v>
      </c>
      <c r="S13" s="14">
        <f>_xll.BDH("SRPT US Equity","T12_EBIT_TO_REVENUE","FQ4 2022","FQ4 2022","Currency=USD","Period=FQ","BEST_FPERIOD_OVERRIDE=FQ","FILING_STATUS=MR","FA_ADJUSTED=GAAP","Sort=A","Dates=H","DateFormat=P","Fill=—","Direction=H","UseDPDF=Y")</f>
        <v>-69.442499999999995</v>
      </c>
      <c r="T13" s="14">
        <f>_xll.BDH("SRPT US Equity","T12_EBIT_TO_REVENUE","FQ1 2023","FQ1 2023","Currency=USD","Period=FQ","BEST_FPERIOD_OVERRIDE=FQ","FILING_STATUS=MR","FA_ADJUSTED=GAAP","Sort=A","Dates=H","DateFormat=P","Fill=—","Direction=H","UseDPDF=Y")</f>
        <v>-109.2512</v>
      </c>
      <c r="U13" s="14">
        <f>_xll.BDH("SRPT US Equity","T12_EBIT_TO_REVENUE","FQ2 2023","FQ2 2023","Currency=USD","Period=FQ","BEST_FPERIOD_OVERRIDE=FQ","FILING_STATUS=MR","FA_ADJUSTED=GAAP","Sort=A","Dates=H","DateFormat=P","Fill=—","Direction=H","UseDPDF=Y")</f>
        <v>-85.896000000000001</v>
      </c>
      <c r="V13" s="14">
        <f>_xll.BDH("SRPT US Equity","T12_EBIT_TO_REVENUE","FQ3 2023","FQ3 2023","Currency=USD","Period=FQ","BEST_FPERIOD_OVERRIDE=FQ","FILING_STATUS=MR","FA_ADJUSTED=GAAP","Sort=A","Dates=H","DateFormat=P","Fill=—","Direction=H","UseDPDF=Y")</f>
        <v>-58.348300000000002</v>
      </c>
      <c r="W13" s="14">
        <f>_xll.BDH("SRPT US Equity","T12_EBIT_TO_REVENUE","FQ4 2023","FQ4 2023","Currency=USD","Period=FQ","BEST_FPERIOD_OVERRIDE=FQ","FILING_STATUS=MR","FA_ADJUSTED=GAAP","Sort=A","Dates=H","DateFormat=P","Fill=—","Direction=H","UseDPDF=Y")</f>
        <v>-40.060600000000001</v>
      </c>
      <c r="X13" s="14">
        <f>_xll.BDH("SRPT US Equity","T12_EBIT_TO_REVENUE","FQ1 2024","FQ1 2024","Currency=USD","Period=FQ","BEST_FPERIOD_OVERRIDE=FQ","FILING_STATUS=MR","FA_ADJUSTED=GAAP","Sort=A","Dates=H","DateFormat=P","Fill=—","Direction=H","UseDPDF=Y")</f>
        <v>3.8418999999999999</v>
      </c>
      <c r="Y13" s="14">
        <f>_xll.BDH("SRPT US Equity","T12_EBIT_TO_REVENUE","FQ2 2024","FQ2 2024","Currency=USD","Period=FQ","BEST_FPERIOD_OVERRIDE=FQ","FILING_STATUS=MR","FA_ADJUSTED=GAAP","Sort=A","Dates=H","DateFormat=P","Fill=—","Direction=H","UseDPDF=Y")</f>
        <v>5.4275000000000002</v>
      </c>
      <c r="Z13" s="14">
        <f>_xll.BDH("SRPT US Equity","T12_EBIT_TO_REVENUE","FQ3 2024","FQ3 2024","Currency=USD","Period=FQ","BEST_FPERIOD_OVERRIDE=FQ","FILING_STATUS=MR","FA_ADJUSTED=GAAP","Sort=A","Dates=H","DateFormat=P","Fill=—","Direction=H","UseDPDF=Y")</f>
        <v>9.0561000000000007</v>
      </c>
      <c r="AA13" s="14">
        <f>_xll.BDH("SRPT US Equity","T12_EBIT_TO_REVENUE","FQ4 2024","FQ4 2024","Currency=USD","Period=FQ","BEST_FPERIOD_OVERRIDE=FQ","FILING_STATUS=MR","FA_ADJUSTED=GAAP","Sort=A","Dates=H","DateFormat=P","Fill=—","Direction=H","UseDPDF=Y")</f>
        <v>14.6776</v>
      </c>
    </row>
    <row r="14" spans="1:27" x14ac:dyDescent="0.25">
      <c r="A14" s="6" t="s">
        <v>1618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 x14ac:dyDescent="0.25">
      <c r="A15" s="10" t="s">
        <v>1619</v>
      </c>
      <c r="B15" s="10" t="s">
        <v>1620</v>
      </c>
      <c r="C15" s="14">
        <f>_xll.BDH("SRPT US Equity","ASSET_TURNOVER","FQ4 2018","FQ4 2018","Currency=USD","Period=FQ","BEST_FPERIOD_OVERRIDE=FQ","FILING_STATUS=MR","FA_ADJUSTED=GAAP","Sort=A","Dates=H","DateFormat=P","Fill=—","Direction=H","UseDPDF=Y")</f>
        <v>0.2041</v>
      </c>
      <c r="D15" s="14">
        <f>_xll.BDH("SRPT US Equity","ASSET_TURNOVER","FQ1 2019","FQ1 2019","Currency=USD","Period=FQ","BEST_FPERIOD_OVERRIDE=FQ","FILING_STATUS=MR","FA_ADJUSTED=GAAP","Sort=A","Dates=H","DateFormat=P","Fill=—","Direction=H","UseDPDF=Y")</f>
        <v>0.19819999999999999</v>
      </c>
      <c r="E15" s="14">
        <f>_xll.BDH("SRPT US Equity","ASSET_TURNOVER","FQ2 2019","FQ2 2019","Currency=USD","Period=FQ","BEST_FPERIOD_OVERRIDE=FQ","FILING_STATUS=MR","FA_ADJUSTED=GAAP","Sort=A","Dates=H","DateFormat=P","Fill=—","Direction=H","UseDPDF=Y")</f>
        <v>0.2301</v>
      </c>
      <c r="F15" s="14">
        <f>_xll.BDH("SRPT US Equity","ASSET_TURNOVER","FQ3 2019","FQ3 2019","Currency=USD","Period=FQ","BEST_FPERIOD_OVERRIDE=FQ","FILING_STATUS=MR","FA_ADJUSTED=GAAP","Sort=A","Dates=H","DateFormat=P","Fill=—","Direction=H","UseDPDF=Y")</f>
        <v>0.25309999999999999</v>
      </c>
      <c r="G15" s="14">
        <f>_xll.BDH("SRPT US Equity","ASSET_TURNOVER","FQ4 2019","FQ4 2019","Currency=USD","Period=FQ","BEST_FPERIOD_OVERRIDE=FQ","FILING_STATUS=MR","FA_ADJUSTED=GAAP","Sort=A","Dates=H","DateFormat=P","Fill=—","Direction=H","UseDPDF=Y")</f>
        <v>0.2198</v>
      </c>
      <c r="H15" s="14">
        <f>_xll.BDH("SRPT US Equity","ASSET_TURNOVER","FQ1 2020","FQ1 2020","Currency=USD","Period=FQ","BEST_FPERIOD_OVERRIDE=FQ","FILING_STATUS=MR","FA_ADJUSTED=GAAP","Sort=A","Dates=H","DateFormat=P","Fill=—","Direction=H","UseDPDF=Y")</f>
        <v>0.16589999999999999</v>
      </c>
      <c r="I15" s="14">
        <f>_xll.BDH("SRPT US Equity","ASSET_TURNOVER","FQ2 2020","FQ2 2020","Currency=USD","Period=FQ","BEST_FPERIOD_OVERRIDE=FQ","FILING_STATUS=MR","FA_ADJUSTED=GAAP","Sort=A","Dates=H","DateFormat=P","Fill=—","Direction=H","UseDPDF=Y")</f>
        <v>0.19439999999999999</v>
      </c>
      <c r="J15" s="14">
        <f>_xll.BDH("SRPT US Equity","ASSET_TURNOVER","FQ3 2020","FQ3 2020","Currency=USD","Period=FQ","BEST_FPERIOD_OVERRIDE=FQ","FILING_STATUS=MR","FA_ADJUSTED=GAAP","Sort=A","Dates=H","DateFormat=P","Fill=—","Direction=H","UseDPDF=Y")</f>
        <v>0.22090000000000001</v>
      </c>
      <c r="K15" s="14">
        <f>_xll.BDH("SRPT US Equity","ASSET_TURNOVER","FQ4 2020","FQ4 2020","Currency=USD","Period=FQ","BEST_FPERIOD_OVERRIDE=FQ","FILING_STATUS=MR","FA_ADJUSTED=GAAP","Sort=A","Dates=H","DateFormat=P","Fill=—","Direction=H","UseDPDF=Y")</f>
        <v>0.22470000000000001</v>
      </c>
      <c r="L15" s="14">
        <f>_xll.BDH("SRPT US Equity","ASSET_TURNOVER","FQ1 2021","FQ1 2021","Currency=USD","Period=FQ","BEST_FPERIOD_OVERRIDE=FQ","FILING_STATUS=MR","FA_ADJUSTED=GAAP","Sort=A","Dates=H","DateFormat=P","Fill=—","Direction=H","UseDPDF=Y")</f>
        <v>0.20069999999999999</v>
      </c>
      <c r="M15" s="14">
        <f>_xll.BDH("SRPT US Equity","ASSET_TURNOVER","FQ2 2021","FQ2 2021","Currency=USD","Period=FQ","BEST_FPERIOD_OVERRIDE=FQ","FILING_STATUS=MR","FA_ADJUSTED=GAAP","Sort=A","Dates=H","DateFormat=P","Fill=—","Direction=H","UseDPDF=Y")</f>
        <v>0.2127</v>
      </c>
      <c r="N15" s="14">
        <f>_xll.BDH("SRPT US Equity","ASSET_TURNOVER","FQ3 2021","FQ3 2021","Currency=USD","Period=FQ","BEST_FPERIOD_OVERRIDE=FQ","FILING_STATUS=MR","FA_ADJUSTED=GAAP","Sort=A","Dates=H","DateFormat=P","Fill=—","Direction=H","UseDPDF=Y")</f>
        <v>0.23719999999999999</v>
      </c>
      <c r="O15" s="14">
        <f>_xll.BDH("SRPT US Equity","ASSET_TURNOVER","FQ4 2021","FQ4 2021","Currency=USD","Period=FQ","BEST_FPERIOD_OVERRIDE=FQ","FILING_STATUS=MR","FA_ADJUSTED=GAAP","Sort=A","Dates=H","DateFormat=P","Fill=—","Direction=H","UseDPDF=Y")</f>
        <v>0.22889999999999999</v>
      </c>
      <c r="P15" s="14">
        <f>_xll.BDH("SRPT US Equity","ASSET_TURNOVER","FQ1 2022","FQ1 2022","Currency=USD","Period=FQ","BEST_FPERIOD_OVERRIDE=FQ","FILING_STATUS=MR","FA_ADJUSTED=GAAP","Sort=A","Dates=H","DateFormat=P","Fill=—","Direction=H","UseDPDF=Y")</f>
        <v>0.2631</v>
      </c>
      <c r="Q15" s="14">
        <f>_xll.BDH("SRPT US Equity","ASSET_TURNOVER","FQ2 2022","FQ2 2022","Currency=USD","Period=FQ","BEST_FPERIOD_OVERRIDE=FQ","FILING_STATUS=MR","FA_ADJUSTED=GAAP","Sort=A","Dates=H","DateFormat=P","Fill=—","Direction=H","UseDPDF=Y")</f>
        <v>0.29020000000000001</v>
      </c>
      <c r="R15" s="14">
        <f>_xll.BDH("SRPT US Equity","ASSET_TURNOVER","FQ3 2022","FQ3 2022","Currency=USD","Period=FQ","BEST_FPERIOD_OVERRIDE=FQ","FILING_STATUS=MR","FA_ADJUSTED=GAAP","Sort=A","Dates=H","DateFormat=P","Fill=—","Direction=H","UseDPDF=Y")</f>
        <v>0.30109999999999998</v>
      </c>
      <c r="S15" s="14">
        <f>_xll.BDH("SRPT US Equity","ASSET_TURNOVER","FQ4 2022","FQ4 2022","Currency=USD","Period=FQ","BEST_FPERIOD_OVERRIDE=FQ","FILING_STATUS=MR","FA_ADJUSTED=GAAP","Sort=A","Dates=H","DateFormat=P","Fill=—","Direction=H","UseDPDF=Y")</f>
        <v>0.29730000000000001</v>
      </c>
      <c r="T15" s="14">
        <f>_xll.BDH("SRPT US Equity","ASSET_TURNOVER","FQ1 2023","FQ1 2023","Currency=USD","Period=FQ","BEST_FPERIOD_OVERRIDE=FQ","FILING_STATUS=MR","FA_ADJUSTED=GAAP","Sort=A","Dates=H","DateFormat=P","Fill=—","Direction=H","UseDPDF=Y")</f>
        <v>0.31909999999999999</v>
      </c>
      <c r="U15" s="14">
        <f>_xll.BDH("SRPT US Equity","ASSET_TURNOVER","FQ2 2023","FQ2 2023","Currency=USD","Period=FQ","BEST_FPERIOD_OVERRIDE=FQ","FILING_STATUS=MR","FA_ADJUSTED=GAAP","Sort=A","Dates=H","DateFormat=P","Fill=—","Direction=H","UseDPDF=Y")</f>
        <v>0.32779999999999998</v>
      </c>
      <c r="V15" s="14">
        <f>_xll.BDH("SRPT US Equity","ASSET_TURNOVER","FQ3 2023","FQ3 2023","Currency=USD","Period=FQ","BEST_FPERIOD_OVERRIDE=FQ","FILING_STATUS=MR","FA_ADJUSTED=GAAP","Sort=A","Dates=H","DateFormat=P","Fill=—","Direction=H","UseDPDF=Y")</f>
        <v>0.35270000000000001</v>
      </c>
      <c r="W15" s="14">
        <f>_xll.BDH("SRPT US Equity","ASSET_TURNOVER","FQ4 2023","FQ4 2023","Currency=USD","Period=FQ","BEST_FPERIOD_OVERRIDE=FQ","FILING_STATUS=MR","FA_ADJUSTED=GAAP","Sort=A","Dates=H","DateFormat=P","Fill=—","Direction=H","UseDPDF=Y")</f>
        <v>0.38900000000000001</v>
      </c>
      <c r="X15" s="14">
        <f>_xll.BDH("SRPT US Equity","ASSET_TURNOVER","FQ1 2024","FQ1 2024","Currency=USD","Period=FQ","BEST_FPERIOD_OVERRIDE=FQ","FILING_STATUS=MR","FA_ADJUSTED=GAAP","Sort=A","Dates=H","DateFormat=P","Fill=—","Direction=H","UseDPDF=Y")</f>
        <v>0.4466</v>
      </c>
      <c r="Y15" s="14">
        <f>_xll.BDH("SRPT US Equity","ASSET_TURNOVER","FQ2 2024","FQ2 2024","Currency=USD","Period=FQ","BEST_FPERIOD_OVERRIDE=FQ","FILING_STATUS=MR","FA_ADJUSTED=GAAP","Sort=A","Dates=H","DateFormat=P","Fill=—","Direction=H","UseDPDF=Y")</f>
        <v>0.45950000000000002</v>
      </c>
      <c r="Z15" s="14">
        <f>_xll.BDH("SRPT US Equity","ASSET_TURNOVER","FQ3 2024","FQ3 2024","Currency=USD","Period=FQ","BEST_FPERIOD_OVERRIDE=FQ","FILING_STATUS=MR","FA_ADJUSTED=GAAP","Sort=A","Dates=H","DateFormat=P","Fill=—","Direction=H","UseDPDF=Y")</f>
        <v>0.48899999999999999</v>
      </c>
      <c r="AA15" s="14">
        <f>_xll.BDH("SRPT US Equity","ASSET_TURNOVER","FQ4 2024","FQ4 2024","Currency=USD","Period=FQ","BEST_FPERIOD_OVERRIDE=FQ","FILING_STATUS=MR","FA_ADJUSTED=GAAP","Sort=A","Dates=H","DateFormat=P","Fill=—","Direction=H","UseDPDF=Y")</f>
        <v>0.52629999999999999</v>
      </c>
    </row>
    <row r="16" spans="1:27" x14ac:dyDescent="0.25">
      <c r="A16" s="6" t="s">
        <v>1621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x14ac:dyDescent="0.25">
      <c r="A17" s="10" t="s">
        <v>1622</v>
      </c>
      <c r="B17" s="10" t="s">
        <v>1623</v>
      </c>
      <c r="C17" s="14">
        <f>_xll.BDH("SRPT US Equity","FNCL_LVRG","FQ4 2018","FQ4 2018","Currency=USD","Period=FQ","BEST_FPERIOD_OVERRIDE=FQ","FILING_STATUS=MR","Sort=A","Dates=H","DateFormat=P","Fill=—","Direction=H","UseDPDF=Y")</f>
        <v>1.6895</v>
      </c>
      <c r="D17" s="14">
        <f>_xll.BDH("SRPT US Equity","FNCL_LVRG","FQ1 2019","FQ1 2019","Currency=USD","Period=FQ","BEST_FPERIOD_OVERRIDE=FQ","FILING_STATUS=MR","Sort=A","Dates=H","DateFormat=P","Fill=—","Direction=H","UseDPDF=Y")</f>
        <v>1.5145999999999999</v>
      </c>
      <c r="E17" s="14">
        <f>_xll.BDH("SRPT US Equity","FNCL_LVRG","FQ2 2019","FQ2 2019","Currency=USD","Period=FQ","BEST_FPERIOD_OVERRIDE=FQ","FILING_STATUS=MR","Sort=A","Dates=H","DateFormat=P","Fill=—","Direction=H","UseDPDF=Y")</f>
        <v>1.5164</v>
      </c>
      <c r="F17" s="14">
        <f>_xll.BDH("SRPT US Equity","FNCL_LVRG","FQ3 2019","FQ3 2019","Currency=USD","Period=FQ","BEST_FPERIOD_OVERRIDE=FQ","FILING_STATUS=MR","Sort=A","Dates=H","DateFormat=P","Fill=—","Direction=H","UseDPDF=Y")</f>
        <v>1.6474</v>
      </c>
      <c r="G17" s="14">
        <f>_xll.BDH("SRPT US Equity","FNCL_LVRG","FQ4 2019","FQ4 2019","Currency=USD","Period=FQ","BEST_FPERIOD_OVERRIDE=FQ","FILING_STATUS=MR","Sort=A","Dates=H","DateFormat=P","Fill=—","Direction=H","UseDPDF=Y")</f>
        <v>1.944</v>
      </c>
      <c r="H17" s="14">
        <f>_xll.BDH("SRPT US Equity","FNCL_LVRG","FQ1 2020","FQ1 2020","Currency=USD","Period=FQ","BEST_FPERIOD_OVERRIDE=FQ","FILING_STATUS=MR","Sort=A","Dates=H","DateFormat=P","Fill=—","Direction=H","UseDPDF=Y")</f>
        <v>2.4300000000000002</v>
      </c>
      <c r="I17" s="14">
        <f>_xll.BDH("SRPT US Equity","FNCL_LVRG","FQ2 2020","FQ2 2020","Currency=USD","Period=FQ","BEST_FPERIOD_OVERRIDE=FQ","FILING_STATUS=MR","Sort=A","Dates=H","DateFormat=P","Fill=—","Direction=H","UseDPDF=Y")</f>
        <v>2.6650999999999998</v>
      </c>
      <c r="J17" s="14">
        <f>_xll.BDH("SRPT US Equity","FNCL_LVRG","FQ3 2020","FQ3 2020","Currency=USD","Period=FQ","BEST_FPERIOD_OVERRIDE=FQ","FILING_STATUS=MR","Sort=A","Dates=H","DateFormat=P","Fill=—","Direction=H","UseDPDF=Y")</f>
        <v>2.9270999999999998</v>
      </c>
      <c r="K17" s="14">
        <f>_xll.BDH("SRPT US Equity","FNCL_LVRG","FQ4 2020","FQ4 2020","Currency=USD","Period=FQ","BEST_FPERIOD_OVERRIDE=FQ","FILING_STATUS=MR","Sort=A","Dates=H","DateFormat=P","Fill=—","Direction=H","UseDPDF=Y")</f>
        <v>3.4861</v>
      </c>
      <c r="L17" s="14">
        <f>_xll.BDH("SRPT US Equity","FNCL_LVRG","FQ1 2021","FQ1 2021","Currency=USD","Period=FQ","BEST_FPERIOD_OVERRIDE=FQ","FILING_STATUS=MR","Sort=A","Dates=H","DateFormat=P","Fill=—","Direction=H","UseDPDF=Y")</f>
        <v>4.4325999999999999</v>
      </c>
      <c r="M17" s="14">
        <f>_xll.BDH("SRPT US Equity","FNCL_LVRG","FQ2 2021","FQ2 2021","Currency=USD","Period=FQ","BEST_FPERIOD_OVERRIDE=FQ","FILING_STATUS=MR","Sort=A","Dates=H","DateFormat=P","Fill=—","Direction=H","UseDPDF=Y")</f>
        <v>5.4131</v>
      </c>
      <c r="N17" s="14">
        <f>_xll.BDH("SRPT US Equity","FNCL_LVRG","FQ3 2021","FQ3 2021","Currency=USD","Period=FQ","BEST_FPERIOD_OVERRIDE=FQ","FILING_STATUS=MR","Sort=A","Dates=H","DateFormat=P","Fill=—","Direction=H","UseDPDF=Y")</f>
        <v>5.6788999999999996</v>
      </c>
      <c r="O17" s="14">
        <f>_xll.BDH("SRPT US Equity","FNCL_LVRG","FQ4 2021","FQ4 2021","Currency=USD","Period=FQ","BEST_FPERIOD_OVERRIDE=FQ","FILING_STATUS=MR","Sort=A","Dates=H","DateFormat=P","Fill=—","Direction=H","UseDPDF=Y")</f>
        <v>4.1574999999999998</v>
      </c>
      <c r="P17" s="14">
        <f>_xll.BDH("SRPT US Equity","FNCL_LVRG","FQ1 2022","FQ1 2022","Currency=USD","Period=FQ","BEST_FPERIOD_OVERRIDE=FQ","FILING_STATUS=MR","Sort=A","Dates=H","DateFormat=P","Fill=—","Direction=H","UseDPDF=Y")</f>
        <v>3.4759000000000002</v>
      </c>
      <c r="Q17" s="14">
        <f>_xll.BDH("SRPT US Equity","FNCL_LVRG","FQ2 2022","FQ2 2022","Currency=USD","Period=FQ","BEST_FPERIOD_OVERRIDE=FQ","FILING_STATUS=MR","Sort=A","Dates=H","DateFormat=P","Fill=—","Direction=H","UseDPDF=Y")</f>
        <v>3.8229000000000002</v>
      </c>
      <c r="R17" s="14">
        <f>_xll.BDH("SRPT US Equity","FNCL_LVRG","FQ3 2022","FQ3 2022","Currency=USD","Period=FQ","BEST_FPERIOD_OVERRIDE=FQ","FILING_STATUS=MR","Sort=A","Dates=H","DateFormat=P","Fill=—","Direction=H","UseDPDF=Y")</f>
        <v>5.3167</v>
      </c>
      <c r="S17" s="14">
        <f>_xll.BDH("SRPT US Equity","FNCL_LVRG","FQ4 2022","FQ4 2022","Currency=USD","Period=FQ","BEST_FPERIOD_OVERRIDE=FQ","FILING_STATUS=MR","Sort=A","Dates=H","DateFormat=P","Fill=—","Direction=H","UseDPDF=Y")</f>
        <v>7.7035999999999998</v>
      </c>
      <c r="T17" s="14">
        <f>_xll.BDH("SRPT US Equity","FNCL_LVRG","FQ1 2023","FQ1 2023","Currency=USD","Period=FQ","BEST_FPERIOD_OVERRIDE=FQ","FILING_STATUS=MR","Sort=A","Dates=H","DateFormat=P","Fill=—","Direction=H","UseDPDF=Y")</f>
        <v>5.6374000000000004</v>
      </c>
      <c r="U17" s="14">
        <f>_xll.BDH("SRPT US Equity","FNCL_LVRG","FQ2 2023","FQ2 2023","Currency=USD","Period=FQ","BEST_FPERIOD_OVERRIDE=FQ","FILING_STATUS=MR","Sort=A","Dates=H","DateFormat=P","Fill=—","Direction=H","UseDPDF=Y")</f>
        <v>4.2538</v>
      </c>
      <c r="V17" s="14">
        <f>_xll.BDH("SRPT US Equity","FNCL_LVRG","FQ3 2023","FQ3 2023","Currency=USD","Period=FQ","BEST_FPERIOD_OVERRIDE=FQ","FILING_STATUS=MR","Sort=A","Dates=H","DateFormat=P","Fill=—","Direction=H","UseDPDF=Y")</f>
        <v>4.1410999999999998</v>
      </c>
      <c r="W17" s="14">
        <f>_xll.BDH("SRPT US Equity","FNCL_LVRG","FQ4 2023","FQ4 2023","Currency=USD","Period=FQ","BEST_FPERIOD_OVERRIDE=FQ","FILING_STATUS=MR","Sort=A","Dates=H","DateFormat=P","Fill=—","Direction=H","UseDPDF=Y")</f>
        <v>3.9258000000000002</v>
      </c>
      <c r="X17" s="14">
        <f>_xll.BDH("SRPT US Equity","FNCL_LVRG","FQ1 2024","FQ1 2024","Currency=USD","Period=FQ","BEST_FPERIOD_OVERRIDE=FQ","FILING_STATUS=MR","Sort=A","Dates=H","DateFormat=P","Fill=—","Direction=H","UseDPDF=Y")</f>
        <v>3.5642999999999998</v>
      </c>
      <c r="Y17" s="14">
        <f>_xll.BDH("SRPT US Equity","FNCL_LVRG","FQ2 2024","FQ2 2024","Currency=USD","Period=FQ","BEST_FPERIOD_OVERRIDE=FQ","FILING_STATUS=MR","Sort=A","Dates=H","DateFormat=P","Fill=—","Direction=H","UseDPDF=Y")</f>
        <v>3.2618999999999998</v>
      </c>
      <c r="Z17" s="14">
        <f>_xll.BDH("SRPT US Equity","FNCL_LVRG","FQ3 2024","FQ3 2024","Currency=USD","Period=FQ","BEST_FPERIOD_OVERRIDE=FQ","FILING_STATUS=MR","Sort=A","Dates=H","DateFormat=P","Fill=—","Direction=H","UseDPDF=Y")</f>
        <v>3.0565000000000002</v>
      </c>
      <c r="AA17" s="14">
        <f>_xll.BDH("SRPT US Equity","FNCL_LVRG","FQ4 2024","FQ4 2024","Currency=USD","Period=FQ","BEST_FPERIOD_OVERRIDE=FQ","FILING_STATUS=MR","Sort=A","Dates=H","DateFormat=P","Fill=—","Direction=H","UseDPDF=Y")</f>
        <v>2.7513999999999998</v>
      </c>
    </row>
    <row r="18" spans="1:27" x14ac:dyDescent="0.25">
      <c r="A18" s="10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x14ac:dyDescent="0.25">
      <c r="A19" s="10" t="s">
        <v>1624</v>
      </c>
      <c r="B19" s="10" t="s">
        <v>1625</v>
      </c>
      <c r="C19" s="14">
        <f>_xll.BDH("SRPT US Equity","NORMALIZED_ROE","FQ4 2018","FQ4 2018","Currency=USD","Period=FQ","BEST_FPERIOD_OVERRIDE=FQ","FILING_STATUS=MR","FA_ADJUSTED=GAAP","Sort=A","Dates=H","DateFormat=P","Fill=—","Direction=H","UseDPDF=Y")</f>
        <v>-32.240699999999997</v>
      </c>
      <c r="D19" s="14">
        <f>_xll.BDH("SRPT US Equity","NORMALIZED_ROE","FQ1 2019","FQ1 2019","Currency=USD","Period=FQ","BEST_FPERIOD_OVERRIDE=FQ","FILING_STATUS=MR","FA_ADJUSTED=GAAP","Sort=A","Dates=H","DateFormat=P","Fill=—","Direction=H","UseDPDF=Y")</f>
        <v>-31.427099999999999</v>
      </c>
      <c r="E19" s="14">
        <f>_xll.BDH("SRPT US Equity","NORMALIZED_ROE","FQ2 2019","FQ2 2019","Currency=USD","Period=FQ","BEST_FPERIOD_OVERRIDE=FQ","FILING_STATUS=MR","FA_ADJUSTED=GAAP","Sort=A","Dates=H","DateFormat=P","Fill=—","Direction=H","UseDPDF=Y")</f>
        <v>-39.866999999999997</v>
      </c>
      <c r="F19" s="14">
        <f>_xll.BDH("SRPT US Equity","NORMALIZED_ROE","FQ3 2019","FQ3 2019","Currency=USD","Period=FQ","BEST_FPERIOD_OVERRIDE=FQ","FILING_STATUS=MR","FA_ADJUSTED=GAAP","Sort=A","Dates=H","DateFormat=P","Fill=—","Direction=H","UseDPDF=Y")</f>
        <v>-51.173999999999999</v>
      </c>
      <c r="G19" s="14">
        <f>_xll.BDH("SRPT US Equity","NORMALIZED_ROE","FQ4 2019","FQ4 2019","Currency=USD","Period=FQ","BEST_FPERIOD_OVERRIDE=FQ","FILING_STATUS=MR","FA_ADJUSTED=GAAP","Sort=A","Dates=H","DateFormat=P","Fill=—","Direction=H","UseDPDF=Y")</f>
        <v>-48.5501</v>
      </c>
      <c r="H19" s="14">
        <f>_xll.BDH("SRPT US Equity","NORMALIZED_ROE","FQ1 2020","FQ1 2020","Currency=USD","Period=FQ","BEST_FPERIOD_OVERRIDE=FQ","FILING_STATUS=MR","FA_ADJUSTED=GAAP","Sort=A","Dates=H","DateFormat=P","Fill=—","Direction=H","UseDPDF=Y")</f>
        <v>-39.111800000000002</v>
      </c>
      <c r="I19" s="14">
        <f>_xll.BDH("SRPT US Equity","NORMALIZED_ROE","FQ2 2020","FQ2 2020","Currency=USD","Period=FQ","BEST_FPERIOD_OVERRIDE=FQ","FILING_STATUS=MR","FA_ADJUSTED=GAAP","Sort=A","Dates=H","DateFormat=P","Fill=—","Direction=H","UseDPDF=Y")</f>
        <v>-51.384799999999998</v>
      </c>
      <c r="J19" s="14">
        <f>_xll.BDH("SRPT US Equity","NORMALIZED_ROE","FQ3 2020","FQ3 2020","Currency=USD","Period=FQ","BEST_FPERIOD_OVERRIDE=FQ","FILING_STATUS=MR","FA_ADJUSTED=GAAP","Sort=A","Dates=H","DateFormat=P","Fill=—","Direction=H","UseDPDF=Y")</f>
        <v>-61.720599999999997</v>
      </c>
      <c r="K19" s="14">
        <f>_xll.BDH("SRPT US Equity","NORMALIZED_ROE","FQ4 2020","FQ4 2020","Currency=USD","Period=FQ","BEST_FPERIOD_OVERRIDE=FQ","FILING_STATUS=MR","FA_ADJUSTED=GAAP","Sort=A","Dates=H","DateFormat=P","Fill=—","Direction=H","UseDPDF=Y")</f>
        <v>-75.273300000000006</v>
      </c>
      <c r="L19" s="14">
        <f>_xll.BDH("SRPT US Equity","NORMALIZED_ROE","FQ1 2021","FQ1 2021","Currency=USD","Period=FQ","BEST_FPERIOD_OVERRIDE=FQ","FILING_STATUS=MR","FA_ADJUSTED=GAAP","Sort=A","Dates=H","DateFormat=P","Fill=—","Direction=H","UseDPDF=Y")</f>
        <v>-75.4452</v>
      </c>
      <c r="M19" s="14">
        <f>_xll.BDH("SRPT US Equity","NORMALIZED_ROE","FQ2 2021","FQ2 2021","Currency=USD","Period=FQ","BEST_FPERIOD_OVERRIDE=FQ","FILING_STATUS=MR","FA_ADJUSTED=GAAP","Sort=A","Dates=H","DateFormat=P","Fill=—","Direction=H","UseDPDF=Y")</f>
        <v>-83.084000000000003</v>
      </c>
      <c r="N19" s="14">
        <f>_xll.BDH("SRPT US Equity","NORMALIZED_ROE","FQ3 2021","FQ3 2021","Currency=USD","Period=FQ","BEST_FPERIOD_OVERRIDE=FQ","FILING_STATUS=MR","FA_ADJUSTED=GAAP","Sort=A","Dates=H","DateFormat=P","Fill=—","Direction=H","UseDPDF=Y")</f>
        <v>-77.931299999999993</v>
      </c>
      <c r="O19" s="14">
        <f>_xll.BDH("SRPT US Equity","NORMALIZED_ROE","FQ4 2021","FQ4 2021","Currency=USD","Period=FQ","BEST_FPERIOD_OVERRIDE=FQ","FILING_STATUS=MR","FA_ADJUSTED=GAAP","Sort=A","Dates=H","DateFormat=P","Fill=—","Direction=H","UseDPDF=Y")</f>
        <v>-55.818600000000004</v>
      </c>
      <c r="P19" s="14">
        <f>_xll.BDH("SRPT US Equity","NORMALIZED_ROE","FQ1 2022","FQ1 2022","Currency=USD","Period=FQ","BEST_FPERIOD_OVERRIDE=FQ","FILING_STATUS=MR","FA_ADJUSTED=GAAP","Sort=A","Dates=H","DateFormat=P","Fill=—","Direction=H","UseDPDF=Y")</f>
        <v>-60.809199999999997</v>
      </c>
      <c r="Q19" s="14">
        <f>_xll.BDH("SRPT US Equity","NORMALIZED_ROE","FQ2 2022","FQ2 2022","Currency=USD","Period=FQ","BEST_FPERIOD_OVERRIDE=FQ","FILING_STATUS=MR","FA_ADJUSTED=GAAP","Sort=A","Dates=H","DateFormat=P","Fill=—","Direction=H","UseDPDF=Y")</f>
        <v>-83.047200000000004</v>
      </c>
      <c r="R19" s="14">
        <f>_xll.BDH("SRPT US Equity","NORMALIZED_ROE","FQ3 2022","FQ3 2022","Currency=USD","Period=FQ","BEST_FPERIOD_OVERRIDE=FQ","FILING_STATUS=MR","FA_ADJUSTED=GAAP","Sort=A","Dates=H","DateFormat=P","Fill=—","Direction=H","UseDPDF=Y")</f>
        <v>-138.25890000000001</v>
      </c>
      <c r="S19" s="14">
        <f>_xll.BDH("SRPT US Equity","NORMALIZED_ROE","FQ4 2022","FQ4 2022","Currency=USD","Period=FQ","BEST_FPERIOD_OVERRIDE=FQ","FILING_STATUS=MR","FA_ADJUSTED=GAAP","Sort=A","Dates=H","DateFormat=P","Fill=—","Direction=H","UseDPDF=Y")</f>
        <v>-92.561700000000002</v>
      </c>
      <c r="T19" s="14">
        <f>_xll.BDH("SRPT US Equity","NORMALIZED_ROE","FQ1 2023","FQ1 2023","Currency=USD","Period=FQ","BEST_FPERIOD_OVERRIDE=FQ","FILING_STATUS=MR","FA_ADJUSTED=GAAP","Sort=A","Dates=H","DateFormat=P","Fill=—","Direction=H","UseDPDF=Y")</f>
        <v>-90.898600000000002</v>
      </c>
      <c r="U19" s="14">
        <f>_xll.BDH("SRPT US Equity","NORMALIZED_ROE","FQ2 2023","FQ2 2023","Currency=USD","Period=FQ","BEST_FPERIOD_OVERRIDE=FQ","FILING_STATUS=MR","FA_ADJUSTED=GAAP","Sort=A","Dates=H","DateFormat=P","Fill=—","Direction=H","UseDPDF=Y")</f>
        <v>-79.988</v>
      </c>
      <c r="V19" s="14">
        <f>_xll.BDH("SRPT US Equity","NORMALIZED_ROE","FQ3 2023","FQ3 2023","Currency=USD","Period=FQ","BEST_FPERIOD_OVERRIDE=FQ","FILING_STATUS=MR","FA_ADJUSTED=GAAP","Sort=A","Dates=H","DateFormat=P","Fill=—","Direction=H","UseDPDF=Y")</f>
        <v>-77.3904</v>
      </c>
      <c r="W19" s="14">
        <f>_xll.BDH("SRPT US Equity","NORMALIZED_ROE","FQ4 2023","FQ4 2023","Currency=USD","Period=FQ","BEST_FPERIOD_OVERRIDE=FQ","FILING_STATUS=MR","FA_ADJUSTED=GAAP","Sort=A","Dates=H","DateFormat=P","Fill=—","Direction=H","UseDPDF=Y")</f>
        <v>-49.766500000000001</v>
      </c>
      <c r="X19" s="14">
        <f>_xll.BDH("SRPT US Equity","NORMALIZED_ROE","FQ1 2024","FQ1 2024","Currency=USD","Period=FQ","BEST_FPERIOD_OVERRIDE=FQ","FILING_STATUS=MR","FA_ADJUSTED=GAAP","Sort=A","Dates=H","DateFormat=P","Fill=—","Direction=H","UseDPDF=Y")</f>
        <v>-6.3259999999999996</v>
      </c>
      <c r="Y19" s="14">
        <f>_xll.BDH("SRPT US Equity","NORMALIZED_ROE","FQ2 2024","FQ2 2024","Currency=USD","Period=FQ","BEST_FPERIOD_OVERRIDE=FQ","FILING_STATUS=MR","FA_ADJUSTED=GAAP","Sort=A","Dates=H","DateFormat=P","Fill=—","Direction=H","UseDPDF=Y")</f>
        <v>6.4520999999999997</v>
      </c>
      <c r="Z19" s="14">
        <f>_xll.BDH("SRPT US Equity","NORMALIZED_ROE","FQ3 2024","FQ3 2024","Currency=USD","Period=FQ","BEST_FPERIOD_OVERRIDE=FQ","FILING_STATUS=MR","FA_ADJUSTED=GAAP","Sort=A","Dates=H","DateFormat=P","Fill=—","Direction=H","UseDPDF=Y")</f>
        <v>13.1229</v>
      </c>
      <c r="AA19" s="14">
        <f>_xll.BDH("SRPT US Equity","NORMALIZED_ROE","FQ4 2024","FQ4 2024","Currency=USD","Period=FQ","BEST_FPERIOD_OVERRIDE=FQ","FILING_STATUS=MR","FA_ADJUSTED=GAAP","Sort=A","Dates=H","DateFormat=P","Fill=—","Direction=H","UseDPDF=Y")</f>
        <v>20.356000000000002</v>
      </c>
    </row>
    <row r="20" spans="1:27" x14ac:dyDescent="0.25">
      <c r="A20" s="1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25">
      <c r="A21" s="10" t="s">
        <v>1626</v>
      </c>
      <c r="B21" s="10" t="s">
        <v>1627</v>
      </c>
      <c r="C21" s="14">
        <f>_xll.BDH("SRPT US Equity","5_YEAR_AVERAGE_ADJUSTED_ROE","FQ4 2018","FQ4 2018","Currency=USD","Period=FQ","BEST_FPERIOD_OVERRIDE=FQ","FILING_STATUS=MR","FA_ADJUSTED=GAAP","Sort=A","Dates=H","DateFormat=P","Fill=—","Direction=H","UseDPDF=Y")</f>
        <v>-25.828900000000001</v>
      </c>
      <c r="D21" s="14">
        <f>_xll.BDH("SRPT US Equity","5_YEAR_AVERAGE_ADJUSTED_ROE","FQ1 2019","FQ1 2019","Currency=USD","Period=FQ","BEST_FPERIOD_OVERRIDE=FQ","FILING_STATUS=MR","FA_ADJUSTED=GAAP","Sort=A","Dates=H","DateFormat=P","Fill=—","Direction=H","UseDPDF=Y")</f>
        <v>-27.565899999999999</v>
      </c>
      <c r="E21" s="14">
        <f>_xll.BDH("SRPT US Equity","5_YEAR_AVERAGE_ADJUSTED_ROE","FQ2 2019","FQ2 2019","Currency=USD","Period=FQ","BEST_FPERIOD_OVERRIDE=FQ","FILING_STATUS=MR","FA_ADJUSTED=GAAP","Sort=A","Dates=H","DateFormat=P","Fill=—","Direction=H","UseDPDF=Y")</f>
        <v>-31.3996</v>
      </c>
      <c r="F21" s="14">
        <f>_xll.BDH("SRPT US Equity","5_YEAR_AVERAGE_ADJUSTED_ROE","FQ3 2019","FQ3 2019","Currency=USD","Period=FQ","BEST_FPERIOD_OVERRIDE=FQ","FILING_STATUS=MR","FA_ADJUSTED=GAAP","Sort=A","Dates=H","DateFormat=P","Fill=—","Direction=H","UseDPDF=Y")</f>
        <v>-36.3142</v>
      </c>
      <c r="G21" s="14">
        <f>_xll.BDH("SRPT US Equity","5_YEAR_AVERAGE_ADJUSTED_ROE","FQ4 2019","FQ4 2019","Currency=USD","Period=FQ","BEST_FPERIOD_OVERRIDE=FQ","FILING_STATUS=MR","FA_ADJUSTED=GAAP","Sort=A","Dates=H","DateFormat=P","Fill=—","Direction=H","UseDPDF=Y")</f>
        <v>-40.651800000000001</v>
      </c>
      <c r="H21" s="14">
        <f>_xll.BDH("SRPT US Equity","5_YEAR_AVERAGE_ADJUSTED_ROE","FQ1 2020","FQ1 2020","Currency=USD","Period=FQ","BEST_FPERIOD_OVERRIDE=FQ","FILING_STATUS=MR","FA_ADJUSTED=GAAP","Sort=A","Dates=H","DateFormat=P","Fill=—","Direction=H","UseDPDF=Y")</f>
        <v>-42.026000000000003</v>
      </c>
      <c r="I21" s="14">
        <f>_xll.BDH("SRPT US Equity","5_YEAR_AVERAGE_ADJUSTED_ROE","FQ2 2020","FQ2 2020","Currency=USD","Period=FQ","BEST_FPERIOD_OVERRIDE=FQ","FILING_STATUS=MR","FA_ADJUSTED=GAAP","Sort=A","Dates=H","DateFormat=P","Fill=—","Direction=H","UseDPDF=Y")</f>
        <v>-46.017600000000002</v>
      </c>
      <c r="J21" s="14">
        <f>_xll.BDH("SRPT US Equity","5_YEAR_AVERAGE_ADJUSTED_ROE","FQ3 2020","FQ3 2020","Currency=USD","Period=FQ","BEST_FPERIOD_OVERRIDE=FQ","FILING_STATUS=MR","FA_ADJUSTED=GAAP","Sort=A","Dates=H","DateFormat=P","Fill=—","Direction=H","UseDPDF=Y")</f>
        <v>-50.388300000000001</v>
      </c>
      <c r="K21" s="14">
        <f>_xll.BDH("SRPT US Equity","5_YEAR_AVERAGE_ADJUSTED_ROE","FQ4 2020","FQ4 2020","Currency=USD","Period=FQ","BEST_FPERIOD_OVERRIDE=FQ","FILING_STATUS=MR","FA_ADJUSTED=GAAP","Sort=A","Dates=H","DateFormat=P","Fill=—","Direction=H","UseDPDF=Y")</f>
        <v>-55.208100000000002</v>
      </c>
      <c r="L21" s="14">
        <f>_xll.BDH("SRPT US Equity","5_YEAR_AVERAGE_ADJUSTED_ROE","FQ1 2021","FQ1 2021","Currency=USD","Period=FQ","BEST_FPERIOD_OVERRIDE=FQ","FILING_STATUS=MR","FA_ADJUSTED=GAAP","Sort=A","Dates=H","DateFormat=P","Fill=—","Direction=H","UseDPDF=Y")</f>
        <v>-60.587200000000003</v>
      </c>
      <c r="M21" s="14">
        <f>_xll.BDH("SRPT US Equity","5_YEAR_AVERAGE_ADJUSTED_ROE","FQ2 2021","FQ2 2021","Currency=USD","Period=FQ","BEST_FPERIOD_OVERRIDE=FQ","FILING_STATUS=MR","FA_ADJUSTED=GAAP","Sort=A","Dates=H","DateFormat=P","Fill=—","Direction=H","UseDPDF=Y")</f>
        <v>-69.381600000000006</v>
      </c>
      <c r="N21" s="14">
        <f>_xll.BDH("SRPT US Equity","5_YEAR_AVERAGE_ADJUSTED_ROE","FQ3 2021","FQ3 2021","Currency=USD","Period=FQ","BEST_FPERIOD_OVERRIDE=FQ","FILING_STATUS=MR","FA_ADJUSTED=GAAP","Sort=A","Dates=H","DateFormat=P","Fill=—","Direction=H","UseDPDF=Y")</f>
        <v>-74.690899999999999</v>
      </c>
      <c r="O21" s="14">
        <f>_xll.BDH("SRPT US Equity","5_YEAR_AVERAGE_ADJUSTED_ROE","FQ4 2021","FQ4 2021","Currency=USD","Period=FQ","BEST_FPERIOD_OVERRIDE=FQ","FILING_STATUS=MR","FA_ADJUSTED=GAAP","Sort=A","Dates=H","DateFormat=P","Fill=—","Direction=H","UseDPDF=Y")</f>
        <v>-73.510499999999993</v>
      </c>
      <c r="P21" s="14">
        <f>_xll.BDH("SRPT US Equity","5_YEAR_AVERAGE_ADJUSTED_ROE","FQ1 2022","FQ1 2022","Currency=USD","Period=FQ","BEST_FPERIOD_OVERRIDE=FQ","FILING_STATUS=MR","FA_ADJUSTED=GAAP","Sort=A","Dates=H","DateFormat=P","Fill=—","Direction=H","UseDPDF=Y")</f>
        <v>-70.617699999999999</v>
      </c>
      <c r="Q21" s="14">
        <f>_xll.BDH("SRPT US Equity","5_YEAR_AVERAGE_ADJUSTED_ROE","FQ2 2022","FQ2 2022","Currency=USD","Period=FQ","BEST_FPERIOD_OVERRIDE=FQ","FILING_STATUS=MR","FA_ADJUSTED=GAAP","Sort=A","Dates=H","DateFormat=P","Fill=—","Direction=H","UseDPDF=Y")</f>
        <v>-72.138099999999994</v>
      </c>
      <c r="R21" s="14">
        <f>_xll.BDH("SRPT US Equity","5_YEAR_AVERAGE_ADJUSTED_ROE","FQ3 2022","FQ3 2022","Currency=USD","Period=FQ","BEST_FPERIOD_OVERRIDE=FQ","FILING_STATUS=MR","FA_ADJUSTED=GAAP","Sort=A","Dates=H","DateFormat=P","Fill=—","Direction=H","UseDPDF=Y")</f>
        <v>-83.173000000000002</v>
      </c>
      <c r="S21" s="14">
        <f>_xll.BDH("SRPT US Equity","5_YEAR_AVERAGE_ADJUSTED_ROE","FQ4 2022","FQ4 2022","Currency=USD","Period=FQ","BEST_FPERIOD_OVERRIDE=FQ","FILING_STATUS=MR","FA_ADJUSTED=GAAP","Sort=A","Dates=H","DateFormat=P","Fill=—","Direction=H","UseDPDF=Y")</f>
        <v>-86.099100000000007</v>
      </c>
      <c r="T21" s="14">
        <f>_xll.BDH("SRPT US Equity","5_YEAR_AVERAGE_ADJUSTED_ROE","FQ1 2023","FQ1 2023","Currency=USD","Period=FQ","BEST_FPERIOD_OVERRIDE=FQ","FILING_STATUS=MR","FA_ADJUSTED=GAAP","Sort=A","Dates=H","DateFormat=P","Fill=—","Direction=H","UseDPDF=Y")</f>
        <v>-93.115099999999998</v>
      </c>
      <c r="U21" s="14">
        <f>_xll.BDH("SRPT US Equity","5_YEAR_AVERAGE_ADJUSTED_ROE","FQ2 2023","FQ2 2023","Currency=USD","Period=FQ","BEST_FPERIOD_OVERRIDE=FQ","FILING_STATUS=MR","FA_ADJUSTED=GAAP","Sort=A","Dates=H","DateFormat=P","Fill=—","Direction=H","UseDPDF=Y")</f>
        <v>-96.950900000000004</v>
      </c>
      <c r="V21" s="14">
        <f>_xll.BDH("SRPT US Equity","5_YEAR_AVERAGE_ADJUSTED_ROE","FQ3 2023","FQ3 2023","Currency=USD","Period=FQ","BEST_FPERIOD_OVERRIDE=FQ","FILING_STATUS=MR","FA_ADJUSTED=GAAP","Sort=A","Dates=H","DateFormat=P","Fill=—","Direction=H","UseDPDF=Y")</f>
        <v>-95.819500000000005</v>
      </c>
      <c r="W21" s="14">
        <f>_xll.BDH("SRPT US Equity","5_YEAR_AVERAGE_ADJUSTED_ROE","FQ4 2023","FQ4 2023","Currency=USD","Period=FQ","BEST_FPERIOD_OVERRIDE=FQ","FILING_STATUS=MR","FA_ADJUSTED=GAAP","Sort=A","Dates=H","DateFormat=P","Fill=—","Direction=H","UseDPDF=Y")</f>
        <v>-78.121099999999998</v>
      </c>
      <c r="X21" s="14">
        <f>_xll.BDH("SRPT US Equity","5_YEAR_AVERAGE_ADJUSTED_ROE","FQ1 2024","FQ1 2024","Currency=USD","Period=FQ","BEST_FPERIOD_OVERRIDE=FQ","FILING_STATUS=MR","FA_ADJUSTED=GAAP","Sort=A","Dates=H","DateFormat=P","Fill=—","Direction=H","UseDPDF=Y")</f>
        <v>-60.873899999999999</v>
      </c>
      <c r="Y21" s="14">
        <f>_xll.BDH("SRPT US Equity","5_YEAR_AVERAGE_ADJUSTED_ROE","FQ2 2024","FQ2 2024","Currency=USD","Period=FQ","BEST_FPERIOD_OVERRIDE=FQ","FILING_STATUS=MR","FA_ADJUSTED=GAAP","Sort=A","Dates=H","DateFormat=P","Fill=—","Direction=H","UseDPDF=Y")</f>
        <v>-41.403799999999997</v>
      </c>
      <c r="Z21" s="14">
        <f>_xll.BDH("SRPT US Equity","5_YEAR_AVERAGE_ADJUSTED_ROE","FQ3 2024","FQ3 2024","Currency=USD","Period=FQ","BEST_FPERIOD_OVERRIDE=FQ","FILING_STATUS=MR","FA_ADJUSTED=GAAP","Sort=A","Dates=H","DateFormat=P","Fill=—","Direction=H","UseDPDF=Y")</f>
        <v>-22.781600000000001</v>
      </c>
      <c r="AA21" s="14">
        <f>_xll.BDH("SRPT US Equity","5_YEAR_AVERAGE_ADJUSTED_ROE","FQ4 2024","FQ4 2024","Currency=USD","Period=FQ","BEST_FPERIOD_OVERRIDE=FQ","FILING_STATUS=MR","FA_ADJUSTED=GAAP","Sort=A","Dates=H","DateFormat=P","Fill=—","Direction=H","UseDPDF=Y")</f>
        <v>-3.2323</v>
      </c>
    </row>
    <row r="22" spans="1:27" x14ac:dyDescent="0.25">
      <c r="A22" s="10" t="s">
        <v>1628</v>
      </c>
      <c r="B22" s="10" t="s">
        <v>1381</v>
      </c>
      <c r="C22" s="14" t="str">
        <f>_xll.BDH("SRPT US Equity","DVD_PAYOUT_RATIO","FQ4 2018","FQ4 2018","Currency=USD","Period=FQ","BEST_FPERIOD_OVERRIDE=FQ","FILING_STATUS=MR","FA_ADJUSTED=GAAP","Sort=A","Dates=H","DateFormat=P","Fill=—","Direction=H","UseDPDF=Y")</f>
        <v>—</v>
      </c>
      <c r="D22" s="14" t="str">
        <f>_xll.BDH("SRPT US Equity","DVD_PAYOUT_RATIO","FQ1 2019","FQ1 2019","Currency=USD","Period=FQ","BEST_FPERIOD_OVERRIDE=FQ","FILING_STATUS=MR","FA_ADJUSTED=GAAP","Sort=A","Dates=H","DateFormat=P","Fill=—","Direction=H","UseDPDF=Y")</f>
        <v>—</v>
      </c>
      <c r="E22" s="14" t="str">
        <f>_xll.BDH("SRPT US Equity","DVD_PAYOUT_RATIO","FQ2 2019","FQ2 2019","Currency=USD","Period=FQ","BEST_FPERIOD_OVERRIDE=FQ","FILING_STATUS=MR","FA_ADJUSTED=GAAP","Sort=A","Dates=H","DateFormat=P","Fill=—","Direction=H","UseDPDF=Y")</f>
        <v>—</v>
      </c>
      <c r="F22" s="14" t="str">
        <f>_xll.BDH("SRPT US Equity","DVD_PAYOUT_RATIO","FQ3 2019","FQ3 2019","Currency=USD","Period=FQ","BEST_FPERIOD_OVERRIDE=FQ","FILING_STATUS=MR","FA_ADJUSTED=GAAP","Sort=A","Dates=H","DateFormat=P","Fill=—","Direction=H","UseDPDF=Y")</f>
        <v>—</v>
      </c>
      <c r="G22" s="14" t="str">
        <f>_xll.BDH("SRPT US Equity","DVD_PAYOUT_RATIO","FQ4 2019","FQ4 2019","Currency=USD","Period=FQ","BEST_FPERIOD_OVERRIDE=FQ","FILING_STATUS=MR","FA_ADJUSTED=GAAP","Sort=A","Dates=H","DateFormat=P","Fill=—","Direction=H","UseDPDF=Y")</f>
        <v>—</v>
      </c>
      <c r="H22" s="14" t="str">
        <f>_xll.BDH("SRPT US Equity","DVD_PAYOUT_RATIO","FQ1 2020","FQ1 2020","Currency=USD","Period=FQ","BEST_FPERIOD_OVERRIDE=FQ","FILING_STATUS=MR","FA_ADJUSTED=GAAP","Sort=A","Dates=H","DateFormat=P","Fill=—","Direction=H","UseDPDF=Y")</f>
        <v>—</v>
      </c>
      <c r="I22" s="14" t="str">
        <f>_xll.BDH("SRPT US Equity","DVD_PAYOUT_RATIO","FQ2 2020","FQ2 2020","Currency=USD","Period=FQ","BEST_FPERIOD_OVERRIDE=FQ","FILING_STATUS=MR","FA_ADJUSTED=GAAP","Sort=A","Dates=H","DateFormat=P","Fill=—","Direction=H","UseDPDF=Y")</f>
        <v>—</v>
      </c>
      <c r="J22" s="14" t="str">
        <f>_xll.BDH("SRPT US Equity","DVD_PAYOUT_RATIO","FQ3 2020","FQ3 2020","Currency=USD","Period=FQ","BEST_FPERIOD_OVERRIDE=FQ","FILING_STATUS=MR","FA_ADJUSTED=GAAP","Sort=A","Dates=H","DateFormat=P","Fill=—","Direction=H","UseDPDF=Y")</f>
        <v>—</v>
      </c>
      <c r="K22" s="14" t="str">
        <f>_xll.BDH("SRPT US Equity","DVD_PAYOUT_RATIO","FQ4 2020","FQ4 2020","Currency=USD","Period=FQ","BEST_FPERIOD_OVERRIDE=FQ","FILING_STATUS=MR","FA_ADJUSTED=GAAP","Sort=A","Dates=H","DateFormat=P","Fill=—","Direction=H","UseDPDF=Y")</f>
        <v>—</v>
      </c>
      <c r="L22" s="14" t="str">
        <f>_xll.BDH("SRPT US Equity","DVD_PAYOUT_RATIO","FQ1 2021","FQ1 2021","Currency=USD","Period=FQ","BEST_FPERIOD_OVERRIDE=FQ","FILING_STATUS=MR","FA_ADJUSTED=GAAP","Sort=A","Dates=H","DateFormat=P","Fill=—","Direction=H","UseDPDF=Y")</f>
        <v>—</v>
      </c>
      <c r="M22" s="14" t="str">
        <f>_xll.BDH("SRPT US Equity","DVD_PAYOUT_RATIO","FQ2 2021","FQ2 2021","Currency=USD","Period=FQ","BEST_FPERIOD_OVERRIDE=FQ","FILING_STATUS=MR","FA_ADJUSTED=GAAP","Sort=A","Dates=H","DateFormat=P","Fill=—","Direction=H","UseDPDF=Y")</f>
        <v>—</v>
      </c>
      <c r="N22" s="14" t="str">
        <f>_xll.BDH("SRPT US Equity","DVD_PAYOUT_RATIO","FQ3 2021","FQ3 2021","Currency=USD","Period=FQ","BEST_FPERIOD_OVERRIDE=FQ","FILING_STATUS=MR","FA_ADJUSTED=GAAP","Sort=A","Dates=H","DateFormat=P","Fill=—","Direction=H","UseDPDF=Y")</f>
        <v>—</v>
      </c>
      <c r="O22" s="14" t="str">
        <f>_xll.BDH("SRPT US Equity","DVD_PAYOUT_RATIO","FQ4 2021","FQ4 2021","Currency=USD","Period=FQ","BEST_FPERIOD_OVERRIDE=FQ","FILING_STATUS=MR","FA_ADJUSTED=GAAP","Sort=A","Dates=H","DateFormat=P","Fill=—","Direction=H","UseDPDF=Y")</f>
        <v>—</v>
      </c>
      <c r="P22" s="14" t="str">
        <f>_xll.BDH("SRPT US Equity","DVD_PAYOUT_RATIO","FQ1 2022","FQ1 2022","Currency=USD","Period=FQ","BEST_FPERIOD_OVERRIDE=FQ","FILING_STATUS=MR","FA_ADJUSTED=GAAP","Sort=A","Dates=H","DateFormat=P","Fill=—","Direction=H","UseDPDF=Y")</f>
        <v>—</v>
      </c>
      <c r="Q22" s="14" t="str">
        <f>_xll.BDH("SRPT US Equity","DVD_PAYOUT_RATIO","FQ2 2022","FQ2 2022","Currency=USD","Period=FQ","BEST_FPERIOD_OVERRIDE=FQ","FILING_STATUS=MR","FA_ADJUSTED=GAAP","Sort=A","Dates=H","DateFormat=P","Fill=—","Direction=H","UseDPDF=Y")</f>
        <v>—</v>
      </c>
      <c r="R22" s="14" t="str">
        <f>_xll.BDH("SRPT US Equity","DVD_PAYOUT_RATIO","FQ3 2022","FQ3 2022","Currency=USD","Period=FQ","BEST_FPERIOD_OVERRIDE=FQ","FILING_STATUS=MR","FA_ADJUSTED=GAAP","Sort=A","Dates=H","DateFormat=P","Fill=—","Direction=H","UseDPDF=Y")</f>
        <v>—</v>
      </c>
      <c r="S22" s="14" t="str">
        <f>_xll.BDH("SRPT US Equity","DVD_PAYOUT_RATIO","FQ4 2022","FQ4 2022","Currency=USD","Period=FQ","BEST_FPERIOD_OVERRIDE=FQ","FILING_STATUS=MR","FA_ADJUSTED=GAAP","Sort=A","Dates=H","DateFormat=P","Fill=—","Direction=H","UseDPDF=Y")</f>
        <v>—</v>
      </c>
      <c r="T22" s="14" t="str">
        <f>_xll.BDH("SRPT US Equity","DVD_PAYOUT_RATIO","FQ1 2023","FQ1 2023","Currency=USD","Period=FQ","BEST_FPERIOD_OVERRIDE=FQ","FILING_STATUS=MR","FA_ADJUSTED=GAAP","Sort=A","Dates=H","DateFormat=P","Fill=—","Direction=H","UseDPDF=Y")</f>
        <v>—</v>
      </c>
      <c r="U22" s="14" t="str">
        <f>_xll.BDH("SRPT US Equity","DVD_PAYOUT_RATIO","FQ2 2023","FQ2 2023","Currency=USD","Period=FQ","BEST_FPERIOD_OVERRIDE=FQ","FILING_STATUS=MR","FA_ADJUSTED=GAAP","Sort=A","Dates=H","DateFormat=P","Fill=—","Direction=H","UseDPDF=Y")</f>
        <v>—</v>
      </c>
      <c r="V22" s="14" t="str">
        <f>_xll.BDH("SRPT US Equity","DVD_PAYOUT_RATIO","FQ3 2023","FQ3 2023","Currency=USD","Period=FQ","BEST_FPERIOD_OVERRIDE=FQ","FILING_STATUS=MR","FA_ADJUSTED=GAAP","Sort=A","Dates=H","DateFormat=P","Fill=—","Direction=H","UseDPDF=Y")</f>
        <v>—</v>
      </c>
      <c r="W22" s="14">
        <f>_xll.BDH("SRPT US Equity","DVD_PAYOUT_RATIO","FQ4 2023","FQ4 2023","Currency=USD","Period=FQ","BEST_FPERIOD_OVERRIDE=FQ","FILING_STATUS=MR","FA_ADJUSTED=GAAP","Sort=A","Dates=H","DateFormat=P","Fill=—","Direction=H","UseDPDF=Y")</f>
        <v>0</v>
      </c>
      <c r="X22" s="14">
        <f>_xll.BDH("SRPT US Equity","DVD_PAYOUT_RATIO","FQ1 2024","FQ1 2024","Currency=USD","Period=FQ","BEST_FPERIOD_OVERRIDE=FQ","FILING_STATUS=MR","FA_ADJUSTED=GAAP","Sort=A","Dates=H","DateFormat=P","Fill=—","Direction=H","UseDPDF=Y")</f>
        <v>0</v>
      </c>
      <c r="Y22" s="14">
        <f>_xll.BDH("SRPT US Equity","DVD_PAYOUT_RATIO","FQ2 2024","FQ2 2024","Currency=USD","Period=FQ","BEST_FPERIOD_OVERRIDE=FQ","FILING_STATUS=MR","FA_ADJUSTED=GAAP","Sort=A","Dates=H","DateFormat=P","Fill=—","Direction=H","UseDPDF=Y")</f>
        <v>0</v>
      </c>
      <c r="Z22" s="14">
        <f>_xll.BDH("SRPT US Equity","DVD_PAYOUT_RATIO","FQ3 2024","FQ3 2024","Currency=USD","Period=FQ","BEST_FPERIOD_OVERRIDE=FQ","FILING_STATUS=MR","FA_ADJUSTED=GAAP","Sort=A","Dates=H","DateFormat=P","Fill=—","Direction=H","UseDPDF=Y")</f>
        <v>0</v>
      </c>
      <c r="AA22" s="14">
        <f>_xll.BDH("SRPT US Equity","DVD_PAYOUT_RATIO","FQ4 2024","FQ4 2024","Currency=USD","Period=FQ","BEST_FPERIOD_OVERRIDE=FQ","FILING_STATUS=MR","FA_ADJUSTED=GAAP","Sort=A","Dates=H","DateFormat=P","Fill=—","Direction=H","UseDPDF=Y")</f>
        <v>0</v>
      </c>
    </row>
    <row r="23" spans="1:27" x14ac:dyDescent="0.25">
      <c r="A23" s="10" t="s">
        <v>1382</v>
      </c>
      <c r="B23" s="10" t="s">
        <v>1383</v>
      </c>
      <c r="C23" s="14" t="str">
        <f>_xll.BDH("SRPT US Equity","SUSTAIN_GROWTH_RT","FQ4 2018","FQ4 2018","Currency=USD","Period=FQ","BEST_FPERIOD_OVERRIDE=FQ","FILING_STATUS=MR","FA_ADJUSTED=GAAP","Sort=A","Dates=H","DateFormat=P","Fill=—","Direction=H","UseDPDF=Y")</f>
        <v>—</v>
      </c>
      <c r="D23" s="14" t="str">
        <f>_xll.BDH("SRPT US Equity","SUSTAIN_GROWTH_RT","FQ1 2019","FQ1 2019","Currency=USD","Period=FQ","BEST_FPERIOD_OVERRIDE=FQ","FILING_STATUS=MR","FA_ADJUSTED=GAAP","Sort=A","Dates=H","DateFormat=P","Fill=—","Direction=H","UseDPDF=Y")</f>
        <v>—</v>
      </c>
      <c r="E23" s="14" t="str">
        <f>_xll.BDH("SRPT US Equity","SUSTAIN_GROWTH_RT","FQ2 2019","FQ2 2019","Currency=USD","Period=FQ","BEST_FPERIOD_OVERRIDE=FQ","FILING_STATUS=MR","FA_ADJUSTED=GAAP","Sort=A","Dates=H","DateFormat=P","Fill=—","Direction=H","UseDPDF=Y")</f>
        <v>—</v>
      </c>
      <c r="F23" s="14" t="str">
        <f>_xll.BDH("SRPT US Equity","SUSTAIN_GROWTH_RT","FQ3 2019","FQ3 2019","Currency=USD","Period=FQ","BEST_FPERIOD_OVERRIDE=FQ","FILING_STATUS=MR","FA_ADJUSTED=GAAP","Sort=A","Dates=H","DateFormat=P","Fill=—","Direction=H","UseDPDF=Y")</f>
        <v>—</v>
      </c>
      <c r="G23" s="14" t="str">
        <f>_xll.BDH("SRPT US Equity","SUSTAIN_GROWTH_RT","FQ4 2019","FQ4 2019","Currency=USD","Period=FQ","BEST_FPERIOD_OVERRIDE=FQ","FILING_STATUS=MR","FA_ADJUSTED=GAAP","Sort=A","Dates=H","DateFormat=P","Fill=—","Direction=H","UseDPDF=Y")</f>
        <v>—</v>
      </c>
      <c r="H23" s="14" t="str">
        <f>_xll.BDH("SRPT US Equity","SUSTAIN_GROWTH_RT","FQ1 2020","FQ1 2020","Currency=USD","Period=FQ","BEST_FPERIOD_OVERRIDE=FQ","FILING_STATUS=MR","FA_ADJUSTED=GAAP","Sort=A","Dates=H","DateFormat=P","Fill=—","Direction=H","UseDPDF=Y")</f>
        <v>—</v>
      </c>
      <c r="I23" s="14" t="str">
        <f>_xll.BDH("SRPT US Equity","SUSTAIN_GROWTH_RT","FQ2 2020","FQ2 2020","Currency=USD","Period=FQ","BEST_FPERIOD_OVERRIDE=FQ","FILING_STATUS=MR","FA_ADJUSTED=GAAP","Sort=A","Dates=H","DateFormat=P","Fill=—","Direction=H","UseDPDF=Y")</f>
        <v>—</v>
      </c>
      <c r="J23" s="14" t="str">
        <f>_xll.BDH("SRPT US Equity","SUSTAIN_GROWTH_RT","FQ3 2020","FQ3 2020","Currency=USD","Period=FQ","BEST_FPERIOD_OVERRIDE=FQ","FILING_STATUS=MR","FA_ADJUSTED=GAAP","Sort=A","Dates=H","DateFormat=P","Fill=—","Direction=H","UseDPDF=Y")</f>
        <v>—</v>
      </c>
      <c r="K23" s="14" t="str">
        <f>_xll.BDH("SRPT US Equity","SUSTAIN_GROWTH_RT","FQ4 2020","FQ4 2020","Currency=USD","Period=FQ","BEST_FPERIOD_OVERRIDE=FQ","FILING_STATUS=MR","FA_ADJUSTED=GAAP","Sort=A","Dates=H","DateFormat=P","Fill=—","Direction=H","UseDPDF=Y")</f>
        <v>—</v>
      </c>
      <c r="L23" s="14" t="str">
        <f>_xll.BDH("SRPT US Equity","SUSTAIN_GROWTH_RT","FQ1 2021","FQ1 2021","Currency=USD","Period=FQ","BEST_FPERIOD_OVERRIDE=FQ","FILING_STATUS=MR","FA_ADJUSTED=GAAP","Sort=A","Dates=H","DateFormat=P","Fill=—","Direction=H","UseDPDF=Y")</f>
        <v>—</v>
      </c>
      <c r="M23" s="14" t="str">
        <f>_xll.BDH("SRPT US Equity","SUSTAIN_GROWTH_RT","FQ2 2021","FQ2 2021","Currency=USD","Period=FQ","BEST_FPERIOD_OVERRIDE=FQ","FILING_STATUS=MR","FA_ADJUSTED=GAAP","Sort=A","Dates=H","DateFormat=P","Fill=—","Direction=H","UseDPDF=Y")</f>
        <v>—</v>
      </c>
      <c r="N23" s="14" t="str">
        <f>_xll.BDH("SRPT US Equity","SUSTAIN_GROWTH_RT","FQ3 2021","FQ3 2021","Currency=USD","Period=FQ","BEST_FPERIOD_OVERRIDE=FQ","FILING_STATUS=MR","FA_ADJUSTED=GAAP","Sort=A","Dates=H","DateFormat=P","Fill=—","Direction=H","UseDPDF=Y")</f>
        <v>—</v>
      </c>
      <c r="O23" s="14" t="str">
        <f>_xll.BDH("SRPT US Equity","SUSTAIN_GROWTH_RT","FQ4 2021","FQ4 2021","Currency=USD","Period=FQ","BEST_FPERIOD_OVERRIDE=FQ","FILING_STATUS=MR","FA_ADJUSTED=GAAP","Sort=A","Dates=H","DateFormat=P","Fill=—","Direction=H","UseDPDF=Y")</f>
        <v>—</v>
      </c>
      <c r="P23" s="14" t="str">
        <f>_xll.BDH("SRPT US Equity","SUSTAIN_GROWTH_RT","FQ1 2022","FQ1 2022","Currency=USD","Period=FQ","BEST_FPERIOD_OVERRIDE=FQ","FILING_STATUS=MR","FA_ADJUSTED=GAAP","Sort=A","Dates=H","DateFormat=P","Fill=—","Direction=H","UseDPDF=Y")</f>
        <v>—</v>
      </c>
      <c r="Q23" s="14" t="str">
        <f>_xll.BDH("SRPT US Equity","SUSTAIN_GROWTH_RT","FQ2 2022","FQ2 2022","Currency=USD","Period=FQ","BEST_FPERIOD_OVERRIDE=FQ","FILING_STATUS=MR","FA_ADJUSTED=GAAP","Sort=A","Dates=H","DateFormat=P","Fill=—","Direction=H","UseDPDF=Y")</f>
        <v>—</v>
      </c>
      <c r="R23" s="14" t="str">
        <f>_xll.BDH("SRPT US Equity","SUSTAIN_GROWTH_RT","FQ3 2022","FQ3 2022","Currency=USD","Period=FQ","BEST_FPERIOD_OVERRIDE=FQ","FILING_STATUS=MR","FA_ADJUSTED=GAAP","Sort=A","Dates=H","DateFormat=P","Fill=—","Direction=H","UseDPDF=Y")</f>
        <v>—</v>
      </c>
      <c r="S23" s="14" t="str">
        <f>_xll.BDH("SRPT US Equity","SUSTAIN_GROWTH_RT","FQ4 2022","FQ4 2022","Currency=USD","Period=FQ","BEST_FPERIOD_OVERRIDE=FQ","FILING_STATUS=MR","FA_ADJUSTED=GAAP","Sort=A","Dates=H","DateFormat=P","Fill=—","Direction=H","UseDPDF=Y")</f>
        <v>—</v>
      </c>
      <c r="T23" s="14" t="str">
        <f>_xll.BDH("SRPT US Equity","SUSTAIN_GROWTH_RT","FQ1 2023","FQ1 2023","Currency=USD","Period=FQ","BEST_FPERIOD_OVERRIDE=FQ","FILING_STATUS=MR","FA_ADJUSTED=GAAP","Sort=A","Dates=H","DateFormat=P","Fill=—","Direction=H","UseDPDF=Y")</f>
        <v>—</v>
      </c>
      <c r="U23" s="14" t="str">
        <f>_xll.BDH("SRPT US Equity","SUSTAIN_GROWTH_RT","FQ2 2023","FQ2 2023","Currency=USD","Period=FQ","BEST_FPERIOD_OVERRIDE=FQ","FILING_STATUS=MR","FA_ADJUSTED=GAAP","Sort=A","Dates=H","DateFormat=P","Fill=—","Direction=H","UseDPDF=Y")</f>
        <v>—</v>
      </c>
      <c r="V23" s="14" t="str">
        <f>_xll.BDH("SRPT US Equity","SUSTAIN_GROWTH_RT","FQ3 2023","FQ3 2023","Currency=USD","Period=FQ","BEST_FPERIOD_OVERRIDE=FQ","FILING_STATUS=MR","FA_ADJUSTED=GAAP","Sort=A","Dates=H","DateFormat=P","Fill=—","Direction=H","UseDPDF=Y")</f>
        <v>—</v>
      </c>
      <c r="W23" s="14">
        <f>_xll.BDH("SRPT US Equity","SUSTAIN_GROWTH_RT","FQ4 2023","FQ4 2023","Currency=USD","Period=FQ","BEST_FPERIOD_OVERRIDE=FQ","FILING_STATUS=MR","FA_ADJUSTED=GAAP","Sort=A","Dates=H","DateFormat=P","Fill=—","Direction=H","UseDPDF=Y")</f>
        <v>-86.150099999999995</v>
      </c>
      <c r="X23" s="14">
        <f>_xll.BDH("SRPT US Equity","SUSTAIN_GROWTH_RT","FQ1 2024","FQ1 2024","Currency=USD","Period=FQ","BEST_FPERIOD_OVERRIDE=FQ","FILING_STATUS=MR","FA_ADJUSTED=GAAP","Sort=A","Dates=H","DateFormat=P","Fill=—","Direction=H","UseDPDF=Y")</f>
        <v>2.0188000000000001</v>
      </c>
      <c r="Y23" s="14">
        <f>_xll.BDH("SRPT US Equity","SUSTAIN_GROWTH_RT","FQ2 2024","FQ2 2024","Currency=USD","Period=FQ","BEST_FPERIOD_OVERRIDE=FQ","FILING_STATUS=MR","FA_ADJUSTED=GAAP","Sort=A","Dates=H","DateFormat=P","Fill=—","Direction=H","UseDPDF=Y")</f>
        <v>5.2018000000000004</v>
      </c>
      <c r="Z23" s="14">
        <f>_xll.BDH("SRPT US Equity","SUSTAIN_GROWTH_RT","FQ3 2024","FQ3 2024","Currency=USD","Period=FQ","BEST_FPERIOD_OVERRIDE=FQ","FILING_STATUS=MR","FA_ADJUSTED=GAAP","Sort=A","Dates=H","DateFormat=P","Fill=—","Direction=H","UseDPDF=Y")</f>
        <v>12.273899999999999</v>
      </c>
      <c r="AA23" s="14">
        <f>_xll.BDH("SRPT US Equity","SUSTAIN_GROWTH_RT","FQ4 2024","FQ4 2024","Currency=USD","Period=FQ","BEST_FPERIOD_OVERRIDE=FQ","FILING_STATUS=MR","FA_ADJUSTED=GAAP","Sort=A","Dates=H","DateFormat=P","Fill=—","Direction=H","UseDPDF=Y")</f>
        <v>19.709399999999999</v>
      </c>
    </row>
    <row r="24" spans="1:27" x14ac:dyDescent="0.25">
      <c r="A24" s="7" t="s">
        <v>90</v>
      </c>
      <c r="B24" s="7"/>
      <c r="C24" s="7" t="s">
        <v>5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4"/>
  <sheetViews>
    <sheetView topLeftCell="F30"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129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31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</row>
    <row r="6" spans="1:27" x14ac:dyDescent="0.25">
      <c r="A6" s="6" t="s">
        <v>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130</v>
      </c>
      <c r="B7" s="10" t="s">
        <v>131</v>
      </c>
      <c r="C7" s="13">
        <f>_xll.BDH("SRPT US Equity","BEST_SALES","FQ2 2019","FQ2 2019","Currency=USD","Period=FQ","BEST_FPERIOD_OVERRIDE=FQ","FILING_STATUS=MR","Sort=A","Dates=H","DateFormat=P","Fill=—","Direction=H","UseDPDF=Y")</f>
        <v>91.052999999999997</v>
      </c>
      <c r="D7" s="13">
        <f>_xll.BDH("SRPT US Equity","BEST_SALES","FQ3 2019","FQ3 2019","Currency=USD","Period=FQ","BEST_FPERIOD_OVERRIDE=FQ","FILING_STATUS=MR","Sort=A","Dates=H","DateFormat=P","Fill=—","Direction=H","UseDPDF=Y")</f>
        <v>98.495000000000005</v>
      </c>
      <c r="E7" s="13">
        <f>_xll.BDH("SRPT US Equity","BEST_SALES","FQ4 2019","FQ4 2019","Currency=USD","Period=FQ","BEST_FPERIOD_OVERRIDE=FQ","FILING_STATUS=MR","Sort=A","Dates=H","DateFormat=P","Fill=—","Direction=H","UseDPDF=Y")</f>
        <v>98.795000000000002</v>
      </c>
      <c r="F7" s="13">
        <f>_xll.BDH("SRPT US Equity","BEST_SALES","FQ1 2020","FQ1 2020","Currency=USD","Period=FQ","BEST_FPERIOD_OVERRIDE=FQ","FILING_STATUS=MR","Sort=A","Dates=H","DateFormat=P","Fill=—","Direction=H","UseDPDF=Y")</f>
        <v>118.324</v>
      </c>
      <c r="G7" s="13">
        <f>_xll.BDH("SRPT US Equity","BEST_SALES","FQ2 2020","FQ2 2020","Currency=USD","Period=FQ","BEST_FPERIOD_OVERRIDE=FQ","FILING_STATUS=MR","Sort=A","Dates=H","DateFormat=P","Fill=—","Direction=H","UseDPDF=Y")</f>
        <v>115.965</v>
      </c>
      <c r="H7" s="13">
        <f>_xll.BDH("SRPT US Equity","BEST_SALES","FQ3 2020","FQ3 2020","Currency=USD","Period=FQ","BEST_FPERIOD_OVERRIDE=FQ","FILING_STATUS=MR","Sort=A","Dates=H","DateFormat=P","Fill=—","Direction=H","UseDPDF=Y")</f>
        <v>133.167</v>
      </c>
      <c r="I7" s="13">
        <f>_xll.BDH("SRPT US Equity","BEST_SALES","FQ4 2020","FQ4 2020","Currency=USD","Period=FQ","BEST_FPERIOD_OVERRIDE=FQ","FILING_STATUS=MR","Sort=A","Dates=H","DateFormat=P","Fill=—","Direction=H","UseDPDF=Y")</f>
        <v>145.46199999999999</v>
      </c>
      <c r="J7" s="13">
        <f>_xll.BDH("SRPT US Equity","BEST_SALES","FQ1 2021","FQ1 2021","Currency=USD","Period=FQ","BEST_FPERIOD_OVERRIDE=FQ","FILING_STATUS=MR","Sort=A","Dates=H","DateFormat=P","Fill=—","Direction=H","UseDPDF=Y")</f>
        <v>141</v>
      </c>
      <c r="K7" s="13">
        <f>_xll.BDH("SRPT US Equity","BEST_SALES","FQ2 2021","FQ2 2021","Currency=USD","Period=FQ","BEST_FPERIOD_OVERRIDE=FQ","FILING_STATUS=MR","Sort=A","Dates=H","DateFormat=P","Fill=—","Direction=H","UseDPDF=Y")</f>
        <v>154.727</v>
      </c>
      <c r="L7" s="13">
        <f>_xll.BDH("SRPT US Equity","BEST_SALES","FQ3 2021","FQ3 2021","Currency=USD","Period=FQ","BEST_FPERIOD_OVERRIDE=FQ","FILING_STATUS=MR","Sort=A","Dates=H","DateFormat=P","Fill=—","Direction=H","UseDPDF=Y")</f>
        <v>178.5</v>
      </c>
      <c r="M7" s="13">
        <f>_xll.BDH("SRPT US Equity","BEST_SALES","FQ4 2021","FQ4 2021","Currency=USD","Period=FQ","BEST_FPERIOD_OVERRIDE=FQ","FILING_STATUS=MR","Sort=A","Dates=H","DateFormat=P","Fill=—","Direction=H","UseDPDF=Y")</f>
        <v>200.69200000000001</v>
      </c>
      <c r="N7" s="13">
        <f>_xll.BDH("SRPT US Equity","BEST_SALES","FQ1 2022","FQ1 2022","Currency=USD","Period=FQ","BEST_FPERIOD_OVERRIDE=FQ","FILING_STATUS=MR","Sort=A","Dates=H","DateFormat=P","Fill=—","Direction=H","UseDPDF=Y")</f>
        <v>207.76900000000001</v>
      </c>
      <c r="O7" s="13">
        <f>_xll.BDH("SRPT US Equity","BEST_SALES","FQ2 2022","FQ2 2022","Currency=USD","Period=FQ","BEST_FPERIOD_OVERRIDE=FQ","FILING_STATUS=MR","Sort=A","Dates=H","DateFormat=P","Fill=—","Direction=H","UseDPDF=Y")</f>
        <v>220.64699999999999</v>
      </c>
      <c r="P7" s="13">
        <f>_xll.BDH("SRPT US Equity","BEST_SALES","FQ3 2022","FQ3 2022","Currency=USD","Period=FQ","BEST_FPERIOD_OVERRIDE=FQ","FILING_STATUS=MR","Sort=A","Dates=H","DateFormat=P","Fill=—","Direction=H","UseDPDF=Y")</f>
        <v>234.41200000000001</v>
      </c>
      <c r="Q7" s="13">
        <f>_xll.BDH("SRPT US Equity","BEST_SALES","FQ4 2022","FQ4 2022","Currency=USD","Period=FQ","BEST_FPERIOD_OVERRIDE=FQ","FILING_STATUS=MR","Sort=A","Dates=H","DateFormat=P","Fill=—","Direction=H","UseDPDF=Y")</f>
        <v>251.471</v>
      </c>
      <c r="R7" s="13">
        <f>_xll.BDH("SRPT US Equity","BEST_SALES","FQ1 2023","FQ1 2023","Currency=USD","Period=FQ","BEST_FPERIOD_OVERRIDE=FQ","FILING_STATUS=MR","Sort=A","Dates=H","DateFormat=P","Fill=—","Direction=H","UseDPDF=Y")</f>
        <v>243.35300000000001</v>
      </c>
      <c r="S7" s="13">
        <f>_xll.BDH("SRPT US Equity","BEST_SALES","FQ2 2023","FQ2 2023","Currency=USD","Period=FQ","BEST_FPERIOD_OVERRIDE=FQ","FILING_STATUS=MR","Sort=A","Dates=H","DateFormat=P","Fill=—","Direction=H","UseDPDF=Y")</f>
        <v>257.05900000000003</v>
      </c>
      <c r="T7" s="13">
        <f>_xll.BDH("SRPT US Equity","BEST_SALES","FQ3 2023","FQ3 2023","Currency=USD","Period=FQ","BEST_FPERIOD_OVERRIDE=FQ","FILING_STATUS=MR","Sort=A","Dates=H","DateFormat=P","Fill=—","Direction=H","UseDPDF=Y")</f>
        <v>285.86700000000002</v>
      </c>
      <c r="U7" s="13">
        <f>_xll.BDH("SRPT US Equity","BEST_SALES","FQ4 2023","FQ4 2023","Currency=USD","Period=FQ","BEST_FPERIOD_OVERRIDE=FQ","FILING_STATUS=MR","Sort=A","Dates=H","DateFormat=P","Fill=—","Direction=H","UseDPDF=Y")</f>
        <v>384.9</v>
      </c>
      <c r="V7" s="13">
        <f>_xll.BDH("SRPT US Equity","BEST_SALES","FQ1 2024","FQ1 2024","Currency=USD","Period=FQ","BEST_FPERIOD_OVERRIDE=FQ","FILING_STATUS=MR","Sort=A","Dates=H","DateFormat=P","Fill=—","Direction=H","UseDPDF=Y")</f>
        <v>383.52600000000001</v>
      </c>
      <c r="W7" s="13">
        <f>_xll.BDH("SRPT US Equity","BEST_SALES","FQ2 2024","FQ2 2024","Currency=USD","Period=FQ","BEST_FPERIOD_OVERRIDE=FQ","FILING_STATUS=MR","Sort=A","Dates=H","DateFormat=P","Fill=—","Direction=H","UseDPDF=Y")</f>
        <v>389.45</v>
      </c>
      <c r="X7" s="13">
        <f>_xll.BDH("SRPT US Equity","BEST_SALES","FQ3 2024","FQ3 2024","Currency=USD","Period=FQ","BEST_FPERIOD_OVERRIDE=FQ","FILING_STATUS=MR","Sort=A","Dates=H","DateFormat=P","Fill=—","Direction=H","UseDPDF=Y")</f>
        <v>407.1</v>
      </c>
      <c r="Y7" s="13">
        <f>_xll.BDH("SRPT US Equity","BEST_SALES","FQ4 2024","FQ4 2024","Currency=USD","Period=FQ","BEST_FPERIOD_OVERRIDE=FQ","FILING_STATUS=MR","Sort=A","Dates=H","DateFormat=P","Fill=—","Direction=H","UseDPDF=Y")</f>
        <v>626.76199999999994</v>
      </c>
      <c r="Z7" s="13">
        <v>694.9</v>
      </c>
      <c r="AA7" s="13">
        <v>760.1</v>
      </c>
    </row>
    <row r="8" spans="1:27" x14ac:dyDescent="0.25">
      <c r="A8" s="10" t="s">
        <v>132</v>
      </c>
      <c r="B8" s="10" t="s">
        <v>133</v>
      </c>
      <c r="C8" s="13">
        <f>_xll.BDH("SRPT US Equity","IS_COMP_SALES","FQ2 2019","FQ2 2019","Currency=USD","Period=FQ","BEST_FPERIOD_OVERRIDE=FQ","FILING_STATUS=MR","SCALING_FORMAT=MLN","Sort=A","Dates=H","DateFormat=P","Fill=—","Direction=H","UseDPDF=Y")</f>
        <v>94.668000000000006</v>
      </c>
      <c r="D8" s="13">
        <f>_xll.BDH("SRPT US Equity","IS_COMP_SALES","FQ3 2019","FQ3 2019","Currency=USD","Period=FQ","BEST_FPERIOD_OVERRIDE=FQ","FILING_STATUS=MR","SCALING_FORMAT=MLN","Sort=A","Dates=H","DateFormat=P","Fill=—","Direction=H","UseDPDF=Y")</f>
        <v>99.040999999999997</v>
      </c>
      <c r="E8" s="13">
        <f>_xll.BDH("SRPT US Equity","IS_COMP_SALES","FQ4 2019","FQ4 2019","Currency=USD","Period=FQ","BEST_FPERIOD_OVERRIDE=FQ","FILING_STATUS=MR","SCALING_FORMAT=MLN","Sort=A","Dates=H","DateFormat=P","Fill=—","Direction=H","UseDPDF=Y")</f>
        <v>100.113</v>
      </c>
      <c r="F8" s="13">
        <f>_xll.BDH("SRPT US Equity","IS_COMP_SALES","FQ1 2020","FQ1 2020","Currency=USD","Period=FQ","BEST_FPERIOD_OVERRIDE=FQ","FILING_STATUS=MR","SCALING_FORMAT=MLN","Sort=A","Dates=H","DateFormat=P","Fill=—","Direction=H","UseDPDF=Y")</f>
        <v>113.67400000000001</v>
      </c>
      <c r="G8" s="13">
        <f>_xll.BDH("SRPT US Equity","IS_COMP_SALES","FQ2 2020","FQ2 2020","Currency=USD","Period=FQ","BEST_FPERIOD_OVERRIDE=FQ","FILING_STATUS=MR","SCALING_FORMAT=MLN","Sort=A","Dates=H","DateFormat=P","Fill=—","Direction=H","UseDPDF=Y")</f>
        <v>137.363</v>
      </c>
      <c r="H8" s="13">
        <f>_xll.BDH("SRPT US Equity","IS_COMP_SALES","FQ3 2020","FQ3 2020","Currency=USD","Period=FQ","BEST_FPERIOD_OVERRIDE=FQ","FILING_STATUS=MR","SCALING_FORMAT=MLN","Sort=A","Dates=H","DateFormat=P","Fill=—","Direction=H","UseDPDF=Y")</f>
        <v>143.92400000000001</v>
      </c>
      <c r="I8" s="13">
        <f>_xll.BDH("SRPT US Equity","IS_COMP_SALES","FQ4 2020","FQ4 2020","Currency=USD","Period=FQ","BEST_FPERIOD_OVERRIDE=FQ","FILING_STATUS=MR","SCALING_FORMAT=MLN","Sort=A","Dates=H","DateFormat=P","Fill=—","Direction=H","UseDPDF=Y")</f>
        <v>145.13800000000001</v>
      </c>
      <c r="J8" s="13">
        <f>_xll.BDH("SRPT US Equity","IS_COMP_SALES","FQ1 2021","FQ1 2021","Currency=USD","Period=FQ","BEST_FPERIOD_OVERRIDE=FQ","FILING_STATUS=MR","SCALING_FORMAT=MLN","Sort=A","Dates=H","DateFormat=P","Fill=—","Direction=H","UseDPDF=Y")</f>
        <v>146.93100000000001</v>
      </c>
      <c r="K8" s="13">
        <f>_xll.BDH("SRPT US Equity","IS_COMP_SALES","FQ2 2021","FQ2 2021","Currency=USD","Period=FQ","BEST_FPERIOD_OVERRIDE=FQ","FILING_STATUS=MR","SCALING_FORMAT=MLN","Sort=A","Dates=H","DateFormat=P","Fill=—","Direction=H","UseDPDF=Y")</f>
        <v>164.089</v>
      </c>
      <c r="L8" s="13">
        <f>_xll.BDH("SRPT US Equity","IS_COMP_SALES","FQ3 2021","FQ3 2021","Currency=USD","Period=FQ","BEST_FPERIOD_OVERRIDE=FQ","FILING_STATUS=MR","SCALING_FORMAT=MLN","Sort=A","Dates=H","DateFormat=P","Fill=—","Direction=H","UseDPDF=Y")</f>
        <v>189.40600000000001</v>
      </c>
      <c r="M8" s="13">
        <f>_xll.BDH("SRPT US Equity","IS_COMP_SALES","FQ4 2021","FQ4 2021","Currency=USD","Period=FQ","BEST_FPERIOD_OVERRIDE=FQ","FILING_STATUS=MR","SCALING_FORMAT=MLN","Sort=A","Dates=H","DateFormat=P","Fill=—","Direction=H","UseDPDF=Y")</f>
        <v>201.46100000000001</v>
      </c>
      <c r="N8" s="13">
        <f>_xll.BDH("SRPT US Equity","IS_COMP_SALES","FQ1 2022","FQ1 2022","Currency=USD","Period=FQ","BEST_FPERIOD_OVERRIDE=FQ","FILING_STATUS=MR","SCALING_FORMAT=MLN","Sort=A","Dates=H","DateFormat=P","Fill=—","Direction=H","UseDPDF=Y")</f>
        <v>210.83</v>
      </c>
      <c r="O8" s="13">
        <f>_xll.BDH("SRPT US Equity","IS_COMP_SALES","FQ2 2022","FQ2 2022","Currency=USD","Period=FQ","BEST_FPERIOD_OVERRIDE=FQ","FILING_STATUS=MR","SCALING_FORMAT=MLN","Sort=A","Dates=H","DateFormat=P","Fill=—","Direction=H","UseDPDF=Y")</f>
        <v>233.48699999999999</v>
      </c>
      <c r="P8" s="13">
        <f>_xll.BDH("SRPT US Equity","IS_COMP_SALES","FQ3 2022","FQ3 2022","Currency=USD","Period=FQ","BEST_FPERIOD_OVERRIDE=FQ","FILING_STATUS=MR","SCALING_FORMAT=MLN","Sort=A","Dates=H","DateFormat=P","Fill=—","Direction=H","UseDPDF=Y")</f>
        <v>230.26900000000001</v>
      </c>
      <c r="Q8" s="13">
        <f>_xll.BDH("SRPT US Equity","IS_COMP_SALES","FQ4 2022","FQ4 2022","Currency=USD","Period=FQ","BEST_FPERIOD_OVERRIDE=FQ","FILING_STATUS=MR","SCALING_FORMAT=MLN","Sort=A","Dates=H","DateFormat=P","Fill=—","Direction=H","UseDPDF=Y")</f>
        <v>258.42700000000002</v>
      </c>
      <c r="R8" s="13">
        <f>_xll.BDH("SRPT US Equity","IS_COMP_SALES","FQ1 2023","FQ1 2023","Currency=USD","Period=FQ","BEST_FPERIOD_OVERRIDE=FQ","FILING_STATUS=MR","SCALING_FORMAT=MLN","Sort=A","Dates=H","DateFormat=P","Fill=—","Direction=H","UseDPDF=Y")</f>
        <v>253.5</v>
      </c>
      <c r="S8" s="13">
        <f>_xll.BDH("SRPT US Equity","IS_COMP_SALES","FQ2 2023","FQ2 2023","Currency=USD","Period=FQ","BEST_FPERIOD_OVERRIDE=FQ","FILING_STATUS=MR","SCALING_FORMAT=MLN","Sort=A","Dates=H","DateFormat=P","Fill=—","Direction=H","UseDPDF=Y")</f>
        <v>261.238</v>
      </c>
      <c r="T8" s="13">
        <f>_xll.BDH("SRPT US Equity","IS_COMP_SALES","FQ3 2023","FQ3 2023","Currency=USD","Period=FQ","BEST_FPERIOD_OVERRIDE=FQ","FILING_STATUS=MR","SCALING_FORMAT=MLN","Sort=A","Dates=H","DateFormat=P","Fill=—","Direction=H","UseDPDF=Y")</f>
        <v>331.81700000000001</v>
      </c>
      <c r="U8" s="13">
        <f>_xll.BDH("SRPT US Equity","IS_COMP_SALES","FQ4 2023","FQ4 2023","Currency=USD","Period=FQ","BEST_FPERIOD_OVERRIDE=FQ","FILING_STATUS=MR","SCALING_FORMAT=MLN","Sort=A","Dates=H","DateFormat=P","Fill=—","Direction=H","UseDPDF=Y")</f>
        <v>396.78100000000001</v>
      </c>
      <c r="V8" s="13">
        <f>_xll.BDH("SRPT US Equity","IS_COMP_SALES","FQ1 2024","FQ1 2024","Currency=USD","Period=FQ","BEST_FPERIOD_OVERRIDE=FQ","FILING_STATUS=MR","SCALING_FORMAT=MLN","Sort=A","Dates=H","DateFormat=P","Fill=—","Direction=H","UseDPDF=Y")</f>
        <v>413.464</v>
      </c>
      <c r="W8" s="13">
        <f>_xll.BDH("SRPT US Equity","IS_COMP_SALES","FQ2 2024","FQ2 2024","Currency=USD","Period=FQ","BEST_FPERIOD_OVERRIDE=FQ","FILING_STATUS=MR","SCALING_FORMAT=MLN","Sort=A","Dates=H","DateFormat=P","Fill=—","Direction=H","UseDPDF=Y")</f>
        <v>362.93099999999998</v>
      </c>
      <c r="X8" s="13">
        <f>_xll.BDH("SRPT US Equity","IS_COMP_SALES","FQ3 2024","FQ3 2024","Currency=USD","Period=FQ","BEST_FPERIOD_OVERRIDE=FQ","FILING_STATUS=MR","SCALING_FORMAT=MLN","Sort=A","Dates=H","DateFormat=P","Fill=—","Direction=H","UseDPDF=Y")</f>
        <v>467.17200000000003</v>
      </c>
      <c r="Y8" s="13">
        <f>_xll.BDH("SRPT US Equity","IS_COMP_SALES","FQ4 2024","FQ4 2024","Currency=USD","Period=FQ","BEST_FPERIOD_OVERRIDE=FQ","FILING_STATUS=MR","SCALING_FORMAT=MLN","Sort=A","Dates=H","DateFormat=P","Fill=—","Direction=H","UseDPDF=Y")</f>
        <v>658.41200000000003</v>
      </c>
      <c r="Z8" s="13"/>
      <c r="AA8" s="13"/>
    </row>
    <row r="9" spans="1:27" x14ac:dyDescent="0.25">
      <c r="A9" s="11" t="s">
        <v>134</v>
      </c>
      <c r="B9" s="11"/>
      <c r="C9" s="25">
        <v>3.9702151494184799</v>
      </c>
      <c r="D9" s="25">
        <v>0.55434286004364897</v>
      </c>
      <c r="E9" s="25">
        <v>1.33407561111392</v>
      </c>
      <c r="F9" s="25">
        <v>-3.9298874277407698</v>
      </c>
      <c r="G9" s="25">
        <v>18.4521191738887</v>
      </c>
      <c r="H9" s="25">
        <v>8.0778270892938995</v>
      </c>
      <c r="I9" s="25">
        <v>-0.22273858464752599</v>
      </c>
      <c r="J9" s="25">
        <v>4.2063829787234104</v>
      </c>
      <c r="K9" s="25">
        <v>6.0506569635551601</v>
      </c>
      <c r="L9" s="25">
        <v>6.1098039215686297</v>
      </c>
      <c r="M9" s="25">
        <v>0.38317421720846101</v>
      </c>
      <c r="N9" s="25">
        <v>1.4732707959320199</v>
      </c>
      <c r="O9" s="25">
        <v>5.8192497518661002</v>
      </c>
      <c r="P9" s="25">
        <v>-1.7674009862976301</v>
      </c>
      <c r="Q9" s="25">
        <v>2.7661241256447102</v>
      </c>
      <c r="R9" s="25">
        <v>4.1696629998397396</v>
      </c>
      <c r="S9" s="25">
        <v>1.6256968244644101</v>
      </c>
      <c r="T9" s="25">
        <v>16.073908495908899</v>
      </c>
      <c r="U9" s="25">
        <v>3.0867757859184302</v>
      </c>
      <c r="V9" s="25">
        <v>7.8059896851843096</v>
      </c>
      <c r="W9" s="25">
        <v>-6.8093465143150604</v>
      </c>
      <c r="X9" s="25">
        <v>14.756079587325001</v>
      </c>
      <c r="Y9" s="25">
        <v>5.0497637061596103</v>
      </c>
      <c r="Z9" s="25"/>
      <c r="AA9" s="25"/>
    </row>
    <row r="10" spans="1:27" x14ac:dyDescent="0.25">
      <c r="A10" s="10" t="s">
        <v>135</v>
      </c>
      <c r="B10" s="10" t="s">
        <v>71</v>
      </c>
      <c r="C10" s="13">
        <f>_xll.BDH("SRPT US Equity","SALES_REV_TURN","FQ2 2019","FQ2 2019","Currency=USD","Period=FQ","BEST_FPERIOD_OVERRIDE=FQ","FILING_STATUS=MR","SCALING_FORMAT=MLN","FA_ADJUSTED=GAAP","Sort=A","Dates=H","DateFormat=P","Fill=—","Direction=H","UseDPDF=Y")</f>
        <v>94.668000000000006</v>
      </c>
      <c r="D10" s="13">
        <f>_xll.BDH("SRPT US Equity","SALES_REV_TURN","FQ3 2019","FQ3 2019","Currency=USD","Period=FQ","BEST_FPERIOD_OVERRIDE=FQ","FILING_STATUS=MR","SCALING_FORMAT=MLN","FA_ADJUSTED=GAAP","Sort=A","Dates=H","DateFormat=P","Fill=—","Direction=H","UseDPDF=Y")</f>
        <v>99.040999999999997</v>
      </c>
      <c r="E10" s="13">
        <f>_xll.BDH("SRPT US Equity","SALES_REV_TURN","FQ4 2019","FQ4 2019","Currency=USD","Period=FQ","BEST_FPERIOD_OVERRIDE=FQ","FILING_STATUS=MR","SCALING_FORMAT=MLN","FA_ADJUSTED=GAAP","Sort=A","Dates=H","DateFormat=P","Fill=—","Direction=H","UseDPDF=Y")</f>
        <v>100.113</v>
      </c>
      <c r="F10" s="13">
        <f>_xll.BDH("SRPT US Equity","SALES_REV_TURN","FQ1 2020","FQ1 2020","Currency=USD","Period=FQ","BEST_FPERIOD_OVERRIDE=FQ","FILING_STATUS=MR","SCALING_FORMAT=MLN","FA_ADJUSTED=GAAP","Sort=A","Dates=H","DateFormat=P","Fill=—","Direction=H","UseDPDF=Y")</f>
        <v>113.67400000000001</v>
      </c>
      <c r="G10" s="13">
        <f>_xll.BDH("SRPT US Equity","SALES_REV_TURN","FQ2 2020","FQ2 2020","Currency=USD","Period=FQ","BEST_FPERIOD_OVERRIDE=FQ","FILING_STATUS=MR","SCALING_FORMAT=MLN","FA_ADJUSTED=GAAP","Sort=A","Dates=H","DateFormat=P","Fill=—","Direction=H","UseDPDF=Y")</f>
        <v>137.363</v>
      </c>
      <c r="H10" s="13">
        <f>_xll.BDH("SRPT US Equity","SALES_REV_TURN","FQ3 2020","FQ3 2020","Currency=USD","Period=FQ","BEST_FPERIOD_OVERRIDE=FQ","FILING_STATUS=MR","SCALING_FORMAT=MLN","FA_ADJUSTED=GAAP","Sort=A","Dates=H","DateFormat=P","Fill=—","Direction=H","UseDPDF=Y")</f>
        <v>143.92400000000001</v>
      </c>
      <c r="I10" s="13">
        <f>_xll.BDH("SRPT US Equity","SALES_REV_TURN","FQ4 2020","FQ4 2020","Currency=USD","Period=FQ","BEST_FPERIOD_OVERRIDE=FQ","FILING_STATUS=MR","SCALING_FORMAT=MLN","FA_ADJUSTED=GAAP","Sort=A","Dates=H","DateFormat=P","Fill=—","Direction=H","UseDPDF=Y")</f>
        <v>145.13800000000001</v>
      </c>
      <c r="J10" s="13">
        <f>_xll.BDH("SRPT US Equity","SALES_REV_TURN","FQ1 2021","FQ1 2021","Currency=USD","Period=FQ","BEST_FPERIOD_OVERRIDE=FQ","FILING_STATUS=MR","SCALING_FORMAT=MLN","FA_ADJUSTED=GAAP","Sort=A","Dates=H","DateFormat=P","Fill=—","Direction=H","UseDPDF=Y")</f>
        <v>146.93100000000001</v>
      </c>
      <c r="K10" s="13">
        <f>_xll.BDH("SRPT US Equity","SALES_REV_TURN","FQ2 2021","FQ2 2021","Currency=USD","Period=FQ","BEST_FPERIOD_OVERRIDE=FQ","FILING_STATUS=MR","SCALING_FORMAT=MLN","FA_ADJUSTED=GAAP","Sort=A","Dates=H","DateFormat=P","Fill=—","Direction=H","UseDPDF=Y")</f>
        <v>164.089</v>
      </c>
      <c r="L10" s="13">
        <f>_xll.BDH("SRPT US Equity","SALES_REV_TURN","FQ3 2021","FQ3 2021","Currency=USD","Period=FQ","BEST_FPERIOD_OVERRIDE=FQ","FILING_STATUS=MR","SCALING_FORMAT=MLN","FA_ADJUSTED=GAAP","Sort=A","Dates=H","DateFormat=P","Fill=—","Direction=H","UseDPDF=Y")</f>
        <v>189.40600000000001</v>
      </c>
      <c r="M10" s="13">
        <f>_xll.BDH("SRPT US Equity","SALES_REV_TURN","FQ4 2021","FQ4 2021","Currency=USD","Period=FQ","BEST_FPERIOD_OVERRIDE=FQ","FILING_STATUS=MR","SCALING_FORMAT=MLN","FA_ADJUSTED=GAAP","Sort=A","Dates=H","DateFormat=P","Fill=—","Direction=H","UseDPDF=Y")</f>
        <v>201.46100000000001</v>
      </c>
      <c r="N10" s="13">
        <f>_xll.BDH("SRPT US Equity","SALES_REV_TURN","FQ1 2022","FQ1 2022","Currency=USD","Period=FQ","BEST_FPERIOD_OVERRIDE=FQ","FILING_STATUS=MR","SCALING_FORMAT=MLN","FA_ADJUSTED=GAAP","Sort=A","Dates=H","DateFormat=P","Fill=—","Direction=H","UseDPDF=Y")</f>
        <v>210.83</v>
      </c>
      <c r="O10" s="13">
        <f>_xll.BDH("SRPT US Equity","SALES_REV_TURN","FQ2 2022","FQ2 2022","Currency=USD","Period=FQ","BEST_FPERIOD_OVERRIDE=FQ","FILING_STATUS=MR","SCALING_FORMAT=MLN","FA_ADJUSTED=GAAP","Sort=A","Dates=H","DateFormat=P","Fill=—","Direction=H","UseDPDF=Y")</f>
        <v>233.48699999999999</v>
      </c>
      <c r="P10" s="13">
        <f>_xll.BDH("SRPT US Equity","SALES_REV_TURN","FQ3 2022","FQ3 2022","Currency=USD","Period=FQ","BEST_FPERIOD_OVERRIDE=FQ","FILING_STATUS=MR","SCALING_FORMAT=MLN","FA_ADJUSTED=GAAP","Sort=A","Dates=H","DateFormat=P","Fill=—","Direction=H","UseDPDF=Y")</f>
        <v>230.26900000000001</v>
      </c>
      <c r="Q10" s="13">
        <f>_xll.BDH("SRPT US Equity","SALES_REV_TURN","FQ4 2022","FQ4 2022","Currency=USD","Period=FQ","BEST_FPERIOD_OVERRIDE=FQ","FILING_STATUS=MR","SCALING_FORMAT=MLN","FA_ADJUSTED=GAAP","Sort=A","Dates=H","DateFormat=P","Fill=—","Direction=H","UseDPDF=Y")</f>
        <v>258.42700000000002</v>
      </c>
      <c r="R10" s="13">
        <f>_xll.BDH("SRPT US Equity","SALES_REV_TURN","FQ1 2023","FQ1 2023","Currency=USD","Period=FQ","BEST_FPERIOD_OVERRIDE=FQ","FILING_STATUS=MR","SCALING_FORMAT=MLN","FA_ADJUSTED=GAAP","Sort=A","Dates=H","DateFormat=P","Fill=—","Direction=H","UseDPDF=Y")</f>
        <v>253.5</v>
      </c>
      <c r="S10" s="13">
        <f>_xll.BDH("SRPT US Equity","SALES_REV_TURN","FQ2 2023","FQ2 2023","Currency=USD","Period=FQ","BEST_FPERIOD_OVERRIDE=FQ","FILING_STATUS=MR","SCALING_FORMAT=MLN","FA_ADJUSTED=GAAP","Sort=A","Dates=H","DateFormat=P","Fill=—","Direction=H","UseDPDF=Y")</f>
        <v>261.238</v>
      </c>
      <c r="T10" s="13">
        <f>_xll.BDH("SRPT US Equity","SALES_REV_TURN","FQ3 2023","FQ3 2023","Currency=USD","Period=FQ","BEST_FPERIOD_OVERRIDE=FQ","FILING_STATUS=MR","SCALING_FORMAT=MLN","FA_ADJUSTED=GAAP","Sort=A","Dates=H","DateFormat=P","Fill=—","Direction=H","UseDPDF=Y")</f>
        <v>331.81700000000001</v>
      </c>
      <c r="U10" s="13">
        <f>_xll.BDH("SRPT US Equity","SALES_REV_TURN","FQ4 2023","FQ4 2023","Currency=USD","Period=FQ","BEST_FPERIOD_OVERRIDE=FQ","FILING_STATUS=MR","SCALING_FORMAT=MLN","FA_ADJUSTED=GAAP","Sort=A","Dates=H","DateFormat=P","Fill=—","Direction=H","UseDPDF=Y")</f>
        <v>396.78100000000001</v>
      </c>
      <c r="V10" s="13">
        <f>_xll.BDH("SRPT US Equity","SALES_REV_TURN","FQ1 2024","FQ1 2024","Currency=USD","Period=FQ","BEST_FPERIOD_OVERRIDE=FQ","FILING_STATUS=MR","SCALING_FORMAT=MLN","FA_ADJUSTED=GAAP","Sort=A","Dates=H","DateFormat=P","Fill=—","Direction=H","UseDPDF=Y")</f>
        <v>413.464</v>
      </c>
      <c r="W10" s="13">
        <f>_xll.BDH("SRPT US Equity","SALES_REV_TURN","FQ2 2024","FQ2 2024","Currency=USD","Period=FQ","BEST_FPERIOD_OVERRIDE=FQ","FILING_STATUS=MR","SCALING_FORMAT=MLN","FA_ADJUSTED=GAAP","Sort=A","Dates=H","DateFormat=P","Fill=—","Direction=H","UseDPDF=Y")</f>
        <v>362.93099999999998</v>
      </c>
      <c r="X10" s="13">
        <f>_xll.BDH("SRPT US Equity","SALES_REV_TURN","FQ3 2024","FQ3 2024","Currency=USD","Period=FQ","BEST_FPERIOD_OVERRIDE=FQ","FILING_STATUS=MR","SCALING_FORMAT=MLN","FA_ADJUSTED=GAAP","Sort=A","Dates=H","DateFormat=P","Fill=—","Direction=H","UseDPDF=Y")</f>
        <v>467.17200000000003</v>
      </c>
      <c r="Y10" s="13">
        <f>_xll.BDH("SRPT US Equity","SALES_REV_TURN","FQ4 2024","FQ4 2024","Currency=USD","Period=FQ","BEST_FPERIOD_OVERRIDE=FQ","FILING_STATUS=MR","SCALING_FORMAT=MLN","FA_ADJUSTED=GAAP","Sort=A","Dates=H","DateFormat=P","Fill=—","Direction=H","UseDPDF=Y")</f>
        <v>658.41200000000003</v>
      </c>
      <c r="Z10" s="13"/>
      <c r="AA10" s="13"/>
    </row>
    <row r="11" spans="1:27" x14ac:dyDescent="0.25">
      <c r="A11" s="10" t="s">
        <v>136</v>
      </c>
      <c r="B11" s="10" t="s">
        <v>71</v>
      </c>
      <c r="C11" s="13">
        <f>_xll.BDH("SRPT US Equity","SALES_REV_TURN","FQ2 2019","FQ2 2019","Currency=USD","Period=FQ","BEST_FPERIOD_OVERRIDE=FQ","FILING_STATUS=MR","SCALING_FORMAT=MLN","FA_ADJUSTED=Adjusted","Sort=A","Dates=H","DateFormat=P","Fill=—","Direction=H","UseDPDF=Y")</f>
        <v>94.668000000000006</v>
      </c>
      <c r="D11" s="13">
        <f>_xll.BDH("SRPT US Equity","SALES_REV_TURN","FQ3 2019","FQ3 2019","Currency=USD","Period=FQ","BEST_FPERIOD_OVERRIDE=FQ","FILING_STATUS=MR","SCALING_FORMAT=MLN","FA_ADJUSTED=Adjusted","Sort=A","Dates=H","DateFormat=P","Fill=—","Direction=H","UseDPDF=Y")</f>
        <v>99.040999999999997</v>
      </c>
      <c r="E11" s="13">
        <f>_xll.BDH("SRPT US Equity","SALES_REV_TURN","FQ4 2019","FQ4 2019","Currency=USD","Period=FQ","BEST_FPERIOD_OVERRIDE=FQ","FILING_STATUS=MR","SCALING_FORMAT=MLN","FA_ADJUSTED=Adjusted","Sort=A","Dates=H","DateFormat=P","Fill=—","Direction=H","UseDPDF=Y")</f>
        <v>100.113</v>
      </c>
      <c r="F11" s="13">
        <f>_xll.BDH("SRPT US Equity","SALES_REV_TURN","FQ1 2020","FQ1 2020","Currency=USD","Period=FQ","BEST_FPERIOD_OVERRIDE=FQ","FILING_STATUS=MR","SCALING_FORMAT=MLN","FA_ADJUSTED=Adjusted","Sort=A","Dates=H","DateFormat=P","Fill=—","Direction=H","UseDPDF=Y")</f>
        <v>113.67400000000001</v>
      </c>
      <c r="G11" s="13">
        <f>_xll.BDH("SRPT US Equity","SALES_REV_TURN","FQ2 2020","FQ2 2020","Currency=USD","Period=FQ","BEST_FPERIOD_OVERRIDE=FQ","FILING_STATUS=MR","SCALING_FORMAT=MLN","FA_ADJUSTED=Adjusted","Sort=A","Dates=H","DateFormat=P","Fill=—","Direction=H","UseDPDF=Y")</f>
        <v>137.363</v>
      </c>
      <c r="H11" s="13">
        <f>_xll.BDH("SRPT US Equity","SALES_REV_TURN","FQ3 2020","FQ3 2020","Currency=USD","Period=FQ","BEST_FPERIOD_OVERRIDE=FQ","FILING_STATUS=MR","SCALING_FORMAT=MLN","FA_ADJUSTED=Adjusted","Sort=A","Dates=H","DateFormat=P","Fill=—","Direction=H","UseDPDF=Y")</f>
        <v>143.92400000000001</v>
      </c>
      <c r="I11" s="13">
        <f>_xll.BDH("SRPT US Equity","SALES_REV_TURN","FQ4 2020","FQ4 2020","Currency=USD","Period=FQ","BEST_FPERIOD_OVERRIDE=FQ","FILING_STATUS=MR","SCALING_FORMAT=MLN","FA_ADJUSTED=Adjusted","Sort=A","Dates=H","DateFormat=P","Fill=—","Direction=H","UseDPDF=Y")</f>
        <v>145.13800000000001</v>
      </c>
      <c r="J11" s="13">
        <f>_xll.BDH("SRPT US Equity","SALES_REV_TURN","FQ1 2021","FQ1 2021","Currency=USD","Period=FQ","BEST_FPERIOD_OVERRIDE=FQ","FILING_STATUS=MR","SCALING_FORMAT=MLN","FA_ADJUSTED=Adjusted","Sort=A","Dates=H","DateFormat=P","Fill=—","Direction=H","UseDPDF=Y")</f>
        <v>146.93100000000001</v>
      </c>
      <c r="K11" s="13">
        <f>_xll.BDH("SRPT US Equity","SALES_REV_TURN","FQ2 2021","FQ2 2021","Currency=USD","Period=FQ","BEST_FPERIOD_OVERRIDE=FQ","FILING_STATUS=MR","SCALING_FORMAT=MLN","FA_ADJUSTED=Adjusted","Sort=A","Dates=H","DateFormat=P","Fill=—","Direction=H","UseDPDF=Y")</f>
        <v>164.089</v>
      </c>
      <c r="L11" s="13">
        <f>_xll.BDH("SRPT US Equity","SALES_REV_TURN","FQ3 2021","FQ3 2021","Currency=USD","Period=FQ","BEST_FPERIOD_OVERRIDE=FQ","FILING_STATUS=MR","SCALING_FORMAT=MLN","FA_ADJUSTED=Adjusted","Sort=A","Dates=H","DateFormat=P","Fill=—","Direction=H","UseDPDF=Y")</f>
        <v>189.40600000000001</v>
      </c>
      <c r="M11" s="13">
        <f>_xll.BDH("SRPT US Equity","SALES_REV_TURN","FQ4 2021","FQ4 2021","Currency=USD","Period=FQ","BEST_FPERIOD_OVERRIDE=FQ","FILING_STATUS=MR","SCALING_FORMAT=MLN","FA_ADJUSTED=Adjusted","Sort=A","Dates=H","DateFormat=P","Fill=—","Direction=H","UseDPDF=Y")</f>
        <v>201.46100000000001</v>
      </c>
      <c r="N11" s="13">
        <f>_xll.BDH("SRPT US Equity","SALES_REV_TURN","FQ1 2022","FQ1 2022","Currency=USD","Period=FQ","BEST_FPERIOD_OVERRIDE=FQ","FILING_STATUS=MR","SCALING_FORMAT=MLN","FA_ADJUSTED=Adjusted","Sort=A","Dates=H","DateFormat=P","Fill=—","Direction=H","UseDPDF=Y")</f>
        <v>210.83</v>
      </c>
      <c r="O11" s="13">
        <f>_xll.BDH("SRPT US Equity","SALES_REV_TURN","FQ2 2022","FQ2 2022","Currency=USD","Period=FQ","BEST_FPERIOD_OVERRIDE=FQ","FILING_STATUS=MR","SCALING_FORMAT=MLN","FA_ADJUSTED=Adjusted","Sort=A","Dates=H","DateFormat=P","Fill=—","Direction=H","UseDPDF=Y")</f>
        <v>233.48699999999999</v>
      </c>
      <c r="P11" s="13">
        <f>_xll.BDH("SRPT US Equity","SALES_REV_TURN","FQ3 2022","FQ3 2022","Currency=USD","Period=FQ","BEST_FPERIOD_OVERRIDE=FQ","FILING_STATUS=MR","SCALING_FORMAT=MLN","FA_ADJUSTED=Adjusted","Sort=A","Dates=H","DateFormat=P","Fill=—","Direction=H","UseDPDF=Y")</f>
        <v>230.26900000000001</v>
      </c>
      <c r="Q11" s="13">
        <f>_xll.BDH("SRPT US Equity","SALES_REV_TURN","FQ4 2022","FQ4 2022","Currency=USD","Period=FQ","BEST_FPERIOD_OVERRIDE=FQ","FILING_STATUS=MR","SCALING_FORMAT=MLN","FA_ADJUSTED=Adjusted","Sort=A","Dates=H","DateFormat=P","Fill=—","Direction=H","UseDPDF=Y")</f>
        <v>258.42700000000002</v>
      </c>
      <c r="R11" s="13">
        <f>_xll.BDH("SRPT US Equity","SALES_REV_TURN","FQ1 2023","FQ1 2023","Currency=USD","Period=FQ","BEST_FPERIOD_OVERRIDE=FQ","FILING_STATUS=MR","SCALING_FORMAT=MLN","FA_ADJUSTED=Adjusted","Sort=A","Dates=H","DateFormat=P","Fill=—","Direction=H","UseDPDF=Y")</f>
        <v>253.5</v>
      </c>
      <c r="S11" s="13">
        <f>_xll.BDH("SRPT US Equity","SALES_REV_TURN","FQ2 2023","FQ2 2023","Currency=USD","Period=FQ","BEST_FPERIOD_OVERRIDE=FQ","FILING_STATUS=MR","SCALING_FORMAT=MLN","FA_ADJUSTED=Adjusted","Sort=A","Dates=H","DateFormat=P","Fill=—","Direction=H","UseDPDF=Y")</f>
        <v>261.238</v>
      </c>
      <c r="T11" s="13">
        <f>_xll.BDH("SRPT US Equity","SALES_REV_TURN","FQ3 2023","FQ3 2023","Currency=USD","Period=FQ","BEST_FPERIOD_OVERRIDE=FQ","FILING_STATUS=MR","SCALING_FORMAT=MLN","FA_ADJUSTED=Adjusted","Sort=A","Dates=H","DateFormat=P","Fill=—","Direction=H","UseDPDF=Y")</f>
        <v>331.81700000000001</v>
      </c>
      <c r="U11" s="13">
        <f>_xll.BDH("SRPT US Equity","SALES_REV_TURN","FQ4 2023","FQ4 2023","Currency=USD","Period=FQ","BEST_FPERIOD_OVERRIDE=FQ","FILING_STATUS=MR","SCALING_FORMAT=MLN","FA_ADJUSTED=Adjusted","Sort=A","Dates=H","DateFormat=P","Fill=—","Direction=H","UseDPDF=Y")</f>
        <v>396.78100000000001</v>
      </c>
      <c r="V11" s="13">
        <f>_xll.BDH("SRPT US Equity","SALES_REV_TURN","FQ1 2024","FQ1 2024","Currency=USD","Period=FQ","BEST_FPERIOD_OVERRIDE=FQ","FILING_STATUS=MR","SCALING_FORMAT=MLN","FA_ADJUSTED=Adjusted","Sort=A","Dates=H","DateFormat=P","Fill=—","Direction=H","UseDPDF=Y")</f>
        <v>413.464</v>
      </c>
      <c r="W11" s="13">
        <f>_xll.BDH("SRPT US Equity","SALES_REV_TURN","FQ2 2024","FQ2 2024","Currency=USD","Period=FQ","BEST_FPERIOD_OVERRIDE=FQ","FILING_STATUS=MR","SCALING_FORMAT=MLN","FA_ADJUSTED=Adjusted","Sort=A","Dates=H","DateFormat=P","Fill=—","Direction=H","UseDPDF=Y")</f>
        <v>362.93099999999998</v>
      </c>
      <c r="X11" s="13">
        <f>_xll.BDH("SRPT US Equity","SALES_REV_TURN","FQ3 2024","FQ3 2024","Currency=USD","Period=FQ","BEST_FPERIOD_OVERRIDE=FQ","FILING_STATUS=MR","SCALING_FORMAT=MLN","FA_ADJUSTED=Adjusted","Sort=A","Dates=H","DateFormat=P","Fill=—","Direction=H","UseDPDF=Y")</f>
        <v>467.17200000000003</v>
      </c>
      <c r="Y11" s="13">
        <f>_xll.BDH("SRPT US Equity","SALES_REV_TURN","FQ4 2024","FQ4 2024","Currency=USD","Period=FQ","BEST_FPERIOD_OVERRIDE=FQ","FILING_STATUS=MR","SCALING_FORMAT=MLN","FA_ADJUSTED=Adjusted","Sort=A","Dates=H","DateFormat=P","Fill=—","Direction=H","UseDPDF=Y")</f>
        <v>658.41200000000003</v>
      </c>
      <c r="Z11" s="13"/>
      <c r="AA11" s="13"/>
    </row>
    <row r="12" spans="1:27" x14ac:dyDescent="0.25">
      <c r="A12" s="1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25">
      <c r="A13" s="6" t="s">
        <v>137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 x14ac:dyDescent="0.25">
      <c r="A14" s="10" t="s">
        <v>130</v>
      </c>
      <c r="B14" s="10" t="s">
        <v>138</v>
      </c>
      <c r="C14" s="14">
        <f>_xll.BDH("SRPT US Equity","BEST_EPS_GAAP","FQ2 2019","FQ2 2019","Currency=USD","Period=FQ","BEST_FPERIOD_OVERRIDE=FQ","FILING_STATUS=MR","Sort=A","Dates=H","DateFormat=P","Fill=—","Direction=H","UseDPDF=Y")</f>
        <v>-1.401</v>
      </c>
      <c r="D14" s="14">
        <f>_xll.BDH("SRPT US Equity","BEST_EPS_GAAP","FQ3 2019","FQ3 2019","Currency=USD","Period=FQ","BEST_FPERIOD_OVERRIDE=FQ","FILING_STATUS=MR","Sort=A","Dates=H","DateFormat=P","Fill=—","Direction=H","UseDPDF=Y")</f>
        <v>-1.3660000000000001</v>
      </c>
      <c r="E14" s="14">
        <f>_xll.BDH("SRPT US Equity","BEST_EPS_GAAP","FQ4 2019","FQ4 2019","Currency=USD","Period=FQ","BEST_FPERIOD_OVERRIDE=FQ","FILING_STATUS=MR","Sort=A","Dates=H","DateFormat=P","Fill=—","Direction=H","UseDPDF=Y")</f>
        <v>-1.8720000000000001</v>
      </c>
      <c r="F14" s="14">
        <f>_xll.BDH("SRPT US Equity","BEST_EPS_GAAP","FQ1 2020","FQ1 2020","Currency=USD","Period=FQ","BEST_FPERIOD_OVERRIDE=FQ","FILING_STATUS=MR","Sort=A","Dates=H","DateFormat=P","Fill=—","Direction=H","UseDPDF=Y")</f>
        <v>-1.8859999999999999</v>
      </c>
      <c r="G14" s="14">
        <f>_xll.BDH("SRPT US Equity","BEST_EPS_GAAP","FQ2 2020","FQ2 2020","Currency=USD","Period=FQ","BEST_FPERIOD_OVERRIDE=FQ","FILING_STATUS=MR","Sort=A","Dates=H","DateFormat=P","Fill=—","Direction=H","UseDPDF=Y")</f>
        <v>-1.8140000000000001</v>
      </c>
      <c r="H14" s="14">
        <f>_xll.BDH("SRPT US Equity","BEST_EPS_GAAP","FQ3 2020","FQ3 2020","Currency=USD","Period=FQ","BEST_FPERIOD_OVERRIDE=FQ","FILING_STATUS=MR","Sort=A","Dates=H","DateFormat=P","Fill=—","Direction=H","UseDPDF=Y")</f>
        <v>-1.7470000000000001</v>
      </c>
      <c r="I14" s="14">
        <f>_xll.BDH("SRPT US Equity","BEST_EPS_GAAP","FQ4 2020","FQ4 2020","Currency=USD","Period=FQ","BEST_FPERIOD_OVERRIDE=FQ","FILING_STATUS=MR","Sort=A","Dates=H","DateFormat=P","Fill=—","Direction=H","UseDPDF=Y")</f>
        <v>-1.893</v>
      </c>
      <c r="J14" s="14">
        <f>_xll.BDH("SRPT US Equity","BEST_EPS_GAAP","FQ1 2021","FQ1 2021","Currency=USD","Period=FQ","BEST_FPERIOD_OVERRIDE=FQ","FILING_STATUS=MR","Sort=A","Dates=H","DateFormat=P","Fill=—","Direction=H","UseDPDF=Y")</f>
        <v>-1.8720000000000001</v>
      </c>
      <c r="K14" s="14">
        <f>_xll.BDH("SRPT US Equity","BEST_EPS_GAAP","FQ2 2021","FQ2 2021","Currency=USD","Period=FQ","BEST_FPERIOD_OVERRIDE=FQ","FILING_STATUS=MR","Sort=A","Dates=H","DateFormat=P","Fill=—","Direction=H","UseDPDF=Y")</f>
        <v>-1.3240000000000001</v>
      </c>
      <c r="L14" s="14">
        <f>_xll.BDH("SRPT US Equity","BEST_EPS_GAAP","FQ3 2021","FQ3 2021","Currency=USD","Period=FQ","BEST_FPERIOD_OVERRIDE=FQ","FILING_STATUS=MR","Sort=A","Dates=H","DateFormat=P","Fill=—","Direction=H","UseDPDF=Y")</f>
        <v>-1.9790000000000001</v>
      </c>
      <c r="M14" s="14">
        <f>_xll.BDH("SRPT US Equity","BEST_EPS_GAAP","FQ4 2021","FQ4 2021","Currency=USD","Period=FQ","BEST_FPERIOD_OVERRIDE=FQ","FILING_STATUS=MR","Sort=A","Dates=H","DateFormat=P","Fill=—","Direction=H","UseDPDF=Y")</f>
        <v>-1.3240000000000001</v>
      </c>
      <c r="N14" s="14">
        <f>_xll.BDH("SRPT US Equity","BEST_EPS_GAAP","FQ1 2022","FQ1 2022","Currency=USD","Period=FQ","BEST_FPERIOD_OVERRIDE=FQ","FILING_STATUS=MR","Sort=A","Dates=H","DateFormat=P","Fill=—","Direction=H","UseDPDF=Y")</f>
        <v>-1.2949999999999999</v>
      </c>
      <c r="O14" s="14">
        <f>_xll.BDH("SRPT US Equity","BEST_EPS_GAAP","FQ2 2022","FQ2 2022","Currency=USD","Period=FQ","BEST_FPERIOD_OVERRIDE=FQ","FILING_STATUS=MR","Sort=A","Dates=H","DateFormat=P","Fill=—","Direction=H","UseDPDF=Y")</f>
        <v>-1.19</v>
      </c>
      <c r="P14" s="14">
        <f>_xll.BDH("SRPT US Equity","BEST_EPS_GAAP","FQ3 2022","FQ3 2022","Currency=USD","Period=FQ","BEST_FPERIOD_OVERRIDE=FQ","FILING_STATUS=MR","Sort=A","Dates=H","DateFormat=P","Fill=—","Direction=H","UseDPDF=Y")</f>
        <v>-1.3440000000000001</v>
      </c>
      <c r="Q14" s="14">
        <f>_xll.BDH("SRPT US Equity","BEST_EPS_GAAP","FQ4 2022","FQ4 2022","Currency=USD","Period=FQ","BEST_FPERIOD_OVERRIDE=FQ","FILING_STATUS=MR","Sort=A","Dates=H","DateFormat=P","Fill=—","Direction=H","UseDPDF=Y")</f>
        <v>-1.3380000000000001</v>
      </c>
      <c r="R14" s="14">
        <f>_xll.BDH("SRPT US Equity","BEST_EPS_GAAP","FQ1 2023","FQ1 2023","Currency=USD","Period=FQ","BEST_FPERIOD_OVERRIDE=FQ","FILING_STATUS=MR","Sort=A","Dates=H","DateFormat=P","Fill=—","Direction=H","UseDPDF=Y")</f>
        <v>-1.429</v>
      </c>
      <c r="S14" s="14">
        <f>_xll.BDH("SRPT US Equity","BEST_EPS_GAAP","FQ2 2023","FQ2 2023","Currency=USD","Period=FQ","BEST_FPERIOD_OVERRIDE=FQ","FILING_STATUS=MR","Sort=A","Dates=H","DateFormat=P","Fill=—","Direction=H","UseDPDF=Y")</f>
        <v>-1.8340000000000001</v>
      </c>
      <c r="T14" s="14">
        <f>_xll.BDH("SRPT US Equity","BEST_EPS_GAAP","FQ3 2023","FQ3 2023","Currency=USD","Period=FQ","BEST_FPERIOD_OVERRIDE=FQ","FILING_STATUS=MR","Sort=A","Dates=H","DateFormat=P","Fill=—","Direction=H","UseDPDF=Y")</f>
        <v>-1.302</v>
      </c>
      <c r="U14" s="14">
        <f>_xll.BDH("SRPT US Equity","BEST_EPS_GAAP","FQ4 2023","FQ4 2023","Currency=USD","Period=FQ","BEST_FPERIOD_OVERRIDE=FQ","FILING_STATUS=MR","Sort=A","Dates=H","DateFormat=P","Fill=—","Direction=H","UseDPDF=Y")</f>
        <v>-0.125</v>
      </c>
      <c r="V14" s="14">
        <f>_xll.BDH("SRPT US Equity","BEST_EPS_GAAP","FQ1 2024","FQ1 2024","Currency=USD","Period=FQ","BEST_FPERIOD_OVERRIDE=FQ","FILING_STATUS=MR","Sort=A","Dates=H","DateFormat=P","Fill=—","Direction=H","UseDPDF=Y")</f>
        <v>-0.184</v>
      </c>
      <c r="W14" s="14">
        <f>_xll.BDH("SRPT US Equity","BEST_EPS_GAAP","FQ2 2024","FQ2 2024","Currency=USD","Period=FQ","BEST_FPERIOD_OVERRIDE=FQ","FILING_STATUS=MR","Sort=A","Dates=H","DateFormat=P","Fill=—","Direction=H","UseDPDF=Y")</f>
        <v>1E-3</v>
      </c>
      <c r="X14" s="14">
        <f>_xll.BDH("SRPT US Equity","BEST_EPS_GAAP","FQ3 2024","FQ3 2024","Currency=USD","Period=FQ","BEST_FPERIOD_OVERRIDE=FQ","FILING_STATUS=MR","Sort=A","Dates=H","DateFormat=P","Fill=—","Direction=H","UseDPDF=Y")</f>
        <v>-9.2999999999999999E-2</v>
      </c>
      <c r="Y14" s="14">
        <f>_xll.BDH("SRPT US Equity","BEST_EPS_GAAP","FQ4 2024","FQ4 2024","Currency=USD","Period=FQ","BEST_FPERIOD_OVERRIDE=FQ","FILING_STATUS=MR","Sort=A","Dates=H","DateFormat=P","Fill=—","Direction=H","UseDPDF=Y")</f>
        <v>1.837</v>
      </c>
      <c r="Z14" s="14">
        <v>0.59499999999999997</v>
      </c>
      <c r="AA14" s="14">
        <v>2.3820000000000001</v>
      </c>
    </row>
    <row r="15" spans="1:27" x14ac:dyDescent="0.25">
      <c r="A15" s="10" t="s">
        <v>132</v>
      </c>
      <c r="B15" s="10" t="s">
        <v>139</v>
      </c>
      <c r="C15" s="14">
        <f>_xll.BDH("SRPT US Equity","IS_COMP_EPS_GAAP","FQ2 2019","FQ2 2019","Currency=USD","Period=FQ","BEST_FPERIOD_OVERRIDE=FQ","FILING_STATUS=MR","Sort=A","Dates=H","DateFormat=P","Fill=—","Direction=H","UseDPDF=Y")</f>
        <v>-3.74</v>
      </c>
      <c r="D15" s="14">
        <f>_xll.BDH("SRPT US Equity","IS_COMP_EPS_GAAP","FQ3 2019","FQ3 2019","Currency=USD","Period=FQ","BEST_FPERIOD_OVERRIDE=FQ","FILING_STATUS=MR","Sort=A","Dates=H","DateFormat=P","Fill=—","Direction=H","UseDPDF=Y")</f>
        <v>-1.7</v>
      </c>
      <c r="E15" s="14">
        <f>_xll.BDH("SRPT US Equity","IS_COMP_EPS_GAAP","FQ4 2019","FQ4 2019","Currency=USD","Period=FQ","BEST_FPERIOD_OVERRIDE=FQ","FILING_STATUS=MR","Sort=A","Dates=H","DateFormat=P","Fill=—","Direction=H","UseDPDF=Y")</f>
        <v>-3.16</v>
      </c>
      <c r="F15" s="14">
        <f>_xll.BDH("SRPT US Equity","IS_COMP_EPS_GAAP","FQ1 2020","FQ1 2020","Currency=USD","Period=FQ","BEST_FPERIOD_OVERRIDE=FQ","FILING_STATUS=MR","Sort=A","Dates=H","DateFormat=P","Fill=—","Direction=H","UseDPDF=Y")</f>
        <v>-0.23</v>
      </c>
      <c r="G15" s="14">
        <f>_xll.BDH("SRPT US Equity","IS_COMP_EPS_GAAP","FQ2 2020","FQ2 2020","Currency=USD","Period=FQ","BEST_FPERIOD_OVERRIDE=FQ","FILING_STATUS=MR","Sort=A","Dates=H","DateFormat=P","Fill=—","Direction=H","UseDPDF=Y")</f>
        <v>-1.93</v>
      </c>
      <c r="H15" s="14">
        <f>_xll.BDH("SRPT US Equity","IS_COMP_EPS_GAAP","FQ3 2020","FQ3 2020","Currency=USD","Period=FQ","BEST_FPERIOD_OVERRIDE=FQ","FILING_STATUS=MR","Sort=A","Dates=H","DateFormat=P","Fill=—","Direction=H","UseDPDF=Y")</f>
        <v>-2.5</v>
      </c>
      <c r="I15" s="14">
        <f>_xll.BDH("SRPT US Equity","IS_COMP_EPS_GAAP","FQ4 2020","FQ4 2020","Currency=USD","Period=FQ","BEST_FPERIOD_OVERRIDE=FQ","FILING_STATUS=MR","Sort=A","Dates=H","DateFormat=P","Fill=—","Direction=H","UseDPDF=Y")</f>
        <v>-2.4</v>
      </c>
      <c r="J15" s="14">
        <f>_xll.BDH("SRPT US Equity","IS_COMP_EPS_GAAP","FQ1 2021","FQ1 2021","Currency=USD","Period=FQ","BEST_FPERIOD_OVERRIDE=FQ","FILING_STATUS=MR","Sort=A","Dates=H","DateFormat=P","Fill=—","Direction=H","UseDPDF=Y")</f>
        <v>-2.1</v>
      </c>
      <c r="K15" s="14">
        <f>_xll.BDH("SRPT US Equity","IS_COMP_EPS_GAAP","FQ2 2021","FQ2 2021","Currency=USD","Period=FQ","BEST_FPERIOD_OVERRIDE=FQ","FILING_STATUS=MR","Sort=A","Dates=H","DateFormat=P","Fill=—","Direction=H","UseDPDF=Y")</f>
        <v>-1.02</v>
      </c>
      <c r="L15" s="14">
        <f>_xll.BDH("SRPT US Equity","IS_COMP_EPS_GAAP","FQ3 2021","FQ3 2021","Currency=USD","Period=FQ","BEST_FPERIOD_OVERRIDE=FQ","FILING_STATUS=MR","Sort=A","Dates=H","DateFormat=P","Fill=—","Direction=H","UseDPDF=Y")</f>
        <v>-0.6</v>
      </c>
      <c r="M15" s="14">
        <f>_xll.BDH("SRPT US Equity","IS_COMP_EPS_GAAP","FQ4 2021","FQ4 2021","Currency=USD","Period=FQ","BEST_FPERIOD_OVERRIDE=FQ","FILING_STATUS=MR","Sort=A","Dates=H","DateFormat=P","Fill=—","Direction=H","UseDPDF=Y")</f>
        <v>-1.42</v>
      </c>
      <c r="N15" s="14">
        <f>_xll.BDH("SRPT US Equity","IS_COMP_EPS_GAAP","FQ1 2022","FQ1 2022","Currency=USD","Period=FQ","BEST_FPERIOD_OVERRIDE=FQ","FILING_STATUS=MR","Sort=A","Dates=H","DateFormat=P","Fill=—","Direction=H","UseDPDF=Y")</f>
        <v>-1.2</v>
      </c>
      <c r="O15" s="14">
        <f>_xll.BDH("SRPT US Equity","IS_COMP_EPS_GAAP","FQ2 2022","FQ2 2022","Currency=USD","Period=FQ","BEST_FPERIOD_OVERRIDE=FQ","FILING_STATUS=MR","Sort=A","Dates=H","DateFormat=P","Fill=—","Direction=H","UseDPDF=Y")</f>
        <v>-2.65</v>
      </c>
      <c r="P15" s="14">
        <f>_xll.BDH("SRPT US Equity","IS_COMP_EPS_GAAP","FQ3 2022","FQ3 2022","Currency=USD","Period=FQ","BEST_FPERIOD_OVERRIDE=FQ","FILING_STATUS=MR","Sort=A","Dates=H","DateFormat=P","Fill=—","Direction=H","UseDPDF=Y")</f>
        <v>-2.94</v>
      </c>
      <c r="Q15" s="14">
        <f>_xll.BDH("SRPT US Equity","IS_COMP_EPS_GAAP","FQ4 2022","FQ4 2022","Currency=USD","Period=FQ","BEST_FPERIOD_OVERRIDE=FQ","FILING_STATUS=MR","Sort=A","Dates=H","DateFormat=P","Fill=—","Direction=H","UseDPDF=Y")</f>
        <v>-1.24</v>
      </c>
      <c r="R15" s="14">
        <f>_xll.BDH("SRPT US Equity","IS_COMP_EPS_GAAP","FQ1 2023","FQ1 2023","Currency=USD","Period=FQ","BEST_FPERIOD_OVERRIDE=FQ","FILING_STATUS=MR","Sort=A","Dates=H","DateFormat=P","Fill=—","Direction=H","UseDPDF=Y")</f>
        <v>-5.86</v>
      </c>
      <c r="S15" s="14">
        <f>_xll.BDH("SRPT US Equity","IS_COMP_EPS_GAAP","FQ2 2023","FQ2 2023","Currency=USD","Period=FQ","BEST_FPERIOD_OVERRIDE=FQ","FILING_STATUS=MR","Sort=A","Dates=H","DateFormat=P","Fill=—","Direction=H","UseDPDF=Y")</f>
        <v>-0.27</v>
      </c>
      <c r="T15" s="14">
        <f>_xll.BDH("SRPT US Equity","IS_COMP_EPS_GAAP","FQ3 2023","FQ3 2023","Currency=USD","Period=FQ","BEST_FPERIOD_OVERRIDE=FQ","FILING_STATUS=MR","Sort=A","Dates=H","DateFormat=P","Fill=—","Direction=H","UseDPDF=Y")</f>
        <v>-0.46</v>
      </c>
      <c r="U15" s="14">
        <f>_xll.BDH("SRPT US Equity","IS_COMP_EPS_GAAP","FQ4 2023","FQ4 2023","Currency=USD","Period=FQ","BEST_FPERIOD_OVERRIDE=FQ","FILING_STATUS=MR","Sort=A","Dates=H","DateFormat=P","Fill=—","Direction=H","UseDPDF=Y")</f>
        <v>0.47</v>
      </c>
      <c r="V15" s="14">
        <f>_xll.BDH("SRPT US Equity","IS_COMP_EPS_GAAP","FQ1 2024","FQ1 2024","Currency=USD","Period=FQ","BEST_FPERIOD_OVERRIDE=FQ","FILING_STATUS=MR","Sort=A","Dates=H","DateFormat=P","Fill=—","Direction=H","UseDPDF=Y")</f>
        <v>0.37</v>
      </c>
      <c r="W15" s="14">
        <f>_xll.BDH("SRPT US Equity","IS_COMP_EPS_GAAP","FQ2 2024","FQ2 2024","Currency=USD","Period=FQ","BEST_FPERIOD_OVERRIDE=FQ","FILING_STATUS=MR","Sort=A","Dates=H","DateFormat=P","Fill=—","Direction=H","UseDPDF=Y")</f>
        <v>7.0000000000000007E-2</v>
      </c>
      <c r="X15" s="14">
        <f>_xll.BDH("SRPT US Equity","IS_COMP_EPS_GAAP","FQ3 2024","FQ3 2024","Currency=USD","Period=FQ","BEST_FPERIOD_OVERRIDE=FQ","FILING_STATUS=MR","Sort=A","Dates=H","DateFormat=P","Fill=—","Direction=H","UseDPDF=Y")</f>
        <v>0.34</v>
      </c>
      <c r="Y15" s="14">
        <f>_xll.BDH("SRPT US Equity","IS_COMP_EPS_GAAP","FQ4 2024","FQ4 2024","Currency=USD","Period=FQ","BEST_FPERIOD_OVERRIDE=FQ","FILING_STATUS=MR","Sort=A","Dates=H","DateFormat=P","Fill=—","Direction=H","UseDPDF=Y")</f>
        <v>1.5</v>
      </c>
      <c r="Z15" s="14"/>
      <c r="AA15" s="14"/>
    </row>
    <row r="16" spans="1:27" x14ac:dyDescent="0.25">
      <c r="A16" s="11" t="s">
        <v>140</v>
      </c>
      <c r="B16" s="11"/>
      <c r="C16" s="25">
        <v>-166.95217701641701</v>
      </c>
      <c r="D16" s="25">
        <v>-24.450951683748201</v>
      </c>
      <c r="E16" s="25">
        <v>-68.803418803418793</v>
      </c>
      <c r="F16" s="25">
        <v>87.804878048780495</v>
      </c>
      <c r="G16" s="25">
        <v>-6.3947078280043996</v>
      </c>
      <c r="H16" s="25">
        <v>-43.102461362335397</v>
      </c>
      <c r="I16" s="25">
        <v>-26.782884310618101</v>
      </c>
      <c r="J16" s="25">
        <v>-12.1794871794872</v>
      </c>
      <c r="K16" s="25">
        <v>22.9607250755287</v>
      </c>
      <c r="L16" s="25">
        <v>69.681657402728604</v>
      </c>
      <c r="M16" s="25">
        <v>-7.2507552870090501</v>
      </c>
      <c r="N16" s="25">
        <v>7.3359073359073301</v>
      </c>
      <c r="O16" s="25">
        <v>-122.68907563025201</v>
      </c>
      <c r="P16" s="25">
        <v>-118.75</v>
      </c>
      <c r="Q16" s="25">
        <v>7.3243647234678697</v>
      </c>
      <c r="R16" s="25">
        <v>-310.076976906928</v>
      </c>
      <c r="S16" s="25">
        <v>85.278080697928004</v>
      </c>
      <c r="T16" s="25">
        <v>64.669738863287293</v>
      </c>
      <c r="U16" s="25" t="s">
        <v>141</v>
      </c>
      <c r="V16" s="25" t="s">
        <v>141</v>
      </c>
      <c r="W16" s="25">
        <v>6900</v>
      </c>
      <c r="X16" s="25" t="s">
        <v>141</v>
      </c>
      <c r="Y16" s="25">
        <v>-18.345127925966199</v>
      </c>
      <c r="Z16" s="25"/>
      <c r="AA16" s="25"/>
    </row>
    <row r="17" spans="1:27" x14ac:dyDescent="0.25">
      <c r="A17" s="10" t="s">
        <v>135</v>
      </c>
      <c r="B17" s="10" t="s">
        <v>104</v>
      </c>
      <c r="C17" s="14">
        <f>_xll.BDH("SRPT US Equity","IS_DILUTED_EPS","FQ2 2019","FQ2 2019","Currency=USD","Period=FQ","BEST_FPERIOD_OVERRIDE=FQ","FILING_STATUS=MR","FA_ADJUSTED=GAAP","Sort=A","Dates=H","DateFormat=P","Fill=—","Direction=H","UseDPDF=Y")</f>
        <v>-3.74</v>
      </c>
      <c r="D17" s="14">
        <f>_xll.BDH("SRPT US Equity","IS_DILUTED_EPS","FQ3 2019","FQ3 2019","Currency=USD","Period=FQ","BEST_FPERIOD_OVERRIDE=FQ","FILING_STATUS=MR","FA_ADJUSTED=GAAP","Sort=A","Dates=H","DateFormat=P","Fill=—","Direction=H","UseDPDF=Y")</f>
        <v>-1.7</v>
      </c>
      <c r="E17" s="14">
        <f>_xll.BDH("SRPT US Equity","IS_DILUTED_EPS","FQ4 2019","FQ4 2019","Currency=USD","Period=FQ","BEST_FPERIOD_OVERRIDE=FQ","FILING_STATUS=MR","FA_ADJUSTED=GAAP","Sort=A","Dates=H","DateFormat=P","Fill=—","Direction=H","UseDPDF=Y")</f>
        <v>-3.16</v>
      </c>
      <c r="F17" s="14">
        <f>_xll.BDH("SRPT US Equity","IS_DILUTED_EPS","FQ1 2020","FQ1 2020","Currency=USD","Period=FQ","BEST_FPERIOD_OVERRIDE=FQ","FILING_STATUS=MR","FA_ADJUSTED=GAAP","Sort=A","Dates=H","DateFormat=P","Fill=—","Direction=H","UseDPDF=Y")</f>
        <v>-0.23</v>
      </c>
      <c r="G17" s="14">
        <f>_xll.BDH("SRPT US Equity","IS_DILUTED_EPS","FQ2 2020","FQ2 2020","Currency=USD","Period=FQ","BEST_FPERIOD_OVERRIDE=FQ","FILING_STATUS=MR","FA_ADJUSTED=GAAP","Sort=A","Dates=H","DateFormat=P","Fill=—","Direction=H","UseDPDF=Y")</f>
        <v>-1.93</v>
      </c>
      <c r="H17" s="14">
        <f>_xll.BDH("SRPT US Equity","IS_DILUTED_EPS","FQ3 2020","FQ3 2020","Currency=USD","Period=FQ","BEST_FPERIOD_OVERRIDE=FQ","FILING_STATUS=MR","FA_ADJUSTED=GAAP","Sort=A","Dates=H","DateFormat=P","Fill=—","Direction=H","UseDPDF=Y")</f>
        <v>-2.5</v>
      </c>
      <c r="I17" s="14">
        <f>_xll.BDH("SRPT US Equity","IS_DILUTED_EPS","FQ4 2020","FQ4 2020","Currency=USD","Period=FQ","BEST_FPERIOD_OVERRIDE=FQ","FILING_STATUS=MR","FA_ADJUSTED=GAAP","Sort=A","Dates=H","DateFormat=P","Fill=—","Direction=H","UseDPDF=Y")</f>
        <v>-2.4</v>
      </c>
      <c r="J17" s="14">
        <f>_xll.BDH("SRPT US Equity","IS_DILUTED_EPS","FQ1 2021","FQ1 2021","Currency=USD","Period=FQ","BEST_FPERIOD_OVERRIDE=FQ","FILING_STATUS=MR","FA_ADJUSTED=GAAP","Sort=A","Dates=H","DateFormat=P","Fill=—","Direction=H","UseDPDF=Y")</f>
        <v>-2.1</v>
      </c>
      <c r="K17" s="14">
        <f>_xll.BDH("SRPT US Equity","IS_DILUTED_EPS","FQ2 2021","FQ2 2021","Currency=USD","Period=FQ","BEST_FPERIOD_OVERRIDE=FQ","FILING_STATUS=MR","FA_ADJUSTED=GAAP","Sort=A","Dates=H","DateFormat=P","Fill=—","Direction=H","UseDPDF=Y")</f>
        <v>-1.02</v>
      </c>
      <c r="L17" s="14">
        <f>_xll.BDH("SRPT US Equity","IS_DILUTED_EPS","FQ3 2021","FQ3 2021","Currency=USD","Period=FQ","BEST_FPERIOD_OVERRIDE=FQ","FILING_STATUS=MR","FA_ADJUSTED=GAAP","Sort=A","Dates=H","DateFormat=P","Fill=—","Direction=H","UseDPDF=Y")</f>
        <v>-0.6</v>
      </c>
      <c r="M17" s="14">
        <f>_xll.BDH("SRPT US Equity","IS_DILUTED_EPS","FQ4 2021","FQ4 2021","Currency=USD","Period=FQ","BEST_FPERIOD_OVERRIDE=FQ","FILING_STATUS=MR","FA_ADJUSTED=GAAP","Sort=A","Dates=H","DateFormat=P","Fill=—","Direction=H","UseDPDF=Y")</f>
        <v>-1.42</v>
      </c>
      <c r="N17" s="14">
        <f>_xll.BDH("SRPT US Equity","IS_DILUTED_EPS","FQ1 2022","FQ1 2022","Currency=USD","Period=FQ","BEST_FPERIOD_OVERRIDE=FQ","FILING_STATUS=MR","FA_ADJUSTED=GAAP","Sort=A","Dates=H","DateFormat=P","Fill=—","Direction=H","UseDPDF=Y")</f>
        <v>-1.2</v>
      </c>
      <c r="O17" s="14">
        <f>_xll.BDH("SRPT US Equity","IS_DILUTED_EPS","FQ2 2022","FQ2 2022","Currency=USD","Period=FQ","BEST_FPERIOD_OVERRIDE=FQ","FILING_STATUS=MR","FA_ADJUSTED=GAAP","Sort=A","Dates=H","DateFormat=P","Fill=—","Direction=H","UseDPDF=Y")</f>
        <v>-2.65</v>
      </c>
      <c r="P17" s="14">
        <f>_xll.BDH("SRPT US Equity","IS_DILUTED_EPS","FQ3 2022","FQ3 2022","Currency=USD","Period=FQ","BEST_FPERIOD_OVERRIDE=FQ","FILING_STATUS=MR","FA_ADJUSTED=GAAP","Sort=A","Dates=H","DateFormat=P","Fill=—","Direction=H","UseDPDF=Y")</f>
        <v>-2.94</v>
      </c>
      <c r="Q17" s="14">
        <f>_xll.BDH("SRPT US Equity","IS_DILUTED_EPS","FQ4 2022","FQ4 2022","Currency=USD","Period=FQ","BEST_FPERIOD_OVERRIDE=FQ","FILING_STATUS=MR","FA_ADJUSTED=GAAP","Sort=A","Dates=H","DateFormat=P","Fill=—","Direction=H","UseDPDF=Y")</f>
        <v>-1.24</v>
      </c>
      <c r="R17" s="14">
        <f>_xll.BDH("SRPT US Equity","IS_DILUTED_EPS","FQ1 2023","FQ1 2023","Currency=USD","Period=FQ","BEST_FPERIOD_OVERRIDE=FQ","FILING_STATUS=MR","FA_ADJUSTED=GAAP","Sort=A","Dates=H","DateFormat=P","Fill=—","Direction=H","UseDPDF=Y")</f>
        <v>-5.86</v>
      </c>
      <c r="S17" s="14">
        <f>_xll.BDH("SRPT US Equity","IS_DILUTED_EPS","FQ2 2023","FQ2 2023","Currency=USD","Period=FQ","BEST_FPERIOD_OVERRIDE=FQ","FILING_STATUS=MR","FA_ADJUSTED=GAAP","Sort=A","Dates=H","DateFormat=P","Fill=—","Direction=H","UseDPDF=Y")</f>
        <v>-0.27</v>
      </c>
      <c r="T17" s="14">
        <f>_xll.BDH("SRPT US Equity","IS_DILUTED_EPS","FQ3 2023","FQ3 2023","Currency=USD","Period=FQ","BEST_FPERIOD_OVERRIDE=FQ","FILING_STATUS=MR","FA_ADJUSTED=GAAP","Sort=A","Dates=H","DateFormat=P","Fill=—","Direction=H","UseDPDF=Y")</f>
        <v>-0.46</v>
      </c>
      <c r="U17" s="14">
        <f>_xll.BDH("SRPT US Equity","IS_DILUTED_EPS","FQ4 2023","FQ4 2023","Currency=USD","Period=FQ","BEST_FPERIOD_OVERRIDE=FQ","FILING_STATUS=MR","FA_ADJUSTED=GAAP","Sort=A","Dates=H","DateFormat=P","Fill=—","Direction=H","UseDPDF=Y")</f>
        <v>0.47</v>
      </c>
      <c r="V17" s="14">
        <f>_xll.BDH("SRPT US Equity","IS_DILUTED_EPS","FQ1 2024","FQ1 2024","Currency=USD","Period=FQ","BEST_FPERIOD_OVERRIDE=FQ","FILING_STATUS=MR","FA_ADJUSTED=GAAP","Sort=A","Dates=H","DateFormat=P","Fill=—","Direction=H","UseDPDF=Y")</f>
        <v>0.37</v>
      </c>
      <c r="W17" s="14">
        <f>_xll.BDH("SRPT US Equity","IS_DILUTED_EPS","FQ2 2024","FQ2 2024","Currency=USD","Period=FQ","BEST_FPERIOD_OVERRIDE=FQ","FILING_STATUS=MR","FA_ADJUSTED=GAAP","Sort=A","Dates=H","DateFormat=P","Fill=—","Direction=H","UseDPDF=Y")</f>
        <v>7.0000000000000007E-2</v>
      </c>
      <c r="X17" s="14">
        <f>_xll.BDH("SRPT US Equity","IS_DILUTED_EPS","FQ3 2024","FQ3 2024","Currency=USD","Period=FQ","BEST_FPERIOD_OVERRIDE=FQ","FILING_STATUS=MR","FA_ADJUSTED=GAAP","Sort=A","Dates=H","DateFormat=P","Fill=—","Direction=H","UseDPDF=Y")</f>
        <v>0.34</v>
      </c>
      <c r="Y17" s="14">
        <f>_xll.BDH("SRPT US Equity","IS_DILUTED_EPS","FQ4 2024","FQ4 2024","Currency=USD","Period=FQ","BEST_FPERIOD_OVERRIDE=FQ","FILING_STATUS=MR","FA_ADJUSTED=GAAP","Sort=A","Dates=H","DateFormat=P","Fill=—","Direction=H","UseDPDF=Y")</f>
        <v>1.5</v>
      </c>
      <c r="Z17" s="14"/>
      <c r="AA17" s="14"/>
    </row>
    <row r="18" spans="1:27" x14ac:dyDescent="0.25">
      <c r="A18" s="10" t="s">
        <v>136</v>
      </c>
      <c r="B18" s="10" t="s">
        <v>82</v>
      </c>
      <c r="C18" s="14">
        <f>_xll.BDH("SRPT US Equity","IS_DIL_EPS_CONT_OPS","FQ2 2019","FQ2 2019","Currency=USD","Period=FQ","BEST_FPERIOD_OVERRIDE=FQ","FILING_STATUS=MR","Sort=A","Dates=H","DateFormat=P","Fill=—","Direction=H","UseDPDF=Y")</f>
        <v>-1.1937</v>
      </c>
      <c r="D18" s="14">
        <f>_xll.BDH("SRPT US Equity","IS_DIL_EPS_CONT_OPS","FQ3 2019","FQ3 2019","Currency=USD","Period=FQ","BEST_FPERIOD_OVERRIDE=FQ","FILING_STATUS=MR","Sort=A","Dates=H","DateFormat=P","Fill=—","Direction=H","UseDPDF=Y")</f>
        <v>-1.5737000000000001</v>
      </c>
      <c r="E18" s="14">
        <f>_xll.BDH("SRPT US Equity","IS_DIL_EPS_CONT_OPS","FQ4 2019","FQ4 2019","Currency=USD","Period=FQ","BEST_FPERIOD_OVERRIDE=FQ","FILING_STATUS=MR","Sort=A","Dates=H","DateFormat=P","Fill=—","Direction=H","UseDPDF=Y")</f>
        <v>-2.2627000000000002</v>
      </c>
      <c r="F18" s="14">
        <f>_xll.BDH("SRPT US Equity","IS_DIL_EPS_CONT_OPS","FQ1 2020","FQ1 2020","Currency=USD","Period=FQ","BEST_FPERIOD_OVERRIDE=FQ","FILING_STATUS=MR","Sort=A","Dates=H","DateFormat=P","Fill=—","Direction=H","UseDPDF=Y")</f>
        <v>-1.4939</v>
      </c>
      <c r="G18" s="14">
        <f>_xll.BDH("SRPT US Equity","IS_DIL_EPS_CONT_OPS","FQ2 2020","FQ2 2020","Currency=USD","Period=FQ","BEST_FPERIOD_OVERRIDE=FQ","FILING_STATUS=MR","Sort=A","Dates=H","DateFormat=P","Fill=—","Direction=H","UseDPDF=Y")</f>
        <v>-1.93</v>
      </c>
      <c r="H18" s="14">
        <f>_xll.BDH("SRPT US Equity","IS_DIL_EPS_CONT_OPS","FQ3 2020","FQ3 2020","Currency=USD","Period=FQ","BEST_FPERIOD_OVERRIDE=FQ","FILING_STATUS=MR","Sort=A","Dates=H","DateFormat=P","Fill=—","Direction=H","UseDPDF=Y")</f>
        <v>-1.8956</v>
      </c>
      <c r="I18" s="14">
        <f>_xll.BDH("SRPT US Equity","IS_DIL_EPS_CONT_OPS","FQ4 2020","FQ4 2020","Currency=USD","Period=FQ","BEST_FPERIOD_OVERRIDE=FQ","FILING_STATUS=MR","Sort=A","Dates=H","DateFormat=P","Fill=—","Direction=H","UseDPDF=Y")</f>
        <v>-2.2936999999999999</v>
      </c>
      <c r="J18" s="14">
        <f>_xll.BDH("SRPT US Equity","IS_DIL_EPS_CONT_OPS","FQ1 2021","FQ1 2021","Currency=USD","Period=FQ","BEST_FPERIOD_OVERRIDE=FQ","FILING_STATUS=MR","Sort=A","Dates=H","DateFormat=P","Fill=—","Direction=H","UseDPDF=Y")</f>
        <v>-1.9294</v>
      </c>
      <c r="K18" s="14">
        <f>_xll.BDH("SRPT US Equity","IS_DIL_EPS_CONT_OPS","FQ2 2021","FQ2 2021","Currency=USD","Period=FQ","BEST_FPERIOD_OVERRIDE=FQ","FILING_STATUS=MR","Sort=A","Dates=H","DateFormat=P","Fill=—","Direction=H","UseDPDF=Y")</f>
        <v>-1.9026000000000001</v>
      </c>
      <c r="L18" s="14">
        <f>_xll.BDH("SRPT US Equity","IS_DIL_EPS_CONT_OPS","FQ3 2021","FQ3 2021","Currency=USD","Period=FQ","BEST_FPERIOD_OVERRIDE=FQ","FILING_STATUS=MR","Sort=A","Dates=H","DateFormat=P","Fill=—","Direction=H","UseDPDF=Y")</f>
        <v>-0.55830000000000002</v>
      </c>
      <c r="M18" s="14">
        <f>_xll.BDH("SRPT US Equity","IS_DIL_EPS_CONT_OPS","FQ4 2021","FQ4 2021","Currency=USD","Period=FQ","BEST_FPERIOD_OVERRIDE=FQ","FILING_STATUS=MR","Sort=A","Dates=H","DateFormat=P","Fill=—","Direction=H","UseDPDF=Y")</f>
        <v>-1.42</v>
      </c>
      <c r="N18" s="14">
        <f>_xll.BDH("SRPT US Equity","IS_DIL_EPS_CONT_OPS","FQ1 2022","FQ1 2022","Currency=USD","Period=FQ","BEST_FPERIOD_OVERRIDE=FQ","FILING_STATUS=MR","Sort=A","Dates=H","DateFormat=P","Fill=—","Direction=H","UseDPDF=Y")</f>
        <v>-1.2</v>
      </c>
      <c r="O18" s="14">
        <f>_xll.BDH("SRPT US Equity","IS_DIL_EPS_CONT_OPS","FQ2 2022","FQ2 2022","Currency=USD","Period=FQ","BEST_FPERIOD_OVERRIDE=FQ","FILING_STATUS=MR","Sort=A","Dates=H","DateFormat=P","Fill=—","Direction=H","UseDPDF=Y")</f>
        <v>-2.65</v>
      </c>
      <c r="P18" s="14">
        <f>_xll.BDH("SRPT US Equity","IS_DIL_EPS_CONT_OPS","FQ3 2022","FQ3 2022","Currency=USD","Period=FQ","BEST_FPERIOD_OVERRIDE=FQ","FILING_STATUS=MR","Sort=A","Dates=H","DateFormat=P","Fill=—","Direction=H","UseDPDF=Y")</f>
        <v>-1.8708</v>
      </c>
      <c r="Q18" s="14">
        <f>_xll.BDH("SRPT US Equity","IS_DIL_EPS_CONT_OPS","FQ4 2022","FQ4 2022","Currency=USD","Period=FQ","BEST_FPERIOD_OVERRIDE=FQ","FILING_STATUS=MR","Sort=A","Dates=H","DateFormat=P","Fill=—","Direction=H","UseDPDF=Y")</f>
        <v>-1.2204999999999999</v>
      </c>
      <c r="R18" s="14">
        <f>_xll.BDH("SRPT US Equity","IS_DIL_EPS_CONT_OPS","FQ1 2023","FQ1 2023","Currency=USD","Period=FQ","BEST_FPERIOD_OVERRIDE=FQ","FILING_STATUS=MR","Sort=A","Dates=H","DateFormat=P","Fill=—","Direction=H","UseDPDF=Y")</f>
        <v>-2.3902000000000001</v>
      </c>
      <c r="S18" s="14">
        <f>_xll.BDH("SRPT US Equity","IS_DIL_EPS_CONT_OPS","FQ2 2023","FQ2 2023","Currency=USD","Period=FQ","BEST_FPERIOD_OVERRIDE=FQ","FILING_STATUS=MR","Sort=A","Dates=H","DateFormat=P","Fill=—","Direction=H","UseDPDF=Y")</f>
        <v>-1.1851</v>
      </c>
      <c r="T18" s="14">
        <f>_xll.BDH("SRPT US Equity","IS_DIL_EPS_CONT_OPS","FQ3 2023","FQ3 2023","Currency=USD","Period=FQ","BEST_FPERIOD_OVERRIDE=FQ","FILING_STATUS=MR","Sort=A","Dates=H","DateFormat=P","Fill=—","Direction=H","UseDPDF=Y")</f>
        <v>-0.44280000000000003</v>
      </c>
      <c r="U18" s="14">
        <f>_xll.BDH("SRPT US Equity","IS_DIL_EPS_CONT_OPS","FQ4 2023","FQ4 2023","Currency=USD","Period=FQ","BEST_FPERIOD_OVERRIDE=FQ","FILING_STATUS=MR","Sort=A","Dates=H","DateFormat=P","Fill=—","Direction=H","UseDPDF=Y")</f>
        <v>0.47</v>
      </c>
      <c r="V18" s="14">
        <f>_xll.BDH("SRPT US Equity","IS_DIL_EPS_CONT_OPS","FQ1 2024","FQ1 2024","Currency=USD","Period=FQ","BEST_FPERIOD_OVERRIDE=FQ","FILING_STATUS=MR","Sort=A","Dates=H","DateFormat=P","Fill=—","Direction=H","UseDPDF=Y")</f>
        <v>0.46879999999999999</v>
      </c>
      <c r="W18" s="14">
        <f>_xll.BDH("SRPT US Equity","IS_DIL_EPS_CONT_OPS","FQ2 2024","FQ2 2024","Currency=USD","Period=FQ","BEST_FPERIOD_OVERRIDE=FQ","FILING_STATUS=MR","Sort=A","Dates=H","DateFormat=P","Fill=—","Direction=H","UseDPDF=Y")</f>
        <v>7.0000000000000007E-2</v>
      </c>
      <c r="X18" s="14">
        <f>_xll.BDH("SRPT US Equity","IS_DIL_EPS_CONT_OPS","FQ3 2024","FQ3 2024","Currency=USD","Period=FQ","BEST_FPERIOD_OVERRIDE=FQ","FILING_STATUS=MR","Sort=A","Dates=H","DateFormat=P","Fill=—","Direction=H","UseDPDF=Y")</f>
        <v>0.32650000000000001</v>
      </c>
      <c r="Y18" s="14">
        <f>_xll.BDH("SRPT US Equity","IS_DIL_EPS_CONT_OPS","FQ4 2024","FQ4 2024","Currency=USD","Period=FQ","BEST_FPERIOD_OVERRIDE=FQ","FILING_STATUS=MR","Sort=A","Dates=H","DateFormat=P","Fill=—","Direction=H","UseDPDF=Y")</f>
        <v>1.4935</v>
      </c>
      <c r="Z18" s="14"/>
      <c r="AA18" s="14"/>
    </row>
    <row r="19" spans="1:27" x14ac:dyDescent="0.25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5">
      <c r="A20" s="6" t="s">
        <v>142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x14ac:dyDescent="0.25">
      <c r="A21" s="10" t="s">
        <v>130</v>
      </c>
      <c r="B21" s="10" t="s">
        <v>143</v>
      </c>
      <c r="C21" s="13">
        <f>_xll.BDH("SRPT US Equity","BEST_OPP","FQ2 2019","FQ2 2019","Currency=USD","Period=FQ","BEST_FPERIOD_OVERRIDE=FQ","FILING_STATUS=MR","Sort=A","Dates=H","DateFormat=P","Fill=—","Direction=H","UseDPDF=Y")</f>
        <v>-106.57299999999999</v>
      </c>
      <c r="D21" s="13">
        <f>_xll.BDH("SRPT US Equity","BEST_OPP","FQ3 2019","FQ3 2019","Currency=USD","Period=FQ","BEST_FPERIOD_OVERRIDE=FQ","FILING_STATUS=MR","Sort=A","Dates=H","DateFormat=P","Fill=—","Direction=H","UseDPDF=Y")</f>
        <v>-98.325000000000003</v>
      </c>
      <c r="E21" s="13">
        <f>_xll.BDH("SRPT US Equity","BEST_OPP","FQ4 2019","FQ4 2019","Currency=USD","Period=FQ","BEST_FPERIOD_OVERRIDE=FQ","FILING_STATUS=MR","Sort=A","Dates=H","DateFormat=P","Fill=—","Direction=H","UseDPDF=Y")</f>
        <v>-134.333</v>
      </c>
      <c r="F21" s="13">
        <f>_xll.BDH("SRPT US Equity","BEST_OPP","FQ1 2020","FQ1 2020","Currency=USD","Period=FQ","BEST_FPERIOD_OVERRIDE=FQ","FILING_STATUS=MR","Sort=A","Dates=H","DateFormat=P","Fill=—","Direction=H","UseDPDF=Y")</f>
        <v>-147.38300000000001</v>
      </c>
      <c r="G21" s="13">
        <f>_xll.BDH("SRPT US Equity","BEST_OPP","FQ2 2020","FQ2 2020","Currency=USD","Period=FQ","BEST_FPERIOD_OVERRIDE=FQ","FILING_STATUS=MR","Sort=A","Dates=H","DateFormat=P","Fill=—","Direction=H","UseDPDF=Y")</f>
        <v>-139.82</v>
      </c>
      <c r="H21" s="13">
        <f>_xll.BDH("SRPT US Equity","BEST_OPP","FQ3 2020","FQ3 2020","Currency=USD","Period=FQ","BEST_FPERIOD_OVERRIDE=FQ","FILING_STATUS=MR","Sort=A","Dates=H","DateFormat=P","Fill=—","Direction=H","UseDPDF=Y")</f>
        <v>-130.45699999999999</v>
      </c>
      <c r="I21" s="13">
        <f>_xll.BDH("SRPT US Equity","BEST_OPP","FQ4 2020","FQ4 2020","Currency=USD","Period=FQ","BEST_FPERIOD_OVERRIDE=FQ","FILING_STATUS=MR","Sort=A","Dates=H","DateFormat=P","Fill=—","Direction=H","UseDPDF=Y")</f>
        <v>-138.61500000000001</v>
      </c>
      <c r="J21" s="13">
        <f>_xll.BDH("SRPT US Equity","BEST_OPP","FQ1 2021","FQ1 2021","Currency=USD","Period=FQ","BEST_FPERIOD_OVERRIDE=FQ","FILING_STATUS=MR","Sort=A","Dates=H","DateFormat=P","Fill=—","Direction=H","UseDPDF=Y")</f>
        <v>-141.75</v>
      </c>
      <c r="K21" s="13">
        <f>_xll.BDH("SRPT US Equity","BEST_OPP","FQ2 2021","FQ2 2021","Currency=USD","Period=FQ","BEST_FPERIOD_OVERRIDE=FQ","FILING_STATUS=MR","Sort=A","Dates=H","DateFormat=P","Fill=—","Direction=H","UseDPDF=Y")</f>
        <v>-135.929</v>
      </c>
      <c r="L21" s="13">
        <f>_xll.BDH("SRPT US Equity","BEST_OPP","FQ3 2021","FQ3 2021","Currency=USD","Period=FQ","BEST_FPERIOD_OVERRIDE=FQ","FILING_STATUS=MR","Sort=A","Dates=H","DateFormat=P","Fill=—","Direction=H","UseDPDF=Y")</f>
        <v>-144.6</v>
      </c>
      <c r="M21" s="13">
        <f>_xll.BDH("SRPT US Equity","BEST_OPP","FQ4 2021","FQ4 2021","Currency=USD","Period=FQ","BEST_FPERIOD_OVERRIDE=FQ","FILING_STATUS=MR","Sort=A","Dates=H","DateFormat=P","Fill=—","Direction=H","UseDPDF=Y")</f>
        <v>-110.238</v>
      </c>
      <c r="N21" s="13">
        <f>_xll.BDH("SRPT US Equity","BEST_OPP","FQ1 2022","FQ1 2022","Currency=USD","Period=FQ","BEST_FPERIOD_OVERRIDE=FQ","FILING_STATUS=MR","Sort=A","Dates=H","DateFormat=P","Fill=—","Direction=H","UseDPDF=Y")</f>
        <v>-102.486</v>
      </c>
      <c r="O21" s="13">
        <f>_xll.BDH("SRPT US Equity","BEST_OPP","FQ2 2022","FQ2 2022","Currency=USD","Period=FQ","BEST_FPERIOD_OVERRIDE=FQ","FILING_STATUS=MR","Sort=A","Dates=H","DateFormat=P","Fill=—","Direction=H","UseDPDF=Y")</f>
        <v>-91.94</v>
      </c>
      <c r="P21" s="13">
        <f>_xll.BDH("SRPT US Equity","BEST_OPP","FQ3 2022","FQ3 2022","Currency=USD","Period=FQ","BEST_FPERIOD_OVERRIDE=FQ","FILING_STATUS=MR","Sort=A","Dates=H","DateFormat=P","Fill=—","Direction=H","UseDPDF=Y")</f>
        <v>-113.727</v>
      </c>
      <c r="Q21" s="13">
        <f>_xll.BDH("SRPT US Equity","BEST_OPP","FQ4 2022","FQ4 2022","Currency=USD","Period=FQ","BEST_FPERIOD_OVERRIDE=FQ","FILING_STATUS=MR","Sort=A","Dates=H","DateFormat=P","Fill=—","Direction=H","UseDPDF=Y")</f>
        <v>-108.23699999999999</v>
      </c>
      <c r="R21" s="13">
        <f>_xll.BDH("SRPT US Equity","BEST_OPP","FQ1 2023","FQ1 2023","Currency=USD","Period=FQ","BEST_FPERIOD_OVERRIDE=FQ","FILING_STATUS=MR","Sort=A","Dates=H","DateFormat=P","Fill=—","Direction=H","UseDPDF=Y")</f>
        <v>-122.9</v>
      </c>
      <c r="S21" s="13">
        <f>_xll.BDH("SRPT US Equity","BEST_OPP","FQ2 2023","FQ2 2023","Currency=USD","Period=FQ","BEST_FPERIOD_OVERRIDE=FQ","FILING_STATUS=MR","Sort=A","Dates=H","DateFormat=P","Fill=—","Direction=H","UseDPDF=Y")</f>
        <v>-152.43299999999999</v>
      </c>
      <c r="T21" s="13">
        <f>_xll.BDH("SRPT US Equity","BEST_OPP","FQ3 2023","FQ3 2023","Currency=USD","Period=FQ","BEST_FPERIOD_OVERRIDE=FQ","FILING_STATUS=MR","Sort=A","Dates=H","DateFormat=P","Fill=—","Direction=H","UseDPDF=Y")</f>
        <v>-118.5</v>
      </c>
      <c r="U21" s="13">
        <f>_xll.BDH("SRPT US Equity","BEST_OPP","FQ4 2023","FQ4 2023","Currency=USD","Period=FQ","BEST_FPERIOD_OVERRIDE=FQ","FILING_STATUS=MR","Sort=A","Dates=H","DateFormat=P","Fill=—","Direction=H","UseDPDF=Y")</f>
        <v>-15.814</v>
      </c>
      <c r="V21" s="13">
        <f>_xll.BDH("SRPT US Equity","BEST_OPP","FQ1 2024","FQ1 2024","Currency=USD","Period=FQ","BEST_FPERIOD_OVERRIDE=FQ","FILING_STATUS=MR","Sort=A","Dates=H","DateFormat=P","Fill=—","Direction=H","UseDPDF=Y")</f>
        <v>-20.864000000000001</v>
      </c>
      <c r="W21" s="13">
        <f>_xll.BDH("SRPT US Equity","BEST_OPP","FQ2 2024","FQ2 2024","Currency=USD","Period=FQ","BEST_FPERIOD_OVERRIDE=FQ","FILING_STATUS=MR","Sort=A","Dates=H","DateFormat=P","Fill=—","Direction=H","UseDPDF=Y")</f>
        <v>-22.436</v>
      </c>
      <c r="X21" s="13">
        <f>_xll.BDH("SRPT US Equity","BEST_OPP","FQ3 2024","FQ3 2024","Currency=USD","Period=FQ","BEST_FPERIOD_OVERRIDE=FQ","FILING_STATUS=MR","Sort=A","Dates=H","DateFormat=P","Fill=—","Direction=H","UseDPDF=Y")</f>
        <v>-4.2990000000000004</v>
      </c>
      <c r="Y21" s="13">
        <f>_xll.BDH("SRPT US Equity","BEST_OPP","FQ4 2024","FQ4 2024","Currency=USD","Period=FQ","BEST_FPERIOD_OVERRIDE=FQ","FILING_STATUS=MR","Sort=A","Dates=H","DateFormat=P","Fill=—","Direction=H","UseDPDF=Y")</f>
        <v>173.87100000000001</v>
      </c>
      <c r="Z21" s="13">
        <v>126.176</v>
      </c>
      <c r="AA21" s="13">
        <v>256.053</v>
      </c>
    </row>
    <row r="22" spans="1:27" x14ac:dyDescent="0.25">
      <c r="A22" s="10" t="s">
        <v>132</v>
      </c>
      <c r="B22" s="10" t="s">
        <v>144</v>
      </c>
      <c r="C22" s="13">
        <f>_xll.BDH("SRPT US Equity","IS_COMPARABLE_EBIT","FQ2 2019","FQ2 2019","Currency=USD","Period=FQ","BEST_FPERIOD_OVERRIDE=FQ","FILING_STATUS=MR","SCALING_FORMAT=MLN","Sort=A","Dates=H","DateFormat=P","Fill=—","Direction=H","UseDPDF=Y")</f>
        <v>-275.36700000000002</v>
      </c>
      <c r="D22" s="13">
        <f>_xll.BDH("SRPT US Equity","IS_COMPARABLE_EBIT","FQ3 2019","FQ3 2019","Currency=USD","Period=FQ","BEST_FPERIOD_OVERRIDE=FQ","FILING_STATUS=MR","SCALING_FORMAT=MLN","Sort=A","Dates=H","DateFormat=P","Fill=—","Direction=H","UseDPDF=Y")</f>
        <v>-123.59</v>
      </c>
      <c r="E22" s="13">
        <f>_xll.BDH("SRPT US Equity","IS_COMPARABLE_EBIT","FQ4 2019","FQ4 2019","Currency=USD","Period=FQ","BEST_FPERIOD_OVERRIDE=FQ","FILING_STATUS=MR","SCALING_FORMAT=MLN","Sort=A","Dates=H","DateFormat=P","Fill=—","Direction=H","UseDPDF=Y")</f>
        <v>-230.21899999999999</v>
      </c>
      <c r="F22" s="13">
        <f>_xll.BDH("SRPT US Equity","IS_COMPARABLE_EBIT","FQ1 2020","FQ1 2020","Currency=USD","Period=FQ","BEST_FPERIOD_OVERRIDE=FQ","FILING_STATUS=MR","SCALING_FORMAT=MLN","Sort=A","Dates=H","DateFormat=P","Fill=—","Direction=H","UseDPDF=Y")</f>
        <v>-118.026</v>
      </c>
      <c r="G22" s="13">
        <f>_xll.BDH("SRPT US Equity","IS_COMPARABLE_EBIT","FQ2 2020","FQ2 2020","Currency=USD","Period=FQ","BEST_FPERIOD_OVERRIDE=FQ","FILING_STATUS=MR","SCALING_FORMAT=MLN","Sort=A","Dates=H","DateFormat=P","Fill=—","Direction=H","UseDPDF=Y")</f>
        <v>-138.35300000000001</v>
      </c>
      <c r="H22" s="13">
        <f>_xll.BDH("SRPT US Equity","IS_COMPARABLE_EBIT","FQ3 2020","FQ3 2020","Currency=USD","Period=FQ","BEST_FPERIOD_OVERRIDE=FQ","FILING_STATUS=MR","SCALING_FORMAT=MLN","Sort=A","Dates=H","DateFormat=P","Fill=—","Direction=H","UseDPDF=Y")</f>
        <v>-137.06800000000001</v>
      </c>
      <c r="I22" s="13">
        <f>_xll.BDH("SRPT US Equity","IS_COMPARABLE_EBIT","FQ4 2020","FQ4 2020","Currency=USD","Period=FQ","BEST_FPERIOD_OVERRIDE=FQ","FILING_STATUS=MR","SCALING_FORMAT=MLN","Sort=A","Dates=H","DateFormat=P","Fill=—","Direction=H","UseDPDF=Y")</f>
        <v>-170.71600000000001</v>
      </c>
      <c r="J22" s="13">
        <f>_xll.BDH("SRPT US Equity","IS_COMPARABLE_EBIT","FQ1 2021","FQ1 2021","Currency=USD","Period=FQ","BEST_FPERIOD_OVERRIDE=FQ","FILING_STATUS=MR","SCALING_FORMAT=MLN","Sort=A","Dates=H","DateFormat=P","Fill=—","Direction=H","UseDPDF=Y")</f>
        <v>-151.86500000000001</v>
      </c>
      <c r="K22" s="13">
        <f>_xll.BDH("SRPT US Equity","IS_COMPARABLE_EBIT","FQ2 2021","FQ2 2021","Currency=USD","Period=FQ","BEST_FPERIOD_OVERRIDE=FQ","FILING_STATUS=MR","SCALING_FORMAT=MLN","Sort=A","Dates=H","DateFormat=P","Fill=—","Direction=H","UseDPDF=Y")</f>
        <v>-167.57400000000001</v>
      </c>
      <c r="L22" s="13">
        <f>_xll.BDH("SRPT US Equity","IS_COMPARABLE_EBIT","FQ3 2021","FQ3 2021","Currency=USD","Period=FQ","BEST_FPERIOD_OVERRIDE=FQ","FILING_STATUS=MR","SCALING_FORMAT=MLN","Sort=A","Dates=H","DateFormat=P","Fill=—","Direction=H","UseDPDF=Y")</f>
        <v>-34.457999999999998</v>
      </c>
      <c r="M22" s="13">
        <f>_xll.BDH("SRPT US Equity","IS_COMPARABLE_EBIT","FQ4 2021","FQ4 2021","Currency=USD","Period=FQ","BEST_FPERIOD_OVERRIDE=FQ","FILING_STATUS=MR","SCALING_FORMAT=MLN","Sort=A","Dates=H","DateFormat=P","Fill=—","Direction=H","UseDPDF=Y")</f>
        <v>-105.813</v>
      </c>
      <c r="N22" s="13">
        <f>_xll.BDH("SRPT US Equity","IS_COMPARABLE_EBIT","FQ1 2022","FQ1 2022","Currency=USD","Period=FQ","BEST_FPERIOD_OVERRIDE=FQ","FILING_STATUS=MR","SCALING_FORMAT=MLN","Sort=A","Dates=H","DateFormat=P","Fill=—","Direction=H","UseDPDF=Y")</f>
        <v>-86.881</v>
      </c>
      <c r="O22" s="13">
        <f>_xll.BDH("SRPT US Equity","IS_COMPARABLE_EBIT","FQ2 2022","FQ2 2022","Currency=USD","Period=FQ","BEST_FPERIOD_OVERRIDE=FQ","FILING_STATUS=MR","SCALING_FORMAT=MLN","Sort=A","Dates=H","DateFormat=P","Fill=—","Direction=H","UseDPDF=Y")</f>
        <v>-108.24</v>
      </c>
      <c r="P22" s="13">
        <f>_xll.BDH("SRPT US Equity","IS_COMPARABLE_EBIT","FQ3 2022","FQ3 2022","Currency=USD","Period=FQ","BEST_FPERIOD_OVERRIDE=FQ","FILING_STATUS=MR","SCALING_FORMAT=MLN","Sort=A","Dates=H","DateFormat=P","Fill=—","Direction=H","UseDPDF=Y")</f>
        <v>-131.35499999999999</v>
      </c>
      <c r="Q22" s="13">
        <f>_xll.BDH("SRPT US Equity","IS_COMPARABLE_EBIT","FQ4 2022","FQ4 2022","Currency=USD","Period=FQ","BEST_FPERIOD_OVERRIDE=FQ","FILING_STATUS=MR","SCALING_FORMAT=MLN","Sort=A","Dates=H","DateFormat=P","Fill=—","Direction=H","UseDPDF=Y")</f>
        <v>-106.833</v>
      </c>
      <c r="R22" s="13">
        <f>_xll.BDH("SRPT US Equity","IS_COMPARABLE_EBIT","FQ1 2023","FQ1 2023","Currency=USD","Period=FQ","BEST_FPERIOD_OVERRIDE=FQ","FILING_STATUS=MR","SCALING_FORMAT=MLN","Sort=A","Dates=H","DateFormat=P","Fill=—","Direction=H","UseDPDF=Y")</f>
        <v>-138.08799999999999</v>
      </c>
      <c r="S22" s="13">
        <f>_xll.BDH("SRPT US Equity","IS_COMPARABLE_EBIT","FQ2 2023","FQ2 2023","Currency=USD","Period=FQ","BEST_FPERIOD_OVERRIDE=FQ","FILING_STATUS=MR","SCALING_FORMAT=MLN","Sort=A","Dates=H","DateFormat=P","Fill=—","Direction=H","UseDPDF=Y")</f>
        <v>-133.51900000000001</v>
      </c>
      <c r="T22" s="13">
        <f>_xll.BDH("SRPT US Equity","IS_COMPARABLE_EBIT","FQ3 2023","FQ3 2023","Currency=USD","Period=FQ","BEST_FPERIOD_OVERRIDE=FQ","FILING_STATUS=MR","SCALING_FORMAT=MLN","Sort=A","Dates=H","DateFormat=P","Fill=—","Direction=H","UseDPDF=Y")</f>
        <v>-20.841999999999999</v>
      </c>
      <c r="U22" s="13">
        <f>_xll.BDH("SRPT US Equity","IS_COMPARABLE_EBIT","FQ4 2023","FQ4 2023","Currency=USD","Period=FQ","BEST_FPERIOD_OVERRIDE=FQ","FILING_STATUS=MR","SCALING_FORMAT=MLN","Sort=A","Dates=H","DateFormat=P","Fill=—","Direction=H","UseDPDF=Y")</f>
        <v>24.625</v>
      </c>
      <c r="V22" s="13">
        <f>_xll.BDH("SRPT US Equity","IS_COMPARABLE_EBIT","FQ1 2024","FQ1 2024","Currency=USD","Period=FQ","BEST_FPERIOD_OVERRIDE=FQ","FILING_STATUS=MR","SCALING_FORMAT=MLN","Sort=A","Dates=H","DateFormat=P","Fill=—","Direction=H","UseDPDF=Y")</f>
        <v>83.7</v>
      </c>
      <c r="W22" s="13">
        <f>_xll.BDH("SRPT US Equity","IS_COMPARABLE_EBIT","FQ2 2024","FQ2 2024","Currency=USD","Period=FQ","BEST_FPERIOD_OVERRIDE=FQ","FILING_STATUS=MR","SCALING_FORMAT=MLN","Sort=A","Dates=H","DateFormat=P","Fill=—","Direction=H","UseDPDF=Y")</f>
        <v>-0.70099999999999996</v>
      </c>
      <c r="X22" s="13">
        <f>_xll.BDH("SRPT US Equity","IS_COMPARABLE_EBIT","FQ3 2024","FQ3 2024","Currency=USD","Period=FQ","BEST_FPERIOD_OVERRIDE=FQ","FILING_STATUS=MR","SCALING_FORMAT=MLN","Sort=A","Dates=H","DateFormat=P","Fill=—","Direction=H","UseDPDF=Y")</f>
        <v>22.196000000000002</v>
      </c>
      <c r="Y22" s="13">
        <f>_xll.BDH("SRPT US Equity","IS_COMPARABLE_EBIT","FQ4 2024","FQ4 2024","Currency=USD","Period=FQ","BEST_FPERIOD_OVERRIDE=FQ","FILING_STATUS=MR","SCALING_FORMAT=MLN","Sort=A","Dates=H","DateFormat=P","Fill=—","Direction=H","UseDPDF=Y")</f>
        <v>161.68100000000001</v>
      </c>
      <c r="Z22" s="13"/>
      <c r="AA22" s="13"/>
    </row>
    <row r="23" spans="1:27" x14ac:dyDescent="0.25">
      <c r="A23" s="11" t="s">
        <v>145</v>
      </c>
      <c r="B23" s="11"/>
      <c r="C23" s="25">
        <v>-158.38345547183599</v>
      </c>
      <c r="D23" s="25">
        <v>-25.6953979150775</v>
      </c>
      <c r="E23" s="25">
        <v>-71.379333447477507</v>
      </c>
      <c r="F23" s="25">
        <v>19.918850885108899</v>
      </c>
      <c r="G23" s="25">
        <v>1.0492061221570499</v>
      </c>
      <c r="H23" s="25">
        <v>-5.0675701572165703</v>
      </c>
      <c r="I23" s="25">
        <v>-23.158388341809999</v>
      </c>
      <c r="J23" s="25">
        <v>-7.1358024691358102</v>
      </c>
      <c r="K23" s="25">
        <v>-23.2805361622612</v>
      </c>
      <c r="L23" s="25">
        <v>76.170124481327804</v>
      </c>
      <c r="M23" s="25">
        <v>4.0140423447450004</v>
      </c>
      <c r="N23" s="25">
        <v>15.226469956872201</v>
      </c>
      <c r="O23" s="25">
        <v>-17.728953665433998</v>
      </c>
      <c r="P23" s="25">
        <v>-15.5002769790815</v>
      </c>
      <c r="Q23" s="25">
        <v>1.29715346877685</v>
      </c>
      <c r="R23" s="25">
        <v>-12.3580146460537</v>
      </c>
      <c r="S23" s="25">
        <v>12.408074367098999</v>
      </c>
      <c r="T23" s="25">
        <v>82.411814345991601</v>
      </c>
      <c r="U23" s="25" t="s">
        <v>141</v>
      </c>
      <c r="V23" s="25" t="s">
        <v>141</v>
      </c>
      <c r="W23" s="25">
        <v>96.875557140310207</v>
      </c>
      <c r="X23" s="25" t="s">
        <v>141</v>
      </c>
      <c r="Y23" s="25">
        <v>-7.0109448959285903</v>
      </c>
      <c r="Z23" s="25"/>
      <c r="AA23" s="25"/>
    </row>
    <row r="24" spans="1:27" x14ac:dyDescent="0.25">
      <c r="A24" s="10" t="s">
        <v>135</v>
      </c>
      <c r="B24" s="10" t="s">
        <v>142</v>
      </c>
      <c r="C24" s="13">
        <f>_xll.BDH("SRPT US Equity","EBIT","FQ2 2019","FQ2 2019","Currency=USD","Period=FQ","BEST_FPERIOD_OVERRIDE=FQ","FILING_STATUS=MR","SCALING_FORMAT=MLN","FA_ADJUSTED=GAAP","Sort=A","Dates=H","DateFormat=P","Fill=—","Direction=H","UseDPDF=Y")</f>
        <v>-275.36700000000002</v>
      </c>
      <c r="D24" s="13">
        <f>_xll.BDH("SRPT US Equity","EBIT","FQ3 2019","FQ3 2019","Currency=USD","Period=FQ","BEST_FPERIOD_OVERRIDE=FQ","FILING_STATUS=MR","SCALING_FORMAT=MLN","FA_ADJUSTED=GAAP","Sort=A","Dates=H","DateFormat=P","Fill=—","Direction=H","UseDPDF=Y")</f>
        <v>-123.59</v>
      </c>
      <c r="E24" s="13">
        <f>_xll.BDH("SRPT US Equity","EBIT","FQ4 2019","FQ4 2019","Currency=USD","Period=FQ","BEST_FPERIOD_OVERRIDE=FQ","FILING_STATUS=MR","SCALING_FORMAT=MLN","FA_ADJUSTED=GAAP","Sort=A","Dates=H","DateFormat=P","Fill=—","Direction=H","UseDPDF=Y")</f>
        <v>-230.21899999999999</v>
      </c>
      <c r="F24" s="13">
        <f>_xll.BDH("SRPT US Equity","EBIT","FQ1 2020","FQ1 2020","Currency=USD","Period=FQ","BEST_FPERIOD_OVERRIDE=FQ","FILING_STATUS=MR","SCALING_FORMAT=MLN","FA_ADJUSTED=GAAP","Sort=A","Dates=H","DateFormat=P","Fill=—","Direction=H","UseDPDF=Y")</f>
        <v>-118.026</v>
      </c>
      <c r="G24" s="13">
        <f>_xll.BDH("SRPT US Equity","EBIT","FQ2 2020","FQ2 2020","Currency=USD","Period=FQ","BEST_FPERIOD_OVERRIDE=FQ","FILING_STATUS=MR","SCALING_FORMAT=MLN","FA_ADJUSTED=GAAP","Sort=A","Dates=H","DateFormat=P","Fill=—","Direction=H","UseDPDF=Y")</f>
        <v>-138.35300000000001</v>
      </c>
      <c r="H24" s="13">
        <f>_xll.BDH("SRPT US Equity","EBIT","FQ3 2020","FQ3 2020","Currency=USD","Period=FQ","BEST_FPERIOD_OVERRIDE=FQ","FILING_STATUS=MR","SCALING_FORMAT=MLN","FA_ADJUSTED=GAAP","Sort=A","Dates=H","DateFormat=P","Fill=—","Direction=H","UseDPDF=Y")</f>
        <v>-137.06800000000001</v>
      </c>
      <c r="I24" s="13">
        <f>_xll.BDH("SRPT US Equity","EBIT","FQ4 2020","FQ4 2020","Currency=USD","Period=FQ","BEST_FPERIOD_OVERRIDE=FQ","FILING_STATUS=MR","SCALING_FORMAT=MLN","FA_ADJUSTED=GAAP","Sort=A","Dates=H","DateFormat=P","Fill=—","Direction=H","UseDPDF=Y")</f>
        <v>-170.71600000000001</v>
      </c>
      <c r="J24" s="13">
        <f>_xll.BDH("SRPT US Equity","EBIT","FQ1 2021","FQ1 2021","Currency=USD","Period=FQ","BEST_FPERIOD_OVERRIDE=FQ","FILING_STATUS=MR","SCALING_FORMAT=MLN","FA_ADJUSTED=GAAP","Sort=A","Dates=H","DateFormat=P","Fill=—","Direction=H","UseDPDF=Y")</f>
        <v>-151.86500000000001</v>
      </c>
      <c r="K24" s="13">
        <f>_xll.BDH("SRPT US Equity","EBIT","FQ2 2021","FQ2 2021","Currency=USD","Period=FQ","BEST_FPERIOD_OVERRIDE=FQ","FILING_STATUS=MR","SCALING_FORMAT=MLN","FA_ADJUSTED=GAAP","Sort=A","Dates=H","DateFormat=P","Fill=—","Direction=H","UseDPDF=Y")</f>
        <v>-167.57400000000001</v>
      </c>
      <c r="L24" s="13">
        <f>_xll.BDH("SRPT US Equity","EBIT","FQ3 2021","FQ3 2021","Currency=USD","Period=FQ","BEST_FPERIOD_OVERRIDE=FQ","FILING_STATUS=MR","SCALING_FORMAT=MLN","FA_ADJUSTED=GAAP","Sort=A","Dates=H","DateFormat=P","Fill=—","Direction=H","UseDPDF=Y")</f>
        <v>-34.457999999999998</v>
      </c>
      <c r="M24" s="13">
        <f>_xll.BDH("SRPT US Equity","EBIT","FQ4 2021","FQ4 2021","Currency=USD","Period=FQ","BEST_FPERIOD_OVERRIDE=FQ","FILING_STATUS=MR","SCALING_FORMAT=MLN","FA_ADJUSTED=GAAP","Sort=A","Dates=H","DateFormat=P","Fill=—","Direction=H","UseDPDF=Y")</f>
        <v>-105.813</v>
      </c>
      <c r="N24" s="13">
        <f>_xll.BDH("SRPT US Equity","EBIT","FQ1 2022","FQ1 2022","Currency=USD","Period=FQ","BEST_FPERIOD_OVERRIDE=FQ","FILING_STATUS=MR","SCALING_FORMAT=MLN","FA_ADJUSTED=GAAP","Sort=A","Dates=H","DateFormat=P","Fill=—","Direction=H","UseDPDF=Y")</f>
        <v>-86.881</v>
      </c>
      <c r="O24" s="13">
        <f>_xll.BDH("SRPT US Equity","EBIT","FQ2 2022","FQ2 2022","Currency=USD","Period=FQ","BEST_FPERIOD_OVERRIDE=FQ","FILING_STATUS=MR","SCALING_FORMAT=MLN","FA_ADJUSTED=GAAP","Sort=A","Dates=H","DateFormat=P","Fill=—","Direction=H","UseDPDF=Y")</f>
        <v>-211.13200000000001</v>
      </c>
      <c r="P24" s="13">
        <f>_xll.BDH("SRPT US Equity","EBIT","FQ3 2022","FQ3 2022","Currency=USD","Period=FQ","BEST_FPERIOD_OVERRIDE=FQ","FILING_STATUS=MR","SCALING_FORMAT=MLN","FA_ADJUSTED=GAAP","Sort=A","Dates=H","DateFormat=P","Fill=—","Direction=H","UseDPDF=Y")</f>
        <v>-131.35499999999999</v>
      </c>
      <c r="Q24" s="13">
        <f>_xll.BDH("SRPT US Equity","EBIT","FQ4 2022","FQ4 2022","Currency=USD","Period=FQ","BEST_FPERIOD_OVERRIDE=FQ","FILING_STATUS=MR","SCALING_FORMAT=MLN","FA_ADJUSTED=GAAP","Sort=A","Dates=H","DateFormat=P","Fill=—","Direction=H","UseDPDF=Y")</f>
        <v>-106.833</v>
      </c>
      <c r="R24" s="13">
        <f>_xll.BDH("SRPT US Equity","EBIT","FQ1 2023","FQ1 2023","Currency=USD","Period=FQ","BEST_FPERIOD_OVERRIDE=FQ","FILING_STATUS=MR","SCALING_FORMAT=MLN","FA_ADJUSTED=GAAP","Sort=A","Dates=H","DateFormat=P","Fill=—","Direction=H","UseDPDF=Y")</f>
        <v>-138.08799999999999</v>
      </c>
      <c r="S24" s="13">
        <f>_xll.BDH("SRPT US Equity","EBIT","FQ2 2023","FQ2 2023","Currency=USD","Period=FQ","BEST_FPERIOD_OVERRIDE=FQ","FILING_STATUS=MR","SCALING_FORMAT=MLN","FA_ADJUSTED=GAAP","Sort=A","Dates=H","DateFormat=P","Fill=—","Direction=H","UseDPDF=Y")</f>
        <v>-133.51900000000001</v>
      </c>
      <c r="T24" s="13">
        <f>_xll.BDH("SRPT US Equity","EBIT","FQ3 2023","FQ3 2023","Currency=USD","Period=FQ","BEST_FPERIOD_OVERRIDE=FQ","FILING_STATUS=MR","SCALING_FORMAT=MLN","FA_ADJUSTED=GAAP","Sort=A","Dates=H","DateFormat=P","Fill=—","Direction=H","UseDPDF=Y")</f>
        <v>-20.841999999999999</v>
      </c>
      <c r="U24" s="13">
        <f>_xll.BDH("SRPT US Equity","EBIT","FQ4 2023","FQ4 2023","Currency=USD","Period=FQ","BEST_FPERIOD_OVERRIDE=FQ","FILING_STATUS=MR","SCALING_FORMAT=MLN","FA_ADJUSTED=GAAP","Sort=A","Dates=H","DateFormat=P","Fill=—","Direction=H","UseDPDF=Y")</f>
        <v>24.625</v>
      </c>
      <c r="V24" s="13">
        <f>_xll.BDH("SRPT US Equity","EBIT","FQ1 2024","FQ1 2024","Currency=USD","Period=FQ","BEST_FPERIOD_OVERRIDE=FQ","FILING_STATUS=MR","SCALING_FORMAT=MLN","FA_ADJUSTED=GAAP","Sort=A","Dates=H","DateFormat=P","Fill=—","Direction=H","UseDPDF=Y")</f>
        <v>34.905000000000001</v>
      </c>
      <c r="W24" s="13">
        <f>_xll.BDH("SRPT US Equity","EBIT","FQ2 2024","FQ2 2024","Currency=USD","Period=FQ","BEST_FPERIOD_OVERRIDE=FQ","FILING_STATUS=MR","SCALING_FORMAT=MLN","FA_ADJUSTED=GAAP","Sort=A","Dates=H","DateFormat=P","Fill=—","Direction=H","UseDPDF=Y")</f>
        <v>-0.70099999999999996</v>
      </c>
      <c r="X24" s="13">
        <f>_xll.BDH("SRPT US Equity","EBIT","FQ3 2024","FQ3 2024","Currency=USD","Period=FQ","BEST_FPERIOD_OVERRIDE=FQ","FILING_STATUS=MR","SCALING_FORMAT=MLN","FA_ADJUSTED=GAAP","Sort=A","Dates=H","DateFormat=P","Fill=—","Direction=H","UseDPDF=Y")</f>
        <v>22.196000000000002</v>
      </c>
      <c r="Y24" s="13">
        <f>_xll.BDH("SRPT US Equity","EBIT","FQ4 2024","FQ4 2024","Currency=USD","Period=FQ","BEST_FPERIOD_OVERRIDE=FQ","FILING_STATUS=MR","SCALING_FORMAT=MLN","FA_ADJUSTED=GAAP","Sort=A","Dates=H","DateFormat=P","Fill=—","Direction=H","UseDPDF=Y")</f>
        <v>161.68100000000001</v>
      </c>
      <c r="Z24" s="13"/>
      <c r="AA24" s="13"/>
    </row>
    <row r="25" spans="1:27" x14ac:dyDescent="0.25">
      <c r="A25" s="10" t="s">
        <v>136</v>
      </c>
      <c r="B25" s="10" t="s">
        <v>142</v>
      </c>
      <c r="C25" s="13">
        <f>_xll.BDH("SRPT US Equity","EBIT","FQ2 2019","FQ2 2019","Currency=USD","Period=FQ","BEST_FPERIOD_OVERRIDE=FQ","FILING_STATUS=MR","SCALING_FORMAT=MLN","FA_ADJUSTED=Adjusted","Sort=A","Dates=H","DateFormat=P","Fill=—","Direction=H","UseDPDF=Y")</f>
        <v>-87.049000000000007</v>
      </c>
      <c r="D25" s="13">
        <f>_xll.BDH("SRPT US Equity","EBIT","FQ3 2019","FQ3 2019","Currency=USD","Period=FQ","BEST_FPERIOD_OVERRIDE=FQ","FILING_STATUS=MR","SCALING_FORMAT=MLN","FA_ADJUSTED=Adjusted","Sort=A","Dates=H","DateFormat=P","Fill=—","Direction=H","UseDPDF=Y")</f>
        <v>-111.444</v>
      </c>
      <c r="E25" s="13">
        <f>_xll.BDH("SRPT US Equity","EBIT","FQ4 2019","FQ4 2019","Currency=USD","Period=FQ","BEST_FPERIOD_OVERRIDE=FQ","FILING_STATUS=MR","SCALING_FORMAT=MLN","FA_ADJUSTED=Adjusted","Sort=A","Dates=H","DateFormat=P","Fill=—","Direction=H","UseDPDF=Y")</f>
        <v>-145.40299999999999</v>
      </c>
      <c r="F25" s="13">
        <f>_xll.BDH("SRPT US Equity","EBIT","FQ1 2020","FQ1 2020","Currency=USD","Period=FQ","BEST_FPERIOD_OVERRIDE=FQ","FILING_STATUS=MR","SCALING_FORMAT=MLN","FA_ADJUSTED=Adjusted","Sort=A","Dates=H","DateFormat=P","Fill=—","Direction=H","UseDPDF=Y")</f>
        <v>-106.73399999999999</v>
      </c>
      <c r="G25" s="13">
        <f>_xll.BDH("SRPT US Equity","EBIT","FQ2 2020","FQ2 2020","Currency=USD","Period=FQ","BEST_FPERIOD_OVERRIDE=FQ","FILING_STATUS=MR","SCALING_FORMAT=MLN","FA_ADJUSTED=Adjusted","Sort=A","Dates=H","DateFormat=P","Fill=—","Direction=H","UseDPDF=Y")</f>
        <v>-138.35300000000001</v>
      </c>
      <c r="H25" s="13">
        <f>_xll.BDH("SRPT US Equity","EBIT","FQ3 2020","FQ3 2020","Currency=USD","Period=FQ","BEST_FPERIOD_OVERRIDE=FQ","FILING_STATUS=MR","SCALING_FORMAT=MLN","FA_ADJUSTED=Adjusted","Sort=A","Dates=H","DateFormat=P","Fill=—","Direction=H","UseDPDF=Y")</f>
        <v>-121.693</v>
      </c>
      <c r="I25" s="13">
        <f>_xll.BDH("SRPT US Equity","EBIT","FQ4 2020","FQ4 2020","Currency=USD","Period=FQ","BEST_FPERIOD_OVERRIDE=FQ","FILING_STATUS=MR","SCALING_FORMAT=MLN","FA_ADJUSTED=Adjusted","Sort=A","Dates=H","DateFormat=P","Fill=—","Direction=H","UseDPDF=Y")</f>
        <v>-160.09399999999999</v>
      </c>
      <c r="J25" s="13">
        <f>_xll.BDH("SRPT US Equity","EBIT","FQ1 2021","FQ1 2021","Currency=USD","Period=FQ","BEST_FPERIOD_OVERRIDE=FQ","FILING_STATUS=MR","SCALING_FORMAT=MLN","FA_ADJUSTED=Adjusted","Sort=A","Dates=H","DateFormat=P","Fill=—","Direction=H","UseDPDF=Y")</f>
        <v>-137.86500000000001</v>
      </c>
      <c r="K25" s="13">
        <f>_xll.BDH("SRPT US Equity","EBIT","FQ2 2021","FQ2 2021","Currency=USD","Period=FQ","BEST_FPERIOD_OVERRIDE=FQ","FILING_STATUS=MR","SCALING_FORMAT=MLN","FA_ADJUSTED=Adjusted","Sort=A","Dates=H","DateFormat=P","Fill=—","Direction=H","UseDPDF=Y")</f>
        <v>-237.89699999999999</v>
      </c>
      <c r="L25" s="13">
        <f>_xll.BDH("SRPT US Equity","EBIT","FQ3 2021","FQ3 2021","Currency=USD","Period=FQ","BEST_FPERIOD_OVERRIDE=FQ","FILING_STATUS=MR","SCALING_FORMAT=MLN","FA_ADJUSTED=Adjusted","Sort=A","Dates=H","DateFormat=P","Fill=—","Direction=H","UseDPDF=Y")</f>
        <v>-34.457999999999998</v>
      </c>
      <c r="M25" s="13">
        <f>_xll.BDH("SRPT US Equity","EBIT","FQ4 2021","FQ4 2021","Currency=USD","Period=FQ","BEST_FPERIOD_OVERRIDE=FQ","FILING_STATUS=MR","SCALING_FORMAT=MLN","FA_ADJUSTED=Adjusted","Sort=A","Dates=H","DateFormat=P","Fill=—","Direction=H","UseDPDF=Y")</f>
        <v>-105.813</v>
      </c>
      <c r="N25" s="13">
        <f>_xll.BDH("SRPT US Equity","EBIT","FQ1 2022","FQ1 2022","Currency=USD","Period=FQ","BEST_FPERIOD_OVERRIDE=FQ","FILING_STATUS=MR","SCALING_FORMAT=MLN","FA_ADJUSTED=Adjusted","Sort=A","Dates=H","DateFormat=P","Fill=—","Direction=H","UseDPDF=Y")</f>
        <v>-86.881</v>
      </c>
      <c r="O25" s="13">
        <f>_xll.BDH("SRPT US Equity","EBIT","FQ2 2022","FQ2 2022","Currency=USD","Period=FQ","BEST_FPERIOD_OVERRIDE=FQ","FILING_STATUS=MR","SCALING_FORMAT=MLN","FA_ADJUSTED=Adjusted","Sort=A","Dates=H","DateFormat=P","Fill=—","Direction=H","UseDPDF=Y")</f>
        <v>-211.13200000000001</v>
      </c>
      <c r="P25" s="13">
        <f>_xll.BDH("SRPT US Equity","EBIT","FQ3 2022","FQ3 2022","Currency=USD","Period=FQ","BEST_FPERIOD_OVERRIDE=FQ","FILING_STATUS=MR","SCALING_FORMAT=MLN","FA_ADJUSTED=Adjusted","Sort=A","Dates=H","DateFormat=P","Fill=—","Direction=H","UseDPDF=Y")</f>
        <v>-131.35499999999999</v>
      </c>
      <c r="Q25" s="13">
        <f>_xll.BDH("SRPT US Equity","EBIT","FQ4 2022","FQ4 2022","Currency=USD","Period=FQ","BEST_FPERIOD_OVERRIDE=FQ","FILING_STATUS=MR","SCALING_FORMAT=MLN","FA_ADJUSTED=Adjusted","Sort=A","Dates=H","DateFormat=P","Fill=—","Direction=H","UseDPDF=Y")</f>
        <v>-106.833</v>
      </c>
      <c r="R25" s="13">
        <f>_xll.BDH("SRPT US Equity","EBIT","FQ1 2023","FQ1 2023","Currency=USD","Period=FQ","BEST_FPERIOD_OVERRIDE=FQ","FILING_STATUS=MR","SCALING_FORMAT=MLN","FA_ADJUSTED=Adjusted","Sort=A","Dates=H","DateFormat=P","Fill=—","Direction=H","UseDPDF=Y")</f>
        <v>-138.08799999999999</v>
      </c>
      <c r="S25" s="13">
        <f>_xll.BDH("SRPT US Equity","EBIT","FQ2 2023","FQ2 2023","Currency=USD","Period=FQ","BEST_FPERIOD_OVERRIDE=FQ","FILING_STATUS=MR","SCALING_FORMAT=MLN","FA_ADJUSTED=Adjusted","Sort=A","Dates=H","DateFormat=P","Fill=—","Direction=H","UseDPDF=Y")</f>
        <v>-133.51900000000001</v>
      </c>
      <c r="T25" s="13">
        <f>_xll.BDH("SRPT US Equity","EBIT","FQ3 2023","FQ3 2023","Currency=USD","Period=FQ","BEST_FPERIOD_OVERRIDE=FQ","FILING_STATUS=MR","SCALING_FORMAT=MLN","FA_ADJUSTED=Adjusted","Sort=A","Dates=H","DateFormat=P","Fill=—","Direction=H","UseDPDF=Y")</f>
        <v>-20.841999999999999</v>
      </c>
      <c r="U25" s="13">
        <f>_xll.BDH("SRPT US Equity","EBIT","FQ4 2023","FQ4 2023","Currency=USD","Period=FQ","BEST_FPERIOD_OVERRIDE=FQ","FILING_STATUS=MR","SCALING_FORMAT=MLN","FA_ADJUSTED=Adjusted","Sort=A","Dates=H","DateFormat=P","Fill=—","Direction=H","UseDPDF=Y")</f>
        <v>24.625</v>
      </c>
      <c r="V25" s="13">
        <f>_xll.BDH("SRPT US Equity","EBIT","FQ1 2024","FQ1 2024","Currency=USD","Period=FQ","BEST_FPERIOD_OVERRIDE=FQ","FILING_STATUS=MR","SCALING_FORMAT=MLN","FA_ADJUSTED=Adjusted","Sort=A","Dates=H","DateFormat=P","Fill=—","Direction=H","UseDPDF=Y")</f>
        <v>34.905000000000001</v>
      </c>
      <c r="W25" s="13">
        <f>_xll.BDH("SRPT US Equity","EBIT","FQ2 2024","FQ2 2024","Currency=USD","Period=FQ","BEST_FPERIOD_OVERRIDE=FQ","FILING_STATUS=MR","SCALING_FORMAT=MLN","FA_ADJUSTED=Adjusted","Sort=A","Dates=H","DateFormat=P","Fill=—","Direction=H","UseDPDF=Y")</f>
        <v>-0.70099999999999996</v>
      </c>
      <c r="X25" s="13">
        <f>_xll.BDH("SRPT US Equity","EBIT","FQ3 2024","FQ3 2024","Currency=USD","Period=FQ","BEST_FPERIOD_OVERRIDE=FQ","FILING_STATUS=MR","SCALING_FORMAT=MLN","FA_ADJUSTED=Adjusted","Sort=A","Dates=H","DateFormat=P","Fill=—","Direction=H","UseDPDF=Y")</f>
        <v>22.196000000000002</v>
      </c>
      <c r="Y25" s="13">
        <f>_xll.BDH("SRPT US Equity","EBIT","FQ4 2024","FQ4 2024","Currency=USD","Period=FQ","BEST_FPERIOD_OVERRIDE=FQ","FILING_STATUS=MR","SCALING_FORMAT=MLN","FA_ADJUSTED=Adjusted","Sort=A","Dates=H","DateFormat=P","Fill=—","Direction=H","UseDPDF=Y")</f>
        <v>161.68100000000001</v>
      </c>
      <c r="Z25" s="13"/>
      <c r="AA25" s="13"/>
    </row>
    <row r="26" spans="1:27" x14ac:dyDescent="0.25">
      <c r="A26" s="10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5">
      <c r="A27" s="6" t="s">
        <v>78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x14ac:dyDescent="0.25">
      <c r="A28" s="10" t="s">
        <v>130</v>
      </c>
      <c r="B28" s="10" t="s">
        <v>146</v>
      </c>
      <c r="C28" s="13">
        <f>_xll.BDH("SRPT US Equity","BEST_EBITDA","FQ2 2019","FQ2 2019","Currency=USD","Period=FQ","BEST_FPERIOD_OVERRIDE=FQ","FILING_STATUS=MR","Sort=A","Dates=H","DateFormat=P","Fill=—","Direction=H","UseDPDF=Y")</f>
        <v>-72.5</v>
      </c>
      <c r="D28" s="13">
        <f>_xll.BDH("SRPT US Equity","BEST_EBITDA","FQ3 2019","FQ3 2019","Currency=USD","Period=FQ","BEST_FPERIOD_OVERRIDE=FQ","FILING_STATUS=MR","Sort=A","Dates=H","DateFormat=P","Fill=—","Direction=H","UseDPDF=Y")</f>
        <v>-95.332999999999998</v>
      </c>
      <c r="E28" s="13">
        <f>_xll.BDH("SRPT US Equity","BEST_EBITDA","FQ4 2019","FQ4 2019","Currency=USD","Period=FQ","BEST_FPERIOD_OVERRIDE=FQ","FILING_STATUS=MR","Sort=A","Dates=H","DateFormat=P","Fill=—","Direction=H","UseDPDF=Y")</f>
        <v>-136.333</v>
      </c>
      <c r="F28" s="13">
        <f>_xll.BDH("SRPT US Equity","BEST_EBITDA","FQ1 2020","FQ1 2020","Currency=USD","Period=FQ","BEST_FPERIOD_OVERRIDE=FQ","FILING_STATUS=MR","Sort=A","Dates=H","DateFormat=P","Fill=—","Direction=H","UseDPDF=Y")</f>
        <v>-128.5</v>
      </c>
      <c r="G28" s="13">
        <f>_xll.BDH("SRPT US Equity","BEST_EBITDA","FQ2 2020","FQ2 2020","Currency=USD","Period=FQ","BEST_FPERIOD_OVERRIDE=FQ","FILING_STATUS=MR","Sort=A","Dates=H","DateFormat=P","Fill=—","Direction=H","UseDPDF=Y")</f>
        <v>-127.333</v>
      </c>
      <c r="H28" s="13">
        <f>_xll.BDH("SRPT US Equity","BEST_EBITDA","FQ3 2020","FQ3 2020","Currency=USD","Period=FQ","BEST_FPERIOD_OVERRIDE=FQ","FILING_STATUS=MR","Sort=A","Dates=H","DateFormat=P","Fill=—","Direction=H","UseDPDF=Y")</f>
        <v>-120.06699999999999</v>
      </c>
      <c r="I28" s="13">
        <f>_xll.BDH("SRPT US Equity","BEST_EBITDA","FQ4 2020","FQ4 2020","Currency=USD","Period=FQ","BEST_FPERIOD_OVERRIDE=FQ","FILING_STATUS=MR","Sort=A","Dates=H","DateFormat=P","Fill=—","Direction=H","UseDPDF=Y")</f>
        <v>-137.333</v>
      </c>
      <c r="J28" s="13">
        <f>_xll.BDH("SRPT US Equity","BEST_EBITDA","FQ1 2021","FQ1 2021","Currency=USD","Period=FQ","BEST_FPERIOD_OVERRIDE=FQ","FILING_STATUS=MR","Sort=A","Dates=H","DateFormat=P","Fill=—","Direction=H","UseDPDF=Y")</f>
        <v>-154.5</v>
      </c>
      <c r="K28" s="13">
        <f>_xll.BDH("SRPT US Equity","BEST_EBITDA","FQ2 2021","FQ2 2021","Currency=USD","Period=FQ","BEST_FPERIOD_OVERRIDE=FQ","FILING_STATUS=MR","Sort=A","Dates=H","DateFormat=P","Fill=—","Direction=H","UseDPDF=Y")</f>
        <v>-80.332999999999998</v>
      </c>
      <c r="L28" s="13">
        <f>_xll.BDH("SRPT US Equity","BEST_EBITDA","FQ3 2021","FQ3 2021","Currency=USD","Period=FQ","BEST_FPERIOD_OVERRIDE=FQ","FILING_STATUS=MR","Sort=A","Dates=H","DateFormat=P","Fill=—","Direction=H","UseDPDF=Y")</f>
        <v>-111.167</v>
      </c>
      <c r="M28" s="13">
        <f>_xll.BDH("SRPT US Equity","BEST_EBITDA","FQ4 2021","FQ4 2021","Currency=USD","Period=FQ","BEST_FPERIOD_OVERRIDE=FQ","FILING_STATUS=MR","Sort=A","Dates=H","DateFormat=P","Fill=—","Direction=H","UseDPDF=Y")</f>
        <v>-55.732999999999997</v>
      </c>
      <c r="N28" s="13">
        <f>_xll.BDH("SRPT US Equity","BEST_EBITDA","FQ1 2022","FQ1 2022","Currency=USD","Period=FQ","BEST_FPERIOD_OVERRIDE=FQ","FILING_STATUS=MR","Sort=A","Dates=H","DateFormat=P","Fill=—","Direction=H","UseDPDF=Y")</f>
        <v>-102</v>
      </c>
      <c r="O28" s="13">
        <f>_xll.BDH("SRPT US Equity","BEST_EBITDA","FQ2 2022","FQ2 2022","Currency=USD","Period=FQ","BEST_FPERIOD_OVERRIDE=FQ","FILING_STATUS=MR","Sort=A","Dates=H","DateFormat=P","Fill=—","Direction=H","UseDPDF=Y")</f>
        <v>-63.8</v>
      </c>
      <c r="P28" s="13">
        <f>_xll.BDH("SRPT US Equity","BEST_EBITDA","FQ3 2022","FQ3 2022","Currency=USD","Period=FQ","BEST_FPERIOD_OVERRIDE=FQ","FILING_STATUS=MR","Sort=A","Dates=H","DateFormat=P","Fill=—","Direction=H","UseDPDF=Y")</f>
        <v>-97.433000000000007</v>
      </c>
      <c r="Q28" s="13">
        <f>_xll.BDH("SRPT US Equity","BEST_EBITDA","FQ4 2022","FQ4 2022","Currency=USD","Period=FQ","BEST_FPERIOD_OVERRIDE=FQ","FILING_STATUS=MR","Sort=A","Dates=H","DateFormat=P","Fill=—","Direction=H","UseDPDF=Y")</f>
        <v>-84.224999999999994</v>
      </c>
      <c r="R28" s="13">
        <f>_xll.BDH("SRPT US Equity","BEST_EBITDA","FQ1 2023","FQ1 2023","Currency=USD","Period=FQ","BEST_FPERIOD_OVERRIDE=FQ","FILING_STATUS=MR","Sort=A","Dates=H","DateFormat=P","Fill=—","Direction=H","UseDPDF=Y")</f>
        <v>-87.02</v>
      </c>
      <c r="S28" s="13">
        <f>_xll.BDH("SRPT US Equity","BEST_EBITDA","FQ2 2023","FQ2 2023","Currency=USD","Period=FQ","BEST_FPERIOD_OVERRIDE=FQ","FILING_STATUS=MR","Sort=A","Dates=H","DateFormat=P","Fill=—","Direction=H","UseDPDF=Y")</f>
        <v>-132.66</v>
      </c>
      <c r="T28" s="13">
        <f>_xll.BDH("SRPT US Equity","BEST_EBITDA","FQ3 2023","FQ3 2023","Currency=USD","Period=FQ","BEST_FPERIOD_OVERRIDE=FQ","FILING_STATUS=MR","Sort=A","Dates=H","DateFormat=P","Fill=—","Direction=H","UseDPDF=Y")</f>
        <v>-97</v>
      </c>
      <c r="U28" s="13">
        <f>_xll.BDH("SRPT US Equity","BEST_EBITDA","FQ4 2023","FQ4 2023","Currency=USD","Period=FQ","BEST_FPERIOD_OVERRIDE=FQ","FILING_STATUS=MR","Sort=A","Dates=H","DateFormat=P","Fill=—","Direction=H","UseDPDF=Y")</f>
        <v>35.228999999999999</v>
      </c>
      <c r="V28" s="13">
        <f>_xll.BDH("SRPT US Equity","BEST_EBITDA","FQ1 2024","FQ1 2024","Currency=USD","Period=FQ","BEST_FPERIOD_OVERRIDE=FQ","FILING_STATUS=MR","Sort=A","Dates=H","DateFormat=P","Fill=—","Direction=H","UseDPDF=Y")</f>
        <v>-22.3</v>
      </c>
      <c r="W28" s="13">
        <f>_xll.BDH("SRPT US Equity","BEST_EBITDA","FQ2 2024","FQ2 2024","Currency=USD","Period=FQ","BEST_FPERIOD_OVERRIDE=FQ","FILING_STATUS=MR","Sort=A","Dates=H","DateFormat=P","Fill=—","Direction=H","UseDPDF=Y")</f>
        <v>16.587</v>
      </c>
      <c r="X28" s="13">
        <f>_xll.BDH("SRPT US Equity","BEST_EBITDA","FQ3 2024","FQ3 2024","Currency=USD","Period=FQ","BEST_FPERIOD_OVERRIDE=FQ","FILING_STATUS=MR","Sort=A","Dates=H","DateFormat=P","Fill=—","Direction=H","UseDPDF=Y")</f>
        <v>-7.4</v>
      </c>
      <c r="Y28" s="13">
        <f>_xll.BDH("SRPT US Equity","BEST_EBITDA","FQ4 2024","FQ4 2024","Currency=USD","Period=FQ","BEST_FPERIOD_OVERRIDE=FQ","FILING_STATUS=MR","Sort=A","Dates=H","DateFormat=P","Fill=—","Direction=H","UseDPDF=Y")</f>
        <v>212.667</v>
      </c>
      <c r="Z28" s="13">
        <v>18.2</v>
      </c>
      <c r="AA28" s="13">
        <v>276.2</v>
      </c>
    </row>
    <row r="29" spans="1:27" x14ac:dyDescent="0.25">
      <c r="A29" s="10" t="s">
        <v>132</v>
      </c>
      <c r="B29" s="10" t="s">
        <v>147</v>
      </c>
      <c r="C29" s="13">
        <f>_xll.BDH("SRPT US Equity","IS_COMPARABLE_EBITDA","FQ2 2019","FQ2 2019","Currency=USD","Period=FQ","BEST_FPERIOD_OVERRIDE=FQ","FILING_STATUS=MR","SCALING_FORMAT=MLN","Sort=A","Dates=H","DateFormat=P","Fill=—","Direction=H","UseDPDF=Y")</f>
        <v>-267.673</v>
      </c>
      <c r="D29" s="13">
        <f>_xll.BDH("SRPT US Equity","IS_COMPARABLE_EBITDA","FQ3 2019","FQ3 2019","Currency=USD","Period=FQ","BEST_FPERIOD_OVERRIDE=FQ","FILING_STATUS=MR","SCALING_FORMAT=MLN","Sort=A","Dates=H","DateFormat=P","Fill=—","Direction=H","UseDPDF=Y")</f>
        <v>-115.313</v>
      </c>
      <c r="E29" s="13">
        <f>_xll.BDH("SRPT US Equity","IS_COMPARABLE_EBITDA","FQ4 2019","FQ4 2019","Currency=USD","Period=FQ","BEST_FPERIOD_OVERRIDE=FQ","FILING_STATUS=MR","SCALING_FORMAT=MLN","Sort=A","Dates=H","DateFormat=P","Fill=—","Direction=H","UseDPDF=Y")</f>
        <v>-222.01300000000001</v>
      </c>
      <c r="F29" s="13">
        <f>_xll.BDH("SRPT US Equity","IS_COMPARABLE_EBITDA","FQ1 2020","FQ1 2020","Currency=USD","Period=FQ","BEST_FPERIOD_OVERRIDE=FQ","FILING_STATUS=MR","SCALING_FORMAT=MLN","Sort=A","Dates=H","DateFormat=P","Fill=—","Direction=H","UseDPDF=Y")</f>
        <v>-111.497</v>
      </c>
      <c r="G29" s="13">
        <f>_xll.BDH("SRPT US Equity","IS_COMPARABLE_EBITDA","FQ2 2020","FQ2 2020","Currency=USD","Period=FQ","BEST_FPERIOD_OVERRIDE=FQ","FILING_STATUS=MR","SCALING_FORMAT=MLN","Sort=A","Dates=H","DateFormat=P","Fill=—","Direction=H","UseDPDF=Y")</f>
        <v>-131.87799999999999</v>
      </c>
      <c r="H29" s="13">
        <f>_xll.BDH("SRPT US Equity","IS_COMPARABLE_EBITDA","FQ3 2020","FQ3 2020","Currency=USD","Period=FQ","BEST_FPERIOD_OVERRIDE=FQ","FILING_STATUS=MR","SCALING_FORMAT=MLN","Sort=A","Dates=H","DateFormat=P","Fill=—","Direction=H","UseDPDF=Y")</f>
        <v>-130.44900000000001</v>
      </c>
      <c r="I29" s="13">
        <f>_xll.BDH("SRPT US Equity","IS_COMPARABLE_EBITDA","FQ4 2020","FQ4 2020","Currency=USD","Period=FQ","BEST_FPERIOD_OVERRIDE=FQ","FILING_STATUS=MR","SCALING_FORMAT=MLN","Sort=A","Dates=H","DateFormat=P","Fill=—","Direction=H","UseDPDF=Y")</f>
        <v>-163.428</v>
      </c>
      <c r="J29" s="13">
        <f>_xll.BDH("SRPT US Equity","IS_COMPARABLE_EBITDA","FQ1 2021","FQ1 2021","Currency=USD","Period=FQ","BEST_FPERIOD_OVERRIDE=FQ","FILING_STATUS=MR","SCALING_FORMAT=MLN","Sort=A","Dates=H","DateFormat=P","Fill=—","Direction=H","UseDPDF=Y")</f>
        <v>-142.935</v>
      </c>
      <c r="K29" s="13">
        <f>_xll.BDH("SRPT US Equity","IS_COMPARABLE_EBITDA","FQ2 2021","FQ2 2021","Currency=USD","Period=FQ","BEST_FPERIOD_OVERRIDE=FQ","FILING_STATUS=MR","SCALING_FORMAT=MLN","Sort=A","Dates=H","DateFormat=P","Fill=—","Direction=H","UseDPDF=Y")</f>
        <v>-159.12700000000001</v>
      </c>
      <c r="L29" s="13">
        <f>_xll.BDH("SRPT US Equity","IS_COMPARABLE_EBITDA","FQ3 2021","FQ3 2021","Currency=USD","Period=FQ","BEST_FPERIOD_OVERRIDE=FQ","FILING_STATUS=MR","SCALING_FORMAT=MLN","Sort=A","Dates=H","DateFormat=P","Fill=—","Direction=H","UseDPDF=Y")</f>
        <v>-23.963000000000001</v>
      </c>
      <c r="M29" s="13">
        <f>_xll.BDH("SRPT US Equity","IS_COMPARABLE_EBITDA","FQ4 2021","FQ4 2021","Currency=USD","Period=FQ","BEST_FPERIOD_OVERRIDE=FQ","FILING_STATUS=MR","SCALING_FORMAT=MLN","Sort=A","Dates=H","DateFormat=P","Fill=—","Direction=H","UseDPDF=Y")</f>
        <v>-67.796000000000006</v>
      </c>
      <c r="N29" s="13">
        <f>_xll.BDH("SRPT US Equity","IS_COMPARABLE_EBITDA","FQ1 2022","FQ1 2022","Currency=USD","Period=FQ","BEST_FPERIOD_OVERRIDE=FQ","FILING_STATUS=MR","SCALING_FORMAT=MLN","Sort=A","Dates=H","DateFormat=P","Fill=—","Direction=H","UseDPDF=Y")</f>
        <v>-76.162000000000006</v>
      </c>
      <c r="O29" s="13">
        <f>_xll.BDH("SRPT US Equity","IS_COMPARABLE_EBITDA","FQ2 2022","FQ2 2022","Currency=USD","Period=FQ","BEST_FPERIOD_OVERRIDE=FQ","FILING_STATUS=MR","SCALING_FORMAT=MLN","Sort=A","Dates=H","DateFormat=P","Fill=—","Direction=H","UseDPDF=Y")</f>
        <v>-98.350999999999999</v>
      </c>
      <c r="P29" s="13">
        <f>_xll.BDH("SRPT US Equity","IS_COMPARABLE_EBITDA","FQ3 2022","FQ3 2022","Currency=USD","Period=FQ","BEST_FPERIOD_OVERRIDE=FQ","FILING_STATUS=MR","SCALING_FORMAT=MLN","Sort=A","Dates=H","DateFormat=P","Fill=—","Direction=H","UseDPDF=Y")</f>
        <v>-70.233999999999995</v>
      </c>
      <c r="Q29" s="13">
        <f>_xll.BDH("SRPT US Equity","IS_COMPARABLE_EBITDA","FQ4 2022","FQ4 2022","Currency=USD","Period=FQ","BEST_FPERIOD_OVERRIDE=FQ","FILING_STATUS=MR","SCALING_FORMAT=MLN","Sort=A","Dates=H","DateFormat=P","Fill=—","Direction=H","UseDPDF=Y")</f>
        <v>-45.77</v>
      </c>
      <c r="R29" s="13">
        <f>_xll.BDH("SRPT US Equity","IS_COMPARABLE_EBITDA","FQ1 2023","FQ1 2023","Currency=USD","Period=FQ","BEST_FPERIOD_OVERRIDE=FQ","FILING_STATUS=MR","SCALING_FORMAT=MLN","Sort=A","Dates=H","DateFormat=P","Fill=—","Direction=H","UseDPDF=Y")</f>
        <v>-126.783</v>
      </c>
      <c r="S29" s="13">
        <f>_xll.BDH("SRPT US Equity","IS_COMPARABLE_EBITDA","FQ2 2023","FQ2 2023","Currency=USD","Period=FQ","BEST_FPERIOD_OVERRIDE=FQ","FILING_STATUS=MR","SCALING_FORMAT=MLN","Sort=A","Dates=H","DateFormat=P","Fill=—","Direction=H","UseDPDF=Y")</f>
        <v>-122.727</v>
      </c>
      <c r="T29" s="13">
        <f>_xll.BDH("SRPT US Equity","IS_COMPARABLE_EBITDA","FQ3 2023","FQ3 2023","Currency=USD","Period=FQ","BEST_FPERIOD_OVERRIDE=FQ","FILING_STATUS=MR","SCALING_FORMAT=MLN","Sort=A","Dates=H","DateFormat=P","Fill=—","Direction=H","UseDPDF=Y")</f>
        <v>-9.9139999999999997</v>
      </c>
      <c r="U29" s="13">
        <f>_xll.BDH("SRPT US Equity","IS_COMPARABLE_EBITDA","FQ4 2023","FQ4 2023","Currency=USD","Period=FQ","BEST_FPERIOD_OVERRIDE=FQ","FILING_STATUS=MR","SCALING_FORMAT=MLN","Sort=A","Dates=H","DateFormat=P","Fill=—","Direction=H","UseDPDF=Y")</f>
        <v>34.438000000000002</v>
      </c>
      <c r="V29" s="13">
        <f>_xll.BDH("SRPT US Equity","IS_COMPARABLE_EBITDA","FQ1 2024","FQ1 2024","Currency=USD","Period=FQ","BEST_FPERIOD_OVERRIDE=FQ","FILING_STATUS=MR","SCALING_FORMAT=MLN","Sort=A","Dates=H","DateFormat=P","Fill=—","Direction=H","UseDPDF=Y")</f>
        <v>92.444000000000003</v>
      </c>
      <c r="W29" s="13">
        <f>_xll.BDH("SRPT US Equity","IS_COMPARABLE_EBITDA","FQ2 2024","FQ2 2024","Currency=USD","Period=FQ","BEST_FPERIOD_OVERRIDE=FQ","FILING_STATUS=MR","SCALING_FORMAT=MLN","Sort=A","Dates=H","DateFormat=P","Fill=—","Direction=H","UseDPDF=Y")</f>
        <v>66.016999999999996</v>
      </c>
      <c r="X29" s="13">
        <f>_xll.BDH("SRPT US Equity","IS_COMPARABLE_EBITDA","FQ3 2024","FQ3 2024","Currency=USD","Period=FQ","BEST_FPERIOD_OVERRIDE=FQ","FILING_STATUS=MR","SCALING_FORMAT=MLN","Sort=A","Dates=H","DateFormat=P","Fill=—","Direction=H","UseDPDF=Y")</f>
        <v>35.610999999999997</v>
      </c>
      <c r="Y29" s="13">
        <f>_xll.BDH("SRPT US Equity","IS_COMPARABLE_EBITDA","FQ4 2024","FQ4 2024","Currency=USD","Period=FQ","BEST_FPERIOD_OVERRIDE=FQ","FILING_STATUS=MR","SCALING_FORMAT=MLN","Sort=A","Dates=H","DateFormat=P","Fill=—","Direction=H","UseDPDF=Y")</f>
        <v>172.434</v>
      </c>
      <c r="Z29" s="13"/>
      <c r="AA29" s="13"/>
    </row>
    <row r="30" spans="1:27" x14ac:dyDescent="0.25">
      <c r="A30" s="11" t="s">
        <v>148</v>
      </c>
      <c r="B30" s="11"/>
      <c r="C30" s="25">
        <v>-269.20413793103398</v>
      </c>
      <c r="D30" s="25">
        <v>-20.958115238165199</v>
      </c>
      <c r="E30" s="25">
        <v>-62.846119428164897</v>
      </c>
      <c r="F30" s="25">
        <v>13.231906614786</v>
      </c>
      <c r="G30" s="25">
        <v>-3.56938107167819</v>
      </c>
      <c r="H30" s="25">
        <v>-8.6468388483097094</v>
      </c>
      <c r="I30" s="25">
        <v>-19.001259711795399</v>
      </c>
      <c r="J30" s="25">
        <v>7.4854368932038797</v>
      </c>
      <c r="K30" s="25">
        <v>-98.084224415869002</v>
      </c>
      <c r="L30" s="25">
        <v>78.444142596274105</v>
      </c>
      <c r="M30" s="25">
        <v>-21.644268207345799</v>
      </c>
      <c r="N30" s="25">
        <v>25.331372549019601</v>
      </c>
      <c r="O30" s="25">
        <v>-54.155172413793103</v>
      </c>
      <c r="P30" s="25">
        <v>27.915593279484401</v>
      </c>
      <c r="Q30" s="25">
        <v>45.6574651231819</v>
      </c>
      <c r="R30" s="25">
        <v>-45.694093311882298</v>
      </c>
      <c r="S30" s="25">
        <v>7.4875621890547199</v>
      </c>
      <c r="T30" s="25">
        <v>89.779381443299002</v>
      </c>
      <c r="U30" s="25">
        <v>-2.2453092622555202</v>
      </c>
      <c r="V30" s="25" t="s">
        <v>141</v>
      </c>
      <c r="W30" s="25">
        <v>298.004461325134</v>
      </c>
      <c r="X30" s="25" t="s">
        <v>141</v>
      </c>
      <c r="Y30" s="25">
        <v>-18.9183089054719</v>
      </c>
      <c r="Z30" s="25"/>
      <c r="AA30" s="25"/>
    </row>
    <row r="31" spans="1:27" x14ac:dyDescent="0.25">
      <c r="A31" s="10" t="s">
        <v>135</v>
      </c>
      <c r="B31" s="10" t="s">
        <v>78</v>
      </c>
      <c r="C31" s="13">
        <f>_xll.BDH("SRPT US Equity","EBITDA","FQ2 2019","FQ2 2019","Currency=USD","Period=FQ","BEST_FPERIOD_OVERRIDE=FQ","FILING_STATUS=MR","SCALING_FORMAT=MLN","FA_ADJUSTED=GAAP","Sort=A","Dates=H","DateFormat=P","Fill=—","Direction=H","UseDPDF=Y")</f>
        <v>-265.14299999999997</v>
      </c>
      <c r="D31" s="13">
        <f>_xll.BDH("SRPT US Equity","EBITDA","FQ3 2019","FQ3 2019","Currency=USD","Period=FQ","BEST_FPERIOD_OVERRIDE=FQ","FILING_STATUS=MR","SCALING_FORMAT=MLN","FA_ADJUSTED=GAAP","Sort=A","Dates=H","DateFormat=P","Fill=—","Direction=H","UseDPDF=Y")</f>
        <v>-112.70699999999999</v>
      </c>
      <c r="E31" s="13">
        <f>_xll.BDH("SRPT US Equity","EBITDA","FQ4 2019","FQ4 2019","Currency=USD","Period=FQ","BEST_FPERIOD_OVERRIDE=FQ","FILING_STATUS=MR","SCALING_FORMAT=MLN","FA_ADJUSTED=GAAP","Sort=A","Dates=H","DateFormat=P","Fill=—","Direction=H","UseDPDF=Y")</f>
        <v>-219.416</v>
      </c>
      <c r="F31" s="13">
        <f>_xll.BDH("SRPT US Equity","EBITDA","FQ1 2020","FQ1 2020","Currency=USD","Period=FQ","BEST_FPERIOD_OVERRIDE=FQ","FILING_STATUS=MR","SCALING_FORMAT=MLN","FA_ADJUSTED=GAAP","Sort=A","Dates=H","DateFormat=P","Fill=—","Direction=H","UseDPDF=Y")</f>
        <v>-110.697</v>
      </c>
      <c r="G31" s="13">
        <f>_xll.BDH("SRPT US Equity","EBITDA","FQ2 2020","FQ2 2020","Currency=USD","Period=FQ","BEST_FPERIOD_OVERRIDE=FQ","FILING_STATUS=MR","SCALING_FORMAT=MLN","FA_ADJUSTED=GAAP","Sort=A","Dates=H","DateFormat=P","Fill=—","Direction=H","UseDPDF=Y")</f>
        <v>-129.87799999999999</v>
      </c>
      <c r="H31" s="13">
        <f>_xll.BDH("SRPT US Equity","EBITDA","FQ3 2020","FQ3 2020","Currency=USD","Period=FQ","BEST_FPERIOD_OVERRIDE=FQ","FILING_STATUS=MR","SCALING_FORMAT=MLN","FA_ADJUSTED=GAAP","Sort=A","Dates=H","DateFormat=P","Fill=—","Direction=H","UseDPDF=Y")</f>
        <v>-128.249</v>
      </c>
      <c r="I31" s="13">
        <f>_xll.BDH("SRPT US Equity","EBITDA","FQ4 2020","FQ4 2020","Currency=USD","Period=FQ","BEST_FPERIOD_OVERRIDE=FQ","FILING_STATUS=MR","SCALING_FORMAT=MLN","FA_ADJUSTED=GAAP","Sort=A","Dates=H","DateFormat=P","Fill=—","Direction=H","UseDPDF=Y")</f>
        <v>-149.44999999999999</v>
      </c>
      <c r="J31" s="13">
        <f>_xll.BDH("SRPT US Equity","EBITDA","FQ1 2021","FQ1 2021","Currency=USD","Period=FQ","BEST_FPERIOD_OVERRIDE=FQ","FILING_STATUS=MR","SCALING_FORMAT=MLN","FA_ADJUSTED=GAAP","Sort=A","Dates=H","DateFormat=P","Fill=—","Direction=H","UseDPDF=Y")</f>
        <v>-142.935</v>
      </c>
      <c r="K31" s="13">
        <f>_xll.BDH("SRPT US Equity","EBITDA","FQ2 2021","FQ2 2021","Currency=USD","Period=FQ","BEST_FPERIOD_OVERRIDE=FQ","FILING_STATUS=MR","SCALING_FORMAT=MLN","FA_ADJUSTED=GAAP","Sort=A","Dates=H","DateFormat=P","Fill=—","Direction=H","UseDPDF=Y")</f>
        <v>-159.12700000000001</v>
      </c>
      <c r="L31" s="13">
        <f>_xll.BDH("SRPT US Equity","EBITDA","FQ3 2021","FQ3 2021","Currency=USD","Period=FQ","BEST_FPERIOD_OVERRIDE=FQ","FILING_STATUS=MR","SCALING_FORMAT=MLN","FA_ADJUSTED=GAAP","Sort=A","Dates=H","DateFormat=P","Fill=—","Direction=H","UseDPDF=Y")</f>
        <v>-23.963000000000001</v>
      </c>
      <c r="M31" s="13">
        <f>_xll.BDH("SRPT US Equity","EBITDA","FQ4 2021","FQ4 2021","Currency=USD","Period=FQ","BEST_FPERIOD_OVERRIDE=FQ","FILING_STATUS=MR","SCALING_FORMAT=MLN","FA_ADJUSTED=GAAP","Sort=A","Dates=H","DateFormat=P","Fill=—","Direction=H","UseDPDF=Y")</f>
        <v>-95.668000000000006</v>
      </c>
      <c r="N31" s="13">
        <f>_xll.BDH("SRPT US Equity","EBITDA","FQ1 2022","FQ1 2022","Currency=USD","Period=FQ","BEST_FPERIOD_OVERRIDE=FQ","FILING_STATUS=MR","SCALING_FORMAT=MLN","FA_ADJUSTED=GAAP","Sort=A","Dates=H","DateFormat=P","Fill=—","Direction=H","UseDPDF=Y")</f>
        <v>-76.162000000000006</v>
      </c>
      <c r="O31" s="13">
        <f>_xll.BDH("SRPT US Equity","EBITDA","FQ2 2022","FQ2 2022","Currency=USD","Period=FQ","BEST_FPERIOD_OVERRIDE=FQ","FILING_STATUS=MR","SCALING_FORMAT=MLN","FA_ADJUSTED=GAAP","Sort=A","Dates=H","DateFormat=P","Fill=—","Direction=H","UseDPDF=Y")</f>
        <v>-201.24299999999999</v>
      </c>
      <c r="P31" s="13">
        <f>_xll.BDH("SRPT US Equity","EBITDA","FQ3 2022","FQ3 2022","Currency=USD","Period=FQ","BEST_FPERIOD_OVERRIDE=FQ","FILING_STATUS=MR","SCALING_FORMAT=MLN","FA_ADJUSTED=GAAP","Sort=A","Dates=H","DateFormat=P","Fill=—","Direction=H","UseDPDF=Y")</f>
        <v>-120.652</v>
      </c>
      <c r="Q31" s="13">
        <f>_xll.BDH("SRPT US Equity","EBITDA","FQ4 2022","FQ4 2022","Currency=USD","Period=FQ","BEST_FPERIOD_OVERRIDE=FQ","FILING_STATUS=MR","SCALING_FORMAT=MLN","FA_ADJUSTED=GAAP","Sort=A","Dates=H","DateFormat=P","Fill=—","Direction=H","UseDPDF=Y")</f>
        <v>-96.28</v>
      </c>
      <c r="R31" s="13">
        <f>_xll.BDH("SRPT US Equity","EBITDA","FQ1 2023","FQ1 2023","Currency=USD","Period=FQ","BEST_FPERIOD_OVERRIDE=FQ","FILING_STATUS=MR","SCALING_FORMAT=MLN","FA_ADJUSTED=GAAP","Sort=A","Dates=H","DateFormat=P","Fill=—","Direction=H","UseDPDF=Y")</f>
        <v>-126.783</v>
      </c>
      <c r="S31" s="13">
        <f>_xll.BDH("SRPT US Equity","EBITDA","FQ2 2023","FQ2 2023","Currency=USD","Period=FQ","BEST_FPERIOD_OVERRIDE=FQ","FILING_STATUS=MR","SCALING_FORMAT=MLN","FA_ADJUSTED=GAAP","Sort=A","Dates=H","DateFormat=P","Fill=—","Direction=H","UseDPDF=Y")</f>
        <v>-122.727</v>
      </c>
      <c r="T31" s="13">
        <f>_xll.BDH("SRPT US Equity","EBITDA","FQ3 2023","FQ3 2023","Currency=USD","Period=FQ","BEST_FPERIOD_OVERRIDE=FQ","FILING_STATUS=MR","SCALING_FORMAT=MLN","FA_ADJUSTED=GAAP","Sort=A","Dates=H","DateFormat=P","Fill=—","Direction=H","UseDPDF=Y")</f>
        <v>-9.9139999999999997</v>
      </c>
      <c r="U31" s="13">
        <f>_xll.BDH("SRPT US Equity","EBITDA","FQ4 2023","FQ4 2023","Currency=USD","Period=FQ","BEST_FPERIOD_OVERRIDE=FQ","FILING_STATUS=MR","SCALING_FORMAT=MLN","FA_ADJUSTED=GAAP","Sort=A","Dates=H","DateFormat=P","Fill=—","Direction=H","UseDPDF=Y")</f>
        <v>35.997</v>
      </c>
      <c r="V31" s="13">
        <f>_xll.BDH("SRPT US Equity","EBITDA","FQ1 2024","FQ1 2024","Currency=USD","Period=FQ","BEST_FPERIOD_OVERRIDE=FQ","FILING_STATUS=MR","SCALING_FORMAT=MLN","FA_ADJUSTED=GAAP","Sort=A","Dates=H","DateFormat=P","Fill=—","Direction=H","UseDPDF=Y")</f>
        <v>43.649000000000001</v>
      </c>
      <c r="W31" s="13">
        <f>_xll.BDH("SRPT US Equity","EBITDA","FQ2 2024","FQ2 2024","Currency=USD","Period=FQ","BEST_FPERIOD_OVERRIDE=FQ","FILING_STATUS=MR","SCALING_FORMAT=MLN","FA_ADJUSTED=GAAP","Sort=A","Dates=H","DateFormat=P","Fill=—","Direction=H","UseDPDF=Y")</f>
        <v>8.0180000000000007</v>
      </c>
      <c r="X31" s="13">
        <f>_xll.BDH("SRPT US Equity","EBITDA","FQ3 2024","FQ3 2024","Currency=USD","Period=FQ","BEST_FPERIOD_OVERRIDE=FQ","FILING_STATUS=MR","SCALING_FORMAT=MLN","FA_ADJUSTED=GAAP","Sort=A","Dates=H","DateFormat=P","Fill=—","Direction=H","UseDPDF=Y")</f>
        <v>32.002000000000002</v>
      </c>
      <c r="Y31" s="13">
        <f>_xll.BDH("SRPT US Equity","EBITDA","FQ4 2024","FQ4 2024","Currency=USD","Period=FQ","BEST_FPERIOD_OVERRIDE=FQ","FILING_STATUS=MR","SCALING_FORMAT=MLN","FA_ADJUSTED=GAAP","Sort=A","Dates=H","DateFormat=P","Fill=—","Direction=H","UseDPDF=Y")</f>
        <v>172.136</v>
      </c>
      <c r="Z31" s="13"/>
      <c r="AA31" s="13"/>
    </row>
    <row r="32" spans="1:27" x14ac:dyDescent="0.25">
      <c r="A32" s="10" t="s">
        <v>136</v>
      </c>
      <c r="B32" s="10" t="s">
        <v>78</v>
      </c>
      <c r="C32" s="13">
        <f>_xll.BDH("SRPT US Equity","EBITDA","FQ2 2019","FQ2 2019","Currency=USD","Period=FQ","BEST_FPERIOD_OVERRIDE=FQ","FILING_STATUS=MR","SCALING_FORMAT=MLN","FA_ADJUSTED=Adjusted","Sort=A","Dates=H","DateFormat=P","Fill=—","Direction=H","UseDPDF=Y")</f>
        <v>-76.825000000000003</v>
      </c>
      <c r="D32" s="13">
        <f>_xll.BDH("SRPT US Equity","EBITDA","FQ3 2019","FQ3 2019","Currency=USD","Period=FQ","BEST_FPERIOD_OVERRIDE=FQ","FILING_STATUS=MR","SCALING_FORMAT=MLN","FA_ADJUSTED=Adjusted","Sort=A","Dates=H","DateFormat=P","Fill=—","Direction=H","UseDPDF=Y")</f>
        <v>-100.56100000000001</v>
      </c>
      <c r="E32" s="13">
        <f>_xll.BDH("SRPT US Equity","EBITDA","FQ4 2019","FQ4 2019","Currency=USD","Period=FQ","BEST_FPERIOD_OVERRIDE=FQ","FILING_STATUS=MR","SCALING_FORMAT=MLN","FA_ADJUSTED=Adjusted","Sort=A","Dates=H","DateFormat=P","Fill=—","Direction=H","UseDPDF=Y")</f>
        <v>-134.6</v>
      </c>
      <c r="F32" s="13">
        <f>_xll.BDH("SRPT US Equity","EBITDA","FQ1 2020","FQ1 2020","Currency=USD","Period=FQ","BEST_FPERIOD_OVERRIDE=FQ","FILING_STATUS=MR","SCALING_FORMAT=MLN","FA_ADJUSTED=Adjusted","Sort=A","Dates=H","DateFormat=P","Fill=—","Direction=H","UseDPDF=Y")</f>
        <v>-99.405000000000001</v>
      </c>
      <c r="G32" s="13">
        <f>_xll.BDH("SRPT US Equity","EBITDA","FQ2 2020","FQ2 2020","Currency=USD","Period=FQ","BEST_FPERIOD_OVERRIDE=FQ","FILING_STATUS=MR","SCALING_FORMAT=MLN","FA_ADJUSTED=Adjusted","Sort=A","Dates=H","DateFormat=P","Fill=—","Direction=H","UseDPDF=Y")</f>
        <v>-129.87799999999999</v>
      </c>
      <c r="H32" s="13">
        <f>_xll.BDH("SRPT US Equity","EBITDA","FQ3 2020","FQ3 2020","Currency=USD","Period=FQ","BEST_FPERIOD_OVERRIDE=FQ","FILING_STATUS=MR","SCALING_FORMAT=MLN","FA_ADJUSTED=Adjusted","Sort=A","Dates=H","DateFormat=P","Fill=—","Direction=H","UseDPDF=Y")</f>
        <v>-112.874</v>
      </c>
      <c r="I32" s="13">
        <f>_xll.BDH("SRPT US Equity","EBITDA","FQ4 2020","FQ4 2020","Currency=USD","Period=FQ","BEST_FPERIOD_OVERRIDE=FQ","FILING_STATUS=MR","SCALING_FORMAT=MLN","FA_ADJUSTED=Adjusted","Sort=A","Dates=H","DateFormat=P","Fill=—","Direction=H","UseDPDF=Y")</f>
        <v>-138.828</v>
      </c>
      <c r="J32" s="13">
        <f>_xll.BDH("SRPT US Equity","EBITDA","FQ1 2021","FQ1 2021","Currency=USD","Period=FQ","BEST_FPERIOD_OVERRIDE=FQ","FILING_STATUS=MR","SCALING_FORMAT=MLN","FA_ADJUSTED=Adjusted","Sort=A","Dates=H","DateFormat=P","Fill=—","Direction=H","UseDPDF=Y")</f>
        <v>-128.935</v>
      </c>
      <c r="K32" s="13">
        <f>_xll.BDH("SRPT US Equity","EBITDA","FQ2 2021","FQ2 2021","Currency=USD","Period=FQ","BEST_FPERIOD_OVERRIDE=FQ","FILING_STATUS=MR","SCALING_FORMAT=MLN","FA_ADJUSTED=Adjusted","Sort=A","Dates=H","DateFormat=P","Fill=—","Direction=H","UseDPDF=Y")</f>
        <v>-229.45</v>
      </c>
      <c r="L32" s="13">
        <f>_xll.BDH("SRPT US Equity","EBITDA","FQ3 2021","FQ3 2021","Currency=USD","Period=FQ","BEST_FPERIOD_OVERRIDE=FQ","FILING_STATUS=MR","SCALING_FORMAT=MLN","FA_ADJUSTED=Adjusted","Sort=A","Dates=H","DateFormat=P","Fill=—","Direction=H","UseDPDF=Y")</f>
        <v>-23.963000000000001</v>
      </c>
      <c r="M32" s="13">
        <f>_xll.BDH("SRPT US Equity","EBITDA","FQ4 2021","FQ4 2021","Currency=USD","Period=FQ","BEST_FPERIOD_OVERRIDE=FQ","FILING_STATUS=MR","SCALING_FORMAT=MLN","FA_ADJUSTED=Adjusted","Sort=A","Dates=H","DateFormat=P","Fill=—","Direction=H","UseDPDF=Y")</f>
        <v>-95.668000000000006</v>
      </c>
      <c r="N32" s="13">
        <f>_xll.BDH("SRPT US Equity","EBITDA","FQ1 2022","FQ1 2022","Currency=USD","Period=FQ","BEST_FPERIOD_OVERRIDE=FQ","FILING_STATUS=MR","SCALING_FORMAT=MLN","FA_ADJUSTED=Adjusted","Sort=A","Dates=H","DateFormat=P","Fill=—","Direction=H","UseDPDF=Y")</f>
        <v>-76.162000000000006</v>
      </c>
      <c r="O32" s="13">
        <f>_xll.BDH("SRPT US Equity","EBITDA","FQ2 2022","FQ2 2022","Currency=USD","Period=FQ","BEST_FPERIOD_OVERRIDE=FQ","FILING_STATUS=MR","SCALING_FORMAT=MLN","FA_ADJUSTED=Adjusted","Sort=A","Dates=H","DateFormat=P","Fill=—","Direction=H","UseDPDF=Y")</f>
        <v>-201.24299999999999</v>
      </c>
      <c r="P32" s="13">
        <f>_xll.BDH("SRPT US Equity","EBITDA","FQ3 2022","FQ3 2022","Currency=USD","Period=FQ","BEST_FPERIOD_OVERRIDE=FQ","FILING_STATUS=MR","SCALING_FORMAT=MLN","FA_ADJUSTED=Adjusted","Sort=A","Dates=H","DateFormat=P","Fill=—","Direction=H","UseDPDF=Y")</f>
        <v>-120.652</v>
      </c>
      <c r="Q32" s="13">
        <f>_xll.BDH("SRPT US Equity","EBITDA","FQ4 2022","FQ4 2022","Currency=USD","Period=FQ","BEST_FPERIOD_OVERRIDE=FQ","FILING_STATUS=MR","SCALING_FORMAT=MLN","FA_ADJUSTED=Adjusted","Sort=A","Dates=H","DateFormat=P","Fill=—","Direction=H","UseDPDF=Y")</f>
        <v>-96.28</v>
      </c>
      <c r="R32" s="13">
        <f>_xll.BDH("SRPT US Equity","EBITDA","FQ1 2023","FQ1 2023","Currency=USD","Period=FQ","BEST_FPERIOD_OVERRIDE=FQ","FILING_STATUS=MR","SCALING_FORMAT=MLN","FA_ADJUSTED=Adjusted","Sort=A","Dates=H","DateFormat=P","Fill=—","Direction=H","UseDPDF=Y")</f>
        <v>-126.783</v>
      </c>
      <c r="S32" s="13">
        <f>_xll.BDH("SRPT US Equity","EBITDA","FQ2 2023","FQ2 2023","Currency=USD","Period=FQ","BEST_FPERIOD_OVERRIDE=FQ","FILING_STATUS=MR","SCALING_FORMAT=MLN","FA_ADJUSTED=Adjusted","Sort=A","Dates=H","DateFormat=P","Fill=—","Direction=H","UseDPDF=Y")</f>
        <v>-122.727</v>
      </c>
      <c r="T32" s="13">
        <f>_xll.BDH("SRPT US Equity","EBITDA","FQ3 2023","FQ3 2023","Currency=USD","Period=FQ","BEST_FPERIOD_OVERRIDE=FQ","FILING_STATUS=MR","SCALING_FORMAT=MLN","FA_ADJUSTED=Adjusted","Sort=A","Dates=H","DateFormat=P","Fill=—","Direction=H","UseDPDF=Y")</f>
        <v>-9.9139999999999997</v>
      </c>
      <c r="U32" s="13">
        <f>_xll.BDH("SRPT US Equity","EBITDA","FQ4 2023","FQ4 2023","Currency=USD","Period=FQ","BEST_FPERIOD_OVERRIDE=FQ","FILING_STATUS=MR","SCALING_FORMAT=MLN","FA_ADJUSTED=Adjusted","Sort=A","Dates=H","DateFormat=P","Fill=—","Direction=H","UseDPDF=Y")</f>
        <v>35.997</v>
      </c>
      <c r="V32" s="13">
        <f>_xll.BDH("SRPT US Equity","EBITDA","FQ1 2024","FQ1 2024","Currency=USD","Period=FQ","BEST_FPERIOD_OVERRIDE=FQ","FILING_STATUS=MR","SCALING_FORMAT=MLN","FA_ADJUSTED=Adjusted","Sort=A","Dates=H","DateFormat=P","Fill=—","Direction=H","UseDPDF=Y")</f>
        <v>43.649000000000001</v>
      </c>
      <c r="W32" s="13">
        <f>_xll.BDH("SRPT US Equity","EBITDA","FQ2 2024","FQ2 2024","Currency=USD","Period=FQ","BEST_FPERIOD_OVERRIDE=FQ","FILING_STATUS=MR","SCALING_FORMAT=MLN","FA_ADJUSTED=Adjusted","Sort=A","Dates=H","DateFormat=P","Fill=—","Direction=H","UseDPDF=Y")</f>
        <v>8.0180000000000007</v>
      </c>
      <c r="X32" s="13">
        <f>_xll.BDH("SRPT US Equity","EBITDA","FQ3 2024","FQ3 2024","Currency=USD","Period=FQ","BEST_FPERIOD_OVERRIDE=FQ","FILING_STATUS=MR","SCALING_FORMAT=MLN","FA_ADJUSTED=Adjusted","Sort=A","Dates=H","DateFormat=P","Fill=—","Direction=H","UseDPDF=Y")</f>
        <v>32.002000000000002</v>
      </c>
      <c r="Y32" s="13">
        <f>_xll.BDH("SRPT US Equity","EBITDA","FQ4 2024","FQ4 2024","Currency=USD","Period=FQ","BEST_FPERIOD_OVERRIDE=FQ","FILING_STATUS=MR","SCALING_FORMAT=MLN","FA_ADJUSTED=Adjusted","Sort=A","Dates=H","DateFormat=P","Fill=—","Direction=H","UseDPDF=Y")</f>
        <v>172.136</v>
      </c>
      <c r="Z32" s="13"/>
      <c r="AA32" s="13"/>
    </row>
    <row r="33" spans="1:27" x14ac:dyDescent="0.25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5">
      <c r="A34" s="6" t="s">
        <v>149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 x14ac:dyDescent="0.25">
      <c r="A35" s="10" t="s">
        <v>130</v>
      </c>
      <c r="B35" s="10" t="s">
        <v>150</v>
      </c>
      <c r="C35" s="14">
        <f>_xll.BDH("SRPT US Equity","BEST_GROSS_MARGIN","FQ2 2019","FQ2 2019","Currency=USD","Period=FQ","BEST_FPERIOD_OVERRIDE=FQ","FILING_STATUS=MR","Sort=A","Dates=H","DateFormat=P","Fill=—","Direction=H","UseDPDF=Y")</f>
        <v>87</v>
      </c>
      <c r="D35" s="14">
        <f>_xll.BDH("SRPT US Equity","BEST_GROSS_MARGIN","FQ3 2019","FQ3 2019","Currency=USD","Period=FQ","BEST_FPERIOD_OVERRIDE=FQ","FILING_STATUS=MR","Sort=A","Dates=H","DateFormat=P","Fill=—","Direction=H","UseDPDF=Y")</f>
        <v>87</v>
      </c>
      <c r="E35" s="14">
        <f>_xll.BDH("SRPT US Equity","BEST_GROSS_MARGIN","FQ4 2019","FQ4 2019","Currency=USD","Period=FQ","BEST_FPERIOD_OVERRIDE=FQ","FILING_STATUS=MR","Sort=A","Dates=H","DateFormat=P","Fill=—","Direction=H","UseDPDF=Y")</f>
        <v>86.5</v>
      </c>
      <c r="F35" s="14">
        <f>_xll.BDH("SRPT US Equity","BEST_GROSS_MARGIN","FQ1 2020","FQ1 2020","Currency=USD","Period=FQ","BEST_FPERIOD_OVERRIDE=FQ","FILING_STATUS=MR","Sort=A","Dates=H","DateFormat=P","Fill=—","Direction=H","UseDPDF=Y")</f>
        <v>87</v>
      </c>
      <c r="G35" s="14">
        <f>_xll.BDH("SRPT US Equity","BEST_GROSS_MARGIN","FQ2 2020","FQ2 2020","Currency=USD","Period=FQ","BEST_FPERIOD_OVERRIDE=FQ","FILING_STATUS=MR","Sort=A","Dates=H","DateFormat=P","Fill=—","Direction=H","UseDPDF=Y")</f>
        <v>87</v>
      </c>
      <c r="H35" s="14">
        <f>_xll.BDH("SRPT US Equity","BEST_GROSS_MARGIN","FQ3 2020","FQ3 2020","Currency=USD","Period=FQ","BEST_FPERIOD_OVERRIDE=FQ","FILING_STATUS=MR","Sort=A","Dates=H","DateFormat=P","Fill=—","Direction=H","UseDPDF=Y")</f>
        <v>87.319000000000003</v>
      </c>
      <c r="I35" s="14">
        <f>_xll.BDH("SRPT US Equity","BEST_GROSS_MARGIN","FQ4 2020","FQ4 2020","Currency=USD","Period=FQ","BEST_FPERIOD_OVERRIDE=FQ","FILING_STATUS=MR","Sort=A","Dates=H","DateFormat=P","Fill=—","Direction=H","UseDPDF=Y")</f>
        <v>87.024000000000001</v>
      </c>
      <c r="J35" s="14">
        <f>_xll.BDH("SRPT US Equity","BEST_GROSS_MARGIN","FQ1 2021","FQ1 2021","Currency=USD","Period=FQ","BEST_FPERIOD_OVERRIDE=FQ","FILING_STATUS=MR","Sort=A","Dates=H","DateFormat=P","Fill=—","Direction=H","UseDPDF=Y")</f>
        <v>86.852000000000004</v>
      </c>
      <c r="K35" s="14">
        <f>_xll.BDH("SRPT US Equity","BEST_GROSS_MARGIN","FQ2 2021","FQ2 2021","Currency=USD","Period=FQ","BEST_FPERIOD_OVERRIDE=FQ","FILING_STATUS=MR","Sort=A","Dates=H","DateFormat=P","Fill=—","Direction=H","UseDPDF=Y")</f>
        <v>86.415000000000006</v>
      </c>
      <c r="L35" s="14">
        <f>_xll.BDH("SRPT US Equity","BEST_GROSS_MARGIN","FQ3 2021","FQ3 2021","Currency=USD","Period=FQ","BEST_FPERIOD_OVERRIDE=FQ","FILING_STATUS=MR","Sort=A","Dates=H","DateFormat=P","Fill=—","Direction=H","UseDPDF=Y")</f>
        <v>86.44</v>
      </c>
      <c r="M35" s="14">
        <f>_xll.BDH("SRPT US Equity","BEST_GROSS_MARGIN","FQ4 2021","FQ4 2021","Currency=USD","Period=FQ","BEST_FPERIOD_OVERRIDE=FQ","FILING_STATUS=MR","Sort=A","Dates=H","DateFormat=P","Fill=—","Direction=H","UseDPDF=Y")</f>
        <v>86.11</v>
      </c>
      <c r="N35" s="14">
        <f>_xll.BDH("SRPT US Equity","BEST_GROSS_MARGIN","FQ1 2022","FQ1 2022","Currency=USD","Period=FQ","BEST_FPERIOD_OVERRIDE=FQ","FILING_STATUS=MR","Sort=A","Dates=H","DateFormat=P","Fill=—","Direction=H","UseDPDF=Y")</f>
        <v>85.769000000000005</v>
      </c>
      <c r="O35" s="14">
        <f>_xll.BDH("SRPT US Equity","BEST_GROSS_MARGIN","FQ2 2022","FQ2 2022","Currency=USD","Period=FQ","BEST_FPERIOD_OVERRIDE=FQ","FILING_STATUS=MR","Sort=A","Dates=H","DateFormat=P","Fill=—","Direction=H","UseDPDF=Y")</f>
        <v>86.552999999999997</v>
      </c>
      <c r="P35" s="14">
        <f>_xll.BDH("SRPT US Equity","BEST_GROSS_MARGIN","FQ3 2022","FQ3 2022","Currency=USD","Period=FQ","BEST_FPERIOD_OVERRIDE=FQ","FILING_STATUS=MR","Sort=A","Dates=H","DateFormat=P","Fill=—","Direction=H","UseDPDF=Y")</f>
        <v>85.63</v>
      </c>
      <c r="Q35" s="14">
        <f>_xll.BDH("SRPT US Equity","BEST_GROSS_MARGIN","FQ4 2022","FQ4 2022","Currency=USD","Period=FQ","BEST_FPERIOD_OVERRIDE=FQ","FILING_STATUS=MR","Sort=A","Dates=H","DateFormat=P","Fill=—","Direction=H","UseDPDF=Y")</f>
        <v>84.781000000000006</v>
      </c>
      <c r="R35" s="14">
        <f>_xll.BDH("SRPT US Equity","BEST_GROSS_MARGIN","FQ1 2023","FQ1 2023","Currency=USD","Period=FQ","BEST_FPERIOD_OVERRIDE=FQ","FILING_STATUS=MR","Sort=A","Dates=H","DateFormat=P","Fill=—","Direction=H","UseDPDF=Y")</f>
        <v>84.866</v>
      </c>
      <c r="S35" s="14">
        <f>_xll.BDH("SRPT US Equity","BEST_GROSS_MARGIN","FQ2 2023","FQ2 2023","Currency=USD","Period=FQ","BEST_FPERIOD_OVERRIDE=FQ","FILING_STATUS=MR","Sort=A","Dates=H","DateFormat=P","Fill=—","Direction=H","UseDPDF=Y")</f>
        <v>85.143000000000001</v>
      </c>
      <c r="T35" s="14">
        <f>_xll.BDH("SRPT US Equity","BEST_GROSS_MARGIN","FQ3 2023","FQ3 2023","Currency=USD","Period=FQ","BEST_FPERIOD_OVERRIDE=FQ","FILING_STATUS=MR","Sort=A","Dates=H","DateFormat=P","Fill=—","Direction=H","UseDPDF=Y")</f>
        <v>83.873000000000005</v>
      </c>
      <c r="U35" s="14">
        <f>_xll.BDH("SRPT US Equity","BEST_GROSS_MARGIN","FQ4 2023","FQ4 2023","Currency=USD","Period=FQ","BEST_FPERIOD_OVERRIDE=FQ","FILING_STATUS=MR","Sort=A","Dates=H","DateFormat=P","Fill=—","Direction=H","UseDPDF=Y")</f>
        <v>86.144000000000005</v>
      </c>
      <c r="V35" s="14">
        <f>_xll.BDH("SRPT US Equity","BEST_GROSS_MARGIN","FQ1 2024","FQ1 2024","Currency=USD","Period=FQ","BEST_FPERIOD_OVERRIDE=FQ","FILING_STATUS=MR","Sort=A","Dates=H","DateFormat=P","Fill=—","Direction=H","UseDPDF=Y")</f>
        <v>85.16</v>
      </c>
      <c r="W35" s="14">
        <f>_xll.BDH("SRPT US Equity","BEST_GROSS_MARGIN","FQ2 2024","FQ2 2024","Currency=USD","Period=FQ","BEST_FPERIOD_OVERRIDE=FQ","FILING_STATUS=MR","Sort=A","Dates=H","DateFormat=P","Fill=—","Direction=H","UseDPDF=Y")</f>
        <v>84.974999999999994</v>
      </c>
      <c r="X35" s="14">
        <f>_xll.BDH("SRPT US Equity","BEST_GROSS_MARGIN","FQ3 2024","FQ3 2024","Currency=USD","Period=FQ","BEST_FPERIOD_OVERRIDE=FQ","FILING_STATUS=MR","Sort=A","Dates=H","DateFormat=P","Fill=—","Direction=H","UseDPDF=Y")</f>
        <v>85.203999999999994</v>
      </c>
      <c r="Y35" s="14">
        <f>_xll.BDH("SRPT US Equity","BEST_GROSS_MARGIN","FQ4 2024","FQ4 2024","Currency=USD","Period=FQ","BEST_FPERIOD_OVERRIDE=FQ","FILING_STATUS=MR","Sort=A","Dates=H","DateFormat=P","Fill=—","Direction=H","UseDPDF=Y")</f>
        <v>84.462999999999994</v>
      </c>
      <c r="Z35" s="14">
        <v>83.033000000000001</v>
      </c>
      <c r="AA35" s="14">
        <v>83.352000000000004</v>
      </c>
    </row>
    <row r="36" spans="1:27" x14ac:dyDescent="0.25">
      <c r="A36" s="10" t="s">
        <v>132</v>
      </c>
      <c r="B36" s="10" t="s">
        <v>151</v>
      </c>
      <c r="C36" s="13">
        <f>_xll.BDH("SRPT US Equity","IS_COMP_GROSS_MARGIN_PERCENTAGE","FQ2 2019","FQ2 2019","Currency=USD","Period=FQ","BEST_FPERIOD_OVERRIDE=FQ","FILING_STATUS=MR","Sort=A","Dates=H","DateFormat=P","Fill=—","Direction=H","UseDPDF=Y")</f>
        <v>83.184399999999997</v>
      </c>
      <c r="D36" s="13">
        <f>_xll.BDH("SRPT US Equity","IS_COMP_GROSS_MARGIN_PERCENTAGE","FQ3 2019","FQ3 2019","Currency=USD","Period=FQ","BEST_FPERIOD_OVERRIDE=FQ","FILING_STATUS=MR","Sort=A","Dates=H","DateFormat=P","Fill=—","Direction=H","UseDPDF=Y")</f>
        <v>86.836799999999997</v>
      </c>
      <c r="E36" s="13">
        <f>_xll.BDH("SRPT US Equity","IS_COMP_GROSS_MARGIN_PERCENTAGE","FQ4 2019","FQ4 2019","Currency=USD","Period=FQ","BEST_FPERIOD_OVERRIDE=FQ","FILING_STATUS=MR","Sort=A","Dates=H","DateFormat=P","Fill=—","Direction=H","UseDPDF=Y")</f>
        <v>84.450599999999994</v>
      </c>
      <c r="F36" s="13">
        <f>_xll.BDH("SRPT US Equity","IS_COMP_GROSS_MARGIN_PERCENTAGE","FQ1 2020","FQ1 2020","Currency=USD","Period=FQ","BEST_FPERIOD_OVERRIDE=FQ","FILING_STATUS=MR","Sort=A","Dates=H","DateFormat=P","Fill=—","Direction=H","UseDPDF=Y")</f>
        <v>88.896299999999997</v>
      </c>
      <c r="G36" s="13">
        <f>_xll.BDH("SRPT US Equity","IS_COMP_GROSS_MARGIN_PERCENTAGE","FQ2 2020","FQ2 2020","Currency=USD","Period=FQ","BEST_FPERIOD_OVERRIDE=FQ","FILING_STATUS=MR","Sort=A","Dates=H","DateFormat=P","Fill=—","Direction=H","UseDPDF=Y")</f>
        <v>90.287800000000004</v>
      </c>
      <c r="H36" s="13">
        <f>_xll.BDH("SRPT US Equity","IS_COMP_GROSS_MARGIN_PERCENTAGE","FQ3 2020","FQ3 2020","Currency=USD","Period=FQ","BEST_FPERIOD_OVERRIDE=FQ","FILING_STATUS=MR","Sort=A","Dates=H","DateFormat=P","Fill=—","Direction=H","UseDPDF=Y")</f>
        <v>89.567400000000006</v>
      </c>
      <c r="I36" s="13">
        <f>_xll.BDH("SRPT US Equity","IS_COMP_GROSS_MARGIN_PERCENTAGE","FQ4 2020","FQ4 2020","Currency=USD","Period=FQ","BEST_FPERIOD_OVERRIDE=FQ","FILING_STATUS=MR","Sort=A","Dates=H","DateFormat=P","Fill=—","Direction=H","UseDPDF=Y")</f>
        <v>69.065299999999993</v>
      </c>
      <c r="J36" s="13">
        <f>_xll.BDH("SRPT US Equity","IS_COMP_GROSS_MARGIN_PERCENTAGE","FQ1 2021","FQ1 2021","Currency=USD","Period=FQ","BEST_FPERIOD_OVERRIDE=FQ","FILING_STATUS=MR","Sort=A","Dates=H","DateFormat=P","Fill=—","Direction=H","UseDPDF=Y")</f>
        <v>69.815100000000001</v>
      </c>
      <c r="K36" s="13">
        <f>_xll.BDH("SRPT US Equity","IS_COMP_GROSS_MARGIN_PERCENTAGE","FQ2 2021","FQ2 2021","Currency=USD","Period=FQ","BEST_FPERIOD_OVERRIDE=FQ","FILING_STATUS=MR","Sort=A","Dates=H","DateFormat=P","Fill=—","Direction=H","UseDPDF=Y")</f>
        <v>88.107100000000003</v>
      </c>
      <c r="L36" s="13">
        <f>_xll.BDH("SRPT US Equity","IS_COMP_GROSS_MARGIN_PERCENTAGE","FQ3 2021","FQ3 2021","Currency=USD","Period=FQ","BEST_FPERIOD_OVERRIDE=FQ","FILING_STATUS=MR","Sort=A","Dates=H","DateFormat=P","Fill=—","Direction=H","UseDPDF=Y")</f>
        <v>87.622399999999999</v>
      </c>
      <c r="M36" s="13">
        <f>_xll.BDH("SRPT US Equity","IS_COMP_GROSS_MARGIN_PERCENTAGE","FQ4 2021","FQ4 2021","Currency=USD","Period=FQ","BEST_FPERIOD_OVERRIDE=FQ","FILING_STATUS=MR","Sort=A","Dates=H","DateFormat=P","Fill=—","Direction=H","UseDPDF=Y")</f>
        <v>84.243099999999998</v>
      </c>
      <c r="N36" s="13">
        <f>_xll.BDH("SRPT US Equity","IS_COMP_GROSS_MARGIN_PERCENTAGE","FQ1 2022","FQ1 2022","Currency=USD","Period=FQ","BEST_FPERIOD_OVERRIDE=FQ","FILING_STATUS=MR","Sort=A","Dates=H","DateFormat=P","Fill=—","Direction=H","UseDPDF=Y")</f>
        <v>85.086100000000002</v>
      </c>
      <c r="O36" s="13">
        <f>_xll.BDH("SRPT US Equity","IS_COMP_GROSS_MARGIN_PERCENTAGE","FQ2 2022","FQ2 2022","Currency=USD","Period=FQ","BEST_FPERIOD_OVERRIDE=FQ","FILING_STATUS=MR","Sort=A","Dates=H","DateFormat=P","Fill=—","Direction=H","UseDPDF=Y")</f>
        <v>116.1872</v>
      </c>
      <c r="P36" s="13">
        <f>_xll.BDH("SRPT US Equity","IS_COMP_GROSS_MARGIN_PERCENTAGE","FQ3 2022","FQ3 2022","Currency=USD","Period=FQ","BEST_FPERIOD_OVERRIDE=FQ","FILING_STATUS=MR","Sort=A","Dates=H","DateFormat=P","Fill=—","Direction=H","UseDPDF=Y")</f>
        <v>82.649900000000002</v>
      </c>
      <c r="Q36" s="13">
        <f>_xll.BDH("SRPT US Equity","IS_COMP_GROSS_MARGIN_PERCENTAGE","FQ4 2022","FQ4 2022","Currency=USD","Period=FQ","BEST_FPERIOD_OVERRIDE=FQ","FILING_STATUS=MR","Sort=A","Dates=H","DateFormat=P","Fill=—","Direction=H","UseDPDF=Y")</f>
        <v>88.082099999999997</v>
      </c>
      <c r="R36" s="13">
        <f>_xll.BDH("SRPT US Equity","IS_COMP_GROSS_MARGIN_PERCENTAGE","FQ1 2023","FQ1 2023","Currency=USD","Period=FQ","BEST_FPERIOD_OVERRIDE=FQ","FILING_STATUS=MR","Sort=A","Dates=H","DateFormat=P","Fill=—","Direction=H","UseDPDF=Y")</f>
        <v>86.18</v>
      </c>
      <c r="S36" s="13">
        <f>_xll.BDH("SRPT US Equity","IS_COMP_GROSS_MARGIN_PERCENTAGE","FQ2 2023","FQ2 2023","Currency=USD","Period=FQ","BEST_FPERIOD_OVERRIDE=FQ","FILING_STATUS=MR","Sort=A","Dates=H","DateFormat=P","Fill=—","Direction=H","UseDPDF=Y")</f>
        <v>86.937600000000003</v>
      </c>
      <c r="T36" s="13">
        <f>_xll.BDH("SRPT US Equity","IS_COMP_GROSS_MARGIN_PERCENTAGE","FQ3 2023","FQ3 2023","Currency=USD","Period=FQ","BEST_FPERIOD_OVERRIDE=FQ","FILING_STATUS=MR","Sort=A","Dates=H","DateFormat=P","Fill=—","Direction=H","UseDPDF=Y")</f>
        <v>88.841399999999993</v>
      </c>
      <c r="U36" s="13">
        <f>_xll.BDH("SRPT US Equity","IS_COMP_GROSS_MARGIN_PERCENTAGE","FQ4 2023","FQ4 2023","Currency=USD","Period=FQ","BEST_FPERIOD_OVERRIDE=FQ","FILING_STATUS=MR","Sort=A","Dates=H","DateFormat=P","Fill=—","Direction=H","UseDPDF=Y")</f>
        <v>88.86</v>
      </c>
      <c r="V36" s="13">
        <f>_xll.BDH("SRPT US Equity","IS_COMP_GROSS_MARGIN_PERCENTAGE","FQ1 2024","FQ1 2024","Currency=USD","Period=FQ","BEST_FPERIOD_OVERRIDE=FQ","FILING_STATUS=MR","Sort=A","Dates=H","DateFormat=P","Fill=—","Direction=H","UseDPDF=Y")</f>
        <v>87.771900000000002</v>
      </c>
      <c r="W36" s="13">
        <f>_xll.BDH("SRPT US Equity","IS_COMP_GROSS_MARGIN_PERCENTAGE","FQ2 2024","FQ2 2024","Currency=USD","Period=FQ","BEST_FPERIOD_OVERRIDE=FQ","FILING_STATUS=MR","Sort=A","Dates=H","DateFormat=P","Fill=—","Direction=H","UseDPDF=Y")</f>
        <v>87.72</v>
      </c>
      <c r="X36" s="13">
        <f>_xll.BDH("SRPT US Equity","IS_COMP_GROSS_MARGIN_PERCENTAGE","FQ3 2024","FQ3 2024","Currency=USD","Period=FQ","BEST_FPERIOD_OVERRIDE=FQ","FILING_STATUS=MR","Sort=A","Dates=H","DateFormat=P","Fill=—","Direction=H","UseDPDF=Y")</f>
        <v>80.373199999999997</v>
      </c>
      <c r="Y36" s="13">
        <f>_xll.BDH("SRPT US Equity","IS_COMP_GROSS_MARGIN_PERCENTAGE","FQ4 2024","FQ4 2024","Currency=USD","Period=FQ","BEST_FPERIOD_OVERRIDE=FQ","FILING_STATUS=MR","Sort=A","Dates=H","DateFormat=P","Fill=—","Direction=H","UseDPDF=Y")</f>
        <v>79.905600000000007</v>
      </c>
      <c r="Z36" s="13"/>
      <c r="AA36" s="13"/>
    </row>
    <row r="37" spans="1:27" x14ac:dyDescent="0.25">
      <c r="A37" s="11" t="s">
        <v>152</v>
      </c>
      <c r="B37" s="11"/>
      <c r="C37" s="25">
        <v>-4.3857563218390796</v>
      </c>
      <c r="D37" s="25">
        <v>-0.18762643678160901</v>
      </c>
      <c r="E37" s="25">
        <v>-2.3692820809248598</v>
      </c>
      <c r="F37" s="25">
        <v>2.1796758620689598</v>
      </c>
      <c r="G37" s="25">
        <v>3.7790551724138002</v>
      </c>
      <c r="H37" s="25">
        <v>2.5749390167088499</v>
      </c>
      <c r="I37" s="25">
        <v>-20.636487635594801</v>
      </c>
      <c r="J37" s="25">
        <v>-19.6160330216921</v>
      </c>
      <c r="K37" s="25">
        <v>1.9580674651391401</v>
      </c>
      <c r="L37" s="25">
        <v>1.36783433595557</v>
      </c>
      <c r="M37" s="25">
        <v>-2.16803623272558</v>
      </c>
      <c r="N37" s="25">
        <v>-0.79622241136075</v>
      </c>
      <c r="O37" s="25">
        <v>34.238208958672701</v>
      </c>
      <c r="P37" s="25">
        <v>-3.48025575148896</v>
      </c>
      <c r="Q37" s="25">
        <v>3.8937120345360299</v>
      </c>
      <c r="R37" s="25">
        <v>1.54832323898853</v>
      </c>
      <c r="S37" s="25">
        <v>2.1077270004580599</v>
      </c>
      <c r="T37" s="25">
        <v>5.9237656933697398</v>
      </c>
      <c r="U37" s="25">
        <v>3.1528603268944999</v>
      </c>
      <c r="V37" s="25">
        <v>3.06699154532645</v>
      </c>
      <c r="W37" s="25">
        <v>3.2303618711385802</v>
      </c>
      <c r="X37" s="25">
        <v>-5.6697079949298104</v>
      </c>
      <c r="Y37" s="25">
        <v>-5.3957460663248904</v>
      </c>
      <c r="Z37" s="25"/>
      <c r="AA37" s="25"/>
    </row>
    <row r="38" spans="1:27" x14ac:dyDescent="0.25">
      <c r="A38" s="10" t="s">
        <v>135</v>
      </c>
      <c r="B38" s="10" t="s">
        <v>153</v>
      </c>
      <c r="C38" s="13">
        <f>_xll.BDH("SRPT US Equity","GROSS_MARGIN","FQ2 2019","FQ2 2019","Currency=USD","Period=FQ","BEST_FPERIOD_OVERRIDE=FQ","FILING_STATUS=MR","FA_ADJUSTED=GAAP","Sort=A","Dates=H","DateFormat=P","Fill=—","Direction=H","UseDPDF=Y")</f>
        <v>83.184399999999997</v>
      </c>
      <c r="D38" s="13">
        <f>_xll.BDH("SRPT US Equity","GROSS_MARGIN","FQ3 2019","FQ3 2019","Currency=USD","Period=FQ","BEST_FPERIOD_OVERRIDE=FQ","FILING_STATUS=MR","FA_ADJUSTED=GAAP","Sort=A","Dates=H","DateFormat=P","Fill=—","Direction=H","UseDPDF=Y")</f>
        <v>86.836799999999997</v>
      </c>
      <c r="E38" s="13">
        <f>_xll.BDH("SRPT US Equity","GROSS_MARGIN","FQ4 2019","FQ4 2019","Currency=USD","Period=FQ","BEST_FPERIOD_OVERRIDE=FQ","FILING_STATUS=MR","FA_ADJUSTED=GAAP","Sort=A","Dates=H","DateFormat=P","Fill=—","Direction=H","UseDPDF=Y")</f>
        <v>84.450599999999994</v>
      </c>
      <c r="F38" s="13">
        <f>_xll.BDH("SRPT US Equity","GROSS_MARGIN","FQ1 2020","FQ1 2020","Currency=USD","Period=FQ","BEST_FPERIOD_OVERRIDE=FQ","FILING_STATUS=MR","FA_ADJUSTED=GAAP","Sort=A","Dates=H","DateFormat=P","Fill=—","Direction=H","UseDPDF=Y")</f>
        <v>88.896299999999997</v>
      </c>
      <c r="G38" s="13">
        <f>_xll.BDH("SRPT US Equity","GROSS_MARGIN","FQ2 2020","FQ2 2020","Currency=USD","Period=FQ","BEST_FPERIOD_OVERRIDE=FQ","FILING_STATUS=MR","FA_ADJUSTED=GAAP","Sort=A","Dates=H","DateFormat=P","Fill=—","Direction=H","UseDPDF=Y")</f>
        <v>90.287800000000004</v>
      </c>
      <c r="H38" s="13">
        <f>_xll.BDH("SRPT US Equity","GROSS_MARGIN","FQ3 2020","FQ3 2020","Currency=USD","Period=FQ","BEST_FPERIOD_OVERRIDE=FQ","FILING_STATUS=MR","FA_ADJUSTED=GAAP","Sort=A","Dates=H","DateFormat=P","Fill=—","Direction=H","UseDPDF=Y")</f>
        <v>89.567400000000006</v>
      </c>
      <c r="I38" s="13">
        <f>_xll.BDH("SRPT US Equity","GROSS_MARGIN","FQ4 2020","FQ4 2020","Currency=USD","Period=FQ","BEST_FPERIOD_OVERRIDE=FQ","FILING_STATUS=MR","FA_ADJUSTED=GAAP","Sort=A","Dates=H","DateFormat=P","Fill=—","Direction=H","UseDPDF=Y")</f>
        <v>84.563699999999997</v>
      </c>
      <c r="J38" s="13">
        <f>_xll.BDH("SRPT US Equity","GROSS_MARGIN","FQ1 2021","FQ1 2021","Currency=USD","Period=FQ","BEST_FPERIOD_OVERRIDE=FQ","FILING_STATUS=MR","FA_ADJUSTED=GAAP","Sort=A","Dates=H","DateFormat=P","Fill=—","Direction=H","UseDPDF=Y")</f>
        <v>84.791499999999999</v>
      </c>
      <c r="K38" s="13">
        <f>_xll.BDH("SRPT US Equity","GROSS_MARGIN","FQ2 2021","FQ2 2021","Currency=USD","Period=FQ","BEST_FPERIOD_OVERRIDE=FQ","FILING_STATUS=MR","FA_ADJUSTED=GAAP","Sort=A","Dates=H","DateFormat=P","Fill=—","Direction=H","UseDPDF=Y")</f>
        <v>88.107100000000003</v>
      </c>
      <c r="L38" s="13">
        <f>_xll.BDH("SRPT US Equity","GROSS_MARGIN","FQ3 2021","FQ3 2021","Currency=USD","Period=FQ","BEST_FPERIOD_OVERRIDE=FQ","FILING_STATUS=MR","FA_ADJUSTED=GAAP","Sort=A","Dates=H","DateFormat=P","Fill=—","Direction=H","UseDPDF=Y")</f>
        <v>87.622399999999999</v>
      </c>
      <c r="M38" s="13">
        <f>_xll.BDH("SRPT US Equity","GROSS_MARGIN","FQ4 2021","FQ4 2021","Currency=USD","Period=FQ","BEST_FPERIOD_OVERRIDE=FQ","FILING_STATUS=MR","FA_ADJUSTED=GAAP","Sort=A","Dates=H","DateFormat=P","Fill=—","Direction=H","UseDPDF=Y")</f>
        <v>84.243099999999998</v>
      </c>
      <c r="N38" s="13">
        <f>_xll.BDH("SRPT US Equity","GROSS_MARGIN","FQ1 2022","FQ1 2022","Currency=USD","Period=FQ","BEST_FPERIOD_OVERRIDE=FQ","FILING_STATUS=MR","FA_ADJUSTED=GAAP","Sort=A","Dates=H","DateFormat=P","Fill=—","Direction=H","UseDPDF=Y")</f>
        <v>85.086100000000002</v>
      </c>
      <c r="O38" s="13">
        <f>_xll.BDH("SRPT US Equity","GROSS_MARGIN","FQ2 2022","FQ2 2022","Currency=USD","Period=FQ","BEST_FPERIOD_OVERRIDE=FQ","FILING_STATUS=MR","FA_ADJUSTED=GAAP","Sort=A","Dates=H","DateFormat=P","Fill=—","Direction=H","UseDPDF=Y")</f>
        <v>83.812799999999996</v>
      </c>
      <c r="P38" s="13">
        <f>_xll.BDH("SRPT US Equity","GROSS_MARGIN","FQ3 2022","FQ3 2022","Currency=USD","Period=FQ","BEST_FPERIOD_OVERRIDE=FQ","FILING_STATUS=MR","FA_ADJUSTED=GAAP","Sort=A","Dates=H","DateFormat=P","Fill=—","Direction=H","UseDPDF=Y")</f>
        <v>82.649900000000002</v>
      </c>
      <c r="Q38" s="13">
        <f>_xll.BDH("SRPT US Equity","GROSS_MARGIN","FQ4 2022","FQ4 2022","Currency=USD","Period=FQ","BEST_FPERIOD_OVERRIDE=FQ","FILING_STATUS=MR","FA_ADJUSTED=GAAP","Sort=A","Dates=H","DateFormat=P","Fill=—","Direction=H","UseDPDF=Y")</f>
        <v>88.082099999999997</v>
      </c>
      <c r="R38" s="13">
        <f>_xll.BDH("SRPT US Equity","GROSS_MARGIN","FQ1 2023","FQ1 2023","Currency=USD","Period=FQ","BEST_FPERIOD_OVERRIDE=FQ","FILING_STATUS=MR","FA_ADJUSTED=GAAP","Sort=A","Dates=H","DateFormat=P","Fill=—","Direction=H","UseDPDF=Y")</f>
        <v>86.186599999999999</v>
      </c>
      <c r="S38" s="13">
        <f>_xll.BDH("SRPT US Equity","GROSS_MARGIN","FQ2 2023","FQ2 2023","Currency=USD","Period=FQ","BEST_FPERIOD_OVERRIDE=FQ","FILING_STATUS=MR","FA_ADJUSTED=GAAP","Sort=A","Dates=H","DateFormat=P","Fill=—","Direction=H","UseDPDF=Y")</f>
        <v>86.937600000000003</v>
      </c>
      <c r="T38" s="13">
        <f>_xll.BDH("SRPT US Equity","GROSS_MARGIN","FQ3 2023","FQ3 2023","Currency=USD","Period=FQ","BEST_FPERIOD_OVERRIDE=FQ","FILING_STATUS=MR","FA_ADJUSTED=GAAP","Sort=A","Dates=H","DateFormat=P","Fill=—","Direction=H","UseDPDF=Y")</f>
        <v>88.841399999999993</v>
      </c>
      <c r="U38" s="13">
        <f>_xll.BDH("SRPT US Equity","GROSS_MARGIN","FQ4 2023","FQ4 2023","Currency=USD","Period=FQ","BEST_FPERIOD_OVERRIDE=FQ","FILING_STATUS=MR","FA_ADJUSTED=GAAP","Sort=A","Dates=H","DateFormat=P","Fill=—","Direction=H","UseDPDF=Y")</f>
        <v>88.866399999999999</v>
      </c>
      <c r="V38" s="13">
        <f>_xll.BDH("SRPT US Equity","GROSS_MARGIN","FQ1 2024","FQ1 2024","Currency=USD","Period=FQ","BEST_FPERIOD_OVERRIDE=FQ","FILING_STATUS=MR","FA_ADJUSTED=GAAP","Sort=A","Dates=H","DateFormat=P","Fill=—","Direction=H","UseDPDF=Y")</f>
        <v>87.771799999999999</v>
      </c>
      <c r="W38" s="13">
        <f>_xll.BDH("SRPT US Equity","GROSS_MARGIN","FQ2 2024","FQ2 2024","Currency=USD","Period=FQ","BEST_FPERIOD_OVERRIDE=FQ","FILING_STATUS=MR","FA_ADJUSTED=GAAP","Sort=A","Dates=H","DateFormat=P","Fill=—","Direction=H","UseDPDF=Y")</f>
        <v>87.726299999999995</v>
      </c>
      <c r="X38" s="13">
        <f>_xll.BDH("SRPT US Equity","GROSS_MARGIN","FQ3 2024","FQ3 2024","Currency=USD","Period=FQ","BEST_FPERIOD_OVERRIDE=FQ","FILING_STATUS=MR","FA_ADJUSTED=GAAP","Sort=A","Dates=H","DateFormat=P","Fill=—","Direction=H","UseDPDF=Y")</f>
        <v>80.373199999999997</v>
      </c>
      <c r="Y38" s="13">
        <f>_xll.BDH("SRPT US Equity","GROSS_MARGIN","FQ4 2024","FQ4 2024","Currency=USD","Period=FQ","BEST_FPERIOD_OVERRIDE=FQ","FILING_STATUS=MR","FA_ADJUSTED=GAAP","Sort=A","Dates=H","DateFormat=P","Fill=—","Direction=H","UseDPDF=Y")</f>
        <v>79.905600000000007</v>
      </c>
      <c r="Z38" s="13"/>
      <c r="AA38" s="13"/>
    </row>
    <row r="39" spans="1:27" x14ac:dyDescent="0.25">
      <c r="A39" s="10" t="s">
        <v>136</v>
      </c>
      <c r="B39" s="10" t="s">
        <v>153</v>
      </c>
      <c r="C39" s="13">
        <f>_xll.BDH("SRPT US Equity","GROSS_MARGIN","FQ2 2019","FQ2 2019","Currency=USD","Period=FQ","BEST_FPERIOD_OVERRIDE=FQ","FILING_STATUS=MR","FA_ADJUSTED=Adjusted","Sort=A","Dates=H","DateFormat=P","Fill=—","Direction=H","UseDPDF=Y")</f>
        <v>83.184399999999997</v>
      </c>
      <c r="D39" s="13">
        <f>_xll.BDH("SRPT US Equity","GROSS_MARGIN","FQ3 2019","FQ3 2019","Currency=USD","Period=FQ","BEST_FPERIOD_OVERRIDE=FQ","FILING_STATUS=MR","FA_ADJUSTED=Adjusted","Sort=A","Dates=H","DateFormat=P","Fill=—","Direction=H","UseDPDF=Y")</f>
        <v>86.836799999999997</v>
      </c>
      <c r="E39" s="13">
        <f>_xll.BDH("SRPT US Equity","GROSS_MARGIN","FQ4 2019","FQ4 2019","Currency=USD","Period=FQ","BEST_FPERIOD_OVERRIDE=FQ","FILING_STATUS=MR","FA_ADJUSTED=Adjusted","Sort=A","Dates=H","DateFormat=P","Fill=—","Direction=H","UseDPDF=Y")</f>
        <v>84.450599999999994</v>
      </c>
      <c r="F39" s="13">
        <f>_xll.BDH("SRPT US Equity","GROSS_MARGIN","FQ1 2020","FQ1 2020","Currency=USD","Period=FQ","BEST_FPERIOD_OVERRIDE=FQ","FILING_STATUS=MR","FA_ADJUSTED=Adjusted","Sort=A","Dates=H","DateFormat=P","Fill=—","Direction=H","UseDPDF=Y")</f>
        <v>88.896299999999997</v>
      </c>
      <c r="G39" s="13">
        <f>_xll.BDH("SRPT US Equity","GROSS_MARGIN","FQ2 2020","FQ2 2020","Currency=USD","Period=FQ","BEST_FPERIOD_OVERRIDE=FQ","FILING_STATUS=MR","FA_ADJUSTED=Adjusted","Sort=A","Dates=H","DateFormat=P","Fill=—","Direction=H","UseDPDF=Y")</f>
        <v>90.287800000000004</v>
      </c>
      <c r="H39" s="13">
        <f>_xll.BDH("SRPT US Equity","GROSS_MARGIN","FQ3 2020","FQ3 2020","Currency=USD","Period=FQ","BEST_FPERIOD_OVERRIDE=FQ","FILING_STATUS=MR","FA_ADJUSTED=Adjusted","Sort=A","Dates=H","DateFormat=P","Fill=—","Direction=H","UseDPDF=Y")</f>
        <v>89.567400000000006</v>
      </c>
      <c r="I39" s="13">
        <f>_xll.BDH("SRPT US Equity","GROSS_MARGIN","FQ4 2020","FQ4 2020","Currency=USD","Period=FQ","BEST_FPERIOD_OVERRIDE=FQ","FILING_STATUS=MR","FA_ADJUSTED=Adjusted","Sort=A","Dates=H","DateFormat=P","Fill=—","Direction=H","UseDPDF=Y")</f>
        <v>84.563699999999997</v>
      </c>
      <c r="J39" s="13">
        <f>_xll.BDH("SRPT US Equity","GROSS_MARGIN","FQ1 2021","FQ1 2021","Currency=USD","Period=FQ","BEST_FPERIOD_OVERRIDE=FQ","FILING_STATUS=MR","FA_ADJUSTED=Adjusted","Sort=A","Dates=H","DateFormat=P","Fill=—","Direction=H","UseDPDF=Y")</f>
        <v>84.791499999999999</v>
      </c>
      <c r="K39" s="13">
        <f>_xll.BDH("SRPT US Equity","GROSS_MARGIN","FQ2 2021","FQ2 2021","Currency=USD","Period=FQ","BEST_FPERIOD_OVERRIDE=FQ","FILING_STATUS=MR","FA_ADJUSTED=Adjusted","Sort=A","Dates=H","DateFormat=P","Fill=—","Direction=H","UseDPDF=Y")</f>
        <v>88.107100000000003</v>
      </c>
      <c r="L39" s="13">
        <f>_xll.BDH("SRPT US Equity","GROSS_MARGIN","FQ3 2021","FQ3 2021","Currency=USD","Period=FQ","BEST_FPERIOD_OVERRIDE=FQ","FILING_STATUS=MR","FA_ADJUSTED=Adjusted","Sort=A","Dates=H","DateFormat=P","Fill=—","Direction=H","UseDPDF=Y")</f>
        <v>87.622399999999999</v>
      </c>
      <c r="M39" s="13">
        <f>_xll.BDH("SRPT US Equity","GROSS_MARGIN","FQ4 2021","FQ4 2021","Currency=USD","Period=FQ","BEST_FPERIOD_OVERRIDE=FQ","FILING_STATUS=MR","FA_ADJUSTED=Adjusted","Sort=A","Dates=H","DateFormat=P","Fill=—","Direction=H","UseDPDF=Y")</f>
        <v>84.243099999999998</v>
      </c>
      <c r="N39" s="13">
        <f>_xll.BDH("SRPT US Equity","GROSS_MARGIN","FQ1 2022","FQ1 2022","Currency=USD","Period=FQ","BEST_FPERIOD_OVERRIDE=FQ","FILING_STATUS=MR","FA_ADJUSTED=Adjusted","Sort=A","Dates=H","DateFormat=P","Fill=—","Direction=H","UseDPDF=Y")</f>
        <v>85.086100000000002</v>
      </c>
      <c r="O39" s="13">
        <f>_xll.BDH("SRPT US Equity","GROSS_MARGIN","FQ2 2022","FQ2 2022","Currency=USD","Period=FQ","BEST_FPERIOD_OVERRIDE=FQ","FILING_STATUS=MR","FA_ADJUSTED=Adjusted","Sort=A","Dates=H","DateFormat=P","Fill=—","Direction=H","UseDPDF=Y")</f>
        <v>83.812799999999996</v>
      </c>
      <c r="P39" s="13">
        <f>_xll.BDH("SRPT US Equity","GROSS_MARGIN","FQ3 2022","FQ3 2022","Currency=USD","Period=FQ","BEST_FPERIOD_OVERRIDE=FQ","FILING_STATUS=MR","FA_ADJUSTED=Adjusted","Sort=A","Dates=H","DateFormat=P","Fill=—","Direction=H","UseDPDF=Y")</f>
        <v>82.649900000000002</v>
      </c>
      <c r="Q39" s="13">
        <f>_xll.BDH("SRPT US Equity","GROSS_MARGIN","FQ4 2022","FQ4 2022","Currency=USD","Period=FQ","BEST_FPERIOD_OVERRIDE=FQ","FILING_STATUS=MR","FA_ADJUSTED=Adjusted","Sort=A","Dates=H","DateFormat=P","Fill=—","Direction=H","UseDPDF=Y")</f>
        <v>88.082099999999997</v>
      </c>
      <c r="R39" s="13">
        <f>_xll.BDH("SRPT US Equity","GROSS_MARGIN","FQ1 2023","FQ1 2023","Currency=USD","Period=FQ","BEST_FPERIOD_OVERRIDE=FQ","FILING_STATUS=MR","FA_ADJUSTED=Adjusted","Sort=A","Dates=H","DateFormat=P","Fill=—","Direction=H","UseDPDF=Y")</f>
        <v>86.186599999999999</v>
      </c>
      <c r="S39" s="13">
        <f>_xll.BDH("SRPT US Equity","GROSS_MARGIN","FQ2 2023","FQ2 2023","Currency=USD","Period=FQ","BEST_FPERIOD_OVERRIDE=FQ","FILING_STATUS=MR","FA_ADJUSTED=Adjusted","Sort=A","Dates=H","DateFormat=P","Fill=—","Direction=H","UseDPDF=Y")</f>
        <v>86.937600000000003</v>
      </c>
      <c r="T39" s="13">
        <f>_xll.BDH("SRPT US Equity","GROSS_MARGIN","FQ3 2023","FQ3 2023","Currency=USD","Period=FQ","BEST_FPERIOD_OVERRIDE=FQ","FILING_STATUS=MR","FA_ADJUSTED=Adjusted","Sort=A","Dates=H","DateFormat=P","Fill=—","Direction=H","UseDPDF=Y")</f>
        <v>88.841399999999993</v>
      </c>
      <c r="U39" s="13">
        <f>_xll.BDH("SRPT US Equity","GROSS_MARGIN","FQ4 2023","FQ4 2023","Currency=USD","Period=FQ","BEST_FPERIOD_OVERRIDE=FQ","FILING_STATUS=MR","FA_ADJUSTED=Adjusted","Sort=A","Dates=H","DateFormat=P","Fill=—","Direction=H","UseDPDF=Y")</f>
        <v>88.866399999999999</v>
      </c>
      <c r="V39" s="13">
        <f>_xll.BDH("SRPT US Equity","GROSS_MARGIN","FQ1 2024","FQ1 2024","Currency=USD","Period=FQ","BEST_FPERIOD_OVERRIDE=FQ","FILING_STATUS=MR","FA_ADJUSTED=Adjusted","Sort=A","Dates=H","DateFormat=P","Fill=—","Direction=H","UseDPDF=Y")</f>
        <v>87.771799999999999</v>
      </c>
      <c r="W39" s="13">
        <f>_xll.BDH("SRPT US Equity","GROSS_MARGIN","FQ2 2024","FQ2 2024","Currency=USD","Period=FQ","BEST_FPERIOD_OVERRIDE=FQ","FILING_STATUS=MR","FA_ADJUSTED=Adjusted","Sort=A","Dates=H","DateFormat=P","Fill=—","Direction=H","UseDPDF=Y")</f>
        <v>87.726299999999995</v>
      </c>
      <c r="X39" s="13">
        <f>_xll.BDH("SRPT US Equity","GROSS_MARGIN","FQ3 2024","FQ3 2024","Currency=USD","Period=FQ","BEST_FPERIOD_OVERRIDE=FQ","FILING_STATUS=MR","FA_ADJUSTED=Adjusted","Sort=A","Dates=H","DateFormat=P","Fill=—","Direction=H","UseDPDF=Y")</f>
        <v>80.373199999999997</v>
      </c>
      <c r="Y39" s="13">
        <f>_xll.BDH("SRPT US Equity","GROSS_MARGIN","FQ4 2024","FQ4 2024","Currency=USD","Period=FQ","BEST_FPERIOD_OVERRIDE=FQ","FILING_STATUS=MR","FA_ADJUSTED=Adjusted","Sort=A","Dates=H","DateFormat=P","Fill=—","Direction=H","UseDPDF=Y")</f>
        <v>79.905600000000007</v>
      </c>
      <c r="Z39" s="13"/>
      <c r="AA39" s="13"/>
    </row>
    <row r="40" spans="1:27" x14ac:dyDescent="0.25">
      <c r="A40" s="10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5">
      <c r="A41" s="6" t="s">
        <v>154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x14ac:dyDescent="0.25">
      <c r="A42" s="10" t="s">
        <v>130</v>
      </c>
      <c r="B42" s="10" t="s">
        <v>155</v>
      </c>
      <c r="C42" s="13">
        <f>_xll.BDH("SRPT US Equity","BEST_PTP","FQ2 2019","FQ2 2019","Currency=USD","Period=FQ","BEST_FPERIOD_OVERRIDE=FQ","FILING_STATUS=MR","Sort=A","Dates=H","DateFormat=P","Fill=—","Direction=H","UseDPDF=Y")</f>
        <v>-78.13</v>
      </c>
      <c r="D42" s="13">
        <f>_xll.BDH("SRPT US Equity","BEST_PTP","FQ3 2019","FQ3 2019","Currency=USD","Period=FQ","BEST_FPERIOD_OVERRIDE=FQ","FILING_STATUS=MR","Sort=A","Dates=H","DateFormat=P","Fill=—","Direction=H","UseDPDF=Y")</f>
        <v>-98.2</v>
      </c>
      <c r="E42" s="13">
        <f>_xll.BDH("SRPT US Equity","BEST_PTP","FQ4 2019","FQ4 2019","Currency=USD","Period=FQ","BEST_FPERIOD_OVERRIDE=FQ","FILING_STATUS=MR","Sort=A","Dates=H","DateFormat=P","Fill=—","Direction=H","UseDPDF=Y")</f>
        <v>-134.364</v>
      </c>
      <c r="F42" s="13">
        <f>_xll.BDH("SRPT US Equity","BEST_PTP","FQ1 2020","FQ1 2020","Currency=USD","Period=FQ","BEST_FPERIOD_OVERRIDE=FQ","FILING_STATUS=MR","Sort=A","Dates=H","DateFormat=P","Fill=—","Direction=H","UseDPDF=Y")</f>
        <v>-150.52000000000001</v>
      </c>
      <c r="G42" s="13">
        <f>_xll.BDH("SRPT US Equity","BEST_PTP","FQ2 2020","FQ2 2020","Currency=USD","Period=FQ","BEST_FPERIOD_OVERRIDE=FQ","FILING_STATUS=MR","Sort=A","Dates=H","DateFormat=P","Fill=—","Direction=H","UseDPDF=Y")</f>
        <v>-143.018</v>
      </c>
      <c r="H42" s="13">
        <f>_xll.BDH("SRPT US Equity","BEST_PTP","FQ3 2020","FQ3 2020","Currency=USD","Period=FQ","BEST_FPERIOD_OVERRIDE=FQ","FILING_STATUS=MR","Sort=A","Dates=H","DateFormat=P","Fill=—","Direction=H","UseDPDF=Y")</f>
        <v>-134.917</v>
      </c>
      <c r="I42" s="13">
        <f>_xll.BDH("SRPT US Equity","BEST_PTP","FQ4 2020","FQ4 2020","Currency=USD","Period=FQ","BEST_FPERIOD_OVERRIDE=FQ","FILING_STATUS=MR","Sort=A","Dates=H","DateFormat=P","Fill=—","Direction=H","UseDPDF=Y")</f>
        <v>-145</v>
      </c>
      <c r="J42" s="13">
        <f>_xll.BDH("SRPT US Equity","BEST_PTP","FQ1 2021","FQ1 2021","Currency=USD","Period=FQ","BEST_FPERIOD_OVERRIDE=FQ","FILING_STATUS=MR","Sort=A","Dates=H","DateFormat=P","Fill=—","Direction=H","UseDPDF=Y")</f>
        <v>-144.792</v>
      </c>
      <c r="K42" s="13">
        <f>_xll.BDH("SRPT US Equity","BEST_PTP","FQ2 2021","FQ2 2021","Currency=USD","Period=FQ","BEST_FPERIOD_OVERRIDE=FQ","FILING_STATUS=MR","Sort=A","Dates=H","DateFormat=P","Fill=—","Direction=H","UseDPDF=Y")</f>
        <v>-107.94</v>
      </c>
      <c r="L42" s="13">
        <f>_xll.BDH("SRPT US Equity","BEST_PTP","FQ3 2021","FQ3 2021","Currency=USD","Period=FQ","BEST_FPERIOD_OVERRIDE=FQ","FILING_STATUS=MR","Sort=A","Dates=H","DateFormat=P","Fill=—","Direction=H","UseDPDF=Y")</f>
        <v>-150.23099999999999</v>
      </c>
      <c r="M42" s="13">
        <f>_xll.BDH("SRPT US Equity","BEST_PTP","FQ4 2021","FQ4 2021","Currency=USD","Period=FQ","BEST_FPERIOD_OVERRIDE=FQ","FILING_STATUS=MR","Sort=A","Dates=H","DateFormat=P","Fill=—","Direction=H","UseDPDF=Y")</f>
        <v>-106.56399999999999</v>
      </c>
      <c r="N42" s="13">
        <f>_xll.BDH("SRPT US Equity","BEST_PTP","FQ1 2022","FQ1 2022","Currency=USD","Period=FQ","BEST_FPERIOD_OVERRIDE=FQ","FILING_STATUS=MR","Sort=A","Dates=H","DateFormat=P","Fill=—","Direction=H","UseDPDF=Y")</f>
        <v>-113.575</v>
      </c>
      <c r="O42" s="13">
        <f>_xll.BDH("SRPT US Equity","BEST_PTP","FQ2 2022","FQ2 2022","Currency=USD","Period=FQ","BEST_FPERIOD_OVERRIDE=FQ","FILING_STATUS=MR","Sort=A","Dates=H","DateFormat=P","Fill=—","Direction=H","UseDPDF=Y")</f>
        <v>-99.614999999999995</v>
      </c>
      <c r="P42" s="13">
        <f>_xll.BDH("SRPT US Equity","BEST_PTP","FQ3 2022","FQ3 2022","Currency=USD","Period=FQ","BEST_FPERIOD_OVERRIDE=FQ","FILING_STATUS=MR","Sort=A","Dates=H","DateFormat=P","Fill=—","Direction=H","UseDPDF=Y")</f>
        <v>-129.023</v>
      </c>
      <c r="Q42" s="13">
        <f>_xll.BDH("SRPT US Equity","BEST_PTP","FQ4 2022","FQ4 2022","Currency=USD","Period=FQ","BEST_FPERIOD_OVERRIDE=FQ","FILING_STATUS=MR","Sort=A","Dates=H","DateFormat=P","Fill=—","Direction=H","UseDPDF=Y")</f>
        <v>-109.273</v>
      </c>
      <c r="R42" s="13">
        <f>_xll.BDH("SRPT US Equity","BEST_PTP","FQ1 2023","FQ1 2023","Currency=USD","Period=FQ","BEST_FPERIOD_OVERRIDE=FQ","FILING_STATUS=MR","Sort=A","Dates=H","DateFormat=P","Fill=—","Direction=H","UseDPDF=Y")</f>
        <v>-129.75700000000001</v>
      </c>
      <c r="S42" s="13">
        <f>_xll.BDH("SRPT US Equity","BEST_PTP","FQ2 2023","FQ2 2023","Currency=USD","Period=FQ","BEST_FPERIOD_OVERRIDE=FQ","FILING_STATUS=MR","Sort=A","Dates=H","DateFormat=P","Fill=—","Direction=H","UseDPDF=Y")</f>
        <v>-158.167</v>
      </c>
      <c r="T42" s="13">
        <f>_xll.BDH("SRPT US Equity","BEST_PTP","FQ3 2023","FQ3 2023","Currency=USD","Period=FQ","BEST_FPERIOD_OVERRIDE=FQ","FILING_STATUS=MR","Sort=A","Dates=H","DateFormat=P","Fill=—","Direction=H","UseDPDF=Y")</f>
        <v>-105.30500000000001</v>
      </c>
      <c r="U42" s="13">
        <f>_xll.BDH("SRPT US Equity","BEST_PTP","FQ4 2023","FQ4 2023","Currency=USD","Period=FQ","BEST_FPERIOD_OVERRIDE=FQ","FILING_STATUS=MR","Sort=A","Dates=H","DateFormat=P","Fill=—","Direction=H","UseDPDF=Y")</f>
        <v>11.805</v>
      </c>
      <c r="V42" s="13">
        <f>_xll.BDH("SRPT US Equity","BEST_PTP","FQ1 2024","FQ1 2024","Currency=USD","Period=FQ","BEST_FPERIOD_OVERRIDE=FQ","FILING_STATUS=MR","Sort=A","Dates=H","DateFormat=P","Fill=—","Direction=H","UseDPDF=Y")</f>
        <v>-0.59599999999999997</v>
      </c>
      <c r="W42" s="13">
        <f>_xll.BDH("SRPT US Equity","BEST_PTP","FQ2 2024","FQ2 2024","Currency=USD","Period=FQ","BEST_FPERIOD_OVERRIDE=FQ","FILING_STATUS=MR","Sort=A","Dates=H","DateFormat=P","Fill=—","Direction=H","UseDPDF=Y")</f>
        <v>-15.891</v>
      </c>
      <c r="X42" s="13">
        <f>_xll.BDH("SRPT US Equity","BEST_PTP","FQ3 2024","FQ3 2024","Currency=USD","Period=FQ","BEST_FPERIOD_OVERRIDE=FQ","FILING_STATUS=MR","Sort=A","Dates=H","DateFormat=P","Fill=—","Direction=H","UseDPDF=Y")</f>
        <v>6.1459999999999999</v>
      </c>
      <c r="Y42" s="13">
        <f>_xll.BDH("SRPT US Equity","BEST_PTP","FQ4 2024","FQ4 2024","Currency=USD","Period=FQ","BEST_FPERIOD_OVERRIDE=FQ","FILING_STATUS=MR","Sort=A","Dates=H","DateFormat=P","Fill=—","Direction=H","UseDPDF=Y")</f>
        <v>182.12100000000001</v>
      </c>
      <c r="Z42" s="13">
        <v>196.2</v>
      </c>
      <c r="AA42" s="13">
        <v>273.88200000000001</v>
      </c>
    </row>
    <row r="43" spans="1:27" x14ac:dyDescent="0.25">
      <c r="A43" s="10" t="s">
        <v>132</v>
      </c>
      <c r="B43" s="10" t="s">
        <v>156</v>
      </c>
      <c r="C43" s="13">
        <f>_xll.BDH("SRPT US Equity","IS_COMP_PTP_EX_STK_BASED_COMP","FQ2 2019","FQ2 2019","Currency=USD","Period=FQ","BEST_FPERIOD_OVERRIDE=FQ","FILING_STATUS=MR","SCALING_FORMAT=MLN","Sort=A","Dates=H","DateFormat=P","Fill=—","Direction=H","UseDPDF=Y")</f>
        <v>-276.22899999999998</v>
      </c>
      <c r="D43" s="13">
        <f>_xll.BDH("SRPT US Equity","IS_COMP_PTP_EX_STK_BASED_COMP","FQ3 2019","FQ3 2019","Currency=USD","Period=FQ","BEST_FPERIOD_OVERRIDE=FQ","FILING_STATUS=MR","SCALING_FORMAT=MLN","Sort=A","Dates=H","DateFormat=P","Fill=—","Direction=H","UseDPDF=Y")</f>
        <v>-126.1</v>
      </c>
      <c r="E43" s="13">
        <f>_xll.BDH("SRPT US Equity","IS_COMP_PTP_EX_STK_BASED_COMP","FQ4 2019","FQ4 2019","Currency=USD","Period=FQ","BEST_FPERIOD_OVERRIDE=FQ","FILING_STATUS=MR","SCALING_FORMAT=MLN","Sort=A","Dates=H","DateFormat=P","Fill=—","Direction=H","UseDPDF=Y")</f>
        <v>-234.99199999999999</v>
      </c>
      <c r="F43" s="13">
        <f>_xll.BDH("SRPT US Equity","IS_COMP_PTP_EX_STK_BASED_COMP","FQ1 2020","FQ1 2020","Currency=USD","Period=FQ","BEST_FPERIOD_OVERRIDE=FQ","FILING_STATUS=MR","SCALING_FORMAT=MLN","Sort=A","Dates=H","DateFormat=P","Fill=—","Direction=H","UseDPDF=Y")</f>
        <v>-17.376999999999999</v>
      </c>
      <c r="G43" s="13">
        <f>_xll.BDH("SRPT US Equity","IS_COMP_PTP_EX_STK_BASED_COMP","FQ2 2020","FQ2 2020","Currency=USD","Period=FQ","BEST_FPERIOD_OVERRIDE=FQ","FILING_STATUS=MR","SCALING_FORMAT=MLN","Sort=A","Dates=H","DateFormat=P","Fill=—","Direction=H","UseDPDF=Y")</f>
        <v>-150.80000000000001</v>
      </c>
      <c r="H43" s="13">
        <f>_xll.BDH("SRPT US Equity","IS_COMP_PTP_EX_STK_BASED_COMP","FQ3 2020","FQ3 2020","Currency=USD","Period=FQ","BEST_FPERIOD_OVERRIDE=FQ","FILING_STATUS=MR","SCALING_FORMAT=MLN","Sort=A","Dates=H","DateFormat=P","Fill=—","Direction=H","UseDPDF=Y")</f>
        <v>-196.40299999999999</v>
      </c>
      <c r="I43" s="13">
        <f>_xll.BDH("SRPT US Equity","IS_COMP_PTP_EX_STK_BASED_COMP","FQ4 2020","FQ4 2020","Currency=USD","Period=FQ","BEST_FPERIOD_OVERRIDE=FQ","FILING_STATUS=MR","SCALING_FORMAT=MLN","Sort=A","Dates=H","DateFormat=P","Fill=—","Direction=H","UseDPDF=Y")</f>
        <v>-163.542</v>
      </c>
      <c r="J43" s="13">
        <f>_xll.BDH("SRPT US Equity","IS_COMP_PTP_EX_STK_BASED_COMP","FQ1 2021","FQ1 2021","Currency=USD","Period=FQ","BEST_FPERIOD_OVERRIDE=FQ","FILING_STATUS=MR","SCALING_FORMAT=MLN","Sort=A","Dates=H","DateFormat=P","Fill=—","Direction=H","UseDPDF=Y")</f>
        <v>-147.96</v>
      </c>
      <c r="K43" s="13">
        <f>_xll.BDH("SRPT US Equity","IS_COMP_PTP_EX_STK_BASED_COMP","FQ2 2021","FQ2 2021","Currency=USD","Period=FQ","BEST_FPERIOD_OVERRIDE=FQ","FILING_STATUS=MR","SCALING_FORMAT=MLN","Sort=A","Dates=H","DateFormat=P","Fill=—","Direction=H","UseDPDF=Y")</f>
        <v>-81.759</v>
      </c>
      <c r="L43" s="13">
        <f>_xll.BDH("SRPT US Equity","IS_COMP_PTP_EX_STK_BASED_COMP","FQ3 2021","FQ3 2021","Currency=USD","Period=FQ","BEST_FPERIOD_OVERRIDE=FQ","FILING_STATUS=MR","SCALING_FORMAT=MLN","Sort=A","Dates=H","DateFormat=P","Fill=—","Direction=H","UseDPDF=Y")</f>
        <v>-47.906999999999996</v>
      </c>
      <c r="M43" s="13">
        <f>_xll.BDH("SRPT US Equity","IS_COMP_PTP_EX_STK_BASED_COMP","FQ4 2021","FQ4 2021","Currency=USD","Period=FQ","BEST_FPERIOD_OVERRIDE=FQ","FILING_STATUS=MR","SCALING_FORMAT=MLN","Sort=A","Dates=H","DateFormat=P","Fill=—","Direction=H","UseDPDF=Y")</f>
        <v>-121.889</v>
      </c>
      <c r="N43" s="13">
        <f>_xll.BDH("SRPT US Equity","IS_COMP_PTP_EX_STK_BASED_COMP","FQ1 2022","FQ1 2022","Currency=USD","Period=FQ","BEST_FPERIOD_OVERRIDE=FQ","FILING_STATUS=MR","SCALING_FORMAT=MLN","Sort=A","Dates=H","DateFormat=P","Fill=—","Direction=H","UseDPDF=Y")</f>
        <v>-104.146</v>
      </c>
      <c r="O43" s="13">
        <f>_xll.BDH("SRPT US Equity","IS_COMP_PTP_EX_STK_BASED_COMP","FQ2 2022","FQ2 2022","Currency=USD","Period=FQ","BEST_FPERIOD_OVERRIDE=FQ","FILING_STATUS=MR","SCALING_FORMAT=MLN","Sort=A","Dates=H","DateFormat=P","Fill=—","Direction=H","UseDPDF=Y")</f>
        <v>-125.20099999999999</v>
      </c>
      <c r="P43" s="13">
        <f>_xll.BDH("SRPT US Equity","IS_COMP_PTP_EX_STK_BASED_COMP","FQ3 2022","FQ3 2022","Currency=USD","Period=FQ","BEST_FPERIOD_OVERRIDE=FQ","FILING_STATUS=MR","SCALING_FORMAT=MLN","Sort=A","Dates=H","DateFormat=P","Fill=—","Direction=H","UseDPDF=Y")</f>
        <v>-256.41800000000001</v>
      </c>
      <c r="Q43" s="13">
        <f>_xll.BDH("SRPT US Equity","IS_COMP_PTP_EX_STK_BASED_COMP","FQ4 2022","FQ4 2022","Currency=USD","Period=FQ","BEST_FPERIOD_OVERRIDE=FQ","FILING_STATUS=MR","SCALING_FORMAT=MLN","Sort=A","Dates=H","DateFormat=P","Fill=—","Direction=H","UseDPDF=Y")</f>
        <v>-101.306</v>
      </c>
      <c r="R43" s="13">
        <f>_xll.BDH("SRPT US Equity","IS_COMP_PTP_EX_STK_BASED_COMP","FQ1 2023","FQ1 2023","Currency=USD","Period=FQ","BEST_FPERIOD_OVERRIDE=FQ","FILING_STATUS=MR","SCALING_FORMAT=MLN","Sort=A","Dates=H","DateFormat=P","Fill=—","Direction=H","UseDPDF=Y")</f>
        <v>-512.71</v>
      </c>
      <c r="S43" s="13">
        <f>_xll.BDH("SRPT US Equity","IS_COMP_PTP_EX_STK_BASED_COMP","FQ2 2023","FQ2 2023","Currency=USD","Period=FQ","BEST_FPERIOD_OVERRIDE=FQ","FILING_STATUS=MR","SCALING_FORMAT=MLN","Sort=A","Dates=H","DateFormat=P","Fill=—","Direction=H","UseDPDF=Y")</f>
        <v>-14.585000000000001</v>
      </c>
      <c r="T43" s="13">
        <f>_xll.BDH("SRPT US Equity","IS_COMP_PTP_EX_STK_BASED_COMP","FQ3 2023","FQ3 2023","Currency=USD","Period=FQ","BEST_FPERIOD_OVERRIDE=FQ","FILING_STATUS=MR","SCALING_FORMAT=MLN","Sort=A","Dates=H","DateFormat=P","Fill=—","Direction=H","UseDPDF=Y")</f>
        <v>-33.173999999999999</v>
      </c>
      <c r="U43" s="13">
        <f>_xll.BDH("SRPT US Equity","IS_COMP_PTP_EX_STK_BASED_COMP","FQ4 2023","FQ4 2023","Currency=USD","Period=FQ","BEST_FPERIOD_OVERRIDE=FQ","FILING_STATUS=MR","SCALING_FORMAT=MLN","Sort=A","Dates=H","DateFormat=P","Fill=—","Direction=H","UseDPDF=Y")</f>
        <v>40.371000000000002</v>
      </c>
      <c r="V43" s="13">
        <f>_xll.BDH("SRPT US Equity","IS_COMP_PTP_EX_STK_BASED_COMP","FQ1 2024","FQ1 2024","Currency=USD","Period=FQ","BEST_FPERIOD_OVERRIDE=FQ","FILING_STATUS=MR","SCALING_FORMAT=MLN","Sort=A","Dates=H","DateFormat=P","Fill=—","Direction=H","UseDPDF=Y")</f>
        <v>41.448</v>
      </c>
      <c r="W43" s="13">
        <f>_xll.BDH("SRPT US Equity","IS_COMP_PTP_EX_STK_BASED_COMP","FQ2 2024","FQ2 2024","Currency=USD","Period=FQ","BEST_FPERIOD_OVERRIDE=FQ","FILING_STATUS=MR","SCALING_FORMAT=MLN","Sort=A","Dates=H","DateFormat=P","Fill=—","Direction=H","UseDPDF=Y")</f>
        <v>64.058999999999997</v>
      </c>
      <c r="X43" s="13">
        <f>_xll.BDH("SRPT US Equity","IS_COMP_PTP_EX_STK_BASED_COMP","FQ3 2024","FQ3 2024","Currency=USD","Period=FQ","BEST_FPERIOD_OVERRIDE=FQ","FILING_STATUS=MR","SCALING_FORMAT=MLN","Sort=A","Dates=H","DateFormat=P","Fill=—","Direction=H","UseDPDF=Y")</f>
        <v>34.006</v>
      </c>
      <c r="Y43" s="13">
        <f>_xll.BDH("SRPT US Equity","IS_COMP_PTP_EX_STK_BASED_COMP","FQ4 2024","FQ4 2024","Currency=USD","Period=FQ","BEST_FPERIOD_OVERRIDE=FQ","FILING_STATUS=MR","SCALING_FORMAT=MLN","Sort=A","Dates=H","DateFormat=P","Fill=—","Direction=H","UseDPDF=Y")</f>
        <v>171.74299999999999</v>
      </c>
      <c r="Z43" s="13"/>
      <c r="AA43" s="13"/>
    </row>
    <row r="44" spans="1:27" x14ac:dyDescent="0.25">
      <c r="A44" s="11" t="s">
        <v>157</v>
      </c>
      <c r="B44" s="11"/>
      <c r="C44" s="25">
        <v>-253.55049276846299</v>
      </c>
      <c r="D44" s="25">
        <v>-28.411405295315699</v>
      </c>
      <c r="E44" s="25">
        <v>-74.8920841892173</v>
      </c>
      <c r="F44" s="25">
        <v>88.455354770130199</v>
      </c>
      <c r="G44" s="25">
        <v>-5.4412731264596097</v>
      </c>
      <c r="H44" s="25">
        <v>-45.573204266326698</v>
      </c>
      <c r="I44" s="25">
        <v>-12.7875862068966</v>
      </c>
      <c r="J44" s="25">
        <v>-2.18796618597713</v>
      </c>
      <c r="K44" s="25">
        <v>24.2551417454141</v>
      </c>
      <c r="L44" s="25">
        <v>68.111108892305893</v>
      </c>
      <c r="M44" s="25">
        <v>-14.3810292406441</v>
      </c>
      <c r="N44" s="25">
        <v>8.3020030816641004</v>
      </c>
      <c r="O44" s="25">
        <v>-25.684886814234801</v>
      </c>
      <c r="P44" s="25">
        <v>-98.738209466529199</v>
      </c>
      <c r="Q44" s="25">
        <v>7.2909135834103598</v>
      </c>
      <c r="R44" s="25">
        <v>-295.13089852570602</v>
      </c>
      <c r="S44" s="25">
        <v>90.778733869896996</v>
      </c>
      <c r="T44" s="25">
        <v>68.4972223541142</v>
      </c>
      <c r="U44" s="25">
        <v>241.98221092757299</v>
      </c>
      <c r="V44" s="25" t="s">
        <v>141</v>
      </c>
      <c r="W44" s="25" t="s">
        <v>141</v>
      </c>
      <c r="X44" s="25">
        <v>453.30296127562599</v>
      </c>
      <c r="Y44" s="25">
        <v>-5.6984092993119999</v>
      </c>
      <c r="Z44" s="25"/>
      <c r="AA44" s="25"/>
    </row>
    <row r="45" spans="1:27" x14ac:dyDescent="0.25">
      <c r="A45" s="10" t="s">
        <v>135</v>
      </c>
      <c r="B45" s="10" t="s">
        <v>158</v>
      </c>
      <c r="C45" s="13">
        <f>_xll.BDH("SRPT US Equity","PRETAX_INC","FQ2 2019","FQ2 2019","Currency=USD","Period=FQ","BEST_FPERIOD_OVERRIDE=FQ","FILING_STATUS=MR","SCALING_FORMAT=MLN","FA_ADJUSTED=GAAP","Sort=A","Dates=H","DateFormat=P","Fill=—","Direction=H","UseDPDF=Y")</f>
        <v>-276.22899999999998</v>
      </c>
      <c r="D45" s="13">
        <f>_xll.BDH("SRPT US Equity","PRETAX_INC","FQ3 2019","FQ3 2019","Currency=USD","Period=FQ","BEST_FPERIOD_OVERRIDE=FQ","FILING_STATUS=MR","SCALING_FORMAT=MLN","FA_ADJUSTED=GAAP","Sort=A","Dates=H","DateFormat=P","Fill=—","Direction=H","UseDPDF=Y")</f>
        <v>-126.1</v>
      </c>
      <c r="E45" s="13">
        <f>_xll.BDH("SRPT US Equity","PRETAX_INC","FQ4 2019","FQ4 2019","Currency=USD","Period=FQ","BEST_FPERIOD_OVERRIDE=FQ","FILING_STATUS=MR","SCALING_FORMAT=MLN","FA_ADJUSTED=GAAP","Sort=A","Dates=H","DateFormat=P","Fill=—","Direction=H","UseDPDF=Y")</f>
        <v>-234.99199999999999</v>
      </c>
      <c r="F45" s="13">
        <f>_xll.BDH("SRPT US Equity","PRETAX_INC","FQ1 2020","FQ1 2020","Currency=USD","Period=FQ","BEST_FPERIOD_OVERRIDE=FQ","FILING_STATUS=MR","SCALING_FORMAT=MLN","FA_ADJUSTED=GAAP","Sort=A","Dates=H","DateFormat=P","Fill=—","Direction=H","UseDPDF=Y")</f>
        <v>-17.376999999999999</v>
      </c>
      <c r="G45" s="13">
        <f>_xll.BDH("SRPT US Equity","PRETAX_INC","FQ2 2020","FQ2 2020","Currency=USD","Period=FQ","BEST_FPERIOD_OVERRIDE=FQ","FILING_STATUS=MR","SCALING_FORMAT=MLN","FA_ADJUSTED=GAAP","Sort=A","Dates=H","DateFormat=P","Fill=—","Direction=H","UseDPDF=Y")</f>
        <v>-150.80000000000001</v>
      </c>
      <c r="H45" s="13">
        <f>_xll.BDH("SRPT US Equity","PRETAX_INC","FQ3 2020","FQ3 2020","Currency=USD","Period=FQ","BEST_FPERIOD_OVERRIDE=FQ","FILING_STATUS=MR","SCALING_FORMAT=MLN","FA_ADJUSTED=GAAP","Sort=A","Dates=H","DateFormat=P","Fill=—","Direction=H","UseDPDF=Y")</f>
        <v>-196.40299999999999</v>
      </c>
      <c r="I45" s="13">
        <f>_xll.BDH("SRPT US Equity","PRETAX_INC","FQ4 2020","FQ4 2020","Currency=USD","Period=FQ","BEST_FPERIOD_OVERRIDE=FQ","FILING_STATUS=MR","SCALING_FORMAT=MLN","FA_ADJUSTED=GAAP","Sort=A","Dates=H","DateFormat=P","Fill=—","Direction=H","UseDPDF=Y")</f>
        <v>-188.48500000000001</v>
      </c>
      <c r="J45" s="13">
        <f>_xll.BDH("SRPT US Equity","PRETAX_INC","FQ1 2021","FQ1 2021","Currency=USD","Period=FQ","BEST_FPERIOD_OVERRIDE=FQ","FILING_STATUS=MR","SCALING_FORMAT=MLN","FA_ADJUSTED=GAAP","Sort=A","Dates=H","DateFormat=P","Fill=—","Direction=H","UseDPDF=Y")</f>
        <v>-167.393</v>
      </c>
      <c r="K45" s="13">
        <f>_xll.BDH("SRPT US Equity","PRETAX_INC","FQ2 2021","FQ2 2021","Currency=USD","Period=FQ","BEST_FPERIOD_OVERRIDE=FQ","FILING_STATUS=MR","SCALING_FORMAT=MLN","FA_ADJUSTED=GAAP","Sort=A","Dates=H","DateFormat=P","Fill=—","Direction=H","UseDPDF=Y")</f>
        <v>-81.759</v>
      </c>
      <c r="L45" s="13">
        <f>_xll.BDH("SRPT US Equity","PRETAX_INC","FQ3 2021","FQ3 2021","Currency=USD","Period=FQ","BEST_FPERIOD_OVERRIDE=FQ","FILING_STATUS=MR","SCALING_FORMAT=MLN","FA_ADJUSTED=GAAP","Sort=A","Dates=H","DateFormat=P","Fill=—","Direction=H","UseDPDF=Y")</f>
        <v>-47.906999999999996</v>
      </c>
      <c r="M45" s="13">
        <f>_xll.BDH("SRPT US Equity","PRETAX_INC","FQ4 2021","FQ4 2021","Currency=USD","Period=FQ","BEST_FPERIOD_OVERRIDE=FQ","FILING_STATUS=MR","SCALING_FORMAT=MLN","FA_ADJUSTED=GAAP","Sort=A","Dates=H","DateFormat=P","Fill=—","Direction=H","UseDPDF=Y")</f>
        <v>-121.889</v>
      </c>
      <c r="N45" s="13">
        <f>_xll.BDH("SRPT US Equity","PRETAX_INC","FQ1 2022","FQ1 2022","Currency=USD","Period=FQ","BEST_FPERIOD_OVERRIDE=FQ","FILING_STATUS=MR","SCALING_FORMAT=MLN","FA_ADJUSTED=GAAP","Sort=A","Dates=H","DateFormat=P","Fill=—","Direction=H","UseDPDF=Y")</f>
        <v>-104.146</v>
      </c>
      <c r="O45" s="13">
        <f>_xll.BDH("SRPT US Equity","PRETAX_INC","FQ2 2022","FQ2 2022","Currency=USD","Period=FQ","BEST_FPERIOD_OVERRIDE=FQ","FILING_STATUS=MR","SCALING_FORMAT=MLN","FA_ADJUSTED=GAAP","Sort=A","Dates=H","DateFormat=P","Fill=—","Direction=H","UseDPDF=Y")</f>
        <v>-228.09299999999999</v>
      </c>
      <c r="P45" s="13">
        <f>_xll.BDH("SRPT US Equity","PRETAX_INC","FQ3 2022","FQ3 2022","Currency=USD","Period=FQ","BEST_FPERIOD_OVERRIDE=FQ","FILING_STATUS=MR","SCALING_FORMAT=MLN","FA_ADJUSTED=GAAP","Sort=A","Dates=H","DateFormat=P","Fill=—","Direction=H","UseDPDF=Y")</f>
        <v>-256.41800000000001</v>
      </c>
      <c r="Q45" s="13">
        <f>_xll.BDH("SRPT US Equity","PRETAX_INC","FQ4 2022","FQ4 2022","Currency=USD","Period=FQ","BEST_FPERIOD_OVERRIDE=FQ","FILING_STATUS=MR","SCALING_FORMAT=MLN","FA_ADJUSTED=GAAP","Sort=A","Dates=H","DateFormat=P","Fill=—","Direction=H","UseDPDF=Y")</f>
        <v>-101.306</v>
      </c>
      <c r="R45" s="13">
        <f>_xll.BDH("SRPT US Equity","PRETAX_INC","FQ1 2023","FQ1 2023","Currency=USD","Period=FQ","BEST_FPERIOD_OVERRIDE=FQ","FILING_STATUS=MR","SCALING_FORMAT=MLN","FA_ADJUSTED=GAAP","Sort=A","Dates=H","DateFormat=P","Fill=—","Direction=H","UseDPDF=Y")</f>
        <v>-512.71</v>
      </c>
      <c r="S45" s="13">
        <f>_xll.BDH("SRPT US Equity","PRETAX_INC","FQ2 2023","FQ2 2023","Currency=USD","Period=FQ","BEST_FPERIOD_OVERRIDE=FQ","FILING_STATUS=MR","SCALING_FORMAT=MLN","FA_ADJUSTED=GAAP","Sort=A","Dates=H","DateFormat=P","Fill=—","Direction=H","UseDPDF=Y")</f>
        <v>-14.585000000000001</v>
      </c>
      <c r="T45" s="13">
        <f>_xll.BDH("SRPT US Equity","PRETAX_INC","FQ3 2023","FQ3 2023","Currency=USD","Period=FQ","BEST_FPERIOD_OVERRIDE=FQ","FILING_STATUS=MR","SCALING_FORMAT=MLN","FA_ADJUSTED=GAAP","Sort=A","Dates=H","DateFormat=P","Fill=—","Direction=H","UseDPDF=Y")</f>
        <v>-33.173999999999999</v>
      </c>
      <c r="U45" s="13">
        <f>_xll.BDH("SRPT US Equity","PRETAX_INC","FQ4 2023","FQ4 2023","Currency=USD","Period=FQ","BEST_FPERIOD_OVERRIDE=FQ","FILING_STATUS=MR","SCALING_FORMAT=MLN","FA_ADJUSTED=GAAP","Sort=A","Dates=H","DateFormat=P","Fill=—","Direction=H","UseDPDF=Y")</f>
        <v>40.371000000000002</v>
      </c>
      <c r="V45" s="13">
        <f>_xll.BDH("SRPT US Equity","PRETAX_INC","FQ1 2024","FQ1 2024","Currency=USD","Period=FQ","BEST_FPERIOD_OVERRIDE=FQ","FILING_STATUS=MR","SCALING_FORMAT=MLN","FA_ADJUSTED=GAAP","Sort=A","Dates=H","DateFormat=P","Fill=—","Direction=H","UseDPDF=Y")</f>
        <v>41.448</v>
      </c>
      <c r="W45" s="13">
        <f>_xll.BDH("SRPT US Equity","PRETAX_INC","FQ2 2024","FQ2 2024","Currency=USD","Period=FQ","BEST_FPERIOD_OVERRIDE=FQ","FILING_STATUS=MR","SCALING_FORMAT=MLN","FA_ADJUSTED=GAAP","Sort=A","Dates=H","DateFormat=P","Fill=—","Direction=H","UseDPDF=Y")</f>
        <v>13.577</v>
      </c>
      <c r="X45" s="13">
        <f>_xll.BDH("SRPT US Equity","PRETAX_INC","FQ3 2024","FQ3 2024","Currency=USD","Period=FQ","BEST_FPERIOD_OVERRIDE=FQ","FILING_STATUS=MR","SCALING_FORMAT=MLN","FA_ADJUSTED=GAAP","Sort=A","Dates=H","DateFormat=P","Fill=—","Direction=H","UseDPDF=Y")</f>
        <v>34.006</v>
      </c>
      <c r="Y45" s="13">
        <f>_xll.BDH("SRPT US Equity","PRETAX_INC","FQ4 2024","FQ4 2024","Currency=USD","Period=FQ","BEST_FPERIOD_OVERRIDE=FQ","FILING_STATUS=MR","SCALING_FORMAT=MLN","FA_ADJUSTED=GAAP","Sort=A","Dates=H","DateFormat=P","Fill=—","Direction=H","UseDPDF=Y")</f>
        <v>171.74299999999999</v>
      </c>
      <c r="Z45" s="13"/>
      <c r="AA45" s="13"/>
    </row>
    <row r="46" spans="1:27" x14ac:dyDescent="0.25">
      <c r="A46" s="10" t="s">
        <v>136</v>
      </c>
      <c r="B46" s="10" t="s">
        <v>158</v>
      </c>
      <c r="C46" s="13">
        <f>_xll.BDH("SRPT US Equity","PRETAX_INC","FQ2 2019","FQ2 2019","Currency=USD","Period=FQ","BEST_FPERIOD_OVERRIDE=FQ","FILING_STATUS=MR","SCALING_FORMAT=MLN","FA_ADJUSTED=Adjusted","Sort=A","Dates=H","DateFormat=P","Fill=—","Direction=H","UseDPDF=Y")</f>
        <v>-87.911000000000001</v>
      </c>
      <c r="D46" s="13">
        <f>_xll.BDH("SRPT US Equity","PRETAX_INC","FQ3 2019","FQ3 2019","Currency=USD","Period=FQ","BEST_FPERIOD_OVERRIDE=FQ","FILING_STATUS=MR","SCALING_FORMAT=MLN","FA_ADJUSTED=Adjusted","Sort=A","Dates=H","DateFormat=P","Fill=—","Direction=H","UseDPDF=Y")</f>
        <v>-113.95399999999999</v>
      </c>
      <c r="E46" s="13">
        <f>_xll.BDH("SRPT US Equity","PRETAX_INC","FQ4 2019","FQ4 2019","Currency=USD","Period=FQ","BEST_FPERIOD_OVERRIDE=FQ","FILING_STATUS=MR","SCALING_FORMAT=MLN","FA_ADJUSTED=Adjusted","Sort=A","Dates=H","DateFormat=P","Fill=—","Direction=H","UseDPDF=Y")</f>
        <v>-150.17599999999999</v>
      </c>
      <c r="F46" s="13">
        <f>_xll.BDH("SRPT US Equity","PRETAX_INC","FQ1 2020","FQ1 2020","Currency=USD","Period=FQ","BEST_FPERIOD_OVERRIDE=FQ","FILING_STATUS=MR","SCALING_FORMAT=MLN","FA_ADJUSTED=Adjusted","Sort=A","Dates=H","DateFormat=P","Fill=—","Direction=H","UseDPDF=Y")</f>
        <v>-114.154</v>
      </c>
      <c r="G46" s="13">
        <f>_xll.BDH("SRPT US Equity","PRETAX_INC","FQ2 2020","FQ2 2020","Currency=USD","Period=FQ","BEST_FPERIOD_OVERRIDE=FQ","FILING_STATUS=MR","SCALING_FORMAT=MLN","FA_ADJUSTED=Adjusted","Sort=A","Dates=H","DateFormat=P","Fill=—","Direction=H","UseDPDF=Y")</f>
        <v>-150.80000000000001</v>
      </c>
      <c r="H46" s="13">
        <f>_xll.BDH("SRPT US Equity","PRETAX_INC","FQ3 2020","FQ3 2020","Currency=USD","Period=FQ","BEST_FPERIOD_OVERRIDE=FQ","FILING_STATUS=MR","SCALING_FORMAT=MLN","FA_ADJUSTED=Adjusted","Sort=A","Dates=H","DateFormat=P","Fill=—","Direction=H","UseDPDF=Y")</f>
        <v>-136.02799999999999</v>
      </c>
      <c r="I46" s="13">
        <f>_xll.BDH("SRPT US Equity","PRETAX_INC","FQ4 2020","FQ4 2020","Currency=USD","Period=FQ","BEST_FPERIOD_OVERRIDE=FQ","FILING_STATUS=MR","SCALING_FORMAT=MLN","FA_ADJUSTED=Adjusted","Sort=A","Dates=H","DateFormat=P","Fill=—","Direction=H","UseDPDF=Y")</f>
        <v>-177.863</v>
      </c>
      <c r="J46" s="13">
        <f>_xll.BDH("SRPT US Equity","PRETAX_INC","FQ1 2021","FQ1 2021","Currency=USD","Period=FQ","BEST_FPERIOD_OVERRIDE=FQ","FILING_STATUS=MR","SCALING_FORMAT=MLN","FA_ADJUSTED=Adjusted","Sort=A","Dates=H","DateFormat=P","Fill=—","Direction=H","UseDPDF=Y")</f>
        <v>-153.393</v>
      </c>
      <c r="K46" s="13">
        <f>_xll.BDH("SRPT US Equity","PRETAX_INC","FQ2 2021","FQ2 2021","Currency=USD","Period=FQ","BEST_FPERIOD_OVERRIDE=FQ","FILING_STATUS=MR","SCALING_FORMAT=MLN","FA_ADJUSTED=Adjusted","Sort=A","Dates=H","DateFormat=P","Fill=—","Direction=H","UseDPDF=Y")</f>
        <v>-254.08199999999999</v>
      </c>
      <c r="L46" s="13">
        <f>_xll.BDH("SRPT US Equity","PRETAX_INC","FQ3 2021","FQ3 2021","Currency=USD","Period=FQ","BEST_FPERIOD_OVERRIDE=FQ","FILING_STATUS=MR","SCALING_FORMAT=MLN","FA_ADJUSTED=Adjusted","Sort=A","Dates=H","DateFormat=P","Fill=—","Direction=H","UseDPDF=Y")</f>
        <v>-43.418999999999997</v>
      </c>
      <c r="M46" s="13">
        <f>_xll.BDH("SRPT US Equity","PRETAX_INC","FQ4 2021","FQ4 2021","Currency=USD","Period=FQ","BEST_FPERIOD_OVERRIDE=FQ","FILING_STATUS=MR","SCALING_FORMAT=MLN","FA_ADJUSTED=Adjusted","Sort=A","Dates=H","DateFormat=P","Fill=—","Direction=H","UseDPDF=Y")</f>
        <v>-121.889</v>
      </c>
      <c r="N46" s="13">
        <f>_xll.BDH("SRPT US Equity","PRETAX_INC","FQ1 2022","FQ1 2022","Currency=USD","Period=FQ","BEST_FPERIOD_OVERRIDE=FQ","FILING_STATUS=MR","SCALING_FORMAT=MLN","FA_ADJUSTED=Adjusted","Sort=A","Dates=H","DateFormat=P","Fill=—","Direction=H","UseDPDF=Y")</f>
        <v>-104.146</v>
      </c>
      <c r="O46" s="13">
        <f>_xll.BDH("SRPT US Equity","PRETAX_INC","FQ2 2022","FQ2 2022","Currency=USD","Period=FQ","BEST_FPERIOD_OVERRIDE=FQ","FILING_STATUS=MR","SCALING_FORMAT=MLN","FA_ADJUSTED=Adjusted","Sort=A","Dates=H","DateFormat=P","Fill=—","Direction=H","UseDPDF=Y")</f>
        <v>-228.09299999999999</v>
      </c>
      <c r="P46" s="13">
        <f>_xll.BDH("SRPT US Equity","PRETAX_INC","FQ3 2022","FQ3 2022","Currency=USD","Period=FQ","BEST_FPERIOD_OVERRIDE=FQ","FILING_STATUS=MR","SCALING_FORMAT=MLN","FA_ADJUSTED=Adjusted","Sort=A","Dates=H","DateFormat=P","Fill=—","Direction=H","UseDPDF=Y")</f>
        <v>-137.67699999999999</v>
      </c>
      <c r="Q46" s="13">
        <f>_xll.BDH("SRPT US Equity","PRETAX_INC","FQ4 2022","FQ4 2022","Currency=USD","Period=FQ","BEST_FPERIOD_OVERRIDE=FQ","FILING_STATUS=MR","SCALING_FORMAT=MLN","FA_ADJUSTED=Adjusted","Sort=A","Dates=H","DateFormat=P","Fill=—","Direction=H","UseDPDF=Y")</f>
        <v>-98.730999999999995</v>
      </c>
      <c r="R46" s="13">
        <f>_xll.BDH("SRPT US Equity","PRETAX_INC","FQ1 2023","FQ1 2023","Currency=USD","Period=FQ","BEST_FPERIOD_OVERRIDE=FQ","FILING_STATUS=MR","SCALING_FORMAT=MLN","FA_ADJUSTED=Adjusted","Sort=A","Dates=H","DateFormat=P","Fill=—","Direction=H","UseDPDF=Y")</f>
        <v>-125.381</v>
      </c>
      <c r="S46" s="13">
        <f>_xll.BDH("SRPT US Equity","PRETAX_INC","FQ2 2023","FQ2 2023","Currency=USD","Period=FQ","BEST_FPERIOD_OVERRIDE=FQ","FILING_STATUS=MR","SCALING_FORMAT=MLN","FA_ADJUSTED=Adjusted","Sort=A","Dates=H","DateFormat=P","Fill=—","Direction=H","UseDPDF=Y")</f>
        <v>-117.38500000000001</v>
      </c>
      <c r="T46" s="13">
        <f>_xll.BDH("SRPT US Equity","PRETAX_INC","FQ3 2023","FQ3 2023","Currency=USD","Period=FQ","BEST_FPERIOD_OVERRIDE=FQ","FILING_STATUS=MR","SCALING_FORMAT=MLN","FA_ADJUSTED=Adjusted","Sort=A","Dates=H","DateFormat=P","Fill=—","Direction=H","UseDPDF=Y")</f>
        <v>-31.173999999999999</v>
      </c>
      <c r="U46" s="13">
        <f>_xll.BDH("SRPT US Equity","PRETAX_INC","FQ4 2023","FQ4 2023","Currency=USD","Period=FQ","BEST_FPERIOD_OVERRIDE=FQ","FILING_STATUS=MR","SCALING_FORMAT=MLN","FA_ADJUSTED=Adjusted","Sort=A","Dates=H","DateFormat=P","Fill=—","Direction=H","UseDPDF=Y")</f>
        <v>40.371000000000002</v>
      </c>
      <c r="V46" s="13">
        <f>_xll.BDH("SRPT US Equity","PRETAX_INC","FQ1 2024","FQ1 2024","Currency=USD","Period=FQ","BEST_FPERIOD_OVERRIDE=FQ","FILING_STATUS=MR","SCALING_FORMAT=MLN","FA_ADJUSTED=Adjusted","Sort=A","Dates=H","DateFormat=P","Fill=—","Direction=H","UseDPDF=Y")</f>
        <v>51.548000000000002</v>
      </c>
      <c r="W46" s="13">
        <f>_xll.BDH("SRPT US Equity","PRETAX_INC","FQ2 2024","FQ2 2024","Currency=USD","Period=FQ","BEST_FPERIOD_OVERRIDE=FQ","FILING_STATUS=MR","SCALING_FORMAT=MLN","FA_ADJUSTED=Adjusted","Sort=A","Dates=H","DateFormat=P","Fill=—","Direction=H","UseDPDF=Y")</f>
        <v>13.577</v>
      </c>
      <c r="X46" s="13">
        <f>_xll.BDH("SRPT US Equity","PRETAX_INC","FQ3 2024","FQ3 2024","Currency=USD","Period=FQ","BEST_FPERIOD_OVERRIDE=FQ","FILING_STATUS=MR","SCALING_FORMAT=MLN","FA_ADJUSTED=Adjusted","Sort=A","Dates=H","DateFormat=P","Fill=—","Direction=H","UseDPDF=Y")</f>
        <v>32.470999999999997</v>
      </c>
      <c r="Y46" s="13">
        <f>_xll.BDH("SRPT US Equity","PRETAX_INC","FQ4 2024","FQ4 2024","Currency=USD","Period=FQ","BEST_FPERIOD_OVERRIDE=FQ","FILING_STATUS=MR","SCALING_FORMAT=MLN","FA_ADJUSTED=Adjusted","Sort=A","Dates=H","DateFormat=P","Fill=—","Direction=H","UseDPDF=Y")</f>
        <v>171.01599999999999</v>
      </c>
      <c r="Z46" s="13"/>
      <c r="AA46" s="13"/>
    </row>
    <row r="47" spans="1:27" x14ac:dyDescent="0.25">
      <c r="A47" s="10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25">
      <c r="A48" s="6" t="s">
        <v>159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x14ac:dyDescent="0.25">
      <c r="A49" s="10" t="s">
        <v>130</v>
      </c>
      <c r="B49" s="10" t="s">
        <v>160</v>
      </c>
      <c r="C49" s="13">
        <f>_xll.BDH("SRPT US Equity","BEST_NET_GAAP","FQ2 2019","FQ2 2019","Currency=USD","Period=FQ","BEST_FPERIOD_OVERRIDE=FQ","FILING_STATUS=MR","Sort=A","Dates=H","DateFormat=P","Fill=—","Direction=H","UseDPDF=Y")</f>
        <v>-77.900000000000006</v>
      </c>
      <c r="D49" s="13">
        <f>_xll.BDH("SRPT US Equity","BEST_NET_GAAP","FQ3 2019","FQ3 2019","Currency=USD","Period=FQ","BEST_FPERIOD_OVERRIDE=FQ","FILING_STATUS=MR","Sort=A","Dates=H","DateFormat=P","Fill=—","Direction=H","UseDPDF=Y")</f>
        <v>-97.308000000000007</v>
      </c>
      <c r="E49" s="13">
        <f>_xll.BDH("SRPT US Equity","BEST_NET_GAAP","FQ4 2019","FQ4 2019","Currency=USD","Period=FQ","BEST_FPERIOD_OVERRIDE=FQ","FILING_STATUS=MR","Sort=A","Dates=H","DateFormat=P","Fill=—","Direction=H","UseDPDF=Y")</f>
        <v>-134.364</v>
      </c>
      <c r="F49" s="13">
        <f>_xll.BDH("SRPT US Equity","BEST_NET_GAAP","FQ1 2020","FQ1 2020","Currency=USD","Period=FQ","BEST_FPERIOD_OVERRIDE=FQ","FILING_STATUS=MR","Sort=A","Dates=H","DateFormat=P","Fill=—","Direction=H","UseDPDF=Y")</f>
        <v>-148.62</v>
      </c>
      <c r="G49" s="13">
        <f>_xll.BDH("SRPT US Equity","BEST_NET_GAAP","FQ2 2020","FQ2 2020","Currency=USD","Period=FQ","BEST_FPERIOD_OVERRIDE=FQ","FILING_STATUS=MR","Sort=A","Dates=H","DateFormat=P","Fill=—","Direction=H","UseDPDF=Y")</f>
        <v>-148.65600000000001</v>
      </c>
      <c r="H49" s="13">
        <f>_xll.BDH("SRPT US Equity","BEST_NET_GAAP","FQ3 2020","FQ3 2020","Currency=USD","Period=FQ","BEST_FPERIOD_OVERRIDE=FQ","FILING_STATUS=MR","Sort=A","Dates=H","DateFormat=P","Fill=—","Direction=H","UseDPDF=Y")</f>
        <v>-139.035</v>
      </c>
      <c r="I49" s="13">
        <f>_xll.BDH("SRPT US Equity","BEST_NET_GAAP","FQ4 2020","FQ4 2020","Currency=USD","Period=FQ","BEST_FPERIOD_OVERRIDE=FQ","FILING_STATUS=MR","Sort=A","Dates=H","DateFormat=P","Fill=—","Direction=H","UseDPDF=Y")</f>
        <v>-145.982</v>
      </c>
      <c r="J49" s="13">
        <f>_xll.BDH("SRPT US Equity","BEST_NET_GAAP","FQ1 2021","FQ1 2021","Currency=USD","Period=FQ","BEST_FPERIOD_OVERRIDE=FQ","FILING_STATUS=MR","Sort=A","Dates=H","DateFormat=P","Fill=—","Direction=H","UseDPDF=Y")</f>
        <v>-149.667</v>
      </c>
      <c r="K49" s="13">
        <f>_xll.BDH("SRPT US Equity","BEST_NET_GAAP","FQ2 2021","FQ2 2021","Currency=USD","Period=FQ","BEST_FPERIOD_OVERRIDE=FQ","FILING_STATUS=MR","Sort=A","Dates=H","DateFormat=P","Fill=—","Direction=H","UseDPDF=Y")</f>
        <v>-105.09399999999999</v>
      </c>
      <c r="L49" s="13">
        <f>_xll.BDH("SRPT US Equity","BEST_NET_GAAP","FQ3 2021","FQ3 2021","Currency=USD","Period=FQ","BEST_FPERIOD_OVERRIDE=FQ","FILING_STATUS=MR","Sort=A","Dates=H","DateFormat=P","Fill=—","Direction=H","UseDPDF=Y")</f>
        <v>-150.93299999999999</v>
      </c>
      <c r="M49" s="13">
        <f>_xll.BDH("SRPT US Equity","BEST_NET_GAAP","FQ4 2021","FQ4 2021","Currency=USD","Period=FQ","BEST_FPERIOD_OVERRIDE=FQ","FILING_STATUS=MR","Sort=A","Dates=H","DateFormat=P","Fill=—","Direction=H","UseDPDF=Y")</f>
        <v>-128.49199999999999</v>
      </c>
      <c r="N49" s="13">
        <f>_xll.BDH("SRPT US Equity","BEST_NET_GAAP","FQ1 2022","FQ1 2022","Currency=USD","Period=FQ","BEST_FPERIOD_OVERRIDE=FQ","FILING_STATUS=MR","Sort=A","Dates=H","DateFormat=P","Fill=—","Direction=H","UseDPDF=Y")</f>
        <v>-110.654</v>
      </c>
      <c r="O49" s="13">
        <f>_xll.BDH("SRPT US Equity","BEST_NET_GAAP","FQ2 2022","FQ2 2022","Currency=USD","Period=FQ","BEST_FPERIOD_OVERRIDE=FQ","FILING_STATUS=MR","Sort=A","Dates=H","DateFormat=P","Fill=—","Direction=H","UseDPDF=Y")</f>
        <v>-95.387</v>
      </c>
      <c r="P49" s="13">
        <f>_xll.BDH("SRPT US Equity","BEST_NET_GAAP","FQ3 2022","FQ3 2022","Currency=USD","Period=FQ","BEST_FPERIOD_OVERRIDE=FQ","FILING_STATUS=MR","Sort=A","Dates=H","DateFormat=P","Fill=—","Direction=H","UseDPDF=Y")</f>
        <v>-118.256</v>
      </c>
      <c r="Q49" s="13">
        <f>_xll.BDH("SRPT US Equity","BEST_NET_GAAP","FQ4 2022","FQ4 2022","Currency=USD","Period=FQ","BEST_FPERIOD_OVERRIDE=FQ","FILING_STATUS=MR","Sort=A","Dates=H","DateFormat=P","Fill=—","Direction=H","UseDPDF=Y")</f>
        <v>-110.08799999999999</v>
      </c>
      <c r="R49" s="13">
        <f>_xll.BDH("SRPT US Equity","BEST_NET_GAAP","FQ1 2023","FQ1 2023","Currency=USD","Period=FQ","BEST_FPERIOD_OVERRIDE=FQ","FILING_STATUS=MR","Sort=A","Dates=H","DateFormat=P","Fill=—","Direction=H","UseDPDF=Y")</f>
        <v>-121.3</v>
      </c>
      <c r="S49" s="13">
        <f>_xll.BDH("SRPT US Equity","BEST_NET_GAAP","FQ2 2023","FQ2 2023","Currency=USD","Period=FQ","BEST_FPERIOD_OVERRIDE=FQ","FILING_STATUS=MR","Sort=A","Dates=H","DateFormat=P","Fill=—","Direction=H","UseDPDF=Y")</f>
        <v>-149.21899999999999</v>
      </c>
      <c r="T49" s="13">
        <f>_xll.BDH("SRPT US Equity","BEST_NET_GAAP","FQ3 2023","FQ3 2023","Currency=USD","Period=FQ","BEST_FPERIOD_OVERRIDE=FQ","FILING_STATUS=MR","Sort=A","Dates=H","DateFormat=P","Fill=—","Direction=H","UseDPDF=Y")</f>
        <v>-112.176</v>
      </c>
      <c r="U49" s="13">
        <f>_xll.BDH("SRPT US Equity","BEST_NET_GAAP","FQ4 2023","FQ4 2023","Currency=USD","Period=FQ","BEST_FPERIOD_OVERRIDE=FQ","FILING_STATUS=MR","Sort=A","Dates=H","DateFormat=P","Fill=—","Direction=H","UseDPDF=Y")</f>
        <v>-13.483000000000001</v>
      </c>
      <c r="V49" s="13">
        <f>_xll.BDH("SRPT US Equity","BEST_NET_GAAP","FQ1 2024","FQ1 2024","Currency=USD","Period=FQ","BEST_FPERIOD_OVERRIDE=FQ","FILING_STATUS=MR","Sort=A","Dates=H","DateFormat=P","Fill=—","Direction=H","UseDPDF=Y")</f>
        <v>-11.257</v>
      </c>
      <c r="W49" s="13">
        <f>_xll.BDH("SRPT US Equity","BEST_NET_GAAP","FQ2 2024","FQ2 2024","Currency=USD","Period=FQ","BEST_FPERIOD_OVERRIDE=FQ","FILING_STATUS=MR","Sort=A","Dates=H","DateFormat=P","Fill=—","Direction=H","UseDPDF=Y")</f>
        <v>-6.0259999999999998</v>
      </c>
      <c r="X49" s="13">
        <f>_xll.BDH("SRPT US Equity","BEST_NET_GAAP","FQ3 2024","FQ3 2024","Currency=USD","Period=FQ","BEST_FPERIOD_OVERRIDE=FQ","FILING_STATUS=MR","Sort=A","Dates=H","DateFormat=P","Fill=—","Direction=H","UseDPDF=Y")</f>
        <v>-6.6479999999999997</v>
      </c>
      <c r="Y49" s="13">
        <f>_xll.BDH("SRPT US Equity","BEST_NET_GAAP","FQ4 2024","FQ4 2024","Currency=USD","Period=FQ","BEST_FPERIOD_OVERRIDE=FQ","FILING_STATUS=MR","Sort=A","Dates=H","DateFormat=P","Fill=—","Direction=H","UseDPDF=Y")</f>
        <v>173.40600000000001</v>
      </c>
      <c r="Z49" s="13">
        <v>107.06699999999999</v>
      </c>
      <c r="AA49" s="13">
        <v>262.16699999999997</v>
      </c>
    </row>
    <row r="50" spans="1:27" x14ac:dyDescent="0.25">
      <c r="A50" s="10" t="s">
        <v>132</v>
      </c>
      <c r="B50" s="10" t="s">
        <v>161</v>
      </c>
      <c r="C50" s="13">
        <f>_xll.BDH("SRPT US Equity","IS_COMP_NET_INCOME_GAAP","FQ2 2019","FQ2 2019","Currency=USD","Period=FQ","BEST_FPERIOD_OVERRIDE=FQ","FILING_STATUS=MR","SCALING_FORMAT=MLN","Sort=A","Dates=H","DateFormat=P","Fill=—","Direction=H","UseDPDF=Y")</f>
        <v>-276.40300000000002</v>
      </c>
      <c r="D50" s="13">
        <f>_xll.BDH("SRPT US Equity","IS_COMP_NET_INCOME_GAAP","FQ3 2019","FQ3 2019","Currency=USD","Period=FQ","BEST_FPERIOD_OVERRIDE=FQ","FILING_STATUS=MR","SCALING_FORMAT=MLN","Sort=A","Dates=H","DateFormat=P","Fill=—","Direction=H","UseDPDF=Y")</f>
        <v>-126.32599999999999</v>
      </c>
      <c r="E50" s="13">
        <f>_xll.BDH("SRPT US Equity","IS_COMP_NET_INCOME_GAAP","FQ4 2019","FQ4 2019","Currency=USD","Period=FQ","BEST_FPERIOD_OVERRIDE=FQ","FILING_STATUS=MR","SCALING_FORMAT=MLN","Sort=A","Dates=H","DateFormat=P","Fill=—","Direction=H","UseDPDF=Y")</f>
        <v>-235.703</v>
      </c>
      <c r="F50" s="13">
        <f>_xll.BDH("SRPT US Equity","IS_COMP_NET_INCOME_GAAP","FQ1 2020","FQ1 2020","Currency=USD","Period=FQ","BEST_FPERIOD_OVERRIDE=FQ","FILING_STATUS=MR","SCALING_FORMAT=MLN","Sort=A","Dates=H","DateFormat=P","Fill=—","Direction=H","UseDPDF=Y")</f>
        <v>-17.492000000000001</v>
      </c>
      <c r="G50" s="13">
        <f>_xll.BDH("SRPT US Equity","IS_COMP_NET_INCOME_GAAP","FQ2 2020","FQ2 2020","Currency=USD","Period=FQ","BEST_FPERIOD_OVERRIDE=FQ","FILING_STATUS=MR","SCALING_FORMAT=MLN","Sort=A","Dates=H","DateFormat=P","Fill=—","Direction=H","UseDPDF=Y")</f>
        <v>-150.82</v>
      </c>
      <c r="H50" s="13">
        <f>_xll.BDH("SRPT US Equity","IS_COMP_NET_INCOME_GAAP","FQ3 2020","FQ3 2020","Currency=USD","Period=FQ","BEST_FPERIOD_OVERRIDE=FQ","FILING_STATUS=MR","SCALING_FORMAT=MLN","Sort=A","Dates=H","DateFormat=P","Fill=—","Direction=H","UseDPDF=Y")</f>
        <v>-196.499</v>
      </c>
      <c r="I50" s="13">
        <f>_xll.BDH("SRPT US Equity","IS_COMP_NET_INCOME_GAAP","FQ4 2020","FQ4 2020","Currency=USD","Period=FQ","BEST_FPERIOD_OVERRIDE=FQ","FILING_STATUS=MR","SCALING_FORMAT=MLN","Sort=A","Dates=H","DateFormat=P","Fill=—","Direction=H","UseDPDF=Y")</f>
        <v>-189.31700000000001</v>
      </c>
      <c r="J50" s="13">
        <f>_xll.BDH("SRPT US Equity","IS_COMP_NET_INCOME_GAAP","FQ1 2021","FQ1 2021","Currency=USD","Period=FQ","BEST_FPERIOD_OVERRIDE=FQ","FILING_STATUS=MR","SCALING_FORMAT=MLN","Sort=A","Dates=H","DateFormat=P","Fill=—","Direction=H","UseDPDF=Y")</f>
        <v>-167.25</v>
      </c>
      <c r="K50" s="13">
        <f>_xll.BDH("SRPT US Equity","IS_COMP_NET_INCOME_GAAP","FQ2 2021","FQ2 2021","Currency=USD","Period=FQ","BEST_FPERIOD_OVERRIDE=FQ","FILING_STATUS=MR","SCALING_FORMAT=MLN","Sort=A","Dates=H","DateFormat=P","Fill=—","Direction=H","UseDPDF=Y")</f>
        <v>-81.405000000000001</v>
      </c>
      <c r="L50" s="13">
        <f>_xll.BDH("SRPT US Equity","IS_COMP_NET_INCOME_GAAP","FQ3 2021","FQ3 2021","Currency=USD","Period=FQ","BEST_FPERIOD_OVERRIDE=FQ","FILING_STATUS=MR","SCALING_FORMAT=MLN","Sort=A","Dates=H","DateFormat=P","Fill=—","Direction=H","UseDPDF=Y")</f>
        <v>-48.143999999999998</v>
      </c>
      <c r="M50" s="13">
        <f>_xll.BDH("SRPT US Equity","IS_COMP_NET_INCOME_GAAP","FQ4 2021","FQ4 2021","Currency=USD","Period=FQ","BEST_FPERIOD_OVERRIDE=FQ","FILING_STATUS=MR","SCALING_FORMAT=MLN","Sort=A","Dates=H","DateFormat=P","Fill=—","Direction=H","UseDPDF=Y")</f>
        <v>-121.98099999999999</v>
      </c>
      <c r="N50" s="13">
        <f>_xll.BDH("SRPT US Equity","IS_COMP_NET_INCOME_GAAP","FQ1 2022","FQ1 2022","Currency=USD","Period=FQ","BEST_FPERIOD_OVERRIDE=FQ","FILING_STATUS=MR","SCALING_FORMAT=MLN","Sort=A","Dates=H","DateFormat=P","Fill=—","Direction=H","UseDPDF=Y")</f>
        <v>-105.02500000000001</v>
      </c>
      <c r="O50" s="13">
        <f>_xll.BDH("SRPT US Equity","IS_COMP_NET_INCOME_GAAP","FQ2 2022","FQ2 2022","Currency=USD","Period=FQ","BEST_FPERIOD_OVERRIDE=FQ","FILING_STATUS=MR","SCALING_FORMAT=MLN","Sort=A","Dates=H","DateFormat=P","Fill=—","Direction=H","UseDPDF=Y")</f>
        <v>-231.48099999999999</v>
      </c>
      <c r="P50" s="13">
        <f>_xll.BDH("SRPT US Equity","IS_COMP_NET_INCOME_GAAP","FQ3 2022","FQ3 2022","Currency=USD","Period=FQ","BEST_FPERIOD_OVERRIDE=FQ","FILING_STATUS=MR","SCALING_FORMAT=MLN","Sort=A","Dates=H","DateFormat=P","Fill=—","Direction=H","UseDPDF=Y")</f>
        <v>-257.738</v>
      </c>
      <c r="Q50" s="13">
        <f>_xll.BDH("SRPT US Equity","IS_COMP_NET_INCOME_GAAP","FQ4 2022","FQ4 2022","Currency=USD","Period=FQ","BEST_FPERIOD_OVERRIDE=FQ","FILING_STATUS=MR","SCALING_FORMAT=MLN","Sort=A","Dates=H","DateFormat=P","Fill=—","Direction=H","UseDPDF=Y")</f>
        <v>-109.244</v>
      </c>
      <c r="R50" s="13">
        <f>_xll.BDH("SRPT US Equity","IS_COMP_NET_INCOME_GAAP","FQ1 2023","FQ1 2023","Currency=USD","Period=FQ","BEST_FPERIOD_OVERRIDE=FQ","FILING_STATUS=MR","SCALING_FORMAT=MLN","Sort=A","Dates=H","DateFormat=P","Fill=—","Direction=H","UseDPDF=Y")</f>
        <v>-516.755</v>
      </c>
      <c r="S50" s="13">
        <f>_xll.BDH("SRPT US Equity","IS_COMP_NET_INCOME_GAAP","FQ2 2023","FQ2 2023","Currency=USD","Period=FQ","BEST_FPERIOD_OVERRIDE=FQ","FILING_STATUS=MR","SCALING_FORMAT=MLN","Sort=A","Dates=H","DateFormat=P","Fill=—","Direction=H","UseDPDF=Y")</f>
        <v>-23.94</v>
      </c>
      <c r="T50" s="13">
        <f>_xll.BDH("SRPT US Equity","IS_COMP_NET_INCOME_GAAP","FQ3 2023","FQ3 2023","Currency=USD","Period=FQ","BEST_FPERIOD_OVERRIDE=FQ","FILING_STATUS=MR","SCALING_FORMAT=MLN","Sort=A","Dates=H","DateFormat=P","Fill=—","Direction=H","UseDPDF=Y")</f>
        <v>-40.936999999999998</v>
      </c>
      <c r="U50" s="13">
        <f>_xll.BDH("SRPT US Equity","IS_COMP_NET_INCOME_GAAP","FQ4 2023","FQ4 2023","Currency=USD","Period=FQ","BEST_FPERIOD_OVERRIDE=FQ","FILING_STATUS=MR","SCALING_FORMAT=MLN","Sort=A","Dates=H","DateFormat=P","Fill=—","Direction=H","UseDPDF=Y")</f>
        <v>45.655000000000001</v>
      </c>
      <c r="V50" s="13">
        <f>_xll.BDH("SRPT US Equity","IS_COMP_NET_INCOME_GAAP","FQ1 2024","FQ1 2024","Currency=USD","Period=FQ","BEST_FPERIOD_OVERRIDE=FQ","FILING_STATUS=MR","SCALING_FORMAT=MLN","Sort=A","Dates=H","DateFormat=P","Fill=—","Direction=H","UseDPDF=Y")</f>
        <v>36.119</v>
      </c>
      <c r="W50" s="13">
        <f>_xll.BDH("SRPT US Equity","IS_COMP_NET_INCOME_GAAP","FQ2 2024","FQ2 2024","Currency=USD","Period=FQ","BEST_FPERIOD_OVERRIDE=FQ","FILING_STATUS=MR","SCALING_FORMAT=MLN","Sort=A","Dates=H","DateFormat=P","Fill=—","Direction=H","UseDPDF=Y")</f>
        <v>6.5</v>
      </c>
      <c r="X50" s="13">
        <f>_xll.BDH("SRPT US Equity","IS_COMP_NET_INCOME_GAAP","FQ3 2024","FQ3 2024","Currency=USD","Period=FQ","BEST_FPERIOD_OVERRIDE=FQ","FILING_STATUS=MR","SCALING_FORMAT=MLN","Sort=A","Dates=H","DateFormat=P","Fill=—","Direction=H","UseDPDF=Y")</f>
        <v>33.610999999999997</v>
      </c>
      <c r="Y50" s="13">
        <f>_xll.BDH("SRPT US Equity","IS_COMP_NET_INCOME_GAAP","FQ4 2024","FQ4 2024","Currency=USD","Period=FQ","BEST_FPERIOD_OVERRIDE=FQ","FILING_STATUS=MR","SCALING_FORMAT=MLN","Sort=A","Dates=H","DateFormat=P","Fill=—","Direction=H","UseDPDF=Y")</f>
        <v>159.04900000000001</v>
      </c>
      <c r="Z50" s="13"/>
      <c r="AA50" s="13"/>
    </row>
    <row r="51" spans="1:27" x14ac:dyDescent="0.25">
      <c r="A51" s="11" t="s">
        <v>162</v>
      </c>
      <c r="B51" s="11"/>
      <c r="C51" s="25">
        <v>-254.81771501925499</v>
      </c>
      <c r="D51" s="25">
        <v>-29.820775270275799</v>
      </c>
      <c r="E51" s="25">
        <v>-75.421243785537797</v>
      </c>
      <c r="F51" s="25">
        <v>88.230386219889695</v>
      </c>
      <c r="G51" s="25">
        <v>-1.45570982671402</v>
      </c>
      <c r="H51" s="25">
        <v>-41.330600208580599</v>
      </c>
      <c r="I51" s="25">
        <v>-29.685166664383299</v>
      </c>
      <c r="J51" s="25">
        <v>-11.7480807392411</v>
      </c>
      <c r="K51" s="25">
        <v>22.5407730222467</v>
      </c>
      <c r="L51" s="25">
        <v>68.102403053010306</v>
      </c>
      <c r="M51" s="25">
        <v>5.06724154032936</v>
      </c>
      <c r="N51" s="25">
        <v>5.0870280333291102</v>
      </c>
      <c r="O51" s="25">
        <v>-142.67562665772101</v>
      </c>
      <c r="P51" s="25">
        <v>-117.949194966852</v>
      </c>
      <c r="Q51" s="25">
        <v>0.76665939975291997</v>
      </c>
      <c r="R51" s="25">
        <v>-326.01401483924201</v>
      </c>
      <c r="S51" s="25">
        <v>83.956466669794096</v>
      </c>
      <c r="T51" s="25">
        <v>63.506454143488803</v>
      </c>
      <c r="U51" s="25" t="s">
        <v>141</v>
      </c>
      <c r="V51" s="25" t="s">
        <v>141</v>
      </c>
      <c r="W51" s="25" t="s">
        <v>141</v>
      </c>
      <c r="X51" s="25" t="s">
        <v>141</v>
      </c>
      <c r="Y51" s="25">
        <v>-8.2794136304395494</v>
      </c>
      <c r="Z51" s="25"/>
      <c r="AA51" s="25"/>
    </row>
    <row r="52" spans="1:27" x14ac:dyDescent="0.25">
      <c r="A52" s="10" t="s">
        <v>135</v>
      </c>
      <c r="B52" s="10" t="s">
        <v>80</v>
      </c>
      <c r="C52" s="13">
        <f>_xll.BDH("SRPT US Equity","EARN_FOR_COMMON","FQ2 2019","FQ2 2019","Currency=USD","Period=FQ","BEST_FPERIOD_OVERRIDE=FQ","FILING_STATUS=MR","SCALING_FORMAT=MLN","FA_ADJUSTED=GAAP","Sort=A","Dates=H","DateFormat=P","Fill=—","Direction=H","UseDPDF=Y")</f>
        <v>-276.40300000000002</v>
      </c>
      <c r="D52" s="13">
        <f>_xll.BDH("SRPT US Equity","EARN_FOR_COMMON","FQ3 2019","FQ3 2019","Currency=USD","Period=FQ","BEST_FPERIOD_OVERRIDE=FQ","FILING_STATUS=MR","SCALING_FORMAT=MLN","FA_ADJUSTED=GAAP","Sort=A","Dates=H","DateFormat=P","Fill=—","Direction=H","UseDPDF=Y")</f>
        <v>-126.32599999999999</v>
      </c>
      <c r="E52" s="13">
        <f>_xll.BDH("SRPT US Equity","EARN_FOR_COMMON","FQ4 2019","FQ4 2019","Currency=USD","Period=FQ","BEST_FPERIOD_OVERRIDE=FQ","FILING_STATUS=MR","SCALING_FORMAT=MLN","FA_ADJUSTED=GAAP","Sort=A","Dates=H","DateFormat=P","Fill=—","Direction=H","UseDPDF=Y")</f>
        <v>-235.703</v>
      </c>
      <c r="F52" s="13">
        <f>_xll.BDH("SRPT US Equity","EARN_FOR_COMMON","FQ1 2020","FQ1 2020","Currency=USD","Period=FQ","BEST_FPERIOD_OVERRIDE=FQ","FILING_STATUS=MR","SCALING_FORMAT=MLN","FA_ADJUSTED=GAAP","Sort=A","Dates=H","DateFormat=P","Fill=—","Direction=H","UseDPDF=Y")</f>
        <v>-17.492000000000001</v>
      </c>
      <c r="G52" s="13">
        <f>_xll.BDH("SRPT US Equity","EARN_FOR_COMMON","FQ2 2020","FQ2 2020","Currency=USD","Period=FQ","BEST_FPERIOD_OVERRIDE=FQ","FILING_STATUS=MR","SCALING_FORMAT=MLN","FA_ADJUSTED=GAAP","Sort=A","Dates=H","DateFormat=P","Fill=—","Direction=H","UseDPDF=Y")</f>
        <v>-150.82</v>
      </c>
      <c r="H52" s="13">
        <f>_xll.BDH("SRPT US Equity","EARN_FOR_COMMON","FQ3 2020","FQ3 2020","Currency=USD","Period=FQ","BEST_FPERIOD_OVERRIDE=FQ","FILING_STATUS=MR","SCALING_FORMAT=MLN","FA_ADJUSTED=GAAP","Sort=A","Dates=H","DateFormat=P","Fill=—","Direction=H","UseDPDF=Y")</f>
        <v>-196.499</v>
      </c>
      <c r="I52" s="13">
        <f>_xll.BDH("SRPT US Equity","EARN_FOR_COMMON","FQ4 2020","FQ4 2020","Currency=USD","Period=FQ","BEST_FPERIOD_OVERRIDE=FQ","FILING_STATUS=MR","SCALING_FORMAT=MLN","FA_ADJUSTED=GAAP","Sort=A","Dates=H","DateFormat=P","Fill=—","Direction=H","UseDPDF=Y")</f>
        <v>-189.31700000000001</v>
      </c>
      <c r="J52" s="13">
        <f>_xll.BDH("SRPT US Equity","EARN_FOR_COMMON","FQ1 2021","FQ1 2021","Currency=USD","Period=FQ","BEST_FPERIOD_OVERRIDE=FQ","FILING_STATUS=MR","SCALING_FORMAT=MLN","FA_ADJUSTED=GAAP","Sort=A","Dates=H","DateFormat=P","Fill=—","Direction=H","UseDPDF=Y")</f>
        <v>-167.25</v>
      </c>
      <c r="K52" s="13">
        <f>_xll.BDH("SRPT US Equity","EARN_FOR_COMMON","FQ2 2021","FQ2 2021","Currency=USD","Period=FQ","BEST_FPERIOD_OVERRIDE=FQ","FILING_STATUS=MR","SCALING_FORMAT=MLN","FA_ADJUSTED=GAAP","Sort=A","Dates=H","DateFormat=P","Fill=—","Direction=H","UseDPDF=Y")</f>
        <v>-81.405000000000001</v>
      </c>
      <c r="L52" s="13">
        <f>_xll.BDH("SRPT US Equity","EARN_FOR_COMMON","FQ3 2021","FQ3 2021","Currency=USD","Period=FQ","BEST_FPERIOD_OVERRIDE=FQ","FILING_STATUS=MR","SCALING_FORMAT=MLN","FA_ADJUSTED=GAAP","Sort=A","Dates=H","DateFormat=P","Fill=—","Direction=H","UseDPDF=Y")</f>
        <v>-48.143999999999998</v>
      </c>
      <c r="M52" s="13">
        <f>_xll.BDH("SRPT US Equity","EARN_FOR_COMMON","FQ4 2021","FQ4 2021","Currency=USD","Period=FQ","BEST_FPERIOD_OVERRIDE=FQ","FILING_STATUS=MR","SCALING_FORMAT=MLN","FA_ADJUSTED=GAAP","Sort=A","Dates=H","DateFormat=P","Fill=—","Direction=H","UseDPDF=Y")</f>
        <v>-121.98099999999999</v>
      </c>
      <c r="N52" s="13">
        <f>_xll.BDH("SRPT US Equity","EARN_FOR_COMMON","FQ1 2022","FQ1 2022","Currency=USD","Period=FQ","BEST_FPERIOD_OVERRIDE=FQ","FILING_STATUS=MR","SCALING_FORMAT=MLN","FA_ADJUSTED=GAAP","Sort=A","Dates=H","DateFormat=P","Fill=—","Direction=H","UseDPDF=Y")</f>
        <v>-105.02500000000001</v>
      </c>
      <c r="O52" s="13">
        <f>_xll.BDH("SRPT US Equity","EARN_FOR_COMMON","FQ2 2022","FQ2 2022","Currency=USD","Period=FQ","BEST_FPERIOD_OVERRIDE=FQ","FILING_STATUS=MR","SCALING_FORMAT=MLN","FA_ADJUSTED=GAAP","Sort=A","Dates=H","DateFormat=P","Fill=—","Direction=H","UseDPDF=Y")</f>
        <v>-231.48099999999999</v>
      </c>
      <c r="P52" s="13">
        <f>_xll.BDH("SRPT US Equity","EARN_FOR_COMMON","FQ3 2022","FQ3 2022","Currency=USD","Period=FQ","BEST_FPERIOD_OVERRIDE=FQ","FILING_STATUS=MR","SCALING_FORMAT=MLN","FA_ADJUSTED=GAAP","Sort=A","Dates=H","DateFormat=P","Fill=—","Direction=H","UseDPDF=Y")</f>
        <v>-257.738</v>
      </c>
      <c r="Q52" s="13">
        <f>_xll.BDH("SRPT US Equity","EARN_FOR_COMMON","FQ4 2022","FQ4 2022","Currency=USD","Period=FQ","BEST_FPERIOD_OVERRIDE=FQ","FILING_STATUS=MR","SCALING_FORMAT=MLN","FA_ADJUSTED=GAAP","Sort=A","Dates=H","DateFormat=P","Fill=—","Direction=H","UseDPDF=Y")</f>
        <v>-109.244</v>
      </c>
      <c r="R52" s="13">
        <f>_xll.BDH("SRPT US Equity","EARN_FOR_COMMON","FQ1 2023","FQ1 2023","Currency=USD","Period=FQ","BEST_FPERIOD_OVERRIDE=FQ","FILING_STATUS=MR","SCALING_FORMAT=MLN","FA_ADJUSTED=GAAP","Sort=A","Dates=H","DateFormat=P","Fill=—","Direction=H","UseDPDF=Y")</f>
        <v>-516.755</v>
      </c>
      <c r="S52" s="13">
        <f>_xll.BDH("SRPT US Equity","EARN_FOR_COMMON","FQ2 2023","FQ2 2023","Currency=USD","Period=FQ","BEST_FPERIOD_OVERRIDE=FQ","FILING_STATUS=MR","SCALING_FORMAT=MLN","FA_ADJUSTED=GAAP","Sort=A","Dates=H","DateFormat=P","Fill=—","Direction=H","UseDPDF=Y")</f>
        <v>-23.94</v>
      </c>
      <c r="T52" s="13">
        <f>_xll.BDH("SRPT US Equity","EARN_FOR_COMMON","FQ3 2023","FQ3 2023","Currency=USD","Period=FQ","BEST_FPERIOD_OVERRIDE=FQ","FILING_STATUS=MR","SCALING_FORMAT=MLN","FA_ADJUSTED=GAAP","Sort=A","Dates=H","DateFormat=P","Fill=—","Direction=H","UseDPDF=Y")</f>
        <v>-40.936999999999998</v>
      </c>
      <c r="U52" s="13">
        <f>_xll.BDH("SRPT US Equity","EARN_FOR_COMMON","FQ4 2023","FQ4 2023","Currency=USD","Period=FQ","BEST_FPERIOD_OVERRIDE=FQ","FILING_STATUS=MR","SCALING_FORMAT=MLN","FA_ADJUSTED=GAAP","Sort=A","Dates=H","DateFormat=P","Fill=—","Direction=H","UseDPDF=Y")</f>
        <v>45.655000000000001</v>
      </c>
      <c r="V52" s="13">
        <f>_xll.BDH("SRPT US Equity","EARN_FOR_COMMON","FQ1 2024","FQ1 2024","Currency=USD","Period=FQ","BEST_FPERIOD_OVERRIDE=FQ","FILING_STATUS=MR","SCALING_FORMAT=MLN","FA_ADJUSTED=GAAP","Sort=A","Dates=H","DateFormat=P","Fill=—","Direction=H","UseDPDF=Y")</f>
        <v>36.119</v>
      </c>
      <c r="W52" s="13">
        <f>_xll.BDH("SRPT US Equity","EARN_FOR_COMMON","FQ2 2024","FQ2 2024","Currency=USD","Period=FQ","BEST_FPERIOD_OVERRIDE=FQ","FILING_STATUS=MR","SCALING_FORMAT=MLN","FA_ADJUSTED=GAAP","Sort=A","Dates=H","DateFormat=P","Fill=—","Direction=H","UseDPDF=Y")</f>
        <v>6.46</v>
      </c>
      <c r="X52" s="13">
        <f>_xll.BDH("SRPT US Equity","EARN_FOR_COMMON","FQ3 2024","FQ3 2024","Currency=USD","Period=FQ","BEST_FPERIOD_OVERRIDE=FQ","FILING_STATUS=MR","SCALING_FORMAT=MLN","FA_ADJUSTED=GAAP","Sort=A","Dates=H","DateFormat=P","Fill=—","Direction=H","UseDPDF=Y")</f>
        <v>33.610999999999997</v>
      </c>
      <c r="Y52" s="13">
        <f>_xll.BDH("SRPT US Equity","EARN_FOR_COMMON","FQ4 2024","FQ4 2024","Currency=USD","Period=FQ","BEST_FPERIOD_OVERRIDE=FQ","FILING_STATUS=MR","SCALING_FORMAT=MLN","FA_ADJUSTED=GAAP","Sort=A","Dates=H","DateFormat=P","Fill=—","Direction=H","UseDPDF=Y")</f>
        <v>159.04900000000001</v>
      </c>
      <c r="Z52" s="13"/>
      <c r="AA52" s="13"/>
    </row>
    <row r="53" spans="1:27" x14ac:dyDescent="0.25">
      <c r="A53" s="10" t="s">
        <v>136</v>
      </c>
      <c r="B53" s="10" t="s">
        <v>80</v>
      </c>
      <c r="C53" s="13">
        <f>_xll.BDH("SRPT US Equity","EARN_FOR_COMMON","FQ2 2019","FQ2 2019","Currency=USD","Period=FQ","BEST_FPERIOD_OVERRIDE=FQ","FILING_STATUS=MR","SCALING_FORMAT=MLN","FA_ADJUSTED=Adjusted","Sort=A","Dates=H","DateFormat=P","Fill=—","Direction=H","UseDPDF=Y")</f>
        <v>-88.084999999999994</v>
      </c>
      <c r="D53" s="13">
        <f>_xll.BDH("SRPT US Equity","EARN_FOR_COMMON","FQ3 2019","FQ3 2019","Currency=USD","Period=FQ","BEST_FPERIOD_OVERRIDE=FQ","FILING_STATUS=MR","SCALING_FORMAT=MLN","FA_ADJUSTED=Adjusted","Sort=A","Dates=H","DateFormat=P","Fill=—","Direction=H","UseDPDF=Y")</f>
        <v>-116.7307</v>
      </c>
      <c r="E53" s="13">
        <f>_xll.BDH("SRPT US Equity","EARN_FOR_COMMON","FQ4 2019","FQ4 2019","Currency=USD","Period=FQ","BEST_FPERIOD_OVERRIDE=FQ","FILING_STATUS=MR","SCALING_FORMAT=MLN","FA_ADJUSTED=Adjusted","Sort=A","Dates=H","DateFormat=P","Fill=—","Direction=H","UseDPDF=Y")</f>
        <v>-168.69839999999999</v>
      </c>
      <c r="F53" s="13">
        <f>_xll.BDH("SRPT US Equity","EARN_FOR_COMMON","FQ1 2020","FQ1 2020","Currency=USD","Period=FQ","BEST_FPERIOD_OVERRIDE=FQ","FILING_STATUS=MR","SCALING_FORMAT=MLN","FA_ADJUSTED=Adjusted","Sort=A","Dates=H","DateFormat=P","Fill=—","Direction=H","UseDPDF=Y")</f>
        <v>-114.0907</v>
      </c>
      <c r="G53" s="13">
        <f>_xll.BDH("SRPT US Equity","EARN_FOR_COMMON","FQ2 2020","FQ2 2020","Currency=USD","Period=FQ","BEST_FPERIOD_OVERRIDE=FQ","FILING_STATUS=MR","SCALING_FORMAT=MLN","FA_ADJUSTED=Adjusted","Sort=A","Dates=H","DateFormat=P","Fill=—","Direction=H","UseDPDF=Y")</f>
        <v>-150.82</v>
      </c>
      <c r="H53" s="13">
        <f>_xll.BDH("SRPT US Equity","EARN_FOR_COMMON","FQ3 2020","FQ3 2020","Currency=USD","Period=FQ","BEST_FPERIOD_OVERRIDE=FQ","FILING_STATUS=MR","SCALING_FORMAT=MLN","FA_ADJUSTED=Adjusted","Sort=A","Dates=H","DateFormat=P","Fill=—","Direction=H","UseDPDF=Y")</f>
        <v>-148.80279999999999</v>
      </c>
      <c r="I53" s="13">
        <f>_xll.BDH("SRPT US Equity","EARN_FOR_COMMON","FQ4 2020","FQ4 2020","Currency=USD","Period=FQ","BEST_FPERIOD_OVERRIDE=FQ","FILING_STATUS=MR","SCALING_FORMAT=MLN","FA_ADJUSTED=Adjusted","Sort=A","Dates=H","DateFormat=P","Fill=—","Direction=H","UseDPDF=Y")</f>
        <v>-180.9256</v>
      </c>
      <c r="J53" s="13">
        <f>_xll.BDH("SRPT US Equity","EARN_FOR_COMMON","FQ1 2021","FQ1 2021","Currency=USD","Period=FQ","BEST_FPERIOD_OVERRIDE=FQ","FILING_STATUS=MR","SCALING_FORMAT=MLN","FA_ADJUSTED=Adjusted","Sort=A","Dates=H","DateFormat=P","Fill=—","Direction=H","UseDPDF=Y")</f>
        <v>-153.2946</v>
      </c>
      <c r="K53" s="13">
        <f>_xll.BDH("SRPT US Equity","EARN_FOR_COMMON","FQ2 2021","FQ2 2021","Currency=USD","Period=FQ","BEST_FPERIOD_OVERRIDE=FQ","FILING_STATUS=MR","SCALING_FORMAT=MLN","FA_ADJUSTED=Adjusted","Sort=A","Dates=H","DateFormat=P","Fill=—","Direction=H","UseDPDF=Y")</f>
        <v>-151.72800000000001</v>
      </c>
      <c r="L53" s="13">
        <f>_xll.BDH("SRPT US Equity","EARN_FOR_COMMON","FQ3 2021","FQ3 2021","Currency=USD","Period=FQ","BEST_FPERIOD_OVERRIDE=FQ","FILING_STATUS=MR","SCALING_FORMAT=MLN","FA_ADJUSTED=Adjusted","Sort=A","Dates=H","DateFormat=P","Fill=—","Direction=H","UseDPDF=Y")</f>
        <v>-44.598500000000001</v>
      </c>
      <c r="M53" s="13">
        <f>_xll.BDH("SRPT US Equity","EARN_FOR_COMMON","FQ4 2021","FQ4 2021","Currency=USD","Period=FQ","BEST_FPERIOD_OVERRIDE=FQ","FILING_STATUS=MR","SCALING_FORMAT=MLN","FA_ADJUSTED=Adjusted","Sort=A","Dates=H","DateFormat=P","Fill=—","Direction=H","UseDPDF=Y")</f>
        <v>-121.98099999999999</v>
      </c>
      <c r="N53" s="13">
        <f>_xll.BDH("SRPT US Equity","EARN_FOR_COMMON","FQ1 2022","FQ1 2022","Currency=USD","Period=FQ","BEST_FPERIOD_OVERRIDE=FQ","FILING_STATUS=MR","SCALING_FORMAT=MLN","FA_ADJUSTED=Adjusted","Sort=A","Dates=H","DateFormat=P","Fill=—","Direction=H","UseDPDF=Y")</f>
        <v>-105.02500000000001</v>
      </c>
      <c r="O53" s="13">
        <f>_xll.BDH("SRPT US Equity","EARN_FOR_COMMON","FQ2 2022","FQ2 2022","Currency=USD","Period=FQ","BEST_FPERIOD_OVERRIDE=FQ","FILING_STATUS=MR","SCALING_FORMAT=MLN","FA_ADJUSTED=Adjusted","Sort=A","Dates=H","DateFormat=P","Fill=—","Direction=H","UseDPDF=Y")</f>
        <v>-231.48099999999999</v>
      </c>
      <c r="P53" s="13">
        <f>_xll.BDH("SRPT US Equity","EARN_FOR_COMMON","FQ3 2022","FQ3 2022","Currency=USD","Period=FQ","BEST_FPERIOD_OVERRIDE=FQ","FILING_STATUS=MR","SCALING_FORMAT=MLN","FA_ADJUSTED=Adjusted","Sort=A","Dates=H","DateFormat=P","Fill=—","Direction=H","UseDPDF=Y")</f>
        <v>-163.93260000000001</v>
      </c>
      <c r="Q53" s="13">
        <f>_xll.BDH("SRPT US Equity","EARN_FOR_COMMON","FQ4 2022","FQ4 2022","Currency=USD","Period=FQ","BEST_FPERIOD_OVERRIDE=FQ","FILING_STATUS=MR","SCALING_FORMAT=MLN","FA_ADJUSTED=Adjusted","Sort=A","Dates=H","DateFormat=P","Fill=—","Direction=H","UseDPDF=Y")</f>
        <v>-107.2098</v>
      </c>
      <c r="R53" s="13">
        <f>_xll.BDH("SRPT US Equity","EARN_FOR_COMMON","FQ1 2023","FQ1 2023","Currency=USD","Period=FQ","BEST_FPERIOD_OVERRIDE=FQ","FILING_STATUS=MR","SCALING_FORMAT=MLN","FA_ADJUSTED=Adjusted","Sort=A","Dates=H","DateFormat=P","Fill=—","Direction=H","UseDPDF=Y")</f>
        <v>-210.76509999999999</v>
      </c>
      <c r="S53" s="13">
        <f>_xll.BDH("SRPT US Equity","EARN_FOR_COMMON","FQ2 2023","FQ2 2023","Currency=USD","Period=FQ","BEST_FPERIOD_OVERRIDE=FQ","FILING_STATUS=MR","SCALING_FORMAT=MLN","FA_ADJUSTED=Adjusted","Sort=A","Dates=H","DateFormat=P","Fill=—","Direction=H","UseDPDF=Y")</f>
        <v>-105.152</v>
      </c>
      <c r="T53" s="13">
        <f>_xll.BDH("SRPT US Equity","EARN_FOR_COMMON","FQ3 2023","FQ3 2023","Currency=USD","Period=FQ","BEST_FPERIOD_OVERRIDE=FQ","FILING_STATUS=MR","SCALING_FORMAT=MLN","FA_ADJUSTED=Adjusted","Sort=A","Dates=H","DateFormat=P","Fill=—","Direction=H","UseDPDF=Y")</f>
        <v>-39.356999999999999</v>
      </c>
      <c r="U53" s="13">
        <f>_xll.BDH("SRPT US Equity","EARN_FOR_COMMON","FQ4 2023","FQ4 2023","Currency=USD","Period=FQ","BEST_FPERIOD_OVERRIDE=FQ","FILING_STATUS=MR","SCALING_FORMAT=MLN","FA_ADJUSTED=Adjusted","Sort=A","Dates=H","DateFormat=P","Fill=—","Direction=H","UseDPDF=Y")</f>
        <v>45.655000000000001</v>
      </c>
      <c r="V53" s="13">
        <f>_xll.BDH("SRPT US Equity","EARN_FOR_COMMON","FQ1 2024","FQ1 2024","Currency=USD","Period=FQ","BEST_FPERIOD_OVERRIDE=FQ","FILING_STATUS=MR","SCALING_FORMAT=MLN","FA_ADJUSTED=Adjusted","Sort=A","Dates=H","DateFormat=P","Fill=—","Direction=H","UseDPDF=Y")</f>
        <v>45.906999999999996</v>
      </c>
      <c r="W53" s="13">
        <f>_xll.BDH("SRPT US Equity","EARN_FOR_COMMON","FQ2 2024","FQ2 2024","Currency=USD","Period=FQ","BEST_FPERIOD_OVERRIDE=FQ","FILING_STATUS=MR","SCALING_FORMAT=MLN","FA_ADJUSTED=Adjusted","Sort=A","Dates=H","DateFormat=P","Fill=—","Direction=H","UseDPDF=Y")</f>
        <v>6.46</v>
      </c>
      <c r="X53" s="13">
        <f>_xll.BDH("SRPT US Equity","EARN_FOR_COMMON","FQ3 2024","FQ3 2024","Currency=USD","Period=FQ","BEST_FPERIOD_OVERRIDE=FQ","FILING_STATUS=MR","SCALING_FORMAT=MLN","FA_ADJUSTED=Adjusted","Sort=A","Dates=H","DateFormat=P","Fill=—","Direction=H","UseDPDF=Y")</f>
        <v>32.251100000000001</v>
      </c>
      <c r="Y53" s="13">
        <f>_xll.BDH("SRPT US Equity","EARN_FOR_COMMON","FQ4 2024","FQ4 2024","Currency=USD","Period=FQ","BEST_FPERIOD_OVERRIDE=FQ","FILING_STATUS=MR","SCALING_FORMAT=MLN","FA_ADJUSTED=Adjusted","Sort=A","Dates=H","DateFormat=P","Fill=—","Direction=H","UseDPDF=Y")</f>
        <v>158.33850000000001</v>
      </c>
      <c r="Z53" s="13"/>
      <c r="AA53" s="13"/>
    </row>
    <row r="54" spans="1:27" x14ac:dyDescent="0.25">
      <c r="A54" s="7" t="s">
        <v>90</v>
      </c>
      <c r="B54" s="7"/>
      <c r="C54" s="7" t="s">
        <v>5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X34"/>
  <sheetViews>
    <sheetView workbookViewId="0">
      <selection activeCell="L20" sqref="L20"/>
    </sheetView>
  </sheetViews>
  <sheetFormatPr defaultRowHeight="15" x14ac:dyDescent="0.25"/>
  <cols>
    <col min="1" max="1" width="35.140625" customWidth="1"/>
    <col min="2" max="2" width="0" hidden="1" customWidth="1"/>
    <col min="3" max="3" width="11.85546875" customWidth="1"/>
    <col min="4" max="4" width="7" customWidth="1"/>
    <col min="5" max="5" width="11.85546875" customWidth="1"/>
    <col min="6" max="6" width="7" customWidth="1"/>
    <col min="7" max="7" width="11.85546875" customWidth="1"/>
    <col min="8" max="8" width="7" customWidth="1"/>
    <col min="9" max="9" width="11.85546875" customWidth="1"/>
    <col min="10" max="10" width="7" customWidth="1"/>
    <col min="11" max="11" width="11.85546875" customWidth="1"/>
    <col min="12" max="12" width="7" customWidth="1"/>
    <col min="13" max="13" width="11.85546875" customWidth="1"/>
    <col min="14" max="14" width="7" customWidth="1"/>
    <col min="15" max="15" width="11.85546875" customWidth="1"/>
    <col min="16" max="16" width="7" customWidth="1"/>
    <col min="17" max="17" width="11.85546875" customWidth="1"/>
    <col min="18" max="18" width="7" customWidth="1"/>
    <col min="19" max="19" width="11.85546875" customWidth="1"/>
    <col min="20" max="20" width="7" customWidth="1"/>
    <col min="21" max="21" width="11.85546875" customWidth="1"/>
    <col min="22" max="22" width="7" customWidth="1"/>
    <col min="23" max="23" width="11.85546875" customWidth="1"/>
    <col min="24" max="24" width="7" customWidth="1"/>
    <col min="25" max="25" width="11.85546875" customWidth="1"/>
    <col min="26" max="26" width="7" customWidth="1"/>
    <col min="27" max="27" width="11.85546875" customWidth="1"/>
    <col min="28" max="28" width="7" customWidth="1"/>
    <col min="29" max="29" width="11.85546875" customWidth="1"/>
    <col min="30" max="30" width="7" customWidth="1"/>
    <col min="31" max="31" width="11.85546875" customWidth="1"/>
    <col min="32" max="32" width="7" customWidth="1"/>
    <col min="33" max="33" width="11.85546875" customWidth="1"/>
    <col min="34" max="34" width="7" customWidth="1"/>
    <col min="35" max="35" width="11.85546875" customWidth="1"/>
    <col min="36" max="36" width="7" customWidth="1"/>
    <col min="37" max="37" width="11.85546875" customWidth="1"/>
    <col min="38" max="38" width="7" customWidth="1"/>
    <col min="39" max="39" width="11.85546875" customWidth="1"/>
    <col min="40" max="40" width="7" customWidth="1"/>
    <col min="41" max="41" width="11.85546875" customWidth="1"/>
    <col min="42" max="42" width="7" customWidth="1"/>
    <col min="43" max="43" width="11.85546875" customWidth="1"/>
    <col min="44" max="44" width="7" customWidth="1"/>
    <col min="45" max="45" width="11.85546875" customWidth="1"/>
    <col min="46" max="46" width="7" customWidth="1"/>
    <col min="47" max="47" width="11.85546875" customWidth="1"/>
    <col min="48" max="48" width="7" customWidth="1"/>
    <col min="49" max="49" width="11.85546875" customWidth="1"/>
    <col min="50" max="50" width="7" customWidth="1"/>
  </cols>
  <sheetData>
    <row r="1" spans="1:5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20.25" x14ac:dyDescent="0.25">
      <c r="A2" s="8" t="s">
        <v>1629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</row>
    <row r="3" spans="1:5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5">
      <c r="A4" s="3" t="s">
        <v>92</v>
      </c>
      <c r="B4" s="3"/>
      <c r="C4" s="30" t="s">
        <v>93</v>
      </c>
      <c r="D4" s="30"/>
      <c r="E4" s="30" t="s">
        <v>94</v>
      </c>
      <c r="F4" s="30"/>
      <c r="G4" s="30" t="s">
        <v>9</v>
      </c>
      <c r="H4" s="30"/>
      <c r="I4" s="30" t="s">
        <v>10</v>
      </c>
      <c r="J4" s="30"/>
      <c r="K4" s="30" t="s">
        <v>11</v>
      </c>
      <c r="L4" s="30"/>
      <c r="M4" s="30" t="s">
        <v>12</v>
      </c>
      <c r="N4" s="30"/>
      <c r="O4" s="30" t="s">
        <v>13</v>
      </c>
      <c r="P4" s="30"/>
      <c r="Q4" s="30" t="s">
        <v>14</v>
      </c>
      <c r="R4" s="30"/>
      <c r="S4" s="30" t="s">
        <v>15</v>
      </c>
      <c r="T4" s="30"/>
      <c r="U4" s="30" t="s">
        <v>16</v>
      </c>
      <c r="V4" s="30"/>
      <c r="W4" s="30" t="s">
        <v>17</v>
      </c>
      <c r="X4" s="30"/>
      <c r="Y4" s="30" t="s">
        <v>18</v>
      </c>
      <c r="Z4" s="30"/>
      <c r="AA4" s="30" t="s">
        <v>19</v>
      </c>
      <c r="AB4" s="30"/>
      <c r="AC4" s="30" t="s">
        <v>20</v>
      </c>
      <c r="AD4" s="30"/>
      <c r="AE4" s="30" t="s">
        <v>21</v>
      </c>
      <c r="AF4" s="30"/>
      <c r="AG4" s="30" t="s">
        <v>22</v>
      </c>
      <c r="AH4" s="30"/>
      <c r="AI4" s="30" t="s">
        <v>24</v>
      </c>
      <c r="AJ4" s="30"/>
      <c r="AK4" s="30" t="s">
        <v>25</v>
      </c>
      <c r="AL4" s="30"/>
      <c r="AM4" s="30" t="s">
        <v>26</v>
      </c>
      <c r="AN4" s="30"/>
      <c r="AO4" s="30" t="s">
        <v>27</v>
      </c>
      <c r="AP4" s="30"/>
      <c r="AQ4" s="30" t="s">
        <v>28</v>
      </c>
      <c r="AR4" s="30"/>
      <c r="AS4" s="30" t="s">
        <v>29</v>
      </c>
      <c r="AT4" s="30"/>
      <c r="AU4" s="30" t="s">
        <v>30</v>
      </c>
      <c r="AV4" s="30"/>
      <c r="AW4" s="30" t="s">
        <v>31</v>
      </c>
      <c r="AX4" s="30"/>
    </row>
    <row r="5" spans="1:50" x14ac:dyDescent="0.25">
      <c r="A5" s="9" t="s">
        <v>34</v>
      </c>
      <c r="B5" s="9"/>
      <c r="C5" s="31" t="s">
        <v>95</v>
      </c>
      <c r="D5" s="31"/>
      <c r="E5" s="31" t="s">
        <v>96</v>
      </c>
      <c r="F5" s="31"/>
      <c r="G5" s="31" t="s">
        <v>35</v>
      </c>
      <c r="H5" s="31"/>
      <c r="I5" s="31" t="s">
        <v>36</v>
      </c>
      <c r="J5" s="31"/>
      <c r="K5" s="31" t="s">
        <v>37</v>
      </c>
      <c r="L5" s="31"/>
      <c r="M5" s="31" t="s">
        <v>38</v>
      </c>
      <c r="N5" s="31"/>
      <c r="O5" s="31" t="s">
        <v>39</v>
      </c>
      <c r="P5" s="31"/>
      <c r="Q5" s="31" t="s">
        <v>40</v>
      </c>
      <c r="R5" s="31"/>
      <c r="S5" s="31" t="s">
        <v>41</v>
      </c>
      <c r="T5" s="31"/>
      <c r="U5" s="31" t="s">
        <v>42</v>
      </c>
      <c r="V5" s="31"/>
      <c r="W5" s="31" t="s">
        <v>43</v>
      </c>
      <c r="X5" s="31"/>
      <c r="Y5" s="31" t="s">
        <v>44</v>
      </c>
      <c r="Z5" s="31"/>
      <c r="AA5" s="31" t="s">
        <v>45</v>
      </c>
      <c r="AB5" s="31"/>
      <c r="AC5" s="31" t="s">
        <v>46</v>
      </c>
      <c r="AD5" s="31"/>
      <c r="AE5" s="31" t="s">
        <v>47</v>
      </c>
      <c r="AF5" s="31"/>
      <c r="AG5" s="31" t="s">
        <v>48</v>
      </c>
      <c r="AH5" s="31"/>
      <c r="AI5" s="31" t="s">
        <v>50</v>
      </c>
      <c r="AJ5" s="31"/>
      <c r="AK5" s="31" t="s">
        <v>51</v>
      </c>
      <c r="AL5" s="31"/>
      <c r="AM5" s="31" t="s">
        <v>52</v>
      </c>
      <c r="AN5" s="31"/>
      <c r="AO5" s="31" t="s">
        <v>53</v>
      </c>
      <c r="AP5" s="31"/>
      <c r="AQ5" s="31" t="s">
        <v>54</v>
      </c>
      <c r="AR5" s="31"/>
      <c r="AS5" s="31" t="s">
        <v>55</v>
      </c>
      <c r="AT5" s="31"/>
      <c r="AU5" s="31" t="s">
        <v>56</v>
      </c>
      <c r="AV5" s="31"/>
      <c r="AW5" s="31" t="s">
        <v>57</v>
      </c>
      <c r="AX5" s="31"/>
    </row>
    <row r="6" spans="1:50" x14ac:dyDescent="0.25">
      <c r="A6" s="6" t="s">
        <v>0</v>
      </c>
      <c r="B6" s="6"/>
      <c r="C6" s="36">
        <v>84.415000000000006</v>
      </c>
      <c r="D6" s="37">
        <v>1</v>
      </c>
      <c r="E6" s="36">
        <v>87.010999999999996</v>
      </c>
      <c r="F6" s="37">
        <v>1</v>
      </c>
      <c r="G6" s="36">
        <v>94.668000000000006</v>
      </c>
      <c r="H6" s="37">
        <v>1</v>
      </c>
      <c r="I6" s="36">
        <v>99.040999999999997</v>
      </c>
      <c r="J6" s="37">
        <v>1</v>
      </c>
      <c r="K6" s="36">
        <v>100.113</v>
      </c>
      <c r="L6" s="37">
        <v>1</v>
      </c>
      <c r="M6" s="36">
        <v>113.67400000000001</v>
      </c>
      <c r="N6" s="37">
        <v>1</v>
      </c>
      <c r="O6" s="36">
        <v>137.363</v>
      </c>
      <c r="P6" s="37">
        <v>1</v>
      </c>
      <c r="Q6" s="36">
        <v>143.92400000000001</v>
      </c>
      <c r="R6" s="37">
        <v>1</v>
      </c>
      <c r="S6" s="36">
        <v>145.13800000000001</v>
      </c>
      <c r="T6" s="37">
        <v>1</v>
      </c>
      <c r="U6" s="36">
        <v>146.93100000000001</v>
      </c>
      <c r="V6" s="37">
        <v>1</v>
      </c>
      <c r="W6" s="36">
        <v>164.089</v>
      </c>
      <c r="X6" s="37">
        <v>1</v>
      </c>
      <c r="Y6" s="36">
        <v>189.40600000000001</v>
      </c>
      <c r="Z6" s="37">
        <v>1</v>
      </c>
      <c r="AA6" s="36">
        <v>201.46100000000001</v>
      </c>
      <c r="AB6" s="37">
        <v>1</v>
      </c>
      <c r="AC6" s="36">
        <v>210.83</v>
      </c>
      <c r="AD6" s="37">
        <v>1</v>
      </c>
      <c r="AE6" s="36">
        <v>233.48699999999999</v>
      </c>
      <c r="AF6" s="37">
        <v>1</v>
      </c>
      <c r="AG6" s="36">
        <v>230.26900000000001</v>
      </c>
      <c r="AH6" s="37">
        <v>1</v>
      </c>
      <c r="AI6" s="36">
        <v>253.5</v>
      </c>
      <c r="AJ6" s="37">
        <v>1</v>
      </c>
      <c r="AK6" s="36">
        <v>261.238</v>
      </c>
      <c r="AL6" s="37">
        <v>1</v>
      </c>
      <c r="AM6" s="36">
        <v>331.81700000000001</v>
      </c>
      <c r="AN6" s="37">
        <v>1</v>
      </c>
      <c r="AO6" s="36">
        <v>396.78100000000001</v>
      </c>
      <c r="AP6" s="37">
        <v>1</v>
      </c>
      <c r="AQ6" s="36">
        <v>413.464</v>
      </c>
      <c r="AR6" s="37">
        <v>1</v>
      </c>
      <c r="AS6" s="36">
        <v>362.93099999999998</v>
      </c>
      <c r="AT6" s="37">
        <v>1</v>
      </c>
      <c r="AU6" s="36">
        <v>467.17200000000003</v>
      </c>
      <c r="AV6" s="37">
        <v>1</v>
      </c>
      <c r="AW6" s="36">
        <v>658.41200000000003</v>
      </c>
      <c r="AX6" s="37">
        <v>1</v>
      </c>
    </row>
    <row r="7" spans="1:50" x14ac:dyDescent="0.25">
      <c r="A7" s="10" t="s">
        <v>1630</v>
      </c>
      <c r="B7" s="10"/>
      <c r="C7" s="32">
        <v>84.415000000000006</v>
      </c>
      <c r="D7" s="33">
        <v>1</v>
      </c>
      <c r="E7" s="32">
        <v>87.010999999999996</v>
      </c>
      <c r="F7" s="33">
        <v>1</v>
      </c>
      <c r="G7" s="32">
        <v>94.668000000000006</v>
      </c>
      <c r="H7" s="33">
        <v>1</v>
      </c>
      <c r="I7" s="32">
        <v>99.040999999999997</v>
      </c>
      <c r="J7" s="33">
        <v>1</v>
      </c>
      <c r="K7" s="32">
        <v>100.113</v>
      </c>
      <c r="L7" s="33">
        <v>1</v>
      </c>
      <c r="M7" s="32">
        <v>100.44799999999999</v>
      </c>
      <c r="N7" s="33">
        <v>0.88364973520769896</v>
      </c>
      <c r="O7" s="32">
        <v>111.34399999999999</v>
      </c>
      <c r="P7" s="33">
        <v>0.81058218006304505</v>
      </c>
      <c r="Q7" s="32">
        <v>121.429</v>
      </c>
      <c r="R7" s="33">
        <v>0.84370223173341496</v>
      </c>
      <c r="S7" s="32">
        <v>122.64400000000001</v>
      </c>
      <c r="T7" s="33">
        <v>0.84501646708649703</v>
      </c>
      <c r="U7" s="32">
        <v>124.926</v>
      </c>
      <c r="V7" s="33">
        <v>0.85023582497907202</v>
      </c>
      <c r="W7" s="32">
        <v>141.839</v>
      </c>
      <c r="X7" s="33">
        <v>0.86440285454844601</v>
      </c>
      <c r="Y7" s="32">
        <v>166.911</v>
      </c>
      <c r="Z7" s="33">
        <v>0.88123396302123502</v>
      </c>
      <c r="AA7" s="32">
        <v>178.72499999999999</v>
      </c>
      <c r="AB7" s="33">
        <v>0.88714441008433398</v>
      </c>
      <c r="AC7" s="32">
        <v>188.82499999999999</v>
      </c>
      <c r="AD7" s="33">
        <v>0.895626808328986</v>
      </c>
      <c r="AE7" s="32">
        <v>211.23699999999999</v>
      </c>
      <c r="AF7" s="33">
        <v>0.90470561530192295</v>
      </c>
      <c r="AG7" s="32">
        <v>207.774</v>
      </c>
      <c r="AH7" s="33">
        <v>0.90230990710864201</v>
      </c>
      <c r="AI7" s="32">
        <v>231.495</v>
      </c>
      <c r="AJ7" s="33">
        <v>0.91319526627218905</v>
      </c>
      <c r="AK7" s="32">
        <v>238.988</v>
      </c>
      <c r="AL7" s="33">
        <v>0.91482862370711804</v>
      </c>
      <c r="AM7" s="32">
        <v>309.322</v>
      </c>
      <c r="AN7" s="33">
        <v>0.93220660785915099</v>
      </c>
      <c r="AO7" s="32">
        <v>365.07100000000003</v>
      </c>
      <c r="AP7" s="33">
        <v>0.92008185875835802</v>
      </c>
      <c r="AQ7" s="32">
        <v>359.48399999999998</v>
      </c>
      <c r="AR7" s="33">
        <v>0.86944449819089398</v>
      </c>
      <c r="AS7" s="32">
        <v>360.548</v>
      </c>
      <c r="AT7" s="33">
        <v>0.99343401362793504</v>
      </c>
      <c r="AU7" s="32">
        <v>429.77100000000002</v>
      </c>
      <c r="AV7" s="33">
        <v>0.91994169171097595</v>
      </c>
      <c r="AW7" s="32">
        <v>638.15700000000004</v>
      </c>
      <c r="AX7" s="33">
        <v>0.969236587425503</v>
      </c>
    </row>
    <row r="8" spans="1:50" x14ac:dyDescent="0.25">
      <c r="A8" s="10" t="s">
        <v>1631</v>
      </c>
      <c r="B8" s="10"/>
      <c r="C8" s="32" t="s">
        <v>141</v>
      </c>
      <c r="D8" s="33"/>
      <c r="E8" s="32" t="s">
        <v>141</v>
      </c>
      <c r="F8" s="33"/>
      <c r="G8" s="32" t="s">
        <v>141</v>
      </c>
      <c r="H8" s="33"/>
      <c r="I8" s="32" t="s">
        <v>141</v>
      </c>
      <c r="J8" s="33"/>
      <c r="K8" s="32" t="s">
        <v>141</v>
      </c>
      <c r="L8" s="33"/>
      <c r="M8" s="32" t="s">
        <v>141</v>
      </c>
      <c r="N8" s="33"/>
      <c r="O8" s="32" t="s">
        <v>141</v>
      </c>
      <c r="P8" s="33"/>
      <c r="Q8" s="32" t="s">
        <v>141</v>
      </c>
      <c r="R8" s="33"/>
      <c r="S8" s="32" t="s">
        <v>141</v>
      </c>
      <c r="T8" s="33"/>
      <c r="U8" s="32" t="s">
        <v>141</v>
      </c>
      <c r="V8" s="33"/>
      <c r="W8" s="32" t="s">
        <v>141</v>
      </c>
      <c r="X8" s="33"/>
      <c r="Y8" s="32" t="s">
        <v>141</v>
      </c>
      <c r="Z8" s="33"/>
      <c r="AA8" s="32" t="s">
        <v>141</v>
      </c>
      <c r="AB8" s="33"/>
      <c r="AC8" s="32" t="s">
        <v>141</v>
      </c>
      <c r="AD8" s="33"/>
      <c r="AE8" s="32" t="s">
        <v>141</v>
      </c>
      <c r="AF8" s="33"/>
      <c r="AG8" s="32" t="s">
        <v>141</v>
      </c>
      <c r="AH8" s="33"/>
      <c r="AI8" s="32" t="s">
        <v>141</v>
      </c>
      <c r="AJ8" s="33"/>
      <c r="AK8" s="32" t="s">
        <v>141</v>
      </c>
      <c r="AL8" s="33"/>
      <c r="AM8" s="32" t="s">
        <v>141</v>
      </c>
      <c r="AN8" s="33"/>
      <c r="AO8" s="32" t="s">
        <v>141</v>
      </c>
      <c r="AP8" s="33"/>
      <c r="AQ8" s="32" t="s">
        <v>141</v>
      </c>
      <c r="AR8" s="33"/>
      <c r="AS8" s="32">
        <v>238.827</v>
      </c>
      <c r="AT8" s="33">
        <v>0.65805070385279896</v>
      </c>
      <c r="AU8" s="32">
        <v>248.78800000000001</v>
      </c>
      <c r="AV8" s="33">
        <v>0.53254047759711598</v>
      </c>
      <c r="AW8" s="32" t="s">
        <v>141</v>
      </c>
      <c r="AX8" s="33"/>
    </row>
    <row r="9" spans="1:50" x14ac:dyDescent="0.25">
      <c r="A9" s="10" t="s">
        <v>1632</v>
      </c>
      <c r="B9" s="10"/>
      <c r="C9" s="32" t="s">
        <v>141</v>
      </c>
      <c r="D9" s="33"/>
      <c r="E9" s="32" t="s">
        <v>141</v>
      </c>
      <c r="F9" s="33"/>
      <c r="G9" s="32" t="s">
        <v>141</v>
      </c>
      <c r="H9" s="33"/>
      <c r="I9" s="32" t="s">
        <v>141</v>
      </c>
      <c r="J9" s="33"/>
      <c r="K9" s="32" t="s">
        <v>141</v>
      </c>
      <c r="L9" s="33"/>
      <c r="M9" s="32" t="s">
        <v>141</v>
      </c>
      <c r="N9" s="33"/>
      <c r="O9" s="32" t="s">
        <v>141</v>
      </c>
      <c r="P9" s="33"/>
      <c r="Q9" s="32" t="s">
        <v>141</v>
      </c>
      <c r="R9" s="33"/>
      <c r="S9" s="32" t="s">
        <v>141</v>
      </c>
      <c r="T9" s="33"/>
      <c r="U9" s="32" t="s">
        <v>141</v>
      </c>
      <c r="V9" s="33"/>
      <c r="W9" s="32" t="s">
        <v>141</v>
      </c>
      <c r="X9" s="33"/>
      <c r="Y9" s="32" t="s">
        <v>141</v>
      </c>
      <c r="Z9" s="33"/>
      <c r="AA9" s="32" t="s">
        <v>141</v>
      </c>
      <c r="AB9" s="33"/>
      <c r="AC9" s="32" t="s">
        <v>141</v>
      </c>
      <c r="AD9" s="33"/>
      <c r="AE9" s="32" t="s">
        <v>141</v>
      </c>
      <c r="AF9" s="33"/>
      <c r="AG9" s="32" t="s">
        <v>141</v>
      </c>
      <c r="AH9" s="33"/>
      <c r="AI9" s="32" t="s">
        <v>141</v>
      </c>
      <c r="AJ9" s="33"/>
      <c r="AK9" s="32" t="s">
        <v>141</v>
      </c>
      <c r="AL9" s="33"/>
      <c r="AM9" s="32" t="s">
        <v>141</v>
      </c>
      <c r="AN9" s="33"/>
      <c r="AO9" s="32" t="s">
        <v>141</v>
      </c>
      <c r="AP9" s="33"/>
      <c r="AQ9" s="32" t="s">
        <v>141</v>
      </c>
      <c r="AR9" s="33"/>
      <c r="AS9" s="32" t="s">
        <v>141</v>
      </c>
      <c r="AT9" s="33"/>
      <c r="AU9" s="32">
        <v>210.68299999999999</v>
      </c>
      <c r="AV9" s="33">
        <v>0.45097522967986098</v>
      </c>
      <c r="AW9" s="32" t="s">
        <v>141</v>
      </c>
      <c r="AX9" s="33"/>
    </row>
    <row r="10" spans="1:50" x14ac:dyDescent="0.25">
      <c r="A10" s="10" t="s">
        <v>1633</v>
      </c>
      <c r="B10" s="10"/>
      <c r="C10" s="32" t="s">
        <v>141</v>
      </c>
      <c r="D10" s="33"/>
      <c r="E10" s="32" t="s">
        <v>141</v>
      </c>
      <c r="F10" s="33"/>
      <c r="G10" s="32" t="s">
        <v>141</v>
      </c>
      <c r="H10" s="33"/>
      <c r="I10" s="32" t="s">
        <v>141</v>
      </c>
      <c r="J10" s="33"/>
      <c r="K10" s="32" t="s">
        <v>141</v>
      </c>
      <c r="L10" s="33"/>
      <c r="M10" s="32" t="s">
        <v>141</v>
      </c>
      <c r="N10" s="33"/>
      <c r="O10" s="32" t="s">
        <v>141</v>
      </c>
      <c r="P10" s="33"/>
      <c r="Q10" s="32" t="s">
        <v>141</v>
      </c>
      <c r="R10" s="33"/>
      <c r="S10" s="32" t="s">
        <v>141</v>
      </c>
      <c r="T10" s="33"/>
      <c r="U10" s="32" t="s">
        <v>141</v>
      </c>
      <c r="V10" s="33"/>
      <c r="W10" s="32" t="s">
        <v>141</v>
      </c>
      <c r="X10" s="33"/>
      <c r="Y10" s="32" t="s">
        <v>141</v>
      </c>
      <c r="Z10" s="33"/>
      <c r="AA10" s="32" t="s">
        <v>141</v>
      </c>
      <c r="AB10" s="33"/>
      <c r="AC10" s="32" t="s">
        <v>141</v>
      </c>
      <c r="AD10" s="33"/>
      <c r="AE10" s="32" t="s">
        <v>141</v>
      </c>
      <c r="AF10" s="33"/>
      <c r="AG10" s="32" t="s">
        <v>141</v>
      </c>
      <c r="AH10" s="33"/>
      <c r="AI10" s="32" t="s">
        <v>141</v>
      </c>
      <c r="AJ10" s="33"/>
      <c r="AK10" s="32" t="s">
        <v>141</v>
      </c>
      <c r="AL10" s="33"/>
      <c r="AM10" s="32" t="s">
        <v>141</v>
      </c>
      <c r="AN10" s="33"/>
      <c r="AO10" s="32" t="s">
        <v>141</v>
      </c>
      <c r="AP10" s="33"/>
      <c r="AQ10" s="32" t="s">
        <v>141</v>
      </c>
      <c r="AR10" s="33"/>
      <c r="AS10" s="32" t="s">
        <v>141</v>
      </c>
      <c r="AT10" s="33"/>
      <c r="AU10" s="32">
        <v>38.104999999999997</v>
      </c>
      <c r="AV10" s="33">
        <v>8.1565247917255307E-2</v>
      </c>
      <c r="AW10" s="32" t="s">
        <v>141</v>
      </c>
      <c r="AX10" s="33"/>
    </row>
    <row r="11" spans="1:50" x14ac:dyDescent="0.25">
      <c r="A11" s="10" t="s">
        <v>1634</v>
      </c>
      <c r="B11" s="10"/>
      <c r="C11" s="32" t="s">
        <v>141</v>
      </c>
      <c r="D11" s="33"/>
      <c r="E11" s="32" t="s">
        <v>141</v>
      </c>
      <c r="F11" s="33"/>
      <c r="G11" s="32" t="s">
        <v>141</v>
      </c>
      <c r="H11" s="33"/>
      <c r="I11" s="32" t="s">
        <v>141</v>
      </c>
      <c r="J11" s="33"/>
      <c r="K11" s="32" t="s">
        <v>141</v>
      </c>
      <c r="L11" s="33"/>
      <c r="M11" s="32" t="s">
        <v>141</v>
      </c>
      <c r="N11" s="33"/>
      <c r="O11" s="32" t="s">
        <v>141</v>
      </c>
      <c r="P11" s="33"/>
      <c r="Q11" s="32" t="s">
        <v>141</v>
      </c>
      <c r="R11" s="33"/>
      <c r="S11" s="32" t="s">
        <v>141</v>
      </c>
      <c r="T11" s="33"/>
      <c r="U11" s="32" t="s">
        <v>141</v>
      </c>
      <c r="V11" s="33"/>
      <c r="W11" s="32" t="s">
        <v>141</v>
      </c>
      <c r="X11" s="33"/>
      <c r="Y11" s="32" t="s">
        <v>141</v>
      </c>
      <c r="Z11" s="33"/>
      <c r="AA11" s="32" t="s">
        <v>141</v>
      </c>
      <c r="AB11" s="33"/>
      <c r="AC11" s="32" t="s">
        <v>141</v>
      </c>
      <c r="AD11" s="33"/>
      <c r="AE11" s="32" t="s">
        <v>141</v>
      </c>
      <c r="AF11" s="33"/>
      <c r="AG11" s="32" t="s">
        <v>141</v>
      </c>
      <c r="AH11" s="33"/>
      <c r="AI11" s="32" t="s">
        <v>141</v>
      </c>
      <c r="AJ11" s="33"/>
      <c r="AK11" s="32" t="s">
        <v>141</v>
      </c>
      <c r="AL11" s="33"/>
      <c r="AM11" s="32">
        <v>69.108000000000004</v>
      </c>
      <c r="AN11" s="33">
        <v>0.20827142672015</v>
      </c>
      <c r="AO11" s="32">
        <v>131.24799999999999</v>
      </c>
      <c r="AP11" s="33">
        <v>0.330781967886567</v>
      </c>
      <c r="AQ11" s="32">
        <v>133.93600000000001</v>
      </c>
      <c r="AR11" s="33">
        <v>0.32393630400711998</v>
      </c>
      <c r="AS11" s="32">
        <v>121.721</v>
      </c>
      <c r="AT11" s="33">
        <v>0.33538330977513597</v>
      </c>
      <c r="AU11" s="32">
        <v>180.983</v>
      </c>
      <c r="AV11" s="33">
        <v>0.38740121411385903</v>
      </c>
      <c r="AW11" s="32" t="s">
        <v>141</v>
      </c>
      <c r="AX11" s="33"/>
    </row>
    <row r="12" spans="1:50" x14ac:dyDescent="0.25">
      <c r="A12" s="10" t="s">
        <v>1635</v>
      </c>
      <c r="B12" s="10"/>
      <c r="C12" s="32" t="s">
        <v>141</v>
      </c>
      <c r="D12" s="33"/>
      <c r="E12" s="32" t="s">
        <v>141</v>
      </c>
      <c r="F12" s="33"/>
      <c r="G12" s="32" t="s">
        <v>141</v>
      </c>
      <c r="H12" s="33"/>
      <c r="I12" s="32" t="s">
        <v>141</v>
      </c>
      <c r="J12" s="33"/>
      <c r="K12" s="32" t="s">
        <v>141</v>
      </c>
      <c r="L12" s="33"/>
      <c r="M12" s="32">
        <v>0</v>
      </c>
      <c r="N12" s="33"/>
      <c r="O12" s="32">
        <v>0</v>
      </c>
      <c r="P12" s="33"/>
      <c r="Q12" s="32">
        <v>0</v>
      </c>
      <c r="R12" s="33"/>
      <c r="S12" s="32" t="s">
        <v>141</v>
      </c>
      <c r="T12" s="33"/>
      <c r="U12" s="32">
        <v>0.193</v>
      </c>
      <c r="V12" s="33">
        <v>1.3135417304721299E-3</v>
      </c>
      <c r="W12" s="32">
        <v>6.9359999999999999</v>
      </c>
      <c r="X12" s="33">
        <v>4.2269743858515799E-2</v>
      </c>
      <c r="Y12" s="32">
        <v>26.655000000000001</v>
      </c>
      <c r="Z12" s="33">
        <v>0.14072943834936599</v>
      </c>
      <c r="AA12" s="32">
        <v>34.744999999999997</v>
      </c>
      <c r="AB12" s="33">
        <v>0.17246514213669101</v>
      </c>
      <c r="AC12" s="32">
        <v>43.613999999999997</v>
      </c>
      <c r="AD12" s="33">
        <v>0.20686809277616999</v>
      </c>
      <c r="AE12" s="32">
        <v>54.676000000000002</v>
      </c>
      <c r="AF12" s="33">
        <v>0.234171495629307</v>
      </c>
      <c r="AG12" s="32">
        <v>54.893000000000001</v>
      </c>
      <c r="AH12" s="33">
        <v>0.23838640893911001</v>
      </c>
      <c r="AI12" s="32">
        <v>65.912000000000006</v>
      </c>
      <c r="AJ12" s="33">
        <v>0.26000788954635101</v>
      </c>
      <c r="AK12" s="32">
        <v>71.653000000000006</v>
      </c>
      <c r="AL12" s="33">
        <v>0.27428245507927601</v>
      </c>
      <c r="AM12" s="32">
        <v>66.266999999999996</v>
      </c>
      <c r="AN12" s="33">
        <v>0.19970947841732001</v>
      </c>
      <c r="AO12" s="32">
        <v>69.923000000000002</v>
      </c>
      <c r="AP12" s="33">
        <v>0.17622567612864501</v>
      </c>
      <c r="AQ12" s="32">
        <v>71.923000000000002</v>
      </c>
      <c r="AR12" s="33">
        <v>0.17395226670278399</v>
      </c>
      <c r="AS12" s="32" t="s">
        <v>141</v>
      </c>
      <c r="AT12" s="33"/>
      <c r="AU12" s="32" t="s">
        <v>141</v>
      </c>
      <c r="AV12" s="33"/>
      <c r="AW12" s="32" t="s">
        <v>141</v>
      </c>
      <c r="AX12" s="33"/>
    </row>
    <row r="13" spans="1:50" x14ac:dyDescent="0.25">
      <c r="A13" s="10" t="s">
        <v>1636</v>
      </c>
      <c r="B13" s="10"/>
      <c r="C13" s="32" t="s">
        <v>141</v>
      </c>
      <c r="D13" s="33"/>
      <c r="E13" s="32" t="s">
        <v>141</v>
      </c>
      <c r="F13" s="33"/>
      <c r="G13" s="32" t="s">
        <v>141</v>
      </c>
      <c r="H13" s="33"/>
      <c r="I13" s="32" t="s">
        <v>141</v>
      </c>
      <c r="J13" s="33"/>
      <c r="K13" s="32" t="s">
        <v>141</v>
      </c>
      <c r="L13" s="33"/>
      <c r="M13" s="32">
        <v>2.2650000000000001</v>
      </c>
      <c r="N13" s="33">
        <v>1.9925400707285702E-2</v>
      </c>
      <c r="O13" s="32">
        <v>6.9969999999999999</v>
      </c>
      <c r="P13" s="33">
        <v>5.0938025523612603E-2</v>
      </c>
      <c r="Q13" s="32">
        <v>9.6270000000000007</v>
      </c>
      <c r="R13" s="33">
        <v>6.6889469442205599E-2</v>
      </c>
      <c r="S13" s="32" t="s">
        <v>141</v>
      </c>
      <c r="T13" s="33"/>
      <c r="U13" s="32">
        <v>17.547999999999998</v>
      </c>
      <c r="V13" s="33">
        <v>0.119430208737435</v>
      </c>
      <c r="W13" s="32">
        <v>22.442</v>
      </c>
      <c r="X13" s="33">
        <v>0.13676724216736</v>
      </c>
      <c r="Y13" s="32">
        <v>24.658000000000001</v>
      </c>
      <c r="Z13" s="33">
        <v>0.130185949758719</v>
      </c>
      <c r="AA13" s="32">
        <v>24.863</v>
      </c>
      <c r="AB13" s="33">
        <v>0.123413464640799</v>
      </c>
      <c r="AC13" s="32">
        <v>28.077999999999999</v>
      </c>
      <c r="AD13" s="33">
        <v>0.133178390172177</v>
      </c>
      <c r="AE13" s="32">
        <v>30.184000000000001</v>
      </c>
      <c r="AF13" s="33">
        <v>0.12927486326861901</v>
      </c>
      <c r="AG13" s="32">
        <v>30.619</v>
      </c>
      <c r="AH13" s="33">
        <v>0.13297056920384401</v>
      </c>
      <c r="AI13" s="32">
        <v>33.012</v>
      </c>
      <c r="AJ13" s="33">
        <v>0.13022485207100601</v>
      </c>
      <c r="AK13" s="32">
        <v>32.646999999999998</v>
      </c>
      <c r="AL13" s="33">
        <v>0.124970333565561</v>
      </c>
      <c r="AM13" s="32">
        <v>31.65</v>
      </c>
      <c r="AN13" s="33">
        <v>9.5383901367319904E-2</v>
      </c>
      <c r="AO13" s="32">
        <v>32.880000000000003</v>
      </c>
      <c r="AP13" s="33">
        <v>8.2866871145543794E-2</v>
      </c>
      <c r="AQ13" s="32">
        <v>33.454000000000001</v>
      </c>
      <c r="AR13" s="33">
        <v>8.0911518294216694E-2</v>
      </c>
      <c r="AS13" s="32" t="s">
        <v>141</v>
      </c>
      <c r="AT13" s="33"/>
      <c r="AU13" s="32" t="s">
        <v>141</v>
      </c>
      <c r="AV13" s="33"/>
      <c r="AW13" s="32" t="s">
        <v>141</v>
      </c>
      <c r="AX13" s="33"/>
    </row>
    <row r="14" spans="1:50" x14ac:dyDescent="0.25">
      <c r="A14" s="10" t="s">
        <v>1637</v>
      </c>
      <c r="B14" s="10"/>
      <c r="C14" s="32" t="s">
        <v>141</v>
      </c>
      <c r="D14" s="33"/>
      <c r="E14" s="32" t="s">
        <v>141</v>
      </c>
      <c r="F14" s="33"/>
      <c r="G14" s="32" t="s">
        <v>141</v>
      </c>
      <c r="H14" s="33"/>
      <c r="I14" s="32" t="s">
        <v>141</v>
      </c>
      <c r="J14" s="33"/>
      <c r="K14" s="32" t="s">
        <v>141</v>
      </c>
      <c r="L14" s="33"/>
      <c r="M14" s="32">
        <v>98.183000000000007</v>
      </c>
      <c r="N14" s="33">
        <v>0.86372433450041397</v>
      </c>
      <c r="O14" s="32">
        <v>104.34699999999999</v>
      </c>
      <c r="P14" s="33">
        <v>0.75964415453943201</v>
      </c>
      <c r="Q14" s="32">
        <v>111.80200000000001</v>
      </c>
      <c r="R14" s="33">
        <v>0.77681276229120899</v>
      </c>
      <c r="S14" s="32" t="s">
        <v>141</v>
      </c>
      <c r="T14" s="33"/>
      <c r="U14" s="32">
        <v>107.185</v>
      </c>
      <c r="V14" s="33">
        <v>0.72949207451116505</v>
      </c>
      <c r="W14" s="32">
        <v>112.461</v>
      </c>
      <c r="X14" s="33">
        <v>0.68536586852256998</v>
      </c>
      <c r="Y14" s="32">
        <v>115.598</v>
      </c>
      <c r="Z14" s="33">
        <v>0.61031857491315</v>
      </c>
      <c r="AA14" s="32">
        <v>119.117</v>
      </c>
      <c r="AB14" s="33">
        <v>0.59126580330684397</v>
      </c>
      <c r="AC14" s="32">
        <v>117.133</v>
      </c>
      <c r="AD14" s="33">
        <v>0.55558032538063795</v>
      </c>
      <c r="AE14" s="32">
        <v>126.377</v>
      </c>
      <c r="AF14" s="33">
        <v>0.54125925640399697</v>
      </c>
      <c r="AG14" s="32">
        <v>122.262</v>
      </c>
      <c r="AH14" s="33">
        <v>0.53095292896568802</v>
      </c>
      <c r="AI14" s="32">
        <v>132.571</v>
      </c>
      <c r="AJ14" s="33">
        <v>0.52296252465483195</v>
      </c>
      <c r="AK14" s="32">
        <v>134.68799999999999</v>
      </c>
      <c r="AL14" s="33">
        <v>0.51557583506228</v>
      </c>
      <c r="AM14" s="32">
        <v>142.297</v>
      </c>
      <c r="AN14" s="33">
        <v>0.42884180135436101</v>
      </c>
      <c r="AO14" s="32">
        <v>131.02000000000001</v>
      </c>
      <c r="AP14" s="33">
        <v>0.33020734359760201</v>
      </c>
      <c r="AQ14" s="32">
        <v>120.17100000000001</v>
      </c>
      <c r="AR14" s="33">
        <v>0.29064440918677298</v>
      </c>
      <c r="AS14" s="32" t="s">
        <v>141</v>
      </c>
      <c r="AT14" s="33"/>
      <c r="AU14" s="32" t="s">
        <v>141</v>
      </c>
      <c r="AV14" s="33"/>
      <c r="AW14" s="32" t="s">
        <v>141</v>
      </c>
      <c r="AX14" s="33"/>
    </row>
    <row r="15" spans="1:50" x14ac:dyDescent="0.25">
      <c r="A15" s="10" t="s">
        <v>1638</v>
      </c>
      <c r="B15" s="10"/>
      <c r="C15" s="32" t="s">
        <v>141</v>
      </c>
      <c r="D15" s="33"/>
      <c r="E15" s="32">
        <v>0</v>
      </c>
      <c r="F15" s="33"/>
      <c r="G15" s="32">
        <v>0</v>
      </c>
      <c r="H15" s="33"/>
      <c r="I15" s="32">
        <v>0</v>
      </c>
      <c r="J15" s="33"/>
      <c r="K15" s="32">
        <v>0</v>
      </c>
      <c r="L15" s="33"/>
      <c r="M15" s="32">
        <v>13.226000000000001</v>
      </c>
      <c r="N15" s="33">
        <v>0.116350264792301</v>
      </c>
      <c r="O15" s="32">
        <v>26.018999999999998</v>
      </c>
      <c r="P15" s="33">
        <v>0.189417819936955</v>
      </c>
      <c r="Q15" s="32">
        <v>22.495000000000001</v>
      </c>
      <c r="R15" s="33">
        <v>0.15629776826658501</v>
      </c>
      <c r="S15" s="32">
        <v>22.494</v>
      </c>
      <c r="T15" s="33">
        <v>0.154983532913503</v>
      </c>
      <c r="U15" s="32">
        <v>22.004999999999999</v>
      </c>
      <c r="V15" s="33">
        <v>0.14976417502092801</v>
      </c>
      <c r="W15" s="32">
        <v>22.25</v>
      </c>
      <c r="X15" s="33">
        <v>0.13559714545155399</v>
      </c>
      <c r="Y15" s="32">
        <v>22.495000000000001</v>
      </c>
      <c r="Z15" s="33">
        <v>0.118766036978765</v>
      </c>
      <c r="AA15" s="32">
        <v>22.736000000000001</v>
      </c>
      <c r="AB15" s="33">
        <v>0.11285558991566599</v>
      </c>
      <c r="AC15" s="32">
        <v>22.004999999999999</v>
      </c>
      <c r="AD15" s="33">
        <v>0.104373191671015</v>
      </c>
      <c r="AE15" s="32">
        <v>22.25</v>
      </c>
      <c r="AF15" s="33">
        <v>9.5294384698077397E-2</v>
      </c>
      <c r="AG15" s="32">
        <v>22.495000000000001</v>
      </c>
      <c r="AH15" s="33">
        <v>9.7690092891357494E-2</v>
      </c>
      <c r="AI15" s="32">
        <v>22.004999999999999</v>
      </c>
      <c r="AJ15" s="33">
        <v>8.6804733727810598E-2</v>
      </c>
      <c r="AK15" s="32">
        <v>22.25</v>
      </c>
      <c r="AL15" s="33">
        <v>8.5171376292882406E-2</v>
      </c>
      <c r="AM15" s="32">
        <v>22.495000000000001</v>
      </c>
      <c r="AN15" s="33">
        <v>6.7793392140848702E-2</v>
      </c>
      <c r="AO15" s="32">
        <v>31.71</v>
      </c>
      <c r="AP15" s="33">
        <v>7.9918141241642093E-2</v>
      </c>
      <c r="AQ15" s="32">
        <v>53.98</v>
      </c>
      <c r="AR15" s="33">
        <v>0.13055550180910599</v>
      </c>
      <c r="AS15" s="32">
        <v>2.383</v>
      </c>
      <c r="AT15" s="33">
        <v>6.5659863720652096E-3</v>
      </c>
      <c r="AU15" s="32">
        <v>37.401000000000003</v>
      </c>
      <c r="AV15" s="33">
        <v>8.0058308289024202E-2</v>
      </c>
      <c r="AW15" s="32">
        <v>20.254999999999999</v>
      </c>
      <c r="AX15" s="33">
        <v>3.0763412574497401E-2</v>
      </c>
    </row>
    <row r="16" spans="1:50" x14ac:dyDescent="0.25">
      <c r="A16" s="6" t="s">
        <v>1639</v>
      </c>
      <c r="B16" s="6"/>
      <c r="C16" s="36">
        <v>146.20699999999999</v>
      </c>
      <c r="D16" s="37">
        <v>1</v>
      </c>
      <c r="E16" s="36">
        <v>90.552999999999997</v>
      </c>
      <c r="F16" s="37">
        <v>1</v>
      </c>
      <c r="G16" s="36">
        <v>113.26600000000001</v>
      </c>
      <c r="H16" s="37">
        <v>1</v>
      </c>
      <c r="I16" s="36">
        <v>133.94900000000001</v>
      </c>
      <c r="J16" s="37">
        <v>1</v>
      </c>
      <c r="K16" s="36">
        <v>223.143</v>
      </c>
      <c r="L16" s="37">
        <v>1</v>
      </c>
      <c r="M16" s="36">
        <v>136.14400000000001</v>
      </c>
      <c r="N16" s="37">
        <v>1</v>
      </c>
      <c r="O16" s="36">
        <v>188.52199999999999</v>
      </c>
      <c r="P16" s="37">
        <v>1</v>
      </c>
      <c r="Q16" s="36">
        <v>190.43799999999999</v>
      </c>
      <c r="R16" s="37">
        <v>1</v>
      </c>
      <c r="S16" s="36">
        <v>207.239</v>
      </c>
      <c r="T16" s="37">
        <v>1</v>
      </c>
      <c r="U16" s="36">
        <v>195.149</v>
      </c>
      <c r="V16" s="37">
        <v>1</v>
      </c>
      <c r="W16" s="36">
        <v>239.62200000000001</v>
      </c>
      <c r="X16" s="37">
        <v>1</v>
      </c>
      <c r="Y16" s="36">
        <v>139.11500000000001</v>
      </c>
      <c r="Z16" s="37">
        <v>1</v>
      </c>
      <c r="AA16" s="36" t="s">
        <v>141</v>
      </c>
      <c r="AB16" s="37"/>
      <c r="AC16" s="36">
        <v>194.25</v>
      </c>
      <c r="AD16" s="37">
        <v>1</v>
      </c>
      <c r="AE16" s="36">
        <v>252.32900000000001</v>
      </c>
      <c r="AF16" s="37">
        <v>1</v>
      </c>
      <c r="AG16" s="36">
        <v>216.70699999999999</v>
      </c>
      <c r="AH16" s="37">
        <v>1</v>
      </c>
      <c r="AI16" s="36">
        <v>245.679</v>
      </c>
      <c r="AJ16" s="37">
        <v>1</v>
      </c>
      <c r="AK16" s="36">
        <v>241.89</v>
      </c>
      <c r="AL16" s="37">
        <v>1</v>
      </c>
      <c r="AM16" s="36">
        <v>194.30099999999999</v>
      </c>
      <c r="AN16" s="37">
        <v>1</v>
      </c>
      <c r="AO16" s="36" t="s">
        <v>141</v>
      </c>
      <c r="AP16" s="37"/>
      <c r="AQ16" s="36" t="s">
        <v>141</v>
      </c>
      <c r="AR16" s="37"/>
      <c r="AS16" s="36">
        <v>179.69</v>
      </c>
      <c r="AT16" s="37">
        <v>1</v>
      </c>
      <c r="AU16" s="36">
        <v>224.483</v>
      </c>
      <c r="AV16" s="37">
        <v>1</v>
      </c>
      <c r="AW16" s="36" t="s">
        <v>141</v>
      </c>
      <c r="AX16" s="37"/>
    </row>
    <row r="17" spans="1:50" x14ac:dyDescent="0.25">
      <c r="A17" s="10" t="s">
        <v>1640</v>
      </c>
      <c r="B17" s="10"/>
      <c r="C17" s="32" t="s">
        <v>141</v>
      </c>
      <c r="D17" s="33"/>
      <c r="E17" s="32" t="s">
        <v>141</v>
      </c>
      <c r="F17" s="33"/>
      <c r="G17" s="32">
        <v>18.626999999999999</v>
      </c>
      <c r="H17" s="33">
        <v>0.164453587131178</v>
      </c>
      <c r="I17" s="32">
        <v>23.439</v>
      </c>
      <c r="J17" s="33">
        <v>0.17498450902955601</v>
      </c>
      <c r="K17" s="32">
        <v>30.353000000000002</v>
      </c>
      <c r="L17" s="33">
        <v>0.13602488090596601</v>
      </c>
      <c r="M17" s="32">
        <v>44.069000000000003</v>
      </c>
      <c r="N17" s="33">
        <v>0.32369402985074602</v>
      </c>
      <c r="O17" s="32">
        <v>60.279000000000003</v>
      </c>
      <c r="P17" s="33">
        <v>0.31974517562936899</v>
      </c>
      <c r="Q17" s="32">
        <v>71.450999999999993</v>
      </c>
      <c r="R17" s="33">
        <v>0.37519297619172598</v>
      </c>
      <c r="S17" s="32">
        <v>114.078</v>
      </c>
      <c r="T17" s="33">
        <v>0.55046588721234901</v>
      </c>
      <c r="U17" s="32">
        <v>59.372999999999998</v>
      </c>
      <c r="V17" s="33">
        <v>0.304244449113242</v>
      </c>
      <c r="W17" s="32">
        <v>94.236000000000004</v>
      </c>
      <c r="X17" s="33">
        <v>0.39326939930390398</v>
      </c>
      <c r="Y17" s="32">
        <v>64.835999999999999</v>
      </c>
      <c r="Z17" s="33">
        <v>0.466060453581569</v>
      </c>
      <c r="AA17" s="32" t="s">
        <v>141</v>
      </c>
      <c r="AB17" s="33"/>
      <c r="AC17" s="32">
        <v>91.561000000000007</v>
      </c>
      <c r="AD17" s="33">
        <v>0.47135649935649898</v>
      </c>
      <c r="AE17" s="32">
        <v>130.583</v>
      </c>
      <c r="AF17" s="33">
        <v>0.517510868746755</v>
      </c>
      <c r="AG17" s="32">
        <v>114.462</v>
      </c>
      <c r="AH17" s="33">
        <v>0.52818782965017297</v>
      </c>
      <c r="AI17" s="32">
        <v>104.619</v>
      </c>
      <c r="AJ17" s="33">
        <v>0.42583615205206798</v>
      </c>
      <c r="AK17" s="32">
        <v>88.480999999999995</v>
      </c>
      <c r="AL17" s="33">
        <v>0.36579023523088999</v>
      </c>
      <c r="AM17" s="32">
        <v>45.478000000000002</v>
      </c>
      <c r="AN17" s="33">
        <v>0.234059526199042</v>
      </c>
      <c r="AO17" s="32" t="s">
        <v>141</v>
      </c>
      <c r="AP17" s="33"/>
      <c r="AQ17" s="32" t="s">
        <v>141</v>
      </c>
      <c r="AR17" s="33"/>
      <c r="AS17" s="32">
        <v>41.454000000000001</v>
      </c>
      <c r="AT17" s="33">
        <v>0.23069731203739799</v>
      </c>
      <c r="AU17" s="32">
        <v>148.08099999999999</v>
      </c>
      <c r="AV17" s="33">
        <v>0.65965351496549895</v>
      </c>
      <c r="AW17" s="32" t="s">
        <v>141</v>
      </c>
      <c r="AX17" s="33"/>
    </row>
    <row r="18" spans="1:50" x14ac:dyDescent="0.25">
      <c r="A18" s="10" t="s">
        <v>1641</v>
      </c>
      <c r="B18" s="10"/>
      <c r="C18" s="32">
        <v>48.526000000000003</v>
      </c>
      <c r="D18" s="33">
        <v>0.33189929346748098</v>
      </c>
      <c r="E18" s="32">
        <v>43.106999999999999</v>
      </c>
      <c r="F18" s="33">
        <v>0.47604165516327501</v>
      </c>
      <c r="G18" s="32">
        <v>50.03</v>
      </c>
      <c r="H18" s="33">
        <v>0.44170360037433998</v>
      </c>
      <c r="I18" s="32">
        <v>53.792999999999999</v>
      </c>
      <c r="J18" s="33">
        <v>0.40159314365915399</v>
      </c>
      <c r="K18" s="32">
        <v>60.32</v>
      </c>
      <c r="L18" s="33">
        <v>0.27031992937264399</v>
      </c>
      <c r="M18" s="32">
        <v>46.173000000000002</v>
      </c>
      <c r="N18" s="33">
        <v>0.33914825478904698</v>
      </c>
      <c r="O18" s="32">
        <v>47.784999999999997</v>
      </c>
      <c r="P18" s="33">
        <v>0.253471743350909</v>
      </c>
      <c r="Q18" s="32">
        <v>55.302999999999997</v>
      </c>
      <c r="R18" s="33">
        <v>0.29039897499448603</v>
      </c>
      <c r="S18" s="32">
        <v>57.651000000000003</v>
      </c>
      <c r="T18" s="33">
        <v>0.27818605571345201</v>
      </c>
      <c r="U18" s="32">
        <v>57.517000000000003</v>
      </c>
      <c r="V18" s="33">
        <v>0.29473376753147601</v>
      </c>
      <c r="W18" s="32">
        <v>56.96</v>
      </c>
      <c r="X18" s="33">
        <v>0.23770772299705401</v>
      </c>
      <c r="Y18" s="32">
        <v>52.784999999999997</v>
      </c>
      <c r="Z18" s="33">
        <v>0.37943428099054699</v>
      </c>
      <c r="AA18" s="32" t="s">
        <v>141</v>
      </c>
      <c r="AB18" s="33"/>
      <c r="AC18" s="32">
        <v>65.075000000000003</v>
      </c>
      <c r="AD18" s="33">
        <v>0.33500643500643501</v>
      </c>
      <c r="AE18" s="32">
        <v>70.947000000000003</v>
      </c>
      <c r="AF18" s="33">
        <v>0.28116863301483402</v>
      </c>
      <c r="AG18" s="32">
        <v>73.832999999999998</v>
      </c>
      <c r="AH18" s="33">
        <v>0.340704268897636</v>
      </c>
      <c r="AI18" s="32">
        <v>84.603999999999999</v>
      </c>
      <c r="AJ18" s="33">
        <v>0.34436805750593202</v>
      </c>
      <c r="AK18" s="32">
        <v>91.531999999999996</v>
      </c>
      <c r="AL18" s="33">
        <v>0.37840340650708998</v>
      </c>
      <c r="AM18" s="32">
        <v>96.254000000000005</v>
      </c>
      <c r="AN18" s="33">
        <v>0.49538602477599197</v>
      </c>
      <c r="AO18" s="32" t="s">
        <v>141</v>
      </c>
      <c r="AP18" s="33"/>
      <c r="AQ18" s="32" t="s">
        <v>141</v>
      </c>
      <c r="AR18" s="33"/>
      <c r="AS18" s="32">
        <v>84.64</v>
      </c>
      <c r="AT18" s="33">
        <v>0.47103344649117901</v>
      </c>
      <c r="AU18" s="32">
        <v>89.149000000000001</v>
      </c>
      <c r="AV18" s="33">
        <v>0.39713029494438301</v>
      </c>
      <c r="AW18" s="32" t="s">
        <v>141</v>
      </c>
      <c r="AX18" s="33"/>
    </row>
    <row r="19" spans="1:50" x14ac:dyDescent="0.25">
      <c r="A19" s="10" t="s">
        <v>1642</v>
      </c>
      <c r="B19" s="10"/>
      <c r="C19" s="32" t="s">
        <v>141</v>
      </c>
      <c r="D19" s="33"/>
      <c r="E19" s="32" t="s">
        <v>141</v>
      </c>
      <c r="F19" s="33"/>
      <c r="G19" s="32" t="s">
        <v>141</v>
      </c>
      <c r="H19" s="33"/>
      <c r="I19" s="32" t="s">
        <v>141</v>
      </c>
      <c r="J19" s="33"/>
      <c r="K19" s="32" t="s">
        <v>141</v>
      </c>
      <c r="L19" s="33"/>
      <c r="M19" s="32" t="s">
        <v>141</v>
      </c>
      <c r="N19" s="33"/>
      <c r="O19" s="32" t="s">
        <v>141</v>
      </c>
      <c r="P19" s="33"/>
      <c r="Q19" s="32" t="s">
        <v>141</v>
      </c>
      <c r="R19" s="33"/>
      <c r="S19" s="32" t="s">
        <v>141</v>
      </c>
      <c r="T19" s="33"/>
      <c r="U19" s="32" t="s">
        <v>141</v>
      </c>
      <c r="V19" s="33"/>
      <c r="W19" s="32" t="s">
        <v>141</v>
      </c>
      <c r="X19" s="33"/>
      <c r="Y19" s="32" t="s">
        <v>141</v>
      </c>
      <c r="Z19" s="33"/>
      <c r="AA19" s="32" t="s">
        <v>141</v>
      </c>
      <c r="AB19" s="33"/>
      <c r="AC19" s="32" t="s">
        <v>141</v>
      </c>
      <c r="AD19" s="33"/>
      <c r="AE19" s="32" t="s">
        <v>141</v>
      </c>
      <c r="AF19" s="33"/>
      <c r="AG19" s="32" t="s">
        <v>141</v>
      </c>
      <c r="AH19" s="33"/>
      <c r="AI19" s="32" t="s">
        <v>141</v>
      </c>
      <c r="AJ19" s="33"/>
      <c r="AK19" s="32" t="s">
        <v>141</v>
      </c>
      <c r="AL19" s="33"/>
      <c r="AM19" s="32" t="s">
        <v>141</v>
      </c>
      <c r="AN19" s="33"/>
      <c r="AO19" s="32" t="s">
        <v>141</v>
      </c>
      <c r="AP19" s="33"/>
      <c r="AQ19" s="32" t="s">
        <v>141</v>
      </c>
      <c r="AR19" s="33"/>
      <c r="AS19" s="32">
        <v>20.963999999999999</v>
      </c>
      <c r="AT19" s="33">
        <v>0.11666759418999401</v>
      </c>
      <c r="AU19" s="32">
        <v>16.501999999999999</v>
      </c>
      <c r="AV19" s="33">
        <v>7.3511134473434506E-2</v>
      </c>
      <c r="AW19" s="32" t="s">
        <v>141</v>
      </c>
      <c r="AX19" s="33"/>
    </row>
    <row r="20" spans="1:50" x14ac:dyDescent="0.25">
      <c r="A20" s="10" t="s">
        <v>1643</v>
      </c>
      <c r="B20" s="10"/>
      <c r="C20" s="32">
        <v>7.0949999999999998</v>
      </c>
      <c r="D20" s="33">
        <v>4.8527088306305401E-2</v>
      </c>
      <c r="E20" s="32">
        <v>8.8030000000000008</v>
      </c>
      <c r="F20" s="33">
        <v>9.7213786401334004E-2</v>
      </c>
      <c r="G20" s="32">
        <v>8.8859999999999992</v>
      </c>
      <c r="H20" s="33">
        <v>7.8452492363109902E-2</v>
      </c>
      <c r="I20" s="32">
        <v>12.702999999999999</v>
      </c>
      <c r="J20" s="33">
        <v>9.4834601228825893E-2</v>
      </c>
      <c r="K20" s="32">
        <v>16.649999999999999</v>
      </c>
      <c r="L20" s="33">
        <v>7.4615829311248799E-2</v>
      </c>
      <c r="M20" s="32">
        <v>5.81</v>
      </c>
      <c r="N20" s="33">
        <v>4.2675402514984098E-2</v>
      </c>
      <c r="O20" s="32">
        <v>6.3250000000000002</v>
      </c>
      <c r="P20" s="33">
        <v>3.35504609541592E-2</v>
      </c>
      <c r="Q20" s="32">
        <v>10.766</v>
      </c>
      <c r="R20" s="33">
        <v>5.6532834833384102E-2</v>
      </c>
      <c r="S20" s="32">
        <v>9.4700000000000006</v>
      </c>
      <c r="T20" s="33">
        <v>4.56960321175068E-2</v>
      </c>
      <c r="U20" s="32">
        <v>6.51</v>
      </c>
      <c r="V20" s="33">
        <v>3.33591255912149E-2</v>
      </c>
      <c r="W20" s="32">
        <v>10.568</v>
      </c>
      <c r="X20" s="33">
        <v>4.41027952358298E-2</v>
      </c>
      <c r="Y20" s="32">
        <v>4.93</v>
      </c>
      <c r="Z20" s="33">
        <v>3.5438306437120398E-2</v>
      </c>
      <c r="AA20" s="32" t="s">
        <v>141</v>
      </c>
      <c r="AB20" s="33"/>
      <c r="AC20" s="32">
        <v>9.0559999999999992</v>
      </c>
      <c r="AD20" s="33">
        <v>4.6620334620334603E-2</v>
      </c>
      <c r="AE20" s="32">
        <v>14.693</v>
      </c>
      <c r="AF20" s="33">
        <v>5.8229533664382598E-2</v>
      </c>
      <c r="AG20" s="32">
        <v>9.5310000000000006</v>
      </c>
      <c r="AH20" s="33">
        <v>4.3981043528819999E-2</v>
      </c>
      <c r="AI20" s="32">
        <v>22.614000000000001</v>
      </c>
      <c r="AJ20" s="33">
        <v>9.2046939298841196E-2</v>
      </c>
      <c r="AK20" s="32">
        <v>29.358000000000001</v>
      </c>
      <c r="AL20" s="33">
        <v>0.121369217412874</v>
      </c>
      <c r="AM20" s="32">
        <v>24.616</v>
      </c>
      <c r="AN20" s="33">
        <v>0.12669003247538599</v>
      </c>
      <c r="AO20" s="32" t="s">
        <v>141</v>
      </c>
      <c r="AP20" s="33"/>
      <c r="AQ20" s="32" t="s">
        <v>141</v>
      </c>
      <c r="AR20" s="33"/>
      <c r="AS20" s="32">
        <v>19.992000000000001</v>
      </c>
      <c r="AT20" s="33">
        <v>0.111258278145695</v>
      </c>
      <c r="AU20" s="32">
        <v>9.859</v>
      </c>
      <c r="AV20" s="33">
        <v>4.39186931749843E-2</v>
      </c>
      <c r="AW20" s="32" t="s">
        <v>141</v>
      </c>
      <c r="AX20" s="33"/>
    </row>
    <row r="21" spans="1:50" x14ac:dyDescent="0.25">
      <c r="A21" s="10" t="s">
        <v>1644</v>
      </c>
      <c r="B21" s="10"/>
      <c r="C21" s="32" t="s">
        <v>141</v>
      </c>
      <c r="D21" s="33"/>
      <c r="E21" s="32" t="s">
        <v>141</v>
      </c>
      <c r="F21" s="33"/>
      <c r="G21" s="32">
        <v>3.2349999999999999</v>
      </c>
      <c r="H21" s="33">
        <v>2.8561086292444301E-2</v>
      </c>
      <c r="I21" s="32">
        <v>12.670999999999999</v>
      </c>
      <c r="J21" s="33">
        <v>9.4595704335232095E-2</v>
      </c>
      <c r="K21" s="32">
        <v>16.565000000000001</v>
      </c>
      <c r="L21" s="33">
        <v>7.4234907660110303E-2</v>
      </c>
      <c r="M21" s="32">
        <v>15.196</v>
      </c>
      <c r="N21" s="33">
        <v>0.111617111293924</v>
      </c>
      <c r="O21" s="32">
        <v>29.937000000000001</v>
      </c>
      <c r="P21" s="33">
        <v>0.15879844262208101</v>
      </c>
      <c r="Q21" s="32">
        <v>27.256</v>
      </c>
      <c r="R21" s="33">
        <v>0.14312269610056799</v>
      </c>
      <c r="S21" s="32">
        <v>-4.7389999999999999</v>
      </c>
      <c r="T21" s="33">
        <v>-2.2867317445075499E-2</v>
      </c>
      <c r="U21" s="32">
        <v>33.954999999999998</v>
      </c>
      <c r="V21" s="33">
        <v>0.173995254907788</v>
      </c>
      <c r="W21" s="32">
        <v>35.994999999999997</v>
      </c>
      <c r="X21" s="33">
        <v>0.15021575648312799</v>
      </c>
      <c r="Y21" s="32">
        <v>14.141999999999999</v>
      </c>
      <c r="Z21" s="33">
        <v>0.10165690256262799</v>
      </c>
      <c r="AA21" s="32" t="s">
        <v>141</v>
      </c>
      <c r="AB21" s="33"/>
      <c r="AC21" s="32">
        <v>15.877000000000001</v>
      </c>
      <c r="AD21" s="33">
        <v>8.1734877734877698E-2</v>
      </c>
      <c r="AE21" s="32">
        <v>19.382000000000001</v>
      </c>
      <c r="AF21" s="33">
        <v>7.6812415536858594E-2</v>
      </c>
      <c r="AG21" s="32">
        <v>11.842000000000001</v>
      </c>
      <c r="AH21" s="33">
        <v>5.4645212198959903E-2</v>
      </c>
      <c r="AI21" s="32">
        <v>19.901</v>
      </c>
      <c r="AJ21" s="33">
        <v>8.1004074422315303E-2</v>
      </c>
      <c r="AK21" s="32">
        <v>20.390999999999998</v>
      </c>
      <c r="AL21" s="33">
        <v>8.4298648145851404E-2</v>
      </c>
      <c r="AM21" s="32">
        <v>20.459</v>
      </c>
      <c r="AN21" s="33">
        <v>0.10529539220076101</v>
      </c>
      <c r="AO21" s="32" t="s">
        <v>141</v>
      </c>
      <c r="AP21" s="33"/>
      <c r="AQ21" s="32" t="s">
        <v>141</v>
      </c>
      <c r="AR21" s="33"/>
      <c r="AS21" s="32">
        <v>7.9189999999999996</v>
      </c>
      <c r="AT21" s="33">
        <v>4.4070343369135699E-2</v>
      </c>
      <c r="AU21" s="32">
        <v>8.4570000000000007</v>
      </c>
      <c r="AV21" s="33">
        <v>3.7673231380550003E-2</v>
      </c>
      <c r="AW21" s="32" t="s">
        <v>141</v>
      </c>
      <c r="AX21" s="33"/>
    </row>
    <row r="22" spans="1:50" x14ac:dyDescent="0.25">
      <c r="A22" s="10" t="s">
        <v>1645</v>
      </c>
      <c r="B22" s="10"/>
      <c r="C22" s="32">
        <v>7.45</v>
      </c>
      <c r="D22" s="33">
        <v>5.0955152626071198E-2</v>
      </c>
      <c r="E22" s="32">
        <v>4.9269999999999996</v>
      </c>
      <c r="F22" s="33">
        <v>5.44101244575E-2</v>
      </c>
      <c r="G22" s="32">
        <v>4.516</v>
      </c>
      <c r="H22" s="33">
        <v>3.98707467377677E-2</v>
      </c>
      <c r="I22" s="32">
        <v>4.5750000000000002</v>
      </c>
      <c r="J22" s="33">
        <v>3.4154790255993002E-2</v>
      </c>
      <c r="K22" s="32">
        <v>5.0640000000000001</v>
      </c>
      <c r="L22" s="33">
        <v>2.2693967545475299E-2</v>
      </c>
      <c r="M22" s="32">
        <v>3.528</v>
      </c>
      <c r="N22" s="33">
        <v>2.5913738394640999E-2</v>
      </c>
      <c r="O22" s="32">
        <v>7.4989999999999997</v>
      </c>
      <c r="P22" s="33">
        <v>3.9777850860907502E-2</v>
      </c>
      <c r="Q22" s="32">
        <v>6.6829999999999998</v>
      </c>
      <c r="R22" s="33">
        <v>3.5092786103613799E-2</v>
      </c>
      <c r="S22" s="32">
        <v>13.923</v>
      </c>
      <c r="T22" s="33">
        <v>6.7183300440554095E-2</v>
      </c>
      <c r="U22" s="32">
        <v>9.09</v>
      </c>
      <c r="V22" s="33">
        <v>4.65797928762125E-2</v>
      </c>
      <c r="W22" s="32">
        <v>11.407</v>
      </c>
      <c r="X22" s="33">
        <v>4.7604143192194401E-2</v>
      </c>
      <c r="Y22" s="32">
        <v>8.8529999999999998</v>
      </c>
      <c r="Z22" s="33">
        <v>6.3637997340329905E-2</v>
      </c>
      <c r="AA22" s="32" t="s">
        <v>141</v>
      </c>
      <c r="AB22" s="33"/>
      <c r="AC22" s="32">
        <v>14.965999999999999</v>
      </c>
      <c r="AD22" s="33">
        <v>7.7045045045045002E-2</v>
      </c>
      <c r="AE22" s="32">
        <v>11.156000000000001</v>
      </c>
      <c r="AF22" s="33">
        <v>4.4212119891094602E-2</v>
      </c>
      <c r="AG22" s="32">
        <v>11.224</v>
      </c>
      <c r="AH22" s="33">
        <v>5.1793435375876197E-2</v>
      </c>
      <c r="AI22" s="32">
        <v>15.096</v>
      </c>
      <c r="AJ22" s="33">
        <v>6.1446033238494097E-2</v>
      </c>
      <c r="AK22" s="32">
        <v>17.445</v>
      </c>
      <c r="AL22" s="33">
        <v>7.2119558476993695E-2</v>
      </c>
      <c r="AM22" s="32">
        <v>22.1</v>
      </c>
      <c r="AN22" s="33">
        <v>0.113741051255526</v>
      </c>
      <c r="AO22" s="32" t="s">
        <v>141</v>
      </c>
      <c r="AP22" s="33"/>
      <c r="AQ22" s="32" t="s">
        <v>141</v>
      </c>
      <c r="AR22" s="33"/>
      <c r="AS22" s="32">
        <v>5.8209999999999997</v>
      </c>
      <c r="AT22" s="33">
        <v>3.23946797261951E-2</v>
      </c>
      <c r="AU22" s="32">
        <v>6.1559999999999997</v>
      </c>
      <c r="AV22" s="33">
        <v>2.7423011987544699E-2</v>
      </c>
      <c r="AW22" s="32" t="s">
        <v>141</v>
      </c>
      <c r="AX22" s="33"/>
    </row>
    <row r="23" spans="1:50" x14ac:dyDescent="0.25">
      <c r="A23" s="10" t="s">
        <v>1646</v>
      </c>
      <c r="B23" s="10"/>
      <c r="C23" s="32" t="s">
        <v>141</v>
      </c>
      <c r="D23" s="33"/>
      <c r="E23" s="32" t="s">
        <v>141</v>
      </c>
      <c r="F23" s="33"/>
      <c r="G23" s="32" t="s">
        <v>141</v>
      </c>
      <c r="H23" s="33"/>
      <c r="I23" s="32" t="s">
        <v>141</v>
      </c>
      <c r="J23" s="33"/>
      <c r="K23" s="32" t="s">
        <v>141</v>
      </c>
      <c r="L23" s="33"/>
      <c r="M23" s="32" t="s">
        <v>141</v>
      </c>
      <c r="N23" s="33"/>
      <c r="O23" s="32" t="s">
        <v>141</v>
      </c>
      <c r="P23" s="33"/>
      <c r="Q23" s="32" t="s">
        <v>141</v>
      </c>
      <c r="R23" s="33"/>
      <c r="S23" s="32" t="s">
        <v>141</v>
      </c>
      <c r="T23" s="33"/>
      <c r="U23" s="32" t="s">
        <v>141</v>
      </c>
      <c r="V23" s="33"/>
      <c r="W23" s="32" t="s">
        <v>141</v>
      </c>
      <c r="X23" s="33"/>
      <c r="Y23" s="32" t="s">
        <v>141</v>
      </c>
      <c r="Z23" s="33"/>
      <c r="AA23" s="32" t="s">
        <v>141</v>
      </c>
      <c r="AB23" s="33"/>
      <c r="AC23" s="32" t="s">
        <v>141</v>
      </c>
      <c r="AD23" s="33"/>
      <c r="AE23" s="32" t="s">
        <v>141</v>
      </c>
      <c r="AF23" s="33"/>
      <c r="AG23" s="32" t="s">
        <v>141</v>
      </c>
      <c r="AH23" s="33"/>
      <c r="AI23" s="32" t="s">
        <v>141</v>
      </c>
      <c r="AJ23" s="33"/>
      <c r="AK23" s="32" t="s">
        <v>141</v>
      </c>
      <c r="AL23" s="33"/>
      <c r="AM23" s="32" t="s">
        <v>141</v>
      </c>
      <c r="AN23" s="33"/>
      <c r="AO23" s="32" t="s">
        <v>141</v>
      </c>
      <c r="AP23" s="33"/>
      <c r="AQ23" s="32" t="s">
        <v>141</v>
      </c>
      <c r="AR23" s="33"/>
      <c r="AS23" s="32">
        <v>4.3129999999999997</v>
      </c>
      <c r="AT23" s="33">
        <v>2.4002448661583801E-2</v>
      </c>
      <c r="AU23" s="32">
        <v>3.8780000000000001</v>
      </c>
      <c r="AV23" s="33">
        <v>1.7275250241666401E-2</v>
      </c>
      <c r="AW23" s="32" t="s">
        <v>141</v>
      </c>
      <c r="AX23" s="33"/>
    </row>
    <row r="24" spans="1:50" x14ac:dyDescent="0.25">
      <c r="A24" s="10" t="s">
        <v>1647</v>
      </c>
      <c r="B24" s="10"/>
      <c r="C24" s="32">
        <v>5.2770000000000001</v>
      </c>
      <c r="D24" s="33">
        <v>3.6092663141983602E-2</v>
      </c>
      <c r="E24" s="32">
        <v>5.7530000000000001</v>
      </c>
      <c r="F24" s="33">
        <v>6.3531854273188096E-2</v>
      </c>
      <c r="G24" s="32">
        <v>5.3029999999999999</v>
      </c>
      <c r="H24" s="33">
        <v>4.6818992460226402E-2</v>
      </c>
      <c r="I24" s="32">
        <v>5.9560000000000004</v>
      </c>
      <c r="J24" s="33">
        <v>4.4464684320151701E-2</v>
      </c>
      <c r="K24" s="32">
        <v>4.3780000000000001</v>
      </c>
      <c r="L24" s="33">
        <v>1.9619705749228101E-2</v>
      </c>
      <c r="M24" s="32">
        <v>15.853</v>
      </c>
      <c r="N24" s="33">
        <v>0.116442884005171</v>
      </c>
      <c r="O24" s="32">
        <v>5.2190000000000003</v>
      </c>
      <c r="P24" s="33">
        <v>2.76837716552975E-2</v>
      </c>
      <c r="Q24" s="32">
        <v>7.0209999999999999</v>
      </c>
      <c r="R24" s="33">
        <v>3.6867641962213399E-2</v>
      </c>
      <c r="S24" s="32">
        <v>8.5570000000000004</v>
      </c>
      <c r="T24" s="33">
        <v>4.1290490689493801E-2</v>
      </c>
      <c r="U24" s="32">
        <v>13.494</v>
      </c>
      <c r="V24" s="33">
        <v>6.9147164474324702E-2</v>
      </c>
      <c r="W24" s="32">
        <v>5.7850000000000001</v>
      </c>
      <c r="X24" s="33">
        <v>2.4142190616888302E-2</v>
      </c>
      <c r="Y24" s="32">
        <v>4.1710000000000003</v>
      </c>
      <c r="Z24" s="33">
        <v>2.9982388671243199E-2</v>
      </c>
      <c r="AA24" s="32" t="s">
        <v>141</v>
      </c>
      <c r="AB24" s="33"/>
      <c r="AC24" s="32">
        <v>4.806</v>
      </c>
      <c r="AD24" s="33">
        <v>2.47413127413127E-2</v>
      </c>
      <c r="AE24" s="32">
        <v>3.3650000000000002</v>
      </c>
      <c r="AF24" s="33">
        <v>1.3335764022367601E-2</v>
      </c>
      <c r="AG24" s="32">
        <v>2.0659999999999998</v>
      </c>
      <c r="AH24" s="33">
        <v>9.5336098972345108E-3</v>
      </c>
      <c r="AI24" s="32">
        <v>5.5149999999999997</v>
      </c>
      <c r="AJ24" s="33">
        <v>2.2447991077788498E-2</v>
      </c>
      <c r="AK24" s="32">
        <v>2.89</v>
      </c>
      <c r="AL24" s="33">
        <v>1.1947579478275299E-2</v>
      </c>
      <c r="AM24" s="32">
        <v>3.569</v>
      </c>
      <c r="AN24" s="33">
        <v>1.8368407779681999E-2</v>
      </c>
      <c r="AO24" s="32" t="s">
        <v>141</v>
      </c>
      <c r="AP24" s="33"/>
      <c r="AQ24" s="32" t="s">
        <v>141</v>
      </c>
      <c r="AR24" s="33"/>
      <c r="AS24" s="32">
        <v>2.5289999999999999</v>
      </c>
      <c r="AT24" s="33">
        <v>1.4074238967110001E-2</v>
      </c>
      <c r="AU24" s="32">
        <v>1.7030000000000001</v>
      </c>
      <c r="AV24" s="33">
        <v>7.5863205677044604E-3</v>
      </c>
      <c r="AW24" s="32" t="s">
        <v>141</v>
      </c>
      <c r="AX24" s="33"/>
    </row>
    <row r="25" spans="1:50" x14ac:dyDescent="0.25">
      <c r="A25" s="10" t="s">
        <v>1648</v>
      </c>
      <c r="B25" s="10"/>
      <c r="C25" s="32">
        <v>5.4160000000000004</v>
      </c>
      <c r="D25" s="33">
        <v>3.7043370016483501E-2</v>
      </c>
      <c r="E25" s="32">
        <v>6.18</v>
      </c>
      <c r="F25" s="33">
        <v>6.8247324771128506E-2</v>
      </c>
      <c r="G25" s="32">
        <v>6.7140000000000004</v>
      </c>
      <c r="H25" s="33">
        <v>5.9276393622093103E-2</v>
      </c>
      <c r="I25" s="32">
        <v>8.343</v>
      </c>
      <c r="J25" s="33">
        <v>6.2284899476666503E-2</v>
      </c>
      <c r="K25" s="32">
        <v>5.8579999999999997</v>
      </c>
      <c r="L25" s="33">
        <v>2.6252223910227999E-2</v>
      </c>
      <c r="M25" s="32">
        <v>9.8149999999999995</v>
      </c>
      <c r="N25" s="33">
        <v>7.2092784110941305E-2</v>
      </c>
      <c r="O25" s="32">
        <v>23.991</v>
      </c>
      <c r="P25" s="33">
        <v>0.127258357114819</v>
      </c>
      <c r="Q25" s="32">
        <v>6.71</v>
      </c>
      <c r="R25" s="33">
        <v>3.5234564530188299E-2</v>
      </c>
      <c r="S25" s="32">
        <v>17.663</v>
      </c>
      <c r="T25" s="33">
        <v>8.5230096651691997E-2</v>
      </c>
      <c r="U25" s="32">
        <v>13.500999999999999</v>
      </c>
      <c r="V25" s="33">
        <v>6.9183034501842197E-2</v>
      </c>
      <c r="W25" s="32">
        <v>6.3</v>
      </c>
      <c r="X25" s="33">
        <v>2.6291408969126399E-2</v>
      </c>
      <c r="Y25" s="32">
        <v>6.9939999999999998</v>
      </c>
      <c r="Z25" s="33">
        <v>5.0274952377529401E-2</v>
      </c>
      <c r="AA25" s="32" t="s">
        <v>141</v>
      </c>
      <c r="AB25" s="33"/>
      <c r="AC25" s="32">
        <v>7.8390000000000004</v>
      </c>
      <c r="AD25" s="33">
        <v>4.0355212355212298E-2</v>
      </c>
      <c r="AE25" s="32">
        <v>9.5739999999999998</v>
      </c>
      <c r="AF25" s="33">
        <v>3.7942527414605499E-2</v>
      </c>
      <c r="AG25" s="32">
        <v>7.6760000000000002</v>
      </c>
      <c r="AH25" s="33">
        <v>3.5421098533965203E-2</v>
      </c>
      <c r="AI25" s="32">
        <v>7.6630000000000003</v>
      </c>
      <c r="AJ25" s="33">
        <v>3.11911070950305E-2</v>
      </c>
      <c r="AK25" s="32">
        <v>5.367</v>
      </c>
      <c r="AL25" s="33">
        <v>2.2187771301004602E-2</v>
      </c>
      <c r="AM25" s="32">
        <v>4.4139999999999997</v>
      </c>
      <c r="AN25" s="33">
        <v>2.27173303276875E-2</v>
      </c>
      <c r="AO25" s="32" t="s">
        <v>141</v>
      </c>
      <c r="AP25" s="33"/>
      <c r="AQ25" s="32" t="s">
        <v>141</v>
      </c>
      <c r="AR25" s="33"/>
      <c r="AS25" s="32">
        <v>5.8120000000000003</v>
      </c>
      <c r="AT25" s="33">
        <v>3.2344593466525698E-2</v>
      </c>
      <c r="AU25" s="32">
        <v>1.571</v>
      </c>
      <c r="AV25" s="33">
        <v>6.9983027668019402E-3</v>
      </c>
      <c r="AW25" s="32" t="s">
        <v>141</v>
      </c>
      <c r="AX25" s="33"/>
    </row>
    <row r="26" spans="1:50" x14ac:dyDescent="0.25">
      <c r="A26" s="10" t="s">
        <v>1649</v>
      </c>
      <c r="B26" s="10"/>
      <c r="C26" s="32">
        <v>-1.8169999999999999</v>
      </c>
      <c r="D26" s="33">
        <v>-1.2427585546519701E-2</v>
      </c>
      <c r="E26" s="32">
        <v>2.0470000000000002</v>
      </c>
      <c r="F26" s="33">
        <v>2.26055459233819E-2</v>
      </c>
      <c r="G26" s="32">
        <v>0.753</v>
      </c>
      <c r="H26" s="33">
        <v>6.6480673812088402E-3</v>
      </c>
      <c r="I26" s="32">
        <v>0.32300000000000001</v>
      </c>
      <c r="J26" s="33">
        <v>2.4113655197127298E-3</v>
      </c>
      <c r="K26" s="32">
        <v>0.13900000000000001</v>
      </c>
      <c r="L26" s="33">
        <v>6.2291893539120696E-4</v>
      </c>
      <c r="M26" s="32">
        <v>0.96899999999999997</v>
      </c>
      <c r="N26" s="33">
        <v>7.1174638617933902E-3</v>
      </c>
      <c r="O26" s="32">
        <v>1.8220000000000001</v>
      </c>
      <c r="P26" s="33">
        <v>9.6646545230795293E-3</v>
      </c>
      <c r="Q26" s="32">
        <v>0.91500000000000004</v>
      </c>
      <c r="R26" s="33">
        <v>4.8047133450256803E-3</v>
      </c>
      <c r="S26" s="32">
        <v>0.86</v>
      </c>
      <c r="T26" s="33">
        <v>4.1497980592456003E-3</v>
      </c>
      <c r="U26" s="32">
        <v>4.6369999999999996</v>
      </c>
      <c r="V26" s="33">
        <v>2.3761331085478302E-2</v>
      </c>
      <c r="W26" s="32">
        <v>4.141</v>
      </c>
      <c r="X26" s="33">
        <v>1.7281384847801999E-2</v>
      </c>
      <c r="Y26" s="32">
        <v>3.8170000000000002</v>
      </c>
      <c r="Z26" s="33">
        <v>2.7437731373324201E-2</v>
      </c>
      <c r="AA26" s="32" t="s">
        <v>141</v>
      </c>
      <c r="AB26" s="33"/>
      <c r="AC26" s="32">
        <v>1.599</v>
      </c>
      <c r="AD26" s="33">
        <v>8.2316602316602292E-3</v>
      </c>
      <c r="AE26" s="32">
        <v>6.15</v>
      </c>
      <c r="AF26" s="33">
        <v>2.4372941675352401E-2</v>
      </c>
      <c r="AG26" s="32">
        <v>1.609</v>
      </c>
      <c r="AH26" s="33">
        <v>7.4247716963457598E-3</v>
      </c>
      <c r="AI26" s="32">
        <v>4.641</v>
      </c>
      <c r="AJ26" s="33">
        <v>1.8890503461834299E-2</v>
      </c>
      <c r="AK26" s="32">
        <v>4.2469999999999999</v>
      </c>
      <c r="AL26" s="33">
        <v>1.7557567489354699E-2</v>
      </c>
      <c r="AM26" s="32">
        <v>5.1539999999999999</v>
      </c>
      <c r="AN26" s="33">
        <v>2.6525854215881502E-2</v>
      </c>
      <c r="AO26" s="32" t="s">
        <v>141</v>
      </c>
      <c r="AP26" s="33"/>
      <c r="AQ26" s="32" t="s">
        <v>141</v>
      </c>
      <c r="AR26" s="33"/>
      <c r="AS26" s="32">
        <v>3.9649999999999999</v>
      </c>
      <c r="AT26" s="33">
        <v>2.2065779954365899E-2</v>
      </c>
      <c r="AU26" s="32">
        <v>0.45100000000000001</v>
      </c>
      <c r="AV26" s="33">
        <v>2.0090608197502698E-3</v>
      </c>
      <c r="AW26" s="32" t="s">
        <v>141</v>
      </c>
      <c r="AX26" s="33"/>
    </row>
    <row r="27" spans="1:50" x14ac:dyDescent="0.25">
      <c r="A27" s="10" t="s">
        <v>1650</v>
      </c>
      <c r="B27" s="10"/>
      <c r="C27" s="32" t="s">
        <v>141</v>
      </c>
      <c r="D27" s="33"/>
      <c r="E27" s="32">
        <v>0</v>
      </c>
      <c r="F27" s="33"/>
      <c r="G27" s="32">
        <v>0</v>
      </c>
      <c r="H27" s="33"/>
      <c r="I27" s="32">
        <v>0</v>
      </c>
      <c r="J27" s="33"/>
      <c r="K27" s="32">
        <v>0</v>
      </c>
      <c r="L27" s="33"/>
      <c r="M27" s="32">
        <v>-16.443999999999999</v>
      </c>
      <c r="N27" s="33">
        <v>-0.12078387589611</v>
      </c>
      <c r="O27" s="32">
        <v>-8.7520000000000007</v>
      </c>
      <c r="P27" s="33">
        <v>-4.6424290003288703E-2</v>
      </c>
      <c r="Q27" s="32">
        <v>-16.657</v>
      </c>
      <c r="R27" s="33">
        <v>-8.7466787090811696E-2</v>
      </c>
      <c r="S27" s="32">
        <v>-24.027000000000001</v>
      </c>
      <c r="T27" s="33">
        <v>-0.11593860229010899</v>
      </c>
      <c r="U27" s="32">
        <v>-13.128</v>
      </c>
      <c r="V27" s="33">
        <v>-6.7271674464127407E-2</v>
      </c>
      <c r="W27" s="32">
        <v>-18.024999999999999</v>
      </c>
      <c r="X27" s="33">
        <v>-7.5222642328333797E-2</v>
      </c>
      <c r="Y27" s="32">
        <v>-29.401</v>
      </c>
      <c r="Z27" s="33">
        <v>-0.21134313337885899</v>
      </c>
      <c r="AA27" s="32" t="s">
        <v>141</v>
      </c>
      <c r="AB27" s="33"/>
      <c r="AC27" s="32">
        <v>-17.613</v>
      </c>
      <c r="AD27" s="33">
        <v>-9.0671814671814593E-2</v>
      </c>
      <c r="AE27" s="32">
        <v>-26.295000000000002</v>
      </c>
      <c r="AF27" s="33">
        <v>-0.10420918721193401</v>
      </c>
      <c r="AG27" s="32">
        <v>-21.84</v>
      </c>
      <c r="AH27" s="33">
        <v>-0.100781239184706</v>
      </c>
      <c r="AI27" s="32">
        <v>-20.123000000000001</v>
      </c>
      <c r="AJ27" s="33">
        <v>-8.1907692558175496E-2</v>
      </c>
      <c r="AK27" s="32">
        <v>-27.872</v>
      </c>
      <c r="AL27" s="33">
        <v>-0.115225929141345</v>
      </c>
      <c r="AM27" s="32">
        <v>-34.734999999999999</v>
      </c>
      <c r="AN27" s="33">
        <v>-0.17876902331948899</v>
      </c>
      <c r="AO27" s="32" t="s">
        <v>141</v>
      </c>
      <c r="AP27" s="33"/>
      <c r="AQ27" s="32" t="s">
        <v>141</v>
      </c>
      <c r="AR27" s="33"/>
      <c r="AS27" s="32">
        <v>-17.719000000000001</v>
      </c>
      <c r="AT27" s="33">
        <v>-9.8608715009182502E-2</v>
      </c>
      <c r="AU27" s="32">
        <v>-61.323999999999998</v>
      </c>
      <c r="AV27" s="33">
        <v>-0.27317881532231802</v>
      </c>
      <c r="AW27" s="32" t="s">
        <v>141</v>
      </c>
      <c r="AX27" s="33"/>
    </row>
    <row r="28" spans="1:50" x14ac:dyDescent="0.25">
      <c r="A28" s="10" t="s">
        <v>1651</v>
      </c>
      <c r="B28" s="10"/>
      <c r="C28" s="32" t="s">
        <v>141</v>
      </c>
      <c r="D28" s="33"/>
      <c r="E28" s="32">
        <v>18.321999999999999</v>
      </c>
      <c r="F28" s="33">
        <v>0.20233454441045601</v>
      </c>
      <c r="G28" s="32" t="s">
        <v>141</v>
      </c>
      <c r="H28" s="33"/>
      <c r="I28" s="32" t="s">
        <v>141</v>
      </c>
      <c r="J28" s="33"/>
      <c r="K28" s="32" t="s">
        <v>141</v>
      </c>
      <c r="L28" s="33"/>
      <c r="M28" s="32" t="s">
        <v>141</v>
      </c>
      <c r="N28" s="33"/>
      <c r="O28" s="32" t="s">
        <v>141</v>
      </c>
      <c r="P28" s="33"/>
      <c r="Q28" s="32" t="s">
        <v>141</v>
      </c>
      <c r="R28" s="33"/>
      <c r="S28" s="32" t="s">
        <v>141</v>
      </c>
      <c r="T28" s="33"/>
      <c r="U28" s="32" t="s">
        <v>141</v>
      </c>
      <c r="V28" s="33"/>
      <c r="W28" s="32" t="s">
        <v>141</v>
      </c>
      <c r="X28" s="33"/>
      <c r="Y28" s="32" t="s">
        <v>141</v>
      </c>
      <c r="Z28" s="33"/>
      <c r="AA28" s="32" t="s">
        <v>141</v>
      </c>
      <c r="AB28" s="33"/>
      <c r="AC28" s="32" t="s">
        <v>141</v>
      </c>
      <c r="AD28" s="33"/>
      <c r="AE28" s="32" t="s">
        <v>141</v>
      </c>
      <c r="AF28" s="33"/>
      <c r="AG28" s="32" t="s">
        <v>141</v>
      </c>
      <c r="AH28" s="33"/>
      <c r="AI28" s="32" t="s">
        <v>141</v>
      </c>
      <c r="AJ28" s="33"/>
      <c r="AK28" s="32" t="s">
        <v>141</v>
      </c>
      <c r="AL28" s="33"/>
      <c r="AM28" s="32" t="s">
        <v>141</v>
      </c>
      <c r="AN28" s="33"/>
      <c r="AO28" s="32" t="s">
        <v>141</v>
      </c>
      <c r="AP28" s="33"/>
      <c r="AQ28" s="32" t="s">
        <v>141</v>
      </c>
      <c r="AR28" s="33"/>
      <c r="AS28" s="32" t="s">
        <v>141</v>
      </c>
      <c r="AT28" s="33"/>
      <c r="AU28" s="32" t="s">
        <v>141</v>
      </c>
      <c r="AV28" s="33"/>
      <c r="AW28" s="32" t="s">
        <v>141</v>
      </c>
      <c r="AX28" s="33"/>
    </row>
    <row r="29" spans="1:50" x14ac:dyDescent="0.25">
      <c r="A29" s="10" t="s">
        <v>1652</v>
      </c>
      <c r="B29" s="10"/>
      <c r="C29" s="32">
        <v>64.412999999999997</v>
      </c>
      <c r="D29" s="33">
        <v>0.44056030149035302</v>
      </c>
      <c r="E29" s="32">
        <v>1.1220000000000001</v>
      </c>
      <c r="F29" s="33">
        <v>1.23905337205835E-2</v>
      </c>
      <c r="G29" s="32">
        <v>15.077999999999999</v>
      </c>
      <c r="H29" s="33">
        <v>0.13312026556954401</v>
      </c>
      <c r="I29" s="32">
        <v>12.146000000000001</v>
      </c>
      <c r="J29" s="33">
        <v>9.0676302174708304E-2</v>
      </c>
      <c r="K29" s="32">
        <v>74.816000000000003</v>
      </c>
      <c r="L29" s="33">
        <v>0.33528275590092499</v>
      </c>
      <c r="M29" s="32">
        <v>8.5329999999999995</v>
      </c>
      <c r="N29" s="33">
        <v>6.2676283934657406E-2</v>
      </c>
      <c r="O29" s="32">
        <v>12.75</v>
      </c>
      <c r="P29" s="33">
        <v>6.7631363978739895E-2</v>
      </c>
      <c r="Q29" s="32">
        <v>15.375</v>
      </c>
      <c r="R29" s="33">
        <v>8.0734937354939695E-2</v>
      </c>
      <c r="S29" s="32">
        <v>10.622</v>
      </c>
      <c r="T29" s="33">
        <v>5.1254831378263699E-2</v>
      </c>
      <c r="U29" s="32">
        <v>4</v>
      </c>
      <c r="V29" s="33">
        <v>2.04971585813917E-2</v>
      </c>
      <c r="W29" s="32">
        <v>31.677</v>
      </c>
      <c r="X29" s="33">
        <v>0.13219570824047899</v>
      </c>
      <c r="Y29" s="32">
        <v>4.5149999999999997</v>
      </c>
      <c r="Z29" s="33">
        <v>3.2455162994644703E-2</v>
      </c>
      <c r="AA29" s="32" t="s">
        <v>141</v>
      </c>
      <c r="AB29" s="33"/>
      <c r="AC29" s="32" t="s">
        <v>141</v>
      </c>
      <c r="AD29" s="33"/>
      <c r="AE29" s="32">
        <v>11.3</v>
      </c>
      <c r="AF29" s="33">
        <v>4.4782803403493103E-2</v>
      </c>
      <c r="AG29" s="32">
        <v>5.5</v>
      </c>
      <c r="AH29" s="33">
        <v>2.53798908203242E-2</v>
      </c>
      <c r="AI29" s="32" t="s">
        <v>141</v>
      </c>
      <c r="AJ29" s="33"/>
      <c r="AK29" s="32">
        <v>7.6</v>
      </c>
      <c r="AL29" s="33">
        <v>3.14192401504816E-2</v>
      </c>
      <c r="AM29" s="32">
        <v>3.76</v>
      </c>
      <c r="AN29" s="33">
        <v>1.9351418675148401E-2</v>
      </c>
      <c r="AO29" s="32" t="s">
        <v>141</v>
      </c>
      <c r="AP29" s="33"/>
      <c r="AQ29" s="32" t="s">
        <v>141</v>
      </c>
      <c r="AR29" s="33"/>
      <c r="AS29" s="32" t="s">
        <v>141</v>
      </c>
      <c r="AT29" s="33"/>
      <c r="AU29" s="32" t="s">
        <v>141</v>
      </c>
      <c r="AV29" s="33"/>
      <c r="AW29" s="32" t="s">
        <v>141</v>
      </c>
      <c r="AX29" s="33"/>
    </row>
    <row r="30" spans="1:50" x14ac:dyDescent="0.25">
      <c r="A30" s="10" t="s">
        <v>1653</v>
      </c>
      <c r="B30" s="10"/>
      <c r="C30" s="32">
        <v>9.8469999999999995</v>
      </c>
      <c r="D30" s="33">
        <v>6.7349716497842105E-2</v>
      </c>
      <c r="E30" s="32">
        <v>0.29199999999999998</v>
      </c>
      <c r="F30" s="33">
        <v>3.2246308791536401E-3</v>
      </c>
      <c r="G30" s="32">
        <v>0.124</v>
      </c>
      <c r="H30" s="33">
        <v>1.0947680680875099E-3</v>
      </c>
      <c r="I30" s="32">
        <v>0</v>
      </c>
      <c r="J30" s="33"/>
      <c r="K30" s="32">
        <v>9</v>
      </c>
      <c r="L30" s="33">
        <v>4.03328807087832E-2</v>
      </c>
      <c r="M30" s="32">
        <v>2.6419999999999999</v>
      </c>
      <c r="N30" s="33">
        <v>1.9405923140204499E-2</v>
      </c>
      <c r="O30" s="32">
        <v>1.667</v>
      </c>
      <c r="P30" s="33">
        <v>8.8424693139262309E-3</v>
      </c>
      <c r="Q30" s="32">
        <v>5.6150000000000002</v>
      </c>
      <c r="R30" s="33">
        <v>2.9484661674665801E-2</v>
      </c>
      <c r="S30" s="32">
        <v>3.181</v>
      </c>
      <c r="T30" s="33">
        <v>1.5349427472628199E-2</v>
      </c>
      <c r="U30" s="32">
        <v>6.2</v>
      </c>
      <c r="V30" s="33">
        <v>3.1770595801157098E-2</v>
      </c>
      <c r="W30" s="32">
        <v>0.57799999999999996</v>
      </c>
      <c r="X30" s="33">
        <v>2.4121324419293698E-3</v>
      </c>
      <c r="Y30" s="32">
        <v>3.4729999999999999</v>
      </c>
      <c r="Z30" s="33">
        <v>2.4964957049922701E-2</v>
      </c>
      <c r="AA30" s="32" t="s">
        <v>141</v>
      </c>
      <c r="AB30" s="33"/>
      <c r="AC30" s="32">
        <v>1.0840000000000001</v>
      </c>
      <c r="AD30" s="33">
        <v>5.5804375804375797E-3</v>
      </c>
      <c r="AE30" s="32">
        <v>1.474</v>
      </c>
      <c r="AF30" s="33">
        <v>5.84157984219016E-3</v>
      </c>
      <c r="AG30" s="32">
        <v>0.80400000000000005</v>
      </c>
      <c r="AH30" s="33">
        <v>3.7100785853710302E-3</v>
      </c>
      <c r="AI30" s="32">
        <v>1.149</v>
      </c>
      <c r="AJ30" s="33">
        <v>4.6768344058710698E-3</v>
      </c>
      <c r="AK30" s="32">
        <v>2.4510000000000001</v>
      </c>
      <c r="AL30" s="33">
        <v>1.0132704948530301E-2</v>
      </c>
      <c r="AM30" s="32">
        <v>3.2320000000000002</v>
      </c>
      <c r="AN30" s="33">
        <v>1.6633985414382799E-2</v>
      </c>
      <c r="AO30" s="32" t="s">
        <v>141</v>
      </c>
      <c r="AP30" s="33"/>
      <c r="AQ30" s="32" t="s">
        <v>141</v>
      </c>
      <c r="AR30" s="33"/>
      <c r="AS30" s="32" t="s">
        <v>141</v>
      </c>
      <c r="AT30" s="33"/>
      <c r="AU30" s="32" t="s">
        <v>141</v>
      </c>
      <c r="AV30" s="33"/>
      <c r="AW30" s="32" t="s">
        <v>141</v>
      </c>
      <c r="AX30" s="33"/>
    </row>
    <row r="31" spans="1:50" x14ac:dyDescent="0.25">
      <c r="A31" s="6" t="s">
        <v>844</v>
      </c>
      <c r="B31" s="6"/>
      <c r="C31" s="38">
        <v>499</v>
      </c>
      <c r="D31" s="39">
        <v>1</v>
      </c>
      <c r="E31" s="38" t="s">
        <v>141</v>
      </c>
      <c r="F31" s="39"/>
      <c r="G31" s="38" t="s">
        <v>141</v>
      </c>
      <c r="H31" s="39"/>
      <c r="I31" s="38" t="s">
        <v>141</v>
      </c>
      <c r="J31" s="39"/>
      <c r="K31" s="38">
        <v>743</v>
      </c>
      <c r="L31" s="39">
        <v>1</v>
      </c>
      <c r="M31" s="38" t="s">
        <v>141</v>
      </c>
      <c r="N31" s="39"/>
      <c r="O31" s="38" t="s">
        <v>141</v>
      </c>
      <c r="P31" s="39"/>
      <c r="Q31" s="38" t="s">
        <v>141</v>
      </c>
      <c r="R31" s="39"/>
      <c r="S31" s="38">
        <v>866</v>
      </c>
      <c r="T31" s="39">
        <v>1</v>
      </c>
      <c r="U31" s="38" t="s">
        <v>141</v>
      </c>
      <c r="V31" s="39"/>
      <c r="W31" s="38" t="s">
        <v>141</v>
      </c>
      <c r="X31" s="39"/>
      <c r="Y31" s="38" t="s">
        <v>141</v>
      </c>
      <c r="Z31" s="39"/>
      <c r="AA31" s="38" t="s">
        <v>141</v>
      </c>
      <c r="AB31" s="39"/>
      <c r="AC31" s="38" t="s">
        <v>141</v>
      </c>
      <c r="AD31" s="39"/>
      <c r="AE31" s="38" t="s">
        <v>141</v>
      </c>
      <c r="AF31" s="39"/>
      <c r="AG31" s="38" t="s">
        <v>141</v>
      </c>
      <c r="AH31" s="39"/>
      <c r="AI31" s="38" t="s">
        <v>141</v>
      </c>
      <c r="AJ31" s="39"/>
      <c r="AK31" s="38" t="s">
        <v>141</v>
      </c>
      <c r="AL31" s="39"/>
      <c r="AM31" s="38" t="s">
        <v>141</v>
      </c>
      <c r="AN31" s="39"/>
      <c r="AO31" s="38" t="s">
        <v>141</v>
      </c>
      <c r="AP31" s="39"/>
      <c r="AQ31" s="38" t="s">
        <v>141</v>
      </c>
      <c r="AR31" s="39"/>
      <c r="AS31" s="38" t="s">
        <v>141</v>
      </c>
      <c r="AT31" s="39"/>
      <c r="AU31" s="38" t="s">
        <v>141</v>
      </c>
      <c r="AV31" s="39"/>
      <c r="AW31" s="38" t="s">
        <v>141</v>
      </c>
      <c r="AX31" s="39"/>
    </row>
    <row r="32" spans="1:50" x14ac:dyDescent="0.25">
      <c r="A32" s="10" t="s">
        <v>1654</v>
      </c>
      <c r="B32" s="10"/>
      <c r="C32" s="34">
        <v>244</v>
      </c>
      <c r="D32" s="35">
        <v>0.48897795591182402</v>
      </c>
      <c r="E32" s="34" t="s">
        <v>141</v>
      </c>
      <c r="F32" s="35"/>
      <c r="G32" s="34" t="s">
        <v>141</v>
      </c>
      <c r="H32" s="35"/>
      <c r="I32" s="34" t="s">
        <v>141</v>
      </c>
      <c r="J32" s="35"/>
      <c r="K32" s="34">
        <v>346</v>
      </c>
      <c r="L32" s="35">
        <v>0.46567967698519502</v>
      </c>
      <c r="M32" s="34" t="s">
        <v>141</v>
      </c>
      <c r="N32" s="35"/>
      <c r="O32" s="34" t="s">
        <v>141</v>
      </c>
      <c r="P32" s="35"/>
      <c r="Q32" s="34" t="s">
        <v>141</v>
      </c>
      <c r="R32" s="35"/>
      <c r="S32" s="34">
        <v>372</v>
      </c>
      <c r="T32" s="35">
        <v>0.42956120092378802</v>
      </c>
      <c r="U32" s="34" t="s">
        <v>141</v>
      </c>
      <c r="V32" s="35"/>
      <c r="W32" s="34" t="s">
        <v>141</v>
      </c>
      <c r="X32" s="35"/>
      <c r="Y32" s="34" t="s">
        <v>141</v>
      </c>
      <c r="Z32" s="35"/>
      <c r="AA32" s="34" t="s">
        <v>141</v>
      </c>
      <c r="AB32" s="35"/>
      <c r="AC32" s="34" t="s">
        <v>141</v>
      </c>
      <c r="AD32" s="35"/>
      <c r="AE32" s="34" t="s">
        <v>141</v>
      </c>
      <c r="AF32" s="35"/>
      <c r="AG32" s="34" t="s">
        <v>141</v>
      </c>
      <c r="AH32" s="35"/>
      <c r="AI32" s="34" t="s">
        <v>141</v>
      </c>
      <c r="AJ32" s="35"/>
      <c r="AK32" s="34" t="s">
        <v>141</v>
      </c>
      <c r="AL32" s="35"/>
      <c r="AM32" s="34" t="s">
        <v>141</v>
      </c>
      <c r="AN32" s="35"/>
      <c r="AO32" s="34" t="s">
        <v>141</v>
      </c>
      <c r="AP32" s="35"/>
      <c r="AQ32" s="34" t="s">
        <v>141</v>
      </c>
      <c r="AR32" s="35"/>
      <c r="AS32" s="34" t="s">
        <v>141</v>
      </c>
      <c r="AT32" s="35"/>
      <c r="AU32" s="34" t="s">
        <v>141</v>
      </c>
      <c r="AV32" s="35"/>
      <c r="AW32" s="34" t="s">
        <v>141</v>
      </c>
      <c r="AX32" s="35"/>
    </row>
    <row r="33" spans="1:50" x14ac:dyDescent="0.25">
      <c r="A33" s="10" t="s">
        <v>1655</v>
      </c>
      <c r="B33" s="10"/>
      <c r="C33" s="34">
        <v>255</v>
      </c>
      <c r="D33" s="35">
        <v>0.51102204408817598</v>
      </c>
      <c r="E33" s="34" t="s">
        <v>141</v>
      </c>
      <c r="F33" s="35"/>
      <c r="G33" s="34" t="s">
        <v>141</v>
      </c>
      <c r="H33" s="35"/>
      <c r="I33" s="34" t="s">
        <v>141</v>
      </c>
      <c r="J33" s="35"/>
      <c r="K33" s="34">
        <v>397</v>
      </c>
      <c r="L33" s="35">
        <v>0.53432032301480503</v>
      </c>
      <c r="M33" s="34" t="s">
        <v>141</v>
      </c>
      <c r="N33" s="35"/>
      <c r="O33" s="34" t="s">
        <v>141</v>
      </c>
      <c r="P33" s="35"/>
      <c r="Q33" s="34" t="s">
        <v>141</v>
      </c>
      <c r="R33" s="35"/>
      <c r="S33" s="34">
        <v>494</v>
      </c>
      <c r="T33" s="35">
        <v>0.57043879907621198</v>
      </c>
      <c r="U33" s="34" t="s">
        <v>141</v>
      </c>
      <c r="V33" s="35"/>
      <c r="W33" s="34" t="s">
        <v>141</v>
      </c>
      <c r="X33" s="35"/>
      <c r="Y33" s="34" t="s">
        <v>141</v>
      </c>
      <c r="Z33" s="35"/>
      <c r="AA33" s="34" t="s">
        <v>141</v>
      </c>
      <c r="AB33" s="35"/>
      <c r="AC33" s="34" t="s">
        <v>141</v>
      </c>
      <c r="AD33" s="35"/>
      <c r="AE33" s="34" t="s">
        <v>141</v>
      </c>
      <c r="AF33" s="35"/>
      <c r="AG33" s="34" t="s">
        <v>141</v>
      </c>
      <c r="AH33" s="35"/>
      <c r="AI33" s="34" t="s">
        <v>141</v>
      </c>
      <c r="AJ33" s="35"/>
      <c r="AK33" s="34" t="s">
        <v>141</v>
      </c>
      <c r="AL33" s="35"/>
      <c r="AM33" s="34" t="s">
        <v>141</v>
      </c>
      <c r="AN33" s="35"/>
      <c r="AO33" s="34" t="s">
        <v>141</v>
      </c>
      <c r="AP33" s="35"/>
      <c r="AQ33" s="34" t="s">
        <v>141</v>
      </c>
      <c r="AR33" s="35"/>
      <c r="AS33" s="34" t="s">
        <v>141</v>
      </c>
      <c r="AT33" s="35"/>
      <c r="AU33" s="34" t="s">
        <v>141</v>
      </c>
      <c r="AV33" s="35"/>
      <c r="AW33" s="34" t="s">
        <v>141</v>
      </c>
      <c r="AX33" s="35"/>
    </row>
    <row r="34" spans="1:50" x14ac:dyDescent="0.25">
      <c r="A34" s="7" t="s">
        <v>90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Z38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3" width="11.85546875" customWidth="1"/>
    <col min="4" max="4" width="7" customWidth="1"/>
    <col min="5" max="5" width="11.85546875" customWidth="1"/>
    <col min="6" max="6" width="7" customWidth="1"/>
    <col min="7" max="7" width="11.85546875" customWidth="1"/>
    <col min="8" max="8" width="7" customWidth="1"/>
    <col min="9" max="9" width="11.85546875" customWidth="1"/>
    <col min="10" max="10" width="7" customWidth="1"/>
    <col min="11" max="11" width="11.85546875" customWidth="1"/>
    <col min="12" max="12" width="7" customWidth="1"/>
    <col min="13" max="13" width="11.85546875" customWidth="1"/>
    <col min="14" max="14" width="7" customWidth="1"/>
    <col min="15" max="15" width="11.85546875" customWidth="1"/>
    <col min="16" max="16" width="7" customWidth="1"/>
    <col min="17" max="17" width="11.85546875" customWidth="1"/>
    <col min="18" max="18" width="7" customWidth="1"/>
    <col min="19" max="19" width="11.85546875" customWidth="1"/>
    <col min="20" max="20" width="7" customWidth="1"/>
    <col min="21" max="21" width="11.85546875" customWidth="1"/>
    <col min="22" max="22" width="7" customWidth="1"/>
    <col min="23" max="23" width="11.85546875" customWidth="1"/>
    <col min="24" max="24" width="7" customWidth="1"/>
    <col min="25" max="25" width="11.85546875" customWidth="1"/>
    <col min="26" max="26" width="7" customWidth="1"/>
    <col min="27" max="27" width="11.85546875" customWidth="1"/>
    <col min="28" max="28" width="7" customWidth="1"/>
    <col min="29" max="29" width="11.85546875" customWidth="1"/>
    <col min="30" max="30" width="7" customWidth="1"/>
    <col min="31" max="31" width="11.85546875" customWidth="1"/>
    <col min="32" max="32" width="7" customWidth="1"/>
    <col min="33" max="33" width="11.85546875" customWidth="1"/>
    <col min="34" max="34" width="7" customWidth="1"/>
    <col min="35" max="35" width="11.85546875" customWidth="1"/>
    <col min="36" max="36" width="7" customWidth="1"/>
    <col min="37" max="37" width="11.85546875" customWidth="1"/>
    <col min="38" max="38" width="7" customWidth="1"/>
    <col min="39" max="39" width="11.85546875" customWidth="1"/>
    <col min="40" max="40" width="7" customWidth="1"/>
    <col min="41" max="41" width="11.85546875" customWidth="1"/>
    <col min="42" max="42" width="7" customWidth="1"/>
    <col min="43" max="43" width="11.85546875" customWidth="1"/>
    <col min="44" max="44" width="7" customWidth="1"/>
    <col min="45" max="45" width="11.85546875" customWidth="1"/>
    <col min="46" max="46" width="7" customWidth="1"/>
    <col min="47" max="47" width="11.85546875" customWidth="1"/>
    <col min="48" max="48" width="7" customWidth="1"/>
    <col min="49" max="49" width="11.85546875" customWidth="1"/>
    <col min="50" max="50" width="7" customWidth="1"/>
    <col min="51" max="51" width="11.85546875" customWidth="1"/>
    <col min="52" max="52" width="7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20.25" x14ac:dyDescent="0.25">
      <c r="A2" s="8" t="s">
        <v>1656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25">
      <c r="A4" s="3" t="s">
        <v>92</v>
      </c>
      <c r="B4" s="3"/>
      <c r="C4" s="30" t="s">
        <v>93</v>
      </c>
      <c r="D4" s="30"/>
      <c r="E4" s="30" t="s">
        <v>94</v>
      </c>
      <c r="F4" s="30"/>
      <c r="G4" s="30" t="s">
        <v>9</v>
      </c>
      <c r="H4" s="30"/>
      <c r="I4" s="30" t="s">
        <v>10</v>
      </c>
      <c r="J4" s="30"/>
      <c r="K4" s="30" t="s">
        <v>11</v>
      </c>
      <c r="L4" s="30"/>
      <c r="M4" s="30" t="s">
        <v>12</v>
      </c>
      <c r="N4" s="30"/>
      <c r="O4" s="30" t="s">
        <v>13</v>
      </c>
      <c r="P4" s="30"/>
      <c r="Q4" s="30" t="s">
        <v>14</v>
      </c>
      <c r="R4" s="30"/>
      <c r="S4" s="30" t="s">
        <v>15</v>
      </c>
      <c r="T4" s="30"/>
      <c r="U4" s="30" t="s">
        <v>16</v>
      </c>
      <c r="V4" s="30"/>
      <c r="W4" s="30" t="s">
        <v>17</v>
      </c>
      <c r="X4" s="30"/>
      <c r="Y4" s="30" t="s">
        <v>18</v>
      </c>
      <c r="Z4" s="30"/>
      <c r="AA4" s="30" t="s">
        <v>19</v>
      </c>
      <c r="AB4" s="30"/>
      <c r="AC4" s="30" t="s">
        <v>20</v>
      </c>
      <c r="AD4" s="30"/>
      <c r="AE4" s="30" t="s">
        <v>21</v>
      </c>
      <c r="AF4" s="30"/>
      <c r="AG4" s="30" t="s">
        <v>22</v>
      </c>
      <c r="AH4" s="30"/>
      <c r="AI4" s="30" t="s">
        <v>23</v>
      </c>
      <c r="AJ4" s="30"/>
      <c r="AK4" s="30" t="s">
        <v>24</v>
      </c>
      <c r="AL4" s="30"/>
      <c r="AM4" s="30" t="s">
        <v>25</v>
      </c>
      <c r="AN4" s="30"/>
      <c r="AO4" s="30" t="s">
        <v>26</v>
      </c>
      <c r="AP4" s="30"/>
      <c r="AQ4" s="30" t="s">
        <v>27</v>
      </c>
      <c r="AR4" s="30"/>
      <c r="AS4" s="30" t="s">
        <v>28</v>
      </c>
      <c r="AT4" s="30"/>
      <c r="AU4" s="30" t="s">
        <v>29</v>
      </c>
      <c r="AV4" s="30"/>
      <c r="AW4" s="30" t="s">
        <v>30</v>
      </c>
      <c r="AX4" s="30"/>
      <c r="AY4" s="30" t="s">
        <v>31</v>
      </c>
      <c r="AZ4" s="30"/>
    </row>
    <row r="5" spans="1:52" x14ac:dyDescent="0.25">
      <c r="A5" s="9" t="s">
        <v>34</v>
      </c>
      <c r="B5" s="9"/>
      <c r="C5" s="31" t="s">
        <v>95</v>
      </c>
      <c r="D5" s="31"/>
      <c r="E5" s="31" t="s">
        <v>96</v>
      </c>
      <c r="F5" s="31"/>
      <c r="G5" s="31" t="s">
        <v>35</v>
      </c>
      <c r="H5" s="31"/>
      <c r="I5" s="31" t="s">
        <v>36</v>
      </c>
      <c r="J5" s="31"/>
      <c r="K5" s="31" t="s">
        <v>37</v>
      </c>
      <c r="L5" s="31"/>
      <c r="M5" s="31" t="s">
        <v>38</v>
      </c>
      <c r="N5" s="31"/>
      <c r="O5" s="31" t="s">
        <v>39</v>
      </c>
      <c r="P5" s="31"/>
      <c r="Q5" s="31" t="s">
        <v>40</v>
      </c>
      <c r="R5" s="31"/>
      <c r="S5" s="31" t="s">
        <v>41</v>
      </c>
      <c r="T5" s="31"/>
      <c r="U5" s="31" t="s">
        <v>42</v>
      </c>
      <c r="V5" s="31"/>
      <c r="W5" s="31" t="s">
        <v>43</v>
      </c>
      <c r="X5" s="31"/>
      <c r="Y5" s="31" t="s">
        <v>44</v>
      </c>
      <c r="Z5" s="31"/>
      <c r="AA5" s="31" t="s">
        <v>45</v>
      </c>
      <c r="AB5" s="31"/>
      <c r="AC5" s="31" t="s">
        <v>46</v>
      </c>
      <c r="AD5" s="31"/>
      <c r="AE5" s="31" t="s">
        <v>47</v>
      </c>
      <c r="AF5" s="31"/>
      <c r="AG5" s="31" t="s">
        <v>48</v>
      </c>
      <c r="AH5" s="31"/>
      <c r="AI5" s="31" t="s">
        <v>49</v>
      </c>
      <c r="AJ5" s="31"/>
      <c r="AK5" s="31" t="s">
        <v>50</v>
      </c>
      <c r="AL5" s="31"/>
      <c r="AM5" s="31" t="s">
        <v>51</v>
      </c>
      <c r="AN5" s="31"/>
      <c r="AO5" s="31" t="s">
        <v>52</v>
      </c>
      <c r="AP5" s="31"/>
      <c r="AQ5" s="31" t="s">
        <v>53</v>
      </c>
      <c r="AR5" s="31"/>
      <c r="AS5" s="31" t="s">
        <v>54</v>
      </c>
      <c r="AT5" s="31"/>
      <c r="AU5" s="31" t="s">
        <v>55</v>
      </c>
      <c r="AV5" s="31"/>
      <c r="AW5" s="31" t="s">
        <v>56</v>
      </c>
      <c r="AX5" s="31"/>
      <c r="AY5" s="31" t="s">
        <v>57</v>
      </c>
      <c r="AZ5" s="31"/>
    </row>
    <row r="6" spans="1:52" x14ac:dyDescent="0.25">
      <c r="A6" s="6" t="s">
        <v>0</v>
      </c>
      <c r="B6" s="6"/>
      <c r="C6" s="36">
        <v>84.415000000000006</v>
      </c>
      <c r="D6" s="37">
        <v>1</v>
      </c>
      <c r="E6" s="36">
        <v>87.010999999999996</v>
      </c>
      <c r="F6" s="37">
        <v>1</v>
      </c>
      <c r="G6" s="36">
        <v>94.668000000000006</v>
      </c>
      <c r="H6" s="37">
        <v>1</v>
      </c>
      <c r="I6" s="36">
        <v>99.040999999999997</v>
      </c>
      <c r="J6" s="37">
        <v>1</v>
      </c>
      <c r="K6" s="36">
        <v>100.113</v>
      </c>
      <c r="L6" s="37">
        <v>1</v>
      </c>
      <c r="M6" s="36">
        <v>113.67400000000001</v>
      </c>
      <c r="N6" s="37">
        <v>1</v>
      </c>
      <c r="O6" s="36">
        <v>137.363</v>
      </c>
      <c r="P6" s="37">
        <v>1</v>
      </c>
      <c r="Q6" s="36">
        <v>143.92400000000001</v>
      </c>
      <c r="R6" s="37">
        <v>1</v>
      </c>
      <c r="S6" s="36">
        <v>145.13800000000001</v>
      </c>
      <c r="T6" s="37">
        <v>1</v>
      </c>
      <c r="U6" s="36">
        <v>146.93100000000001</v>
      </c>
      <c r="V6" s="37">
        <v>1</v>
      </c>
      <c r="W6" s="36">
        <v>164.089</v>
      </c>
      <c r="X6" s="37">
        <v>1</v>
      </c>
      <c r="Y6" s="36">
        <v>189.40600000000001</v>
      </c>
      <c r="Z6" s="37">
        <v>1</v>
      </c>
      <c r="AA6" s="36">
        <v>201.46100000000001</v>
      </c>
      <c r="AB6" s="37">
        <v>1</v>
      </c>
      <c r="AC6" s="36">
        <v>210.83</v>
      </c>
      <c r="AD6" s="37">
        <v>1</v>
      </c>
      <c r="AE6" s="36">
        <v>233.48699999999999</v>
      </c>
      <c r="AF6" s="37">
        <v>1</v>
      </c>
      <c r="AG6" s="36">
        <v>230.26900000000001</v>
      </c>
      <c r="AH6" s="37">
        <v>1</v>
      </c>
      <c r="AI6" s="36">
        <v>258.42700000000002</v>
      </c>
      <c r="AJ6" s="37">
        <v>1</v>
      </c>
      <c r="AK6" s="36">
        <v>253.5</v>
      </c>
      <c r="AL6" s="37">
        <v>1</v>
      </c>
      <c r="AM6" s="36">
        <v>261.238</v>
      </c>
      <c r="AN6" s="37">
        <v>1</v>
      </c>
      <c r="AO6" s="36">
        <v>331.81700000000001</v>
      </c>
      <c r="AP6" s="37">
        <v>1</v>
      </c>
      <c r="AQ6" s="36">
        <v>396.78100000000001</v>
      </c>
      <c r="AR6" s="37">
        <v>1</v>
      </c>
      <c r="AS6" s="36">
        <v>413.464</v>
      </c>
      <c r="AT6" s="37">
        <v>1</v>
      </c>
      <c r="AU6" s="36">
        <v>362.93099999999998</v>
      </c>
      <c r="AV6" s="37">
        <v>1</v>
      </c>
      <c r="AW6" s="36" t="s">
        <v>141</v>
      </c>
      <c r="AX6" s="37"/>
      <c r="AY6" s="36">
        <v>658.41200000000003</v>
      </c>
      <c r="AZ6" s="37">
        <v>1</v>
      </c>
    </row>
    <row r="7" spans="1:52" x14ac:dyDescent="0.25">
      <c r="A7" s="10" t="s">
        <v>1657</v>
      </c>
      <c r="B7" s="10"/>
      <c r="C7" s="32">
        <v>84.415000000000006</v>
      </c>
      <c r="D7" s="33">
        <v>1</v>
      </c>
      <c r="E7" s="32">
        <v>87.010999999999996</v>
      </c>
      <c r="F7" s="33">
        <v>1</v>
      </c>
      <c r="G7" s="32">
        <v>94.668000000000006</v>
      </c>
      <c r="H7" s="33">
        <v>1</v>
      </c>
      <c r="I7" s="32">
        <v>99.040999999999997</v>
      </c>
      <c r="J7" s="33">
        <v>1</v>
      </c>
      <c r="K7" s="32">
        <v>100.113</v>
      </c>
      <c r="L7" s="33">
        <v>1</v>
      </c>
      <c r="M7" s="32">
        <v>113.67400000000001</v>
      </c>
      <c r="N7" s="33">
        <v>1</v>
      </c>
      <c r="O7" s="32">
        <v>137.363</v>
      </c>
      <c r="P7" s="33">
        <v>1</v>
      </c>
      <c r="Q7" s="32">
        <v>143.92400000000001</v>
      </c>
      <c r="R7" s="33">
        <v>1</v>
      </c>
      <c r="S7" s="32">
        <v>145.13800000000001</v>
      </c>
      <c r="T7" s="33">
        <v>1</v>
      </c>
      <c r="U7" s="32">
        <v>146.93100000000001</v>
      </c>
      <c r="V7" s="33">
        <v>1</v>
      </c>
      <c r="W7" s="32">
        <v>164.089</v>
      </c>
      <c r="X7" s="33">
        <v>1</v>
      </c>
      <c r="Y7" s="32">
        <v>189.40600000000001</v>
      </c>
      <c r="Z7" s="33">
        <v>1</v>
      </c>
      <c r="AA7" s="32">
        <v>201.46100000000001</v>
      </c>
      <c r="AB7" s="33">
        <v>1</v>
      </c>
      <c r="AC7" s="32">
        <v>210.83</v>
      </c>
      <c r="AD7" s="33">
        <v>1</v>
      </c>
      <c r="AE7" s="32">
        <v>233.48699999999999</v>
      </c>
      <c r="AF7" s="33">
        <v>1</v>
      </c>
      <c r="AG7" s="32">
        <v>230.26900000000001</v>
      </c>
      <c r="AH7" s="33">
        <v>1</v>
      </c>
      <c r="AI7" s="32">
        <v>258.42700000000002</v>
      </c>
      <c r="AJ7" s="33">
        <v>1</v>
      </c>
      <c r="AK7" s="32">
        <v>253.5</v>
      </c>
      <c r="AL7" s="33">
        <v>1</v>
      </c>
      <c r="AM7" s="32">
        <v>261.238</v>
      </c>
      <c r="AN7" s="33">
        <v>1</v>
      </c>
      <c r="AO7" s="32">
        <v>331.81700000000001</v>
      </c>
      <c r="AP7" s="33">
        <v>1</v>
      </c>
      <c r="AQ7" s="32">
        <v>396.78100000000001</v>
      </c>
      <c r="AR7" s="33">
        <v>1</v>
      </c>
      <c r="AS7" s="32">
        <v>413.464</v>
      </c>
      <c r="AT7" s="33">
        <v>1</v>
      </c>
      <c r="AU7" s="32">
        <v>362.93099999999998</v>
      </c>
      <c r="AV7" s="33">
        <v>1</v>
      </c>
      <c r="AW7" s="32" t="s">
        <v>141</v>
      </c>
      <c r="AX7" s="33"/>
      <c r="AY7" s="32">
        <v>658.41200000000003</v>
      </c>
      <c r="AZ7" s="33">
        <v>1</v>
      </c>
    </row>
    <row r="8" spans="1:52" x14ac:dyDescent="0.25">
      <c r="A8" s="6" t="s">
        <v>2</v>
      </c>
      <c r="B8" s="6"/>
      <c r="C8" s="36">
        <v>71.28</v>
      </c>
      <c r="D8" s="37">
        <v>1</v>
      </c>
      <c r="E8" s="36">
        <v>74.947999999999993</v>
      </c>
      <c r="F8" s="37">
        <v>1</v>
      </c>
      <c r="G8" s="36">
        <v>78.748999999999995</v>
      </c>
      <c r="H8" s="37">
        <v>1</v>
      </c>
      <c r="I8" s="36">
        <v>86.004000000000005</v>
      </c>
      <c r="J8" s="37">
        <v>1</v>
      </c>
      <c r="K8" s="36">
        <v>84.546000000000006</v>
      </c>
      <c r="L8" s="37">
        <v>1</v>
      </c>
      <c r="M8" s="36">
        <v>101.05200000000001</v>
      </c>
      <c r="N8" s="37">
        <v>1</v>
      </c>
      <c r="O8" s="36">
        <v>124.02200000000001</v>
      </c>
      <c r="P8" s="37">
        <v>1</v>
      </c>
      <c r="Q8" s="36">
        <v>128.90899999999999</v>
      </c>
      <c r="R8" s="37">
        <v>1</v>
      </c>
      <c r="S8" s="36">
        <v>122.73399999999999</v>
      </c>
      <c r="T8" s="37">
        <v>1</v>
      </c>
      <c r="U8" s="36">
        <v>124.58499999999999</v>
      </c>
      <c r="V8" s="37">
        <v>1</v>
      </c>
      <c r="W8" s="36">
        <v>144.57400000000001</v>
      </c>
      <c r="X8" s="37">
        <v>1</v>
      </c>
      <c r="Y8" s="36">
        <v>165.96199999999999</v>
      </c>
      <c r="Z8" s="37">
        <v>1</v>
      </c>
      <c r="AA8" s="36">
        <v>169.71700000000001</v>
      </c>
      <c r="AB8" s="37">
        <v>1</v>
      </c>
      <c r="AC8" s="36">
        <v>179.387</v>
      </c>
      <c r="AD8" s="37">
        <v>1</v>
      </c>
      <c r="AE8" s="36">
        <v>195.69200000000001</v>
      </c>
      <c r="AF8" s="37">
        <v>1</v>
      </c>
      <c r="AG8" s="36">
        <v>190.31700000000001</v>
      </c>
      <c r="AH8" s="37">
        <v>1</v>
      </c>
      <c r="AI8" s="36">
        <v>227.62799999999999</v>
      </c>
      <c r="AJ8" s="37">
        <v>1</v>
      </c>
      <c r="AK8" s="36">
        <v>218.483</v>
      </c>
      <c r="AL8" s="37">
        <v>1</v>
      </c>
      <c r="AM8" s="36">
        <v>227.114</v>
      </c>
      <c r="AN8" s="37">
        <v>1</v>
      </c>
      <c r="AO8" s="36">
        <v>294.791</v>
      </c>
      <c r="AP8" s="37">
        <v>1</v>
      </c>
      <c r="AQ8" s="36">
        <v>352.60500000000002</v>
      </c>
      <c r="AR8" s="37">
        <v>1</v>
      </c>
      <c r="AS8" s="36">
        <v>362.90499999999997</v>
      </c>
      <c r="AT8" s="37">
        <v>1</v>
      </c>
      <c r="AU8" s="36">
        <v>318.38600000000002</v>
      </c>
      <c r="AV8" s="37">
        <v>1</v>
      </c>
      <c r="AW8" s="36" t="s">
        <v>141</v>
      </c>
      <c r="AX8" s="37"/>
      <c r="AY8" s="36">
        <v>526.10799999999995</v>
      </c>
      <c r="AZ8" s="37">
        <v>1</v>
      </c>
    </row>
    <row r="9" spans="1:52" x14ac:dyDescent="0.25">
      <c r="A9" s="10" t="s">
        <v>1657</v>
      </c>
      <c r="B9" s="10"/>
      <c r="C9" s="32">
        <v>71.28</v>
      </c>
      <c r="D9" s="33">
        <v>1</v>
      </c>
      <c r="E9" s="32">
        <v>74.947999999999993</v>
      </c>
      <c r="F9" s="33">
        <v>1</v>
      </c>
      <c r="G9" s="32">
        <v>78.748999999999995</v>
      </c>
      <c r="H9" s="33">
        <v>1</v>
      </c>
      <c r="I9" s="32">
        <v>86.004000000000005</v>
      </c>
      <c r="J9" s="33">
        <v>1</v>
      </c>
      <c r="K9" s="32">
        <v>84.546000000000006</v>
      </c>
      <c r="L9" s="33">
        <v>1</v>
      </c>
      <c r="M9" s="32">
        <v>101.05200000000001</v>
      </c>
      <c r="N9" s="33">
        <v>1</v>
      </c>
      <c r="O9" s="32">
        <v>124.02200000000001</v>
      </c>
      <c r="P9" s="33">
        <v>1</v>
      </c>
      <c r="Q9" s="32">
        <v>128.90899999999999</v>
      </c>
      <c r="R9" s="33">
        <v>1</v>
      </c>
      <c r="S9" s="32">
        <v>122.73399999999999</v>
      </c>
      <c r="T9" s="33">
        <v>1</v>
      </c>
      <c r="U9" s="32">
        <v>124.58499999999999</v>
      </c>
      <c r="V9" s="33">
        <v>1</v>
      </c>
      <c r="W9" s="32">
        <v>144.57400000000001</v>
      </c>
      <c r="X9" s="33">
        <v>1</v>
      </c>
      <c r="Y9" s="32">
        <v>165.96199999999999</v>
      </c>
      <c r="Z9" s="33">
        <v>1</v>
      </c>
      <c r="AA9" s="32">
        <v>169.71700000000001</v>
      </c>
      <c r="AB9" s="33">
        <v>1</v>
      </c>
      <c r="AC9" s="32">
        <v>179.387</v>
      </c>
      <c r="AD9" s="33">
        <v>1</v>
      </c>
      <c r="AE9" s="32">
        <v>195.69200000000001</v>
      </c>
      <c r="AF9" s="33">
        <v>1</v>
      </c>
      <c r="AG9" s="32">
        <v>190.31700000000001</v>
      </c>
      <c r="AH9" s="33">
        <v>1</v>
      </c>
      <c r="AI9" s="32">
        <v>227.62799999999999</v>
      </c>
      <c r="AJ9" s="33">
        <v>1</v>
      </c>
      <c r="AK9" s="32">
        <v>218.483</v>
      </c>
      <c r="AL9" s="33">
        <v>1</v>
      </c>
      <c r="AM9" s="32">
        <v>227.114</v>
      </c>
      <c r="AN9" s="33">
        <v>1</v>
      </c>
      <c r="AO9" s="32">
        <v>294.791</v>
      </c>
      <c r="AP9" s="33">
        <v>1</v>
      </c>
      <c r="AQ9" s="32">
        <v>352.60500000000002</v>
      </c>
      <c r="AR9" s="33">
        <v>1</v>
      </c>
      <c r="AS9" s="32">
        <v>362.90499999999997</v>
      </c>
      <c r="AT9" s="33">
        <v>1</v>
      </c>
      <c r="AU9" s="32">
        <v>318.38600000000002</v>
      </c>
      <c r="AV9" s="33">
        <v>1</v>
      </c>
      <c r="AW9" s="32" t="s">
        <v>141</v>
      </c>
      <c r="AX9" s="33"/>
      <c r="AY9" s="32">
        <v>526.10799999999995</v>
      </c>
      <c r="AZ9" s="33">
        <v>1</v>
      </c>
    </row>
    <row r="10" spans="1:52" x14ac:dyDescent="0.25">
      <c r="A10" s="6" t="s">
        <v>98</v>
      </c>
      <c r="B10" s="6"/>
      <c r="C10" s="36">
        <v>-139.363</v>
      </c>
      <c r="D10" s="37"/>
      <c r="E10" s="36">
        <v>-76.387</v>
      </c>
      <c r="F10" s="37"/>
      <c r="G10" s="36">
        <v>-275.36700000000002</v>
      </c>
      <c r="H10" s="37"/>
      <c r="I10" s="36">
        <v>-123.59</v>
      </c>
      <c r="J10" s="37"/>
      <c r="K10" s="36">
        <v>-230.21899999999999</v>
      </c>
      <c r="L10" s="37"/>
      <c r="M10" s="36">
        <v>-118.026</v>
      </c>
      <c r="N10" s="37"/>
      <c r="O10" s="36">
        <v>-138.35300000000001</v>
      </c>
      <c r="P10" s="37"/>
      <c r="Q10" s="36">
        <v>-137.06800000000001</v>
      </c>
      <c r="R10" s="37"/>
      <c r="S10" s="36">
        <v>-170.71600000000001</v>
      </c>
      <c r="T10" s="37"/>
      <c r="U10" s="36">
        <v>-151.86500000000001</v>
      </c>
      <c r="V10" s="37"/>
      <c r="W10" s="36">
        <v>-167.57400000000001</v>
      </c>
      <c r="X10" s="37"/>
      <c r="Y10" s="36">
        <v>-34.457999999999998</v>
      </c>
      <c r="Z10" s="37"/>
      <c r="AA10" s="36">
        <v>-105.813</v>
      </c>
      <c r="AB10" s="37"/>
      <c r="AC10" s="36">
        <v>-86.881</v>
      </c>
      <c r="AD10" s="37"/>
      <c r="AE10" s="36">
        <v>-211.13200000000001</v>
      </c>
      <c r="AF10" s="37"/>
      <c r="AG10" s="36">
        <v>-131.35499999999999</v>
      </c>
      <c r="AH10" s="37"/>
      <c r="AI10" s="36">
        <v>-106.833</v>
      </c>
      <c r="AJ10" s="37"/>
      <c r="AK10" s="36">
        <v>-138.08799999999999</v>
      </c>
      <c r="AL10" s="37"/>
      <c r="AM10" s="36">
        <v>-133.51900000000001</v>
      </c>
      <c r="AN10" s="37"/>
      <c r="AO10" s="36">
        <v>-20.841999999999999</v>
      </c>
      <c r="AP10" s="37"/>
      <c r="AQ10" s="36">
        <v>24.625</v>
      </c>
      <c r="AR10" s="37">
        <v>1</v>
      </c>
      <c r="AS10" s="36">
        <v>34.905000000000001</v>
      </c>
      <c r="AT10" s="37">
        <v>1</v>
      </c>
      <c r="AU10" s="36">
        <v>-0.70099999999999996</v>
      </c>
      <c r="AV10" s="37"/>
      <c r="AW10" s="36" t="s">
        <v>141</v>
      </c>
      <c r="AX10" s="37"/>
      <c r="AY10" s="36">
        <v>161.68100000000001</v>
      </c>
      <c r="AZ10" s="37">
        <v>1</v>
      </c>
    </row>
    <row r="11" spans="1:52" x14ac:dyDescent="0.25">
      <c r="A11" s="10" t="s">
        <v>1657</v>
      </c>
      <c r="B11" s="10"/>
      <c r="C11" s="32">
        <v>-139.363</v>
      </c>
      <c r="D11" s="33">
        <v>1</v>
      </c>
      <c r="E11" s="32">
        <v>-76.387</v>
      </c>
      <c r="F11" s="33">
        <v>1</v>
      </c>
      <c r="G11" s="32">
        <v>-275.36700000000002</v>
      </c>
      <c r="H11" s="33">
        <v>1</v>
      </c>
      <c r="I11" s="32">
        <v>-123.59</v>
      </c>
      <c r="J11" s="33">
        <v>1</v>
      </c>
      <c r="K11" s="32">
        <v>-230.21899999999999</v>
      </c>
      <c r="L11" s="33">
        <v>1</v>
      </c>
      <c r="M11" s="32">
        <v>-118.026</v>
      </c>
      <c r="N11" s="33">
        <v>1</v>
      </c>
      <c r="O11" s="32">
        <v>-138.35300000000001</v>
      </c>
      <c r="P11" s="33">
        <v>1</v>
      </c>
      <c r="Q11" s="32">
        <v>-137.06800000000001</v>
      </c>
      <c r="R11" s="33">
        <v>1</v>
      </c>
      <c r="S11" s="32">
        <v>-170.71600000000001</v>
      </c>
      <c r="T11" s="33">
        <v>1</v>
      </c>
      <c r="U11" s="32">
        <v>-151.86500000000001</v>
      </c>
      <c r="V11" s="33">
        <v>1</v>
      </c>
      <c r="W11" s="32">
        <v>-167.57400000000001</v>
      </c>
      <c r="X11" s="33">
        <v>1</v>
      </c>
      <c r="Y11" s="32">
        <v>-34.457999999999998</v>
      </c>
      <c r="Z11" s="33">
        <v>1</v>
      </c>
      <c r="AA11" s="32">
        <v>-105.813</v>
      </c>
      <c r="AB11" s="33">
        <v>1</v>
      </c>
      <c r="AC11" s="32">
        <v>-86.881</v>
      </c>
      <c r="AD11" s="33">
        <v>1</v>
      </c>
      <c r="AE11" s="32">
        <v>-211.13200000000001</v>
      </c>
      <c r="AF11" s="33">
        <v>1</v>
      </c>
      <c r="AG11" s="32">
        <v>-131.35499999999999</v>
      </c>
      <c r="AH11" s="33">
        <v>1</v>
      </c>
      <c r="AI11" s="32">
        <v>-106.833</v>
      </c>
      <c r="AJ11" s="33">
        <v>1</v>
      </c>
      <c r="AK11" s="32">
        <v>-138.08799999999999</v>
      </c>
      <c r="AL11" s="33">
        <v>1</v>
      </c>
      <c r="AM11" s="32">
        <v>-133.51900000000001</v>
      </c>
      <c r="AN11" s="33">
        <v>1</v>
      </c>
      <c r="AO11" s="32">
        <v>-20.841999999999999</v>
      </c>
      <c r="AP11" s="33">
        <v>1</v>
      </c>
      <c r="AQ11" s="32">
        <v>24.625</v>
      </c>
      <c r="AR11" s="33">
        <v>1</v>
      </c>
      <c r="AS11" s="32">
        <v>34.905000000000001</v>
      </c>
      <c r="AT11" s="33">
        <v>1</v>
      </c>
      <c r="AU11" s="32">
        <v>-0.70099999999999996</v>
      </c>
      <c r="AV11" s="33">
        <v>1</v>
      </c>
      <c r="AW11" s="32" t="s">
        <v>141</v>
      </c>
      <c r="AX11" s="33"/>
      <c r="AY11" s="32">
        <v>161.68100000000001</v>
      </c>
      <c r="AZ11" s="33">
        <v>1</v>
      </c>
    </row>
    <row r="12" spans="1:52" x14ac:dyDescent="0.25">
      <c r="A12" s="6" t="s">
        <v>504</v>
      </c>
      <c r="B12" s="6"/>
      <c r="C12" s="36" t="s">
        <v>141</v>
      </c>
      <c r="D12" s="37"/>
      <c r="E12" s="36" t="s">
        <v>141</v>
      </c>
      <c r="F12" s="37"/>
      <c r="G12" s="36" t="s">
        <v>141</v>
      </c>
      <c r="H12" s="37"/>
      <c r="I12" s="36">
        <v>3.4289999999999998</v>
      </c>
      <c r="J12" s="37">
        <v>1</v>
      </c>
      <c r="K12" s="36">
        <v>6.0419999999999998</v>
      </c>
      <c r="L12" s="37">
        <v>1</v>
      </c>
      <c r="M12" s="36">
        <v>10.651</v>
      </c>
      <c r="N12" s="37">
        <v>1</v>
      </c>
      <c r="O12" s="36">
        <v>12.714</v>
      </c>
      <c r="P12" s="37">
        <v>1</v>
      </c>
      <c r="Q12" s="36">
        <v>13.576000000000001</v>
      </c>
      <c r="R12" s="37">
        <v>1</v>
      </c>
      <c r="S12" s="36">
        <v>18.516999999999999</v>
      </c>
      <c r="T12" s="37">
        <v>1</v>
      </c>
      <c r="U12" s="36">
        <v>15.515000000000001</v>
      </c>
      <c r="V12" s="37">
        <v>1</v>
      </c>
      <c r="W12" s="36">
        <v>15.81</v>
      </c>
      <c r="X12" s="37">
        <v>1</v>
      </c>
      <c r="Y12" s="36">
        <v>15.994999999999999</v>
      </c>
      <c r="Z12" s="37">
        <v>1</v>
      </c>
      <c r="AA12" s="36">
        <v>16.047999999999998</v>
      </c>
      <c r="AB12" s="37">
        <v>1</v>
      </c>
      <c r="AC12" s="36">
        <v>15.795999999999999</v>
      </c>
      <c r="AD12" s="37">
        <v>1</v>
      </c>
      <c r="AE12" s="36">
        <v>14.696999999999999</v>
      </c>
      <c r="AF12" s="37">
        <v>1</v>
      </c>
      <c r="AG12" s="36">
        <v>11.301</v>
      </c>
      <c r="AH12" s="37">
        <v>1</v>
      </c>
      <c r="AI12" s="36">
        <v>0.26100000000000001</v>
      </c>
      <c r="AJ12" s="37">
        <v>1</v>
      </c>
      <c r="AK12" s="36">
        <v>6.3230000000000004</v>
      </c>
      <c r="AL12" s="37">
        <v>1</v>
      </c>
      <c r="AM12" s="36">
        <v>5.2240000000000002</v>
      </c>
      <c r="AN12" s="37">
        <v>1</v>
      </c>
      <c r="AO12" s="36">
        <v>5.2290000000000001</v>
      </c>
      <c r="AP12" s="37">
        <v>1</v>
      </c>
      <c r="AQ12" s="36">
        <v>5.234</v>
      </c>
      <c r="AR12" s="37">
        <v>1</v>
      </c>
      <c r="AS12" s="36">
        <v>4.1660000000000004</v>
      </c>
      <c r="AT12" s="37">
        <v>1</v>
      </c>
      <c r="AU12" s="36">
        <v>4.8319999999999999</v>
      </c>
      <c r="AV12" s="37">
        <v>1</v>
      </c>
      <c r="AW12" s="36" t="s">
        <v>141</v>
      </c>
      <c r="AX12" s="37"/>
      <c r="AY12" s="36">
        <v>4.4749999999999996</v>
      </c>
      <c r="AZ12" s="37">
        <v>1</v>
      </c>
    </row>
    <row r="13" spans="1:52" x14ac:dyDescent="0.25">
      <c r="A13" s="10" t="s">
        <v>1657</v>
      </c>
      <c r="B13" s="10"/>
      <c r="C13" s="32" t="s">
        <v>141</v>
      </c>
      <c r="D13" s="33"/>
      <c r="E13" s="32" t="s">
        <v>141</v>
      </c>
      <c r="F13" s="33"/>
      <c r="G13" s="32" t="s">
        <v>141</v>
      </c>
      <c r="H13" s="33"/>
      <c r="I13" s="32">
        <v>3.4289999999999998</v>
      </c>
      <c r="J13" s="33">
        <v>1</v>
      </c>
      <c r="K13" s="32">
        <v>6.0419999999999998</v>
      </c>
      <c r="L13" s="33">
        <v>1</v>
      </c>
      <c r="M13" s="32">
        <v>10.651</v>
      </c>
      <c r="N13" s="33">
        <v>1</v>
      </c>
      <c r="O13" s="32">
        <v>12.714</v>
      </c>
      <c r="P13" s="33">
        <v>1</v>
      </c>
      <c r="Q13" s="32">
        <v>13.576000000000001</v>
      </c>
      <c r="R13" s="33">
        <v>1</v>
      </c>
      <c r="S13" s="32">
        <v>18.516999999999999</v>
      </c>
      <c r="T13" s="33">
        <v>1</v>
      </c>
      <c r="U13" s="32">
        <v>15.515000000000001</v>
      </c>
      <c r="V13" s="33">
        <v>1</v>
      </c>
      <c r="W13" s="32">
        <v>15.81</v>
      </c>
      <c r="X13" s="33">
        <v>1</v>
      </c>
      <c r="Y13" s="32">
        <v>15.994999999999999</v>
      </c>
      <c r="Z13" s="33">
        <v>1</v>
      </c>
      <c r="AA13" s="32">
        <v>16.047999999999998</v>
      </c>
      <c r="AB13" s="33">
        <v>1</v>
      </c>
      <c r="AC13" s="32">
        <v>15.795999999999999</v>
      </c>
      <c r="AD13" s="33">
        <v>1</v>
      </c>
      <c r="AE13" s="32">
        <v>14.696999999999999</v>
      </c>
      <c r="AF13" s="33">
        <v>1</v>
      </c>
      <c r="AG13" s="32">
        <v>11.301</v>
      </c>
      <c r="AH13" s="33">
        <v>1</v>
      </c>
      <c r="AI13" s="32">
        <v>0.26100000000000001</v>
      </c>
      <c r="AJ13" s="33">
        <v>1</v>
      </c>
      <c r="AK13" s="32">
        <v>6.3230000000000004</v>
      </c>
      <c r="AL13" s="33">
        <v>1</v>
      </c>
      <c r="AM13" s="32">
        <v>5.2240000000000002</v>
      </c>
      <c r="AN13" s="33">
        <v>1</v>
      </c>
      <c r="AO13" s="32">
        <v>5.2290000000000001</v>
      </c>
      <c r="AP13" s="33">
        <v>1</v>
      </c>
      <c r="AQ13" s="32">
        <v>5.234</v>
      </c>
      <c r="AR13" s="33">
        <v>1</v>
      </c>
      <c r="AS13" s="32">
        <v>4.1660000000000004</v>
      </c>
      <c r="AT13" s="33">
        <v>1</v>
      </c>
      <c r="AU13" s="32">
        <v>4.8319999999999999</v>
      </c>
      <c r="AV13" s="33">
        <v>1</v>
      </c>
      <c r="AW13" s="32" t="s">
        <v>141</v>
      </c>
      <c r="AX13" s="33"/>
      <c r="AY13" s="32">
        <v>4.4749999999999996</v>
      </c>
      <c r="AZ13" s="33">
        <v>1</v>
      </c>
    </row>
    <row r="14" spans="1:52" x14ac:dyDescent="0.25">
      <c r="A14" s="6" t="s">
        <v>513</v>
      </c>
      <c r="B14" s="6"/>
      <c r="C14" s="36" t="s">
        <v>141</v>
      </c>
      <c r="D14" s="37"/>
      <c r="E14" s="36" t="s">
        <v>141</v>
      </c>
      <c r="F14" s="37"/>
      <c r="G14" s="36" t="s">
        <v>141</v>
      </c>
      <c r="H14" s="37"/>
      <c r="I14" s="36">
        <v>1.2929999999999999</v>
      </c>
      <c r="J14" s="37">
        <v>1</v>
      </c>
      <c r="K14" s="36">
        <v>1.48</v>
      </c>
      <c r="L14" s="37">
        <v>1</v>
      </c>
      <c r="M14" s="36">
        <v>2.1389999999999998</v>
      </c>
      <c r="N14" s="37">
        <v>1</v>
      </c>
      <c r="O14" s="36">
        <v>0.63800000000000001</v>
      </c>
      <c r="P14" s="37">
        <v>1</v>
      </c>
      <c r="Q14" s="36">
        <v>0.122</v>
      </c>
      <c r="R14" s="37">
        <v>1</v>
      </c>
      <c r="S14" s="36">
        <v>7.0999999999999994E-2</v>
      </c>
      <c r="T14" s="37">
        <v>1</v>
      </c>
      <c r="U14" s="36">
        <v>5.8999999999999997E-2</v>
      </c>
      <c r="V14" s="37">
        <v>1</v>
      </c>
      <c r="W14" s="36">
        <v>5.1999999999999998E-2</v>
      </c>
      <c r="X14" s="37">
        <v>1</v>
      </c>
      <c r="Y14" s="36">
        <v>0.14799999999999999</v>
      </c>
      <c r="Z14" s="37">
        <v>1</v>
      </c>
      <c r="AA14" s="36">
        <v>9.5000000000000001E-2</v>
      </c>
      <c r="AB14" s="37">
        <v>1</v>
      </c>
      <c r="AC14" s="36">
        <v>0.17299999999999999</v>
      </c>
      <c r="AD14" s="37">
        <v>1</v>
      </c>
      <c r="AE14" s="36">
        <v>2.4089999999999998</v>
      </c>
      <c r="AF14" s="37">
        <v>1</v>
      </c>
      <c r="AG14" s="36">
        <v>4.78</v>
      </c>
      <c r="AH14" s="37">
        <v>1</v>
      </c>
      <c r="AI14" s="36">
        <v>9.1259999999999994</v>
      </c>
      <c r="AJ14" s="37">
        <v>1</v>
      </c>
      <c r="AK14" s="36">
        <v>9.2759999999999998</v>
      </c>
      <c r="AL14" s="37">
        <v>1</v>
      </c>
      <c r="AM14" s="36">
        <v>8.4179999999999993</v>
      </c>
      <c r="AN14" s="37">
        <v>1</v>
      </c>
      <c r="AO14" s="36">
        <v>9.8379999999999992</v>
      </c>
      <c r="AP14" s="37">
        <v>1</v>
      </c>
      <c r="AQ14" s="36">
        <v>8.7249999999999996</v>
      </c>
      <c r="AR14" s="37">
        <v>1</v>
      </c>
      <c r="AS14" s="36">
        <v>7.093</v>
      </c>
      <c r="AT14" s="37">
        <v>1</v>
      </c>
      <c r="AU14" s="36">
        <v>8.0760000000000005</v>
      </c>
      <c r="AV14" s="37">
        <v>1</v>
      </c>
      <c r="AW14" s="36" t="s">
        <v>141</v>
      </c>
      <c r="AX14" s="37"/>
      <c r="AY14" s="36">
        <v>7.8819999999999997</v>
      </c>
      <c r="AZ14" s="37">
        <v>1</v>
      </c>
    </row>
    <row r="15" spans="1:52" x14ac:dyDescent="0.25">
      <c r="A15" s="10" t="s">
        <v>1657</v>
      </c>
      <c r="B15" s="10"/>
      <c r="C15" s="32" t="s">
        <v>141</v>
      </c>
      <c r="D15" s="33"/>
      <c r="E15" s="32" t="s">
        <v>141</v>
      </c>
      <c r="F15" s="33"/>
      <c r="G15" s="32" t="s">
        <v>141</v>
      </c>
      <c r="H15" s="33"/>
      <c r="I15" s="32">
        <v>1.2929999999999999</v>
      </c>
      <c r="J15" s="33">
        <v>1</v>
      </c>
      <c r="K15" s="32">
        <v>1.48</v>
      </c>
      <c r="L15" s="33">
        <v>1</v>
      </c>
      <c r="M15" s="32">
        <v>2.1389999999999998</v>
      </c>
      <c r="N15" s="33">
        <v>1</v>
      </c>
      <c r="O15" s="32">
        <v>0.63800000000000001</v>
      </c>
      <c r="P15" s="33">
        <v>1</v>
      </c>
      <c r="Q15" s="32">
        <v>0.122</v>
      </c>
      <c r="R15" s="33">
        <v>1</v>
      </c>
      <c r="S15" s="32">
        <v>7.0999999999999994E-2</v>
      </c>
      <c r="T15" s="33">
        <v>1</v>
      </c>
      <c r="U15" s="32">
        <v>5.8999999999999997E-2</v>
      </c>
      <c r="V15" s="33">
        <v>1</v>
      </c>
      <c r="W15" s="32">
        <v>5.1999999999999998E-2</v>
      </c>
      <c r="X15" s="33">
        <v>1</v>
      </c>
      <c r="Y15" s="32">
        <v>0.14799999999999999</v>
      </c>
      <c r="Z15" s="33">
        <v>1</v>
      </c>
      <c r="AA15" s="32">
        <v>9.5000000000000001E-2</v>
      </c>
      <c r="AB15" s="33">
        <v>1</v>
      </c>
      <c r="AC15" s="32">
        <v>0.17299999999999999</v>
      </c>
      <c r="AD15" s="33">
        <v>1</v>
      </c>
      <c r="AE15" s="32">
        <v>2.4089999999999998</v>
      </c>
      <c r="AF15" s="33">
        <v>1</v>
      </c>
      <c r="AG15" s="32">
        <v>4.78</v>
      </c>
      <c r="AH15" s="33">
        <v>1</v>
      </c>
      <c r="AI15" s="32">
        <v>9.1259999999999994</v>
      </c>
      <c r="AJ15" s="33">
        <v>1</v>
      </c>
      <c r="AK15" s="32">
        <v>9.2759999999999998</v>
      </c>
      <c r="AL15" s="33">
        <v>1</v>
      </c>
      <c r="AM15" s="32">
        <v>8.4179999999999993</v>
      </c>
      <c r="AN15" s="33">
        <v>1</v>
      </c>
      <c r="AO15" s="32">
        <v>9.8379999999999992</v>
      </c>
      <c r="AP15" s="33">
        <v>1</v>
      </c>
      <c r="AQ15" s="32">
        <v>8.7249999999999996</v>
      </c>
      <c r="AR15" s="33">
        <v>1</v>
      </c>
      <c r="AS15" s="32">
        <v>7.093</v>
      </c>
      <c r="AT15" s="33">
        <v>1</v>
      </c>
      <c r="AU15" s="32">
        <v>8.0760000000000005</v>
      </c>
      <c r="AV15" s="33">
        <v>1</v>
      </c>
      <c r="AW15" s="32" t="s">
        <v>141</v>
      </c>
      <c r="AX15" s="33"/>
      <c r="AY15" s="32">
        <v>7.8819999999999997</v>
      </c>
      <c r="AZ15" s="33">
        <v>1</v>
      </c>
    </row>
    <row r="16" spans="1:52" x14ac:dyDescent="0.25">
      <c r="A16" s="6" t="s">
        <v>420</v>
      </c>
      <c r="B16" s="6"/>
      <c r="C16" s="36">
        <v>-141.67400000000001</v>
      </c>
      <c r="D16" s="37"/>
      <c r="E16" s="36">
        <v>-76.558999999999997</v>
      </c>
      <c r="F16" s="37"/>
      <c r="G16" s="36">
        <v>-276.22899999999998</v>
      </c>
      <c r="H16" s="37"/>
      <c r="I16" s="36">
        <v>-126.1</v>
      </c>
      <c r="J16" s="37"/>
      <c r="K16" s="36">
        <v>-234.99199999999999</v>
      </c>
      <c r="L16" s="37"/>
      <c r="M16" s="36">
        <v>-17.376999999999999</v>
      </c>
      <c r="N16" s="37"/>
      <c r="O16" s="36">
        <v>-150.80000000000001</v>
      </c>
      <c r="P16" s="37"/>
      <c r="Q16" s="36">
        <v>-196.40299999999999</v>
      </c>
      <c r="R16" s="37"/>
      <c r="S16" s="36">
        <v>-188.48500000000001</v>
      </c>
      <c r="T16" s="37"/>
      <c r="U16" s="36">
        <v>-167.393</v>
      </c>
      <c r="V16" s="37"/>
      <c r="W16" s="36">
        <v>-81.759</v>
      </c>
      <c r="X16" s="37"/>
      <c r="Y16" s="36">
        <v>-47.906999999999996</v>
      </c>
      <c r="Z16" s="37"/>
      <c r="AA16" s="36">
        <v>-121.889</v>
      </c>
      <c r="AB16" s="37"/>
      <c r="AC16" s="36">
        <v>-104.146</v>
      </c>
      <c r="AD16" s="37"/>
      <c r="AE16" s="36">
        <v>-228.09299999999999</v>
      </c>
      <c r="AF16" s="37"/>
      <c r="AG16" s="36">
        <v>-256.41800000000001</v>
      </c>
      <c r="AH16" s="37"/>
      <c r="AI16" s="36">
        <v>-101.306</v>
      </c>
      <c r="AJ16" s="37"/>
      <c r="AK16" s="36">
        <v>-512.71</v>
      </c>
      <c r="AL16" s="37"/>
      <c r="AM16" s="36">
        <v>-14.585000000000001</v>
      </c>
      <c r="AN16" s="37"/>
      <c r="AO16" s="36">
        <v>-33.173999999999999</v>
      </c>
      <c r="AP16" s="37"/>
      <c r="AQ16" s="36">
        <v>40.371000000000002</v>
      </c>
      <c r="AR16" s="37">
        <v>1</v>
      </c>
      <c r="AS16" s="36">
        <v>41.448</v>
      </c>
      <c r="AT16" s="37">
        <v>1</v>
      </c>
      <c r="AU16" s="36">
        <v>13.577</v>
      </c>
      <c r="AV16" s="37">
        <v>1</v>
      </c>
      <c r="AW16" s="36" t="s">
        <v>141</v>
      </c>
      <c r="AX16" s="37"/>
      <c r="AY16" s="36">
        <v>171.74299999999999</v>
      </c>
      <c r="AZ16" s="37">
        <v>1</v>
      </c>
    </row>
    <row r="17" spans="1:52" x14ac:dyDescent="0.25">
      <c r="A17" s="10" t="s">
        <v>1657</v>
      </c>
      <c r="B17" s="10"/>
      <c r="C17" s="32">
        <v>-141.67400000000001</v>
      </c>
      <c r="D17" s="33">
        <v>1</v>
      </c>
      <c r="E17" s="32">
        <v>-76.558999999999997</v>
      </c>
      <c r="F17" s="33">
        <v>1</v>
      </c>
      <c r="G17" s="32">
        <v>-276.22899999999998</v>
      </c>
      <c r="H17" s="33">
        <v>1</v>
      </c>
      <c r="I17" s="32">
        <v>-126.1</v>
      </c>
      <c r="J17" s="33">
        <v>1</v>
      </c>
      <c r="K17" s="32">
        <v>-234.99199999999999</v>
      </c>
      <c r="L17" s="33">
        <v>1</v>
      </c>
      <c r="M17" s="32">
        <v>-17.376999999999999</v>
      </c>
      <c r="N17" s="33">
        <v>1</v>
      </c>
      <c r="O17" s="32">
        <v>-150.80000000000001</v>
      </c>
      <c r="P17" s="33">
        <v>1</v>
      </c>
      <c r="Q17" s="32">
        <v>-196.40299999999999</v>
      </c>
      <c r="R17" s="33">
        <v>1</v>
      </c>
      <c r="S17" s="32">
        <v>-188.48500000000001</v>
      </c>
      <c r="T17" s="33">
        <v>1</v>
      </c>
      <c r="U17" s="32">
        <v>-167.393</v>
      </c>
      <c r="V17" s="33">
        <v>1</v>
      </c>
      <c r="W17" s="32">
        <v>-81.759</v>
      </c>
      <c r="X17" s="33">
        <v>1</v>
      </c>
      <c r="Y17" s="32">
        <v>-47.906999999999996</v>
      </c>
      <c r="Z17" s="33">
        <v>1</v>
      </c>
      <c r="AA17" s="32">
        <v>-121.889</v>
      </c>
      <c r="AB17" s="33">
        <v>1</v>
      </c>
      <c r="AC17" s="32">
        <v>-104.146</v>
      </c>
      <c r="AD17" s="33">
        <v>1</v>
      </c>
      <c r="AE17" s="32">
        <v>-228.09299999999999</v>
      </c>
      <c r="AF17" s="33">
        <v>1</v>
      </c>
      <c r="AG17" s="32">
        <v>-256.41800000000001</v>
      </c>
      <c r="AH17" s="33">
        <v>1</v>
      </c>
      <c r="AI17" s="32">
        <v>-101.306</v>
      </c>
      <c r="AJ17" s="33">
        <v>1</v>
      </c>
      <c r="AK17" s="32">
        <v>-512.71</v>
      </c>
      <c r="AL17" s="33">
        <v>1</v>
      </c>
      <c r="AM17" s="32">
        <v>-14.585000000000001</v>
      </c>
      <c r="AN17" s="33">
        <v>1</v>
      </c>
      <c r="AO17" s="32">
        <v>-33.173999999999999</v>
      </c>
      <c r="AP17" s="33">
        <v>1</v>
      </c>
      <c r="AQ17" s="32">
        <v>40.371000000000002</v>
      </c>
      <c r="AR17" s="33">
        <v>1</v>
      </c>
      <c r="AS17" s="32">
        <v>41.448</v>
      </c>
      <c r="AT17" s="33">
        <v>1</v>
      </c>
      <c r="AU17" s="32">
        <v>13.577</v>
      </c>
      <c r="AV17" s="33">
        <v>1</v>
      </c>
      <c r="AW17" s="32" t="s">
        <v>141</v>
      </c>
      <c r="AX17" s="33"/>
      <c r="AY17" s="32">
        <v>171.74299999999999</v>
      </c>
      <c r="AZ17" s="33">
        <v>1</v>
      </c>
    </row>
    <row r="18" spans="1:52" x14ac:dyDescent="0.25">
      <c r="A18" s="6" t="s">
        <v>1658</v>
      </c>
      <c r="B18" s="6"/>
      <c r="C18" s="36">
        <v>-0.77900000000000003</v>
      </c>
      <c r="D18" s="37"/>
      <c r="E18" s="36">
        <v>8.4000000000000005E-2</v>
      </c>
      <c r="F18" s="37">
        <v>1</v>
      </c>
      <c r="G18" s="36">
        <v>0.17399999999999999</v>
      </c>
      <c r="H18" s="37">
        <v>1</v>
      </c>
      <c r="I18" s="36">
        <v>0.22600000000000001</v>
      </c>
      <c r="J18" s="37">
        <v>1</v>
      </c>
      <c r="K18" s="36">
        <v>0.71099999999999997</v>
      </c>
      <c r="L18" s="37">
        <v>1</v>
      </c>
      <c r="M18" s="36">
        <v>0.115</v>
      </c>
      <c r="N18" s="37">
        <v>1</v>
      </c>
      <c r="O18" s="36">
        <v>0.02</v>
      </c>
      <c r="P18" s="37">
        <v>1</v>
      </c>
      <c r="Q18" s="36">
        <v>9.6000000000000002E-2</v>
      </c>
      <c r="R18" s="37">
        <v>1</v>
      </c>
      <c r="S18" s="36">
        <v>0.83199999999999996</v>
      </c>
      <c r="T18" s="37">
        <v>1</v>
      </c>
      <c r="U18" s="36">
        <v>-0.14299999999999999</v>
      </c>
      <c r="V18" s="37"/>
      <c r="W18" s="36">
        <v>-0.35399999999999998</v>
      </c>
      <c r="X18" s="37"/>
      <c r="Y18" s="36">
        <v>0.23699999999999999</v>
      </c>
      <c r="Z18" s="37">
        <v>1</v>
      </c>
      <c r="AA18" s="36">
        <v>9.1999999999999998E-2</v>
      </c>
      <c r="AB18" s="37">
        <v>1</v>
      </c>
      <c r="AC18" s="36">
        <v>0.879</v>
      </c>
      <c r="AD18" s="37">
        <v>1</v>
      </c>
      <c r="AE18" s="36">
        <v>3.3879999999999999</v>
      </c>
      <c r="AF18" s="37">
        <v>1</v>
      </c>
      <c r="AG18" s="36">
        <v>1.32</v>
      </c>
      <c r="AH18" s="37">
        <v>1</v>
      </c>
      <c r="AI18" s="36">
        <v>7.9379999999999997</v>
      </c>
      <c r="AJ18" s="37">
        <v>1</v>
      </c>
      <c r="AK18" s="36">
        <v>4.0449999999999999</v>
      </c>
      <c r="AL18" s="37">
        <v>1</v>
      </c>
      <c r="AM18" s="36">
        <v>9.3550000000000004</v>
      </c>
      <c r="AN18" s="37">
        <v>1</v>
      </c>
      <c r="AO18" s="36">
        <v>7.7629999999999999</v>
      </c>
      <c r="AP18" s="37">
        <v>1</v>
      </c>
      <c r="AQ18" s="36">
        <v>-5.2839999999999998</v>
      </c>
      <c r="AR18" s="37"/>
      <c r="AS18" s="36">
        <v>5.3289999999999997</v>
      </c>
      <c r="AT18" s="37">
        <v>1</v>
      </c>
      <c r="AU18" s="36">
        <v>7.117</v>
      </c>
      <c r="AV18" s="37">
        <v>1</v>
      </c>
      <c r="AW18" s="36" t="s">
        <v>141</v>
      </c>
      <c r="AX18" s="37"/>
      <c r="AY18" s="36">
        <v>12.694000000000001</v>
      </c>
      <c r="AZ18" s="37">
        <v>1</v>
      </c>
    </row>
    <row r="19" spans="1:52" x14ac:dyDescent="0.25">
      <c r="A19" s="10" t="s">
        <v>1657</v>
      </c>
      <c r="B19" s="10"/>
      <c r="C19" s="32">
        <v>-0.77900000000000003</v>
      </c>
      <c r="D19" s="33">
        <v>1</v>
      </c>
      <c r="E19" s="32">
        <v>8.4000000000000005E-2</v>
      </c>
      <c r="F19" s="33">
        <v>1</v>
      </c>
      <c r="G19" s="32">
        <v>0.17399999999999999</v>
      </c>
      <c r="H19" s="33">
        <v>1</v>
      </c>
      <c r="I19" s="32">
        <v>0.22600000000000001</v>
      </c>
      <c r="J19" s="33">
        <v>1</v>
      </c>
      <c r="K19" s="32">
        <v>0.71099999999999997</v>
      </c>
      <c r="L19" s="33">
        <v>1</v>
      </c>
      <c r="M19" s="32">
        <v>0.115</v>
      </c>
      <c r="N19" s="33">
        <v>1</v>
      </c>
      <c r="O19" s="32">
        <v>0.02</v>
      </c>
      <c r="P19" s="33">
        <v>1</v>
      </c>
      <c r="Q19" s="32">
        <v>9.6000000000000002E-2</v>
      </c>
      <c r="R19" s="33">
        <v>1</v>
      </c>
      <c r="S19" s="32">
        <v>0.83199999999999996</v>
      </c>
      <c r="T19" s="33">
        <v>1</v>
      </c>
      <c r="U19" s="32">
        <v>-0.14299999999999999</v>
      </c>
      <c r="V19" s="33">
        <v>1</v>
      </c>
      <c r="W19" s="32">
        <v>-0.35399999999999998</v>
      </c>
      <c r="X19" s="33">
        <v>1</v>
      </c>
      <c r="Y19" s="32">
        <v>0.23699999999999999</v>
      </c>
      <c r="Z19" s="33">
        <v>1</v>
      </c>
      <c r="AA19" s="32">
        <v>9.1999999999999998E-2</v>
      </c>
      <c r="AB19" s="33">
        <v>1</v>
      </c>
      <c r="AC19" s="32">
        <v>0.879</v>
      </c>
      <c r="AD19" s="33">
        <v>1</v>
      </c>
      <c r="AE19" s="32">
        <v>3.3879999999999999</v>
      </c>
      <c r="AF19" s="33">
        <v>1</v>
      </c>
      <c r="AG19" s="32">
        <v>1.32</v>
      </c>
      <c r="AH19" s="33">
        <v>1</v>
      </c>
      <c r="AI19" s="32">
        <v>7.9379999999999997</v>
      </c>
      <c r="AJ19" s="33">
        <v>1</v>
      </c>
      <c r="AK19" s="32">
        <v>4.0449999999999999</v>
      </c>
      <c r="AL19" s="33">
        <v>1</v>
      </c>
      <c r="AM19" s="32">
        <v>9.3550000000000004</v>
      </c>
      <c r="AN19" s="33">
        <v>1</v>
      </c>
      <c r="AO19" s="32">
        <v>7.7629999999999999</v>
      </c>
      <c r="AP19" s="33">
        <v>1</v>
      </c>
      <c r="AQ19" s="32">
        <v>-5.2839999999999998</v>
      </c>
      <c r="AR19" s="33">
        <v>1</v>
      </c>
      <c r="AS19" s="32">
        <v>5.3289999999999997</v>
      </c>
      <c r="AT19" s="33">
        <v>1</v>
      </c>
      <c r="AU19" s="32">
        <v>7.117</v>
      </c>
      <c r="AV19" s="33">
        <v>1</v>
      </c>
      <c r="AW19" s="32" t="s">
        <v>141</v>
      </c>
      <c r="AX19" s="33"/>
      <c r="AY19" s="32">
        <v>12.694000000000001</v>
      </c>
      <c r="AZ19" s="33">
        <v>1</v>
      </c>
    </row>
    <row r="20" spans="1:52" x14ac:dyDescent="0.25">
      <c r="A20" s="6" t="s">
        <v>159</v>
      </c>
      <c r="B20" s="6"/>
      <c r="C20" s="36">
        <v>-140.89500000000001</v>
      </c>
      <c r="D20" s="37"/>
      <c r="E20" s="36">
        <v>-76.643000000000001</v>
      </c>
      <c r="F20" s="37"/>
      <c r="G20" s="36">
        <v>-276.40300000000002</v>
      </c>
      <c r="H20" s="37"/>
      <c r="I20" s="36">
        <v>-126.32599999999999</v>
      </c>
      <c r="J20" s="37"/>
      <c r="K20" s="36">
        <v>-235.703</v>
      </c>
      <c r="L20" s="37"/>
      <c r="M20" s="36">
        <v>-17.492000000000001</v>
      </c>
      <c r="N20" s="37"/>
      <c r="O20" s="36">
        <v>-150.82</v>
      </c>
      <c r="P20" s="37"/>
      <c r="Q20" s="36">
        <v>-196.499</v>
      </c>
      <c r="R20" s="37"/>
      <c r="S20" s="36">
        <v>-189.31700000000001</v>
      </c>
      <c r="T20" s="37"/>
      <c r="U20" s="36">
        <v>-167.25</v>
      </c>
      <c r="V20" s="37"/>
      <c r="W20" s="36">
        <v>-81.405000000000001</v>
      </c>
      <c r="X20" s="37"/>
      <c r="Y20" s="36">
        <v>-48.143999999999998</v>
      </c>
      <c r="Z20" s="37"/>
      <c r="AA20" s="36">
        <v>-121.98099999999999</v>
      </c>
      <c r="AB20" s="37"/>
      <c r="AC20" s="36">
        <v>-105.02500000000001</v>
      </c>
      <c r="AD20" s="37"/>
      <c r="AE20" s="36">
        <v>-231.48099999999999</v>
      </c>
      <c r="AF20" s="37"/>
      <c r="AG20" s="36">
        <v>-257.738</v>
      </c>
      <c r="AH20" s="37"/>
      <c r="AI20" s="36">
        <v>-109.244</v>
      </c>
      <c r="AJ20" s="37"/>
      <c r="AK20" s="36">
        <v>-516.755</v>
      </c>
      <c r="AL20" s="37"/>
      <c r="AM20" s="36">
        <v>-23.94</v>
      </c>
      <c r="AN20" s="37"/>
      <c r="AO20" s="36">
        <v>-40.936999999999998</v>
      </c>
      <c r="AP20" s="37"/>
      <c r="AQ20" s="36">
        <v>45.655000000000001</v>
      </c>
      <c r="AR20" s="37">
        <v>1</v>
      </c>
      <c r="AS20" s="36">
        <v>36.119</v>
      </c>
      <c r="AT20" s="37">
        <v>1</v>
      </c>
      <c r="AU20" s="36">
        <v>6.46</v>
      </c>
      <c r="AV20" s="37">
        <v>1</v>
      </c>
      <c r="AW20" s="36" t="s">
        <v>141</v>
      </c>
      <c r="AX20" s="37"/>
      <c r="AY20" s="36">
        <v>159.04900000000001</v>
      </c>
      <c r="AZ20" s="37">
        <v>1</v>
      </c>
    </row>
    <row r="21" spans="1:52" x14ac:dyDescent="0.25">
      <c r="A21" s="10" t="s">
        <v>1657</v>
      </c>
      <c r="B21" s="10"/>
      <c r="C21" s="32">
        <v>-140.89500000000001</v>
      </c>
      <c r="D21" s="33">
        <v>1</v>
      </c>
      <c r="E21" s="32">
        <v>-76.643000000000001</v>
      </c>
      <c r="F21" s="33">
        <v>1</v>
      </c>
      <c r="G21" s="32">
        <v>-276.40300000000002</v>
      </c>
      <c r="H21" s="33">
        <v>1</v>
      </c>
      <c r="I21" s="32">
        <v>-126.32599999999999</v>
      </c>
      <c r="J21" s="33">
        <v>1</v>
      </c>
      <c r="K21" s="32">
        <v>-235.703</v>
      </c>
      <c r="L21" s="33">
        <v>1</v>
      </c>
      <c r="M21" s="32">
        <v>-17.492000000000001</v>
      </c>
      <c r="N21" s="33">
        <v>1</v>
      </c>
      <c r="O21" s="32">
        <v>-150.82</v>
      </c>
      <c r="P21" s="33">
        <v>1</v>
      </c>
      <c r="Q21" s="32">
        <v>-196.499</v>
      </c>
      <c r="R21" s="33">
        <v>1</v>
      </c>
      <c r="S21" s="32">
        <v>-189.31700000000001</v>
      </c>
      <c r="T21" s="33">
        <v>1</v>
      </c>
      <c r="U21" s="32">
        <v>-167.25</v>
      </c>
      <c r="V21" s="33">
        <v>1</v>
      </c>
      <c r="W21" s="32">
        <v>-81.405000000000001</v>
      </c>
      <c r="X21" s="33">
        <v>1</v>
      </c>
      <c r="Y21" s="32">
        <v>-48.143999999999998</v>
      </c>
      <c r="Z21" s="33">
        <v>1</v>
      </c>
      <c r="AA21" s="32">
        <v>-121.98099999999999</v>
      </c>
      <c r="AB21" s="33">
        <v>1</v>
      </c>
      <c r="AC21" s="32">
        <v>-105.02500000000001</v>
      </c>
      <c r="AD21" s="33">
        <v>1</v>
      </c>
      <c r="AE21" s="32">
        <v>-231.48099999999999</v>
      </c>
      <c r="AF21" s="33">
        <v>1</v>
      </c>
      <c r="AG21" s="32">
        <v>-257.738</v>
      </c>
      <c r="AH21" s="33">
        <v>1</v>
      </c>
      <c r="AI21" s="32">
        <v>-109.244</v>
      </c>
      <c r="AJ21" s="33">
        <v>1</v>
      </c>
      <c r="AK21" s="32">
        <v>-516.755</v>
      </c>
      <c r="AL21" s="33">
        <v>1</v>
      </c>
      <c r="AM21" s="32">
        <v>-23.94</v>
      </c>
      <c r="AN21" s="33">
        <v>1</v>
      </c>
      <c r="AO21" s="32">
        <v>-40.936999999999998</v>
      </c>
      <c r="AP21" s="33">
        <v>1</v>
      </c>
      <c r="AQ21" s="32">
        <v>45.655000000000001</v>
      </c>
      <c r="AR21" s="33">
        <v>1</v>
      </c>
      <c r="AS21" s="32">
        <v>36.119</v>
      </c>
      <c r="AT21" s="33">
        <v>1</v>
      </c>
      <c r="AU21" s="32">
        <v>6.46</v>
      </c>
      <c r="AV21" s="33">
        <v>1</v>
      </c>
      <c r="AW21" s="32" t="s">
        <v>141</v>
      </c>
      <c r="AX21" s="33"/>
      <c r="AY21" s="32">
        <v>159.04900000000001</v>
      </c>
      <c r="AZ21" s="33">
        <v>1</v>
      </c>
    </row>
    <row r="22" spans="1:52" x14ac:dyDescent="0.25">
      <c r="A22" s="6" t="s">
        <v>1659</v>
      </c>
      <c r="B22" s="6"/>
      <c r="C22" s="36">
        <v>97.024000000000001</v>
      </c>
      <c r="D22" s="37">
        <v>1</v>
      </c>
      <c r="E22" s="36">
        <v>147.37799999999999</v>
      </c>
      <c r="F22" s="37">
        <v>1</v>
      </c>
      <c r="G22" s="36">
        <v>156.65</v>
      </c>
      <c r="H22" s="37">
        <v>1</v>
      </c>
      <c r="I22" s="36">
        <v>159.02500000000001</v>
      </c>
      <c r="J22" s="37">
        <v>1</v>
      </c>
      <c r="K22" s="36">
        <v>167.553</v>
      </c>
      <c r="L22" s="37">
        <v>1</v>
      </c>
      <c r="M22" s="36">
        <v>200.422</v>
      </c>
      <c r="N22" s="37">
        <v>1</v>
      </c>
      <c r="O22" s="36">
        <v>227.53700000000001</v>
      </c>
      <c r="P22" s="37">
        <v>1</v>
      </c>
      <c r="Q22" s="36">
        <v>242.8</v>
      </c>
      <c r="R22" s="37">
        <v>1</v>
      </c>
      <c r="S22" s="36">
        <v>282.19099999999997</v>
      </c>
      <c r="T22" s="37">
        <v>1</v>
      </c>
      <c r="U22" s="36">
        <v>268.17500000000001</v>
      </c>
      <c r="V22" s="37">
        <v>1</v>
      </c>
      <c r="W22" s="36">
        <v>276.19799999999998</v>
      </c>
      <c r="X22" s="37">
        <v>1</v>
      </c>
      <c r="Y22" s="36">
        <v>271.91199999999998</v>
      </c>
      <c r="Z22" s="37">
        <v>1</v>
      </c>
      <c r="AA22" s="36">
        <v>236.68700000000001</v>
      </c>
      <c r="AB22" s="37">
        <v>1</v>
      </c>
      <c r="AC22" s="36">
        <v>233.23</v>
      </c>
      <c r="AD22" s="37">
        <v>1</v>
      </c>
      <c r="AE22" s="36">
        <v>230.291</v>
      </c>
      <c r="AF22" s="37">
        <v>1</v>
      </c>
      <c r="AG22" s="36">
        <v>224.03899999999999</v>
      </c>
      <c r="AH22" s="37">
        <v>1</v>
      </c>
      <c r="AI22" s="36">
        <v>268.57799999999997</v>
      </c>
      <c r="AJ22" s="37">
        <v>1</v>
      </c>
      <c r="AK22" s="36">
        <v>244.87799999999999</v>
      </c>
      <c r="AL22" s="37">
        <v>1</v>
      </c>
      <c r="AM22" s="36">
        <v>323.60199999999998</v>
      </c>
      <c r="AN22" s="37">
        <v>1</v>
      </c>
      <c r="AO22" s="36">
        <v>345.82100000000003</v>
      </c>
      <c r="AP22" s="37">
        <v>1</v>
      </c>
      <c r="AQ22" s="36">
        <v>357.10599999999999</v>
      </c>
      <c r="AR22" s="37">
        <v>1</v>
      </c>
      <c r="AS22" s="36">
        <v>375.57100000000003</v>
      </c>
      <c r="AT22" s="37">
        <v>1</v>
      </c>
      <c r="AU22" s="36">
        <v>400.20100000000002</v>
      </c>
      <c r="AV22" s="37">
        <v>1</v>
      </c>
      <c r="AW22" s="36" t="s">
        <v>141</v>
      </c>
      <c r="AX22" s="37"/>
      <c r="AY22" s="36">
        <v>488.64600000000002</v>
      </c>
      <c r="AZ22" s="37">
        <v>1</v>
      </c>
    </row>
    <row r="23" spans="1:52" x14ac:dyDescent="0.25">
      <c r="A23" s="10" t="s">
        <v>1657</v>
      </c>
      <c r="B23" s="10"/>
      <c r="C23" s="32">
        <v>97.024000000000001</v>
      </c>
      <c r="D23" s="33">
        <v>1</v>
      </c>
      <c r="E23" s="32">
        <v>147.37799999999999</v>
      </c>
      <c r="F23" s="33">
        <v>1</v>
      </c>
      <c r="G23" s="32">
        <v>156.65</v>
      </c>
      <c r="H23" s="33">
        <v>1</v>
      </c>
      <c r="I23" s="32">
        <v>159.02500000000001</v>
      </c>
      <c r="J23" s="33">
        <v>1</v>
      </c>
      <c r="K23" s="32">
        <v>167.553</v>
      </c>
      <c r="L23" s="33">
        <v>1</v>
      </c>
      <c r="M23" s="32">
        <v>200.422</v>
      </c>
      <c r="N23" s="33">
        <v>1</v>
      </c>
      <c r="O23" s="32">
        <v>227.53700000000001</v>
      </c>
      <c r="P23" s="33">
        <v>1</v>
      </c>
      <c r="Q23" s="32">
        <v>242.8</v>
      </c>
      <c r="R23" s="33">
        <v>1</v>
      </c>
      <c r="S23" s="32">
        <v>282.19099999999997</v>
      </c>
      <c r="T23" s="33">
        <v>1</v>
      </c>
      <c r="U23" s="32">
        <v>268.17500000000001</v>
      </c>
      <c r="V23" s="33">
        <v>1</v>
      </c>
      <c r="W23" s="32">
        <v>276.19799999999998</v>
      </c>
      <c r="X23" s="33">
        <v>1</v>
      </c>
      <c r="Y23" s="32">
        <v>271.91199999999998</v>
      </c>
      <c r="Z23" s="33">
        <v>1</v>
      </c>
      <c r="AA23" s="32">
        <v>236.68700000000001</v>
      </c>
      <c r="AB23" s="33">
        <v>1</v>
      </c>
      <c r="AC23" s="32">
        <v>233.23</v>
      </c>
      <c r="AD23" s="33">
        <v>1</v>
      </c>
      <c r="AE23" s="32">
        <v>230.291</v>
      </c>
      <c r="AF23" s="33">
        <v>1</v>
      </c>
      <c r="AG23" s="32">
        <v>224.03899999999999</v>
      </c>
      <c r="AH23" s="33">
        <v>1</v>
      </c>
      <c r="AI23" s="32">
        <v>268.57799999999997</v>
      </c>
      <c r="AJ23" s="33">
        <v>1</v>
      </c>
      <c r="AK23" s="32">
        <v>244.87799999999999</v>
      </c>
      <c r="AL23" s="33">
        <v>1</v>
      </c>
      <c r="AM23" s="32">
        <v>323.60199999999998</v>
      </c>
      <c r="AN23" s="33">
        <v>1</v>
      </c>
      <c r="AO23" s="32">
        <v>345.82100000000003</v>
      </c>
      <c r="AP23" s="33">
        <v>1</v>
      </c>
      <c r="AQ23" s="32">
        <v>357.10599999999999</v>
      </c>
      <c r="AR23" s="33">
        <v>1</v>
      </c>
      <c r="AS23" s="32">
        <v>375.57100000000003</v>
      </c>
      <c r="AT23" s="33">
        <v>1</v>
      </c>
      <c r="AU23" s="32">
        <v>400.20100000000002</v>
      </c>
      <c r="AV23" s="33">
        <v>1</v>
      </c>
      <c r="AW23" s="32" t="s">
        <v>141</v>
      </c>
      <c r="AX23" s="33"/>
      <c r="AY23" s="32">
        <v>488.64600000000002</v>
      </c>
      <c r="AZ23" s="33">
        <v>1</v>
      </c>
    </row>
    <row r="24" spans="1:52" x14ac:dyDescent="0.25">
      <c r="A24" s="6" t="s">
        <v>1660</v>
      </c>
      <c r="B24" s="6"/>
      <c r="C24" s="36">
        <v>0</v>
      </c>
      <c r="D24" s="37"/>
      <c r="E24" s="36" t="s">
        <v>141</v>
      </c>
      <c r="F24" s="37"/>
      <c r="G24" s="36" t="s">
        <v>141</v>
      </c>
      <c r="H24" s="37"/>
      <c r="I24" s="36" t="s">
        <v>141</v>
      </c>
      <c r="J24" s="37"/>
      <c r="K24" s="36">
        <v>0</v>
      </c>
      <c r="L24" s="37"/>
      <c r="M24" s="36" t="s">
        <v>141</v>
      </c>
      <c r="N24" s="37"/>
      <c r="O24" s="36" t="s">
        <v>141</v>
      </c>
      <c r="P24" s="37"/>
      <c r="Q24" s="36" t="s">
        <v>141</v>
      </c>
      <c r="R24" s="37"/>
      <c r="S24" s="36">
        <v>0</v>
      </c>
      <c r="T24" s="37"/>
      <c r="U24" s="36" t="s">
        <v>141</v>
      </c>
      <c r="V24" s="37"/>
      <c r="W24" s="36" t="s">
        <v>141</v>
      </c>
      <c r="X24" s="37"/>
      <c r="Y24" s="36" t="s">
        <v>141</v>
      </c>
      <c r="Z24" s="37"/>
      <c r="AA24" s="36">
        <v>0</v>
      </c>
      <c r="AB24" s="37"/>
      <c r="AC24" s="36" t="s">
        <v>141</v>
      </c>
      <c r="AD24" s="37"/>
      <c r="AE24" s="36" t="s">
        <v>141</v>
      </c>
      <c r="AF24" s="37"/>
      <c r="AG24" s="36" t="s">
        <v>141</v>
      </c>
      <c r="AH24" s="37"/>
      <c r="AI24" s="36">
        <v>0</v>
      </c>
      <c r="AJ24" s="37"/>
      <c r="AK24" s="36" t="s">
        <v>141</v>
      </c>
      <c r="AL24" s="37"/>
      <c r="AM24" s="36" t="s">
        <v>141</v>
      </c>
      <c r="AN24" s="37"/>
      <c r="AO24" s="36" t="s">
        <v>141</v>
      </c>
      <c r="AP24" s="37"/>
      <c r="AQ24" s="36">
        <v>0</v>
      </c>
      <c r="AR24" s="37"/>
      <c r="AS24" s="36" t="s">
        <v>141</v>
      </c>
      <c r="AT24" s="37"/>
      <c r="AU24" s="36" t="s">
        <v>141</v>
      </c>
      <c r="AV24" s="37"/>
      <c r="AW24" s="36" t="s">
        <v>141</v>
      </c>
      <c r="AX24" s="37"/>
      <c r="AY24" s="36">
        <v>0</v>
      </c>
      <c r="AZ24" s="37"/>
    </row>
    <row r="25" spans="1:52" x14ac:dyDescent="0.25">
      <c r="A25" s="10" t="s">
        <v>1657</v>
      </c>
      <c r="B25" s="10"/>
      <c r="C25" s="32">
        <v>0</v>
      </c>
      <c r="D25" s="33"/>
      <c r="E25" s="32" t="s">
        <v>141</v>
      </c>
      <c r="F25" s="33"/>
      <c r="G25" s="32" t="s">
        <v>141</v>
      </c>
      <c r="H25" s="33"/>
      <c r="I25" s="32" t="s">
        <v>141</v>
      </c>
      <c r="J25" s="33"/>
      <c r="K25" s="32">
        <v>0</v>
      </c>
      <c r="L25" s="33"/>
      <c r="M25" s="32" t="s">
        <v>141</v>
      </c>
      <c r="N25" s="33"/>
      <c r="O25" s="32" t="s">
        <v>141</v>
      </c>
      <c r="P25" s="33"/>
      <c r="Q25" s="32" t="s">
        <v>141</v>
      </c>
      <c r="R25" s="33"/>
      <c r="S25" s="32">
        <v>0</v>
      </c>
      <c r="T25" s="33"/>
      <c r="U25" s="32" t="s">
        <v>141</v>
      </c>
      <c r="V25" s="33"/>
      <c r="W25" s="32" t="s">
        <v>141</v>
      </c>
      <c r="X25" s="33"/>
      <c r="Y25" s="32" t="s">
        <v>141</v>
      </c>
      <c r="Z25" s="33"/>
      <c r="AA25" s="32">
        <v>0</v>
      </c>
      <c r="AB25" s="33"/>
      <c r="AC25" s="32" t="s">
        <v>141</v>
      </c>
      <c r="AD25" s="33"/>
      <c r="AE25" s="32" t="s">
        <v>141</v>
      </c>
      <c r="AF25" s="33"/>
      <c r="AG25" s="32" t="s">
        <v>141</v>
      </c>
      <c r="AH25" s="33"/>
      <c r="AI25" s="32">
        <v>0</v>
      </c>
      <c r="AJ25" s="33"/>
      <c r="AK25" s="32" t="s">
        <v>141</v>
      </c>
      <c r="AL25" s="33"/>
      <c r="AM25" s="32" t="s">
        <v>141</v>
      </c>
      <c r="AN25" s="33"/>
      <c r="AO25" s="32" t="s">
        <v>141</v>
      </c>
      <c r="AP25" s="33"/>
      <c r="AQ25" s="32">
        <v>0</v>
      </c>
      <c r="AR25" s="33"/>
      <c r="AS25" s="32" t="s">
        <v>141</v>
      </c>
      <c r="AT25" s="33"/>
      <c r="AU25" s="32" t="s">
        <v>141</v>
      </c>
      <c r="AV25" s="33"/>
      <c r="AW25" s="32" t="s">
        <v>141</v>
      </c>
      <c r="AX25" s="33"/>
      <c r="AY25" s="32">
        <v>0</v>
      </c>
      <c r="AZ25" s="33"/>
    </row>
    <row r="26" spans="1:52" x14ac:dyDescent="0.25">
      <c r="A26" s="6" t="s">
        <v>1661</v>
      </c>
      <c r="B26" s="6"/>
      <c r="C26" s="36">
        <v>1642.075</v>
      </c>
      <c r="D26" s="37">
        <v>1</v>
      </c>
      <c r="E26" s="36">
        <v>1963.895</v>
      </c>
      <c r="F26" s="37">
        <v>1</v>
      </c>
      <c r="G26" s="36">
        <v>1747.7529999999999</v>
      </c>
      <c r="H26" s="37">
        <v>1</v>
      </c>
      <c r="I26" s="36">
        <v>1702.47</v>
      </c>
      <c r="J26" s="37">
        <v>1</v>
      </c>
      <c r="K26" s="36">
        <v>1822.8219999999999</v>
      </c>
      <c r="L26" s="37">
        <v>1</v>
      </c>
      <c r="M26" s="36">
        <v>2947.3879999999999</v>
      </c>
      <c r="N26" s="37">
        <v>1</v>
      </c>
      <c r="O26" s="36">
        <v>2883.0430000000001</v>
      </c>
      <c r="P26" s="37">
        <v>1</v>
      </c>
      <c r="Q26" s="36">
        <v>2780.6640000000002</v>
      </c>
      <c r="R26" s="37">
        <v>1</v>
      </c>
      <c r="S26" s="36">
        <v>2984.7179999999998</v>
      </c>
      <c r="T26" s="37">
        <v>1</v>
      </c>
      <c r="U26" s="36">
        <v>2765.2330000000002</v>
      </c>
      <c r="V26" s="37">
        <v>1</v>
      </c>
      <c r="W26" s="36">
        <v>2759.0729999999999</v>
      </c>
      <c r="X26" s="37">
        <v>1</v>
      </c>
      <c r="Y26" s="36">
        <v>2662.2179999999998</v>
      </c>
      <c r="Z26" s="37">
        <v>1</v>
      </c>
      <c r="AA26" s="36">
        <v>3147.9740000000002</v>
      </c>
      <c r="AB26" s="37">
        <v>1</v>
      </c>
      <c r="AC26" s="36">
        <v>3056.154</v>
      </c>
      <c r="AD26" s="37">
        <v>1</v>
      </c>
      <c r="AE26" s="36">
        <v>2996.8530000000001</v>
      </c>
      <c r="AF26" s="37">
        <v>1</v>
      </c>
      <c r="AG26" s="36">
        <v>3156.1489999999999</v>
      </c>
      <c r="AH26" s="37">
        <v>1</v>
      </c>
      <c r="AI26" s="36">
        <v>3128.366</v>
      </c>
      <c r="AJ26" s="37">
        <v>1</v>
      </c>
      <c r="AK26" s="36">
        <v>3059.7860000000001</v>
      </c>
      <c r="AL26" s="37">
        <v>1</v>
      </c>
      <c r="AM26" s="36">
        <v>3125.89</v>
      </c>
      <c r="AN26" s="37">
        <v>1</v>
      </c>
      <c r="AO26" s="36">
        <v>3109.7069999999999</v>
      </c>
      <c r="AP26" s="37">
        <v>1</v>
      </c>
      <c r="AQ26" s="36">
        <v>3264.576</v>
      </c>
      <c r="AR26" s="37">
        <v>1</v>
      </c>
      <c r="AS26" s="36">
        <v>3224.3850000000002</v>
      </c>
      <c r="AT26" s="37">
        <v>1</v>
      </c>
      <c r="AU26" s="36">
        <v>3424.2570000000001</v>
      </c>
      <c r="AV26" s="37">
        <v>1</v>
      </c>
      <c r="AW26" s="36" t="s">
        <v>141</v>
      </c>
      <c r="AX26" s="37"/>
      <c r="AY26" s="36">
        <v>3963.1729999999998</v>
      </c>
      <c r="AZ26" s="37">
        <v>1</v>
      </c>
    </row>
    <row r="27" spans="1:52" x14ac:dyDescent="0.25">
      <c r="A27" s="10" t="s">
        <v>1657</v>
      </c>
      <c r="B27" s="10"/>
      <c r="C27" s="32">
        <v>1642.075</v>
      </c>
      <c r="D27" s="33">
        <v>1</v>
      </c>
      <c r="E27" s="32">
        <v>1963.895</v>
      </c>
      <c r="F27" s="33">
        <v>1</v>
      </c>
      <c r="G27" s="32">
        <v>1747.7529999999999</v>
      </c>
      <c r="H27" s="33">
        <v>1</v>
      </c>
      <c r="I27" s="32">
        <v>1702.47</v>
      </c>
      <c r="J27" s="33">
        <v>1</v>
      </c>
      <c r="K27" s="32">
        <v>1822.8219999999999</v>
      </c>
      <c r="L27" s="33">
        <v>1</v>
      </c>
      <c r="M27" s="32">
        <v>2947.3879999999999</v>
      </c>
      <c r="N27" s="33">
        <v>1</v>
      </c>
      <c r="O27" s="32">
        <v>2883.0430000000001</v>
      </c>
      <c r="P27" s="33">
        <v>1</v>
      </c>
      <c r="Q27" s="32">
        <v>2780.6640000000002</v>
      </c>
      <c r="R27" s="33">
        <v>1</v>
      </c>
      <c r="S27" s="32">
        <v>2984.7179999999998</v>
      </c>
      <c r="T27" s="33">
        <v>1</v>
      </c>
      <c r="U27" s="32">
        <v>2765.2330000000002</v>
      </c>
      <c r="V27" s="33">
        <v>1</v>
      </c>
      <c r="W27" s="32">
        <v>2759.0729999999999</v>
      </c>
      <c r="X27" s="33">
        <v>1</v>
      </c>
      <c r="Y27" s="32">
        <v>2662.2179999999998</v>
      </c>
      <c r="Z27" s="33">
        <v>1</v>
      </c>
      <c r="AA27" s="32">
        <v>3147.9740000000002</v>
      </c>
      <c r="AB27" s="33">
        <v>1</v>
      </c>
      <c r="AC27" s="32">
        <v>3056.154</v>
      </c>
      <c r="AD27" s="33">
        <v>1</v>
      </c>
      <c r="AE27" s="32">
        <v>2996.8530000000001</v>
      </c>
      <c r="AF27" s="33">
        <v>1</v>
      </c>
      <c r="AG27" s="32">
        <v>3156.1489999999999</v>
      </c>
      <c r="AH27" s="33">
        <v>1</v>
      </c>
      <c r="AI27" s="32">
        <v>3128.366</v>
      </c>
      <c r="AJ27" s="33">
        <v>1</v>
      </c>
      <c r="AK27" s="32">
        <v>3059.7860000000001</v>
      </c>
      <c r="AL27" s="33">
        <v>1</v>
      </c>
      <c r="AM27" s="32">
        <v>3125.89</v>
      </c>
      <c r="AN27" s="33">
        <v>1</v>
      </c>
      <c r="AO27" s="32">
        <v>3109.7069999999999</v>
      </c>
      <c r="AP27" s="33">
        <v>1</v>
      </c>
      <c r="AQ27" s="32">
        <v>3264.576</v>
      </c>
      <c r="AR27" s="33">
        <v>1</v>
      </c>
      <c r="AS27" s="32">
        <v>3224.3850000000002</v>
      </c>
      <c r="AT27" s="33">
        <v>1</v>
      </c>
      <c r="AU27" s="32">
        <v>3424.2570000000001</v>
      </c>
      <c r="AV27" s="33">
        <v>1</v>
      </c>
      <c r="AW27" s="32" t="s">
        <v>141</v>
      </c>
      <c r="AX27" s="33"/>
      <c r="AY27" s="32">
        <v>3963.1729999999998</v>
      </c>
      <c r="AZ27" s="33">
        <v>1</v>
      </c>
    </row>
    <row r="28" spans="1:52" x14ac:dyDescent="0.25">
      <c r="A28" s="6" t="s">
        <v>1662</v>
      </c>
      <c r="B28" s="6"/>
      <c r="C28" s="36">
        <v>609.79899999999998</v>
      </c>
      <c r="D28" s="37">
        <v>1</v>
      </c>
      <c r="E28" s="36">
        <v>615.33100000000002</v>
      </c>
      <c r="F28" s="37">
        <v>1</v>
      </c>
      <c r="G28" s="36">
        <v>648.58600000000001</v>
      </c>
      <c r="H28" s="37">
        <v>1</v>
      </c>
      <c r="I28" s="36">
        <v>707.26599999999996</v>
      </c>
      <c r="J28" s="37">
        <v>1</v>
      </c>
      <c r="K28" s="36">
        <v>1004.635</v>
      </c>
      <c r="L28" s="37">
        <v>1</v>
      </c>
      <c r="M28" s="36">
        <v>1802.56</v>
      </c>
      <c r="N28" s="37">
        <v>1</v>
      </c>
      <c r="O28" s="36">
        <v>1840.1769999999999</v>
      </c>
      <c r="P28" s="37">
        <v>1</v>
      </c>
      <c r="Q28" s="36">
        <v>1888.617</v>
      </c>
      <c r="R28" s="37">
        <v>1</v>
      </c>
      <c r="S28" s="36">
        <v>2222.9589999999998</v>
      </c>
      <c r="T28" s="37">
        <v>1</v>
      </c>
      <c r="U28" s="36">
        <v>2229.788</v>
      </c>
      <c r="V28" s="37">
        <v>1</v>
      </c>
      <c r="W28" s="36">
        <v>2273.9650000000001</v>
      </c>
      <c r="X28" s="37">
        <v>1</v>
      </c>
      <c r="Y28" s="36">
        <v>2192.69</v>
      </c>
      <c r="Z28" s="37">
        <v>1</v>
      </c>
      <c r="AA28" s="36">
        <v>2219.9650000000001</v>
      </c>
      <c r="AB28" s="37">
        <v>1</v>
      </c>
      <c r="AC28" s="36">
        <v>2199.268</v>
      </c>
      <c r="AD28" s="37">
        <v>1</v>
      </c>
      <c r="AE28" s="36">
        <v>2270.3960000000002</v>
      </c>
      <c r="AF28" s="37">
        <v>1</v>
      </c>
      <c r="AG28" s="36">
        <v>2725.3090000000002</v>
      </c>
      <c r="AH28" s="37">
        <v>1</v>
      </c>
      <c r="AI28" s="36">
        <v>2743.4160000000002</v>
      </c>
      <c r="AJ28" s="37">
        <v>1</v>
      </c>
      <c r="AK28" s="36">
        <v>2347.0369999999998</v>
      </c>
      <c r="AL28" s="37">
        <v>1</v>
      </c>
      <c r="AM28" s="36">
        <v>2384.4789999999998</v>
      </c>
      <c r="AN28" s="37">
        <v>1</v>
      </c>
      <c r="AO28" s="36">
        <v>2345.35</v>
      </c>
      <c r="AP28" s="37">
        <v>1</v>
      </c>
      <c r="AQ28" s="36">
        <v>2405.239</v>
      </c>
      <c r="AR28" s="37">
        <v>1</v>
      </c>
      <c r="AS28" s="36">
        <v>2263.1930000000002</v>
      </c>
      <c r="AT28" s="37">
        <v>1</v>
      </c>
      <c r="AU28" s="36">
        <v>2347.1880000000001</v>
      </c>
      <c r="AV28" s="37">
        <v>1</v>
      </c>
      <c r="AW28" s="36" t="s">
        <v>141</v>
      </c>
      <c r="AX28" s="37"/>
      <c r="AY28" s="36">
        <v>2435.431</v>
      </c>
      <c r="AZ28" s="37">
        <v>1</v>
      </c>
    </row>
    <row r="29" spans="1:52" x14ac:dyDescent="0.25">
      <c r="A29" s="10" t="s">
        <v>1657</v>
      </c>
      <c r="B29" s="10"/>
      <c r="C29" s="32">
        <v>609.79899999999998</v>
      </c>
      <c r="D29" s="33">
        <v>1</v>
      </c>
      <c r="E29" s="32">
        <v>615.33100000000002</v>
      </c>
      <c r="F29" s="33">
        <v>1</v>
      </c>
      <c r="G29" s="32">
        <v>648.58600000000001</v>
      </c>
      <c r="H29" s="33">
        <v>1</v>
      </c>
      <c r="I29" s="32">
        <v>707.26599999999996</v>
      </c>
      <c r="J29" s="33">
        <v>1</v>
      </c>
      <c r="K29" s="32">
        <v>1004.635</v>
      </c>
      <c r="L29" s="33">
        <v>1</v>
      </c>
      <c r="M29" s="32">
        <v>1802.56</v>
      </c>
      <c r="N29" s="33">
        <v>1</v>
      </c>
      <c r="O29" s="32">
        <v>1840.1769999999999</v>
      </c>
      <c r="P29" s="33">
        <v>1</v>
      </c>
      <c r="Q29" s="32">
        <v>1888.617</v>
      </c>
      <c r="R29" s="33">
        <v>1</v>
      </c>
      <c r="S29" s="32">
        <v>2222.9589999999998</v>
      </c>
      <c r="T29" s="33">
        <v>1</v>
      </c>
      <c r="U29" s="32">
        <v>2229.788</v>
      </c>
      <c r="V29" s="33">
        <v>1</v>
      </c>
      <c r="W29" s="32">
        <v>2273.9650000000001</v>
      </c>
      <c r="X29" s="33">
        <v>1</v>
      </c>
      <c r="Y29" s="32">
        <v>2192.69</v>
      </c>
      <c r="Z29" s="33">
        <v>1</v>
      </c>
      <c r="AA29" s="32">
        <v>2219.9650000000001</v>
      </c>
      <c r="AB29" s="33">
        <v>1</v>
      </c>
      <c r="AC29" s="32">
        <v>2199.268</v>
      </c>
      <c r="AD29" s="33">
        <v>1</v>
      </c>
      <c r="AE29" s="32">
        <v>2270.3960000000002</v>
      </c>
      <c r="AF29" s="33">
        <v>1</v>
      </c>
      <c r="AG29" s="32">
        <v>2725.3090000000002</v>
      </c>
      <c r="AH29" s="33">
        <v>1</v>
      </c>
      <c r="AI29" s="32">
        <v>2743.4160000000002</v>
      </c>
      <c r="AJ29" s="33">
        <v>1</v>
      </c>
      <c r="AK29" s="32">
        <v>2347.0369999999998</v>
      </c>
      <c r="AL29" s="33">
        <v>1</v>
      </c>
      <c r="AM29" s="32">
        <v>2384.4789999999998</v>
      </c>
      <c r="AN29" s="33">
        <v>1</v>
      </c>
      <c r="AO29" s="32">
        <v>2345.35</v>
      </c>
      <c r="AP29" s="33">
        <v>1</v>
      </c>
      <c r="AQ29" s="32">
        <v>2405.239</v>
      </c>
      <c r="AR29" s="33">
        <v>1</v>
      </c>
      <c r="AS29" s="32">
        <v>2263.1930000000002</v>
      </c>
      <c r="AT29" s="33">
        <v>1</v>
      </c>
      <c r="AU29" s="32">
        <v>2347.1880000000001</v>
      </c>
      <c r="AV29" s="33">
        <v>1</v>
      </c>
      <c r="AW29" s="32" t="s">
        <v>141</v>
      </c>
      <c r="AX29" s="33"/>
      <c r="AY29" s="32">
        <v>2435.431</v>
      </c>
      <c r="AZ29" s="33">
        <v>1</v>
      </c>
    </row>
    <row r="30" spans="1:52" x14ac:dyDescent="0.25">
      <c r="A30" s="6" t="s">
        <v>502</v>
      </c>
      <c r="B30" s="6"/>
      <c r="C30" s="36">
        <v>3.5270000000000001</v>
      </c>
      <c r="D30" s="37">
        <v>1</v>
      </c>
      <c r="E30" s="36">
        <v>6.37</v>
      </c>
      <c r="F30" s="37">
        <v>1</v>
      </c>
      <c r="G30" s="36">
        <v>7.694</v>
      </c>
      <c r="H30" s="37">
        <v>1</v>
      </c>
      <c r="I30" s="36">
        <v>8.2769999999999992</v>
      </c>
      <c r="J30" s="37">
        <v>1</v>
      </c>
      <c r="K30" s="36">
        <v>8.2059999999999995</v>
      </c>
      <c r="L30" s="37">
        <v>1</v>
      </c>
      <c r="M30" s="36">
        <v>6.5289999999999999</v>
      </c>
      <c r="N30" s="37">
        <v>1</v>
      </c>
      <c r="O30" s="36">
        <v>6.4749999999999996</v>
      </c>
      <c r="P30" s="37">
        <v>1</v>
      </c>
      <c r="Q30" s="36">
        <v>6.6189999999999998</v>
      </c>
      <c r="R30" s="37">
        <v>1</v>
      </c>
      <c r="S30" s="36">
        <v>7.2880000000000003</v>
      </c>
      <c r="T30" s="37">
        <v>1</v>
      </c>
      <c r="U30" s="36">
        <v>8.93</v>
      </c>
      <c r="V30" s="37">
        <v>1</v>
      </c>
      <c r="W30" s="36">
        <v>8.4469999999999992</v>
      </c>
      <c r="X30" s="37">
        <v>1</v>
      </c>
      <c r="Y30" s="36">
        <v>10.494999999999999</v>
      </c>
      <c r="Z30" s="37">
        <v>1</v>
      </c>
      <c r="AA30" s="36">
        <v>10.145</v>
      </c>
      <c r="AB30" s="37">
        <v>1</v>
      </c>
      <c r="AC30" s="36">
        <v>10.718999999999999</v>
      </c>
      <c r="AD30" s="37">
        <v>1</v>
      </c>
      <c r="AE30" s="36">
        <v>9.8889999999999993</v>
      </c>
      <c r="AF30" s="37">
        <v>1</v>
      </c>
      <c r="AG30" s="36">
        <v>10.702999999999999</v>
      </c>
      <c r="AH30" s="37">
        <v>1</v>
      </c>
      <c r="AI30" s="36">
        <v>10.553000000000001</v>
      </c>
      <c r="AJ30" s="37">
        <v>1</v>
      </c>
      <c r="AK30" s="36">
        <v>11.305</v>
      </c>
      <c r="AL30" s="37">
        <v>1</v>
      </c>
      <c r="AM30" s="36">
        <v>10.792</v>
      </c>
      <c r="AN30" s="37">
        <v>1</v>
      </c>
      <c r="AO30" s="36">
        <v>10.928000000000001</v>
      </c>
      <c r="AP30" s="37">
        <v>1</v>
      </c>
      <c r="AQ30" s="36">
        <v>11.372</v>
      </c>
      <c r="AR30" s="37">
        <v>1</v>
      </c>
      <c r="AS30" s="36">
        <v>8.7439999999999998</v>
      </c>
      <c r="AT30" s="37">
        <v>1</v>
      </c>
      <c r="AU30" s="36">
        <v>8.7189999999999994</v>
      </c>
      <c r="AV30" s="37">
        <v>1</v>
      </c>
      <c r="AW30" s="36">
        <v>9.8059999999999992</v>
      </c>
      <c r="AX30" s="37">
        <v>1</v>
      </c>
      <c r="AY30" s="36">
        <v>10.455</v>
      </c>
      <c r="AZ30" s="37">
        <v>1</v>
      </c>
    </row>
    <row r="31" spans="1:52" x14ac:dyDescent="0.25">
      <c r="A31" s="10" t="s">
        <v>1657</v>
      </c>
      <c r="B31" s="10"/>
      <c r="C31" s="32">
        <v>3.5270000000000001</v>
      </c>
      <c r="D31" s="33">
        <v>1</v>
      </c>
      <c r="E31" s="32">
        <v>6.37</v>
      </c>
      <c r="F31" s="33">
        <v>1</v>
      </c>
      <c r="G31" s="32">
        <v>7.694</v>
      </c>
      <c r="H31" s="33">
        <v>1</v>
      </c>
      <c r="I31" s="32">
        <v>8.2769999999999992</v>
      </c>
      <c r="J31" s="33">
        <v>1</v>
      </c>
      <c r="K31" s="32">
        <v>8.2059999999999995</v>
      </c>
      <c r="L31" s="33">
        <v>1</v>
      </c>
      <c r="M31" s="32">
        <v>6.5289999999999999</v>
      </c>
      <c r="N31" s="33">
        <v>1</v>
      </c>
      <c r="O31" s="32">
        <v>6.4749999999999996</v>
      </c>
      <c r="P31" s="33">
        <v>1</v>
      </c>
      <c r="Q31" s="32">
        <v>6.6189999999999998</v>
      </c>
      <c r="R31" s="33">
        <v>1</v>
      </c>
      <c r="S31" s="32">
        <v>7.2880000000000003</v>
      </c>
      <c r="T31" s="33">
        <v>1</v>
      </c>
      <c r="U31" s="32">
        <v>8.93</v>
      </c>
      <c r="V31" s="33">
        <v>1</v>
      </c>
      <c r="W31" s="32">
        <v>8.4469999999999992</v>
      </c>
      <c r="X31" s="33">
        <v>1</v>
      </c>
      <c r="Y31" s="32">
        <v>10.494999999999999</v>
      </c>
      <c r="Z31" s="33">
        <v>1</v>
      </c>
      <c r="AA31" s="32">
        <v>10.145</v>
      </c>
      <c r="AB31" s="33">
        <v>1</v>
      </c>
      <c r="AC31" s="32">
        <v>10.718999999999999</v>
      </c>
      <c r="AD31" s="33">
        <v>1</v>
      </c>
      <c r="AE31" s="32">
        <v>9.8889999999999993</v>
      </c>
      <c r="AF31" s="33">
        <v>1</v>
      </c>
      <c r="AG31" s="32">
        <v>10.702999999999999</v>
      </c>
      <c r="AH31" s="33">
        <v>1</v>
      </c>
      <c r="AI31" s="32">
        <v>10.553000000000001</v>
      </c>
      <c r="AJ31" s="33">
        <v>1</v>
      </c>
      <c r="AK31" s="32">
        <v>11.305</v>
      </c>
      <c r="AL31" s="33">
        <v>1</v>
      </c>
      <c r="AM31" s="32">
        <v>10.792</v>
      </c>
      <c r="AN31" s="33">
        <v>1</v>
      </c>
      <c r="AO31" s="32">
        <v>10.928000000000001</v>
      </c>
      <c r="AP31" s="33">
        <v>1</v>
      </c>
      <c r="AQ31" s="32">
        <v>11.372</v>
      </c>
      <c r="AR31" s="33">
        <v>1</v>
      </c>
      <c r="AS31" s="32">
        <v>8.7439999999999998</v>
      </c>
      <c r="AT31" s="33">
        <v>1</v>
      </c>
      <c r="AU31" s="32">
        <v>8.7189999999999994</v>
      </c>
      <c r="AV31" s="33">
        <v>1</v>
      </c>
      <c r="AW31" s="32">
        <v>9.8059999999999992</v>
      </c>
      <c r="AX31" s="33">
        <v>1</v>
      </c>
      <c r="AY31" s="32">
        <v>10.455</v>
      </c>
      <c r="AZ31" s="33">
        <v>1</v>
      </c>
    </row>
    <row r="32" spans="1:52" x14ac:dyDescent="0.25">
      <c r="A32" s="6" t="s">
        <v>1663</v>
      </c>
      <c r="B32" s="6"/>
      <c r="C32" s="36">
        <v>3.3109999999999999</v>
      </c>
      <c r="D32" s="37">
        <v>1</v>
      </c>
      <c r="E32" s="36">
        <v>4.6639999999999997</v>
      </c>
      <c r="F32" s="37">
        <v>1</v>
      </c>
      <c r="G32" s="36">
        <v>6.016</v>
      </c>
      <c r="H32" s="37">
        <v>1</v>
      </c>
      <c r="I32" s="36">
        <v>6.5250000000000004</v>
      </c>
      <c r="J32" s="37">
        <v>1</v>
      </c>
      <c r="K32" s="36">
        <v>6.4459999999999997</v>
      </c>
      <c r="L32" s="37">
        <v>1</v>
      </c>
      <c r="M32" s="36">
        <v>6.3630000000000004</v>
      </c>
      <c r="N32" s="37">
        <v>1</v>
      </c>
      <c r="O32" s="36">
        <v>6.31</v>
      </c>
      <c r="P32" s="37">
        <v>1</v>
      </c>
      <c r="Q32" s="36">
        <v>6.4530000000000003</v>
      </c>
      <c r="R32" s="37">
        <v>1</v>
      </c>
      <c r="S32" s="36">
        <v>7.1230000000000002</v>
      </c>
      <c r="T32" s="37">
        <v>1</v>
      </c>
      <c r="U32" s="36">
        <v>8.76</v>
      </c>
      <c r="V32" s="37">
        <v>1</v>
      </c>
      <c r="W32" s="36">
        <v>8.2680000000000007</v>
      </c>
      <c r="X32" s="37">
        <v>1</v>
      </c>
      <c r="Y32" s="36">
        <v>10.317</v>
      </c>
      <c r="Z32" s="37">
        <v>1</v>
      </c>
      <c r="AA32" s="36">
        <v>9.9659999999999993</v>
      </c>
      <c r="AB32" s="37">
        <v>1</v>
      </c>
      <c r="AC32" s="36">
        <v>10.541</v>
      </c>
      <c r="AD32" s="37">
        <v>1</v>
      </c>
      <c r="AE32" s="36">
        <v>9.7100000000000009</v>
      </c>
      <c r="AF32" s="37">
        <v>1</v>
      </c>
      <c r="AG32" s="36">
        <v>10.525</v>
      </c>
      <c r="AH32" s="37">
        <v>1</v>
      </c>
      <c r="AI32" s="36">
        <v>10.374000000000001</v>
      </c>
      <c r="AJ32" s="37">
        <v>1</v>
      </c>
      <c r="AK32" s="36">
        <v>11.127000000000001</v>
      </c>
      <c r="AL32" s="37">
        <v>1</v>
      </c>
      <c r="AM32" s="36">
        <v>10.613</v>
      </c>
      <c r="AN32" s="37">
        <v>1</v>
      </c>
      <c r="AO32" s="36">
        <v>10.489000000000001</v>
      </c>
      <c r="AP32" s="37">
        <v>1</v>
      </c>
      <c r="AQ32" s="36">
        <v>9.8460000000000001</v>
      </c>
      <c r="AR32" s="37">
        <v>1</v>
      </c>
      <c r="AS32" s="36">
        <v>8.1430000000000007</v>
      </c>
      <c r="AT32" s="37">
        <v>1</v>
      </c>
      <c r="AU32" s="36">
        <v>7.5170000000000003</v>
      </c>
      <c r="AV32" s="37">
        <v>1</v>
      </c>
      <c r="AW32" s="36" t="s">
        <v>141</v>
      </c>
      <c r="AX32" s="37"/>
      <c r="AY32" s="36">
        <v>9.2530000000000001</v>
      </c>
      <c r="AZ32" s="37">
        <v>1</v>
      </c>
    </row>
    <row r="33" spans="1:52" x14ac:dyDescent="0.25">
      <c r="A33" s="10" t="s">
        <v>1657</v>
      </c>
      <c r="B33" s="10"/>
      <c r="C33" s="32">
        <v>3.3109999999999999</v>
      </c>
      <c r="D33" s="33">
        <v>1</v>
      </c>
      <c r="E33" s="32">
        <v>4.6639999999999997</v>
      </c>
      <c r="F33" s="33">
        <v>1</v>
      </c>
      <c r="G33" s="32">
        <v>6.016</v>
      </c>
      <c r="H33" s="33">
        <v>1</v>
      </c>
      <c r="I33" s="32">
        <v>6.5250000000000004</v>
      </c>
      <c r="J33" s="33">
        <v>1</v>
      </c>
      <c r="K33" s="32">
        <v>6.4459999999999997</v>
      </c>
      <c r="L33" s="33">
        <v>1</v>
      </c>
      <c r="M33" s="32">
        <v>6.3630000000000004</v>
      </c>
      <c r="N33" s="33">
        <v>1</v>
      </c>
      <c r="O33" s="32">
        <v>6.31</v>
      </c>
      <c r="P33" s="33">
        <v>1</v>
      </c>
      <c r="Q33" s="32">
        <v>6.4530000000000003</v>
      </c>
      <c r="R33" s="33">
        <v>1</v>
      </c>
      <c r="S33" s="32">
        <v>7.1230000000000002</v>
      </c>
      <c r="T33" s="33">
        <v>1</v>
      </c>
      <c r="U33" s="32">
        <v>8.76</v>
      </c>
      <c r="V33" s="33">
        <v>1</v>
      </c>
      <c r="W33" s="32">
        <v>8.2680000000000007</v>
      </c>
      <c r="X33" s="33">
        <v>1</v>
      </c>
      <c r="Y33" s="32">
        <v>10.317</v>
      </c>
      <c r="Z33" s="33">
        <v>1</v>
      </c>
      <c r="AA33" s="32">
        <v>9.9659999999999993</v>
      </c>
      <c r="AB33" s="33">
        <v>1</v>
      </c>
      <c r="AC33" s="32">
        <v>10.541</v>
      </c>
      <c r="AD33" s="33">
        <v>1</v>
      </c>
      <c r="AE33" s="32">
        <v>9.7100000000000009</v>
      </c>
      <c r="AF33" s="33">
        <v>1</v>
      </c>
      <c r="AG33" s="32">
        <v>10.525</v>
      </c>
      <c r="AH33" s="33">
        <v>1</v>
      </c>
      <c r="AI33" s="32">
        <v>10.374000000000001</v>
      </c>
      <c r="AJ33" s="33">
        <v>1</v>
      </c>
      <c r="AK33" s="32">
        <v>11.127000000000001</v>
      </c>
      <c r="AL33" s="33">
        <v>1</v>
      </c>
      <c r="AM33" s="32">
        <v>10.613</v>
      </c>
      <c r="AN33" s="33">
        <v>1</v>
      </c>
      <c r="AO33" s="32">
        <v>10.489000000000001</v>
      </c>
      <c r="AP33" s="33">
        <v>1</v>
      </c>
      <c r="AQ33" s="32">
        <v>9.8460000000000001</v>
      </c>
      <c r="AR33" s="33">
        <v>1</v>
      </c>
      <c r="AS33" s="32">
        <v>8.1430000000000007</v>
      </c>
      <c r="AT33" s="33">
        <v>1</v>
      </c>
      <c r="AU33" s="32">
        <v>7.5170000000000003</v>
      </c>
      <c r="AV33" s="33">
        <v>1</v>
      </c>
      <c r="AW33" s="32" t="s">
        <v>141</v>
      </c>
      <c r="AX33" s="33"/>
      <c r="AY33" s="32">
        <v>9.2530000000000001</v>
      </c>
      <c r="AZ33" s="33">
        <v>1</v>
      </c>
    </row>
    <row r="34" spans="1:52" x14ac:dyDescent="0.25">
      <c r="A34" s="6" t="s">
        <v>1639</v>
      </c>
      <c r="B34" s="6"/>
      <c r="C34" s="36">
        <v>146.20699999999999</v>
      </c>
      <c r="D34" s="37">
        <v>1</v>
      </c>
      <c r="E34" s="36">
        <v>90.552999999999997</v>
      </c>
      <c r="F34" s="37">
        <v>1</v>
      </c>
      <c r="G34" s="36">
        <v>113.26600000000001</v>
      </c>
      <c r="H34" s="37">
        <v>1</v>
      </c>
      <c r="I34" s="36">
        <v>133.94900000000001</v>
      </c>
      <c r="J34" s="37">
        <v>1</v>
      </c>
      <c r="K34" s="36">
        <v>223.14099999999999</v>
      </c>
      <c r="L34" s="37">
        <v>1</v>
      </c>
      <c r="M34" s="36">
        <v>136.14400000000001</v>
      </c>
      <c r="N34" s="37">
        <v>1</v>
      </c>
      <c r="O34" s="36">
        <v>188.52199999999999</v>
      </c>
      <c r="P34" s="37">
        <v>1</v>
      </c>
      <c r="Q34" s="36">
        <v>190.43799999999999</v>
      </c>
      <c r="R34" s="37">
        <v>1</v>
      </c>
      <c r="S34" s="36">
        <v>207.239</v>
      </c>
      <c r="T34" s="37">
        <v>1</v>
      </c>
      <c r="U34" s="36">
        <v>195.149</v>
      </c>
      <c r="V34" s="37">
        <v>1</v>
      </c>
      <c r="W34" s="36">
        <v>239.62200000000001</v>
      </c>
      <c r="X34" s="37">
        <v>1</v>
      </c>
      <c r="Y34" s="36">
        <v>139.11500000000001</v>
      </c>
      <c r="Z34" s="37">
        <v>1</v>
      </c>
      <c r="AA34" s="36">
        <v>197.29599999999999</v>
      </c>
      <c r="AB34" s="37">
        <v>1</v>
      </c>
      <c r="AC34" s="36">
        <v>194.25</v>
      </c>
      <c r="AD34" s="37">
        <v>1</v>
      </c>
      <c r="AE34" s="36">
        <v>252.32900000000001</v>
      </c>
      <c r="AF34" s="37">
        <v>1</v>
      </c>
      <c r="AG34" s="36">
        <v>216.70699999999999</v>
      </c>
      <c r="AH34" s="37">
        <v>1</v>
      </c>
      <c r="AI34" s="36">
        <v>213.804</v>
      </c>
      <c r="AJ34" s="37">
        <v>1</v>
      </c>
      <c r="AK34" s="36">
        <v>245.679</v>
      </c>
      <c r="AL34" s="37">
        <v>1</v>
      </c>
      <c r="AM34" s="36">
        <v>241.89</v>
      </c>
      <c r="AN34" s="37">
        <v>1</v>
      </c>
      <c r="AO34" s="36">
        <v>194.30099999999999</v>
      </c>
      <c r="AP34" s="37">
        <v>1</v>
      </c>
      <c r="AQ34" s="36">
        <v>195.517</v>
      </c>
      <c r="AR34" s="37">
        <v>1</v>
      </c>
      <c r="AS34" s="36">
        <v>200.39599999999999</v>
      </c>
      <c r="AT34" s="37">
        <v>1</v>
      </c>
      <c r="AU34" s="36">
        <v>179.69</v>
      </c>
      <c r="AV34" s="37">
        <v>1</v>
      </c>
      <c r="AW34" s="36" t="s">
        <v>141</v>
      </c>
      <c r="AX34" s="37"/>
      <c r="AY34" s="36">
        <v>199.953</v>
      </c>
      <c r="AZ34" s="37">
        <v>1</v>
      </c>
    </row>
    <row r="35" spans="1:52" x14ac:dyDescent="0.25">
      <c r="A35" s="10" t="s">
        <v>1657</v>
      </c>
      <c r="B35" s="10"/>
      <c r="C35" s="32">
        <v>146.20699999999999</v>
      </c>
      <c r="D35" s="33">
        <v>1</v>
      </c>
      <c r="E35" s="32">
        <v>90.552999999999997</v>
      </c>
      <c r="F35" s="33">
        <v>1</v>
      </c>
      <c r="G35" s="32">
        <v>113.26600000000001</v>
      </c>
      <c r="H35" s="33">
        <v>1</v>
      </c>
      <c r="I35" s="32">
        <v>133.94900000000001</v>
      </c>
      <c r="J35" s="33">
        <v>1</v>
      </c>
      <c r="K35" s="32">
        <v>223.14099999999999</v>
      </c>
      <c r="L35" s="33">
        <v>1</v>
      </c>
      <c r="M35" s="32">
        <v>136.14400000000001</v>
      </c>
      <c r="N35" s="33">
        <v>1</v>
      </c>
      <c r="O35" s="32">
        <v>188.52199999999999</v>
      </c>
      <c r="P35" s="33">
        <v>1</v>
      </c>
      <c r="Q35" s="32">
        <v>190.43799999999999</v>
      </c>
      <c r="R35" s="33">
        <v>1</v>
      </c>
      <c r="S35" s="32">
        <v>207.239</v>
      </c>
      <c r="T35" s="33">
        <v>1</v>
      </c>
      <c r="U35" s="32">
        <v>195.149</v>
      </c>
      <c r="V35" s="33">
        <v>1</v>
      </c>
      <c r="W35" s="32">
        <v>239.62200000000001</v>
      </c>
      <c r="X35" s="33">
        <v>1</v>
      </c>
      <c r="Y35" s="32">
        <v>139.11500000000001</v>
      </c>
      <c r="Z35" s="33">
        <v>1</v>
      </c>
      <c r="AA35" s="32">
        <v>197.29599999999999</v>
      </c>
      <c r="AB35" s="33">
        <v>1</v>
      </c>
      <c r="AC35" s="32">
        <v>194.25</v>
      </c>
      <c r="AD35" s="33">
        <v>1</v>
      </c>
      <c r="AE35" s="32">
        <v>252.32900000000001</v>
      </c>
      <c r="AF35" s="33">
        <v>1</v>
      </c>
      <c r="AG35" s="32">
        <v>216.70699999999999</v>
      </c>
      <c r="AH35" s="33">
        <v>1</v>
      </c>
      <c r="AI35" s="32">
        <v>213.804</v>
      </c>
      <c r="AJ35" s="33">
        <v>1</v>
      </c>
      <c r="AK35" s="32">
        <v>245.679</v>
      </c>
      <c r="AL35" s="33">
        <v>1</v>
      </c>
      <c r="AM35" s="32">
        <v>241.89</v>
      </c>
      <c r="AN35" s="33">
        <v>1</v>
      </c>
      <c r="AO35" s="32">
        <v>194.30099999999999</v>
      </c>
      <c r="AP35" s="33">
        <v>1</v>
      </c>
      <c r="AQ35" s="32">
        <v>195.517</v>
      </c>
      <c r="AR35" s="33">
        <v>1</v>
      </c>
      <c r="AS35" s="32">
        <v>200.39599999999999</v>
      </c>
      <c r="AT35" s="33">
        <v>1</v>
      </c>
      <c r="AU35" s="32">
        <v>179.69</v>
      </c>
      <c r="AV35" s="33">
        <v>1</v>
      </c>
      <c r="AW35" s="32" t="s">
        <v>141</v>
      </c>
      <c r="AX35" s="33"/>
      <c r="AY35" s="32">
        <v>199.953</v>
      </c>
      <c r="AZ35" s="33">
        <v>1</v>
      </c>
    </row>
    <row r="36" spans="1:52" x14ac:dyDescent="0.25">
      <c r="A36" s="6" t="s">
        <v>86</v>
      </c>
      <c r="B36" s="6"/>
      <c r="C36" s="36">
        <v>-20.202999999999999</v>
      </c>
      <c r="D36" s="37"/>
      <c r="E36" s="36">
        <v>-16.263000000000002</v>
      </c>
      <c r="F36" s="37"/>
      <c r="G36" s="36">
        <v>-16.681999999999999</v>
      </c>
      <c r="H36" s="37"/>
      <c r="I36" s="36">
        <v>-9.4290000000000003</v>
      </c>
      <c r="J36" s="37"/>
      <c r="K36" s="36">
        <v>-17.257000000000001</v>
      </c>
      <c r="L36" s="37"/>
      <c r="M36" s="36">
        <v>-9.1199999999999992</v>
      </c>
      <c r="N36" s="37"/>
      <c r="O36" s="36">
        <v>-19.169</v>
      </c>
      <c r="P36" s="37"/>
      <c r="Q36" s="36">
        <v>-25.303000000000001</v>
      </c>
      <c r="R36" s="37"/>
      <c r="S36" s="36">
        <v>-26.013999999999999</v>
      </c>
      <c r="T36" s="37"/>
      <c r="U36" s="36">
        <v>-21.149000000000001</v>
      </c>
      <c r="V36" s="37"/>
      <c r="W36" s="36">
        <v>-5.8940000000000001</v>
      </c>
      <c r="X36" s="37"/>
      <c r="Y36" s="36">
        <v>-9.2409999999999997</v>
      </c>
      <c r="Z36" s="37"/>
      <c r="AA36" s="36">
        <v>-2.206</v>
      </c>
      <c r="AB36" s="37"/>
      <c r="AC36" s="36">
        <v>-5.5510000000000002</v>
      </c>
      <c r="AD36" s="37"/>
      <c r="AE36" s="36">
        <v>-9.0779999999999994</v>
      </c>
      <c r="AF36" s="37"/>
      <c r="AG36" s="36">
        <v>-8.2309999999999999</v>
      </c>
      <c r="AH36" s="37"/>
      <c r="AI36" s="36">
        <v>-6.7389999999999999</v>
      </c>
      <c r="AJ36" s="37"/>
      <c r="AK36" s="36">
        <v>-9.4849999999999994</v>
      </c>
      <c r="AL36" s="37"/>
      <c r="AM36" s="36">
        <v>-17.908999999999999</v>
      </c>
      <c r="AN36" s="37"/>
      <c r="AO36" s="36">
        <v>-29.672999999999998</v>
      </c>
      <c r="AP36" s="37"/>
      <c r="AQ36" s="36">
        <v>-19.039000000000001</v>
      </c>
      <c r="AR36" s="37"/>
      <c r="AS36" s="36">
        <v>-32.444000000000003</v>
      </c>
      <c r="AT36" s="37"/>
      <c r="AU36" s="36">
        <v>-29.167000000000002</v>
      </c>
      <c r="AV36" s="37"/>
      <c r="AW36" s="36">
        <v>-37.262999999999998</v>
      </c>
      <c r="AX36" s="37"/>
      <c r="AY36" s="36">
        <v>-38.082000000000001</v>
      </c>
      <c r="AZ36" s="37"/>
    </row>
    <row r="37" spans="1:52" x14ac:dyDescent="0.25">
      <c r="A37" s="10" t="s">
        <v>1657</v>
      </c>
      <c r="B37" s="10"/>
      <c r="C37" s="32">
        <v>-20.202999999999999</v>
      </c>
      <c r="D37" s="33">
        <v>1</v>
      </c>
      <c r="E37" s="32">
        <v>-16.263000000000002</v>
      </c>
      <c r="F37" s="33">
        <v>1</v>
      </c>
      <c r="G37" s="32">
        <v>-16.681999999999999</v>
      </c>
      <c r="H37" s="33">
        <v>1</v>
      </c>
      <c r="I37" s="32">
        <v>-9.4290000000000003</v>
      </c>
      <c r="J37" s="33">
        <v>1</v>
      </c>
      <c r="K37" s="32">
        <v>-17.257000000000001</v>
      </c>
      <c r="L37" s="33">
        <v>1</v>
      </c>
      <c r="M37" s="32">
        <v>-9.1199999999999992</v>
      </c>
      <c r="N37" s="33">
        <v>1</v>
      </c>
      <c r="O37" s="32">
        <v>-19.169</v>
      </c>
      <c r="P37" s="33">
        <v>1</v>
      </c>
      <c r="Q37" s="32">
        <v>-25.303000000000001</v>
      </c>
      <c r="R37" s="33">
        <v>1</v>
      </c>
      <c r="S37" s="32">
        <v>-26.013999999999999</v>
      </c>
      <c r="T37" s="33">
        <v>1</v>
      </c>
      <c r="U37" s="32">
        <v>-21.149000000000001</v>
      </c>
      <c r="V37" s="33">
        <v>1</v>
      </c>
      <c r="W37" s="32">
        <v>-5.8940000000000001</v>
      </c>
      <c r="X37" s="33">
        <v>1</v>
      </c>
      <c r="Y37" s="32">
        <v>-9.2409999999999997</v>
      </c>
      <c r="Z37" s="33">
        <v>1</v>
      </c>
      <c r="AA37" s="32">
        <v>-2.206</v>
      </c>
      <c r="AB37" s="33">
        <v>1</v>
      </c>
      <c r="AC37" s="32">
        <v>-5.5510000000000002</v>
      </c>
      <c r="AD37" s="33">
        <v>1</v>
      </c>
      <c r="AE37" s="32">
        <v>-9.0779999999999994</v>
      </c>
      <c r="AF37" s="33">
        <v>1</v>
      </c>
      <c r="AG37" s="32">
        <v>-8.2309999999999999</v>
      </c>
      <c r="AH37" s="33">
        <v>1</v>
      </c>
      <c r="AI37" s="32">
        <v>-6.7389999999999999</v>
      </c>
      <c r="AJ37" s="33">
        <v>1</v>
      </c>
      <c r="AK37" s="32">
        <v>-9.4849999999999994</v>
      </c>
      <c r="AL37" s="33">
        <v>1</v>
      </c>
      <c r="AM37" s="32">
        <v>-17.908999999999999</v>
      </c>
      <c r="AN37" s="33">
        <v>1</v>
      </c>
      <c r="AO37" s="32">
        <v>-29.672999999999998</v>
      </c>
      <c r="AP37" s="33">
        <v>1</v>
      </c>
      <c r="AQ37" s="32">
        <v>-19.039000000000001</v>
      </c>
      <c r="AR37" s="33">
        <v>1</v>
      </c>
      <c r="AS37" s="32">
        <v>-32.444000000000003</v>
      </c>
      <c r="AT37" s="33">
        <v>1</v>
      </c>
      <c r="AU37" s="32">
        <v>-29.167000000000002</v>
      </c>
      <c r="AV37" s="33">
        <v>1</v>
      </c>
      <c r="AW37" s="32">
        <v>-37.262999999999998</v>
      </c>
      <c r="AX37" s="33">
        <v>1</v>
      </c>
      <c r="AY37" s="32">
        <v>-38.082000000000001</v>
      </c>
      <c r="AZ37" s="33">
        <v>1</v>
      </c>
    </row>
    <row r="38" spans="1:52" x14ac:dyDescent="0.25">
      <c r="A38" s="7" t="s">
        <v>90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Z42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6" width="11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x14ac:dyDescent="0.25">
      <c r="A2" s="8" t="s">
        <v>1664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31</v>
      </c>
    </row>
    <row r="5" spans="1:26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50</v>
      </c>
      <c r="T5" s="5" t="s">
        <v>51</v>
      </c>
      <c r="U5" s="5" t="s">
        <v>52</v>
      </c>
      <c r="V5" s="5" t="s">
        <v>53</v>
      </c>
      <c r="W5" s="5" t="s">
        <v>54</v>
      </c>
      <c r="X5" s="5" t="s">
        <v>55</v>
      </c>
      <c r="Y5" s="5" t="s">
        <v>56</v>
      </c>
      <c r="Z5" s="5" t="s">
        <v>57</v>
      </c>
    </row>
    <row r="6" spans="1:26" x14ac:dyDescent="0.25">
      <c r="A6" s="6" t="s">
        <v>1665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x14ac:dyDescent="0.25">
      <c r="A7" s="10" t="s">
        <v>1666</v>
      </c>
      <c r="B7" s="10"/>
      <c r="C7" s="13">
        <v>84.415000000000006</v>
      </c>
      <c r="D7" s="13">
        <v>87.010999999999996</v>
      </c>
      <c r="E7" s="13">
        <v>94.668000000000006</v>
      </c>
      <c r="F7" s="13">
        <v>99.040999999999997</v>
      </c>
      <c r="G7" s="13">
        <v>100.113</v>
      </c>
      <c r="H7" s="13">
        <v>100.44799999999999</v>
      </c>
      <c r="I7" s="13">
        <v>111.34399999999999</v>
      </c>
      <c r="J7" s="13">
        <v>121.429</v>
      </c>
      <c r="K7" s="13">
        <v>122.64400000000001</v>
      </c>
      <c r="L7" s="13">
        <v>124.926</v>
      </c>
      <c r="M7" s="13">
        <v>141.839</v>
      </c>
      <c r="N7" s="13">
        <v>166.911</v>
      </c>
      <c r="O7" s="13">
        <v>178.72499999999999</v>
      </c>
      <c r="P7" s="13">
        <v>188.82499999999999</v>
      </c>
      <c r="Q7" s="13">
        <v>211.23699999999999</v>
      </c>
      <c r="R7" s="13">
        <v>207.774</v>
      </c>
      <c r="S7" s="13">
        <v>231.495</v>
      </c>
      <c r="T7" s="13">
        <v>238.988</v>
      </c>
      <c r="U7" s="13">
        <v>309.322</v>
      </c>
      <c r="V7" s="13">
        <v>365.07100000000003</v>
      </c>
      <c r="W7" s="13">
        <v>359.48399999999998</v>
      </c>
      <c r="X7" s="13">
        <v>360.548</v>
      </c>
      <c r="Y7" s="13">
        <v>429.77100000000002</v>
      </c>
      <c r="Z7" s="13">
        <v>638.15700000000004</v>
      </c>
    </row>
    <row r="8" spans="1:26" x14ac:dyDescent="0.25">
      <c r="A8" s="6" t="s">
        <v>1667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25">
      <c r="A9" s="10" t="s">
        <v>1666</v>
      </c>
      <c r="B9" s="10"/>
      <c r="C9" s="13" t="s">
        <v>141</v>
      </c>
      <c r="D9" s="13">
        <v>0</v>
      </c>
      <c r="E9" s="13">
        <v>0</v>
      </c>
      <c r="F9" s="13">
        <v>0</v>
      </c>
      <c r="G9" s="13">
        <v>0</v>
      </c>
      <c r="H9" s="13">
        <v>13.226000000000001</v>
      </c>
      <c r="I9" s="13">
        <v>26.018999999999998</v>
      </c>
      <c r="J9" s="13">
        <v>22.495000000000001</v>
      </c>
      <c r="K9" s="13">
        <v>22.494</v>
      </c>
      <c r="L9" s="13">
        <v>22.004999999999999</v>
      </c>
      <c r="M9" s="13">
        <v>22.25</v>
      </c>
      <c r="N9" s="13">
        <v>22.495000000000001</v>
      </c>
      <c r="O9" s="13">
        <v>22.736000000000001</v>
      </c>
      <c r="P9" s="13">
        <v>22.004999999999999</v>
      </c>
      <c r="Q9" s="13">
        <v>22.25</v>
      </c>
      <c r="R9" s="13">
        <v>22.495000000000001</v>
      </c>
      <c r="S9" s="13">
        <v>22.004999999999999</v>
      </c>
      <c r="T9" s="13">
        <v>22.25</v>
      </c>
      <c r="U9" s="13">
        <v>22.495000000000001</v>
      </c>
      <c r="V9" s="13">
        <v>31.71</v>
      </c>
      <c r="W9" s="13">
        <v>53.98</v>
      </c>
      <c r="X9" s="13">
        <v>2.383</v>
      </c>
      <c r="Y9" s="13">
        <v>37.401000000000003</v>
      </c>
      <c r="Z9" s="13">
        <v>20.254999999999999</v>
      </c>
    </row>
    <row r="10" spans="1:26" x14ac:dyDescent="0.25">
      <c r="A10" s="6" t="s">
        <v>1668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25">
      <c r="A11" s="10" t="s">
        <v>1669</v>
      </c>
      <c r="B11" s="10"/>
      <c r="C11" s="13">
        <v>7.45</v>
      </c>
      <c r="D11" s="13">
        <v>4.9269999999999996</v>
      </c>
      <c r="E11" s="13">
        <v>4.516</v>
      </c>
      <c r="F11" s="13">
        <v>4.5750000000000002</v>
      </c>
      <c r="G11" s="13">
        <v>5.0640000000000001</v>
      </c>
      <c r="H11" s="13">
        <v>3.528</v>
      </c>
      <c r="I11" s="13">
        <v>7.4989999999999997</v>
      </c>
      <c r="J11" s="13">
        <v>6.6829999999999998</v>
      </c>
      <c r="K11" s="13">
        <v>13.923</v>
      </c>
      <c r="L11" s="13">
        <v>9.09</v>
      </c>
      <c r="M11" s="13">
        <v>11.407</v>
      </c>
      <c r="N11" s="13">
        <v>8.8529999999999998</v>
      </c>
      <c r="O11" s="13" t="s">
        <v>141</v>
      </c>
      <c r="P11" s="13">
        <v>14.965999999999999</v>
      </c>
      <c r="Q11" s="13">
        <v>11.156000000000001</v>
      </c>
      <c r="R11" s="13">
        <v>11.224</v>
      </c>
      <c r="S11" s="13">
        <v>15.096</v>
      </c>
      <c r="T11" s="13">
        <v>17.445</v>
      </c>
      <c r="U11" s="13">
        <v>22.1</v>
      </c>
      <c r="V11" s="13" t="s">
        <v>141</v>
      </c>
      <c r="W11" s="13" t="s">
        <v>141</v>
      </c>
      <c r="X11" s="13">
        <v>5.8209999999999997</v>
      </c>
      <c r="Y11" s="13">
        <v>6.1559999999999997</v>
      </c>
      <c r="Z11" s="13" t="s">
        <v>141</v>
      </c>
    </row>
    <row r="12" spans="1:26" x14ac:dyDescent="0.25">
      <c r="A12" s="6" t="s">
        <v>1670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25">
      <c r="A13" s="10" t="s">
        <v>1669</v>
      </c>
      <c r="B13" s="10"/>
      <c r="C13" s="13">
        <v>-1.8169999999999999</v>
      </c>
      <c r="D13" s="13">
        <v>2.0470000000000002</v>
      </c>
      <c r="E13" s="13">
        <v>0.753</v>
      </c>
      <c r="F13" s="13">
        <v>0.32300000000000001</v>
      </c>
      <c r="G13" s="13">
        <v>0.13900000000000001</v>
      </c>
      <c r="H13" s="13">
        <v>0.96899999999999997</v>
      </c>
      <c r="I13" s="13">
        <v>1.8220000000000001</v>
      </c>
      <c r="J13" s="13">
        <v>0.91500000000000004</v>
      </c>
      <c r="K13" s="13">
        <v>0.86</v>
      </c>
      <c r="L13" s="13">
        <v>4.6369999999999996</v>
      </c>
      <c r="M13" s="13">
        <v>4.141</v>
      </c>
      <c r="N13" s="13">
        <v>3.8170000000000002</v>
      </c>
      <c r="O13" s="13" t="s">
        <v>141</v>
      </c>
      <c r="P13" s="13">
        <v>1.599</v>
      </c>
      <c r="Q13" s="13">
        <v>6.15</v>
      </c>
      <c r="R13" s="13">
        <v>1.609</v>
      </c>
      <c r="S13" s="13">
        <v>4.641</v>
      </c>
      <c r="T13" s="13">
        <v>4.2469999999999999</v>
      </c>
      <c r="U13" s="13">
        <v>5.1539999999999999</v>
      </c>
      <c r="V13" s="13" t="s">
        <v>141</v>
      </c>
      <c r="W13" s="13" t="s">
        <v>141</v>
      </c>
      <c r="X13" s="13">
        <v>3.9649999999999999</v>
      </c>
      <c r="Y13" s="13">
        <v>0.45100000000000001</v>
      </c>
      <c r="Z13" s="13" t="s">
        <v>141</v>
      </c>
    </row>
    <row r="14" spans="1:26" x14ac:dyDescent="0.25">
      <c r="A14" s="6" t="s">
        <v>1671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x14ac:dyDescent="0.25">
      <c r="A15" s="10" t="s">
        <v>1669</v>
      </c>
      <c r="B15" s="10"/>
      <c r="C15" s="13">
        <v>7.0949999999999998</v>
      </c>
      <c r="D15" s="13">
        <v>8.8030000000000008</v>
      </c>
      <c r="E15" s="13">
        <v>8.8859999999999992</v>
      </c>
      <c r="F15" s="13">
        <v>12.702999999999999</v>
      </c>
      <c r="G15" s="13">
        <v>16.649999999999999</v>
      </c>
      <c r="H15" s="13">
        <v>5.81</v>
      </c>
      <c r="I15" s="13">
        <v>6.3250000000000002</v>
      </c>
      <c r="J15" s="13">
        <v>10.766</v>
      </c>
      <c r="K15" s="13">
        <v>9.4700000000000006</v>
      </c>
      <c r="L15" s="13">
        <v>6.51</v>
      </c>
      <c r="M15" s="13">
        <v>10.568</v>
      </c>
      <c r="N15" s="13">
        <v>4.93</v>
      </c>
      <c r="O15" s="13" t="s">
        <v>141</v>
      </c>
      <c r="P15" s="13">
        <v>9.0559999999999992</v>
      </c>
      <c r="Q15" s="13">
        <v>14.693</v>
      </c>
      <c r="R15" s="13">
        <v>9.5310000000000006</v>
      </c>
      <c r="S15" s="13">
        <v>22.614000000000001</v>
      </c>
      <c r="T15" s="13">
        <v>29.358000000000001</v>
      </c>
      <c r="U15" s="13">
        <v>24.616</v>
      </c>
      <c r="V15" s="13" t="s">
        <v>141</v>
      </c>
      <c r="W15" s="13" t="s">
        <v>141</v>
      </c>
      <c r="X15" s="13">
        <v>19.992000000000001</v>
      </c>
      <c r="Y15" s="13">
        <v>9.859</v>
      </c>
      <c r="Z15" s="13" t="s">
        <v>141</v>
      </c>
    </row>
    <row r="16" spans="1:26" x14ac:dyDescent="0.25">
      <c r="A16" s="6" t="s">
        <v>1672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5">
      <c r="A17" s="10" t="s">
        <v>1669</v>
      </c>
      <c r="B17" s="10"/>
      <c r="C17" s="13">
        <v>5.4160000000000004</v>
      </c>
      <c r="D17" s="13">
        <v>6.18</v>
      </c>
      <c r="E17" s="13">
        <v>6.7140000000000004</v>
      </c>
      <c r="F17" s="13">
        <v>8.343</v>
      </c>
      <c r="G17" s="13">
        <v>5.8579999999999997</v>
      </c>
      <c r="H17" s="13">
        <v>9.8149999999999995</v>
      </c>
      <c r="I17" s="13">
        <v>23.991</v>
      </c>
      <c r="J17" s="13">
        <v>6.71</v>
      </c>
      <c r="K17" s="13">
        <v>17.663</v>
      </c>
      <c r="L17" s="13">
        <v>13.500999999999999</v>
      </c>
      <c r="M17" s="13">
        <v>6.3</v>
      </c>
      <c r="N17" s="13">
        <v>6.9939999999999998</v>
      </c>
      <c r="O17" s="13" t="s">
        <v>141</v>
      </c>
      <c r="P17" s="13">
        <v>7.8390000000000004</v>
      </c>
      <c r="Q17" s="13">
        <v>9.5739999999999998</v>
      </c>
      <c r="R17" s="13">
        <v>7.6760000000000002</v>
      </c>
      <c r="S17" s="13">
        <v>7.6630000000000003</v>
      </c>
      <c r="T17" s="13">
        <v>5.367</v>
      </c>
      <c r="U17" s="13">
        <v>4.4139999999999997</v>
      </c>
      <c r="V17" s="13" t="s">
        <v>141</v>
      </c>
      <c r="W17" s="13" t="s">
        <v>141</v>
      </c>
      <c r="X17" s="13">
        <v>5.8120000000000003</v>
      </c>
      <c r="Y17" s="13">
        <v>1.571</v>
      </c>
      <c r="Z17" s="13" t="s">
        <v>141</v>
      </c>
    </row>
    <row r="18" spans="1:26" x14ac:dyDescent="0.25">
      <c r="A18" s="6" t="s">
        <v>1673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5">
      <c r="A19" s="10" t="s">
        <v>1669</v>
      </c>
      <c r="B19" s="10"/>
      <c r="C19" s="13">
        <v>5.2770000000000001</v>
      </c>
      <c r="D19" s="13">
        <v>5.7530000000000001</v>
      </c>
      <c r="E19" s="13">
        <v>5.3029999999999999</v>
      </c>
      <c r="F19" s="13">
        <v>5.9560000000000004</v>
      </c>
      <c r="G19" s="13">
        <v>4.3780000000000001</v>
      </c>
      <c r="H19" s="13">
        <v>15.853</v>
      </c>
      <c r="I19" s="13">
        <v>5.2190000000000003</v>
      </c>
      <c r="J19" s="13">
        <v>7.0209999999999999</v>
      </c>
      <c r="K19" s="13">
        <v>8.5570000000000004</v>
      </c>
      <c r="L19" s="13">
        <v>13.494</v>
      </c>
      <c r="M19" s="13">
        <v>5.7850000000000001</v>
      </c>
      <c r="N19" s="13">
        <v>4.1710000000000003</v>
      </c>
      <c r="O19" s="13" t="s">
        <v>141</v>
      </c>
      <c r="P19" s="13">
        <v>4.806</v>
      </c>
      <c r="Q19" s="13">
        <v>3.3650000000000002</v>
      </c>
      <c r="R19" s="13">
        <v>2.0659999999999998</v>
      </c>
      <c r="S19" s="13">
        <v>5.5149999999999997</v>
      </c>
      <c r="T19" s="13">
        <v>2.89</v>
      </c>
      <c r="U19" s="13">
        <v>3.569</v>
      </c>
      <c r="V19" s="13" t="s">
        <v>141</v>
      </c>
      <c r="W19" s="13" t="s">
        <v>141</v>
      </c>
      <c r="X19" s="13">
        <v>2.5289999999999999</v>
      </c>
      <c r="Y19" s="13">
        <v>1.7030000000000001</v>
      </c>
      <c r="Z19" s="13" t="s">
        <v>141</v>
      </c>
    </row>
    <row r="20" spans="1:26" x14ac:dyDescent="0.25">
      <c r="A20" s="6" t="s">
        <v>1674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5">
      <c r="A21" s="10" t="s">
        <v>1669</v>
      </c>
      <c r="B21" s="10"/>
      <c r="C21" s="13">
        <v>48.526000000000003</v>
      </c>
      <c r="D21" s="13">
        <v>43.106999999999999</v>
      </c>
      <c r="E21" s="13">
        <v>50.03</v>
      </c>
      <c r="F21" s="13">
        <v>53.792999999999999</v>
      </c>
      <c r="G21" s="13">
        <v>60.32</v>
      </c>
      <c r="H21" s="13">
        <v>46.173000000000002</v>
      </c>
      <c r="I21" s="13">
        <v>47.784999999999997</v>
      </c>
      <c r="J21" s="13">
        <v>55.302999999999997</v>
      </c>
      <c r="K21" s="13">
        <v>57.651000000000003</v>
      </c>
      <c r="L21" s="13">
        <v>57.517000000000003</v>
      </c>
      <c r="M21" s="13">
        <v>56.96</v>
      </c>
      <c r="N21" s="13">
        <v>52.784999999999997</v>
      </c>
      <c r="O21" s="13" t="s">
        <v>141</v>
      </c>
      <c r="P21" s="13">
        <v>65.075000000000003</v>
      </c>
      <c r="Q21" s="13">
        <v>70.947000000000003</v>
      </c>
      <c r="R21" s="13">
        <v>73.832999999999998</v>
      </c>
      <c r="S21" s="13">
        <v>84.603999999999999</v>
      </c>
      <c r="T21" s="13">
        <v>91.531999999999996</v>
      </c>
      <c r="U21" s="13">
        <v>96.254000000000005</v>
      </c>
      <c r="V21" s="13" t="s">
        <v>141</v>
      </c>
      <c r="W21" s="13" t="s">
        <v>141</v>
      </c>
      <c r="X21" s="13">
        <v>84.64</v>
      </c>
      <c r="Y21" s="13">
        <v>89.149000000000001</v>
      </c>
      <c r="Z21" s="13" t="s">
        <v>141</v>
      </c>
    </row>
    <row r="22" spans="1:26" x14ac:dyDescent="0.25">
      <c r="A22" s="6" t="s">
        <v>1675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5">
      <c r="A23" s="10" t="s">
        <v>1669</v>
      </c>
      <c r="B23" s="10"/>
      <c r="C23" s="13" t="s">
        <v>141</v>
      </c>
      <c r="D23" s="13">
        <v>0</v>
      </c>
      <c r="E23" s="13">
        <v>0</v>
      </c>
      <c r="F23" s="13">
        <v>0</v>
      </c>
      <c r="G23" s="13">
        <v>0</v>
      </c>
      <c r="H23" s="13">
        <v>-16.443999999999999</v>
      </c>
      <c r="I23" s="13">
        <v>-8.7520000000000007</v>
      </c>
      <c r="J23" s="13">
        <v>-16.657</v>
      </c>
      <c r="K23" s="13">
        <v>-24.027000000000001</v>
      </c>
      <c r="L23" s="13">
        <v>-13.128</v>
      </c>
      <c r="M23" s="13">
        <v>-18.024999999999999</v>
      </c>
      <c r="N23" s="13">
        <v>-29.401</v>
      </c>
      <c r="O23" s="13" t="s">
        <v>141</v>
      </c>
      <c r="P23" s="13">
        <v>-17.613</v>
      </c>
      <c r="Q23" s="13">
        <v>-26.295000000000002</v>
      </c>
      <c r="R23" s="13">
        <v>-21.84</v>
      </c>
      <c r="S23" s="13">
        <v>-20.123000000000001</v>
      </c>
      <c r="T23" s="13">
        <v>-27.872</v>
      </c>
      <c r="U23" s="13">
        <v>-34.734999999999999</v>
      </c>
      <c r="V23" s="13" t="s">
        <v>141</v>
      </c>
      <c r="W23" s="13" t="s">
        <v>141</v>
      </c>
      <c r="X23" s="13">
        <v>-17.719000000000001</v>
      </c>
      <c r="Y23" s="13">
        <v>-61.323999999999998</v>
      </c>
      <c r="Z23" s="13" t="s">
        <v>141</v>
      </c>
    </row>
    <row r="24" spans="1:26" x14ac:dyDescent="0.25">
      <c r="A24" s="6" t="s">
        <v>1676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x14ac:dyDescent="0.25">
      <c r="A25" s="10" t="s">
        <v>1669</v>
      </c>
      <c r="B25" s="10"/>
      <c r="C25" s="13" t="s">
        <v>141</v>
      </c>
      <c r="D25" s="13" t="s">
        <v>141</v>
      </c>
      <c r="E25" s="13">
        <v>18.626999999999999</v>
      </c>
      <c r="F25" s="13">
        <v>23.439</v>
      </c>
      <c r="G25" s="13">
        <v>30.353000000000002</v>
      </c>
      <c r="H25" s="13">
        <v>44.069000000000003</v>
      </c>
      <c r="I25" s="13">
        <v>60.279000000000003</v>
      </c>
      <c r="J25" s="13">
        <v>71.450999999999993</v>
      </c>
      <c r="K25" s="13">
        <v>114.078</v>
      </c>
      <c r="L25" s="13">
        <v>59.372999999999998</v>
      </c>
      <c r="M25" s="13">
        <v>94.236000000000004</v>
      </c>
      <c r="N25" s="13">
        <v>64.835999999999999</v>
      </c>
      <c r="O25" s="13" t="s">
        <v>141</v>
      </c>
      <c r="P25" s="13">
        <v>91.561000000000007</v>
      </c>
      <c r="Q25" s="13">
        <v>130.583</v>
      </c>
      <c r="R25" s="13">
        <v>114.462</v>
      </c>
      <c r="S25" s="13">
        <v>104.619</v>
      </c>
      <c r="T25" s="13">
        <v>88.480999999999995</v>
      </c>
      <c r="U25" s="13">
        <v>45.478000000000002</v>
      </c>
      <c r="V25" s="13" t="s">
        <v>141</v>
      </c>
      <c r="W25" s="13" t="s">
        <v>141</v>
      </c>
      <c r="X25" s="13">
        <v>41.454000000000001</v>
      </c>
      <c r="Y25" s="13">
        <v>148.08099999999999</v>
      </c>
      <c r="Z25" s="13" t="s">
        <v>141</v>
      </c>
    </row>
    <row r="26" spans="1:26" x14ac:dyDescent="0.25">
      <c r="A26" s="6" t="s">
        <v>1677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5">
      <c r="A27" s="10" t="s">
        <v>1669</v>
      </c>
      <c r="B27" s="10"/>
      <c r="C27" s="13" t="s">
        <v>141</v>
      </c>
      <c r="D27" s="13" t="s">
        <v>141</v>
      </c>
      <c r="E27" s="13">
        <v>3.2349999999999999</v>
      </c>
      <c r="F27" s="13">
        <v>12.670999999999999</v>
      </c>
      <c r="G27" s="13">
        <v>16.565000000000001</v>
      </c>
      <c r="H27" s="13">
        <v>15.196</v>
      </c>
      <c r="I27" s="13">
        <v>29.937000000000001</v>
      </c>
      <c r="J27" s="13">
        <v>27.256</v>
      </c>
      <c r="K27" s="13">
        <v>-4.7389999999999999</v>
      </c>
      <c r="L27" s="13">
        <v>33.954999999999998</v>
      </c>
      <c r="M27" s="13">
        <v>35.994999999999997</v>
      </c>
      <c r="N27" s="13">
        <v>14.141999999999999</v>
      </c>
      <c r="O27" s="13" t="s">
        <v>141</v>
      </c>
      <c r="P27" s="13">
        <v>15.877000000000001</v>
      </c>
      <c r="Q27" s="13">
        <v>19.382000000000001</v>
      </c>
      <c r="R27" s="13">
        <v>11.842000000000001</v>
      </c>
      <c r="S27" s="13">
        <v>19.901</v>
      </c>
      <c r="T27" s="13">
        <v>20.390999999999998</v>
      </c>
      <c r="U27" s="13">
        <v>20.459</v>
      </c>
      <c r="V27" s="13" t="s">
        <v>141</v>
      </c>
      <c r="W27" s="13" t="s">
        <v>141</v>
      </c>
      <c r="X27" s="13">
        <v>7.9189999999999996</v>
      </c>
      <c r="Y27" s="13">
        <v>8.4570000000000007</v>
      </c>
      <c r="Z27" s="13" t="s">
        <v>141</v>
      </c>
    </row>
    <row r="28" spans="1:26" x14ac:dyDescent="0.25">
      <c r="A28" s="6" t="s">
        <v>1678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5">
      <c r="A29" s="10" t="s">
        <v>1669</v>
      </c>
      <c r="B29" s="10"/>
      <c r="C29" s="13" t="s">
        <v>141</v>
      </c>
      <c r="D29" s="13" t="s">
        <v>141</v>
      </c>
      <c r="E29" s="13" t="s">
        <v>141</v>
      </c>
      <c r="F29" s="13" t="s">
        <v>141</v>
      </c>
      <c r="G29" s="13" t="s">
        <v>141</v>
      </c>
      <c r="H29" s="13" t="s">
        <v>141</v>
      </c>
      <c r="I29" s="13" t="s">
        <v>141</v>
      </c>
      <c r="J29" s="13" t="s">
        <v>141</v>
      </c>
      <c r="K29" s="13" t="s">
        <v>141</v>
      </c>
      <c r="L29" s="13" t="s">
        <v>141</v>
      </c>
      <c r="M29" s="13" t="s">
        <v>141</v>
      </c>
      <c r="N29" s="13" t="s">
        <v>141</v>
      </c>
      <c r="O29" s="13" t="s">
        <v>141</v>
      </c>
      <c r="P29" s="13" t="s">
        <v>141</v>
      </c>
      <c r="Q29" s="13" t="s">
        <v>141</v>
      </c>
      <c r="R29" s="13" t="s">
        <v>141</v>
      </c>
      <c r="S29" s="13" t="s">
        <v>141</v>
      </c>
      <c r="T29" s="13" t="s">
        <v>141</v>
      </c>
      <c r="U29" s="13" t="s">
        <v>141</v>
      </c>
      <c r="V29" s="13" t="s">
        <v>141</v>
      </c>
      <c r="W29" s="13" t="s">
        <v>141</v>
      </c>
      <c r="X29" s="13">
        <v>20.963999999999999</v>
      </c>
      <c r="Y29" s="13">
        <v>16.501999999999999</v>
      </c>
      <c r="Z29" s="13" t="s">
        <v>141</v>
      </c>
    </row>
    <row r="30" spans="1:26" x14ac:dyDescent="0.25">
      <c r="A30" s="6" t="s">
        <v>1679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5">
      <c r="A31" s="10" t="s">
        <v>1669</v>
      </c>
      <c r="B31" s="10"/>
      <c r="C31" s="13" t="s">
        <v>141</v>
      </c>
      <c r="D31" s="13" t="s">
        <v>141</v>
      </c>
      <c r="E31" s="13" t="s">
        <v>141</v>
      </c>
      <c r="F31" s="13" t="s">
        <v>141</v>
      </c>
      <c r="G31" s="13" t="s">
        <v>141</v>
      </c>
      <c r="H31" s="13" t="s">
        <v>141</v>
      </c>
      <c r="I31" s="13" t="s">
        <v>141</v>
      </c>
      <c r="J31" s="13" t="s">
        <v>141</v>
      </c>
      <c r="K31" s="13" t="s">
        <v>141</v>
      </c>
      <c r="L31" s="13" t="s">
        <v>141</v>
      </c>
      <c r="M31" s="13" t="s">
        <v>141</v>
      </c>
      <c r="N31" s="13" t="s">
        <v>141</v>
      </c>
      <c r="O31" s="13" t="s">
        <v>141</v>
      </c>
      <c r="P31" s="13" t="s">
        <v>141</v>
      </c>
      <c r="Q31" s="13" t="s">
        <v>141</v>
      </c>
      <c r="R31" s="13" t="s">
        <v>141</v>
      </c>
      <c r="S31" s="13" t="s">
        <v>141</v>
      </c>
      <c r="T31" s="13" t="s">
        <v>141</v>
      </c>
      <c r="U31" s="13" t="s">
        <v>141</v>
      </c>
      <c r="V31" s="13" t="s">
        <v>141</v>
      </c>
      <c r="W31" s="13" t="s">
        <v>141</v>
      </c>
      <c r="X31" s="13">
        <v>4.3129999999999997</v>
      </c>
      <c r="Y31" s="13">
        <v>3.8780000000000001</v>
      </c>
      <c r="Z31" s="13" t="s">
        <v>141</v>
      </c>
    </row>
    <row r="32" spans="1:26" x14ac:dyDescent="0.25">
      <c r="A32" s="6" t="s">
        <v>1680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5">
      <c r="A33" s="10" t="s">
        <v>1669</v>
      </c>
      <c r="B33" s="10"/>
      <c r="C33" s="13">
        <v>9.8469999999999995</v>
      </c>
      <c r="D33" s="13">
        <v>0.29199999999999998</v>
      </c>
      <c r="E33" s="13">
        <v>0.124</v>
      </c>
      <c r="F33" s="13">
        <v>0</v>
      </c>
      <c r="G33" s="13">
        <v>9</v>
      </c>
      <c r="H33" s="13">
        <v>2.6419999999999999</v>
      </c>
      <c r="I33" s="13">
        <v>1.667</v>
      </c>
      <c r="J33" s="13">
        <v>5.6150000000000002</v>
      </c>
      <c r="K33" s="13">
        <v>3.181</v>
      </c>
      <c r="L33" s="13">
        <v>6.2</v>
      </c>
      <c r="M33" s="13">
        <v>0.57799999999999996</v>
      </c>
      <c r="N33" s="13">
        <v>3.4729999999999999</v>
      </c>
      <c r="O33" s="13" t="s">
        <v>141</v>
      </c>
      <c r="P33" s="13">
        <v>1.0840000000000001</v>
      </c>
      <c r="Q33" s="13">
        <v>1.474</v>
      </c>
      <c r="R33" s="13">
        <v>0.80400000000000005</v>
      </c>
      <c r="S33" s="13">
        <v>1.149</v>
      </c>
      <c r="T33" s="13">
        <v>2.4510000000000001</v>
      </c>
      <c r="U33" s="13">
        <v>3.2320000000000002</v>
      </c>
      <c r="V33" s="13" t="s">
        <v>141</v>
      </c>
      <c r="W33" s="13" t="s">
        <v>141</v>
      </c>
      <c r="X33" s="13" t="s">
        <v>141</v>
      </c>
      <c r="Y33" s="13" t="s">
        <v>141</v>
      </c>
      <c r="Z33" s="13" t="s">
        <v>141</v>
      </c>
    </row>
    <row r="34" spans="1:26" x14ac:dyDescent="0.25">
      <c r="A34" s="6" t="s">
        <v>1681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5">
      <c r="A35" s="10" t="s">
        <v>1669</v>
      </c>
      <c r="B35" s="10"/>
      <c r="C35" s="13">
        <v>64.412999999999997</v>
      </c>
      <c r="D35" s="13">
        <v>1.1220000000000001</v>
      </c>
      <c r="E35" s="13">
        <v>15.077999999999999</v>
      </c>
      <c r="F35" s="13">
        <v>12.146000000000001</v>
      </c>
      <c r="G35" s="13">
        <v>74.816000000000003</v>
      </c>
      <c r="H35" s="13">
        <v>8.5329999999999995</v>
      </c>
      <c r="I35" s="13">
        <v>12.75</v>
      </c>
      <c r="J35" s="13">
        <v>15.375</v>
      </c>
      <c r="K35" s="13">
        <v>10.622</v>
      </c>
      <c r="L35" s="13">
        <v>4</v>
      </c>
      <c r="M35" s="13">
        <v>31.677</v>
      </c>
      <c r="N35" s="13">
        <v>4.5149999999999997</v>
      </c>
      <c r="O35" s="13" t="s">
        <v>141</v>
      </c>
      <c r="P35" s="13" t="s">
        <v>141</v>
      </c>
      <c r="Q35" s="13">
        <v>11.3</v>
      </c>
      <c r="R35" s="13">
        <v>5.5</v>
      </c>
      <c r="S35" s="13" t="s">
        <v>141</v>
      </c>
      <c r="T35" s="13">
        <v>7.6</v>
      </c>
      <c r="U35" s="13">
        <v>3.76</v>
      </c>
      <c r="V35" s="13" t="s">
        <v>141</v>
      </c>
      <c r="W35" s="13" t="s">
        <v>141</v>
      </c>
      <c r="X35" s="13" t="s">
        <v>141</v>
      </c>
      <c r="Y35" s="13" t="s">
        <v>141</v>
      </c>
      <c r="Z35" s="13" t="s">
        <v>141</v>
      </c>
    </row>
    <row r="36" spans="1:26" x14ac:dyDescent="0.25">
      <c r="A36" s="6" t="s">
        <v>1682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x14ac:dyDescent="0.25">
      <c r="A37" s="10" t="s">
        <v>1683</v>
      </c>
      <c r="B37" s="10"/>
      <c r="C37" s="14">
        <v>255</v>
      </c>
      <c r="D37" s="14" t="s">
        <v>141</v>
      </c>
      <c r="E37" s="14" t="s">
        <v>141</v>
      </c>
      <c r="F37" s="14" t="s">
        <v>141</v>
      </c>
      <c r="G37" s="14">
        <v>397</v>
      </c>
      <c r="H37" s="14" t="s">
        <v>141</v>
      </c>
      <c r="I37" s="14" t="s">
        <v>141</v>
      </c>
      <c r="J37" s="14" t="s">
        <v>141</v>
      </c>
      <c r="K37" s="14">
        <v>494</v>
      </c>
      <c r="L37" s="14" t="s">
        <v>141</v>
      </c>
      <c r="M37" s="14" t="s">
        <v>141</v>
      </c>
      <c r="N37" s="14" t="s">
        <v>141</v>
      </c>
      <c r="O37" s="14" t="s">
        <v>141</v>
      </c>
      <c r="P37" s="14" t="s">
        <v>141</v>
      </c>
      <c r="Q37" s="14" t="s">
        <v>141</v>
      </c>
      <c r="R37" s="14" t="s">
        <v>141</v>
      </c>
      <c r="S37" s="14" t="s">
        <v>141</v>
      </c>
      <c r="T37" s="14" t="s">
        <v>141</v>
      </c>
      <c r="U37" s="14" t="s">
        <v>141</v>
      </c>
      <c r="V37" s="14" t="s">
        <v>141</v>
      </c>
      <c r="W37" s="14" t="s">
        <v>141</v>
      </c>
      <c r="X37" s="14" t="s">
        <v>141</v>
      </c>
      <c r="Y37" s="14" t="s">
        <v>141</v>
      </c>
      <c r="Z37" s="14" t="s">
        <v>141</v>
      </c>
    </row>
    <row r="38" spans="1:26" x14ac:dyDescent="0.25">
      <c r="A38" s="6" t="s">
        <v>1684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5">
      <c r="A39" s="10" t="s">
        <v>1683</v>
      </c>
      <c r="B39" s="10"/>
      <c r="C39" s="14">
        <v>244</v>
      </c>
      <c r="D39" s="14" t="s">
        <v>141</v>
      </c>
      <c r="E39" s="14" t="s">
        <v>141</v>
      </c>
      <c r="F39" s="14" t="s">
        <v>141</v>
      </c>
      <c r="G39" s="14">
        <v>346</v>
      </c>
      <c r="H39" s="14" t="s">
        <v>141</v>
      </c>
      <c r="I39" s="14" t="s">
        <v>141</v>
      </c>
      <c r="J39" s="14" t="s">
        <v>141</v>
      </c>
      <c r="K39" s="14">
        <v>372</v>
      </c>
      <c r="L39" s="14" t="s">
        <v>141</v>
      </c>
      <c r="M39" s="14" t="s">
        <v>141</v>
      </c>
      <c r="N39" s="14" t="s">
        <v>141</v>
      </c>
      <c r="O39" s="14" t="s">
        <v>141</v>
      </c>
      <c r="P39" s="14" t="s">
        <v>141</v>
      </c>
      <c r="Q39" s="14" t="s">
        <v>141</v>
      </c>
      <c r="R39" s="14" t="s">
        <v>141</v>
      </c>
      <c r="S39" s="14" t="s">
        <v>141</v>
      </c>
      <c r="T39" s="14" t="s">
        <v>141</v>
      </c>
      <c r="U39" s="14" t="s">
        <v>141</v>
      </c>
      <c r="V39" s="14" t="s">
        <v>141</v>
      </c>
      <c r="W39" s="14" t="s">
        <v>141</v>
      </c>
      <c r="X39" s="14" t="s">
        <v>141</v>
      </c>
      <c r="Y39" s="14" t="s">
        <v>141</v>
      </c>
      <c r="Z39" s="14" t="s">
        <v>141</v>
      </c>
    </row>
    <row r="40" spans="1:26" x14ac:dyDescent="0.25">
      <c r="A40" s="6" t="s">
        <v>1685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5">
      <c r="A41" s="10" t="s">
        <v>1669</v>
      </c>
      <c r="B41" s="10"/>
      <c r="C41" s="13" t="s">
        <v>141</v>
      </c>
      <c r="D41" s="13">
        <v>18.321999999999999</v>
      </c>
      <c r="E41" s="13" t="s">
        <v>141</v>
      </c>
      <c r="F41" s="13" t="s">
        <v>141</v>
      </c>
      <c r="G41" s="13" t="s">
        <v>141</v>
      </c>
      <c r="H41" s="13" t="s">
        <v>141</v>
      </c>
      <c r="I41" s="13" t="s">
        <v>141</v>
      </c>
      <c r="J41" s="13" t="s">
        <v>141</v>
      </c>
      <c r="K41" s="13" t="s">
        <v>141</v>
      </c>
      <c r="L41" s="13" t="s">
        <v>141</v>
      </c>
      <c r="M41" s="13" t="s">
        <v>141</v>
      </c>
      <c r="N41" s="13" t="s">
        <v>141</v>
      </c>
      <c r="O41" s="13" t="s">
        <v>141</v>
      </c>
      <c r="P41" s="13" t="s">
        <v>141</v>
      </c>
      <c r="Q41" s="13" t="s">
        <v>141</v>
      </c>
      <c r="R41" s="13" t="s">
        <v>141</v>
      </c>
      <c r="S41" s="13" t="s">
        <v>141</v>
      </c>
      <c r="T41" s="13" t="s">
        <v>141</v>
      </c>
      <c r="U41" s="13" t="s">
        <v>141</v>
      </c>
      <c r="V41" s="13" t="s">
        <v>141</v>
      </c>
      <c r="W41" s="13" t="s">
        <v>141</v>
      </c>
      <c r="X41" s="13" t="s">
        <v>141</v>
      </c>
      <c r="Y41" s="13" t="s">
        <v>141</v>
      </c>
      <c r="Z41" s="13" t="s">
        <v>141</v>
      </c>
    </row>
    <row r="42" spans="1:26" x14ac:dyDescent="0.25">
      <c r="A42" s="7" t="s">
        <v>90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X55"/>
  <sheetViews>
    <sheetView tabSelected="1" workbookViewId="0">
      <selection activeCell="Q13" sqref="Q13"/>
    </sheetView>
  </sheetViews>
  <sheetFormatPr defaultRowHeight="15" x14ac:dyDescent="0.25"/>
  <cols>
    <col min="1" max="1" width="35.140625" customWidth="1"/>
    <col min="2" max="2" width="0" hidden="1" customWidth="1"/>
    <col min="3" max="24" width="11.85546875" customWidth="1"/>
  </cols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0.25" x14ac:dyDescent="0.25">
      <c r="A2" s="8" t="s">
        <v>1686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3" t="s">
        <v>92</v>
      </c>
      <c r="B4" s="3"/>
      <c r="C4" s="4" t="s">
        <v>1687</v>
      </c>
      <c r="D4" s="4" t="s">
        <v>1688</v>
      </c>
      <c r="E4" s="4" t="s">
        <v>6</v>
      </c>
      <c r="F4" s="4" t="s">
        <v>1689</v>
      </c>
      <c r="G4" s="4" t="s">
        <v>1690</v>
      </c>
      <c r="H4" s="4" t="s">
        <v>1691</v>
      </c>
      <c r="I4" s="4" t="s">
        <v>1692</v>
      </c>
      <c r="J4" s="4" t="s">
        <v>1693</v>
      </c>
      <c r="K4" s="4" t="s">
        <v>1694</v>
      </c>
      <c r="L4" s="4" t="s">
        <v>1695</v>
      </c>
      <c r="M4" s="4" t="s">
        <v>1696</v>
      </c>
      <c r="N4" s="4" t="s">
        <v>1697</v>
      </c>
      <c r="O4" s="4" t="s">
        <v>1698</v>
      </c>
      <c r="P4" s="4" t="s">
        <v>1699</v>
      </c>
      <c r="Q4" s="4" t="s">
        <v>1700</v>
      </c>
      <c r="R4" s="4" t="s">
        <v>1701</v>
      </c>
      <c r="S4" s="4" t="s">
        <v>1702</v>
      </c>
      <c r="T4" s="4" t="s">
        <v>1703</v>
      </c>
      <c r="U4" s="4" t="s">
        <v>1704</v>
      </c>
      <c r="V4" s="4" t="s">
        <v>1705</v>
      </c>
      <c r="W4" s="4" t="s">
        <v>1706</v>
      </c>
      <c r="X4" s="4" t="s">
        <v>1707</v>
      </c>
    </row>
    <row r="5" spans="1:24" x14ac:dyDescent="0.25">
      <c r="A5" s="9" t="s">
        <v>34</v>
      </c>
      <c r="B5" s="9"/>
      <c r="C5" s="5" t="s">
        <v>1708</v>
      </c>
      <c r="D5" s="5" t="s">
        <v>1709</v>
      </c>
      <c r="E5" s="5" t="s">
        <v>1710</v>
      </c>
      <c r="F5" s="5" t="s">
        <v>1711</v>
      </c>
      <c r="G5" s="5" t="s">
        <v>1712</v>
      </c>
      <c r="H5" s="5" t="s">
        <v>1713</v>
      </c>
      <c r="I5" s="5" t="s">
        <v>1714</v>
      </c>
      <c r="J5" s="5" t="s">
        <v>1715</v>
      </c>
      <c r="K5" s="5" t="s">
        <v>1716</v>
      </c>
      <c r="L5" s="5" t="s">
        <v>1717</v>
      </c>
      <c r="M5" s="5" t="s">
        <v>1718</v>
      </c>
      <c r="N5" s="5" t="s">
        <v>1719</v>
      </c>
      <c r="O5" s="5" t="s">
        <v>1720</v>
      </c>
      <c r="P5" s="5" t="s">
        <v>1721</v>
      </c>
      <c r="Q5" s="5" t="s">
        <v>1722</v>
      </c>
      <c r="R5" s="5" t="s">
        <v>95</v>
      </c>
      <c r="S5" s="5" t="s">
        <v>37</v>
      </c>
      <c r="T5" s="5" t="s">
        <v>41</v>
      </c>
      <c r="U5" s="5" t="s">
        <v>45</v>
      </c>
      <c r="V5" s="5" t="s">
        <v>49</v>
      </c>
      <c r="W5" s="5" t="s">
        <v>53</v>
      </c>
      <c r="X5" s="5" t="s">
        <v>57</v>
      </c>
    </row>
    <row r="6" spans="1:24" x14ac:dyDescent="0.25">
      <c r="A6" s="10" t="s">
        <v>1723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spans="1:24" x14ac:dyDescent="0.25">
      <c r="A7" s="10" t="s">
        <v>1724</v>
      </c>
      <c r="B7" s="10" t="s">
        <v>1725</v>
      </c>
      <c r="C7" s="14" t="str">
        <f>_xll.BDH("SRPT US Equity","ESG_DISCLOSURE_SCORE","FY 2002","FY 2002","Currency=USD","Period=FQ","BEST_FPERIOD_OVERRIDE=FQ","FILING_STATUS=MR","Sort=A","Dates=H","DateFormat=P","Fill=—","Direction=H","UseDPDF=Y")</f>
        <v>—</v>
      </c>
      <c r="D7" s="14" t="str">
        <f>_xll.BDH("SRPT US Equity","ESG_DISCLOSURE_SCORE","FY 2004","FY 2004","Currency=USD","Period=FQ","BEST_FPERIOD_OVERRIDE=FQ","FILING_STATUS=MR","Sort=A","Dates=H","DateFormat=P","Fill=—","Direction=H","UseDPDF=Y")</f>
        <v>—</v>
      </c>
      <c r="E7" s="14" t="str">
        <f>_xll.BDH("SRPT US Equity","ESG_DISCLOSURE_SCORE","FY 2005","FY 2005","Currency=USD","Period=FQ","BEST_FPERIOD_OVERRIDE=FQ","FILING_STATUS=MR","Sort=A","Dates=H","DateFormat=P","Fill=—","Direction=H","UseDPDF=Y")</f>
        <v>—</v>
      </c>
      <c r="F7" s="14" t="str">
        <f>_xll.BDH("SRPT US Equity","ESG_DISCLOSURE_SCORE","FY 2006","FY 2006","Currency=USD","Period=FQ","BEST_FPERIOD_OVERRIDE=FQ","FILING_STATUS=MR","Sort=A","Dates=H","DateFormat=P","Fill=—","Direction=H","UseDPDF=Y")</f>
        <v>—</v>
      </c>
      <c r="G7" s="14" t="str">
        <f>_xll.BDH("SRPT US Equity","ESG_DISCLOSURE_SCORE","FY 2007","FY 2007","Currency=USD","Period=FQ","BEST_FPERIOD_OVERRIDE=FQ","FILING_STATUS=MR","Sort=A","Dates=H","DateFormat=P","Fill=—","Direction=H","UseDPDF=Y")</f>
        <v>—</v>
      </c>
      <c r="H7" s="14" t="str">
        <f>_xll.BDH("SRPT US Equity","ESG_DISCLOSURE_SCORE","FY 2008","FY 2008","Currency=USD","Period=FQ","BEST_FPERIOD_OVERRIDE=FQ","FILING_STATUS=MR","Sort=A","Dates=H","DateFormat=P","Fill=—","Direction=H","UseDPDF=Y")</f>
        <v>—</v>
      </c>
      <c r="I7" s="14" t="str">
        <f>_xll.BDH("SRPT US Equity","ESG_DISCLOSURE_SCORE","FY 2009","FY 2009","Currency=USD","Period=FQ","BEST_FPERIOD_OVERRIDE=FQ","FILING_STATUS=MR","Sort=A","Dates=H","DateFormat=P","Fill=—","Direction=H","UseDPDF=Y")</f>
        <v>—</v>
      </c>
      <c r="J7" s="14" t="str">
        <f>_xll.BDH("SRPT US Equity","ESG_DISCLOSURE_SCORE","FY 2010","FY 2010","Currency=USD","Period=FQ","BEST_FPERIOD_OVERRIDE=FQ","FILING_STATUS=MR","Sort=A","Dates=H","DateFormat=P","Fill=—","Direction=H","UseDPDF=Y")</f>
        <v>—</v>
      </c>
      <c r="K7" s="14" t="str">
        <f>_xll.BDH("SRPT US Equity","ESG_DISCLOSURE_SCORE","FY 2011","FY 2011","Currency=USD","Period=FQ","BEST_FPERIOD_OVERRIDE=FQ","FILING_STATUS=MR","Sort=A","Dates=H","DateFormat=P","Fill=—","Direction=H","UseDPDF=Y")</f>
        <v>—</v>
      </c>
      <c r="L7" s="14" t="str">
        <f>_xll.BDH("SRPT US Equity","ESG_DISCLOSURE_SCORE","FY 2012","FY 2012","Currency=USD","Period=FQ","BEST_FPERIOD_OVERRIDE=FQ","FILING_STATUS=MR","Sort=A","Dates=H","DateFormat=P","Fill=—","Direction=H","UseDPDF=Y")</f>
        <v>—</v>
      </c>
      <c r="M7" s="14" t="str">
        <f>_xll.BDH("SRPT US Equity","ESG_DISCLOSURE_SCORE","FY 2013","FY 2013","Currency=USD","Period=FQ","BEST_FPERIOD_OVERRIDE=FQ","FILING_STATUS=MR","Sort=A","Dates=H","DateFormat=P","Fill=—","Direction=H","UseDPDF=Y")</f>
        <v>—</v>
      </c>
      <c r="N7" s="14" t="str">
        <f>_xll.BDH("SRPT US Equity","ESG_DISCLOSURE_SCORE","FY 2014","FY 2014","Currency=USD","Period=FQ","BEST_FPERIOD_OVERRIDE=FQ","FILING_STATUS=MR","Sort=A","Dates=H","DateFormat=P","Fill=—","Direction=H","UseDPDF=Y")</f>
        <v>—</v>
      </c>
      <c r="O7" s="14" t="str">
        <f>_xll.BDH("SRPT US Equity","ESG_DISCLOSURE_SCORE","FY 2015","FY 2015","Currency=USD","Period=FQ","BEST_FPERIOD_OVERRIDE=FQ","FILING_STATUS=MR","Sort=A","Dates=H","DateFormat=P","Fill=—","Direction=H","UseDPDF=Y")</f>
        <v>—</v>
      </c>
      <c r="P7" s="14" t="str">
        <f>_xll.BDH("SRPT US Equity","ESG_DISCLOSURE_SCORE","FY 2016","FY 2016","Currency=USD","Period=FQ","BEST_FPERIOD_OVERRIDE=FQ","FILING_STATUS=MR","Sort=A","Dates=H","DateFormat=P","Fill=—","Direction=H","UseDPDF=Y")</f>
        <v>—</v>
      </c>
      <c r="Q7" s="14" t="str">
        <f>_xll.BDH("SRPT US Equity","ESG_DISCLOSURE_SCORE","FY 2017","FY 2017","Currency=USD","Period=FQ","BEST_FPERIOD_OVERRIDE=FQ","FILING_STATUS=MR","Sort=A","Dates=H","DateFormat=P","Fill=—","Direction=H","UseDPDF=Y")</f>
        <v>—</v>
      </c>
      <c r="R7" s="14" t="str">
        <f>_xll.BDH("SRPT US Equity","ESG_DISCLOSURE_SCORE","FY 2018","FY 2018","Currency=USD","Period=FQ","BEST_FPERIOD_OVERRIDE=FQ","FILING_STATUS=MR","Sort=A","Dates=H","DateFormat=P","Fill=—","Direction=H","UseDPDF=Y")</f>
        <v>—</v>
      </c>
      <c r="S7" s="14" t="str">
        <f>_xll.BDH("SRPT US Equity","ESG_DISCLOSURE_SCORE","FY 2019","FY 2019","Currency=USD","Period=FQ","BEST_FPERIOD_OVERRIDE=FQ","FILING_STATUS=MR","Sort=A","Dates=H","DateFormat=P","Fill=—","Direction=H","UseDPDF=Y")</f>
        <v>—</v>
      </c>
      <c r="T7" s="14" t="str">
        <f>_xll.BDH("SRPT US Equity","ESG_DISCLOSURE_SCORE","FY 2020","FY 2020","Currency=USD","Period=FQ","BEST_FPERIOD_OVERRIDE=FQ","FILING_STATUS=MR","Sort=A","Dates=H","DateFormat=P","Fill=—","Direction=H","UseDPDF=Y")</f>
        <v>—</v>
      </c>
      <c r="U7" s="14" t="str">
        <f>_xll.BDH("SRPT US Equity","ESG_DISCLOSURE_SCORE","FY 2021","FY 2021","Currency=USD","Period=FQ","BEST_FPERIOD_OVERRIDE=FQ","FILING_STATUS=MR","Sort=A","Dates=H","DateFormat=P","Fill=—","Direction=H","UseDPDF=Y")</f>
        <v>—</v>
      </c>
      <c r="V7" s="14" t="str">
        <f>_xll.BDH("SRPT US Equity","ESG_DISCLOSURE_SCORE","FY 2022","FY 2022","Currency=USD","Period=FQ","BEST_FPERIOD_OVERRIDE=FQ","FILING_STATUS=MR","Sort=A","Dates=H","DateFormat=P","Fill=—","Direction=H","UseDPDF=Y")</f>
        <v>—</v>
      </c>
      <c r="W7" s="14" t="str">
        <f>_xll.BDH("SRPT US Equity","ESG_DISCLOSURE_SCORE","FY 2023","FY 2023","Currency=USD","Period=FQ","BEST_FPERIOD_OVERRIDE=FQ","FILING_STATUS=MR","Sort=A","Dates=H","DateFormat=P","Fill=—","Direction=H","UseDPDF=Y")</f>
        <v>—</v>
      </c>
      <c r="X7" s="14" t="str">
        <f>_xll.BDH("SRPT US Equity","ESG_DISCLOSURE_SCORE","FY 2024","FY 2024","Currency=USD","Period=FQ","BEST_FPERIOD_OVERRIDE=FQ","FILING_STATUS=MR","Sort=A","Dates=H","DateFormat=P","Fill=—","Direction=H","UseDPDF=Y")</f>
        <v>—</v>
      </c>
    </row>
    <row r="8" spans="1:24" x14ac:dyDescent="0.25">
      <c r="A8" s="10" t="s">
        <v>1726</v>
      </c>
      <c r="B8" s="10" t="s">
        <v>1727</v>
      </c>
      <c r="C8" s="14" t="str">
        <f>_xll.BDH("SRPT US Equity","ENVIRON_DISCLOSURE_SCORE","FY 2002","FY 2002","Currency=USD","Period=FQ","BEST_FPERIOD_OVERRIDE=FQ","FILING_STATUS=MR","Sort=A","Dates=H","DateFormat=P","Fill=—","Direction=H","UseDPDF=Y")</f>
        <v>—</v>
      </c>
      <c r="D8" s="14" t="str">
        <f>_xll.BDH("SRPT US Equity","ENVIRON_DISCLOSURE_SCORE","FY 2004","FY 2004","Currency=USD","Period=FQ","BEST_FPERIOD_OVERRIDE=FQ","FILING_STATUS=MR","Sort=A","Dates=H","DateFormat=P","Fill=—","Direction=H","UseDPDF=Y")</f>
        <v>—</v>
      </c>
      <c r="E8" s="14" t="str">
        <f>_xll.BDH("SRPT US Equity","ENVIRON_DISCLOSURE_SCORE","FY 2005","FY 2005","Currency=USD","Period=FQ","BEST_FPERIOD_OVERRIDE=FQ","FILING_STATUS=MR","Sort=A","Dates=H","DateFormat=P","Fill=—","Direction=H","UseDPDF=Y")</f>
        <v>—</v>
      </c>
      <c r="F8" s="14" t="str">
        <f>_xll.BDH("SRPT US Equity","ENVIRON_DISCLOSURE_SCORE","FY 2006","FY 2006","Currency=USD","Period=FQ","BEST_FPERIOD_OVERRIDE=FQ","FILING_STATUS=MR","Sort=A","Dates=H","DateFormat=P","Fill=—","Direction=H","UseDPDF=Y")</f>
        <v>—</v>
      </c>
      <c r="G8" s="14" t="str">
        <f>_xll.BDH("SRPT US Equity","ENVIRON_DISCLOSURE_SCORE","FY 2007","FY 2007","Currency=USD","Period=FQ","BEST_FPERIOD_OVERRIDE=FQ","FILING_STATUS=MR","Sort=A","Dates=H","DateFormat=P","Fill=—","Direction=H","UseDPDF=Y")</f>
        <v>—</v>
      </c>
      <c r="H8" s="14" t="str">
        <f>_xll.BDH("SRPT US Equity","ENVIRON_DISCLOSURE_SCORE","FY 2008","FY 2008","Currency=USD","Period=FQ","BEST_FPERIOD_OVERRIDE=FQ","FILING_STATUS=MR","Sort=A","Dates=H","DateFormat=P","Fill=—","Direction=H","UseDPDF=Y")</f>
        <v>—</v>
      </c>
      <c r="I8" s="14" t="str">
        <f>_xll.BDH("SRPT US Equity","ENVIRON_DISCLOSURE_SCORE","FY 2009","FY 2009","Currency=USD","Period=FQ","BEST_FPERIOD_OVERRIDE=FQ","FILING_STATUS=MR","Sort=A","Dates=H","DateFormat=P","Fill=—","Direction=H","UseDPDF=Y")</f>
        <v>—</v>
      </c>
      <c r="J8" s="14" t="str">
        <f>_xll.BDH("SRPT US Equity","ENVIRON_DISCLOSURE_SCORE","FY 2010","FY 2010","Currency=USD","Period=FQ","BEST_FPERIOD_OVERRIDE=FQ","FILING_STATUS=MR","Sort=A","Dates=H","DateFormat=P","Fill=—","Direction=H","UseDPDF=Y")</f>
        <v>—</v>
      </c>
      <c r="K8" s="14" t="str">
        <f>_xll.BDH("SRPT US Equity","ENVIRON_DISCLOSURE_SCORE","FY 2011","FY 2011","Currency=USD","Period=FQ","BEST_FPERIOD_OVERRIDE=FQ","FILING_STATUS=MR","Sort=A","Dates=H","DateFormat=P","Fill=—","Direction=H","UseDPDF=Y")</f>
        <v>—</v>
      </c>
      <c r="L8" s="14" t="str">
        <f>_xll.BDH("SRPT US Equity","ENVIRON_DISCLOSURE_SCORE","FY 2012","FY 2012","Currency=USD","Period=FQ","BEST_FPERIOD_OVERRIDE=FQ","FILING_STATUS=MR","Sort=A","Dates=H","DateFormat=P","Fill=—","Direction=H","UseDPDF=Y")</f>
        <v>—</v>
      </c>
      <c r="M8" s="14" t="str">
        <f>_xll.BDH("SRPT US Equity","ENVIRON_DISCLOSURE_SCORE","FY 2013","FY 2013","Currency=USD","Period=FQ","BEST_FPERIOD_OVERRIDE=FQ","FILING_STATUS=MR","Sort=A","Dates=H","DateFormat=P","Fill=—","Direction=H","UseDPDF=Y")</f>
        <v>—</v>
      </c>
      <c r="N8" s="14" t="str">
        <f>_xll.BDH("SRPT US Equity","ENVIRON_DISCLOSURE_SCORE","FY 2014","FY 2014","Currency=USD","Period=FQ","BEST_FPERIOD_OVERRIDE=FQ","FILING_STATUS=MR","Sort=A","Dates=H","DateFormat=P","Fill=—","Direction=H","UseDPDF=Y")</f>
        <v>—</v>
      </c>
      <c r="O8" s="14" t="str">
        <f>_xll.BDH("SRPT US Equity","ENVIRON_DISCLOSURE_SCORE","FY 2015","FY 2015","Currency=USD","Period=FQ","BEST_FPERIOD_OVERRIDE=FQ","FILING_STATUS=MR","Sort=A","Dates=H","DateFormat=P","Fill=—","Direction=H","UseDPDF=Y")</f>
        <v>—</v>
      </c>
      <c r="P8" s="14" t="str">
        <f>_xll.BDH("SRPT US Equity","ENVIRON_DISCLOSURE_SCORE","FY 2016","FY 2016","Currency=USD","Period=FQ","BEST_FPERIOD_OVERRIDE=FQ","FILING_STATUS=MR","Sort=A","Dates=H","DateFormat=P","Fill=—","Direction=H","UseDPDF=Y")</f>
        <v>—</v>
      </c>
      <c r="Q8" s="14" t="str">
        <f>_xll.BDH("SRPT US Equity","ENVIRON_DISCLOSURE_SCORE","FY 2017","FY 2017","Currency=USD","Period=FQ","BEST_FPERIOD_OVERRIDE=FQ","FILING_STATUS=MR","Sort=A","Dates=H","DateFormat=P","Fill=—","Direction=H","UseDPDF=Y")</f>
        <v>—</v>
      </c>
      <c r="R8" s="14" t="str">
        <f>_xll.BDH("SRPT US Equity","ENVIRON_DISCLOSURE_SCORE","FY 2018","FY 2018","Currency=USD","Period=FQ","BEST_FPERIOD_OVERRIDE=FQ","FILING_STATUS=MR","Sort=A","Dates=H","DateFormat=P","Fill=—","Direction=H","UseDPDF=Y")</f>
        <v>—</v>
      </c>
      <c r="S8" s="14" t="str">
        <f>_xll.BDH("SRPT US Equity","ENVIRON_DISCLOSURE_SCORE","FY 2019","FY 2019","Currency=USD","Period=FQ","BEST_FPERIOD_OVERRIDE=FQ","FILING_STATUS=MR","Sort=A","Dates=H","DateFormat=P","Fill=—","Direction=H","UseDPDF=Y")</f>
        <v>—</v>
      </c>
      <c r="T8" s="14" t="str">
        <f>_xll.BDH("SRPT US Equity","ENVIRON_DISCLOSURE_SCORE","FY 2020","FY 2020","Currency=USD","Period=FQ","BEST_FPERIOD_OVERRIDE=FQ","FILING_STATUS=MR","Sort=A","Dates=H","DateFormat=P","Fill=—","Direction=H","UseDPDF=Y")</f>
        <v>—</v>
      </c>
      <c r="U8" s="14" t="str">
        <f>_xll.BDH("SRPT US Equity","ENVIRON_DISCLOSURE_SCORE","FY 2021","FY 2021","Currency=USD","Period=FQ","BEST_FPERIOD_OVERRIDE=FQ","FILING_STATUS=MR","Sort=A","Dates=H","DateFormat=P","Fill=—","Direction=H","UseDPDF=Y")</f>
        <v>—</v>
      </c>
      <c r="V8" s="14" t="str">
        <f>_xll.BDH("SRPT US Equity","ENVIRON_DISCLOSURE_SCORE","FY 2022","FY 2022","Currency=USD","Period=FQ","BEST_FPERIOD_OVERRIDE=FQ","FILING_STATUS=MR","Sort=A","Dates=H","DateFormat=P","Fill=—","Direction=H","UseDPDF=Y")</f>
        <v>—</v>
      </c>
      <c r="W8" s="14" t="str">
        <f>_xll.BDH("SRPT US Equity","ENVIRON_DISCLOSURE_SCORE","FY 2023","FY 2023","Currency=USD","Period=FQ","BEST_FPERIOD_OVERRIDE=FQ","FILING_STATUS=MR","Sort=A","Dates=H","DateFormat=P","Fill=—","Direction=H","UseDPDF=Y")</f>
        <v>—</v>
      </c>
      <c r="X8" s="14" t="str">
        <f>_xll.BDH("SRPT US Equity","ENVIRON_DISCLOSURE_SCORE","FY 2024","FY 2024","Currency=USD","Period=FQ","BEST_FPERIOD_OVERRIDE=FQ","FILING_STATUS=MR","Sort=A","Dates=H","DateFormat=P","Fill=—","Direction=H","UseDPDF=Y")</f>
        <v>—</v>
      </c>
    </row>
    <row r="9" spans="1:24" x14ac:dyDescent="0.25">
      <c r="A9" s="10" t="s">
        <v>1728</v>
      </c>
      <c r="B9" s="10" t="s">
        <v>1729</v>
      </c>
      <c r="C9" s="14" t="str">
        <f>_xll.BDH("SRPT US Equity","SOCIAL_DISCLOSURE_SCORE","FY 2002","FY 2002","Currency=USD","Period=FQ","BEST_FPERIOD_OVERRIDE=FQ","FILING_STATUS=MR","Sort=A","Dates=H","DateFormat=P","Fill=—","Direction=H","UseDPDF=Y")</f>
        <v>—</v>
      </c>
      <c r="D9" s="14" t="str">
        <f>_xll.BDH("SRPT US Equity","SOCIAL_DISCLOSURE_SCORE","FY 2004","FY 2004","Currency=USD","Period=FQ","BEST_FPERIOD_OVERRIDE=FQ","FILING_STATUS=MR","Sort=A","Dates=H","DateFormat=P","Fill=—","Direction=H","UseDPDF=Y")</f>
        <v>—</v>
      </c>
      <c r="E9" s="14" t="str">
        <f>_xll.BDH("SRPT US Equity","SOCIAL_DISCLOSURE_SCORE","FY 2005","FY 2005","Currency=USD","Period=FQ","BEST_FPERIOD_OVERRIDE=FQ","FILING_STATUS=MR","Sort=A","Dates=H","DateFormat=P","Fill=—","Direction=H","UseDPDF=Y")</f>
        <v>—</v>
      </c>
      <c r="F9" s="14" t="str">
        <f>_xll.BDH("SRPT US Equity","SOCIAL_DISCLOSURE_SCORE","FY 2006","FY 2006","Currency=USD","Period=FQ","BEST_FPERIOD_OVERRIDE=FQ","FILING_STATUS=MR","Sort=A","Dates=H","DateFormat=P","Fill=—","Direction=H","UseDPDF=Y")</f>
        <v>—</v>
      </c>
      <c r="G9" s="14" t="str">
        <f>_xll.BDH("SRPT US Equity","SOCIAL_DISCLOSURE_SCORE","FY 2007","FY 2007","Currency=USD","Period=FQ","BEST_FPERIOD_OVERRIDE=FQ","FILING_STATUS=MR","Sort=A","Dates=H","DateFormat=P","Fill=—","Direction=H","UseDPDF=Y")</f>
        <v>—</v>
      </c>
      <c r="H9" s="14" t="str">
        <f>_xll.BDH("SRPT US Equity","SOCIAL_DISCLOSURE_SCORE","FY 2008","FY 2008","Currency=USD","Period=FQ","BEST_FPERIOD_OVERRIDE=FQ","FILING_STATUS=MR","Sort=A","Dates=H","DateFormat=P","Fill=—","Direction=H","UseDPDF=Y")</f>
        <v>—</v>
      </c>
      <c r="I9" s="14" t="str">
        <f>_xll.BDH("SRPT US Equity","SOCIAL_DISCLOSURE_SCORE","FY 2009","FY 2009","Currency=USD","Period=FQ","BEST_FPERIOD_OVERRIDE=FQ","FILING_STATUS=MR","Sort=A","Dates=H","DateFormat=P","Fill=—","Direction=H","UseDPDF=Y")</f>
        <v>—</v>
      </c>
      <c r="J9" s="14" t="str">
        <f>_xll.BDH("SRPT US Equity","SOCIAL_DISCLOSURE_SCORE","FY 2010","FY 2010","Currency=USD","Period=FQ","BEST_FPERIOD_OVERRIDE=FQ","FILING_STATUS=MR","Sort=A","Dates=H","DateFormat=P","Fill=—","Direction=H","UseDPDF=Y")</f>
        <v>—</v>
      </c>
      <c r="K9" s="14" t="str">
        <f>_xll.BDH("SRPT US Equity","SOCIAL_DISCLOSURE_SCORE","FY 2011","FY 2011","Currency=USD","Period=FQ","BEST_FPERIOD_OVERRIDE=FQ","FILING_STATUS=MR","Sort=A","Dates=H","DateFormat=P","Fill=—","Direction=H","UseDPDF=Y")</f>
        <v>—</v>
      </c>
      <c r="L9" s="14" t="str">
        <f>_xll.BDH("SRPT US Equity","SOCIAL_DISCLOSURE_SCORE","FY 2012","FY 2012","Currency=USD","Period=FQ","BEST_FPERIOD_OVERRIDE=FQ","FILING_STATUS=MR","Sort=A","Dates=H","DateFormat=P","Fill=—","Direction=H","UseDPDF=Y")</f>
        <v>—</v>
      </c>
      <c r="M9" s="14" t="str">
        <f>_xll.BDH("SRPT US Equity","SOCIAL_DISCLOSURE_SCORE","FY 2013","FY 2013","Currency=USD","Period=FQ","BEST_FPERIOD_OVERRIDE=FQ","FILING_STATUS=MR","Sort=A","Dates=H","DateFormat=P","Fill=—","Direction=H","UseDPDF=Y")</f>
        <v>—</v>
      </c>
      <c r="N9" s="14" t="str">
        <f>_xll.BDH("SRPT US Equity","SOCIAL_DISCLOSURE_SCORE","FY 2014","FY 2014","Currency=USD","Period=FQ","BEST_FPERIOD_OVERRIDE=FQ","FILING_STATUS=MR","Sort=A","Dates=H","DateFormat=P","Fill=—","Direction=H","UseDPDF=Y")</f>
        <v>—</v>
      </c>
      <c r="O9" s="14" t="str">
        <f>_xll.BDH("SRPT US Equity","SOCIAL_DISCLOSURE_SCORE","FY 2015","FY 2015","Currency=USD","Period=FQ","BEST_FPERIOD_OVERRIDE=FQ","FILING_STATUS=MR","Sort=A","Dates=H","DateFormat=P","Fill=—","Direction=H","UseDPDF=Y")</f>
        <v>—</v>
      </c>
      <c r="P9" s="14" t="str">
        <f>_xll.BDH("SRPT US Equity","SOCIAL_DISCLOSURE_SCORE","FY 2016","FY 2016","Currency=USD","Period=FQ","BEST_FPERIOD_OVERRIDE=FQ","FILING_STATUS=MR","Sort=A","Dates=H","DateFormat=P","Fill=—","Direction=H","UseDPDF=Y")</f>
        <v>—</v>
      </c>
      <c r="Q9" s="14" t="str">
        <f>_xll.BDH("SRPT US Equity","SOCIAL_DISCLOSURE_SCORE","FY 2017","FY 2017","Currency=USD","Period=FQ","BEST_FPERIOD_OVERRIDE=FQ","FILING_STATUS=MR","Sort=A","Dates=H","DateFormat=P","Fill=—","Direction=H","UseDPDF=Y")</f>
        <v>—</v>
      </c>
      <c r="R9" s="14" t="str">
        <f>_xll.BDH("SRPT US Equity","SOCIAL_DISCLOSURE_SCORE","FY 2018","FY 2018","Currency=USD","Period=FQ","BEST_FPERIOD_OVERRIDE=FQ","FILING_STATUS=MR","Sort=A","Dates=H","DateFormat=P","Fill=—","Direction=H","UseDPDF=Y")</f>
        <v>—</v>
      </c>
      <c r="S9" s="14" t="str">
        <f>_xll.BDH("SRPT US Equity","SOCIAL_DISCLOSURE_SCORE","FY 2019","FY 2019","Currency=USD","Period=FQ","BEST_FPERIOD_OVERRIDE=FQ","FILING_STATUS=MR","Sort=A","Dates=H","DateFormat=P","Fill=—","Direction=H","UseDPDF=Y")</f>
        <v>—</v>
      </c>
      <c r="T9" s="14" t="str">
        <f>_xll.BDH("SRPT US Equity","SOCIAL_DISCLOSURE_SCORE","FY 2020","FY 2020","Currency=USD","Period=FQ","BEST_FPERIOD_OVERRIDE=FQ","FILING_STATUS=MR","Sort=A","Dates=H","DateFormat=P","Fill=—","Direction=H","UseDPDF=Y")</f>
        <v>—</v>
      </c>
      <c r="U9" s="14" t="str">
        <f>_xll.BDH("SRPT US Equity","SOCIAL_DISCLOSURE_SCORE","FY 2021","FY 2021","Currency=USD","Period=FQ","BEST_FPERIOD_OVERRIDE=FQ","FILING_STATUS=MR","Sort=A","Dates=H","DateFormat=P","Fill=—","Direction=H","UseDPDF=Y")</f>
        <v>—</v>
      </c>
      <c r="V9" s="14" t="str">
        <f>_xll.BDH("SRPT US Equity","SOCIAL_DISCLOSURE_SCORE","FY 2022","FY 2022","Currency=USD","Period=FQ","BEST_FPERIOD_OVERRIDE=FQ","FILING_STATUS=MR","Sort=A","Dates=H","DateFormat=P","Fill=—","Direction=H","UseDPDF=Y")</f>
        <v>—</v>
      </c>
      <c r="W9" s="14" t="str">
        <f>_xll.BDH("SRPT US Equity","SOCIAL_DISCLOSURE_SCORE","FY 2023","FY 2023","Currency=USD","Period=FQ","BEST_FPERIOD_OVERRIDE=FQ","FILING_STATUS=MR","Sort=A","Dates=H","DateFormat=P","Fill=—","Direction=H","UseDPDF=Y")</f>
        <v>—</v>
      </c>
      <c r="X9" s="14" t="str">
        <f>_xll.BDH("SRPT US Equity","SOCIAL_DISCLOSURE_SCORE","FY 2024","FY 2024","Currency=USD","Period=FQ","BEST_FPERIOD_OVERRIDE=FQ","FILING_STATUS=MR","Sort=A","Dates=H","DateFormat=P","Fill=—","Direction=H","UseDPDF=Y")</f>
        <v>—</v>
      </c>
    </row>
    <row r="10" spans="1:24" x14ac:dyDescent="0.25">
      <c r="A10" s="10" t="s">
        <v>1730</v>
      </c>
      <c r="B10" s="10" t="s">
        <v>1731</v>
      </c>
      <c r="C10" s="14" t="str">
        <f>_xll.BDH("SRPT US Equity","GOVNCE_DISCLOSURE_SCORE","FY 2002","FY 2002","Currency=USD","Period=FQ","BEST_FPERIOD_OVERRIDE=FQ","FILING_STATUS=MR","Sort=A","Dates=H","DateFormat=P","Fill=—","Direction=H","UseDPDF=Y")</f>
        <v>—</v>
      </c>
      <c r="D10" s="14" t="str">
        <f>_xll.BDH("SRPT US Equity","GOVNCE_DISCLOSURE_SCORE","FY 2004","FY 2004","Currency=USD","Period=FQ","BEST_FPERIOD_OVERRIDE=FQ","FILING_STATUS=MR","Sort=A","Dates=H","DateFormat=P","Fill=—","Direction=H","UseDPDF=Y")</f>
        <v>—</v>
      </c>
      <c r="E10" s="14" t="str">
        <f>_xll.BDH("SRPT US Equity","GOVNCE_DISCLOSURE_SCORE","FY 2005","FY 2005","Currency=USD","Period=FQ","BEST_FPERIOD_OVERRIDE=FQ","FILING_STATUS=MR","Sort=A","Dates=H","DateFormat=P","Fill=—","Direction=H","UseDPDF=Y")</f>
        <v>—</v>
      </c>
      <c r="F10" s="14" t="str">
        <f>_xll.BDH("SRPT US Equity","GOVNCE_DISCLOSURE_SCORE","FY 2006","FY 2006","Currency=USD","Period=FQ","BEST_FPERIOD_OVERRIDE=FQ","FILING_STATUS=MR","Sort=A","Dates=H","DateFormat=P","Fill=—","Direction=H","UseDPDF=Y")</f>
        <v>—</v>
      </c>
      <c r="G10" s="14" t="str">
        <f>_xll.BDH("SRPT US Equity","GOVNCE_DISCLOSURE_SCORE","FY 2007","FY 2007","Currency=USD","Period=FQ","BEST_FPERIOD_OVERRIDE=FQ","FILING_STATUS=MR","Sort=A","Dates=H","DateFormat=P","Fill=—","Direction=H","UseDPDF=Y")</f>
        <v>—</v>
      </c>
      <c r="H10" s="14" t="str">
        <f>_xll.BDH("SRPT US Equity","GOVNCE_DISCLOSURE_SCORE","FY 2008","FY 2008","Currency=USD","Period=FQ","BEST_FPERIOD_OVERRIDE=FQ","FILING_STATUS=MR","Sort=A","Dates=H","DateFormat=P","Fill=—","Direction=H","UseDPDF=Y")</f>
        <v>—</v>
      </c>
      <c r="I10" s="14" t="str">
        <f>_xll.BDH("SRPT US Equity","GOVNCE_DISCLOSURE_SCORE","FY 2009","FY 2009","Currency=USD","Period=FQ","BEST_FPERIOD_OVERRIDE=FQ","FILING_STATUS=MR","Sort=A","Dates=H","DateFormat=P","Fill=—","Direction=H","UseDPDF=Y")</f>
        <v>—</v>
      </c>
      <c r="J10" s="14" t="str">
        <f>_xll.BDH("SRPT US Equity","GOVNCE_DISCLOSURE_SCORE","FY 2010","FY 2010","Currency=USD","Period=FQ","BEST_FPERIOD_OVERRIDE=FQ","FILING_STATUS=MR","Sort=A","Dates=H","DateFormat=P","Fill=—","Direction=H","UseDPDF=Y")</f>
        <v>—</v>
      </c>
      <c r="K10" s="14" t="str">
        <f>_xll.BDH("SRPT US Equity","GOVNCE_DISCLOSURE_SCORE","FY 2011","FY 2011","Currency=USD","Period=FQ","BEST_FPERIOD_OVERRIDE=FQ","FILING_STATUS=MR","Sort=A","Dates=H","DateFormat=P","Fill=—","Direction=H","UseDPDF=Y")</f>
        <v>—</v>
      </c>
      <c r="L10" s="14" t="str">
        <f>_xll.BDH("SRPT US Equity","GOVNCE_DISCLOSURE_SCORE","FY 2012","FY 2012","Currency=USD","Period=FQ","BEST_FPERIOD_OVERRIDE=FQ","FILING_STATUS=MR","Sort=A","Dates=H","DateFormat=P","Fill=—","Direction=H","UseDPDF=Y")</f>
        <v>—</v>
      </c>
      <c r="M10" s="14" t="str">
        <f>_xll.BDH("SRPT US Equity","GOVNCE_DISCLOSURE_SCORE","FY 2013","FY 2013","Currency=USD","Period=FQ","BEST_FPERIOD_OVERRIDE=FQ","FILING_STATUS=MR","Sort=A","Dates=H","DateFormat=P","Fill=—","Direction=H","UseDPDF=Y")</f>
        <v>—</v>
      </c>
      <c r="N10" s="14" t="str">
        <f>_xll.BDH("SRPT US Equity","GOVNCE_DISCLOSURE_SCORE","FY 2014","FY 2014","Currency=USD","Period=FQ","BEST_FPERIOD_OVERRIDE=FQ","FILING_STATUS=MR","Sort=A","Dates=H","DateFormat=P","Fill=—","Direction=H","UseDPDF=Y")</f>
        <v>—</v>
      </c>
      <c r="O10" s="14" t="str">
        <f>_xll.BDH("SRPT US Equity","GOVNCE_DISCLOSURE_SCORE","FY 2015","FY 2015","Currency=USD","Period=FQ","BEST_FPERIOD_OVERRIDE=FQ","FILING_STATUS=MR","Sort=A","Dates=H","DateFormat=P","Fill=—","Direction=H","UseDPDF=Y")</f>
        <v>—</v>
      </c>
      <c r="P10" s="14" t="str">
        <f>_xll.BDH("SRPT US Equity","GOVNCE_DISCLOSURE_SCORE","FY 2016","FY 2016","Currency=USD","Period=FQ","BEST_FPERIOD_OVERRIDE=FQ","FILING_STATUS=MR","Sort=A","Dates=H","DateFormat=P","Fill=—","Direction=H","UseDPDF=Y")</f>
        <v>—</v>
      </c>
      <c r="Q10" s="14" t="str">
        <f>_xll.BDH("SRPT US Equity","GOVNCE_DISCLOSURE_SCORE","FY 2017","FY 2017","Currency=USD","Period=FQ","BEST_FPERIOD_OVERRIDE=FQ","FILING_STATUS=MR","Sort=A","Dates=H","DateFormat=P","Fill=—","Direction=H","UseDPDF=Y")</f>
        <v>—</v>
      </c>
      <c r="R10" s="14" t="str">
        <f>_xll.BDH("SRPT US Equity","GOVNCE_DISCLOSURE_SCORE","FY 2018","FY 2018","Currency=USD","Period=FQ","BEST_FPERIOD_OVERRIDE=FQ","FILING_STATUS=MR","Sort=A","Dates=H","DateFormat=P","Fill=—","Direction=H","UseDPDF=Y")</f>
        <v>—</v>
      </c>
      <c r="S10" s="14" t="str">
        <f>_xll.BDH("SRPT US Equity","GOVNCE_DISCLOSURE_SCORE","FY 2019","FY 2019","Currency=USD","Period=FQ","BEST_FPERIOD_OVERRIDE=FQ","FILING_STATUS=MR","Sort=A","Dates=H","DateFormat=P","Fill=—","Direction=H","UseDPDF=Y")</f>
        <v>—</v>
      </c>
      <c r="T10" s="14" t="str">
        <f>_xll.BDH("SRPT US Equity","GOVNCE_DISCLOSURE_SCORE","FY 2020","FY 2020","Currency=USD","Period=FQ","BEST_FPERIOD_OVERRIDE=FQ","FILING_STATUS=MR","Sort=A","Dates=H","DateFormat=P","Fill=—","Direction=H","UseDPDF=Y")</f>
        <v>—</v>
      </c>
      <c r="U10" s="14" t="str">
        <f>_xll.BDH("SRPT US Equity","GOVNCE_DISCLOSURE_SCORE","FY 2021","FY 2021","Currency=USD","Period=FQ","BEST_FPERIOD_OVERRIDE=FQ","FILING_STATUS=MR","Sort=A","Dates=H","DateFormat=P","Fill=—","Direction=H","UseDPDF=Y")</f>
        <v>—</v>
      </c>
      <c r="V10" s="14" t="str">
        <f>_xll.BDH("SRPT US Equity","GOVNCE_DISCLOSURE_SCORE","FY 2022","FY 2022","Currency=USD","Period=FQ","BEST_FPERIOD_OVERRIDE=FQ","FILING_STATUS=MR","Sort=A","Dates=H","DateFormat=P","Fill=—","Direction=H","UseDPDF=Y")</f>
        <v>—</v>
      </c>
      <c r="W10" s="14" t="str">
        <f>_xll.BDH("SRPT US Equity","GOVNCE_DISCLOSURE_SCORE","FY 2023","FY 2023","Currency=USD","Period=FQ","BEST_FPERIOD_OVERRIDE=FQ","FILING_STATUS=MR","Sort=A","Dates=H","DateFormat=P","Fill=—","Direction=H","UseDPDF=Y")</f>
        <v>—</v>
      </c>
      <c r="X10" s="14" t="str">
        <f>_xll.BDH("SRPT US Equity","GOVNCE_DISCLOSURE_SCORE","FY 2024","FY 2024","Currency=USD","Period=FQ","BEST_FPERIOD_OVERRIDE=FQ","FILING_STATUS=MR","Sort=A","Dates=H","DateFormat=P","Fill=—","Direction=H","UseDPDF=Y")</f>
        <v>—</v>
      </c>
    </row>
    <row r="11" spans="1:24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 spans="1:24" x14ac:dyDescent="0.25">
      <c r="A12" s="6" t="s">
        <v>1732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x14ac:dyDescent="0.25">
      <c r="A13" s="10" t="s">
        <v>1733</v>
      </c>
      <c r="B13" s="10" t="s">
        <v>1734</v>
      </c>
      <c r="C13" s="14" t="str">
        <f>_xll.BDH("SRPT US Equity","GHG_INTENSITY_PER_SALES","FY 2002","FY 2002","Currency=USD","Period=FQ","BEST_FPERIOD_OVERRIDE=FQ","FILING_STATUS=MR","FA_ADJUSTED=GAAP","Sort=A","Dates=H","DateFormat=P","Fill=—","Direction=H","UseDPDF=Y")</f>
        <v>—</v>
      </c>
      <c r="D13" s="14" t="str">
        <f>_xll.BDH("SRPT US Equity","GHG_INTENSITY_PER_SALES","FY 2004","FY 2004","Currency=USD","Period=FQ","BEST_FPERIOD_OVERRIDE=FQ","FILING_STATUS=MR","FA_ADJUSTED=GAAP","Sort=A","Dates=H","DateFormat=P","Fill=—","Direction=H","UseDPDF=Y")</f>
        <v>—</v>
      </c>
      <c r="E13" s="14" t="str">
        <f>_xll.BDH("SRPT US Equity","GHG_INTENSITY_PER_SALES","FY 2005","FY 2005","Currency=USD","Period=FQ","BEST_FPERIOD_OVERRIDE=FQ","FILING_STATUS=MR","FA_ADJUSTED=GAAP","Sort=A","Dates=H","DateFormat=P","Fill=—","Direction=H","UseDPDF=Y")</f>
        <v>—</v>
      </c>
      <c r="F13" s="14" t="str">
        <f>_xll.BDH("SRPT US Equity","GHG_INTENSITY_PER_SALES","FY 2006","FY 2006","Currency=USD","Period=FQ","BEST_FPERIOD_OVERRIDE=FQ","FILING_STATUS=MR","FA_ADJUSTED=GAAP","Sort=A","Dates=H","DateFormat=P","Fill=—","Direction=H","UseDPDF=Y")</f>
        <v>—</v>
      </c>
      <c r="G13" s="14" t="str">
        <f>_xll.BDH("SRPT US Equity","GHG_INTENSITY_PER_SALES","FY 2007","FY 2007","Currency=USD","Period=FQ","BEST_FPERIOD_OVERRIDE=FQ","FILING_STATUS=MR","FA_ADJUSTED=GAAP","Sort=A","Dates=H","DateFormat=P","Fill=—","Direction=H","UseDPDF=Y")</f>
        <v>—</v>
      </c>
      <c r="H13" s="14" t="str">
        <f>_xll.BDH("SRPT US Equity","GHG_INTENSITY_PER_SALES","FY 2008","FY 2008","Currency=USD","Period=FQ","BEST_FPERIOD_OVERRIDE=FQ","FILING_STATUS=MR","FA_ADJUSTED=GAAP","Sort=A","Dates=H","DateFormat=P","Fill=—","Direction=H","UseDPDF=Y")</f>
        <v>—</v>
      </c>
      <c r="I13" s="14" t="str">
        <f>_xll.BDH("SRPT US Equity","GHG_INTENSITY_PER_SALES","FY 2009","FY 2009","Currency=USD","Period=FQ","BEST_FPERIOD_OVERRIDE=FQ","FILING_STATUS=MR","FA_ADJUSTED=GAAP","Sort=A","Dates=H","DateFormat=P","Fill=—","Direction=H","UseDPDF=Y")</f>
        <v>—</v>
      </c>
      <c r="J13" s="14" t="str">
        <f>_xll.BDH("SRPT US Equity","GHG_INTENSITY_PER_SALES","FY 2010","FY 2010","Currency=USD","Period=FQ","BEST_FPERIOD_OVERRIDE=FQ","FILING_STATUS=MR","FA_ADJUSTED=GAAP","Sort=A","Dates=H","DateFormat=P","Fill=—","Direction=H","UseDPDF=Y")</f>
        <v>—</v>
      </c>
      <c r="K13" s="14" t="str">
        <f>_xll.BDH("SRPT US Equity","GHG_INTENSITY_PER_SALES","FY 2011","FY 2011","Currency=USD","Period=FQ","BEST_FPERIOD_OVERRIDE=FQ","FILING_STATUS=MR","FA_ADJUSTED=GAAP","Sort=A","Dates=H","DateFormat=P","Fill=—","Direction=H","UseDPDF=Y")</f>
        <v>—</v>
      </c>
      <c r="L13" s="14" t="str">
        <f>_xll.BDH("SRPT US Equity","GHG_INTENSITY_PER_SALES","FY 2012","FY 2012","Currency=USD","Period=FQ","BEST_FPERIOD_OVERRIDE=FQ","FILING_STATUS=MR","FA_ADJUSTED=GAAP","Sort=A","Dates=H","DateFormat=P","Fill=—","Direction=H","UseDPDF=Y")</f>
        <v>—</v>
      </c>
      <c r="M13" s="14" t="str">
        <f>_xll.BDH("SRPT US Equity","GHG_INTENSITY_PER_SALES","FY 2013","FY 2013","Currency=USD","Period=FQ","BEST_FPERIOD_OVERRIDE=FQ","FILING_STATUS=MR","FA_ADJUSTED=GAAP","Sort=A","Dates=H","DateFormat=P","Fill=—","Direction=H","UseDPDF=Y")</f>
        <v>—</v>
      </c>
      <c r="N13" s="14" t="str">
        <f>_xll.BDH("SRPT US Equity","GHG_INTENSITY_PER_SALES","FY 2014","FY 2014","Currency=USD","Period=FQ","BEST_FPERIOD_OVERRIDE=FQ","FILING_STATUS=MR","FA_ADJUSTED=GAAP","Sort=A","Dates=H","DateFormat=P","Fill=—","Direction=H","UseDPDF=Y")</f>
        <v>—</v>
      </c>
      <c r="O13" s="14" t="str">
        <f>_xll.BDH("SRPT US Equity","GHG_INTENSITY_PER_SALES","FY 2015","FY 2015","Currency=USD","Period=FQ","BEST_FPERIOD_OVERRIDE=FQ","FILING_STATUS=MR","FA_ADJUSTED=GAAP","Sort=A","Dates=H","DateFormat=P","Fill=—","Direction=H","UseDPDF=Y")</f>
        <v>—</v>
      </c>
      <c r="P13" s="14" t="str">
        <f>_xll.BDH("SRPT US Equity","GHG_INTENSITY_PER_SALES","FY 2016","FY 2016","Currency=USD","Period=FQ","BEST_FPERIOD_OVERRIDE=FQ","FILING_STATUS=MR","FA_ADJUSTED=GAAP","Sort=A","Dates=H","DateFormat=P","Fill=—","Direction=H","UseDPDF=Y")</f>
        <v>—</v>
      </c>
      <c r="Q13" s="14" t="str">
        <f>_xll.BDH("SRPT US Equity","GHG_INTENSITY_PER_SALES","FY 2017","FY 2017","Currency=USD","Period=FQ","BEST_FPERIOD_OVERRIDE=FQ","FILING_STATUS=MR","FA_ADJUSTED=GAAP","Sort=A","Dates=H","DateFormat=P","Fill=—","Direction=H","UseDPDF=Y")</f>
        <v>—</v>
      </c>
      <c r="R13" s="14" t="str">
        <f>_xll.BDH("SRPT US Equity","GHG_INTENSITY_PER_SALES","FY 2018","FY 2018","Currency=USD","Period=FQ","BEST_FPERIOD_OVERRIDE=FQ","FILING_STATUS=MR","FA_ADJUSTED=GAAP","Sort=A","Dates=H","DateFormat=P","Fill=—","Direction=H","UseDPDF=Y")</f>
        <v>—</v>
      </c>
      <c r="S13" s="14" t="str">
        <f>_xll.BDH("SRPT US Equity","GHG_INTENSITY_PER_SALES","FY 2019","FY 2019","Currency=USD","Period=FQ","BEST_FPERIOD_OVERRIDE=FQ","FILING_STATUS=MR","FA_ADJUSTED=GAAP","Sort=A","Dates=H","DateFormat=P","Fill=—","Direction=H","UseDPDF=Y")</f>
        <v>—</v>
      </c>
      <c r="T13" s="14" t="str">
        <f>_xll.BDH("SRPT US Equity","GHG_INTENSITY_PER_SALES","FY 2020","FY 2020","Currency=USD","Period=FQ","BEST_FPERIOD_OVERRIDE=FQ","FILING_STATUS=MR","FA_ADJUSTED=GAAP","Sort=A","Dates=H","DateFormat=P","Fill=—","Direction=H","UseDPDF=Y")</f>
        <v>—</v>
      </c>
      <c r="U13" s="14" t="str">
        <f>_xll.BDH("SRPT US Equity","GHG_INTENSITY_PER_SALES","FY 2021","FY 2021","Currency=USD","Period=FQ","BEST_FPERIOD_OVERRIDE=FQ","FILING_STATUS=MR","FA_ADJUSTED=GAAP","Sort=A","Dates=H","DateFormat=P","Fill=—","Direction=H","UseDPDF=Y")</f>
        <v>—</v>
      </c>
      <c r="V13" s="14" t="str">
        <f>_xll.BDH("SRPT US Equity","GHG_INTENSITY_PER_SALES","FY 2022","FY 2022","Currency=USD","Period=FQ","BEST_FPERIOD_OVERRIDE=FQ","FILING_STATUS=MR","FA_ADJUSTED=GAAP","Sort=A","Dates=H","DateFormat=P","Fill=—","Direction=H","UseDPDF=Y")</f>
        <v>—</v>
      </c>
      <c r="W13" s="14" t="str">
        <f>_xll.BDH("SRPT US Equity","GHG_INTENSITY_PER_SALES","FY 2023","FY 2023","Currency=USD","Period=FQ","BEST_FPERIOD_OVERRIDE=FQ","FILING_STATUS=MR","FA_ADJUSTED=GAAP","Sort=A","Dates=H","DateFormat=P","Fill=—","Direction=H","UseDPDF=Y")</f>
        <v>—</v>
      </c>
      <c r="X13" s="14" t="str">
        <f>_xll.BDH("SRPT US Equity","GHG_INTENSITY_PER_SALES","FY 2024","FY 2024","Currency=USD","Period=FQ","BEST_FPERIOD_OVERRIDE=FQ","FILING_STATUS=MR","FA_ADJUSTED=GAAP","Sort=A","Dates=H","DateFormat=P","Fill=—","Direction=H","UseDPDF=Y")</f>
        <v>—</v>
      </c>
    </row>
    <row r="14" spans="1:24" x14ac:dyDescent="0.25">
      <c r="A14" s="10" t="s">
        <v>1735</v>
      </c>
      <c r="B14" s="10" t="s">
        <v>1736</v>
      </c>
      <c r="C14" s="14" t="str">
        <f>_xll.BDH("SRPT US Equity","GHG_SCOPE_1_INTENSITY_PER_SALES","FY 2002","FY 2002","Currency=USD","Period=FQ","BEST_FPERIOD_OVERRIDE=FQ","FILING_STATUS=MR","FA_ADJUSTED=GAAP","Sort=A","Dates=H","DateFormat=P","Fill=—","Direction=H","UseDPDF=Y")</f>
        <v>—</v>
      </c>
      <c r="D14" s="14" t="str">
        <f>_xll.BDH("SRPT US Equity","GHG_SCOPE_1_INTENSITY_PER_SALES","FY 2004","FY 2004","Currency=USD","Period=FQ","BEST_FPERIOD_OVERRIDE=FQ","FILING_STATUS=MR","FA_ADJUSTED=GAAP","Sort=A","Dates=H","DateFormat=P","Fill=—","Direction=H","UseDPDF=Y")</f>
        <v>—</v>
      </c>
      <c r="E14" s="14" t="str">
        <f>_xll.BDH("SRPT US Equity","GHG_SCOPE_1_INTENSITY_PER_SALES","FY 2005","FY 2005","Currency=USD","Period=FQ","BEST_FPERIOD_OVERRIDE=FQ","FILING_STATUS=MR","FA_ADJUSTED=GAAP","Sort=A","Dates=H","DateFormat=P","Fill=—","Direction=H","UseDPDF=Y")</f>
        <v>—</v>
      </c>
      <c r="F14" s="14" t="str">
        <f>_xll.BDH("SRPT US Equity","GHG_SCOPE_1_INTENSITY_PER_SALES","FY 2006","FY 2006","Currency=USD","Period=FQ","BEST_FPERIOD_OVERRIDE=FQ","FILING_STATUS=MR","FA_ADJUSTED=GAAP","Sort=A","Dates=H","DateFormat=P","Fill=—","Direction=H","UseDPDF=Y")</f>
        <v>—</v>
      </c>
      <c r="G14" s="14" t="str">
        <f>_xll.BDH("SRPT US Equity","GHG_SCOPE_1_INTENSITY_PER_SALES","FY 2007","FY 2007","Currency=USD","Period=FQ","BEST_FPERIOD_OVERRIDE=FQ","FILING_STATUS=MR","FA_ADJUSTED=GAAP","Sort=A","Dates=H","DateFormat=P","Fill=—","Direction=H","UseDPDF=Y")</f>
        <v>—</v>
      </c>
      <c r="H14" s="14" t="str">
        <f>_xll.BDH("SRPT US Equity","GHG_SCOPE_1_INTENSITY_PER_SALES","FY 2008","FY 2008","Currency=USD","Period=FQ","BEST_FPERIOD_OVERRIDE=FQ","FILING_STATUS=MR","FA_ADJUSTED=GAAP","Sort=A","Dates=H","DateFormat=P","Fill=—","Direction=H","UseDPDF=Y")</f>
        <v>—</v>
      </c>
      <c r="I14" s="14" t="str">
        <f>_xll.BDH("SRPT US Equity","GHG_SCOPE_1_INTENSITY_PER_SALES","FY 2009","FY 2009","Currency=USD","Period=FQ","BEST_FPERIOD_OVERRIDE=FQ","FILING_STATUS=MR","FA_ADJUSTED=GAAP","Sort=A","Dates=H","DateFormat=P","Fill=—","Direction=H","UseDPDF=Y")</f>
        <v>—</v>
      </c>
      <c r="J14" s="14" t="str">
        <f>_xll.BDH("SRPT US Equity","GHG_SCOPE_1_INTENSITY_PER_SALES","FY 2010","FY 2010","Currency=USD","Period=FQ","BEST_FPERIOD_OVERRIDE=FQ","FILING_STATUS=MR","FA_ADJUSTED=GAAP","Sort=A","Dates=H","DateFormat=P","Fill=—","Direction=H","UseDPDF=Y")</f>
        <v>—</v>
      </c>
      <c r="K14" s="14" t="str">
        <f>_xll.BDH("SRPT US Equity","GHG_SCOPE_1_INTENSITY_PER_SALES","FY 2011","FY 2011","Currency=USD","Period=FQ","BEST_FPERIOD_OVERRIDE=FQ","FILING_STATUS=MR","FA_ADJUSTED=GAAP","Sort=A","Dates=H","DateFormat=P","Fill=—","Direction=H","UseDPDF=Y")</f>
        <v>—</v>
      </c>
      <c r="L14" s="14" t="str">
        <f>_xll.BDH("SRPT US Equity","GHG_SCOPE_1_INTENSITY_PER_SALES","FY 2012","FY 2012","Currency=USD","Period=FQ","BEST_FPERIOD_OVERRIDE=FQ","FILING_STATUS=MR","FA_ADJUSTED=GAAP","Sort=A","Dates=H","DateFormat=P","Fill=—","Direction=H","UseDPDF=Y")</f>
        <v>—</v>
      </c>
      <c r="M14" s="14" t="str">
        <f>_xll.BDH("SRPT US Equity","GHG_SCOPE_1_INTENSITY_PER_SALES","FY 2013","FY 2013","Currency=USD","Period=FQ","BEST_FPERIOD_OVERRIDE=FQ","FILING_STATUS=MR","FA_ADJUSTED=GAAP","Sort=A","Dates=H","DateFormat=P","Fill=—","Direction=H","UseDPDF=Y")</f>
        <v>—</v>
      </c>
      <c r="N14" s="14" t="str">
        <f>_xll.BDH("SRPT US Equity","GHG_SCOPE_1_INTENSITY_PER_SALES","FY 2014","FY 2014","Currency=USD","Period=FQ","BEST_FPERIOD_OVERRIDE=FQ","FILING_STATUS=MR","FA_ADJUSTED=GAAP","Sort=A","Dates=H","DateFormat=P","Fill=—","Direction=H","UseDPDF=Y")</f>
        <v>—</v>
      </c>
      <c r="O14" s="14" t="str">
        <f>_xll.BDH("SRPT US Equity","GHG_SCOPE_1_INTENSITY_PER_SALES","FY 2015","FY 2015","Currency=USD","Period=FQ","BEST_FPERIOD_OVERRIDE=FQ","FILING_STATUS=MR","FA_ADJUSTED=GAAP","Sort=A","Dates=H","DateFormat=P","Fill=—","Direction=H","UseDPDF=Y")</f>
        <v>—</v>
      </c>
      <c r="P14" s="14" t="str">
        <f>_xll.BDH("SRPT US Equity","GHG_SCOPE_1_INTENSITY_PER_SALES","FY 2016","FY 2016","Currency=USD","Period=FQ","BEST_FPERIOD_OVERRIDE=FQ","FILING_STATUS=MR","FA_ADJUSTED=GAAP","Sort=A","Dates=H","DateFormat=P","Fill=—","Direction=H","UseDPDF=Y")</f>
        <v>—</v>
      </c>
      <c r="Q14" s="14" t="str">
        <f>_xll.BDH("SRPT US Equity","GHG_SCOPE_1_INTENSITY_PER_SALES","FY 2017","FY 2017","Currency=USD","Period=FQ","BEST_FPERIOD_OVERRIDE=FQ","FILING_STATUS=MR","FA_ADJUSTED=GAAP","Sort=A","Dates=H","DateFormat=P","Fill=—","Direction=H","UseDPDF=Y")</f>
        <v>—</v>
      </c>
      <c r="R14" s="14" t="str">
        <f>_xll.BDH("SRPT US Equity","GHG_SCOPE_1_INTENSITY_PER_SALES","FY 2018","FY 2018","Currency=USD","Period=FQ","BEST_FPERIOD_OVERRIDE=FQ","FILING_STATUS=MR","FA_ADJUSTED=GAAP","Sort=A","Dates=H","DateFormat=P","Fill=—","Direction=H","UseDPDF=Y")</f>
        <v>—</v>
      </c>
      <c r="S14" s="14" t="str">
        <f>_xll.BDH("SRPT US Equity","GHG_SCOPE_1_INTENSITY_PER_SALES","FY 2019","FY 2019","Currency=USD","Period=FQ","BEST_FPERIOD_OVERRIDE=FQ","FILING_STATUS=MR","FA_ADJUSTED=GAAP","Sort=A","Dates=H","DateFormat=P","Fill=—","Direction=H","UseDPDF=Y")</f>
        <v>—</v>
      </c>
      <c r="T14" s="14" t="str">
        <f>_xll.BDH("SRPT US Equity","GHG_SCOPE_1_INTENSITY_PER_SALES","FY 2020","FY 2020","Currency=USD","Period=FQ","BEST_FPERIOD_OVERRIDE=FQ","FILING_STATUS=MR","FA_ADJUSTED=GAAP","Sort=A","Dates=H","DateFormat=P","Fill=—","Direction=H","UseDPDF=Y")</f>
        <v>—</v>
      </c>
      <c r="U14" s="14" t="str">
        <f>_xll.BDH("SRPT US Equity","GHG_SCOPE_1_INTENSITY_PER_SALES","FY 2021","FY 2021","Currency=USD","Period=FQ","BEST_FPERIOD_OVERRIDE=FQ","FILING_STATUS=MR","FA_ADJUSTED=GAAP","Sort=A","Dates=H","DateFormat=P","Fill=—","Direction=H","UseDPDF=Y")</f>
        <v>—</v>
      </c>
      <c r="V14" s="14" t="str">
        <f>_xll.BDH("SRPT US Equity","GHG_SCOPE_1_INTENSITY_PER_SALES","FY 2022","FY 2022","Currency=USD","Period=FQ","BEST_FPERIOD_OVERRIDE=FQ","FILING_STATUS=MR","FA_ADJUSTED=GAAP","Sort=A","Dates=H","DateFormat=P","Fill=—","Direction=H","UseDPDF=Y")</f>
        <v>—</v>
      </c>
      <c r="W14" s="14" t="str">
        <f>_xll.BDH("SRPT US Equity","GHG_SCOPE_1_INTENSITY_PER_SALES","FY 2023","FY 2023","Currency=USD","Period=FQ","BEST_FPERIOD_OVERRIDE=FQ","FILING_STATUS=MR","FA_ADJUSTED=GAAP","Sort=A","Dates=H","DateFormat=P","Fill=—","Direction=H","UseDPDF=Y")</f>
        <v>—</v>
      </c>
      <c r="X14" s="14" t="str">
        <f>_xll.BDH("SRPT US Equity","GHG_SCOPE_1_INTENSITY_PER_SALES","FY 2024","FY 2024","Currency=USD","Period=FQ","BEST_FPERIOD_OVERRIDE=FQ","FILING_STATUS=MR","FA_ADJUSTED=GAAP","Sort=A","Dates=H","DateFormat=P","Fill=—","Direction=H","UseDPDF=Y")</f>
        <v>—</v>
      </c>
    </row>
    <row r="15" spans="1:24" x14ac:dyDescent="0.25">
      <c r="A15" s="10" t="s">
        <v>1737</v>
      </c>
      <c r="B15" s="10" t="s">
        <v>1738</v>
      </c>
      <c r="C15" s="14" t="str">
        <f>_xll.BDH("SRPT US Equity","GHG_SCOPE_2_INTENSITY_PER_SALES","FY 2002","FY 2002","Currency=USD","Period=FQ","BEST_FPERIOD_OVERRIDE=FQ","FILING_STATUS=MR","FA_ADJUSTED=GAAP","Sort=A","Dates=H","DateFormat=P","Fill=—","Direction=H","UseDPDF=Y")</f>
        <v>—</v>
      </c>
      <c r="D15" s="14" t="str">
        <f>_xll.BDH("SRPT US Equity","GHG_SCOPE_2_INTENSITY_PER_SALES","FY 2004","FY 2004","Currency=USD","Period=FQ","BEST_FPERIOD_OVERRIDE=FQ","FILING_STATUS=MR","FA_ADJUSTED=GAAP","Sort=A","Dates=H","DateFormat=P","Fill=—","Direction=H","UseDPDF=Y")</f>
        <v>—</v>
      </c>
      <c r="E15" s="14" t="str">
        <f>_xll.BDH("SRPT US Equity","GHG_SCOPE_2_INTENSITY_PER_SALES","FY 2005","FY 2005","Currency=USD","Period=FQ","BEST_FPERIOD_OVERRIDE=FQ","FILING_STATUS=MR","FA_ADJUSTED=GAAP","Sort=A","Dates=H","DateFormat=P","Fill=—","Direction=H","UseDPDF=Y")</f>
        <v>—</v>
      </c>
      <c r="F15" s="14" t="str">
        <f>_xll.BDH("SRPT US Equity","GHG_SCOPE_2_INTENSITY_PER_SALES","FY 2006","FY 2006","Currency=USD","Period=FQ","BEST_FPERIOD_OVERRIDE=FQ","FILING_STATUS=MR","FA_ADJUSTED=GAAP","Sort=A","Dates=H","DateFormat=P","Fill=—","Direction=H","UseDPDF=Y")</f>
        <v>—</v>
      </c>
      <c r="G15" s="14" t="str">
        <f>_xll.BDH("SRPT US Equity","GHG_SCOPE_2_INTENSITY_PER_SALES","FY 2007","FY 2007","Currency=USD","Period=FQ","BEST_FPERIOD_OVERRIDE=FQ","FILING_STATUS=MR","FA_ADJUSTED=GAAP","Sort=A","Dates=H","DateFormat=P","Fill=—","Direction=H","UseDPDF=Y")</f>
        <v>—</v>
      </c>
      <c r="H15" s="14" t="str">
        <f>_xll.BDH("SRPT US Equity","GHG_SCOPE_2_INTENSITY_PER_SALES","FY 2008","FY 2008","Currency=USD","Period=FQ","BEST_FPERIOD_OVERRIDE=FQ","FILING_STATUS=MR","FA_ADJUSTED=GAAP","Sort=A","Dates=H","DateFormat=P","Fill=—","Direction=H","UseDPDF=Y")</f>
        <v>—</v>
      </c>
      <c r="I15" s="14" t="str">
        <f>_xll.BDH("SRPT US Equity","GHG_SCOPE_2_INTENSITY_PER_SALES","FY 2009","FY 2009","Currency=USD","Period=FQ","BEST_FPERIOD_OVERRIDE=FQ","FILING_STATUS=MR","FA_ADJUSTED=GAAP","Sort=A","Dates=H","DateFormat=P","Fill=—","Direction=H","UseDPDF=Y")</f>
        <v>—</v>
      </c>
      <c r="J15" s="14" t="str">
        <f>_xll.BDH("SRPT US Equity","GHG_SCOPE_2_INTENSITY_PER_SALES","FY 2010","FY 2010","Currency=USD","Period=FQ","BEST_FPERIOD_OVERRIDE=FQ","FILING_STATUS=MR","FA_ADJUSTED=GAAP","Sort=A","Dates=H","DateFormat=P","Fill=—","Direction=H","UseDPDF=Y")</f>
        <v>—</v>
      </c>
      <c r="K15" s="14" t="str">
        <f>_xll.BDH("SRPT US Equity","GHG_SCOPE_2_INTENSITY_PER_SALES","FY 2011","FY 2011","Currency=USD","Period=FQ","BEST_FPERIOD_OVERRIDE=FQ","FILING_STATUS=MR","FA_ADJUSTED=GAAP","Sort=A","Dates=H","DateFormat=P","Fill=—","Direction=H","UseDPDF=Y")</f>
        <v>—</v>
      </c>
      <c r="L15" s="14" t="str">
        <f>_xll.BDH("SRPT US Equity","GHG_SCOPE_2_INTENSITY_PER_SALES","FY 2012","FY 2012","Currency=USD","Period=FQ","BEST_FPERIOD_OVERRIDE=FQ","FILING_STATUS=MR","FA_ADJUSTED=GAAP","Sort=A","Dates=H","DateFormat=P","Fill=—","Direction=H","UseDPDF=Y")</f>
        <v>—</v>
      </c>
      <c r="M15" s="14" t="str">
        <f>_xll.BDH("SRPT US Equity","GHG_SCOPE_2_INTENSITY_PER_SALES","FY 2013","FY 2013","Currency=USD","Period=FQ","BEST_FPERIOD_OVERRIDE=FQ","FILING_STATUS=MR","FA_ADJUSTED=GAAP","Sort=A","Dates=H","DateFormat=P","Fill=—","Direction=H","UseDPDF=Y")</f>
        <v>—</v>
      </c>
      <c r="N15" s="14" t="str">
        <f>_xll.BDH("SRPT US Equity","GHG_SCOPE_2_INTENSITY_PER_SALES","FY 2014","FY 2014","Currency=USD","Period=FQ","BEST_FPERIOD_OVERRIDE=FQ","FILING_STATUS=MR","FA_ADJUSTED=GAAP","Sort=A","Dates=H","DateFormat=P","Fill=—","Direction=H","UseDPDF=Y")</f>
        <v>—</v>
      </c>
      <c r="O15" s="14" t="str">
        <f>_xll.BDH("SRPT US Equity","GHG_SCOPE_2_INTENSITY_PER_SALES","FY 2015","FY 2015","Currency=USD","Period=FQ","BEST_FPERIOD_OVERRIDE=FQ","FILING_STATUS=MR","FA_ADJUSTED=GAAP","Sort=A","Dates=H","DateFormat=P","Fill=—","Direction=H","UseDPDF=Y")</f>
        <v>—</v>
      </c>
      <c r="P15" s="14" t="str">
        <f>_xll.BDH("SRPT US Equity","GHG_SCOPE_2_INTENSITY_PER_SALES","FY 2016","FY 2016","Currency=USD","Period=FQ","BEST_FPERIOD_OVERRIDE=FQ","FILING_STATUS=MR","FA_ADJUSTED=GAAP","Sort=A","Dates=H","DateFormat=P","Fill=—","Direction=H","UseDPDF=Y")</f>
        <v>—</v>
      </c>
      <c r="Q15" s="14" t="str">
        <f>_xll.BDH("SRPT US Equity","GHG_SCOPE_2_INTENSITY_PER_SALES","FY 2017","FY 2017","Currency=USD","Period=FQ","BEST_FPERIOD_OVERRIDE=FQ","FILING_STATUS=MR","FA_ADJUSTED=GAAP","Sort=A","Dates=H","DateFormat=P","Fill=—","Direction=H","UseDPDF=Y")</f>
        <v>—</v>
      </c>
      <c r="R15" s="14" t="str">
        <f>_xll.BDH("SRPT US Equity","GHG_SCOPE_2_INTENSITY_PER_SALES","FY 2018","FY 2018","Currency=USD","Period=FQ","BEST_FPERIOD_OVERRIDE=FQ","FILING_STATUS=MR","FA_ADJUSTED=GAAP","Sort=A","Dates=H","DateFormat=P","Fill=—","Direction=H","UseDPDF=Y")</f>
        <v>—</v>
      </c>
      <c r="S15" s="14" t="str">
        <f>_xll.BDH("SRPT US Equity","GHG_SCOPE_2_INTENSITY_PER_SALES","FY 2019","FY 2019","Currency=USD","Period=FQ","BEST_FPERIOD_OVERRIDE=FQ","FILING_STATUS=MR","FA_ADJUSTED=GAAP","Sort=A","Dates=H","DateFormat=P","Fill=—","Direction=H","UseDPDF=Y")</f>
        <v>—</v>
      </c>
      <c r="T15" s="14" t="str">
        <f>_xll.BDH("SRPT US Equity","GHG_SCOPE_2_INTENSITY_PER_SALES","FY 2020","FY 2020","Currency=USD","Period=FQ","BEST_FPERIOD_OVERRIDE=FQ","FILING_STATUS=MR","FA_ADJUSTED=GAAP","Sort=A","Dates=H","DateFormat=P","Fill=—","Direction=H","UseDPDF=Y")</f>
        <v>—</v>
      </c>
      <c r="U15" s="14" t="str">
        <f>_xll.BDH("SRPT US Equity","GHG_SCOPE_2_INTENSITY_PER_SALES","FY 2021","FY 2021","Currency=USD","Period=FQ","BEST_FPERIOD_OVERRIDE=FQ","FILING_STATUS=MR","FA_ADJUSTED=GAAP","Sort=A","Dates=H","DateFormat=P","Fill=—","Direction=H","UseDPDF=Y")</f>
        <v>—</v>
      </c>
      <c r="V15" s="14" t="str">
        <f>_xll.BDH("SRPT US Equity","GHG_SCOPE_2_INTENSITY_PER_SALES","FY 2022","FY 2022","Currency=USD","Period=FQ","BEST_FPERIOD_OVERRIDE=FQ","FILING_STATUS=MR","FA_ADJUSTED=GAAP","Sort=A","Dates=H","DateFormat=P","Fill=—","Direction=H","UseDPDF=Y")</f>
        <v>—</v>
      </c>
      <c r="W15" s="14" t="str">
        <f>_xll.BDH("SRPT US Equity","GHG_SCOPE_2_INTENSITY_PER_SALES","FY 2023","FY 2023","Currency=USD","Period=FQ","BEST_FPERIOD_OVERRIDE=FQ","FILING_STATUS=MR","FA_ADJUSTED=GAAP","Sort=A","Dates=H","DateFormat=P","Fill=—","Direction=H","UseDPDF=Y")</f>
        <v>—</v>
      </c>
      <c r="X15" s="14" t="str">
        <f>_xll.BDH("SRPT US Equity","GHG_SCOPE_2_INTENSITY_PER_SALES","FY 2024","FY 2024","Currency=USD","Period=FQ","BEST_FPERIOD_OVERRIDE=FQ","FILING_STATUS=MR","FA_ADJUSTED=GAAP","Sort=A","Dates=H","DateFormat=P","Fill=—","Direction=H","UseDPDF=Y")</f>
        <v>—</v>
      </c>
    </row>
    <row r="16" spans="1:24" x14ac:dyDescent="0.25">
      <c r="A16" s="10" t="s">
        <v>1739</v>
      </c>
      <c r="B16" s="10" t="s">
        <v>1740</v>
      </c>
      <c r="C16" s="14" t="str">
        <f>_xll.BDH("SRPT US Equity","TOT_GHG_CO2_EM_INT_P_GR_FXD_AST","FY 2002","FY 2002","Currency=USD","Period=FQ","BEST_FPERIOD_OVERRIDE=FQ","FILING_STATUS=MR","Sort=A","Dates=H","DateFormat=P","Fill=—","Direction=H","UseDPDF=Y")</f>
        <v>—</v>
      </c>
      <c r="D16" s="14" t="str">
        <f>_xll.BDH("SRPT US Equity","TOT_GHG_CO2_EM_INT_P_GR_FXD_AST","FY 2004","FY 2004","Currency=USD","Period=FQ","BEST_FPERIOD_OVERRIDE=FQ","FILING_STATUS=MR","Sort=A","Dates=H","DateFormat=P","Fill=—","Direction=H","UseDPDF=Y")</f>
        <v>—</v>
      </c>
      <c r="E16" s="14" t="str">
        <f>_xll.BDH("SRPT US Equity","TOT_GHG_CO2_EM_INT_P_GR_FXD_AST","FY 2005","FY 2005","Currency=USD","Period=FQ","BEST_FPERIOD_OVERRIDE=FQ","FILING_STATUS=MR","Sort=A","Dates=H","DateFormat=P","Fill=—","Direction=H","UseDPDF=Y")</f>
        <v>—</v>
      </c>
      <c r="F16" s="14" t="str">
        <f>_xll.BDH("SRPT US Equity","TOT_GHG_CO2_EM_INT_P_GR_FXD_AST","FY 2006","FY 2006","Currency=USD","Period=FQ","BEST_FPERIOD_OVERRIDE=FQ","FILING_STATUS=MR","Sort=A","Dates=H","DateFormat=P","Fill=—","Direction=H","UseDPDF=Y")</f>
        <v>—</v>
      </c>
      <c r="G16" s="14" t="str">
        <f>_xll.BDH("SRPT US Equity","TOT_GHG_CO2_EM_INT_P_GR_FXD_AST","FY 2007","FY 2007","Currency=USD","Period=FQ","BEST_FPERIOD_OVERRIDE=FQ","FILING_STATUS=MR","Sort=A","Dates=H","DateFormat=P","Fill=—","Direction=H","UseDPDF=Y")</f>
        <v>—</v>
      </c>
      <c r="H16" s="14" t="str">
        <f>_xll.BDH("SRPT US Equity","TOT_GHG_CO2_EM_INT_P_GR_FXD_AST","FY 2008","FY 2008","Currency=USD","Period=FQ","BEST_FPERIOD_OVERRIDE=FQ","FILING_STATUS=MR","Sort=A","Dates=H","DateFormat=P","Fill=—","Direction=H","UseDPDF=Y")</f>
        <v>—</v>
      </c>
      <c r="I16" s="14" t="str">
        <f>_xll.BDH("SRPT US Equity","TOT_GHG_CO2_EM_INT_P_GR_FXD_AST","FY 2009","FY 2009","Currency=USD","Period=FQ","BEST_FPERIOD_OVERRIDE=FQ","FILING_STATUS=MR","Sort=A","Dates=H","DateFormat=P","Fill=—","Direction=H","UseDPDF=Y")</f>
        <v>—</v>
      </c>
      <c r="J16" s="14" t="str">
        <f>_xll.BDH("SRPT US Equity","TOT_GHG_CO2_EM_INT_P_GR_FXD_AST","FY 2010","FY 2010","Currency=USD","Period=FQ","BEST_FPERIOD_OVERRIDE=FQ","FILING_STATUS=MR","Sort=A","Dates=H","DateFormat=P","Fill=—","Direction=H","UseDPDF=Y")</f>
        <v>—</v>
      </c>
      <c r="K16" s="14" t="str">
        <f>_xll.BDH("SRPT US Equity","TOT_GHG_CO2_EM_INT_P_GR_FXD_AST","FY 2011","FY 2011","Currency=USD","Period=FQ","BEST_FPERIOD_OVERRIDE=FQ","FILING_STATUS=MR","Sort=A","Dates=H","DateFormat=P","Fill=—","Direction=H","UseDPDF=Y")</f>
        <v>—</v>
      </c>
      <c r="L16" s="14" t="str">
        <f>_xll.BDH("SRPT US Equity","TOT_GHG_CO2_EM_INT_P_GR_FXD_AST","FY 2012","FY 2012","Currency=USD","Period=FQ","BEST_FPERIOD_OVERRIDE=FQ","FILING_STATUS=MR","Sort=A","Dates=H","DateFormat=P","Fill=—","Direction=H","UseDPDF=Y")</f>
        <v>—</v>
      </c>
      <c r="M16" s="14" t="str">
        <f>_xll.BDH("SRPT US Equity","TOT_GHG_CO2_EM_INT_P_GR_FXD_AST","FY 2013","FY 2013","Currency=USD","Period=FQ","BEST_FPERIOD_OVERRIDE=FQ","FILING_STATUS=MR","Sort=A","Dates=H","DateFormat=P","Fill=—","Direction=H","UseDPDF=Y")</f>
        <v>—</v>
      </c>
      <c r="N16" s="14" t="str">
        <f>_xll.BDH("SRPT US Equity","TOT_GHG_CO2_EM_INT_P_GR_FXD_AST","FY 2014","FY 2014","Currency=USD","Period=FQ","BEST_FPERIOD_OVERRIDE=FQ","FILING_STATUS=MR","Sort=A","Dates=H","DateFormat=P","Fill=—","Direction=H","UseDPDF=Y")</f>
        <v>—</v>
      </c>
      <c r="O16" s="14" t="str">
        <f>_xll.BDH("SRPT US Equity","TOT_GHG_CO2_EM_INT_P_GR_FXD_AST","FY 2015","FY 2015","Currency=USD","Period=FQ","BEST_FPERIOD_OVERRIDE=FQ","FILING_STATUS=MR","Sort=A","Dates=H","DateFormat=P","Fill=—","Direction=H","UseDPDF=Y")</f>
        <v>—</v>
      </c>
      <c r="P16" s="14" t="str">
        <f>_xll.BDH("SRPT US Equity","TOT_GHG_CO2_EM_INT_P_GR_FXD_AST","FY 2016","FY 2016","Currency=USD","Period=FQ","BEST_FPERIOD_OVERRIDE=FQ","FILING_STATUS=MR","Sort=A","Dates=H","DateFormat=P","Fill=—","Direction=H","UseDPDF=Y")</f>
        <v>—</v>
      </c>
      <c r="Q16" s="14" t="str">
        <f>_xll.BDH("SRPT US Equity","TOT_GHG_CO2_EM_INT_P_GR_FXD_AST","FY 2017","FY 2017","Currency=USD","Period=FQ","BEST_FPERIOD_OVERRIDE=FQ","FILING_STATUS=MR","Sort=A","Dates=H","DateFormat=P","Fill=—","Direction=H","UseDPDF=Y")</f>
        <v>—</v>
      </c>
      <c r="R16" s="14" t="str">
        <f>_xll.BDH("SRPT US Equity","TOT_GHG_CO2_EM_INT_P_GR_FXD_AST","FY 2018","FY 2018","Currency=USD","Period=FQ","BEST_FPERIOD_OVERRIDE=FQ","FILING_STATUS=MR","Sort=A","Dates=H","DateFormat=P","Fill=—","Direction=H","UseDPDF=Y")</f>
        <v>—</v>
      </c>
      <c r="S16" s="14" t="str">
        <f>_xll.BDH("SRPT US Equity","TOT_GHG_CO2_EM_INT_P_GR_FXD_AST","FY 2019","FY 2019","Currency=USD","Period=FQ","BEST_FPERIOD_OVERRIDE=FQ","FILING_STATUS=MR","Sort=A","Dates=H","DateFormat=P","Fill=—","Direction=H","UseDPDF=Y")</f>
        <v>—</v>
      </c>
      <c r="T16" s="14" t="str">
        <f>_xll.BDH("SRPT US Equity","TOT_GHG_CO2_EM_INT_P_GR_FXD_AST","FY 2020","FY 2020","Currency=USD","Period=FQ","BEST_FPERIOD_OVERRIDE=FQ","FILING_STATUS=MR","Sort=A","Dates=H","DateFormat=P","Fill=—","Direction=H","UseDPDF=Y")</f>
        <v>—</v>
      </c>
      <c r="U16" s="14" t="str">
        <f>_xll.BDH("SRPT US Equity","TOT_GHG_CO2_EM_INT_P_GR_FXD_AST","FY 2021","FY 2021","Currency=USD","Period=FQ","BEST_FPERIOD_OVERRIDE=FQ","FILING_STATUS=MR","Sort=A","Dates=H","DateFormat=P","Fill=—","Direction=H","UseDPDF=Y")</f>
        <v>—</v>
      </c>
      <c r="V16" s="14" t="str">
        <f>_xll.BDH("SRPT US Equity","TOT_GHG_CO2_EM_INT_P_GR_FXD_AST","FY 2022","FY 2022","Currency=USD","Period=FQ","BEST_FPERIOD_OVERRIDE=FQ","FILING_STATUS=MR","Sort=A","Dates=H","DateFormat=P","Fill=—","Direction=H","UseDPDF=Y")</f>
        <v>—</v>
      </c>
      <c r="W16" s="14" t="str">
        <f>_xll.BDH("SRPT US Equity","TOT_GHG_CO2_EM_INT_P_GR_FXD_AST","FY 2023","FY 2023","Currency=USD","Period=FQ","BEST_FPERIOD_OVERRIDE=FQ","FILING_STATUS=MR","Sort=A","Dates=H","DateFormat=P","Fill=—","Direction=H","UseDPDF=Y")</f>
        <v>—</v>
      </c>
      <c r="X16" s="14" t="str">
        <f>_xll.BDH("SRPT US Equity","TOT_GHG_CO2_EM_INT_P_GR_FXD_AST","FY 2024","FY 2024","Currency=USD","Period=FQ","BEST_FPERIOD_OVERRIDE=FQ","FILING_STATUS=MR","Sort=A","Dates=H","DateFormat=P","Fill=—","Direction=H","UseDPDF=Y")</f>
        <v>—</v>
      </c>
    </row>
    <row r="17" spans="1:24" x14ac:dyDescent="0.25">
      <c r="A17" s="10" t="s">
        <v>1741</v>
      </c>
      <c r="B17" s="10" t="s">
        <v>1742</v>
      </c>
      <c r="C17" s="14" t="str">
        <f>_xll.BDH("SRPT US Equity","TOT_GHG_CO2_EM_INT_P_NT_FXD_AST","FY 2002","FY 2002","Currency=USD","Period=FQ","BEST_FPERIOD_OVERRIDE=FQ","FILING_STATUS=MR","Sort=A","Dates=H","DateFormat=P","Fill=—","Direction=H","UseDPDF=Y")</f>
        <v>—</v>
      </c>
      <c r="D17" s="14" t="str">
        <f>_xll.BDH("SRPT US Equity","TOT_GHG_CO2_EM_INT_P_NT_FXD_AST","FY 2004","FY 2004","Currency=USD","Period=FQ","BEST_FPERIOD_OVERRIDE=FQ","FILING_STATUS=MR","Sort=A","Dates=H","DateFormat=P","Fill=—","Direction=H","UseDPDF=Y")</f>
        <v>—</v>
      </c>
      <c r="E17" s="14" t="str">
        <f>_xll.BDH("SRPT US Equity","TOT_GHG_CO2_EM_INT_P_NT_FXD_AST","FY 2005","FY 2005","Currency=USD","Period=FQ","BEST_FPERIOD_OVERRIDE=FQ","FILING_STATUS=MR","Sort=A","Dates=H","DateFormat=P","Fill=—","Direction=H","UseDPDF=Y")</f>
        <v>—</v>
      </c>
      <c r="F17" s="14" t="str">
        <f>_xll.BDH("SRPT US Equity","TOT_GHG_CO2_EM_INT_P_NT_FXD_AST","FY 2006","FY 2006","Currency=USD","Period=FQ","BEST_FPERIOD_OVERRIDE=FQ","FILING_STATUS=MR","Sort=A","Dates=H","DateFormat=P","Fill=—","Direction=H","UseDPDF=Y")</f>
        <v>—</v>
      </c>
      <c r="G17" s="14" t="str">
        <f>_xll.BDH("SRPT US Equity","TOT_GHG_CO2_EM_INT_P_NT_FXD_AST","FY 2007","FY 2007","Currency=USD","Period=FQ","BEST_FPERIOD_OVERRIDE=FQ","FILING_STATUS=MR","Sort=A","Dates=H","DateFormat=P","Fill=—","Direction=H","UseDPDF=Y")</f>
        <v>—</v>
      </c>
      <c r="H17" s="14" t="str">
        <f>_xll.BDH("SRPT US Equity","TOT_GHG_CO2_EM_INT_P_NT_FXD_AST","FY 2008","FY 2008","Currency=USD","Period=FQ","BEST_FPERIOD_OVERRIDE=FQ","FILING_STATUS=MR","Sort=A","Dates=H","DateFormat=P","Fill=—","Direction=H","UseDPDF=Y")</f>
        <v>—</v>
      </c>
      <c r="I17" s="14" t="str">
        <f>_xll.BDH("SRPT US Equity","TOT_GHG_CO2_EM_INT_P_NT_FXD_AST","FY 2009","FY 2009","Currency=USD","Period=FQ","BEST_FPERIOD_OVERRIDE=FQ","FILING_STATUS=MR","Sort=A","Dates=H","DateFormat=P","Fill=—","Direction=H","UseDPDF=Y")</f>
        <v>—</v>
      </c>
      <c r="J17" s="14" t="str">
        <f>_xll.BDH("SRPT US Equity","TOT_GHG_CO2_EM_INT_P_NT_FXD_AST","FY 2010","FY 2010","Currency=USD","Period=FQ","BEST_FPERIOD_OVERRIDE=FQ","FILING_STATUS=MR","Sort=A","Dates=H","DateFormat=P","Fill=—","Direction=H","UseDPDF=Y")</f>
        <v>—</v>
      </c>
      <c r="K17" s="14" t="str">
        <f>_xll.BDH("SRPT US Equity","TOT_GHG_CO2_EM_INT_P_NT_FXD_AST","FY 2011","FY 2011","Currency=USD","Period=FQ","BEST_FPERIOD_OVERRIDE=FQ","FILING_STATUS=MR","Sort=A","Dates=H","DateFormat=P","Fill=—","Direction=H","UseDPDF=Y")</f>
        <v>—</v>
      </c>
      <c r="L17" s="14" t="str">
        <f>_xll.BDH("SRPT US Equity","TOT_GHG_CO2_EM_INT_P_NT_FXD_AST","FY 2012","FY 2012","Currency=USD","Period=FQ","BEST_FPERIOD_OVERRIDE=FQ","FILING_STATUS=MR","Sort=A","Dates=H","DateFormat=P","Fill=—","Direction=H","UseDPDF=Y")</f>
        <v>—</v>
      </c>
      <c r="M17" s="14" t="str">
        <f>_xll.BDH("SRPT US Equity","TOT_GHG_CO2_EM_INT_P_NT_FXD_AST","FY 2013","FY 2013","Currency=USD","Period=FQ","BEST_FPERIOD_OVERRIDE=FQ","FILING_STATUS=MR","Sort=A","Dates=H","DateFormat=P","Fill=—","Direction=H","UseDPDF=Y")</f>
        <v>—</v>
      </c>
      <c r="N17" s="14" t="str">
        <f>_xll.BDH("SRPT US Equity","TOT_GHG_CO2_EM_INT_P_NT_FXD_AST","FY 2014","FY 2014","Currency=USD","Period=FQ","BEST_FPERIOD_OVERRIDE=FQ","FILING_STATUS=MR","Sort=A","Dates=H","DateFormat=P","Fill=—","Direction=H","UseDPDF=Y")</f>
        <v>—</v>
      </c>
      <c r="O17" s="14" t="str">
        <f>_xll.BDH("SRPT US Equity","TOT_GHG_CO2_EM_INT_P_NT_FXD_AST","FY 2015","FY 2015","Currency=USD","Period=FQ","BEST_FPERIOD_OVERRIDE=FQ","FILING_STATUS=MR","Sort=A","Dates=H","DateFormat=P","Fill=—","Direction=H","UseDPDF=Y")</f>
        <v>—</v>
      </c>
      <c r="P17" s="14" t="str">
        <f>_xll.BDH("SRPT US Equity","TOT_GHG_CO2_EM_INT_P_NT_FXD_AST","FY 2016","FY 2016","Currency=USD","Period=FQ","BEST_FPERIOD_OVERRIDE=FQ","FILING_STATUS=MR","Sort=A","Dates=H","DateFormat=P","Fill=—","Direction=H","UseDPDF=Y")</f>
        <v>—</v>
      </c>
      <c r="Q17" s="14" t="str">
        <f>_xll.BDH("SRPT US Equity","TOT_GHG_CO2_EM_INT_P_NT_FXD_AST","FY 2017","FY 2017","Currency=USD","Period=FQ","BEST_FPERIOD_OVERRIDE=FQ","FILING_STATUS=MR","Sort=A","Dates=H","DateFormat=P","Fill=—","Direction=H","UseDPDF=Y")</f>
        <v>—</v>
      </c>
      <c r="R17" s="14" t="str">
        <f>_xll.BDH("SRPT US Equity","TOT_GHG_CO2_EM_INT_P_NT_FXD_AST","FY 2018","FY 2018","Currency=USD","Period=FQ","BEST_FPERIOD_OVERRIDE=FQ","FILING_STATUS=MR","Sort=A","Dates=H","DateFormat=P","Fill=—","Direction=H","UseDPDF=Y")</f>
        <v>—</v>
      </c>
      <c r="S17" s="14" t="str">
        <f>_xll.BDH("SRPT US Equity","TOT_GHG_CO2_EM_INT_P_NT_FXD_AST","FY 2019","FY 2019","Currency=USD","Period=FQ","BEST_FPERIOD_OVERRIDE=FQ","FILING_STATUS=MR","Sort=A","Dates=H","DateFormat=P","Fill=—","Direction=H","UseDPDF=Y")</f>
        <v>—</v>
      </c>
      <c r="T17" s="14" t="str">
        <f>_xll.BDH("SRPT US Equity","TOT_GHG_CO2_EM_INT_P_NT_FXD_AST","FY 2020","FY 2020","Currency=USD","Period=FQ","BEST_FPERIOD_OVERRIDE=FQ","FILING_STATUS=MR","Sort=A","Dates=H","DateFormat=P","Fill=—","Direction=H","UseDPDF=Y")</f>
        <v>—</v>
      </c>
      <c r="U17" s="14" t="str">
        <f>_xll.BDH("SRPT US Equity","TOT_GHG_CO2_EM_INT_P_NT_FXD_AST","FY 2021","FY 2021","Currency=USD","Period=FQ","BEST_FPERIOD_OVERRIDE=FQ","FILING_STATUS=MR","Sort=A","Dates=H","DateFormat=P","Fill=—","Direction=H","UseDPDF=Y")</f>
        <v>—</v>
      </c>
      <c r="V17" s="14" t="str">
        <f>_xll.BDH("SRPT US Equity","TOT_GHG_CO2_EM_INT_P_NT_FXD_AST","FY 2022","FY 2022","Currency=USD","Period=FQ","BEST_FPERIOD_OVERRIDE=FQ","FILING_STATUS=MR","Sort=A","Dates=H","DateFormat=P","Fill=—","Direction=H","UseDPDF=Y")</f>
        <v>—</v>
      </c>
      <c r="W17" s="14" t="str">
        <f>_xll.BDH("SRPT US Equity","TOT_GHG_CO2_EM_INT_P_NT_FXD_AST","FY 2023","FY 2023","Currency=USD","Period=FQ","BEST_FPERIOD_OVERRIDE=FQ","FILING_STATUS=MR","Sort=A","Dates=H","DateFormat=P","Fill=—","Direction=H","UseDPDF=Y")</f>
        <v>—</v>
      </c>
      <c r="X17" s="14" t="str">
        <f>_xll.BDH("SRPT US Equity","TOT_GHG_CO2_EM_INT_P_NT_FXD_AST","FY 2024","FY 2024","Currency=USD","Period=FQ","BEST_FPERIOD_OVERRIDE=FQ","FILING_STATUS=MR","Sort=A","Dates=H","DateFormat=P","Fill=—","Direction=H","UseDPDF=Y")</f>
        <v>—</v>
      </c>
    </row>
    <row r="18" spans="1:24" x14ac:dyDescent="0.25">
      <c r="A18" s="10" t="s">
        <v>1743</v>
      </c>
      <c r="B18" s="10" t="s">
        <v>1744</v>
      </c>
      <c r="C18" s="14" t="str">
        <f>_xll.BDH("SRPT US Equity","GHG_INTENSITY_PER_EMPLOYEE","FY 2002","FY 2002","Currency=USD","Period=FQ","BEST_FPERIOD_OVERRIDE=FQ","FILING_STATUS=MR","Sort=A","Dates=H","DateFormat=P","Fill=—","Direction=H","UseDPDF=Y")</f>
        <v>—</v>
      </c>
      <c r="D18" s="14" t="str">
        <f>_xll.BDH("SRPT US Equity","GHG_INTENSITY_PER_EMPLOYEE","FY 2004","FY 2004","Currency=USD","Period=FQ","BEST_FPERIOD_OVERRIDE=FQ","FILING_STATUS=MR","Sort=A","Dates=H","DateFormat=P","Fill=—","Direction=H","UseDPDF=Y")</f>
        <v>—</v>
      </c>
      <c r="E18" s="14" t="str">
        <f>_xll.BDH("SRPT US Equity","GHG_INTENSITY_PER_EMPLOYEE","FY 2005","FY 2005","Currency=USD","Period=FQ","BEST_FPERIOD_OVERRIDE=FQ","FILING_STATUS=MR","Sort=A","Dates=H","DateFormat=P","Fill=—","Direction=H","UseDPDF=Y")</f>
        <v>—</v>
      </c>
      <c r="F18" s="14" t="str">
        <f>_xll.BDH("SRPT US Equity","GHG_INTENSITY_PER_EMPLOYEE","FY 2006","FY 2006","Currency=USD","Period=FQ","BEST_FPERIOD_OVERRIDE=FQ","FILING_STATUS=MR","Sort=A","Dates=H","DateFormat=P","Fill=—","Direction=H","UseDPDF=Y")</f>
        <v>—</v>
      </c>
      <c r="G18" s="14" t="str">
        <f>_xll.BDH("SRPT US Equity","GHG_INTENSITY_PER_EMPLOYEE","FY 2007","FY 2007","Currency=USD","Period=FQ","BEST_FPERIOD_OVERRIDE=FQ","FILING_STATUS=MR","Sort=A","Dates=H","DateFormat=P","Fill=—","Direction=H","UseDPDF=Y")</f>
        <v>—</v>
      </c>
      <c r="H18" s="14" t="str">
        <f>_xll.BDH("SRPT US Equity","GHG_INTENSITY_PER_EMPLOYEE","FY 2008","FY 2008","Currency=USD","Period=FQ","BEST_FPERIOD_OVERRIDE=FQ","FILING_STATUS=MR","Sort=A","Dates=H","DateFormat=P","Fill=—","Direction=H","UseDPDF=Y")</f>
        <v>—</v>
      </c>
      <c r="I18" s="14" t="str">
        <f>_xll.BDH("SRPT US Equity","GHG_INTENSITY_PER_EMPLOYEE","FY 2009","FY 2009","Currency=USD","Period=FQ","BEST_FPERIOD_OVERRIDE=FQ","FILING_STATUS=MR","Sort=A","Dates=H","DateFormat=P","Fill=—","Direction=H","UseDPDF=Y")</f>
        <v>—</v>
      </c>
      <c r="J18" s="14" t="str">
        <f>_xll.BDH("SRPT US Equity","GHG_INTENSITY_PER_EMPLOYEE","FY 2010","FY 2010","Currency=USD","Period=FQ","BEST_FPERIOD_OVERRIDE=FQ","FILING_STATUS=MR","Sort=A","Dates=H","DateFormat=P","Fill=—","Direction=H","UseDPDF=Y")</f>
        <v>—</v>
      </c>
      <c r="K18" s="14" t="str">
        <f>_xll.BDH("SRPT US Equity","GHG_INTENSITY_PER_EMPLOYEE","FY 2011","FY 2011","Currency=USD","Period=FQ","BEST_FPERIOD_OVERRIDE=FQ","FILING_STATUS=MR","Sort=A","Dates=H","DateFormat=P","Fill=—","Direction=H","UseDPDF=Y")</f>
        <v>—</v>
      </c>
      <c r="L18" s="14" t="str">
        <f>_xll.BDH("SRPT US Equity","GHG_INTENSITY_PER_EMPLOYEE","FY 2012","FY 2012","Currency=USD","Period=FQ","BEST_FPERIOD_OVERRIDE=FQ","FILING_STATUS=MR","Sort=A","Dates=H","DateFormat=P","Fill=—","Direction=H","UseDPDF=Y")</f>
        <v>—</v>
      </c>
      <c r="M18" s="14" t="str">
        <f>_xll.BDH("SRPT US Equity","GHG_INTENSITY_PER_EMPLOYEE","FY 2013","FY 2013","Currency=USD","Period=FQ","BEST_FPERIOD_OVERRIDE=FQ","FILING_STATUS=MR","Sort=A","Dates=H","DateFormat=P","Fill=—","Direction=H","UseDPDF=Y")</f>
        <v>—</v>
      </c>
      <c r="N18" s="14" t="str">
        <f>_xll.BDH("SRPT US Equity","GHG_INTENSITY_PER_EMPLOYEE","FY 2014","FY 2014","Currency=USD","Period=FQ","BEST_FPERIOD_OVERRIDE=FQ","FILING_STATUS=MR","Sort=A","Dates=H","DateFormat=P","Fill=—","Direction=H","UseDPDF=Y")</f>
        <v>—</v>
      </c>
      <c r="O18" s="14" t="str">
        <f>_xll.BDH("SRPT US Equity","GHG_INTENSITY_PER_EMPLOYEE","FY 2015","FY 2015","Currency=USD","Period=FQ","BEST_FPERIOD_OVERRIDE=FQ","FILING_STATUS=MR","Sort=A","Dates=H","DateFormat=P","Fill=—","Direction=H","UseDPDF=Y")</f>
        <v>—</v>
      </c>
      <c r="P18" s="14" t="str">
        <f>_xll.BDH("SRPT US Equity","GHG_INTENSITY_PER_EMPLOYEE","FY 2016","FY 2016","Currency=USD","Period=FQ","BEST_FPERIOD_OVERRIDE=FQ","FILING_STATUS=MR","Sort=A","Dates=H","DateFormat=P","Fill=—","Direction=H","UseDPDF=Y")</f>
        <v>—</v>
      </c>
      <c r="Q18" s="14" t="str">
        <f>_xll.BDH("SRPT US Equity","GHG_INTENSITY_PER_EMPLOYEE","FY 2017","FY 2017","Currency=USD","Period=FQ","BEST_FPERIOD_OVERRIDE=FQ","FILING_STATUS=MR","Sort=A","Dates=H","DateFormat=P","Fill=—","Direction=H","UseDPDF=Y")</f>
        <v>—</v>
      </c>
      <c r="R18" s="14" t="str">
        <f>_xll.BDH("SRPT US Equity","GHG_INTENSITY_PER_EMPLOYEE","FY 2018","FY 2018","Currency=USD","Period=FQ","BEST_FPERIOD_OVERRIDE=FQ","FILING_STATUS=MR","Sort=A","Dates=H","DateFormat=P","Fill=—","Direction=H","UseDPDF=Y")</f>
        <v>—</v>
      </c>
      <c r="S18" s="14" t="str">
        <f>_xll.BDH("SRPT US Equity","GHG_INTENSITY_PER_EMPLOYEE","FY 2019","FY 2019","Currency=USD","Period=FQ","BEST_FPERIOD_OVERRIDE=FQ","FILING_STATUS=MR","Sort=A","Dates=H","DateFormat=P","Fill=—","Direction=H","UseDPDF=Y")</f>
        <v>—</v>
      </c>
      <c r="T18" s="14" t="str">
        <f>_xll.BDH("SRPT US Equity","GHG_INTENSITY_PER_EMPLOYEE","FY 2020","FY 2020","Currency=USD","Period=FQ","BEST_FPERIOD_OVERRIDE=FQ","FILING_STATUS=MR","Sort=A","Dates=H","DateFormat=P","Fill=—","Direction=H","UseDPDF=Y")</f>
        <v>—</v>
      </c>
      <c r="U18" s="14" t="str">
        <f>_xll.BDH("SRPT US Equity","GHG_INTENSITY_PER_EMPLOYEE","FY 2021","FY 2021","Currency=USD","Period=FQ","BEST_FPERIOD_OVERRIDE=FQ","FILING_STATUS=MR","Sort=A","Dates=H","DateFormat=P","Fill=—","Direction=H","UseDPDF=Y")</f>
        <v>—</v>
      </c>
      <c r="V18" s="14" t="str">
        <f>_xll.BDH("SRPT US Equity","GHG_INTENSITY_PER_EMPLOYEE","FY 2022","FY 2022","Currency=USD","Period=FQ","BEST_FPERIOD_OVERRIDE=FQ","FILING_STATUS=MR","Sort=A","Dates=H","DateFormat=P","Fill=—","Direction=H","UseDPDF=Y")</f>
        <v>—</v>
      </c>
      <c r="W18" s="14" t="str">
        <f>_xll.BDH("SRPT US Equity","GHG_INTENSITY_PER_EMPLOYEE","FY 2023","FY 2023","Currency=USD","Period=FQ","BEST_FPERIOD_OVERRIDE=FQ","FILING_STATUS=MR","Sort=A","Dates=H","DateFormat=P","Fill=—","Direction=H","UseDPDF=Y")</f>
        <v>—</v>
      </c>
      <c r="X18" s="14" t="str">
        <f>_xll.BDH("SRPT US Equity","GHG_INTENSITY_PER_EMPLOYEE","FY 2024","FY 2024","Currency=USD","Period=FQ","BEST_FPERIOD_OVERRIDE=FQ","FILING_STATUS=MR","Sort=A","Dates=H","DateFormat=P","Fill=—","Direction=H","UseDPDF=Y")</f>
        <v>—</v>
      </c>
    </row>
    <row r="19" spans="1:24" x14ac:dyDescent="0.25">
      <c r="A19" s="10" t="s">
        <v>1745</v>
      </c>
      <c r="B19" s="10" t="s">
        <v>1746</v>
      </c>
      <c r="C19" s="14" t="str">
        <f>_xll.BDH("SRPT US Equity","GHG_INTENSITY_PER_ASSETS","FY 2002","FY 2002","Currency=USD","Period=FQ","BEST_FPERIOD_OVERRIDE=FQ","FILING_STATUS=MR","Sort=A","Dates=H","DateFormat=P","Fill=—","Direction=H","UseDPDF=Y")</f>
        <v>—</v>
      </c>
      <c r="D19" s="14" t="str">
        <f>_xll.BDH("SRPT US Equity","GHG_INTENSITY_PER_ASSETS","FY 2004","FY 2004","Currency=USD","Period=FQ","BEST_FPERIOD_OVERRIDE=FQ","FILING_STATUS=MR","Sort=A","Dates=H","DateFormat=P","Fill=—","Direction=H","UseDPDF=Y")</f>
        <v>—</v>
      </c>
      <c r="E19" s="14" t="str">
        <f>_xll.BDH("SRPT US Equity","GHG_INTENSITY_PER_ASSETS","FY 2005","FY 2005","Currency=USD","Period=FQ","BEST_FPERIOD_OVERRIDE=FQ","FILING_STATUS=MR","Sort=A","Dates=H","DateFormat=P","Fill=—","Direction=H","UseDPDF=Y")</f>
        <v>—</v>
      </c>
      <c r="F19" s="14" t="str">
        <f>_xll.BDH("SRPT US Equity","GHG_INTENSITY_PER_ASSETS","FY 2006","FY 2006","Currency=USD","Period=FQ","BEST_FPERIOD_OVERRIDE=FQ","FILING_STATUS=MR","Sort=A","Dates=H","DateFormat=P","Fill=—","Direction=H","UseDPDF=Y")</f>
        <v>—</v>
      </c>
      <c r="G19" s="14" t="str">
        <f>_xll.BDH("SRPT US Equity","GHG_INTENSITY_PER_ASSETS","FY 2007","FY 2007","Currency=USD","Period=FQ","BEST_FPERIOD_OVERRIDE=FQ","FILING_STATUS=MR","Sort=A","Dates=H","DateFormat=P","Fill=—","Direction=H","UseDPDF=Y")</f>
        <v>—</v>
      </c>
      <c r="H19" s="14" t="str">
        <f>_xll.BDH("SRPT US Equity","GHG_INTENSITY_PER_ASSETS","FY 2008","FY 2008","Currency=USD","Period=FQ","BEST_FPERIOD_OVERRIDE=FQ","FILING_STATUS=MR","Sort=A","Dates=H","DateFormat=P","Fill=—","Direction=H","UseDPDF=Y")</f>
        <v>—</v>
      </c>
      <c r="I19" s="14" t="str">
        <f>_xll.BDH("SRPT US Equity","GHG_INTENSITY_PER_ASSETS","FY 2009","FY 2009","Currency=USD","Period=FQ","BEST_FPERIOD_OVERRIDE=FQ","FILING_STATUS=MR","Sort=A","Dates=H","DateFormat=P","Fill=—","Direction=H","UseDPDF=Y")</f>
        <v>—</v>
      </c>
      <c r="J19" s="14" t="str">
        <f>_xll.BDH("SRPT US Equity","GHG_INTENSITY_PER_ASSETS","FY 2010","FY 2010","Currency=USD","Period=FQ","BEST_FPERIOD_OVERRIDE=FQ","FILING_STATUS=MR","Sort=A","Dates=H","DateFormat=P","Fill=—","Direction=H","UseDPDF=Y")</f>
        <v>—</v>
      </c>
      <c r="K19" s="14" t="str">
        <f>_xll.BDH("SRPT US Equity","GHG_INTENSITY_PER_ASSETS","FY 2011","FY 2011","Currency=USD","Period=FQ","BEST_FPERIOD_OVERRIDE=FQ","FILING_STATUS=MR","Sort=A","Dates=H","DateFormat=P","Fill=—","Direction=H","UseDPDF=Y")</f>
        <v>—</v>
      </c>
      <c r="L19" s="14" t="str">
        <f>_xll.BDH("SRPT US Equity","GHG_INTENSITY_PER_ASSETS","FY 2012","FY 2012","Currency=USD","Period=FQ","BEST_FPERIOD_OVERRIDE=FQ","FILING_STATUS=MR","Sort=A","Dates=H","DateFormat=P","Fill=—","Direction=H","UseDPDF=Y")</f>
        <v>—</v>
      </c>
      <c r="M19" s="14" t="str">
        <f>_xll.BDH("SRPT US Equity","GHG_INTENSITY_PER_ASSETS","FY 2013","FY 2013","Currency=USD","Period=FQ","BEST_FPERIOD_OVERRIDE=FQ","FILING_STATUS=MR","Sort=A","Dates=H","DateFormat=P","Fill=—","Direction=H","UseDPDF=Y")</f>
        <v>—</v>
      </c>
      <c r="N19" s="14" t="str">
        <f>_xll.BDH("SRPT US Equity","GHG_INTENSITY_PER_ASSETS","FY 2014","FY 2014","Currency=USD","Period=FQ","BEST_FPERIOD_OVERRIDE=FQ","FILING_STATUS=MR","Sort=A","Dates=H","DateFormat=P","Fill=—","Direction=H","UseDPDF=Y")</f>
        <v>—</v>
      </c>
      <c r="O19" s="14" t="str">
        <f>_xll.BDH("SRPT US Equity","GHG_INTENSITY_PER_ASSETS","FY 2015","FY 2015","Currency=USD","Period=FQ","BEST_FPERIOD_OVERRIDE=FQ","FILING_STATUS=MR","Sort=A","Dates=H","DateFormat=P","Fill=—","Direction=H","UseDPDF=Y")</f>
        <v>—</v>
      </c>
      <c r="P19" s="14" t="str">
        <f>_xll.BDH("SRPT US Equity","GHG_INTENSITY_PER_ASSETS","FY 2016","FY 2016","Currency=USD","Period=FQ","BEST_FPERIOD_OVERRIDE=FQ","FILING_STATUS=MR","Sort=A","Dates=H","DateFormat=P","Fill=—","Direction=H","UseDPDF=Y")</f>
        <v>—</v>
      </c>
      <c r="Q19" s="14" t="str">
        <f>_xll.BDH("SRPT US Equity","GHG_INTENSITY_PER_ASSETS","FY 2017","FY 2017","Currency=USD","Period=FQ","BEST_FPERIOD_OVERRIDE=FQ","FILING_STATUS=MR","Sort=A","Dates=H","DateFormat=P","Fill=—","Direction=H","UseDPDF=Y")</f>
        <v>—</v>
      </c>
      <c r="R19" s="14" t="str">
        <f>_xll.BDH("SRPT US Equity","GHG_INTENSITY_PER_ASSETS","FY 2018","FY 2018","Currency=USD","Period=FQ","BEST_FPERIOD_OVERRIDE=FQ","FILING_STATUS=MR","Sort=A","Dates=H","DateFormat=P","Fill=—","Direction=H","UseDPDF=Y")</f>
        <v>—</v>
      </c>
      <c r="S19" s="14" t="str">
        <f>_xll.BDH("SRPT US Equity","GHG_INTENSITY_PER_ASSETS","FY 2019","FY 2019","Currency=USD","Period=FQ","BEST_FPERIOD_OVERRIDE=FQ","FILING_STATUS=MR","Sort=A","Dates=H","DateFormat=P","Fill=—","Direction=H","UseDPDF=Y")</f>
        <v>—</v>
      </c>
      <c r="T19" s="14" t="str">
        <f>_xll.BDH("SRPT US Equity","GHG_INTENSITY_PER_ASSETS","FY 2020","FY 2020","Currency=USD","Period=FQ","BEST_FPERIOD_OVERRIDE=FQ","FILING_STATUS=MR","Sort=A","Dates=H","DateFormat=P","Fill=—","Direction=H","UseDPDF=Y")</f>
        <v>—</v>
      </c>
      <c r="U19" s="14" t="str">
        <f>_xll.BDH("SRPT US Equity","GHG_INTENSITY_PER_ASSETS","FY 2021","FY 2021","Currency=USD","Period=FQ","BEST_FPERIOD_OVERRIDE=FQ","FILING_STATUS=MR","Sort=A","Dates=H","DateFormat=P","Fill=—","Direction=H","UseDPDF=Y")</f>
        <v>—</v>
      </c>
      <c r="V19" s="14" t="str">
        <f>_xll.BDH("SRPT US Equity","GHG_INTENSITY_PER_ASSETS","FY 2022","FY 2022","Currency=USD","Period=FQ","BEST_FPERIOD_OVERRIDE=FQ","FILING_STATUS=MR","Sort=A","Dates=H","DateFormat=P","Fill=—","Direction=H","UseDPDF=Y")</f>
        <v>—</v>
      </c>
      <c r="W19" s="14" t="str">
        <f>_xll.BDH("SRPT US Equity","GHG_INTENSITY_PER_ASSETS","FY 2023","FY 2023","Currency=USD","Period=FQ","BEST_FPERIOD_OVERRIDE=FQ","FILING_STATUS=MR","Sort=A","Dates=H","DateFormat=P","Fill=—","Direction=H","UseDPDF=Y")</f>
        <v>—</v>
      </c>
      <c r="X19" s="14" t="str">
        <f>_xll.BDH("SRPT US Equity","GHG_INTENSITY_PER_ASSETS","FY 2024","FY 2024","Currency=USD","Period=FQ","BEST_FPERIOD_OVERRIDE=FQ","FILING_STATUS=MR","Sort=A","Dates=H","DateFormat=P","Fill=—","Direction=H","UseDPDF=Y")</f>
        <v>—</v>
      </c>
    </row>
    <row r="20" spans="1:24" x14ac:dyDescent="0.25">
      <c r="A20" s="1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 spans="1:24" x14ac:dyDescent="0.25">
      <c r="A21" s="6" t="s">
        <v>1747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4" x14ac:dyDescent="0.25">
      <c r="A23" s="6" t="s">
        <v>1748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x14ac:dyDescent="0.25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 spans="1:24" x14ac:dyDescent="0.25">
      <c r="A25" s="6" t="s">
        <v>1749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x14ac:dyDescent="0.25">
      <c r="A26" s="10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24" x14ac:dyDescent="0.25">
      <c r="A27" s="6" t="s">
        <v>1750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x14ac:dyDescent="0.25">
      <c r="A28" s="10" t="s">
        <v>1751</v>
      </c>
      <c r="B28" s="10" t="s">
        <v>1752</v>
      </c>
      <c r="C28" s="14" t="str">
        <f>_xll.BDH("SRPT US Equity","WASTE_INTENSITY_PER_EMPLOYEE","FY 2002","FY 2002","Currency=USD","Period=FQ","BEST_FPERIOD_OVERRIDE=FQ","FILING_STATUS=MR","Sort=A","Dates=H","DateFormat=P","Fill=—","Direction=H","UseDPDF=Y")</f>
        <v>—</v>
      </c>
      <c r="D28" s="14" t="str">
        <f>_xll.BDH("SRPT US Equity","WASTE_INTENSITY_PER_EMPLOYEE","FY 2004","FY 2004","Currency=USD","Period=FQ","BEST_FPERIOD_OVERRIDE=FQ","FILING_STATUS=MR","Sort=A","Dates=H","DateFormat=P","Fill=—","Direction=H","UseDPDF=Y")</f>
        <v>—</v>
      </c>
      <c r="E28" s="14" t="str">
        <f>_xll.BDH("SRPT US Equity","WASTE_INTENSITY_PER_EMPLOYEE","FY 2005","FY 2005","Currency=USD","Period=FQ","BEST_FPERIOD_OVERRIDE=FQ","FILING_STATUS=MR","Sort=A","Dates=H","DateFormat=P","Fill=—","Direction=H","UseDPDF=Y")</f>
        <v>—</v>
      </c>
      <c r="F28" s="14" t="str">
        <f>_xll.BDH("SRPT US Equity","WASTE_INTENSITY_PER_EMPLOYEE","FY 2006","FY 2006","Currency=USD","Period=FQ","BEST_FPERIOD_OVERRIDE=FQ","FILING_STATUS=MR","Sort=A","Dates=H","DateFormat=P","Fill=—","Direction=H","UseDPDF=Y")</f>
        <v>—</v>
      </c>
      <c r="G28" s="14" t="str">
        <f>_xll.BDH("SRPT US Equity","WASTE_INTENSITY_PER_EMPLOYEE","FY 2007","FY 2007","Currency=USD","Period=FQ","BEST_FPERIOD_OVERRIDE=FQ","FILING_STATUS=MR","Sort=A","Dates=H","DateFormat=P","Fill=—","Direction=H","UseDPDF=Y")</f>
        <v>—</v>
      </c>
      <c r="H28" s="14" t="str">
        <f>_xll.BDH("SRPT US Equity","WASTE_INTENSITY_PER_EMPLOYEE","FY 2008","FY 2008","Currency=USD","Period=FQ","BEST_FPERIOD_OVERRIDE=FQ","FILING_STATUS=MR","Sort=A","Dates=H","DateFormat=P","Fill=—","Direction=H","UseDPDF=Y")</f>
        <v>—</v>
      </c>
      <c r="I28" s="14" t="str">
        <f>_xll.BDH("SRPT US Equity","WASTE_INTENSITY_PER_EMPLOYEE","FY 2009","FY 2009","Currency=USD","Period=FQ","BEST_FPERIOD_OVERRIDE=FQ","FILING_STATUS=MR","Sort=A","Dates=H","DateFormat=P","Fill=—","Direction=H","UseDPDF=Y")</f>
        <v>—</v>
      </c>
      <c r="J28" s="14" t="str">
        <f>_xll.BDH("SRPT US Equity","WASTE_INTENSITY_PER_EMPLOYEE","FY 2010","FY 2010","Currency=USD","Period=FQ","BEST_FPERIOD_OVERRIDE=FQ","FILING_STATUS=MR","Sort=A","Dates=H","DateFormat=P","Fill=—","Direction=H","UseDPDF=Y")</f>
        <v>—</v>
      </c>
      <c r="K28" s="14" t="str">
        <f>_xll.BDH("SRPT US Equity","WASTE_INTENSITY_PER_EMPLOYEE","FY 2011","FY 2011","Currency=USD","Period=FQ","BEST_FPERIOD_OVERRIDE=FQ","FILING_STATUS=MR","Sort=A","Dates=H","DateFormat=P","Fill=—","Direction=H","UseDPDF=Y")</f>
        <v>—</v>
      </c>
      <c r="L28" s="14" t="str">
        <f>_xll.BDH("SRPT US Equity","WASTE_INTENSITY_PER_EMPLOYEE","FY 2012","FY 2012","Currency=USD","Period=FQ","BEST_FPERIOD_OVERRIDE=FQ","FILING_STATUS=MR","Sort=A","Dates=H","DateFormat=P","Fill=—","Direction=H","UseDPDF=Y")</f>
        <v>—</v>
      </c>
      <c r="M28" s="14" t="str">
        <f>_xll.BDH("SRPT US Equity","WASTE_INTENSITY_PER_EMPLOYEE","FY 2013","FY 2013","Currency=USD","Period=FQ","BEST_FPERIOD_OVERRIDE=FQ","FILING_STATUS=MR","Sort=A","Dates=H","DateFormat=P","Fill=—","Direction=H","UseDPDF=Y")</f>
        <v>—</v>
      </c>
      <c r="N28" s="14" t="str">
        <f>_xll.BDH("SRPT US Equity","WASTE_INTENSITY_PER_EMPLOYEE","FY 2014","FY 2014","Currency=USD","Period=FQ","BEST_FPERIOD_OVERRIDE=FQ","FILING_STATUS=MR","Sort=A","Dates=H","DateFormat=P","Fill=—","Direction=H","UseDPDF=Y")</f>
        <v>—</v>
      </c>
      <c r="O28" s="14" t="str">
        <f>_xll.BDH("SRPT US Equity","WASTE_INTENSITY_PER_EMPLOYEE","FY 2015","FY 2015","Currency=USD","Period=FQ","BEST_FPERIOD_OVERRIDE=FQ","FILING_STATUS=MR","Sort=A","Dates=H","DateFormat=P","Fill=—","Direction=H","UseDPDF=Y")</f>
        <v>—</v>
      </c>
      <c r="P28" s="14" t="str">
        <f>_xll.BDH("SRPT US Equity","WASTE_INTENSITY_PER_EMPLOYEE","FY 2016","FY 2016","Currency=USD","Period=FQ","BEST_FPERIOD_OVERRIDE=FQ","FILING_STATUS=MR","Sort=A","Dates=H","DateFormat=P","Fill=—","Direction=H","UseDPDF=Y")</f>
        <v>—</v>
      </c>
      <c r="Q28" s="14" t="str">
        <f>_xll.BDH("SRPT US Equity","WASTE_INTENSITY_PER_EMPLOYEE","FY 2017","FY 2017","Currency=USD","Period=FQ","BEST_FPERIOD_OVERRIDE=FQ","FILING_STATUS=MR","Sort=A","Dates=H","DateFormat=P","Fill=—","Direction=H","UseDPDF=Y")</f>
        <v>—</v>
      </c>
      <c r="R28" s="14" t="str">
        <f>_xll.BDH("SRPT US Equity","WASTE_INTENSITY_PER_EMPLOYEE","FY 2018","FY 2018","Currency=USD","Period=FQ","BEST_FPERIOD_OVERRIDE=FQ","FILING_STATUS=MR","Sort=A","Dates=H","DateFormat=P","Fill=—","Direction=H","UseDPDF=Y")</f>
        <v>—</v>
      </c>
      <c r="S28" s="14" t="str">
        <f>_xll.BDH("SRPT US Equity","WASTE_INTENSITY_PER_EMPLOYEE","FY 2019","FY 2019","Currency=USD","Period=FQ","BEST_FPERIOD_OVERRIDE=FQ","FILING_STATUS=MR","Sort=A","Dates=H","DateFormat=P","Fill=—","Direction=H","UseDPDF=Y")</f>
        <v>—</v>
      </c>
      <c r="T28" s="14" t="str">
        <f>_xll.BDH("SRPT US Equity","WASTE_INTENSITY_PER_EMPLOYEE","FY 2020","FY 2020","Currency=USD","Period=FQ","BEST_FPERIOD_OVERRIDE=FQ","FILING_STATUS=MR","Sort=A","Dates=H","DateFormat=P","Fill=—","Direction=H","UseDPDF=Y")</f>
        <v>—</v>
      </c>
      <c r="U28" s="14" t="str">
        <f>_xll.BDH("SRPT US Equity","WASTE_INTENSITY_PER_EMPLOYEE","FY 2021","FY 2021","Currency=USD","Period=FQ","BEST_FPERIOD_OVERRIDE=FQ","FILING_STATUS=MR","Sort=A","Dates=H","DateFormat=P","Fill=—","Direction=H","UseDPDF=Y")</f>
        <v>—</v>
      </c>
      <c r="V28" s="14" t="str">
        <f>_xll.BDH("SRPT US Equity","WASTE_INTENSITY_PER_EMPLOYEE","FY 2022","FY 2022","Currency=USD","Period=FQ","BEST_FPERIOD_OVERRIDE=FQ","FILING_STATUS=MR","Sort=A","Dates=H","DateFormat=P","Fill=—","Direction=H","UseDPDF=Y")</f>
        <v>—</v>
      </c>
      <c r="W28" s="14" t="str">
        <f>_xll.BDH("SRPT US Equity","WASTE_INTENSITY_PER_EMPLOYEE","FY 2023","FY 2023","Currency=USD","Period=FQ","BEST_FPERIOD_OVERRIDE=FQ","FILING_STATUS=MR","Sort=A","Dates=H","DateFormat=P","Fill=—","Direction=H","UseDPDF=Y")</f>
        <v>—</v>
      </c>
      <c r="X28" s="14" t="str">
        <f>_xll.BDH("SRPT US Equity","WASTE_INTENSITY_PER_EMPLOYEE","FY 2024","FY 2024","Currency=USD","Period=FQ","BEST_FPERIOD_OVERRIDE=FQ","FILING_STATUS=MR","Sort=A","Dates=H","DateFormat=P","Fill=—","Direction=H","UseDPDF=Y")</f>
        <v>—</v>
      </c>
    </row>
    <row r="29" spans="1:24" x14ac:dyDescent="0.25">
      <c r="A29" s="10" t="s">
        <v>1753</v>
      </c>
      <c r="B29" s="10" t="s">
        <v>1754</v>
      </c>
      <c r="C29" s="14" t="str">
        <f>_xll.BDH("SRPT US Equity","WASTE_GENERATED_PER_ASSETS","FY 2002","FY 2002","Currency=USD","Period=FQ","BEST_FPERIOD_OVERRIDE=FQ","FILING_STATUS=MR","Sort=A","Dates=H","DateFormat=P","Fill=—","Direction=H","UseDPDF=Y")</f>
        <v>—</v>
      </c>
      <c r="D29" s="14" t="str">
        <f>_xll.BDH("SRPT US Equity","WASTE_GENERATED_PER_ASSETS","FY 2004","FY 2004","Currency=USD","Period=FQ","BEST_FPERIOD_OVERRIDE=FQ","FILING_STATUS=MR","Sort=A","Dates=H","DateFormat=P","Fill=—","Direction=H","UseDPDF=Y")</f>
        <v>—</v>
      </c>
      <c r="E29" s="14" t="str">
        <f>_xll.BDH("SRPT US Equity","WASTE_GENERATED_PER_ASSETS","FY 2005","FY 2005","Currency=USD","Period=FQ","BEST_FPERIOD_OVERRIDE=FQ","FILING_STATUS=MR","Sort=A","Dates=H","DateFormat=P","Fill=—","Direction=H","UseDPDF=Y")</f>
        <v>—</v>
      </c>
      <c r="F29" s="14" t="str">
        <f>_xll.BDH("SRPT US Equity","WASTE_GENERATED_PER_ASSETS","FY 2006","FY 2006","Currency=USD","Period=FQ","BEST_FPERIOD_OVERRIDE=FQ","FILING_STATUS=MR","Sort=A","Dates=H","DateFormat=P","Fill=—","Direction=H","UseDPDF=Y")</f>
        <v>—</v>
      </c>
      <c r="G29" s="14" t="str">
        <f>_xll.BDH("SRPT US Equity","WASTE_GENERATED_PER_ASSETS","FY 2007","FY 2007","Currency=USD","Period=FQ","BEST_FPERIOD_OVERRIDE=FQ","FILING_STATUS=MR","Sort=A","Dates=H","DateFormat=P","Fill=—","Direction=H","UseDPDF=Y")</f>
        <v>—</v>
      </c>
      <c r="H29" s="14" t="str">
        <f>_xll.BDH("SRPT US Equity","WASTE_GENERATED_PER_ASSETS","FY 2008","FY 2008","Currency=USD","Period=FQ","BEST_FPERIOD_OVERRIDE=FQ","FILING_STATUS=MR","Sort=A","Dates=H","DateFormat=P","Fill=—","Direction=H","UseDPDF=Y")</f>
        <v>—</v>
      </c>
      <c r="I29" s="14" t="str">
        <f>_xll.BDH("SRPT US Equity","WASTE_GENERATED_PER_ASSETS","FY 2009","FY 2009","Currency=USD","Period=FQ","BEST_FPERIOD_OVERRIDE=FQ","FILING_STATUS=MR","Sort=A","Dates=H","DateFormat=P","Fill=—","Direction=H","UseDPDF=Y")</f>
        <v>—</v>
      </c>
      <c r="J29" s="14" t="str">
        <f>_xll.BDH("SRPT US Equity","WASTE_GENERATED_PER_ASSETS","FY 2010","FY 2010","Currency=USD","Period=FQ","BEST_FPERIOD_OVERRIDE=FQ","FILING_STATUS=MR","Sort=A","Dates=H","DateFormat=P","Fill=—","Direction=H","UseDPDF=Y")</f>
        <v>—</v>
      </c>
      <c r="K29" s="14" t="str">
        <f>_xll.BDH("SRPT US Equity","WASTE_GENERATED_PER_ASSETS","FY 2011","FY 2011","Currency=USD","Period=FQ","BEST_FPERIOD_OVERRIDE=FQ","FILING_STATUS=MR","Sort=A","Dates=H","DateFormat=P","Fill=—","Direction=H","UseDPDF=Y")</f>
        <v>—</v>
      </c>
      <c r="L29" s="14" t="str">
        <f>_xll.BDH("SRPT US Equity","WASTE_GENERATED_PER_ASSETS","FY 2012","FY 2012","Currency=USD","Period=FQ","BEST_FPERIOD_OVERRIDE=FQ","FILING_STATUS=MR","Sort=A","Dates=H","DateFormat=P","Fill=—","Direction=H","UseDPDF=Y")</f>
        <v>—</v>
      </c>
      <c r="M29" s="14" t="str">
        <f>_xll.BDH("SRPT US Equity","WASTE_GENERATED_PER_ASSETS","FY 2013","FY 2013","Currency=USD","Period=FQ","BEST_FPERIOD_OVERRIDE=FQ","FILING_STATUS=MR","Sort=A","Dates=H","DateFormat=P","Fill=—","Direction=H","UseDPDF=Y")</f>
        <v>—</v>
      </c>
      <c r="N29" s="14" t="str">
        <f>_xll.BDH("SRPT US Equity","WASTE_GENERATED_PER_ASSETS","FY 2014","FY 2014","Currency=USD","Period=FQ","BEST_FPERIOD_OVERRIDE=FQ","FILING_STATUS=MR","Sort=A","Dates=H","DateFormat=P","Fill=—","Direction=H","UseDPDF=Y")</f>
        <v>—</v>
      </c>
      <c r="O29" s="14" t="str">
        <f>_xll.BDH("SRPT US Equity","WASTE_GENERATED_PER_ASSETS","FY 2015","FY 2015","Currency=USD","Period=FQ","BEST_FPERIOD_OVERRIDE=FQ","FILING_STATUS=MR","Sort=A","Dates=H","DateFormat=P","Fill=—","Direction=H","UseDPDF=Y")</f>
        <v>—</v>
      </c>
      <c r="P29" s="14" t="str">
        <f>_xll.BDH("SRPT US Equity","WASTE_GENERATED_PER_ASSETS","FY 2016","FY 2016","Currency=USD","Period=FQ","BEST_FPERIOD_OVERRIDE=FQ","FILING_STATUS=MR","Sort=A","Dates=H","DateFormat=P","Fill=—","Direction=H","UseDPDF=Y")</f>
        <v>—</v>
      </c>
      <c r="Q29" s="14" t="str">
        <f>_xll.BDH("SRPT US Equity","WASTE_GENERATED_PER_ASSETS","FY 2017","FY 2017","Currency=USD","Period=FQ","BEST_FPERIOD_OVERRIDE=FQ","FILING_STATUS=MR","Sort=A","Dates=H","DateFormat=P","Fill=—","Direction=H","UseDPDF=Y")</f>
        <v>—</v>
      </c>
      <c r="R29" s="14" t="str">
        <f>_xll.BDH("SRPT US Equity","WASTE_GENERATED_PER_ASSETS","FY 2018","FY 2018","Currency=USD","Period=FQ","BEST_FPERIOD_OVERRIDE=FQ","FILING_STATUS=MR","Sort=A","Dates=H","DateFormat=P","Fill=—","Direction=H","UseDPDF=Y")</f>
        <v>—</v>
      </c>
      <c r="S29" s="14" t="str">
        <f>_xll.BDH("SRPT US Equity","WASTE_GENERATED_PER_ASSETS","FY 2019","FY 2019","Currency=USD","Period=FQ","BEST_FPERIOD_OVERRIDE=FQ","FILING_STATUS=MR","Sort=A","Dates=H","DateFormat=P","Fill=—","Direction=H","UseDPDF=Y")</f>
        <v>—</v>
      </c>
      <c r="T29" s="14" t="str">
        <f>_xll.BDH("SRPT US Equity","WASTE_GENERATED_PER_ASSETS","FY 2020","FY 2020","Currency=USD","Period=FQ","BEST_FPERIOD_OVERRIDE=FQ","FILING_STATUS=MR","Sort=A","Dates=H","DateFormat=P","Fill=—","Direction=H","UseDPDF=Y")</f>
        <v>—</v>
      </c>
      <c r="U29" s="14" t="str">
        <f>_xll.BDH("SRPT US Equity","WASTE_GENERATED_PER_ASSETS","FY 2021","FY 2021","Currency=USD","Period=FQ","BEST_FPERIOD_OVERRIDE=FQ","FILING_STATUS=MR","Sort=A","Dates=H","DateFormat=P","Fill=—","Direction=H","UseDPDF=Y")</f>
        <v>—</v>
      </c>
      <c r="V29" s="14" t="str">
        <f>_xll.BDH("SRPT US Equity","WASTE_GENERATED_PER_ASSETS","FY 2022","FY 2022","Currency=USD","Period=FQ","BEST_FPERIOD_OVERRIDE=FQ","FILING_STATUS=MR","Sort=A","Dates=H","DateFormat=P","Fill=—","Direction=H","UseDPDF=Y")</f>
        <v>—</v>
      </c>
      <c r="W29" s="14" t="str">
        <f>_xll.BDH("SRPT US Equity","WASTE_GENERATED_PER_ASSETS","FY 2023","FY 2023","Currency=USD","Period=FQ","BEST_FPERIOD_OVERRIDE=FQ","FILING_STATUS=MR","Sort=A","Dates=H","DateFormat=P","Fill=—","Direction=H","UseDPDF=Y")</f>
        <v>—</v>
      </c>
      <c r="X29" s="14" t="str">
        <f>_xll.BDH("SRPT US Equity","WASTE_GENERATED_PER_ASSETS","FY 2024","FY 2024","Currency=USD","Period=FQ","BEST_FPERIOD_OVERRIDE=FQ","FILING_STATUS=MR","Sort=A","Dates=H","DateFormat=P","Fill=—","Direction=H","UseDPDF=Y")</f>
        <v>—</v>
      </c>
    </row>
    <row r="30" spans="1:24" x14ac:dyDescent="0.25">
      <c r="A30" s="10" t="s">
        <v>1755</v>
      </c>
      <c r="B30" s="10" t="s">
        <v>1756</v>
      </c>
      <c r="C30" s="14" t="str">
        <f>_xll.BDH("SRPT US Equity","WASTE_GENERATED_PER_SALES","FY 2002","FY 2002","Currency=USD","Period=FQ","BEST_FPERIOD_OVERRIDE=FQ","FILING_STATUS=MR","FA_ADJUSTED=GAAP","Sort=A","Dates=H","DateFormat=P","Fill=—","Direction=H","UseDPDF=Y")</f>
        <v>—</v>
      </c>
      <c r="D30" s="14" t="str">
        <f>_xll.BDH("SRPT US Equity","WASTE_GENERATED_PER_SALES","FY 2004","FY 2004","Currency=USD","Period=FQ","BEST_FPERIOD_OVERRIDE=FQ","FILING_STATUS=MR","FA_ADJUSTED=GAAP","Sort=A","Dates=H","DateFormat=P","Fill=—","Direction=H","UseDPDF=Y")</f>
        <v>—</v>
      </c>
      <c r="E30" s="14" t="str">
        <f>_xll.BDH("SRPT US Equity","WASTE_GENERATED_PER_SALES","FY 2005","FY 2005","Currency=USD","Period=FQ","BEST_FPERIOD_OVERRIDE=FQ","FILING_STATUS=MR","FA_ADJUSTED=GAAP","Sort=A","Dates=H","DateFormat=P","Fill=—","Direction=H","UseDPDF=Y")</f>
        <v>—</v>
      </c>
      <c r="F30" s="14" t="str">
        <f>_xll.BDH("SRPT US Equity","WASTE_GENERATED_PER_SALES","FY 2006","FY 2006","Currency=USD","Period=FQ","BEST_FPERIOD_OVERRIDE=FQ","FILING_STATUS=MR","FA_ADJUSTED=GAAP","Sort=A","Dates=H","DateFormat=P","Fill=—","Direction=H","UseDPDF=Y")</f>
        <v>—</v>
      </c>
      <c r="G30" s="14" t="str">
        <f>_xll.BDH("SRPT US Equity","WASTE_GENERATED_PER_SALES","FY 2007","FY 2007","Currency=USD","Period=FQ","BEST_FPERIOD_OVERRIDE=FQ","FILING_STATUS=MR","FA_ADJUSTED=GAAP","Sort=A","Dates=H","DateFormat=P","Fill=—","Direction=H","UseDPDF=Y")</f>
        <v>—</v>
      </c>
      <c r="H30" s="14" t="str">
        <f>_xll.BDH("SRPT US Equity","WASTE_GENERATED_PER_SALES","FY 2008","FY 2008","Currency=USD","Period=FQ","BEST_FPERIOD_OVERRIDE=FQ","FILING_STATUS=MR","FA_ADJUSTED=GAAP","Sort=A","Dates=H","DateFormat=P","Fill=—","Direction=H","UseDPDF=Y")</f>
        <v>—</v>
      </c>
      <c r="I30" s="14" t="str">
        <f>_xll.BDH("SRPT US Equity","WASTE_GENERATED_PER_SALES","FY 2009","FY 2009","Currency=USD","Period=FQ","BEST_FPERIOD_OVERRIDE=FQ","FILING_STATUS=MR","FA_ADJUSTED=GAAP","Sort=A","Dates=H","DateFormat=P","Fill=—","Direction=H","UseDPDF=Y")</f>
        <v>—</v>
      </c>
      <c r="J30" s="14" t="str">
        <f>_xll.BDH("SRPT US Equity","WASTE_GENERATED_PER_SALES","FY 2010","FY 2010","Currency=USD","Period=FQ","BEST_FPERIOD_OVERRIDE=FQ","FILING_STATUS=MR","FA_ADJUSTED=GAAP","Sort=A","Dates=H","DateFormat=P","Fill=—","Direction=H","UseDPDF=Y")</f>
        <v>—</v>
      </c>
      <c r="K30" s="14" t="str">
        <f>_xll.BDH("SRPT US Equity","WASTE_GENERATED_PER_SALES","FY 2011","FY 2011","Currency=USD","Period=FQ","BEST_FPERIOD_OVERRIDE=FQ","FILING_STATUS=MR","FA_ADJUSTED=GAAP","Sort=A","Dates=H","DateFormat=P","Fill=—","Direction=H","UseDPDF=Y")</f>
        <v>—</v>
      </c>
      <c r="L30" s="14" t="str">
        <f>_xll.BDH("SRPT US Equity","WASTE_GENERATED_PER_SALES","FY 2012","FY 2012","Currency=USD","Period=FQ","BEST_FPERIOD_OVERRIDE=FQ","FILING_STATUS=MR","FA_ADJUSTED=GAAP","Sort=A","Dates=H","DateFormat=P","Fill=—","Direction=H","UseDPDF=Y")</f>
        <v>—</v>
      </c>
      <c r="M30" s="14" t="str">
        <f>_xll.BDH("SRPT US Equity","WASTE_GENERATED_PER_SALES","FY 2013","FY 2013","Currency=USD","Period=FQ","BEST_FPERIOD_OVERRIDE=FQ","FILING_STATUS=MR","FA_ADJUSTED=GAAP","Sort=A","Dates=H","DateFormat=P","Fill=—","Direction=H","UseDPDF=Y")</f>
        <v>—</v>
      </c>
      <c r="N30" s="14" t="str">
        <f>_xll.BDH("SRPT US Equity","WASTE_GENERATED_PER_SALES","FY 2014","FY 2014","Currency=USD","Period=FQ","BEST_FPERIOD_OVERRIDE=FQ","FILING_STATUS=MR","FA_ADJUSTED=GAAP","Sort=A","Dates=H","DateFormat=P","Fill=—","Direction=H","UseDPDF=Y")</f>
        <v>—</v>
      </c>
      <c r="O30" s="14" t="str">
        <f>_xll.BDH("SRPT US Equity","WASTE_GENERATED_PER_SALES","FY 2015","FY 2015","Currency=USD","Period=FQ","BEST_FPERIOD_OVERRIDE=FQ","FILING_STATUS=MR","FA_ADJUSTED=GAAP","Sort=A","Dates=H","DateFormat=P","Fill=—","Direction=H","UseDPDF=Y")</f>
        <v>—</v>
      </c>
      <c r="P30" s="14" t="str">
        <f>_xll.BDH("SRPT US Equity","WASTE_GENERATED_PER_SALES","FY 2016","FY 2016","Currency=USD","Period=FQ","BEST_FPERIOD_OVERRIDE=FQ","FILING_STATUS=MR","FA_ADJUSTED=GAAP","Sort=A","Dates=H","DateFormat=P","Fill=—","Direction=H","UseDPDF=Y")</f>
        <v>—</v>
      </c>
      <c r="Q30" s="14" t="str">
        <f>_xll.BDH("SRPT US Equity","WASTE_GENERATED_PER_SALES","FY 2017","FY 2017","Currency=USD","Period=FQ","BEST_FPERIOD_OVERRIDE=FQ","FILING_STATUS=MR","FA_ADJUSTED=GAAP","Sort=A","Dates=H","DateFormat=P","Fill=—","Direction=H","UseDPDF=Y")</f>
        <v>—</v>
      </c>
      <c r="R30" s="14" t="str">
        <f>_xll.BDH("SRPT US Equity","WASTE_GENERATED_PER_SALES","FY 2018","FY 2018","Currency=USD","Period=FQ","BEST_FPERIOD_OVERRIDE=FQ","FILING_STATUS=MR","FA_ADJUSTED=GAAP","Sort=A","Dates=H","DateFormat=P","Fill=—","Direction=H","UseDPDF=Y")</f>
        <v>—</v>
      </c>
      <c r="S30" s="14" t="str">
        <f>_xll.BDH("SRPT US Equity","WASTE_GENERATED_PER_SALES","FY 2019","FY 2019","Currency=USD","Period=FQ","BEST_FPERIOD_OVERRIDE=FQ","FILING_STATUS=MR","FA_ADJUSTED=GAAP","Sort=A","Dates=H","DateFormat=P","Fill=—","Direction=H","UseDPDF=Y")</f>
        <v>—</v>
      </c>
      <c r="T30" s="14" t="str">
        <f>_xll.BDH("SRPT US Equity","WASTE_GENERATED_PER_SALES","FY 2020","FY 2020","Currency=USD","Period=FQ","BEST_FPERIOD_OVERRIDE=FQ","FILING_STATUS=MR","FA_ADJUSTED=GAAP","Sort=A","Dates=H","DateFormat=P","Fill=—","Direction=H","UseDPDF=Y")</f>
        <v>—</v>
      </c>
      <c r="U30" s="14" t="str">
        <f>_xll.BDH("SRPT US Equity","WASTE_GENERATED_PER_SALES","FY 2021","FY 2021","Currency=USD","Period=FQ","BEST_FPERIOD_OVERRIDE=FQ","FILING_STATUS=MR","FA_ADJUSTED=GAAP","Sort=A","Dates=H","DateFormat=P","Fill=—","Direction=H","UseDPDF=Y")</f>
        <v>—</v>
      </c>
      <c r="V30" s="14" t="str">
        <f>_xll.BDH("SRPT US Equity","WASTE_GENERATED_PER_SALES","FY 2022","FY 2022","Currency=USD","Period=FQ","BEST_FPERIOD_OVERRIDE=FQ","FILING_STATUS=MR","FA_ADJUSTED=GAAP","Sort=A","Dates=H","DateFormat=P","Fill=—","Direction=H","UseDPDF=Y")</f>
        <v>—</v>
      </c>
      <c r="W30" s="14" t="str">
        <f>_xll.BDH("SRPT US Equity","WASTE_GENERATED_PER_SALES","FY 2023","FY 2023","Currency=USD","Period=FQ","BEST_FPERIOD_OVERRIDE=FQ","FILING_STATUS=MR","FA_ADJUSTED=GAAP","Sort=A","Dates=H","DateFormat=P","Fill=—","Direction=H","UseDPDF=Y")</f>
        <v>—</v>
      </c>
      <c r="X30" s="14" t="str">
        <f>_xll.BDH("SRPT US Equity","WASTE_GENERATED_PER_SALES","FY 2024","FY 2024","Currency=USD","Period=FQ","BEST_FPERIOD_OVERRIDE=FQ","FILING_STATUS=MR","FA_ADJUSTED=GAAP","Sort=A","Dates=H","DateFormat=P","Fill=—","Direction=H","UseDPDF=Y")</f>
        <v>—</v>
      </c>
    </row>
    <row r="31" spans="1:24" x14ac:dyDescent="0.25">
      <c r="A31" s="10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x14ac:dyDescent="0.25">
      <c r="A32" s="6" t="s">
        <v>1757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x14ac:dyDescent="0.25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x14ac:dyDescent="0.25">
      <c r="A34" s="6" t="s">
        <v>1758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x14ac:dyDescent="0.25">
      <c r="A35" s="10" t="s">
        <v>1759</v>
      </c>
      <c r="B35" s="10" t="s">
        <v>1760</v>
      </c>
      <c r="C35" s="14" t="str">
        <f>_xll.BDH("SRPT US Equity","WOMEN_MANAGEMENT_TO_EMPL_RATIO","FY 2002","FY 2002","Currency=USD","Period=FQ","BEST_FPERIOD_OVERRIDE=FQ","FILING_STATUS=MR","Sort=A","Dates=H","DateFormat=P","Fill=—","Direction=H","UseDPDF=Y")</f>
        <v>—</v>
      </c>
      <c r="D35" s="14" t="str">
        <f>_xll.BDH("SRPT US Equity","WOMEN_MANAGEMENT_TO_EMPL_RATIO","FY 2004","FY 2004","Currency=USD","Period=FQ","BEST_FPERIOD_OVERRIDE=FQ","FILING_STATUS=MR","Sort=A","Dates=H","DateFormat=P","Fill=—","Direction=H","UseDPDF=Y")</f>
        <v>—</v>
      </c>
      <c r="E35" s="14" t="str">
        <f>_xll.BDH("SRPT US Equity","WOMEN_MANAGEMENT_TO_EMPL_RATIO","FY 2005","FY 2005","Currency=USD","Period=FQ","BEST_FPERIOD_OVERRIDE=FQ","FILING_STATUS=MR","Sort=A","Dates=H","DateFormat=P","Fill=—","Direction=H","UseDPDF=Y")</f>
        <v>—</v>
      </c>
      <c r="F35" s="14" t="str">
        <f>_xll.BDH("SRPT US Equity","WOMEN_MANAGEMENT_TO_EMPL_RATIO","FY 2006","FY 2006","Currency=USD","Period=FQ","BEST_FPERIOD_OVERRIDE=FQ","FILING_STATUS=MR","Sort=A","Dates=H","DateFormat=P","Fill=—","Direction=H","UseDPDF=Y")</f>
        <v>—</v>
      </c>
      <c r="G35" s="14" t="str">
        <f>_xll.BDH("SRPT US Equity","WOMEN_MANAGEMENT_TO_EMPL_RATIO","FY 2007","FY 2007","Currency=USD","Period=FQ","BEST_FPERIOD_OVERRIDE=FQ","FILING_STATUS=MR","Sort=A","Dates=H","DateFormat=P","Fill=—","Direction=H","UseDPDF=Y")</f>
        <v>—</v>
      </c>
      <c r="H35" s="14" t="str">
        <f>_xll.BDH("SRPT US Equity","WOMEN_MANAGEMENT_TO_EMPL_RATIO","FY 2008","FY 2008","Currency=USD","Period=FQ","BEST_FPERIOD_OVERRIDE=FQ","FILING_STATUS=MR","Sort=A","Dates=H","DateFormat=P","Fill=—","Direction=H","UseDPDF=Y")</f>
        <v>—</v>
      </c>
      <c r="I35" s="14" t="str">
        <f>_xll.BDH("SRPT US Equity","WOMEN_MANAGEMENT_TO_EMPL_RATIO","FY 2009","FY 2009","Currency=USD","Period=FQ","BEST_FPERIOD_OVERRIDE=FQ","FILING_STATUS=MR","Sort=A","Dates=H","DateFormat=P","Fill=—","Direction=H","UseDPDF=Y")</f>
        <v>—</v>
      </c>
      <c r="J35" s="14" t="str">
        <f>_xll.BDH("SRPT US Equity","WOMEN_MANAGEMENT_TO_EMPL_RATIO","FY 2010","FY 2010","Currency=USD","Period=FQ","BEST_FPERIOD_OVERRIDE=FQ","FILING_STATUS=MR","Sort=A","Dates=H","DateFormat=P","Fill=—","Direction=H","UseDPDF=Y")</f>
        <v>—</v>
      </c>
      <c r="K35" s="14" t="str">
        <f>_xll.BDH("SRPT US Equity","WOMEN_MANAGEMENT_TO_EMPL_RATIO","FY 2011","FY 2011","Currency=USD","Period=FQ","BEST_FPERIOD_OVERRIDE=FQ","FILING_STATUS=MR","Sort=A","Dates=H","DateFormat=P","Fill=—","Direction=H","UseDPDF=Y")</f>
        <v>—</v>
      </c>
      <c r="L35" s="14" t="str">
        <f>_xll.BDH("SRPT US Equity","WOMEN_MANAGEMENT_TO_EMPL_RATIO","FY 2012","FY 2012","Currency=USD","Period=FQ","BEST_FPERIOD_OVERRIDE=FQ","FILING_STATUS=MR","Sort=A","Dates=H","DateFormat=P","Fill=—","Direction=H","UseDPDF=Y")</f>
        <v>—</v>
      </c>
      <c r="M35" s="14" t="str">
        <f>_xll.BDH("SRPT US Equity","WOMEN_MANAGEMENT_TO_EMPL_RATIO","FY 2013","FY 2013","Currency=USD","Period=FQ","BEST_FPERIOD_OVERRIDE=FQ","FILING_STATUS=MR","Sort=A","Dates=H","DateFormat=P","Fill=—","Direction=H","UseDPDF=Y")</f>
        <v>—</v>
      </c>
      <c r="N35" s="14" t="str">
        <f>_xll.BDH("SRPT US Equity","WOMEN_MANAGEMENT_TO_EMPL_RATIO","FY 2014","FY 2014","Currency=USD","Period=FQ","BEST_FPERIOD_OVERRIDE=FQ","FILING_STATUS=MR","Sort=A","Dates=H","DateFormat=P","Fill=—","Direction=H","UseDPDF=Y")</f>
        <v>—</v>
      </c>
      <c r="O35" s="14" t="str">
        <f>_xll.BDH("SRPT US Equity","WOMEN_MANAGEMENT_TO_EMPL_RATIO","FY 2015","FY 2015","Currency=USD","Period=FQ","BEST_FPERIOD_OVERRIDE=FQ","FILING_STATUS=MR","Sort=A","Dates=H","DateFormat=P","Fill=—","Direction=H","UseDPDF=Y")</f>
        <v>—</v>
      </c>
      <c r="P35" s="14" t="str">
        <f>_xll.BDH("SRPT US Equity","WOMEN_MANAGEMENT_TO_EMPL_RATIO","FY 2016","FY 2016","Currency=USD","Period=FQ","BEST_FPERIOD_OVERRIDE=FQ","FILING_STATUS=MR","Sort=A","Dates=H","DateFormat=P","Fill=—","Direction=H","UseDPDF=Y")</f>
        <v>—</v>
      </c>
      <c r="Q35" s="14" t="str">
        <f>_xll.BDH("SRPT US Equity","WOMEN_MANAGEMENT_TO_EMPL_RATIO","FY 2017","FY 2017","Currency=USD","Period=FQ","BEST_FPERIOD_OVERRIDE=FQ","FILING_STATUS=MR","Sort=A","Dates=H","DateFormat=P","Fill=—","Direction=H","UseDPDF=Y")</f>
        <v>—</v>
      </c>
      <c r="R35" s="14" t="str">
        <f>_xll.BDH("SRPT US Equity","WOMEN_MANAGEMENT_TO_EMPL_RATIO","FY 2018","FY 2018","Currency=USD","Period=FQ","BEST_FPERIOD_OVERRIDE=FQ","FILING_STATUS=MR","Sort=A","Dates=H","DateFormat=P","Fill=—","Direction=H","UseDPDF=Y")</f>
        <v>—</v>
      </c>
      <c r="S35" s="14" t="str">
        <f>_xll.BDH("SRPT US Equity","WOMEN_MANAGEMENT_TO_EMPL_RATIO","FY 2019","FY 2019","Currency=USD","Period=FQ","BEST_FPERIOD_OVERRIDE=FQ","FILING_STATUS=MR","Sort=A","Dates=H","DateFormat=P","Fill=—","Direction=H","UseDPDF=Y")</f>
        <v>—</v>
      </c>
      <c r="T35" s="14" t="str">
        <f>_xll.BDH("SRPT US Equity","WOMEN_MANAGEMENT_TO_EMPL_RATIO","FY 2020","FY 2020","Currency=USD","Period=FQ","BEST_FPERIOD_OVERRIDE=FQ","FILING_STATUS=MR","Sort=A","Dates=H","DateFormat=P","Fill=—","Direction=H","UseDPDF=Y")</f>
        <v>—</v>
      </c>
      <c r="U35" s="14" t="str">
        <f>_xll.BDH("SRPT US Equity","WOMEN_MANAGEMENT_TO_EMPL_RATIO","FY 2021","FY 2021","Currency=USD","Period=FQ","BEST_FPERIOD_OVERRIDE=FQ","FILING_STATUS=MR","Sort=A","Dates=H","DateFormat=P","Fill=—","Direction=H","UseDPDF=Y")</f>
        <v>—</v>
      </c>
      <c r="V35" s="14" t="str">
        <f>_xll.BDH("SRPT US Equity","WOMEN_MANAGEMENT_TO_EMPL_RATIO","FY 2022","FY 2022","Currency=USD","Period=FQ","BEST_FPERIOD_OVERRIDE=FQ","FILING_STATUS=MR","Sort=A","Dates=H","DateFormat=P","Fill=—","Direction=H","UseDPDF=Y")</f>
        <v>—</v>
      </c>
      <c r="W35" s="14" t="str">
        <f>_xll.BDH("SRPT US Equity","WOMEN_MANAGEMENT_TO_EMPL_RATIO","FY 2023","FY 2023","Currency=USD","Period=FQ","BEST_FPERIOD_OVERRIDE=FQ","FILING_STATUS=MR","Sort=A","Dates=H","DateFormat=P","Fill=—","Direction=H","UseDPDF=Y")</f>
        <v>—</v>
      </c>
      <c r="X35" s="14" t="str">
        <f>_xll.BDH("SRPT US Equity","WOMEN_MANAGEMENT_TO_EMPL_RATIO","FY 2024","FY 2024","Currency=USD","Period=FQ","BEST_FPERIOD_OVERRIDE=FQ","FILING_STATUS=MR","Sort=A","Dates=H","DateFormat=P","Fill=—","Direction=H","UseDPDF=Y")</f>
        <v>—</v>
      </c>
    </row>
    <row r="36" spans="1:24" x14ac:dyDescent="0.25">
      <c r="A36" s="10" t="s">
        <v>1761</v>
      </c>
      <c r="B36" s="10" t="s">
        <v>1762</v>
      </c>
      <c r="C36" s="14">
        <f>_xll.BDH("SRPT US Equity","RD_EXPENDITURES_PER_CASH_FLOW","FY 2002","FY 2002","Currency=USD","Period=FQ","BEST_FPERIOD_OVERRIDE=FQ","FILING_STATUS=MR","Sort=A","Dates=H","DateFormat=P","Fill=—","Direction=H","UseDPDF=Y")</f>
        <v>-0.97430000000000005</v>
      </c>
      <c r="D36" s="14">
        <f>_xll.BDH("SRPT US Equity","RD_EXPENDITURES_PER_CASH_FLOW","FY 2004","FY 2004","Currency=USD","Period=FQ","BEST_FPERIOD_OVERRIDE=FQ","FILING_STATUS=MR","Sort=A","Dates=H","DateFormat=P","Fill=—","Direction=H","UseDPDF=Y")</f>
        <v>-1.1086</v>
      </c>
      <c r="E36" s="14">
        <f>_xll.BDH("SRPT US Equity","RD_EXPENDITURES_PER_CASH_FLOW","FY 2005","FY 2005","Currency=USD","Period=FQ","BEST_FPERIOD_OVERRIDE=FQ","FILING_STATUS=MR","Sort=A","Dates=H","DateFormat=P","Fill=—","Direction=H","UseDPDF=Y")</f>
        <v>-1.0301</v>
      </c>
      <c r="F36" s="14">
        <f>_xll.BDH("SRPT US Equity","RD_EXPENDITURES_PER_CASH_FLOW","FY 2006","FY 2006","Currency=USD","Period=FQ","BEST_FPERIOD_OVERRIDE=FQ","FILING_STATUS=MR","Sort=A","Dates=H","DateFormat=P","Fill=—","Direction=H","UseDPDF=Y")</f>
        <v>-1.3063</v>
      </c>
      <c r="G36" s="14">
        <f>_xll.BDH("SRPT US Equity","RD_EXPENDITURES_PER_CASH_FLOW","FY 2007","FY 2007","Currency=USD","Period=FQ","BEST_FPERIOD_OVERRIDE=FQ","FILING_STATUS=MR","Sort=A","Dates=H","DateFormat=P","Fill=—","Direction=H","UseDPDF=Y")</f>
        <v>-1.2829999999999999</v>
      </c>
      <c r="H36" s="14">
        <f>_xll.BDH("SRPT US Equity","RD_EXPENDITURES_PER_CASH_FLOW","FY 2008","FY 2008","Currency=USD","Period=FQ","BEST_FPERIOD_OVERRIDE=FQ","FILING_STATUS=MR","Sort=A","Dates=H","DateFormat=P","Fill=—","Direction=H","UseDPDF=Y")</f>
        <v>-2.1941999999999999</v>
      </c>
      <c r="I36" s="14">
        <f>_xll.BDH("SRPT US Equity","RD_EXPENDITURES_PER_CASH_FLOW","FY 2009","FY 2009","Currency=USD","Period=FQ","BEST_FPERIOD_OVERRIDE=FQ","FILING_STATUS=MR","Sort=A","Dates=H","DateFormat=P","Fill=—","Direction=H","UseDPDF=Y")</f>
        <v>-6.2667999999999999</v>
      </c>
      <c r="J36" s="14">
        <f>_xll.BDH("SRPT US Equity","RD_EXPENDITURES_PER_CASH_FLOW","FY 2010","FY 2010","Currency=USD","Period=FQ","BEST_FPERIOD_OVERRIDE=FQ","FILING_STATUS=MR","Sort=A","Dates=H","DateFormat=P","Fill=—","Direction=H","UseDPDF=Y")</f>
        <v>-7.3548999999999998</v>
      </c>
      <c r="K36" s="14">
        <f>_xll.BDH("SRPT US Equity","RD_EXPENDITURES_PER_CASH_FLOW","FY 2011","FY 2011","Currency=USD","Period=FQ","BEST_FPERIOD_OVERRIDE=FQ","FILING_STATUS=MR","Sort=A","Dates=H","DateFormat=P","Fill=—","Direction=H","UseDPDF=Y")</f>
        <v>-3.3111000000000002</v>
      </c>
      <c r="L36" s="14">
        <f>_xll.BDH("SRPT US Equity","RD_EXPENDITURES_PER_CASH_FLOW","FY 2012","FY 2012","Currency=USD","Period=FQ","BEST_FPERIOD_OVERRIDE=FQ","FILING_STATUS=MR","Sort=A","Dates=H","DateFormat=P","Fill=—","Direction=H","UseDPDF=Y")</f>
        <v>-1.7929999999999999</v>
      </c>
      <c r="M36" s="14">
        <f>_xll.BDH("SRPT US Equity","RD_EXPENDITURES_PER_CASH_FLOW","FY 2013","FY 2013","Currency=USD","Period=FQ","BEST_FPERIOD_OVERRIDE=FQ","FILING_STATUS=MR","Sort=A","Dates=H","DateFormat=P","Fill=—","Direction=H","UseDPDF=Y")</f>
        <v>-1.407</v>
      </c>
      <c r="N36" s="14">
        <f>_xll.BDH("SRPT US Equity","RD_EXPENDITURES_PER_CASH_FLOW","FY 2014","FY 2014","Currency=USD","Period=FQ","BEST_FPERIOD_OVERRIDE=FQ","FILING_STATUS=MR","Sort=A","Dates=H","DateFormat=P","Fill=—","Direction=H","UseDPDF=Y")</f>
        <v>-1.2115</v>
      </c>
      <c r="O36" s="14">
        <f>_xll.BDH("SRPT US Equity","RD_EXPENDITURES_PER_CASH_FLOW","FY 2015","FY 2015","Currency=USD","Period=FQ","BEST_FPERIOD_OVERRIDE=FQ","FILING_STATUS=MR","Sort=A","Dates=H","DateFormat=P","Fill=—","Direction=H","UseDPDF=Y")</f>
        <v>-1.3230999999999999</v>
      </c>
      <c r="P36" s="14">
        <f>_xll.BDH("SRPT US Equity","RD_EXPENDITURES_PER_CASH_FLOW","FY 2016","FY 2016","Currency=USD","Period=FQ","BEST_FPERIOD_OVERRIDE=FQ","FILING_STATUS=MR","Sort=A","Dates=H","DateFormat=P","Fill=—","Direction=H","UseDPDF=Y")</f>
        <v>-0.87090000000000001</v>
      </c>
      <c r="Q36" s="14">
        <f>_xll.BDH("SRPT US Equity","RD_EXPENDITURES_PER_CASH_FLOW","FY 2017","FY 2017","Currency=USD","Period=FQ","BEST_FPERIOD_OVERRIDE=FQ","FILING_STATUS=MR","Sort=A","Dates=H","DateFormat=P","Fill=—","Direction=H","UseDPDF=Y")</f>
        <v>-1.4309000000000001</v>
      </c>
      <c r="R36" s="14">
        <f>_xll.BDH("SRPT US Equity","RD_EXPENDITURES_PER_CASH_FLOW","FY 2018","FY 2018","Currency=USD","Period=FQ","BEST_FPERIOD_OVERRIDE=FQ","FILING_STATUS=MR","Sort=A","Dates=H","DateFormat=P","Fill=—","Direction=H","UseDPDF=Y")</f>
        <v>-1.1942999999999999</v>
      </c>
      <c r="S36" s="14">
        <f>_xll.BDH("SRPT US Equity","RD_EXPENDITURES_PER_CASH_FLOW","FY 2019","FY 2019","Currency=USD","Period=FQ","BEST_FPERIOD_OVERRIDE=FQ","FILING_STATUS=MR","Sort=A","Dates=H","DateFormat=P","Fill=—","Direction=H","UseDPDF=Y")</f>
        <v>-1.3623000000000001</v>
      </c>
      <c r="T36" s="14">
        <f>_xll.BDH("SRPT US Equity","RD_EXPENDITURES_PER_CASH_FLOW","FY 2020","FY 2020","Currency=USD","Period=FQ","BEST_FPERIOD_OVERRIDE=FQ","FILING_STATUS=MR","Sort=A","Dates=H","DateFormat=P","Fill=—","Direction=H","UseDPDF=Y")</f>
        <v>-1.1874</v>
      </c>
      <c r="U36" s="14">
        <f>_xll.BDH("SRPT US Equity","RD_EXPENDITURES_PER_CASH_FLOW","FY 2021","FY 2021","Currency=USD","Period=FQ","BEST_FPERIOD_OVERRIDE=FQ","FILING_STATUS=MR","Sort=A","Dates=H","DateFormat=P","Fill=—","Direction=H","UseDPDF=Y")</f>
        <v>-6.7276999999999996</v>
      </c>
      <c r="V36" s="14">
        <f>_xll.BDH("SRPT US Equity","RD_EXPENDITURES_PER_CASH_FLOW","FY 2022","FY 2022","Currency=USD","Period=FQ","BEST_FPERIOD_OVERRIDE=FQ","FILING_STATUS=MR","Sort=A","Dates=H","DateFormat=P","Fill=—","Direction=H","UseDPDF=Y")</f>
        <v>-2.3140999999999998</v>
      </c>
      <c r="W36" s="14">
        <f>_xll.BDH("SRPT US Equity","RD_EXPENDITURES_PER_CASH_FLOW","FY 2023","FY 2023","Currency=USD","Period=FQ","BEST_FPERIOD_OVERRIDE=FQ","FILING_STATUS=MR","Sort=A","Dates=H","DateFormat=P","Fill=—","Direction=H","UseDPDF=Y")</f>
        <v>-3.5771999999999999</v>
      </c>
      <c r="X36" s="14">
        <f>_xll.BDH("SRPT US Equity","RD_EXPENDITURES_PER_CASH_FLOW","FY 2024","FY 2024","Currency=USD","Period=FQ","BEST_FPERIOD_OVERRIDE=FQ","FILING_STATUS=MR","Sort=A","Dates=H","DateFormat=P","Fill=—","Direction=H","UseDPDF=Y")</f>
        <v>2.1722999999999999</v>
      </c>
    </row>
    <row r="37" spans="1:24" x14ac:dyDescent="0.25">
      <c r="A37" s="10" t="s">
        <v>1763</v>
      </c>
      <c r="B37" s="10" t="s">
        <v>1764</v>
      </c>
      <c r="C37" s="14" t="str">
        <f>_xll.BDH("SRPT US Equity","ACTUAL_NET_INCOME_PER_EMPLOYEE","FY 2002","FY 2002","Currency=USD","Period=FQ","BEST_FPERIOD_OVERRIDE=FQ","FILING_STATUS=MR","FA_ADJUSTED=GAAP","Sort=A","Dates=H","DateFormat=P","Fill=—","Direction=H","UseDPDF=Y")</f>
        <v>—</v>
      </c>
      <c r="D37" s="14">
        <f>_xll.BDH("SRPT US Equity","ACTUAL_NET_INCOME_PER_EMPLOYEE","FY 2004","FY 2004","Currency=USD","Period=FQ","BEST_FPERIOD_OVERRIDE=FQ","FILING_STATUS=MR","FA_ADJUSTED=GAAP","Sort=A","Dates=H","DateFormat=P","Fill=—","Direction=H","UseDPDF=Y")</f>
        <v>-44555.5357</v>
      </c>
      <c r="E37" s="14">
        <f>_xll.BDH("SRPT US Equity","ACTUAL_NET_INCOME_PER_EMPLOYEE","FY 2005","FY 2005","Currency=USD","Period=FQ","BEST_FPERIOD_OVERRIDE=FQ","FILING_STATUS=MR","FA_ADJUSTED=GAAP","Sort=A","Dates=H","DateFormat=P","Fill=—","Direction=H","UseDPDF=Y")</f>
        <v>-37008.130100000002</v>
      </c>
      <c r="F37" s="14" t="str">
        <f>_xll.BDH("SRPT US Equity","ACTUAL_NET_INCOME_PER_EMPLOYEE","FY 2006","FY 2006","Currency=USD","Period=FQ","BEST_FPERIOD_OVERRIDE=FQ","FILING_STATUS=MR","FA_ADJUSTED=GAAP","Sort=A","Dates=H","DateFormat=P","Fill=—","Direction=H","UseDPDF=Y")</f>
        <v>—</v>
      </c>
      <c r="G37" s="14">
        <f>_xll.BDH("SRPT US Equity","ACTUAL_NET_INCOME_PER_EMPLOYEE","FY 2007","FY 2007","Currency=USD","Period=FQ","BEST_FPERIOD_OVERRIDE=FQ","FILING_STATUS=MR","FA_ADJUSTED=GAAP","Sort=A","Dates=H","DateFormat=P","Fill=—","Direction=H","UseDPDF=Y")</f>
        <v>-14985.487999999999</v>
      </c>
      <c r="H37" s="14">
        <f>_xll.BDH("SRPT US Equity","ACTUAL_NET_INCOME_PER_EMPLOYEE","FY 2008","FY 2008","Currency=USD","Period=FQ","BEST_FPERIOD_OVERRIDE=FQ","FILING_STATUS=MR","FA_ADJUSTED=GAAP","Sort=A","Dates=H","DateFormat=P","Fill=—","Direction=H","UseDPDF=Y")</f>
        <v>-13741.3735</v>
      </c>
      <c r="I37" s="14">
        <f>_xll.BDH("SRPT US Equity","ACTUAL_NET_INCOME_PER_EMPLOYEE","FY 2009","FY 2009","Currency=USD","Period=FQ","BEST_FPERIOD_OVERRIDE=FQ","FILING_STATUS=MR","FA_ADJUSTED=GAAP","Sort=A","Dates=H","DateFormat=P","Fill=—","Direction=H","UseDPDF=Y")</f>
        <v>55968.254000000001</v>
      </c>
      <c r="J37" s="14">
        <f>_xll.BDH("SRPT US Equity","ACTUAL_NET_INCOME_PER_EMPLOYEE","FY 2010","FY 2010","Currency=USD","Period=FQ","BEST_FPERIOD_OVERRIDE=FQ","FILING_STATUS=MR","FA_ADJUSTED=GAAP","Sort=A","Dates=H","DateFormat=P","Fill=—","Direction=H","UseDPDF=Y")</f>
        <v>-78000</v>
      </c>
      <c r="K37" s="14">
        <f>_xll.BDH("SRPT US Equity","ACTUAL_NET_INCOME_PER_EMPLOYEE","FY 2011","FY 2011","Currency=USD","Period=FQ","BEST_FPERIOD_OVERRIDE=FQ","FILING_STATUS=MR","FA_ADJUSTED=GAAP","Sort=A","Dates=H","DateFormat=P","Fill=—","Direction=H","UseDPDF=Y")</f>
        <v>-14387.7551</v>
      </c>
      <c r="L37" s="14">
        <f>_xll.BDH("SRPT US Equity","ACTUAL_NET_INCOME_PER_EMPLOYEE","FY 2012","FY 2012","Currency=USD","Period=FQ","BEST_FPERIOD_OVERRIDE=FQ","FILING_STATUS=MR","FA_ADJUSTED=GAAP","Sort=A","Dates=H","DateFormat=P","Fill=—","Direction=H","UseDPDF=Y")</f>
        <v>-602592.23300000001</v>
      </c>
      <c r="M37" s="14">
        <f>_xll.BDH("SRPT US Equity","ACTUAL_NET_INCOME_PER_EMPLOYEE","FY 2013","FY 2013","Currency=USD","Period=FQ","BEST_FPERIOD_OVERRIDE=FQ","FILING_STATUS=MR","FA_ADJUSTED=GAAP","Sort=A","Dates=H","DateFormat=P","Fill=—","Direction=H","UseDPDF=Y")</f>
        <v>-60410.958899999998</v>
      </c>
      <c r="N37" s="14">
        <f>_xll.BDH("SRPT US Equity","ACTUAL_NET_INCOME_PER_EMPLOYEE","FY 2014","FY 2014","Currency=USD","Period=FQ","BEST_FPERIOD_OVERRIDE=FQ","FILING_STATUS=MR","FA_ADJUSTED=GAAP","Sort=A","Dates=H","DateFormat=P","Fill=—","Direction=H","UseDPDF=Y")</f>
        <v>-217725.4902</v>
      </c>
      <c r="O37" s="14">
        <f>_xll.BDH("SRPT US Equity","ACTUAL_NET_INCOME_PER_EMPLOYEE","FY 2015","FY 2015","Currency=USD","Period=FQ","BEST_FPERIOD_OVERRIDE=FQ","FILING_STATUS=MR","FA_ADJUSTED=GAAP","Sort=A","Dates=H","DateFormat=P","Fill=—","Direction=H","UseDPDF=Y")</f>
        <v>-239559.25930000001</v>
      </c>
      <c r="P37" s="14">
        <f>_xll.BDH("SRPT US Equity","ACTUAL_NET_INCOME_PER_EMPLOYEE","FY 2016","FY 2016","Currency=USD","Period=FQ","BEST_FPERIOD_OVERRIDE=FQ","FILING_STATUS=MR","FA_ADJUSTED=GAAP","Sort=A","Dates=H","DateFormat=P","Fill=—","Direction=H","UseDPDF=Y")</f>
        <v>-448994.92389999999</v>
      </c>
      <c r="Q37" s="14">
        <f>_xll.BDH("SRPT US Equity","ACTUAL_NET_INCOME_PER_EMPLOYEE","FY 2017","FY 2017","Currency=USD","Period=FQ","BEST_FPERIOD_OVERRIDE=FQ","FILING_STATUS=MR","FA_ADJUSTED=GAAP","Sort=A","Dates=H","DateFormat=P","Fill=—","Direction=H","UseDPDF=Y")</f>
        <v>-94109.803899999999</v>
      </c>
      <c r="R37" s="14">
        <f>_xll.BDH("SRPT US Equity","ACTUAL_NET_INCOME_PER_EMPLOYEE","FY 2018","FY 2018","Currency=USD","Period=FQ","BEST_FPERIOD_OVERRIDE=FQ","FILING_STATUS=MR","FA_ADJUSTED=GAAP","Sort=A","Dates=H","DateFormat=P","Fill=—","Direction=H","UseDPDF=Y")</f>
        <v>-282354.70939999999</v>
      </c>
      <c r="S37" s="14">
        <f>_xll.BDH("SRPT US Equity","ACTUAL_NET_INCOME_PER_EMPLOYEE","FY 2019","FY 2019","Currency=USD","Period=FQ","BEST_FPERIOD_OVERRIDE=FQ","FILING_STATUS=MR","FA_ADJUSTED=GAAP","Sort=A","Dates=H","DateFormat=P","Fill=—","Direction=H","UseDPDF=Y")</f>
        <v>-317231.4939</v>
      </c>
      <c r="T37" s="14">
        <f>_xll.BDH("SRPT US Equity","ACTUAL_NET_INCOME_PER_EMPLOYEE","FY 2020","FY 2020","Currency=USD","Period=FQ","BEST_FPERIOD_OVERRIDE=FQ","FILING_STATUS=MR","FA_ADJUSTED=GAAP","Sort=A","Dates=H","DateFormat=P","Fill=—","Direction=H","UseDPDF=Y")</f>
        <v>-218610.85449999999</v>
      </c>
      <c r="U37" s="14">
        <f>_xll.BDH("SRPT US Equity","ACTUAL_NET_INCOME_PER_EMPLOYEE","FY 2021","FY 2021","Currency=USD","Period=FQ","BEST_FPERIOD_OVERRIDE=FQ","FILING_STATUS=MR","FA_ADJUSTED=GAAP","Sort=A","Dates=H","DateFormat=P","Fill=—","Direction=H","UseDPDF=Y")</f>
        <v>-145215.4762</v>
      </c>
      <c r="V37" s="14">
        <f>_xll.BDH("SRPT US Equity","ACTUAL_NET_INCOME_PER_EMPLOYEE","FY 2022","FY 2022","Currency=USD","Period=FQ","BEST_FPERIOD_OVERRIDE=FQ","FILING_STATUS=MR","FA_ADJUSTED=GAAP","Sort=A","Dates=H","DateFormat=P","Fill=—","Direction=H","UseDPDF=Y")</f>
        <v>-94013.769400000005</v>
      </c>
      <c r="W37" s="14">
        <f>_xll.BDH("SRPT US Equity","ACTUAL_NET_INCOME_PER_EMPLOYEE","FY 2023","FY 2023","Currency=USD","Period=FQ","BEST_FPERIOD_OVERRIDE=FQ","FILING_STATUS=MR","FA_ADJUSTED=GAAP","Sort=A","Dates=H","DateFormat=P","Fill=—","Direction=H","UseDPDF=Y")</f>
        <v>34745.0533</v>
      </c>
      <c r="X37" s="14">
        <f>_xll.BDH("SRPT US Equity","ACTUAL_NET_INCOME_PER_EMPLOYEE","FY 2024","FY 2024","Currency=USD","Period=FQ","BEST_FPERIOD_OVERRIDE=FQ","FILING_STATUS=MR","FA_ADJUSTED=GAAP","Sort=A","Dates=H","DateFormat=P","Fill=—","Direction=H","UseDPDF=Y")</f>
        <v>115924.9271</v>
      </c>
    </row>
    <row r="38" spans="1:24" x14ac:dyDescent="0.25">
      <c r="A38" s="10" t="s">
        <v>1765</v>
      </c>
      <c r="B38" s="10" t="s">
        <v>1766</v>
      </c>
      <c r="C38" s="14" t="str">
        <f>_xll.BDH("SRPT US Equity","CASH_FLOW_PER_EMPLOYEE","FY 2002","FY 2002","Currency=USD","Period=FQ","BEST_FPERIOD_OVERRIDE=FQ","FILING_STATUS=MR","Sort=A","Dates=H","DateFormat=P","Fill=—","Direction=H","UseDPDF=Y")</f>
        <v>—</v>
      </c>
      <c r="D38" s="14">
        <f>_xll.BDH("SRPT US Equity","CASH_FLOW_PER_EMPLOYEE","FY 2004","FY 2004","Currency=USD","Period=FQ","BEST_FPERIOD_OVERRIDE=FQ","FILING_STATUS=MR","Sort=A","Dates=H","DateFormat=P","Fill=—","Direction=H","UseDPDF=Y")</f>
        <v>-30651.366099999999</v>
      </c>
      <c r="E38" s="14">
        <f>_xll.BDH("SRPT US Equity","CASH_FLOW_PER_EMPLOYEE","FY 2005","FY 2005","Currency=USD","Period=FQ","BEST_FPERIOD_OVERRIDE=FQ","FILING_STATUS=MR","Sort=A","Dates=H","DateFormat=P","Fill=—","Direction=H","UseDPDF=Y")</f>
        <v>-38779.5772</v>
      </c>
      <c r="F38" s="14" t="str">
        <f>_xll.BDH("SRPT US Equity","CASH_FLOW_PER_EMPLOYEE","FY 2006","FY 2006","Currency=USD","Period=FQ","BEST_FPERIOD_OVERRIDE=FQ","FILING_STATUS=MR","Sort=A","Dates=H","DateFormat=P","Fill=—","Direction=H","UseDPDF=Y")</f>
        <v>—</v>
      </c>
      <c r="G38" s="14">
        <f>_xll.BDH("SRPT US Equity","CASH_FLOW_PER_EMPLOYEE","FY 2007","FY 2007","Currency=USD","Period=FQ","BEST_FPERIOD_OVERRIDE=FQ","FILING_STATUS=MR","Sort=A","Dates=H","DateFormat=P","Fill=—","Direction=H","UseDPDF=Y")</f>
        <v>-58623.040000000001</v>
      </c>
      <c r="H38" s="14">
        <f>_xll.BDH("SRPT US Equity","CASH_FLOW_PER_EMPLOYEE","FY 2008","FY 2008","Currency=USD","Period=FQ","BEST_FPERIOD_OVERRIDE=FQ","FILING_STATUS=MR","Sort=A","Dates=H","DateFormat=P","Fill=—","Direction=H","UseDPDF=Y")</f>
        <v>-29815.843400000002</v>
      </c>
      <c r="I38" s="14">
        <f>_xll.BDH("SRPT US Equity","CASH_FLOW_PER_EMPLOYEE","FY 2009","FY 2009","Currency=USD","Period=FQ","BEST_FPERIOD_OVERRIDE=FQ","FILING_STATUS=MR","Sort=A","Dates=H","DateFormat=P","Fill=—","Direction=H","UseDPDF=Y")</f>
        <v>-16777.7778</v>
      </c>
      <c r="J38" s="14">
        <f>_xll.BDH("SRPT US Equity","CASH_FLOW_PER_EMPLOYEE","FY 2010","FY 2010","Currency=USD","Period=FQ","BEST_FPERIOD_OVERRIDE=FQ","FILING_STATUS=MR","Sort=A","Dates=H","DateFormat=P","Fill=—","Direction=H","UseDPDF=Y")</f>
        <v>-19265.306100000002</v>
      </c>
      <c r="K38" s="14">
        <f>_xll.BDH("SRPT US Equity","CASH_FLOW_PER_EMPLOYEE","FY 2011","FY 2011","Currency=USD","Period=FQ","BEST_FPERIOD_OVERRIDE=FQ","FILING_STATUS=MR","Sort=A","Dates=H","DateFormat=P","Fill=—","Direction=H","UseDPDF=Y")</f>
        <v>-57632.653100000003</v>
      </c>
      <c r="L38" s="14">
        <f>_xll.BDH("SRPT US Equity","CASH_FLOW_PER_EMPLOYEE","FY 2012","FY 2012","Currency=USD","Period=FQ","BEST_FPERIOD_OVERRIDE=FQ","FILING_STATUS=MR","Sort=A","Dates=H","DateFormat=P","Fill=—","Direction=H","UseDPDF=Y")</f>
        <v>-69495.145600000003</v>
      </c>
      <c r="M38" s="14">
        <f>_xll.BDH("SRPT US Equity","CASH_FLOW_PER_EMPLOYEE","FY 2013","FY 2013","Currency=USD","Period=FQ","BEST_FPERIOD_OVERRIDE=FQ","FILING_STATUS=MR","Sort=A","Dates=H","DateFormat=P","Fill=—","Direction=H","UseDPDF=Y")</f>
        <v>-122068.4932</v>
      </c>
      <c r="N38" s="14">
        <f>_xll.BDH("SRPT US Equity","CASH_FLOW_PER_EMPLOYEE","FY 2014","FY 2014","Currency=USD","Period=FQ","BEST_FPERIOD_OVERRIDE=FQ","FILING_STATUS=MR","Sort=A","Dates=H","DateFormat=P","Fill=—","Direction=H","UseDPDF=Y")</f>
        <v>-124750</v>
      </c>
      <c r="O38" s="14">
        <f>_xll.BDH("SRPT US Equity","CASH_FLOW_PER_EMPLOYEE","FY 2015","FY 2015","Currency=USD","Period=FQ","BEST_FPERIOD_OVERRIDE=FQ","FILING_STATUS=MR","Sort=A","Dates=H","DateFormat=P","Fill=—","Direction=H","UseDPDF=Y")</f>
        <v>-115822.2222</v>
      </c>
      <c r="P38" s="14">
        <f>_xll.BDH("SRPT US Equity","CASH_FLOW_PER_EMPLOYEE","FY 2016","FY 2016","Currency=USD","Period=FQ","BEST_FPERIOD_OVERRIDE=FQ","FILING_STATUS=MR","Sort=A","Dates=H","DateFormat=P","Fill=—","Direction=H","UseDPDF=Y")</f>
        <v>-412350.25380000001</v>
      </c>
      <c r="Q38" s="14">
        <f>_xll.BDH("SRPT US Equity","CASH_FLOW_PER_EMPLOYEE","FY 2017","FY 2017","Currency=USD","Period=FQ","BEST_FPERIOD_OVERRIDE=FQ","FILING_STATUS=MR","Sort=A","Dates=H","DateFormat=P","Fill=—","Direction=H","UseDPDF=Y")</f>
        <v>-121796.0784</v>
      </c>
      <c r="R38" s="14">
        <f>_xll.BDH("SRPT US Equity","CASH_FLOW_PER_EMPLOYEE","FY 2018","FY 2018","Currency=USD","Period=FQ","BEST_FPERIOD_OVERRIDE=FQ","FILING_STATUS=MR","Sort=A","Dates=H","DateFormat=P","Fill=—","Direction=H","UseDPDF=Y")</f>
        <v>-245330.66130000001</v>
      </c>
      <c r="S38" s="14">
        <f>_xll.BDH("SRPT US Equity","CASH_FLOW_PER_EMPLOYEE","FY 2019","FY 2019","Currency=USD","Period=FQ","BEST_FPERIOD_OVERRIDE=FQ","FILING_STATUS=MR","Sort=A","Dates=H","DateFormat=P","Fill=—","Direction=H","UseDPDF=Y")</f>
        <v>-220450.87479999999</v>
      </c>
      <c r="T38" s="14">
        <f>_xll.BDH("SRPT US Equity","CASH_FLOW_PER_EMPLOYEE","FY 2020","FY 2020","Currency=USD","Period=FQ","BEST_FPERIOD_OVERRIDE=FQ","FILING_STATUS=MR","Sort=A","Dates=H","DateFormat=P","Fill=—","Direction=H","UseDPDF=Y")</f>
        <v>-201541.5704</v>
      </c>
      <c r="U38" s="14">
        <f>_xll.BDH("SRPT US Equity","CASH_FLOW_PER_EMPLOYEE","FY 2021","FY 2021","Currency=USD","Period=FQ","BEST_FPERIOD_OVERRIDE=FQ","FILING_STATUS=MR","Sort=A","Dates=H","DateFormat=P","Fill=—","Direction=H","UseDPDF=Y")</f>
        <v>-34911.904799999997</v>
      </c>
      <c r="V38" s="14">
        <f>_xll.BDH("SRPT US Equity","CASH_FLOW_PER_EMPLOYEE","FY 2022","FY 2022","Currency=USD","Period=FQ","BEST_FPERIOD_OVERRIDE=FQ","FILING_STATUS=MR","Sort=A","Dates=H","DateFormat=P","Fill=—","Direction=H","UseDPDF=Y")</f>
        <v>-79511.187600000005</v>
      </c>
      <c r="W38" s="14">
        <f>_xll.BDH("SRPT US Equity","CASH_FLOW_PER_EMPLOYEE","FY 2023","FY 2023","Currency=USD","Period=FQ","BEST_FPERIOD_OVERRIDE=FQ","FILING_STATUS=MR","Sort=A","Dates=H","DateFormat=P","Fill=—","Direction=H","UseDPDF=Y")</f>
        <v>-41595.890399999997</v>
      </c>
      <c r="X38" s="14">
        <f>_xll.BDH("SRPT US Equity","CASH_FLOW_PER_EMPLOYEE","FY 2024","FY 2024","Currency=USD","Period=FQ","BEST_FPERIOD_OVERRIDE=FQ","FILING_STATUS=MR","Sort=A","Dates=H","DateFormat=P","Fill=—","Direction=H","UseDPDF=Y")</f>
        <v>67088.921300000002</v>
      </c>
    </row>
    <row r="39" spans="1:24" x14ac:dyDescent="0.25">
      <c r="A39" s="10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x14ac:dyDescent="0.25">
      <c r="A40" s="6" t="s">
        <v>1767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 x14ac:dyDescent="0.25">
      <c r="A41" s="10" t="s">
        <v>1768</v>
      </c>
      <c r="B41" s="10" t="s">
        <v>1769</v>
      </c>
      <c r="C41" s="14" t="str">
        <f>_xll.BDH("SRPT US Equity","PCT_OF_NON_EXEC_DIR_ON_BRD","FY 2002","FY 2002","Currency=USD","Period=FQ","BEST_FPERIOD_OVERRIDE=FQ","FILING_STATUS=MR","Sort=A","Dates=H","DateFormat=P","Fill=—","Direction=H","UseDPDF=Y")</f>
        <v>—</v>
      </c>
      <c r="D41" s="14" t="str">
        <f>_xll.BDH("SRPT US Equity","PCT_OF_NON_EXEC_DIR_ON_BRD","FY 2004","FY 2004","Currency=USD","Period=FQ","BEST_FPERIOD_OVERRIDE=FQ","FILING_STATUS=MR","Sort=A","Dates=H","DateFormat=P","Fill=—","Direction=H","UseDPDF=Y")</f>
        <v>—</v>
      </c>
      <c r="E41" s="14" t="str">
        <f>_xll.BDH("SRPT US Equity","PCT_OF_NON_EXEC_DIR_ON_BRD","FY 2005","FY 2005","Currency=USD","Period=FQ","BEST_FPERIOD_OVERRIDE=FQ","FILING_STATUS=MR","Sort=A","Dates=H","DateFormat=P","Fill=—","Direction=H","UseDPDF=Y")</f>
        <v>—</v>
      </c>
      <c r="F41" s="14" t="str">
        <f>_xll.BDH("SRPT US Equity","PCT_OF_NON_EXEC_DIR_ON_BRD","FY 2006","FY 2006","Currency=USD","Period=FQ","BEST_FPERIOD_OVERRIDE=FQ","FILING_STATUS=MR","Sort=A","Dates=H","DateFormat=P","Fill=—","Direction=H","UseDPDF=Y")</f>
        <v>—</v>
      </c>
      <c r="G41" s="14" t="str">
        <f>_xll.BDH("SRPT US Equity","PCT_OF_NON_EXEC_DIR_ON_BRD","FY 2007","FY 2007","Currency=USD","Period=FQ","BEST_FPERIOD_OVERRIDE=FQ","FILING_STATUS=MR","Sort=A","Dates=H","DateFormat=P","Fill=—","Direction=H","UseDPDF=Y")</f>
        <v>—</v>
      </c>
      <c r="H41" s="14" t="str">
        <f>_xll.BDH("SRPT US Equity","PCT_OF_NON_EXEC_DIR_ON_BRD","FY 2008","FY 2008","Currency=USD","Period=FQ","BEST_FPERIOD_OVERRIDE=FQ","FILING_STATUS=MR","Sort=A","Dates=H","DateFormat=P","Fill=—","Direction=H","UseDPDF=Y")</f>
        <v>—</v>
      </c>
      <c r="I41" s="14" t="str">
        <f>_xll.BDH("SRPT US Equity","PCT_OF_NON_EXEC_DIR_ON_BRD","FY 2009","FY 2009","Currency=USD","Period=FQ","BEST_FPERIOD_OVERRIDE=FQ","FILING_STATUS=MR","Sort=A","Dates=H","DateFormat=P","Fill=—","Direction=H","UseDPDF=Y")</f>
        <v>—</v>
      </c>
      <c r="J41" s="14" t="str">
        <f>_xll.BDH("SRPT US Equity","PCT_OF_NON_EXEC_DIR_ON_BRD","FY 2010","FY 2010","Currency=USD","Period=FQ","BEST_FPERIOD_OVERRIDE=FQ","FILING_STATUS=MR","Sort=A","Dates=H","DateFormat=P","Fill=—","Direction=H","UseDPDF=Y")</f>
        <v>—</v>
      </c>
      <c r="K41" s="14" t="str">
        <f>_xll.BDH("SRPT US Equity","PCT_OF_NON_EXEC_DIR_ON_BRD","FY 2011","FY 2011","Currency=USD","Period=FQ","BEST_FPERIOD_OVERRIDE=FQ","FILING_STATUS=MR","Sort=A","Dates=H","DateFormat=P","Fill=—","Direction=H","UseDPDF=Y")</f>
        <v>—</v>
      </c>
      <c r="L41" s="14" t="str">
        <f>_xll.BDH("SRPT US Equity","PCT_OF_NON_EXEC_DIR_ON_BRD","FY 2012","FY 2012","Currency=USD","Period=FQ","BEST_FPERIOD_OVERRIDE=FQ","FILING_STATUS=MR","Sort=A","Dates=H","DateFormat=P","Fill=—","Direction=H","UseDPDF=Y")</f>
        <v>—</v>
      </c>
      <c r="M41" s="14" t="str">
        <f>_xll.BDH("SRPT US Equity","PCT_OF_NON_EXEC_DIR_ON_BRD","FY 2013","FY 2013","Currency=USD","Period=FQ","BEST_FPERIOD_OVERRIDE=FQ","FILING_STATUS=MR","Sort=A","Dates=H","DateFormat=P","Fill=—","Direction=H","UseDPDF=Y")</f>
        <v>—</v>
      </c>
      <c r="N41" s="14" t="str">
        <f>_xll.BDH("SRPT US Equity","PCT_OF_NON_EXEC_DIR_ON_BRD","FY 2014","FY 2014","Currency=USD","Period=FQ","BEST_FPERIOD_OVERRIDE=FQ","FILING_STATUS=MR","Sort=A","Dates=H","DateFormat=P","Fill=—","Direction=H","UseDPDF=Y")</f>
        <v>—</v>
      </c>
      <c r="O41" s="14" t="str">
        <f>_xll.BDH("SRPT US Equity","PCT_OF_NON_EXEC_DIR_ON_BRD","FY 2015","FY 2015","Currency=USD","Period=FQ","BEST_FPERIOD_OVERRIDE=FQ","FILING_STATUS=MR","Sort=A","Dates=H","DateFormat=P","Fill=—","Direction=H","UseDPDF=Y")</f>
        <v>—</v>
      </c>
      <c r="P41" s="14" t="str">
        <f>_xll.BDH("SRPT US Equity","PCT_OF_NON_EXEC_DIR_ON_BRD","FY 2016","FY 2016","Currency=USD","Period=FQ","BEST_FPERIOD_OVERRIDE=FQ","FILING_STATUS=MR","Sort=A","Dates=H","DateFormat=P","Fill=—","Direction=H","UseDPDF=Y")</f>
        <v>—</v>
      </c>
      <c r="Q41" s="14" t="str">
        <f>_xll.BDH("SRPT US Equity","PCT_OF_NON_EXEC_DIR_ON_BRD","FY 2017","FY 2017","Currency=USD","Period=FQ","BEST_FPERIOD_OVERRIDE=FQ","FILING_STATUS=MR","Sort=A","Dates=H","DateFormat=P","Fill=—","Direction=H","UseDPDF=Y")</f>
        <v>—</v>
      </c>
      <c r="R41" s="14" t="str">
        <f>_xll.BDH("SRPT US Equity","PCT_OF_NON_EXEC_DIR_ON_BRD","FY 2018","FY 2018","Currency=USD","Period=FQ","BEST_FPERIOD_OVERRIDE=FQ","FILING_STATUS=MR","Sort=A","Dates=H","DateFormat=P","Fill=—","Direction=H","UseDPDF=Y")</f>
        <v>—</v>
      </c>
      <c r="S41" s="14" t="str">
        <f>_xll.BDH("SRPT US Equity","PCT_OF_NON_EXEC_DIR_ON_BRD","FY 2019","FY 2019","Currency=USD","Period=FQ","BEST_FPERIOD_OVERRIDE=FQ","FILING_STATUS=MR","Sort=A","Dates=H","DateFormat=P","Fill=—","Direction=H","UseDPDF=Y")</f>
        <v>—</v>
      </c>
      <c r="T41" s="14" t="str">
        <f>_xll.BDH("SRPT US Equity","PCT_OF_NON_EXEC_DIR_ON_BRD","FY 2020","FY 2020","Currency=USD","Period=FQ","BEST_FPERIOD_OVERRIDE=FQ","FILING_STATUS=MR","Sort=A","Dates=H","DateFormat=P","Fill=—","Direction=H","UseDPDF=Y")</f>
        <v>—</v>
      </c>
      <c r="U41" s="14" t="str">
        <f>_xll.BDH("SRPT US Equity","PCT_OF_NON_EXEC_DIR_ON_BRD","FY 2021","FY 2021","Currency=USD","Period=FQ","BEST_FPERIOD_OVERRIDE=FQ","FILING_STATUS=MR","Sort=A","Dates=H","DateFormat=P","Fill=—","Direction=H","UseDPDF=Y")</f>
        <v>—</v>
      </c>
      <c r="V41" s="14" t="str">
        <f>_xll.BDH("SRPT US Equity","PCT_OF_NON_EXEC_DIR_ON_BRD","FY 2022","FY 2022","Currency=USD","Period=FQ","BEST_FPERIOD_OVERRIDE=FQ","FILING_STATUS=MR","Sort=A","Dates=H","DateFormat=P","Fill=—","Direction=H","UseDPDF=Y")</f>
        <v>—</v>
      </c>
      <c r="W41" s="14" t="str">
        <f>_xll.BDH("SRPT US Equity","PCT_OF_NON_EXEC_DIR_ON_BRD","FY 2023","FY 2023","Currency=USD","Period=FQ","BEST_FPERIOD_OVERRIDE=FQ","FILING_STATUS=MR","Sort=A","Dates=H","DateFormat=P","Fill=—","Direction=H","UseDPDF=Y")</f>
        <v>—</v>
      </c>
      <c r="X41" s="14" t="str">
        <f>_xll.BDH("SRPT US Equity","PCT_OF_NON_EXEC_DIR_ON_BRD","FY 2024","FY 2024","Currency=USD","Period=FQ","BEST_FPERIOD_OVERRIDE=FQ","FILING_STATUS=MR","Sort=A","Dates=H","DateFormat=P","Fill=—","Direction=H","UseDPDF=Y")</f>
        <v>—</v>
      </c>
    </row>
    <row r="42" spans="1:24" x14ac:dyDescent="0.25">
      <c r="A42" s="10" t="s">
        <v>1770</v>
      </c>
      <c r="B42" s="10" t="s">
        <v>1771</v>
      </c>
      <c r="C42" s="14" t="str">
        <f>_xll.BDH("SRPT US Equity","PCT_INDEPENDENT_DIRECTORS","FY 2002","FY 2002","Currency=USD","Period=FQ","BEST_FPERIOD_OVERRIDE=FQ","FILING_STATUS=MR","Sort=A","Dates=H","DateFormat=P","Fill=—","Direction=H","UseDPDF=Y")</f>
        <v>—</v>
      </c>
      <c r="D42" s="14" t="str">
        <f>_xll.BDH("SRPT US Equity","PCT_INDEPENDENT_DIRECTORS","FY 2004","FY 2004","Currency=USD","Period=FQ","BEST_FPERIOD_OVERRIDE=FQ","FILING_STATUS=MR","Sort=A","Dates=H","DateFormat=P","Fill=—","Direction=H","UseDPDF=Y")</f>
        <v>—</v>
      </c>
      <c r="E42" s="14" t="str">
        <f>_xll.BDH("SRPT US Equity","PCT_INDEPENDENT_DIRECTORS","FY 2005","FY 2005","Currency=USD","Period=FQ","BEST_FPERIOD_OVERRIDE=FQ","FILING_STATUS=MR","Sort=A","Dates=H","DateFormat=P","Fill=—","Direction=H","UseDPDF=Y")</f>
        <v>—</v>
      </c>
      <c r="F42" s="14" t="str">
        <f>_xll.BDH("SRPT US Equity","PCT_INDEPENDENT_DIRECTORS","FY 2006","FY 2006","Currency=USD","Period=FQ","BEST_FPERIOD_OVERRIDE=FQ","FILING_STATUS=MR","Sort=A","Dates=H","DateFormat=P","Fill=—","Direction=H","UseDPDF=Y")</f>
        <v>—</v>
      </c>
      <c r="G42" s="14" t="str">
        <f>_xll.BDH("SRPT US Equity","PCT_INDEPENDENT_DIRECTORS","FY 2007","FY 2007","Currency=USD","Period=FQ","BEST_FPERIOD_OVERRIDE=FQ","FILING_STATUS=MR","Sort=A","Dates=H","DateFormat=P","Fill=—","Direction=H","UseDPDF=Y")</f>
        <v>—</v>
      </c>
      <c r="H42" s="14" t="str">
        <f>_xll.BDH("SRPT US Equity","PCT_INDEPENDENT_DIRECTORS","FY 2008","FY 2008","Currency=USD","Period=FQ","BEST_FPERIOD_OVERRIDE=FQ","FILING_STATUS=MR","Sort=A","Dates=H","DateFormat=P","Fill=—","Direction=H","UseDPDF=Y")</f>
        <v>—</v>
      </c>
      <c r="I42" s="14" t="str">
        <f>_xll.BDH("SRPT US Equity","PCT_INDEPENDENT_DIRECTORS","FY 2009","FY 2009","Currency=USD","Period=FQ","BEST_FPERIOD_OVERRIDE=FQ","FILING_STATUS=MR","Sort=A","Dates=H","DateFormat=P","Fill=—","Direction=H","UseDPDF=Y")</f>
        <v>—</v>
      </c>
      <c r="J42" s="14" t="str">
        <f>_xll.BDH("SRPT US Equity","PCT_INDEPENDENT_DIRECTORS","FY 2010","FY 2010","Currency=USD","Period=FQ","BEST_FPERIOD_OVERRIDE=FQ","FILING_STATUS=MR","Sort=A","Dates=H","DateFormat=P","Fill=—","Direction=H","UseDPDF=Y")</f>
        <v>—</v>
      </c>
      <c r="K42" s="14" t="str">
        <f>_xll.BDH("SRPT US Equity","PCT_INDEPENDENT_DIRECTORS","FY 2011","FY 2011","Currency=USD","Period=FQ","BEST_FPERIOD_OVERRIDE=FQ","FILING_STATUS=MR","Sort=A","Dates=H","DateFormat=P","Fill=—","Direction=H","UseDPDF=Y")</f>
        <v>—</v>
      </c>
      <c r="L42" s="14" t="str">
        <f>_xll.BDH("SRPT US Equity","PCT_INDEPENDENT_DIRECTORS","FY 2012","FY 2012","Currency=USD","Period=FQ","BEST_FPERIOD_OVERRIDE=FQ","FILING_STATUS=MR","Sort=A","Dates=H","DateFormat=P","Fill=—","Direction=H","UseDPDF=Y")</f>
        <v>—</v>
      </c>
      <c r="M42" s="14" t="str">
        <f>_xll.BDH("SRPT US Equity","PCT_INDEPENDENT_DIRECTORS","FY 2013","FY 2013","Currency=USD","Period=FQ","BEST_FPERIOD_OVERRIDE=FQ","FILING_STATUS=MR","Sort=A","Dates=H","DateFormat=P","Fill=—","Direction=H","UseDPDF=Y")</f>
        <v>—</v>
      </c>
      <c r="N42" s="14" t="str">
        <f>_xll.BDH("SRPT US Equity","PCT_INDEPENDENT_DIRECTORS","FY 2014","FY 2014","Currency=USD","Period=FQ","BEST_FPERIOD_OVERRIDE=FQ","FILING_STATUS=MR","Sort=A","Dates=H","DateFormat=P","Fill=—","Direction=H","UseDPDF=Y")</f>
        <v>—</v>
      </c>
      <c r="O42" s="14" t="str">
        <f>_xll.BDH("SRPT US Equity","PCT_INDEPENDENT_DIRECTORS","FY 2015","FY 2015","Currency=USD","Period=FQ","BEST_FPERIOD_OVERRIDE=FQ","FILING_STATUS=MR","Sort=A","Dates=H","DateFormat=P","Fill=—","Direction=H","UseDPDF=Y")</f>
        <v>—</v>
      </c>
      <c r="P42" s="14" t="str">
        <f>_xll.BDH("SRPT US Equity","PCT_INDEPENDENT_DIRECTORS","FY 2016","FY 2016","Currency=USD","Period=FQ","BEST_FPERIOD_OVERRIDE=FQ","FILING_STATUS=MR","Sort=A","Dates=H","DateFormat=P","Fill=—","Direction=H","UseDPDF=Y")</f>
        <v>—</v>
      </c>
      <c r="Q42" s="14" t="str">
        <f>_xll.BDH("SRPT US Equity","PCT_INDEPENDENT_DIRECTORS","FY 2017","FY 2017","Currency=USD","Period=FQ","BEST_FPERIOD_OVERRIDE=FQ","FILING_STATUS=MR","Sort=A","Dates=H","DateFormat=P","Fill=—","Direction=H","UseDPDF=Y")</f>
        <v>—</v>
      </c>
      <c r="R42" s="14" t="str">
        <f>_xll.BDH("SRPT US Equity","PCT_INDEPENDENT_DIRECTORS","FY 2018","FY 2018","Currency=USD","Period=FQ","BEST_FPERIOD_OVERRIDE=FQ","FILING_STATUS=MR","Sort=A","Dates=H","DateFormat=P","Fill=—","Direction=H","UseDPDF=Y")</f>
        <v>—</v>
      </c>
      <c r="S42" s="14" t="str">
        <f>_xll.BDH("SRPT US Equity","PCT_INDEPENDENT_DIRECTORS","FY 2019","FY 2019","Currency=USD","Period=FQ","BEST_FPERIOD_OVERRIDE=FQ","FILING_STATUS=MR","Sort=A","Dates=H","DateFormat=P","Fill=—","Direction=H","UseDPDF=Y")</f>
        <v>—</v>
      </c>
      <c r="T42" s="14" t="str">
        <f>_xll.BDH("SRPT US Equity","PCT_INDEPENDENT_DIRECTORS","FY 2020","FY 2020","Currency=USD","Period=FQ","BEST_FPERIOD_OVERRIDE=FQ","FILING_STATUS=MR","Sort=A","Dates=H","DateFormat=P","Fill=—","Direction=H","UseDPDF=Y")</f>
        <v>—</v>
      </c>
      <c r="U42" s="14" t="str">
        <f>_xll.BDH("SRPT US Equity","PCT_INDEPENDENT_DIRECTORS","FY 2021","FY 2021","Currency=USD","Period=FQ","BEST_FPERIOD_OVERRIDE=FQ","FILING_STATUS=MR","Sort=A","Dates=H","DateFormat=P","Fill=—","Direction=H","UseDPDF=Y")</f>
        <v>—</v>
      </c>
      <c r="V42" s="14" t="str">
        <f>_xll.BDH("SRPT US Equity","PCT_INDEPENDENT_DIRECTORS","FY 2022","FY 2022","Currency=USD","Period=FQ","BEST_FPERIOD_OVERRIDE=FQ","FILING_STATUS=MR","Sort=A","Dates=H","DateFormat=P","Fill=—","Direction=H","UseDPDF=Y")</f>
        <v>—</v>
      </c>
      <c r="W42" s="14" t="str">
        <f>_xll.BDH("SRPT US Equity","PCT_INDEPENDENT_DIRECTORS","FY 2023","FY 2023","Currency=USD","Period=FQ","BEST_FPERIOD_OVERRIDE=FQ","FILING_STATUS=MR","Sort=A","Dates=H","DateFormat=P","Fill=—","Direction=H","UseDPDF=Y")</f>
        <v>—</v>
      </c>
      <c r="X42" s="14" t="str">
        <f>_xll.BDH("SRPT US Equity","PCT_INDEPENDENT_DIRECTORS","FY 2024","FY 2024","Currency=USD","Period=FQ","BEST_FPERIOD_OVERRIDE=FQ","FILING_STATUS=MR","Sort=A","Dates=H","DateFormat=P","Fill=—","Direction=H","UseDPDF=Y")</f>
        <v>—</v>
      </c>
    </row>
    <row r="43" spans="1:24" x14ac:dyDescent="0.25">
      <c r="A43" s="10" t="s">
        <v>1772</v>
      </c>
      <c r="B43" s="10" t="s">
        <v>1773</v>
      </c>
      <c r="C43" s="14" t="str">
        <f>_xll.BDH("SRPT US Equity","PCT_WOMEN_ON_BOARD","FY 2002","FY 2002","Currency=USD","Period=FQ","BEST_FPERIOD_OVERRIDE=FQ","FILING_STATUS=MR","Sort=A","Dates=H","DateFormat=P","Fill=—","Direction=H","UseDPDF=Y")</f>
        <v>—</v>
      </c>
      <c r="D43" s="14" t="str">
        <f>_xll.BDH("SRPT US Equity","PCT_WOMEN_ON_BOARD","FY 2004","FY 2004","Currency=USD","Period=FQ","BEST_FPERIOD_OVERRIDE=FQ","FILING_STATUS=MR","Sort=A","Dates=H","DateFormat=P","Fill=—","Direction=H","UseDPDF=Y")</f>
        <v>—</v>
      </c>
      <c r="E43" s="14" t="str">
        <f>_xll.BDH("SRPT US Equity","PCT_WOMEN_ON_BOARD","FY 2005","FY 2005","Currency=USD","Period=FQ","BEST_FPERIOD_OVERRIDE=FQ","FILING_STATUS=MR","Sort=A","Dates=H","DateFormat=P","Fill=—","Direction=H","UseDPDF=Y")</f>
        <v>—</v>
      </c>
      <c r="F43" s="14" t="str">
        <f>_xll.BDH("SRPT US Equity","PCT_WOMEN_ON_BOARD","FY 2006","FY 2006","Currency=USD","Period=FQ","BEST_FPERIOD_OVERRIDE=FQ","FILING_STATUS=MR","Sort=A","Dates=H","DateFormat=P","Fill=—","Direction=H","UseDPDF=Y")</f>
        <v>—</v>
      </c>
      <c r="G43" s="14" t="str">
        <f>_xll.BDH("SRPT US Equity","PCT_WOMEN_ON_BOARD","FY 2007","FY 2007","Currency=USD","Period=FQ","BEST_FPERIOD_OVERRIDE=FQ","FILING_STATUS=MR","Sort=A","Dates=H","DateFormat=P","Fill=—","Direction=H","UseDPDF=Y")</f>
        <v>—</v>
      </c>
      <c r="H43" s="14" t="str">
        <f>_xll.BDH("SRPT US Equity","PCT_WOMEN_ON_BOARD","FY 2008","FY 2008","Currency=USD","Period=FQ","BEST_FPERIOD_OVERRIDE=FQ","FILING_STATUS=MR","Sort=A","Dates=H","DateFormat=P","Fill=—","Direction=H","UseDPDF=Y")</f>
        <v>—</v>
      </c>
      <c r="I43" s="14" t="str">
        <f>_xll.BDH("SRPT US Equity","PCT_WOMEN_ON_BOARD","FY 2009","FY 2009","Currency=USD","Period=FQ","BEST_FPERIOD_OVERRIDE=FQ","FILING_STATUS=MR","Sort=A","Dates=H","DateFormat=P","Fill=—","Direction=H","UseDPDF=Y")</f>
        <v>—</v>
      </c>
      <c r="J43" s="14" t="str">
        <f>_xll.BDH("SRPT US Equity","PCT_WOMEN_ON_BOARD","FY 2010","FY 2010","Currency=USD","Period=FQ","BEST_FPERIOD_OVERRIDE=FQ","FILING_STATUS=MR","Sort=A","Dates=H","DateFormat=P","Fill=—","Direction=H","UseDPDF=Y")</f>
        <v>—</v>
      </c>
      <c r="K43" s="14" t="str">
        <f>_xll.BDH("SRPT US Equity","PCT_WOMEN_ON_BOARD","FY 2011","FY 2011","Currency=USD","Period=FQ","BEST_FPERIOD_OVERRIDE=FQ","FILING_STATUS=MR","Sort=A","Dates=H","DateFormat=P","Fill=—","Direction=H","UseDPDF=Y")</f>
        <v>—</v>
      </c>
      <c r="L43" s="14" t="str">
        <f>_xll.BDH("SRPT US Equity","PCT_WOMEN_ON_BOARD","FY 2012","FY 2012","Currency=USD","Period=FQ","BEST_FPERIOD_OVERRIDE=FQ","FILING_STATUS=MR","Sort=A","Dates=H","DateFormat=P","Fill=—","Direction=H","UseDPDF=Y")</f>
        <v>—</v>
      </c>
      <c r="M43" s="14" t="str">
        <f>_xll.BDH("SRPT US Equity","PCT_WOMEN_ON_BOARD","FY 2013","FY 2013","Currency=USD","Period=FQ","BEST_FPERIOD_OVERRIDE=FQ","FILING_STATUS=MR","Sort=A","Dates=H","DateFormat=P","Fill=—","Direction=H","UseDPDF=Y")</f>
        <v>—</v>
      </c>
      <c r="N43" s="14" t="str">
        <f>_xll.BDH("SRPT US Equity","PCT_WOMEN_ON_BOARD","FY 2014","FY 2014","Currency=USD","Period=FQ","BEST_FPERIOD_OVERRIDE=FQ","FILING_STATUS=MR","Sort=A","Dates=H","DateFormat=P","Fill=—","Direction=H","UseDPDF=Y")</f>
        <v>—</v>
      </c>
      <c r="O43" s="14" t="str">
        <f>_xll.BDH("SRPT US Equity","PCT_WOMEN_ON_BOARD","FY 2015","FY 2015","Currency=USD","Period=FQ","BEST_FPERIOD_OVERRIDE=FQ","FILING_STATUS=MR","Sort=A","Dates=H","DateFormat=P","Fill=—","Direction=H","UseDPDF=Y")</f>
        <v>—</v>
      </c>
      <c r="P43" s="14" t="str">
        <f>_xll.BDH("SRPT US Equity","PCT_WOMEN_ON_BOARD","FY 2016","FY 2016","Currency=USD","Period=FQ","BEST_FPERIOD_OVERRIDE=FQ","FILING_STATUS=MR","Sort=A","Dates=H","DateFormat=P","Fill=—","Direction=H","UseDPDF=Y")</f>
        <v>—</v>
      </c>
      <c r="Q43" s="14" t="str">
        <f>_xll.BDH("SRPT US Equity","PCT_WOMEN_ON_BOARD","FY 2017","FY 2017","Currency=USD","Period=FQ","BEST_FPERIOD_OVERRIDE=FQ","FILING_STATUS=MR","Sort=A","Dates=H","DateFormat=P","Fill=—","Direction=H","UseDPDF=Y")</f>
        <v>—</v>
      </c>
      <c r="R43" s="14" t="str">
        <f>_xll.BDH("SRPT US Equity","PCT_WOMEN_ON_BOARD","FY 2018","FY 2018","Currency=USD","Period=FQ","BEST_FPERIOD_OVERRIDE=FQ","FILING_STATUS=MR","Sort=A","Dates=H","DateFormat=P","Fill=—","Direction=H","UseDPDF=Y")</f>
        <v>—</v>
      </c>
      <c r="S43" s="14" t="str">
        <f>_xll.BDH("SRPT US Equity","PCT_WOMEN_ON_BOARD","FY 2019","FY 2019","Currency=USD","Period=FQ","BEST_FPERIOD_OVERRIDE=FQ","FILING_STATUS=MR","Sort=A","Dates=H","DateFormat=P","Fill=—","Direction=H","UseDPDF=Y")</f>
        <v>—</v>
      </c>
      <c r="T43" s="14" t="str">
        <f>_xll.BDH("SRPT US Equity","PCT_WOMEN_ON_BOARD","FY 2020","FY 2020","Currency=USD","Period=FQ","BEST_FPERIOD_OVERRIDE=FQ","FILING_STATUS=MR","Sort=A","Dates=H","DateFormat=P","Fill=—","Direction=H","UseDPDF=Y")</f>
        <v>—</v>
      </c>
      <c r="U43" s="14" t="str">
        <f>_xll.BDH("SRPT US Equity","PCT_WOMEN_ON_BOARD","FY 2021","FY 2021","Currency=USD","Period=FQ","BEST_FPERIOD_OVERRIDE=FQ","FILING_STATUS=MR","Sort=A","Dates=H","DateFormat=P","Fill=—","Direction=H","UseDPDF=Y")</f>
        <v>—</v>
      </c>
      <c r="V43" s="14" t="str">
        <f>_xll.BDH("SRPT US Equity","PCT_WOMEN_ON_BOARD","FY 2022","FY 2022","Currency=USD","Period=FQ","BEST_FPERIOD_OVERRIDE=FQ","FILING_STATUS=MR","Sort=A","Dates=H","DateFormat=P","Fill=—","Direction=H","UseDPDF=Y")</f>
        <v>—</v>
      </c>
      <c r="W43" s="14" t="str">
        <f>_xll.BDH("SRPT US Equity","PCT_WOMEN_ON_BOARD","FY 2023","FY 2023","Currency=USD","Period=FQ","BEST_FPERIOD_OVERRIDE=FQ","FILING_STATUS=MR","Sort=A","Dates=H","DateFormat=P","Fill=—","Direction=H","UseDPDF=Y")</f>
        <v>—</v>
      </c>
      <c r="X43" s="14" t="str">
        <f>_xll.BDH("SRPT US Equity","PCT_WOMEN_ON_BOARD","FY 2024","FY 2024","Currency=USD","Period=FQ","BEST_FPERIOD_OVERRIDE=FQ","FILING_STATUS=MR","Sort=A","Dates=H","DateFormat=P","Fill=—","Direction=H","UseDPDF=Y")</f>
        <v>—</v>
      </c>
    </row>
    <row r="44" spans="1:24" x14ac:dyDescent="0.25">
      <c r="A44" s="10" t="s">
        <v>1774</v>
      </c>
      <c r="B44" s="10" t="s">
        <v>1775</v>
      </c>
      <c r="C44" s="14" t="str">
        <f>_xll.BDH("SRPT US Equity","PERCENTAGE_OF_FEMALE_EXECUTIVES","FY 2002","FY 2002","Currency=USD","Period=FQ","BEST_FPERIOD_OVERRIDE=FQ","FILING_STATUS=MR","Sort=A","Dates=H","DateFormat=P","Fill=—","Direction=H","UseDPDF=Y")</f>
        <v>—</v>
      </c>
      <c r="D44" s="14" t="str">
        <f>_xll.BDH("SRPT US Equity","PERCENTAGE_OF_FEMALE_EXECUTIVES","FY 2004","FY 2004","Currency=USD","Period=FQ","BEST_FPERIOD_OVERRIDE=FQ","FILING_STATUS=MR","Sort=A","Dates=H","DateFormat=P","Fill=—","Direction=H","UseDPDF=Y")</f>
        <v>—</v>
      </c>
      <c r="E44" s="14" t="str">
        <f>_xll.BDH("SRPT US Equity","PERCENTAGE_OF_FEMALE_EXECUTIVES","FY 2005","FY 2005","Currency=USD","Period=FQ","BEST_FPERIOD_OVERRIDE=FQ","FILING_STATUS=MR","Sort=A","Dates=H","DateFormat=P","Fill=—","Direction=H","UseDPDF=Y")</f>
        <v>—</v>
      </c>
      <c r="F44" s="14" t="str">
        <f>_xll.BDH("SRPT US Equity","PERCENTAGE_OF_FEMALE_EXECUTIVES","FY 2006","FY 2006","Currency=USD","Period=FQ","BEST_FPERIOD_OVERRIDE=FQ","FILING_STATUS=MR","Sort=A","Dates=H","DateFormat=P","Fill=—","Direction=H","UseDPDF=Y")</f>
        <v>—</v>
      </c>
      <c r="G44" s="14" t="str">
        <f>_xll.BDH("SRPT US Equity","PERCENTAGE_OF_FEMALE_EXECUTIVES","FY 2007","FY 2007","Currency=USD","Period=FQ","BEST_FPERIOD_OVERRIDE=FQ","FILING_STATUS=MR","Sort=A","Dates=H","DateFormat=P","Fill=—","Direction=H","UseDPDF=Y")</f>
        <v>—</v>
      </c>
      <c r="H44" s="14" t="str">
        <f>_xll.BDH("SRPT US Equity","PERCENTAGE_OF_FEMALE_EXECUTIVES","FY 2008","FY 2008","Currency=USD","Period=FQ","BEST_FPERIOD_OVERRIDE=FQ","FILING_STATUS=MR","Sort=A","Dates=H","DateFormat=P","Fill=—","Direction=H","UseDPDF=Y")</f>
        <v>—</v>
      </c>
      <c r="I44" s="14" t="str">
        <f>_xll.BDH("SRPT US Equity","PERCENTAGE_OF_FEMALE_EXECUTIVES","FY 2009","FY 2009","Currency=USD","Period=FQ","BEST_FPERIOD_OVERRIDE=FQ","FILING_STATUS=MR","Sort=A","Dates=H","DateFormat=P","Fill=—","Direction=H","UseDPDF=Y")</f>
        <v>—</v>
      </c>
      <c r="J44" s="14" t="str">
        <f>_xll.BDH("SRPT US Equity","PERCENTAGE_OF_FEMALE_EXECUTIVES","FY 2010","FY 2010","Currency=USD","Period=FQ","BEST_FPERIOD_OVERRIDE=FQ","FILING_STATUS=MR","Sort=A","Dates=H","DateFormat=P","Fill=—","Direction=H","UseDPDF=Y")</f>
        <v>—</v>
      </c>
      <c r="K44" s="14" t="str">
        <f>_xll.BDH("SRPT US Equity","PERCENTAGE_OF_FEMALE_EXECUTIVES","FY 2011","FY 2011","Currency=USD","Period=FQ","BEST_FPERIOD_OVERRIDE=FQ","FILING_STATUS=MR","Sort=A","Dates=H","DateFormat=P","Fill=—","Direction=H","UseDPDF=Y")</f>
        <v>—</v>
      </c>
      <c r="L44" s="14" t="str">
        <f>_xll.BDH("SRPT US Equity","PERCENTAGE_OF_FEMALE_EXECUTIVES","FY 2012","FY 2012","Currency=USD","Period=FQ","BEST_FPERIOD_OVERRIDE=FQ","FILING_STATUS=MR","Sort=A","Dates=H","DateFormat=P","Fill=—","Direction=H","UseDPDF=Y")</f>
        <v>—</v>
      </c>
      <c r="M44" s="14" t="str">
        <f>_xll.BDH("SRPT US Equity","PERCENTAGE_OF_FEMALE_EXECUTIVES","FY 2013","FY 2013","Currency=USD","Period=FQ","BEST_FPERIOD_OVERRIDE=FQ","FILING_STATUS=MR","Sort=A","Dates=H","DateFormat=P","Fill=—","Direction=H","UseDPDF=Y")</f>
        <v>—</v>
      </c>
      <c r="N44" s="14" t="str">
        <f>_xll.BDH("SRPT US Equity","PERCENTAGE_OF_FEMALE_EXECUTIVES","FY 2014","FY 2014","Currency=USD","Period=FQ","BEST_FPERIOD_OVERRIDE=FQ","FILING_STATUS=MR","Sort=A","Dates=H","DateFormat=P","Fill=—","Direction=H","UseDPDF=Y")</f>
        <v>—</v>
      </c>
      <c r="O44" s="14" t="str">
        <f>_xll.BDH("SRPT US Equity","PERCENTAGE_OF_FEMALE_EXECUTIVES","FY 2015","FY 2015","Currency=USD","Period=FQ","BEST_FPERIOD_OVERRIDE=FQ","FILING_STATUS=MR","Sort=A","Dates=H","DateFormat=P","Fill=—","Direction=H","UseDPDF=Y")</f>
        <v>—</v>
      </c>
      <c r="P44" s="14" t="str">
        <f>_xll.BDH("SRPT US Equity","PERCENTAGE_OF_FEMALE_EXECUTIVES","FY 2016","FY 2016","Currency=USD","Period=FQ","BEST_FPERIOD_OVERRIDE=FQ","FILING_STATUS=MR","Sort=A","Dates=H","DateFormat=P","Fill=—","Direction=H","UseDPDF=Y")</f>
        <v>—</v>
      </c>
      <c r="Q44" s="14" t="str">
        <f>_xll.BDH("SRPT US Equity","PERCENTAGE_OF_FEMALE_EXECUTIVES","FY 2017","FY 2017","Currency=USD","Period=FQ","BEST_FPERIOD_OVERRIDE=FQ","FILING_STATUS=MR","Sort=A","Dates=H","DateFormat=P","Fill=—","Direction=H","UseDPDF=Y")</f>
        <v>—</v>
      </c>
      <c r="R44" s="14" t="str">
        <f>_xll.BDH("SRPT US Equity","PERCENTAGE_OF_FEMALE_EXECUTIVES","FY 2018","FY 2018","Currency=USD","Period=FQ","BEST_FPERIOD_OVERRIDE=FQ","FILING_STATUS=MR","Sort=A","Dates=H","DateFormat=P","Fill=—","Direction=H","UseDPDF=Y")</f>
        <v>—</v>
      </c>
      <c r="S44" s="14" t="str">
        <f>_xll.BDH("SRPT US Equity","PERCENTAGE_OF_FEMALE_EXECUTIVES","FY 2019","FY 2019","Currency=USD","Period=FQ","BEST_FPERIOD_OVERRIDE=FQ","FILING_STATUS=MR","Sort=A","Dates=H","DateFormat=P","Fill=—","Direction=H","UseDPDF=Y")</f>
        <v>—</v>
      </c>
      <c r="T44" s="14" t="str">
        <f>_xll.BDH("SRPT US Equity","PERCENTAGE_OF_FEMALE_EXECUTIVES","FY 2020","FY 2020","Currency=USD","Period=FQ","BEST_FPERIOD_OVERRIDE=FQ","FILING_STATUS=MR","Sort=A","Dates=H","DateFormat=P","Fill=—","Direction=H","UseDPDF=Y")</f>
        <v>—</v>
      </c>
      <c r="U44" s="14" t="str">
        <f>_xll.BDH("SRPT US Equity","PERCENTAGE_OF_FEMALE_EXECUTIVES","FY 2021","FY 2021","Currency=USD","Period=FQ","BEST_FPERIOD_OVERRIDE=FQ","FILING_STATUS=MR","Sort=A","Dates=H","DateFormat=P","Fill=—","Direction=H","UseDPDF=Y")</f>
        <v>—</v>
      </c>
      <c r="V44" s="14" t="str">
        <f>_xll.BDH("SRPT US Equity","PERCENTAGE_OF_FEMALE_EXECUTIVES","FY 2022","FY 2022","Currency=USD","Period=FQ","BEST_FPERIOD_OVERRIDE=FQ","FILING_STATUS=MR","Sort=A","Dates=H","DateFormat=P","Fill=—","Direction=H","UseDPDF=Y")</f>
        <v>—</v>
      </c>
      <c r="W44" s="14" t="str">
        <f>_xll.BDH("SRPT US Equity","PERCENTAGE_OF_FEMALE_EXECUTIVES","FY 2023","FY 2023","Currency=USD","Period=FQ","BEST_FPERIOD_OVERRIDE=FQ","FILING_STATUS=MR","Sort=A","Dates=H","DateFormat=P","Fill=—","Direction=H","UseDPDF=Y")</f>
        <v>—</v>
      </c>
      <c r="X44" s="14" t="str">
        <f>_xll.BDH("SRPT US Equity","PERCENTAGE_OF_FEMALE_EXECUTIVES","FY 2024","FY 2024","Currency=USD","Period=FQ","BEST_FPERIOD_OVERRIDE=FQ","FILING_STATUS=MR","Sort=A","Dates=H","DateFormat=P","Fill=—","Direction=H","UseDPDF=Y")</f>
        <v>—</v>
      </c>
    </row>
    <row r="45" spans="1:24" x14ac:dyDescent="0.25">
      <c r="A45" s="10" t="s">
        <v>1776</v>
      </c>
      <c r="B45" s="10" t="s">
        <v>1777</v>
      </c>
      <c r="C45" s="14" t="str">
        <f>_xll.BDH("SRPT US Equity","BOARD_OF_DIRECTORS_AGE_RANGE","FY 2002","FY 2002","Currency=USD","Period=FQ","BEST_FPERIOD_OVERRIDE=FQ","FILING_STATUS=MR","Sort=A","Dates=H","DateFormat=P","Fill=—","Direction=H","UseDPDF=Y")</f>
        <v>—</v>
      </c>
      <c r="D45" s="14" t="str">
        <f>_xll.BDH("SRPT US Equity","BOARD_OF_DIRECTORS_AGE_RANGE","FY 2004","FY 2004","Currency=USD","Period=FQ","BEST_FPERIOD_OVERRIDE=FQ","FILING_STATUS=MR","Sort=A","Dates=H","DateFormat=P","Fill=—","Direction=H","UseDPDF=Y")</f>
        <v>—</v>
      </c>
      <c r="E45" s="14" t="str">
        <f>_xll.BDH("SRPT US Equity","BOARD_OF_DIRECTORS_AGE_RANGE","FY 2005","FY 2005","Currency=USD","Period=FQ","BEST_FPERIOD_OVERRIDE=FQ","FILING_STATUS=MR","Sort=A","Dates=H","DateFormat=P","Fill=—","Direction=H","UseDPDF=Y")</f>
        <v>—</v>
      </c>
      <c r="F45" s="14" t="str">
        <f>_xll.BDH("SRPT US Equity","BOARD_OF_DIRECTORS_AGE_RANGE","FY 2006","FY 2006","Currency=USD","Period=FQ","BEST_FPERIOD_OVERRIDE=FQ","FILING_STATUS=MR","Sort=A","Dates=H","DateFormat=P","Fill=—","Direction=H","UseDPDF=Y")</f>
        <v>—</v>
      </c>
      <c r="G45" s="14" t="str">
        <f>_xll.BDH("SRPT US Equity","BOARD_OF_DIRECTORS_AGE_RANGE","FY 2007","FY 2007","Currency=USD","Period=FQ","BEST_FPERIOD_OVERRIDE=FQ","FILING_STATUS=MR","Sort=A","Dates=H","DateFormat=P","Fill=—","Direction=H","UseDPDF=Y")</f>
        <v>—</v>
      </c>
      <c r="H45" s="14" t="str">
        <f>_xll.BDH("SRPT US Equity","BOARD_OF_DIRECTORS_AGE_RANGE","FY 2008","FY 2008","Currency=USD","Period=FQ","BEST_FPERIOD_OVERRIDE=FQ","FILING_STATUS=MR","Sort=A","Dates=H","DateFormat=P","Fill=—","Direction=H","UseDPDF=Y")</f>
        <v>—</v>
      </c>
      <c r="I45" s="14" t="str">
        <f>_xll.BDH("SRPT US Equity","BOARD_OF_DIRECTORS_AGE_RANGE","FY 2009","FY 2009","Currency=USD","Period=FQ","BEST_FPERIOD_OVERRIDE=FQ","FILING_STATUS=MR","Sort=A","Dates=H","DateFormat=P","Fill=—","Direction=H","UseDPDF=Y")</f>
        <v>—</v>
      </c>
      <c r="J45" s="14" t="str">
        <f>_xll.BDH("SRPT US Equity","BOARD_OF_DIRECTORS_AGE_RANGE","FY 2010","FY 2010","Currency=USD","Period=FQ","BEST_FPERIOD_OVERRIDE=FQ","FILING_STATUS=MR","Sort=A","Dates=H","DateFormat=P","Fill=—","Direction=H","UseDPDF=Y")</f>
        <v>—</v>
      </c>
      <c r="K45" s="14" t="str">
        <f>_xll.BDH("SRPT US Equity","BOARD_OF_DIRECTORS_AGE_RANGE","FY 2011","FY 2011","Currency=USD","Period=FQ","BEST_FPERIOD_OVERRIDE=FQ","FILING_STATUS=MR","Sort=A","Dates=H","DateFormat=P","Fill=—","Direction=H","UseDPDF=Y")</f>
        <v>—</v>
      </c>
      <c r="L45" s="14" t="str">
        <f>_xll.BDH("SRPT US Equity","BOARD_OF_DIRECTORS_AGE_RANGE","FY 2012","FY 2012","Currency=USD","Period=FQ","BEST_FPERIOD_OVERRIDE=FQ","FILING_STATUS=MR","Sort=A","Dates=H","DateFormat=P","Fill=—","Direction=H","UseDPDF=Y")</f>
        <v>—</v>
      </c>
      <c r="M45" s="14" t="str">
        <f>_xll.BDH("SRPT US Equity","BOARD_OF_DIRECTORS_AGE_RANGE","FY 2013","FY 2013","Currency=USD","Period=FQ","BEST_FPERIOD_OVERRIDE=FQ","FILING_STATUS=MR","Sort=A","Dates=H","DateFormat=P","Fill=—","Direction=H","UseDPDF=Y")</f>
        <v>—</v>
      </c>
      <c r="N45" s="14" t="str">
        <f>_xll.BDH("SRPT US Equity","BOARD_OF_DIRECTORS_AGE_RANGE","FY 2014","FY 2014","Currency=USD","Period=FQ","BEST_FPERIOD_OVERRIDE=FQ","FILING_STATUS=MR","Sort=A","Dates=H","DateFormat=P","Fill=—","Direction=H","UseDPDF=Y")</f>
        <v>—</v>
      </c>
      <c r="O45" s="14" t="str">
        <f>_xll.BDH("SRPT US Equity","BOARD_OF_DIRECTORS_AGE_RANGE","FY 2015","FY 2015","Currency=USD","Period=FQ","BEST_FPERIOD_OVERRIDE=FQ","FILING_STATUS=MR","Sort=A","Dates=H","DateFormat=P","Fill=—","Direction=H","UseDPDF=Y")</f>
        <v>—</v>
      </c>
      <c r="P45" s="14" t="str">
        <f>_xll.BDH("SRPT US Equity","BOARD_OF_DIRECTORS_AGE_RANGE","FY 2016","FY 2016","Currency=USD","Period=FQ","BEST_FPERIOD_OVERRIDE=FQ","FILING_STATUS=MR","Sort=A","Dates=H","DateFormat=P","Fill=—","Direction=H","UseDPDF=Y")</f>
        <v>—</v>
      </c>
      <c r="Q45" s="14" t="str">
        <f>_xll.BDH("SRPT US Equity","BOARD_OF_DIRECTORS_AGE_RANGE","FY 2017","FY 2017","Currency=USD","Period=FQ","BEST_FPERIOD_OVERRIDE=FQ","FILING_STATUS=MR","Sort=A","Dates=H","DateFormat=P","Fill=—","Direction=H","UseDPDF=Y")</f>
        <v>—</v>
      </c>
      <c r="R45" s="14" t="str">
        <f>_xll.BDH("SRPT US Equity","BOARD_OF_DIRECTORS_AGE_RANGE","FY 2018","FY 2018","Currency=USD","Period=FQ","BEST_FPERIOD_OVERRIDE=FQ","FILING_STATUS=MR","Sort=A","Dates=H","DateFormat=P","Fill=—","Direction=H","UseDPDF=Y")</f>
        <v>—</v>
      </c>
      <c r="S45" s="14" t="str">
        <f>_xll.BDH("SRPT US Equity","BOARD_OF_DIRECTORS_AGE_RANGE","FY 2019","FY 2019","Currency=USD","Period=FQ","BEST_FPERIOD_OVERRIDE=FQ","FILING_STATUS=MR","Sort=A","Dates=H","DateFormat=P","Fill=—","Direction=H","UseDPDF=Y")</f>
        <v>—</v>
      </c>
      <c r="T45" s="14" t="str">
        <f>_xll.BDH("SRPT US Equity","BOARD_OF_DIRECTORS_AGE_RANGE","FY 2020","FY 2020","Currency=USD","Period=FQ","BEST_FPERIOD_OVERRIDE=FQ","FILING_STATUS=MR","Sort=A","Dates=H","DateFormat=P","Fill=—","Direction=H","UseDPDF=Y")</f>
        <v>—</v>
      </c>
      <c r="U45" s="14" t="str">
        <f>_xll.BDH("SRPT US Equity","BOARD_OF_DIRECTORS_AGE_RANGE","FY 2021","FY 2021","Currency=USD","Period=FQ","BEST_FPERIOD_OVERRIDE=FQ","FILING_STATUS=MR","Sort=A","Dates=H","DateFormat=P","Fill=—","Direction=H","UseDPDF=Y")</f>
        <v>—</v>
      </c>
      <c r="V45" s="14" t="str">
        <f>_xll.BDH("SRPT US Equity","BOARD_OF_DIRECTORS_AGE_RANGE","FY 2022","FY 2022","Currency=USD","Period=FQ","BEST_FPERIOD_OVERRIDE=FQ","FILING_STATUS=MR","Sort=A","Dates=H","DateFormat=P","Fill=—","Direction=H","UseDPDF=Y")</f>
        <v>—</v>
      </c>
      <c r="W45" s="14" t="str">
        <f>_xll.BDH("SRPT US Equity","BOARD_OF_DIRECTORS_AGE_RANGE","FY 2023","FY 2023","Currency=USD","Period=FQ","BEST_FPERIOD_OVERRIDE=FQ","FILING_STATUS=MR","Sort=A","Dates=H","DateFormat=P","Fill=—","Direction=H","UseDPDF=Y")</f>
        <v>—</v>
      </c>
      <c r="X45" s="14" t="str">
        <f>_xll.BDH("SRPT US Equity","BOARD_OF_DIRECTORS_AGE_RANGE","FY 2024","FY 2024","Currency=USD","Period=FQ","BEST_FPERIOD_OVERRIDE=FQ","FILING_STATUS=MR","Sort=A","Dates=H","DateFormat=P","Fill=—","Direction=H","UseDPDF=Y")</f>
        <v>—</v>
      </c>
    </row>
    <row r="46" spans="1:24" x14ac:dyDescent="0.25">
      <c r="A46" s="10" t="s">
        <v>1778</v>
      </c>
      <c r="B46" s="10" t="s">
        <v>1779</v>
      </c>
      <c r="C46" s="14" t="str">
        <f>_xll.BDH("SRPT US Equity","BOARD_AVERAGE_AGE","FY 2002","FY 2002","Currency=USD","Period=FQ","BEST_FPERIOD_OVERRIDE=FQ","FILING_STATUS=MR","Sort=A","Dates=H","DateFormat=P","Fill=—","Direction=H","UseDPDF=Y")</f>
        <v>—</v>
      </c>
      <c r="D46" s="14" t="str">
        <f>_xll.BDH("SRPT US Equity","BOARD_AVERAGE_AGE","FY 2004","FY 2004","Currency=USD","Period=FQ","BEST_FPERIOD_OVERRIDE=FQ","FILING_STATUS=MR","Sort=A","Dates=H","DateFormat=P","Fill=—","Direction=H","UseDPDF=Y")</f>
        <v>—</v>
      </c>
      <c r="E46" s="14" t="str">
        <f>_xll.BDH("SRPT US Equity","BOARD_AVERAGE_AGE","FY 2005","FY 2005","Currency=USD","Period=FQ","BEST_FPERIOD_OVERRIDE=FQ","FILING_STATUS=MR","Sort=A","Dates=H","DateFormat=P","Fill=—","Direction=H","UseDPDF=Y")</f>
        <v>—</v>
      </c>
      <c r="F46" s="14" t="str">
        <f>_xll.BDH("SRPT US Equity","BOARD_AVERAGE_AGE","FY 2006","FY 2006","Currency=USD","Period=FQ","BEST_FPERIOD_OVERRIDE=FQ","FILING_STATUS=MR","Sort=A","Dates=H","DateFormat=P","Fill=—","Direction=H","UseDPDF=Y")</f>
        <v>—</v>
      </c>
      <c r="G46" s="14" t="str">
        <f>_xll.BDH("SRPT US Equity","BOARD_AVERAGE_AGE","FY 2007","FY 2007","Currency=USD","Period=FQ","BEST_FPERIOD_OVERRIDE=FQ","FILING_STATUS=MR","Sort=A","Dates=H","DateFormat=P","Fill=—","Direction=H","UseDPDF=Y")</f>
        <v>—</v>
      </c>
      <c r="H46" s="14" t="str">
        <f>_xll.BDH("SRPT US Equity","BOARD_AVERAGE_AGE","FY 2008","FY 2008","Currency=USD","Period=FQ","BEST_FPERIOD_OVERRIDE=FQ","FILING_STATUS=MR","Sort=A","Dates=H","DateFormat=P","Fill=—","Direction=H","UseDPDF=Y")</f>
        <v>—</v>
      </c>
      <c r="I46" s="14" t="str">
        <f>_xll.BDH("SRPT US Equity","BOARD_AVERAGE_AGE","FY 2009","FY 2009","Currency=USD","Period=FQ","BEST_FPERIOD_OVERRIDE=FQ","FILING_STATUS=MR","Sort=A","Dates=H","DateFormat=P","Fill=—","Direction=H","UseDPDF=Y")</f>
        <v>—</v>
      </c>
      <c r="J46" s="14" t="str">
        <f>_xll.BDH("SRPT US Equity","BOARD_AVERAGE_AGE","FY 2010","FY 2010","Currency=USD","Period=FQ","BEST_FPERIOD_OVERRIDE=FQ","FILING_STATUS=MR","Sort=A","Dates=H","DateFormat=P","Fill=—","Direction=H","UseDPDF=Y")</f>
        <v>—</v>
      </c>
      <c r="K46" s="14" t="str">
        <f>_xll.BDH("SRPT US Equity","BOARD_AVERAGE_AGE","FY 2011","FY 2011","Currency=USD","Period=FQ","BEST_FPERIOD_OVERRIDE=FQ","FILING_STATUS=MR","Sort=A","Dates=H","DateFormat=P","Fill=—","Direction=H","UseDPDF=Y")</f>
        <v>—</v>
      </c>
      <c r="L46" s="14" t="str">
        <f>_xll.BDH("SRPT US Equity","BOARD_AVERAGE_AGE","FY 2012","FY 2012","Currency=USD","Period=FQ","BEST_FPERIOD_OVERRIDE=FQ","FILING_STATUS=MR","Sort=A","Dates=H","DateFormat=P","Fill=—","Direction=H","UseDPDF=Y")</f>
        <v>—</v>
      </c>
      <c r="M46" s="14" t="str">
        <f>_xll.BDH("SRPT US Equity","BOARD_AVERAGE_AGE","FY 2013","FY 2013","Currency=USD","Period=FQ","BEST_FPERIOD_OVERRIDE=FQ","FILING_STATUS=MR","Sort=A","Dates=H","DateFormat=P","Fill=—","Direction=H","UseDPDF=Y")</f>
        <v>—</v>
      </c>
      <c r="N46" s="14" t="str">
        <f>_xll.BDH("SRPT US Equity","BOARD_AVERAGE_AGE","FY 2014","FY 2014","Currency=USD","Period=FQ","BEST_FPERIOD_OVERRIDE=FQ","FILING_STATUS=MR","Sort=A","Dates=H","DateFormat=P","Fill=—","Direction=H","UseDPDF=Y")</f>
        <v>—</v>
      </c>
      <c r="O46" s="14" t="str">
        <f>_xll.BDH("SRPT US Equity","BOARD_AVERAGE_AGE","FY 2015","FY 2015","Currency=USD","Period=FQ","BEST_FPERIOD_OVERRIDE=FQ","FILING_STATUS=MR","Sort=A","Dates=H","DateFormat=P","Fill=—","Direction=H","UseDPDF=Y")</f>
        <v>—</v>
      </c>
      <c r="P46" s="14" t="str">
        <f>_xll.BDH("SRPT US Equity","BOARD_AVERAGE_AGE","FY 2016","FY 2016","Currency=USD","Period=FQ","BEST_FPERIOD_OVERRIDE=FQ","FILING_STATUS=MR","Sort=A","Dates=H","DateFormat=P","Fill=—","Direction=H","UseDPDF=Y")</f>
        <v>—</v>
      </c>
      <c r="Q46" s="14" t="str">
        <f>_xll.BDH("SRPT US Equity","BOARD_AVERAGE_AGE","FY 2017","FY 2017","Currency=USD","Period=FQ","BEST_FPERIOD_OVERRIDE=FQ","FILING_STATUS=MR","Sort=A","Dates=H","DateFormat=P","Fill=—","Direction=H","UseDPDF=Y")</f>
        <v>—</v>
      </c>
      <c r="R46" s="14" t="str">
        <f>_xll.BDH("SRPT US Equity","BOARD_AVERAGE_AGE","FY 2018","FY 2018","Currency=USD","Period=FQ","BEST_FPERIOD_OVERRIDE=FQ","FILING_STATUS=MR","Sort=A","Dates=H","DateFormat=P","Fill=—","Direction=H","UseDPDF=Y")</f>
        <v>—</v>
      </c>
      <c r="S46" s="14" t="str">
        <f>_xll.BDH("SRPT US Equity","BOARD_AVERAGE_AGE","FY 2019","FY 2019","Currency=USD","Period=FQ","BEST_FPERIOD_OVERRIDE=FQ","FILING_STATUS=MR","Sort=A","Dates=H","DateFormat=P","Fill=—","Direction=H","UseDPDF=Y")</f>
        <v>—</v>
      </c>
      <c r="T46" s="14" t="str">
        <f>_xll.BDH("SRPT US Equity","BOARD_AVERAGE_AGE","FY 2020","FY 2020","Currency=USD","Period=FQ","BEST_FPERIOD_OVERRIDE=FQ","FILING_STATUS=MR","Sort=A","Dates=H","DateFormat=P","Fill=—","Direction=H","UseDPDF=Y")</f>
        <v>—</v>
      </c>
      <c r="U46" s="14" t="str">
        <f>_xll.BDH("SRPT US Equity","BOARD_AVERAGE_AGE","FY 2021","FY 2021","Currency=USD","Period=FQ","BEST_FPERIOD_OVERRIDE=FQ","FILING_STATUS=MR","Sort=A","Dates=H","DateFormat=P","Fill=—","Direction=H","UseDPDF=Y")</f>
        <v>—</v>
      </c>
      <c r="V46" s="14" t="str">
        <f>_xll.BDH("SRPT US Equity","BOARD_AVERAGE_AGE","FY 2022","FY 2022","Currency=USD","Period=FQ","BEST_FPERIOD_OVERRIDE=FQ","FILING_STATUS=MR","Sort=A","Dates=H","DateFormat=P","Fill=—","Direction=H","UseDPDF=Y")</f>
        <v>—</v>
      </c>
      <c r="W46" s="14" t="str">
        <f>_xll.BDH("SRPT US Equity","BOARD_AVERAGE_AGE","FY 2023","FY 2023","Currency=USD","Period=FQ","BEST_FPERIOD_OVERRIDE=FQ","FILING_STATUS=MR","Sort=A","Dates=H","DateFormat=P","Fill=—","Direction=H","UseDPDF=Y")</f>
        <v>—</v>
      </c>
      <c r="X46" s="14" t="str">
        <f>_xll.BDH("SRPT US Equity","BOARD_AVERAGE_AGE","FY 2024","FY 2024","Currency=USD","Period=FQ","BEST_FPERIOD_OVERRIDE=FQ","FILING_STATUS=MR","Sort=A","Dates=H","DateFormat=P","Fill=—","Direction=H","UseDPDF=Y")</f>
        <v>—</v>
      </c>
    </row>
    <row r="47" spans="1:24" x14ac:dyDescent="0.25">
      <c r="A47" s="10" t="s">
        <v>1780</v>
      </c>
      <c r="B47" s="10" t="s">
        <v>1781</v>
      </c>
      <c r="C47" s="14" t="str">
        <f>_xll.BDH("SRPT US Equity","BOARD_MEETING_ATTENDANCE_PCT","FY 2002","FY 2002","Currency=USD","Period=FQ","BEST_FPERIOD_OVERRIDE=FQ","FILING_STATUS=MR","Sort=A","Dates=H","DateFormat=P","Fill=—","Direction=H","UseDPDF=Y")</f>
        <v>—</v>
      </c>
      <c r="D47" s="14" t="str">
        <f>_xll.BDH("SRPT US Equity","BOARD_MEETING_ATTENDANCE_PCT","FY 2004","FY 2004","Currency=USD","Period=FQ","BEST_FPERIOD_OVERRIDE=FQ","FILING_STATUS=MR","Sort=A","Dates=H","DateFormat=P","Fill=—","Direction=H","UseDPDF=Y")</f>
        <v>—</v>
      </c>
      <c r="E47" s="14" t="str">
        <f>_xll.BDH("SRPT US Equity","BOARD_MEETING_ATTENDANCE_PCT","FY 2005","FY 2005","Currency=USD","Period=FQ","BEST_FPERIOD_OVERRIDE=FQ","FILING_STATUS=MR","Sort=A","Dates=H","DateFormat=P","Fill=—","Direction=H","UseDPDF=Y")</f>
        <v>—</v>
      </c>
      <c r="F47" s="14" t="str">
        <f>_xll.BDH("SRPT US Equity","BOARD_MEETING_ATTENDANCE_PCT","FY 2006","FY 2006","Currency=USD","Period=FQ","BEST_FPERIOD_OVERRIDE=FQ","FILING_STATUS=MR","Sort=A","Dates=H","DateFormat=P","Fill=—","Direction=H","UseDPDF=Y")</f>
        <v>—</v>
      </c>
      <c r="G47" s="14" t="str">
        <f>_xll.BDH("SRPT US Equity","BOARD_MEETING_ATTENDANCE_PCT","FY 2007","FY 2007","Currency=USD","Period=FQ","BEST_FPERIOD_OVERRIDE=FQ","FILING_STATUS=MR","Sort=A","Dates=H","DateFormat=P","Fill=—","Direction=H","UseDPDF=Y")</f>
        <v>—</v>
      </c>
      <c r="H47" s="14" t="str">
        <f>_xll.BDH("SRPT US Equity","BOARD_MEETING_ATTENDANCE_PCT","FY 2008","FY 2008","Currency=USD","Period=FQ","BEST_FPERIOD_OVERRIDE=FQ","FILING_STATUS=MR","Sort=A","Dates=H","DateFormat=P","Fill=—","Direction=H","UseDPDF=Y")</f>
        <v>—</v>
      </c>
      <c r="I47" s="14" t="str">
        <f>_xll.BDH("SRPT US Equity","BOARD_MEETING_ATTENDANCE_PCT","FY 2009","FY 2009","Currency=USD","Period=FQ","BEST_FPERIOD_OVERRIDE=FQ","FILING_STATUS=MR","Sort=A","Dates=H","DateFormat=P","Fill=—","Direction=H","UseDPDF=Y")</f>
        <v>—</v>
      </c>
      <c r="J47" s="14" t="str">
        <f>_xll.BDH("SRPT US Equity","BOARD_MEETING_ATTENDANCE_PCT","FY 2010","FY 2010","Currency=USD","Period=FQ","BEST_FPERIOD_OVERRIDE=FQ","FILING_STATUS=MR","Sort=A","Dates=H","DateFormat=P","Fill=—","Direction=H","UseDPDF=Y")</f>
        <v>—</v>
      </c>
      <c r="K47" s="14" t="str">
        <f>_xll.BDH("SRPT US Equity","BOARD_MEETING_ATTENDANCE_PCT","FY 2011","FY 2011","Currency=USD","Period=FQ","BEST_FPERIOD_OVERRIDE=FQ","FILING_STATUS=MR","Sort=A","Dates=H","DateFormat=P","Fill=—","Direction=H","UseDPDF=Y")</f>
        <v>—</v>
      </c>
      <c r="L47" s="14" t="str">
        <f>_xll.BDH("SRPT US Equity","BOARD_MEETING_ATTENDANCE_PCT","FY 2012","FY 2012","Currency=USD","Period=FQ","BEST_FPERIOD_OVERRIDE=FQ","FILING_STATUS=MR","Sort=A","Dates=H","DateFormat=P","Fill=—","Direction=H","UseDPDF=Y")</f>
        <v>—</v>
      </c>
      <c r="M47" s="14" t="str">
        <f>_xll.BDH("SRPT US Equity","BOARD_MEETING_ATTENDANCE_PCT","FY 2013","FY 2013","Currency=USD","Period=FQ","BEST_FPERIOD_OVERRIDE=FQ","FILING_STATUS=MR","Sort=A","Dates=H","DateFormat=P","Fill=—","Direction=H","UseDPDF=Y")</f>
        <v>—</v>
      </c>
      <c r="N47" s="14" t="str">
        <f>_xll.BDH("SRPT US Equity","BOARD_MEETING_ATTENDANCE_PCT","FY 2014","FY 2014","Currency=USD","Period=FQ","BEST_FPERIOD_OVERRIDE=FQ","FILING_STATUS=MR","Sort=A","Dates=H","DateFormat=P","Fill=—","Direction=H","UseDPDF=Y")</f>
        <v>—</v>
      </c>
      <c r="O47" s="14" t="str">
        <f>_xll.BDH("SRPT US Equity","BOARD_MEETING_ATTENDANCE_PCT","FY 2015","FY 2015","Currency=USD","Period=FQ","BEST_FPERIOD_OVERRIDE=FQ","FILING_STATUS=MR","Sort=A","Dates=H","DateFormat=P","Fill=—","Direction=H","UseDPDF=Y")</f>
        <v>—</v>
      </c>
      <c r="P47" s="14" t="str">
        <f>_xll.BDH("SRPT US Equity","BOARD_MEETING_ATTENDANCE_PCT","FY 2016","FY 2016","Currency=USD","Period=FQ","BEST_FPERIOD_OVERRIDE=FQ","FILING_STATUS=MR","Sort=A","Dates=H","DateFormat=P","Fill=—","Direction=H","UseDPDF=Y")</f>
        <v>—</v>
      </c>
      <c r="Q47" s="14" t="str">
        <f>_xll.BDH("SRPT US Equity","BOARD_MEETING_ATTENDANCE_PCT","FY 2017","FY 2017","Currency=USD","Period=FQ","BEST_FPERIOD_OVERRIDE=FQ","FILING_STATUS=MR","Sort=A","Dates=H","DateFormat=P","Fill=—","Direction=H","UseDPDF=Y")</f>
        <v>—</v>
      </c>
      <c r="R47" s="14" t="str">
        <f>_xll.BDH("SRPT US Equity","BOARD_MEETING_ATTENDANCE_PCT","FY 2018","FY 2018","Currency=USD","Period=FQ","BEST_FPERIOD_OVERRIDE=FQ","FILING_STATUS=MR","Sort=A","Dates=H","DateFormat=P","Fill=—","Direction=H","UseDPDF=Y")</f>
        <v>—</v>
      </c>
      <c r="S47" s="14" t="str">
        <f>_xll.BDH("SRPT US Equity","BOARD_MEETING_ATTENDANCE_PCT","FY 2019","FY 2019","Currency=USD","Period=FQ","BEST_FPERIOD_OVERRIDE=FQ","FILING_STATUS=MR","Sort=A","Dates=H","DateFormat=P","Fill=—","Direction=H","UseDPDF=Y")</f>
        <v>—</v>
      </c>
      <c r="T47" s="14" t="str">
        <f>_xll.BDH("SRPT US Equity","BOARD_MEETING_ATTENDANCE_PCT","FY 2020","FY 2020","Currency=USD","Period=FQ","BEST_FPERIOD_OVERRIDE=FQ","FILING_STATUS=MR","Sort=A","Dates=H","DateFormat=P","Fill=—","Direction=H","UseDPDF=Y")</f>
        <v>—</v>
      </c>
      <c r="U47" s="14" t="str">
        <f>_xll.BDH("SRPT US Equity","BOARD_MEETING_ATTENDANCE_PCT","FY 2021","FY 2021","Currency=USD","Period=FQ","BEST_FPERIOD_OVERRIDE=FQ","FILING_STATUS=MR","Sort=A","Dates=H","DateFormat=P","Fill=—","Direction=H","UseDPDF=Y")</f>
        <v>—</v>
      </c>
      <c r="V47" s="14" t="str">
        <f>_xll.BDH("SRPT US Equity","BOARD_MEETING_ATTENDANCE_PCT","FY 2022","FY 2022","Currency=USD","Period=FQ","BEST_FPERIOD_OVERRIDE=FQ","FILING_STATUS=MR","Sort=A","Dates=H","DateFormat=P","Fill=—","Direction=H","UseDPDF=Y")</f>
        <v>—</v>
      </c>
      <c r="W47" s="14" t="str">
        <f>_xll.BDH("SRPT US Equity","BOARD_MEETING_ATTENDANCE_PCT","FY 2023","FY 2023","Currency=USD","Period=FQ","BEST_FPERIOD_OVERRIDE=FQ","FILING_STATUS=MR","Sort=A","Dates=H","DateFormat=P","Fill=—","Direction=H","UseDPDF=Y")</f>
        <v>—</v>
      </c>
      <c r="X47" s="14" t="str">
        <f>_xll.BDH("SRPT US Equity","BOARD_MEETING_ATTENDANCE_PCT","FY 2024","FY 2024","Currency=USD","Period=FQ","BEST_FPERIOD_OVERRIDE=FQ","FILING_STATUS=MR","Sort=A","Dates=H","DateFormat=P","Fill=—","Direction=H","UseDPDF=Y")</f>
        <v>—</v>
      </c>
    </row>
    <row r="48" spans="1:24" x14ac:dyDescent="0.25">
      <c r="A48" s="10" t="s">
        <v>1782</v>
      </c>
      <c r="B48" s="10" t="s">
        <v>1783</v>
      </c>
      <c r="C48" s="14" t="str">
        <f>_xll.BDH("SRPT US Equity","IND_DIRECTORS_BRD_MTG_ATTEND_PCT","FY 2002","FY 2002","Currency=USD","Period=FQ","BEST_FPERIOD_OVERRIDE=FQ","FILING_STATUS=MR","Sort=A","Dates=H","DateFormat=P","Fill=—","Direction=H","UseDPDF=Y")</f>
        <v>—</v>
      </c>
      <c r="D48" s="14" t="str">
        <f>_xll.BDH("SRPT US Equity","IND_DIRECTORS_BRD_MTG_ATTEND_PCT","FY 2004","FY 2004","Currency=USD","Period=FQ","BEST_FPERIOD_OVERRIDE=FQ","FILING_STATUS=MR","Sort=A","Dates=H","DateFormat=P","Fill=—","Direction=H","UseDPDF=Y")</f>
        <v>—</v>
      </c>
      <c r="E48" s="14" t="str">
        <f>_xll.BDH("SRPT US Equity","IND_DIRECTORS_BRD_MTG_ATTEND_PCT","FY 2005","FY 2005","Currency=USD","Period=FQ","BEST_FPERIOD_OVERRIDE=FQ","FILING_STATUS=MR","Sort=A","Dates=H","DateFormat=P","Fill=—","Direction=H","UseDPDF=Y")</f>
        <v>—</v>
      </c>
      <c r="F48" s="14" t="str">
        <f>_xll.BDH("SRPT US Equity","IND_DIRECTORS_BRD_MTG_ATTEND_PCT","FY 2006","FY 2006","Currency=USD","Period=FQ","BEST_FPERIOD_OVERRIDE=FQ","FILING_STATUS=MR","Sort=A","Dates=H","DateFormat=P","Fill=—","Direction=H","UseDPDF=Y")</f>
        <v>—</v>
      </c>
      <c r="G48" s="14" t="str">
        <f>_xll.BDH("SRPT US Equity","IND_DIRECTORS_BRD_MTG_ATTEND_PCT","FY 2007","FY 2007","Currency=USD","Period=FQ","BEST_FPERIOD_OVERRIDE=FQ","FILING_STATUS=MR","Sort=A","Dates=H","DateFormat=P","Fill=—","Direction=H","UseDPDF=Y")</f>
        <v>—</v>
      </c>
      <c r="H48" s="14" t="str">
        <f>_xll.BDH("SRPT US Equity","IND_DIRECTORS_BRD_MTG_ATTEND_PCT","FY 2008","FY 2008","Currency=USD","Period=FQ","BEST_FPERIOD_OVERRIDE=FQ","FILING_STATUS=MR","Sort=A","Dates=H","DateFormat=P","Fill=—","Direction=H","UseDPDF=Y")</f>
        <v>—</v>
      </c>
      <c r="I48" s="14" t="str">
        <f>_xll.BDH("SRPT US Equity","IND_DIRECTORS_BRD_MTG_ATTEND_PCT","FY 2009","FY 2009","Currency=USD","Period=FQ","BEST_FPERIOD_OVERRIDE=FQ","FILING_STATUS=MR","Sort=A","Dates=H","DateFormat=P","Fill=—","Direction=H","UseDPDF=Y")</f>
        <v>—</v>
      </c>
      <c r="J48" s="14" t="str">
        <f>_xll.BDH("SRPT US Equity","IND_DIRECTORS_BRD_MTG_ATTEND_PCT","FY 2010","FY 2010","Currency=USD","Period=FQ","BEST_FPERIOD_OVERRIDE=FQ","FILING_STATUS=MR","Sort=A","Dates=H","DateFormat=P","Fill=—","Direction=H","UseDPDF=Y")</f>
        <v>—</v>
      </c>
      <c r="K48" s="14" t="str">
        <f>_xll.BDH("SRPT US Equity","IND_DIRECTORS_BRD_MTG_ATTEND_PCT","FY 2011","FY 2011","Currency=USD","Period=FQ","BEST_FPERIOD_OVERRIDE=FQ","FILING_STATUS=MR","Sort=A","Dates=H","DateFormat=P","Fill=—","Direction=H","UseDPDF=Y")</f>
        <v>—</v>
      </c>
      <c r="L48" s="14" t="str">
        <f>_xll.BDH("SRPT US Equity","IND_DIRECTORS_BRD_MTG_ATTEND_PCT","FY 2012","FY 2012","Currency=USD","Period=FQ","BEST_FPERIOD_OVERRIDE=FQ","FILING_STATUS=MR","Sort=A","Dates=H","DateFormat=P","Fill=—","Direction=H","UseDPDF=Y")</f>
        <v>—</v>
      </c>
      <c r="M48" s="14" t="str">
        <f>_xll.BDH("SRPT US Equity","IND_DIRECTORS_BRD_MTG_ATTEND_PCT","FY 2013","FY 2013","Currency=USD","Period=FQ","BEST_FPERIOD_OVERRIDE=FQ","FILING_STATUS=MR","Sort=A","Dates=H","DateFormat=P","Fill=—","Direction=H","UseDPDF=Y")</f>
        <v>—</v>
      </c>
      <c r="N48" s="14" t="str">
        <f>_xll.BDH("SRPT US Equity","IND_DIRECTORS_BRD_MTG_ATTEND_PCT","FY 2014","FY 2014","Currency=USD","Period=FQ","BEST_FPERIOD_OVERRIDE=FQ","FILING_STATUS=MR","Sort=A","Dates=H","DateFormat=P","Fill=—","Direction=H","UseDPDF=Y")</f>
        <v>—</v>
      </c>
      <c r="O48" s="14" t="str">
        <f>_xll.BDH("SRPT US Equity","IND_DIRECTORS_BRD_MTG_ATTEND_PCT","FY 2015","FY 2015","Currency=USD","Period=FQ","BEST_FPERIOD_OVERRIDE=FQ","FILING_STATUS=MR","Sort=A","Dates=H","DateFormat=P","Fill=—","Direction=H","UseDPDF=Y")</f>
        <v>—</v>
      </c>
      <c r="P48" s="14" t="str">
        <f>_xll.BDH("SRPT US Equity","IND_DIRECTORS_BRD_MTG_ATTEND_PCT","FY 2016","FY 2016","Currency=USD","Period=FQ","BEST_FPERIOD_OVERRIDE=FQ","FILING_STATUS=MR","Sort=A","Dates=H","DateFormat=P","Fill=—","Direction=H","UseDPDF=Y")</f>
        <v>—</v>
      </c>
      <c r="Q48" s="14" t="str">
        <f>_xll.BDH("SRPT US Equity","IND_DIRECTORS_BRD_MTG_ATTEND_PCT","FY 2017","FY 2017","Currency=USD","Period=FQ","BEST_FPERIOD_OVERRIDE=FQ","FILING_STATUS=MR","Sort=A","Dates=H","DateFormat=P","Fill=—","Direction=H","UseDPDF=Y")</f>
        <v>—</v>
      </c>
      <c r="R48" s="14" t="str">
        <f>_xll.BDH("SRPT US Equity","IND_DIRECTORS_BRD_MTG_ATTEND_PCT","FY 2018","FY 2018","Currency=USD","Period=FQ","BEST_FPERIOD_OVERRIDE=FQ","FILING_STATUS=MR","Sort=A","Dates=H","DateFormat=P","Fill=—","Direction=H","UseDPDF=Y")</f>
        <v>—</v>
      </c>
      <c r="S48" s="14" t="str">
        <f>_xll.BDH("SRPT US Equity","IND_DIRECTORS_BRD_MTG_ATTEND_PCT","FY 2019","FY 2019","Currency=USD","Period=FQ","BEST_FPERIOD_OVERRIDE=FQ","FILING_STATUS=MR","Sort=A","Dates=H","DateFormat=P","Fill=—","Direction=H","UseDPDF=Y")</f>
        <v>—</v>
      </c>
      <c r="T48" s="14" t="str">
        <f>_xll.BDH("SRPT US Equity","IND_DIRECTORS_BRD_MTG_ATTEND_PCT","FY 2020","FY 2020","Currency=USD","Period=FQ","BEST_FPERIOD_OVERRIDE=FQ","FILING_STATUS=MR","Sort=A","Dates=H","DateFormat=P","Fill=—","Direction=H","UseDPDF=Y")</f>
        <v>—</v>
      </c>
      <c r="U48" s="14" t="str">
        <f>_xll.BDH("SRPT US Equity","IND_DIRECTORS_BRD_MTG_ATTEND_PCT","FY 2021","FY 2021","Currency=USD","Period=FQ","BEST_FPERIOD_OVERRIDE=FQ","FILING_STATUS=MR","Sort=A","Dates=H","DateFormat=P","Fill=—","Direction=H","UseDPDF=Y")</f>
        <v>—</v>
      </c>
      <c r="V48" s="14" t="str">
        <f>_xll.BDH("SRPT US Equity","IND_DIRECTORS_BRD_MTG_ATTEND_PCT","FY 2022","FY 2022","Currency=USD","Period=FQ","BEST_FPERIOD_OVERRIDE=FQ","FILING_STATUS=MR","Sort=A","Dates=H","DateFormat=P","Fill=—","Direction=H","UseDPDF=Y")</f>
        <v>—</v>
      </c>
      <c r="W48" s="14" t="str">
        <f>_xll.BDH("SRPT US Equity","IND_DIRECTORS_BRD_MTG_ATTEND_PCT","FY 2023","FY 2023","Currency=USD","Period=FQ","BEST_FPERIOD_OVERRIDE=FQ","FILING_STATUS=MR","Sort=A","Dates=H","DateFormat=P","Fill=—","Direction=H","UseDPDF=Y")</f>
        <v>—</v>
      </c>
      <c r="X48" s="14" t="str">
        <f>_xll.BDH("SRPT US Equity","IND_DIRECTORS_BRD_MTG_ATTEND_PCT","FY 2024","FY 2024","Currency=USD","Period=FQ","BEST_FPERIOD_OVERRIDE=FQ","FILING_STATUS=MR","Sort=A","Dates=H","DateFormat=P","Fill=—","Direction=H","UseDPDF=Y")</f>
        <v>—</v>
      </c>
    </row>
    <row r="49" spans="1:24" x14ac:dyDescent="0.25">
      <c r="A49" s="10" t="s">
        <v>1784</v>
      </c>
      <c r="B49" s="10" t="s">
        <v>1785</v>
      </c>
      <c r="C49" s="14" t="str">
        <f>_xll.BDH("SRPT US Equity","PCT_IND_DIRECTORS_ON_AUDIT_CMTE","FY 2002","FY 2002","Currency=USD","Period=FQ","BEST_FPERIOD_OVERRIDE=FQ","FILING_STATUS=MR","Sort=A","Dates=H","DateFormat=P","Fill=—","Direction=H","UseDPDF=Y")</f>
        <v>—</v>
      </c>
      <c r="D49" s="14" t="str">
        <f>_xll.BDH("SRPT US Equity","PCT_IND_DIRECTORS_ON_AUDIT_CMTE","FY 2004","FY 2004","Currency=USD","Period=FQ","BEST_FPERIOD_OVERRIDE=FQ","FILING_STATUS=MR","Sort=A","Dates=H","DateFormat=P","Fill=—","Direction=H","UseDPDF=Y")</f>
        <v>—</v>
      </c>
      <c r="E49" s="14" t="str">
        <f>_xll.BDH("SRPT US Equity","PCT_IND_DIRECTORS_ON_AUDIT_CMTE","FY 2005","FY 2005","Currency=USD","Period=FQ","BEST_FPERIOD_OVERRIDE=FQ","FILING_STATUS=MR","Sort=A","Dates=H","DateFormat=P","Fill=—","Direction=H","UseDPDF=Y")</f>
        <v>—</v>
      </c>
      <c r="F49" s="14" t="str">
        <f>_xll.BDH("SRPT US Equity","PCT_IND_DIRECTORS_ON_AUDIT_CMTE","FY 2006","FY 2006","Currency=USD","Period=FQ","BEST_FPERIOD_OVERRIDE=FQ","FILING_STATUS=MR","Sort=A","Dates=H","DateFormat=P","Fill=—","Direction=H","UseDPDF=Y")</f>
        <v>—</v>
      </c>
      <c r="G49" s="14" t="str">
        <f>_xll.BDH("SRPT US Equity","PCT_IND_DIRECTORS_ON_AUDIT_CMTE","FY 2007","FY 2007","Currency=USD","Period=FQ","BEST_FPERIOD_OVERRIDE=FQ","FILING_STATUS=MR","Sort=A","Dates=H","DateFormat=P","Fill=—","Direction=H","UseDPDF=Y")</f>
        <v>—</v>
      </c>
      <c r="H49" s="14" t="str">
        <f>_xll.BDH("SRPT US Equity","PCT_IND_DIRECTORS_ON_AUDIT_CMTE","FY 2008","FY 2008","Currency=USD","Period=FQ","BEST_FPERIOD_OVERRIDE=FQ","FILING_STATUS=MR","Sort=A","Dates=H","DateFormat=P","Fill=—","Direction=H","UseDPDF=Y")</f>
        <v>—</v>
      </c>
      <c r="I49" s="14" t="str">
        <f>_xll.BDH("SRPT US Equity","PCT_IND_DIRECTORS_ON_AUDIT_CMTE","FY 2009","FY 2009","Currency=USD","Period=FQ","BEST_FPERIOD_OVERRIDE=FQ","FILING_STATUS=MR","Sort=A","Dates=H","DateFormat=P","Fill=—","Direction=H","UseDPDF=Y")</f>
        <v>—</v>
      </c>
      <c r="J49" s="14" t="str">
        <f>_xll.BDH("SRPT US Equity","PCT_IND_DIRECTORS_ON_AUDIT_CMTE","FY 2010","FY 2010","Currency=USD","Period=FQ","BEST_FPERIOD_OVERRIDE=FQ","FILING_STATUS=MR","Sort=A","Dates=H","DateFormat=P","Fill=—","Direction=H","UseDPDF=Y")</f>
        <v>—</v>
      </c>
      <c r="K49" s="14" t="str">
        <f>_xll.BDH("SRPT US Equity","PCT_IND_DIRECTORS_ON_AUDIT_CMTE","FY 2011","FY 2011","Currency=USD","Period=FQ","BEST_FPERIOD_OVERRIDE=FQ","FILING_STATUS=MR","Sort=A","Dates=H","DateFormat=P","Fill=—","Direction=H","UseDPDF=Y")</f>
        <v>—</v>
      </c>
      <c r="L49" s="14" t="str">
        <f>_xll.BDH("SRPT US Equity","PCT_IND_DIRECTORS_ON_AUDIT_CMTE","FY 2012","FY 2012","Currency=USD","Period=FQ","BEST_FPERIOD_OVERRIDE=FQ","FILING_STATUS=MR","Sort=A","Dates=H","DateFormat=P","Fill=—","Direction=H","UseDPDF=Y")</f>
        <v>—</v>
      </c>
      <c r="M49" s="14" t="str">
        <f>_xll.BDH("SRPT US Equity","PCT_IND_DIRECTORS_ON_AUDIT_CMTE","FY 2013","FY 2013","Currency=USD","Period=FQ","BEST_FPERIOD_OVERRIDE=FQ","FILING_STATUS=MR","Sort=A","Dates=H","DateFormat=P","Fill=—","Direction=H","UseDPDF=Y")</f>
        <v>—</v>
      </c>
      <c r="N49" s="14" t="str">
        <f>_xll.BDH("SRPT US Equity","PCT_IND_DIRECTORS_ON_AUDIT_CMTE","FY 2014","FY 2014","Currency=USD","Period=FQ","BEST_FPERIOD_OVERRIDE=FQ","FILING_STATUS=MR","Sort=A","Dates=H","DateFormat=P","Fill=—","Direction=H","UseDPDF=Y")</f>
        <v>—</v>
      </c>
      <c r="O49" s="14" t="str">
        <f>_xll.BDH("SRPT US Equity","PCT_IND_DIRECTORS_ON_AUDIT_CMTE","FY 2015","FY 2015","Currency=USD","Period=FQ","BEST_FPERIOD_OVERRIDE=FQ","FILING_STATUS=MR","Sort=A","Dates=H","DateFormat=P","Fill=—","Direction=H","UseDPDF=Y")</f>
        <v>—</v>
      </c>
      <c r="P49" s="14" t="str">
        <f>_xll.BDH("SRPT US Equity","PCT_IND_DIRECTORS_ON_AUDIT_CMTE","FY 2016","FY 2016","Currency=USD","Period=FQ","BEST_FPERIOD_OVERRIDE=FQ","FILING_STATUS=MR","Sort=A","Dates=H","DateFormat=P","Fill=—","Direction=H","UseDPDF=Y")</f>
        <v>—</v>
      </c>
      <c r="Q49" s="14" t="str">
        <f>_xll.BDH("SRPT US Equity","PCT_IND_DIRECTORS_ON_AUDIT_CMTE","FY 2017","FY 2017","Currency=USD","Period=FQ","BEST_FPERIOD_OVERRIDE=FQ","FILING_STATUS=MR","Sort=A","Dates=H","DateFormat=P","Fill=—","Direction=H","UseDPDF=Y")</f>
        <v>—</v>
      </c>
      <c r="R49" s="14" t="str">
        <f>_xll.BDH("SRPT US Equity","PCT_IND_DIRECTORS_ON_AUDIT_CMTE","FY 2018","FY 2018","Currency=USD","Period=FQ","BEST_FPERIOD_OVERRIDE=FQ","FILING_STATUS=MR","Sort=A","Dates=H","DateFormat=P","Fill=—","Direction=H","UseDPDF=Y")</f>
        <v>—</v>
      </c>
      <c r="S49" s="14" t="str">
        <f>_xll.BDH("SRPT US Equity","PCT_IND_DIRECTORS_ON_AUDIT_CMTE","FY 2019","FY 2019","Currency=USD","Period=FQ","BEST_FPERIOD_OVERRIDE=FQ","FILING_STATUS=MR","Sort=A","Dates=H","DateFormat=P","Fill=—","Direction=H","UseDPDF=Y")</f>
        <v>—</v>
      </c>
      <c r="T49" s="14" t="str">
        <f>_xll.BDH("SRPT US Equity","PCT_IND_DIRECTORS_ON_AUDIT_CMTE","FY 2020","FY 2020","Currency=USD","Period=FQ","BEST_FPERIOD_OVERRIDE=FQ","FILING_STATUS=MR","Sort=A","Dates=H","DateFormat=P","Fill=—","Direction=H","UseDPDF=Y")</f>
        <v>—</v>
      </c>
      <c r="U49" s="14" t="str">
        <f>_xll.BDH("SRPT US Equity","PCT_IND_DIRECTORS_ON_AUDIT_CMTE","FY 2021","FY 2021","Currency=USD","Period=FQ","BEST_FPERIOD_OVERRIDE=FQ","FILING_STATUS=MR","Sort=A","Dates=H","DateFormat=P","Fill=—","Direction=H","UseDPDF=Y")</f>
        <v>—</v>
      </c>
      <c r="V49" s="14" t="str">
        <f>_xll.BDH("SRPT US Equity","PCT_IND_DIRECTORS_ON_AUDIT_CMTE","FY 2022","FY 2022","Currency=USD","Period=FQ","BEST_FPERIOD_OVERRIDE=FQ","FILING_STATUS=MR","Sort=A","Dates=H","DateFormat=P","Fill=—","Direction=H","UseDPDF=Y")</f>
        <v>—</v>
      </c>
      <c r="W49" s="14" t="str">
        <f>_xll.BDH("SRPT US Equity","PCT_IND_DIRECTORS_ON_AUDIT_CMTE","FY 2023","FY 2023","Currency=USD","Period=FQ","BEST_FPERIOD_OVERRIDE=FQ","FILING_STATUS=MR","Sort=A","Dates=H","DateFormat=P","Fill=—","Direction=H","UseDPDF=Y")</f>
        <v>—</v>
      </c>
      <c r="X49" s="14" t="str">
        <f>_xll.BDH("SRPT US Equity","PCT_IND_DIRECTORS_ON_AUDIT_CMTE","FY 2024","FY 2024","Currency=USD","Period=FQ","BEST_FPERIOD_OVERRIDE=FQ","FILING_STATUS=MR","Sort=A","Dates=H","DateFormat=P","Fill=—","Direction=H","UseDPDF=Y")</f>
        <v>—</v>
      </c>
    </row>
    <row r="50" spans="1:24" x14ac:dyDescent="0.25">
      <c r="A50" s="10" t="s">
        <v>1786</v>
      </c>
      <c r="B50" s="10" t="s">
        <v>1787</v>
      </c>
      <c r="C50" s="14" t="str">
        <f>_xll.BDH("SRPT US Equity","AUDIT_COMMITTEE_MTG_ATTEND_PCT","FY 2002","FY 2002","Currency=USD","Period=FQ","BEST_FPERIOD_OVERRIDE=FQ","FILING_STATUS=MR","Sort=A","Dates=H","DateFormat=P","Fill=—","Direction=H","UseDPDF=Y")</f>
        <v>—</v>
      </c>
      <c r="D50" s="14" t="str">
        <f>_xll.BDH("SRPT US Equity","AUDIT_COMMITTEE_MTG_ATTEND_PCT","FY 2004","FY 2004","Currency=USD","Period=FQ","BEST_FPERIOD_OVERRIDE=FQ","FILING_STATUS=MR","Sort=A","Dates=H","DateFormat=P","Fill=—","Direction=H","UseDPDF=Y")</f>
        <v>—</v>
      </c>
      <c r="E50" s="14" t="str">
        <f>_xll.BDH("SRPT US Equity","AUDIT_COMMITTEE_MTG_ATTEND_PCT","FY 2005","FY 2005","Currency=USD","Period=FQ","BEST_FPERIOD_OVERRIDE=FQ","FILING_STATUS=MR","Sort=A","Dates=H","DateFormat=P","Fill=—","Direction=H","UseDPDF=Y")</f>
        <v>—</v>
      </c>
      <c r="F50" s="14" t="str">
        <f>_xll.BDH("SRPT US Equity","AUDIT_COMMITTEE_MTG_ATTEND_PCT","FY 2006","FY 2006","Currency=USD","Period=FQ","BEST_FPERIOD_OVERRIDE=FQ","FILING_STATUS=MR","Sort=A","Dates=H","DateFormat=P","Fill=—","Direction=H","UseDPDF=Y")</f>
        <v>—</v>
      </c>
      <c r="G50" s="14" t="str">
        <f>_xll.BDH("SRPT US Equity","AUDIT_COMMITTEE_MTG_ATTEND_PCT","FY 2007","FY 2007","Currency=USD","Period=FQ","BEST_FPERIOD_OVERRIDE=FQ","FILING_STATUS=MR","Sort=A","Dates=H","DateFormat=P","Fill=—","Direction=H","UseDPDF=Y")</f>
        <v>—</v>
      </c>
      <c r="H50" s="14" t="str">
        <f>_xll.BDH("SRPT US Equity","AUDIT_COMMITTEE_MTG_ATTEND_PCT","FY 2008","FY 2008","Currency=USD","Period=FQ","BEST_FPERIOD_OVERRIDE=FQ","FILING_STATUS=MR","Sort=A","Dates=H","DateFormat=P","Fill=—","Direction=H","UseDPDF=Y")</f>
        <v>—</v>
      </c>
      <c r="I50" s="14" t="str">
        <f>_xll.BDH("SRPT US Equity","AUDIT_COMMITTEE_MTG_ATTEND_PCT","FY 2009","FY 2009","Currency=USD","Period=FQ","BEST_FPERIOD_OVERRIDE=FQ","FILING_STATUS=MR","Sort=A","Dates=H","DateFormat=P","Fill=—","Direction=H","UseDPDF=Y")</f>
        <v>—</v>
      </c>
      <c r="J50" s="14" t="str">
        <f>_xll.BDH("SRPT US Equity","AUDIT_COMMITTEE_MTG_ATTEND_PCT","FY 2010","FY 2010","Currency=USD","Period=FQ","BEST_FPERIOD_OVERRIDE=FQ","FILING_STATUS=MR","Sort=A","Dates=H","DateFormat=P","Fill=—","Direction=H","UseDPDF=Y")</f>
        <v>—</v>
      </c>
      <c r="K50" s="14" t="str">
        <f>_xll.BDH("SRPT US Equity","AUDIT_COMMITTEE_MTG_ATTEND_PCT","FY 2011","FY 2011","Currency=USD","Period=FQ","BEST_FPERIOD_OVERRIDE=FQ","FILING_STATUS=MR","Sort=A","Dates=H","DateFormat=P","Fill=—","Direction=H","UseDPDF=Y")</f>
        <v>—</v>
      </c>
      <c r="L50" s="14" t="str">
        <f>_xll.BDH("SRPT US Equity","AUDIT_COMMITTEE_MTG_ATTEND_PCT","FY 2012","FY 2012","Currency=USD","Period=FQ","BEST_FPERIOD_OVERRIDE=FQ","FILING_STATUS=MR","Sort=A","Dates=H","DateFormat=P","Fill=—","Direction=H","UseDPDF=Y")</f>
        <v>—</v>
      </c>
      <c r="M50" s="14" t="str">
        <f>_xll.BDH("SRPT US Equity","AUDIT_COMMITTEE_MTG_ATTEND_PCT","FY 2013","FY 2013","Currency=USD","Period=FQ","BEST_FPERIOD_OVERRIDE=FQ","FILING_STATUS=MR","Sort=A","Dates=H","DateFormat=P","Fill=—","Direction=H","UseDPDF=Y")</f>
        <v>—</v>
      </c>
      <c r="N50" s="14" t="str">
        <f>_xll.BDH("SRPT US Equity","AUDIT_COMMITTEE_MTG_ATTEND_PCT","FY 2014","FY 2014","Currency=USD","Period=FQ","BEST_FPERIOD_OVERRIDE=FQ","FILING_STATUS=MR","Sort=A","Dates=H","DateFormat=P","Fill=—","Direction=H","UseDPDF=Y")</f>
        <v>—</v>
      </c>
      <c r="O50" s="14" t="str">
        <f>_xll.BDH("SRPT US Equity","AUDIT_COMMITTEE_MTG_ATTEND_PCT","FY 2015","FY 2015","Currency=USD","Period=FQ","BEST_FPERIOD_OVERRIDE=FQ","FILING_STATUS=MR","Sort=A","Dates=H","DateFormat=P","Fill=—","Direction=H","UseDPDF=Y")</f>
        <v>—</v>
      </c>
      <c r="P50" s="14" t="str">
        <f>_xll.BDH("SRPT US Equity","AUDIT_COMMITTEE_MTG_ATTEND_PCT","FY 2016","FY 2016","Currency=USD","Period=FQ","BEST_FPERIOD_OVERRIDE=FQ","FILING_STATUS=MR","Sort=A","Dates=H","DateFormat=P","Fill=—","Direction=H","UseDPDF=Y")</f>
        <v>—</v>
      </c>
      <c r="Q50" s="14" t="str">
        <f>_xll.BDH("SRPT US Equity","AUDIT_COMMITTEE_MTG_ATTEND_PCT","FY 2017","FY 2017","Currency=USD","Period=FQ","BEST_FPERIOD_OVERRIDE=FQ","FILING_STATUS=MR","Sort=A","Dates=H","DateFormat=P","Fill=—","Direction=H","UseDPDF=Y")</f>
        <v>—</v>
      </c>
      <c r="R50" s="14" t="str">
        <f>_xll.BDH("SRPT US Equity","AUDIT_COMMITTEE_MTG_ATTEND_PCT","FY 2018","FY 2018","Currency=USD","Period=FQ","BEST_FPERIOD_OVERRIDE=FQ","FILING_STATUS=MR","Sort=A","Dates=H","DateFormat=P","Fill=—","Direction=H","UseDPDF=Y")</f>
        <v>—</v>
      </c>
      <c r="S50" s="14" t="str">
        <f>_xll.BDH("SRPT US Equity","AUDIT_COMMITTEE_MTG_ATTEND_PCT","FY 2019","FY 2019","Currency=USD","Period=FQ","BEST_FPERIOD_OVERRIDE=FQ","FILING_STATUS=MR","Sort=A","Dates=H","DateFormat=P","Fill=—","Direction=H","UseDPDF=Y")</f>
        <v>—</v>
      </c>
      <c r="T50" s="14" t="str">
        <f>_xll.BDH("SRPT US Equity","AUDIT_COMMITTEE_MTG_ATTEND_PCT","FY 2020","FY 2020","Currency=USD","Period=FQ","BEST_FPERIOD_OVERRIDE=FQ","FILING_STATUS=MR","Sort=A","Dates=H","DateFormat=P","Fill=—","Direction=H","UseDPDF=Y")</f>
        <v>—</v>
      </c>
      <c r="U50" s="14" t="str">
        <f>_xll.BDH("SRPT US Equity","AUDIT_COMMITTEE_MTG_ATTEND_PCT","FY 2021","FY 2021","Currency=USD","Period=FQ","BEST_FPERIOD_OVERRIDE=FQ","FILING_STATUS=MR","Sort=A","Dates=H","DateFormat=P","Fill=—","Direction=H","UseDPDF=Y")</f>
        <v>—</v>
      </c>
      <c r="V50" s="14" t="str">
        <f>_xll.BDH("SRPT US Equity","AUDIT_COMMITTEE_MTG_ATTEND_PCT","FY 2022","FY 2022","Currency=USD","Period=FQ","BEST_FPERIOD_OVERRIDE=FQ","FILING_STATUS=MR","Sort=A","Dates=H","DateFormat=P","Fill=—","Direction=H","UseDPDF=Y")</f>
        <v>—</v>
      </c>
      <c r="W50" s="14" t="str">
        <f>_xll.BDH("SRPT US Equity","AUDIT_COMMITTEE_MTG_ATTEND_PCT","FY 2023","FY 2023","Currency=USD","Period=FQ","BEST_FPERIOD_OVERRIDE=FQ","FILING_STATUS=MR","Sort=A","Dates=H","DateFormat=P","Fill=—","Direction=H","UseDPDF=Y")</f>
        <v>—</v>
      </c>
      <c r="X50" s="14" t="str">
        <f>_xll.BDH("SRPT US Equity","AUDIT_COMMITTEE_MTG_ATTEND_PCT","FY 2024","FY 2024","Currency=USD","Period=FQ","BEST_FPERIOD_OVERRIDE=FQ","FILING_STATUS=MR","Sort=A","Dates=H","DateFormat=P","Fill=—","Direction=H","UseDPDF=Y")</f>
        <v>—</v>
      </c>
    </row>
    <row r="51" spans="1:24" x14ac:dyDescent="0.25">
      <c r="A51" s="10" t="s">
        <v>1788</v>
      </c>
      <c r="B51" s="10" t="s">
        <v>1789</v>
      </c>
      <c r="C51" s="14" t="str">
        <f>_xll.BDH("SRPT US Equity","PCT_IND_DIRECTORS_ON_COMP_CMTE","FY 2002","FY 2002","Currency=USD","Period=FQ","BEST_FPERIOD_OVERRIDE=FQ","FILING_STATUS=MR","Sort=A","Dates=H","DateFormat=P","Fill=—","Direction=H","UseDPDF=Y")</f>
        <v>—</v>
      </c>
      <c r="D51" s="14" t="str">
        <f>_xll.BDH("SRPT US Equity","PCT_IND_DIRECTORS_ON_COMP_CMTE","FY 2004","FY 2004","Currency=USD","Period=FQ","BEST_FPERIOD_OVERRIDE=FQ","FILING_STATUS=MR","Sort=A","Dates=H","DateFormat=P","Fill=—","Direction=H","UseDPDF=Y")</f>
        <v>—</v>
      </c>
      <c r="E51" s="14" t="str">
        <f>_xll.BDH("SRPT US Equity","PCT_IND_DIRECTORS_ON_COMP_CMTE","FY 2005","FY 2005","Currency=USD","Period=FQ","BEST_FPERIOD_OVERRIDE=FQ","FILING_STATUS=MR","Sort=A","Dates=H","DateFormat=P","Fill=—","Direction=H","UseDPDF=Y")</f>
        <v>—</v>
      </c>
      <c r="F51" s="14" t="str">
        <f>_xll.BDH("SRPT US Equity","PCT_IND_DIRECTORS_ON_COMP_CMTE","FY 2006","FY 2006","Currency=USD","Period=FQ","BEST_FPERIOD_OVERRIDE=FQ","FILING_STATUS=MR","Sort=A","Dates=H","DateFormat=P","Fill=—","Direction=H","UseDPDF=Y")</f>
        <v>—</v>
      </c>
      <c r="G51" s="14" t="str">
        <f>_xll.BDH("SRPT US Equity","PCT_IND_DIRECTORS_ON_COMP_CMTE","FY 2007","FY 2007","Currency=USD","Period=FQ","BEST_FPERIOD_OVERRIDE=FQ","FILING_STATUS=MR","Sort=A","Dates=H","DateFormat=P","Fill=—","Direction=H","UseDPDF=Y")</f>
        <v>—</v>
      </c>
      <c r="H51" s="14" t="str">
        <f>_xll.BDH("SRPT US Equity","PCT_IND_DIRECTORS_ON_COMP_CMTE","FY 2008","FY 2008","Currency=USD","Period=FQ","BEST_FPERIOD_OVERRIDE=FQ","FILING_STATUS=MR","Sort=A","Dates=H","DateFormat=P","Fill=—","Direction=H","UseDPDF=Y")</f>
        <v>—</v>
      </c>
      <c r="I51" s="14" t="str">
        <f>_xll.BDH("SRPT US Equity","PCT_IND_DIRECTORS_ON_COMP_CMTE","FY 2009","FY 2009","Currency=USD","Period=FQ","BEST_FPERIOD_OVERRIDE=FQ","FILING_STATUS=MR","Sort=A","Dates=H","DateFormat=P","Fill=—","Direction=H","UseDPDF=Y")</f>
        <v>—</v>
      </c>
      <c r="J51" s="14" t="str">
        <f>_xll.BDH("SRPT US Equity","PCT_IND_DIRECTORS_ON_COMP_CMTE","FY 2010","FY 2010","Currency=USD","Period=FQ","BEST_FPERIOD_OVERRIDE=FQ","FILING_STATUS=MR","Sort=A","Dates=H","DateFormat=P","Fill=—","Direction=H","UseDPDF=Y")</f>
        <v>—</v>
      </c>
      <c r="K51" s="14" t="str">
        <f>_xll.BDH("SRPT US Equity","PCT_IND_DIRECTORS_ON_COMP_CMTE","FY 2011","FY 2011","Currency=USD","Period=FQ","BEST_FPERIOD_OVERRIDE=FQ","FILING_STATUS=MR","Sort=A","Dates=H","DateFormat=P","Fill=—","Direction=H","UseDPDF=Y")</f>
        <v>—</v>
      </c>
      <c r="L51" s="14" t="str">
        <f>_xll.BDH("SRPT US Equity","PCT_IND_DIRECTORS_ON_COMP_CMTE","FY 2012","FY 2012","Currency=USD","Period=FQ","BEST_FPERIOD_OVERRIDE=FQ","FILING_STATUS=MR","Sort=A","Dates=H","DateFormat=P","Fill=—","Direction=H","UseDPDF=Y")</f>
        <v>—</v>
      </c>
      <c r="M51" s="14" t="str">
        <f>_xll.BDH("SRPT US Equity","PCT_IND_DIRECTORS_ON_COMP_CMTE","FY 2013","FY 2013","Currency=USD","Period=FQ","BEST_FPERIOD_OVERRIDE=FQ","FILING_STATUS=MR","Sort=A","Dates=H","DateFormat=P","Fill=—","Direction=H","UseDPDF=Y")</f>
        <v>—</v>
      </c>
      <c r="N51" s="14" t="str">
        <f>_xll.BDH("SRPT US Equity","PCT_IND_DIRECTORS_ON_COMP_CMTE","FY 2014","FY 2014","Currency=USD","Period=FQ","BEST_FPERIOD_OVERRIDE=FQ","FILING_STATUS=MR","Sort=A","Dates=H","DateFormat=P","Fill=—","Direction=H","UseDPDF=Y")</f>
        <v>—</v>
      </c>
      <c r="O51" s="14" t="str">
        <f>_xll.BDH("SRPT US Equity","PCT_IND_DIRECTORS_ON_COMP_CMTE","FY 2015","FY 2015","Currency=USD","Period=FQ","BEST_FPERIOD_OVERRIDE=FQ","FILING_STATUS=MR","Sort=A","Dates=H","DateFormat=P","Fill=—","Direction=H","UseDPDF=Y")</f>
        <v>—</v>
      </c>
      <c r="P51" s="14" t="str">
        <f>_xll.BDH("SRPT US Equity","PCT_IND_DIRECTORS_ON_COMP_CMTE","FY 2016","FY 2016","Currency=USD","Period=FQ","BEST_FPERIOD_OVERRIDE=FQ","FILING_STATUS=MR","Sort=A","Dates=H","DateFormat=P","Fill=—","Direction=H","UseDPDF=Y")</f>
        <v>—</v>
      </c>
      <c r="Q51" s="14" t="str">
        <f>_xll.BDH("SRPT US Equity","PCT_IND_DIRECTORS_ON_COMP_CMTE","FY 2017","FY 2017","Currency=USD","Period=FQ","BEST_FPERIOD_OVERRIDE=FQ","FILING_STATUS=MR","Sort=A","Dates=H","DateFormat=P","Fill=—","Direction=H","UseDPDF=Y")</f>
        <v>—</v>
      </c>
      <c r="R51" s="14" t="str">
        <f>_xll.BDH("SRPT US Equity","PCT_IND_DIRECTORS_ON_COMP_CMTE","FY 2018","FY 2018","Currency=USD","Period=FQ","BEST_FPERIOD_OVERRIDE=FQ","FILING_STATUS=MR","Sort=A","Dates=H","DateFormat=P","Fill=—","Direction=H","UseDPDF=Y")</f>
        <v>—</v>
      </c>
      <c r="S51" s="14" t="str">
        <f>_xll.BDH("SRPT US Equity","PCT_IND_DIRECTORS_ON_COMP_CMTE","FY 2019","FY 2019","Currency=USD","Period=FQ","BEST_FPERIOD_OVERRIDE=FQ","FILING_STATUS=MR","Sort=A","Dates=H","DateFormat=P","Fill=—","Direction=H","UseDPDF=Y")</f>
        <v>—</v>
      </c>
      <c r="T51" s="14" t="str">
        <f>_xll.BDH("SRPT US Equity","PCT_IND_DIRECTORS_ON_COMP_CMTE","FY 2020","FY 2020","Currency=USD","Period=FQ","BEST_FPERIOD_OVERRIDE=FQ","FILING_STATUS=MR","Sort=A","Dates=H","DateFormat=P","Fill=—","Direction=H","UseDPDF=Y")</f>
        <v>—</v>
      </c>
      <c r="U51" s="14" t="str">
        <f>_xll.BDH("SRPT US Equity","PCT_IND_DIRECTORS_ON_COMP_CMTE","FY 2021","FY 2021","Currency=USD","Period=FQ","BEST_FPERIOD_OVERRIDE=FQ","FILING_STATUS=MR","Sort=A","Dates=H","DateFormat=P","Fill=—","Direction=H","UseDPDF=Y")</f>
        <v>—</v>
      </c>
      <c r="V51" s="14" t="str">
        <f>_xll.BDH("SRPT US Equity","PCT_IND_DIRECTORS_ON_COMP_CMTE","FY 2022","FY 2022","Currency=USD","Period=FQ","BEST_FPERIOD_OVERRIDE=FQ","FILING_STATUS=MR","Sort=A","Dates=H","DateFormat=P","Fill=—","Direction=H","UseDPDF=Y")</f>
        <v>—</v>
      </c>
      <c r="W51" s="14" t="str">
        <f>_xll.BDH("SRPT US Equity","PCT_IND_DIRECTORS_ON_COMP_CMTE","FY 2023","FY 2023","Currency=USD","Period=FQ","BEST_FPERIOD_OVERRIDE=FQ","FILING_STATUS=MR","Sort=A","Dates=H","DateFormat=P","Fill=—","Direction=H","UseDPDF=Y")</f>
        <v>—</v>
      </c>
      <c r="X51" s="14" t="str">
        <f>_xll.BDH("SRPT US Equity","PCT_IND_DIRECTORS_ON_COMP_CMTE","FY 2024","FY 2024","Currency=USD","Period=FQ","BEST_FPERIOD_OVERRIDE=FQ","FILING_STATUS=MR","Sort=A","Dates=H","DateFormat=P","Fill=—","Direction=H","UseDPDF=Y")</f>
        <v>—</v>
      </c>
    </row>
    <row r="52" spans="1:24" x14ac:dyDescent="0.25">
      <c r="A52" s="10" t="s">
        <v>1790</v>
      </c>
      <c r="B52" s="10" t="s">
        <v>1791</v>
      </c>
      <c r="C52" s="14" t="str">
        <f>_xll.BDH("SRPT US Equity","COMPENSATION_CMTE_MTG_ATTEND_PCT","FY 2002","FY 2002","Currency=USD","Period=FQ","BEST_FPERIOD_OVERRIDE=FQ","FILING_STATUS=MR","Sort=A","Dates=H","DateFormat=P","Fill=—","Direction=H","UseDPDF=Y")</f>
        <v>—</v>
      </c>
      <c r="D52" s="14" t="str">
        <f>_xll.BDH("SRPT US Equity","COMPENSATION_CMTE_MTG_ATTEND_PCT","FY 2004","FY 2004","Currency=USD","Period=FQ","BEST_FPERIOD_OVERRIDE=FQ","FILING_STATUS=MR","Sort=A","Dates=H","DateFormat=P","Fill=—","Direction=H","UseDPDF=Y")</f>
        <v>—</v>
      </c>
      <c r="E52" s="14" t="str">
        <f>_xll.BDH("SRPT US Equity","COMPENSATION_CMTE_MTG_ATTEND_PCT","FY 2005","FY 2005","Currency=USD","Period=FQ","BEST_FPERIOD_OVERRIDE=FQ","FILING_STATUS=MR","Sort=A","Dates=H","DateFormat=P","Fill=—","Direction=H","UseDPDF=Y")</f>
        <v>—</v>
      </c>
      <c r="F52" s="14" t="str">
        <f>_xll.BDH("SRPT US Equity","COMPENSATION_CMTE_MTG_ATTEND_PCT","FY 2006","FY 2006","Currency=USD","Period=FQ","BEST_FPERIOD_OVERRIDE=FQ","FILING_STATUS=MR","Sort=A","Dates=H","DateFormat=P","Fill=—","Direction=H","UseDPDF=Y")</f>
        <v>—</v>
      </c>
      <c r="G52" s="14" t="str">
        <f>_xll.BDH("SRPT US Equity","COMPENSATION_CMTE_MTG_ATTEND_PCT","FY 2007","FY 2007","Currency=USD","Period=FQ","BEST_FPERIOD_OVERRIDE=FQ","FILING_STATUS=MR","Sort=A","Dates=H","DateFormat=P","Fill=—","Direction=H","UseDPDF=Y")</f>
        <v>—</v>
      </c>
      <c r="H52" s="14" t="str">
        <f>_xll.BDH("SRPT US Equity","COMPENSATION_CMTE_MTG_ATTEND_PCT","FY 2008","FY 2008","Currency=USD","Period=FQ","BEST_FPERIOD_OVERRIDE=FQ","FILING_STATUS=MR","Sort=A","Dates=H","DateFormat=P","Fill=—","Direction=H","UseDPDF=Y")</f>
        <v>—</v>
      </c>
      <c r="I52" s="14" t="str">
        <f>_xll.BDH("SRPT US Equity","COMPENSATION_CMTE_MTG_ATTEND_PCT","FY 2009","FY 2009","Currency=USD","Period=FQ","BEST_FPERIOD_OVERRIDE=FQ","FILING_STATUS=MR","Sort=A","Dates=H","DateFormat=P","Fill=—","Direction=H","UseDPDF=Y")</f>
        <v>—</v>
      </c>
      <c r="J52" s="14" t="str">
        <f>_xll.BDH("SRPT US Equity","COMPENSATION_CMTE_MTG_ATTEND_PCT","FY 2010","FY 2010","Currency=USD","Period=FQ","BEST_FPERIOD_OVERRIDE=FQ","FILING_STATUS=MR","Sort=A","Dates=H","DateFormat=P","Fill=—","Direction=H","UseDPDF=Y")</f>
        <v>—</v>
      </c>
      <c r="K52" s="14" t="str">
        <f>_xll.BDH("SRPT US Equity","COMPENSATION_CMTE_MTG_ATTEND_PCT","FY 2011","FY 2011","Currency=USD","Period=FQ","BEST_FPERIOD_OVERRIDE=FQ","FILING_STATUS=MR","Sort=A","Dates=H","DateFormat=P","Fill=—","Direction=H","UseDPDF=Y")</f>
        <v>—</v>
      </c>
      <c r="L52" s="14" t="str">
        <f>_xll.BDH("SRPT US Equity","COMPENSATION_CMTE_MTG_ATTEND_PCT","FY 2012","FY 2012","Currency=USD","Period=FQ","BEST_FPERIOD_OVERRIDE=FQ","FILING_STATUS=MR","Sort=A","Dates=H","DateFormat=P","Fill=—","Direction=H","UseDPDF=Y")</f>
        <v>—</v>
      </c>
      <c r="M52" s="14" t="str">
        <f>_xll.BDH("SRPT US Equity","COMPENSATION_CMTE_MTG_ATTEND_PCT","FY 2013","FY 2013","Currency=USD","Period=FQ","BEST_FPERIOD_OVERRIDE=FQ","FILING_STATUS=MR","Sort=A","Dates=H","DateFormat=P","Fill=—","Direction=H","UseDPDF=Y")</f>
        <v>—</v>
      </c>
      <c r="N52" s="14" t="str">
        <f>_xll.BDH("SRPT US Equity","COMPENSATION_CMTE_MTG_ATTEND_PCT","FY 2014","FY 2014","Currency=USD","Period=FQ","BEST_FPERIOD_OVERRIDE=FQ","FILING_STATUS=MR","Sort=A","Dates=H","DateFormat=P","Fill=—","Direction=H","UseDPDF=Y")</f>
        <v>—</v>
      </c>
      <c r="O52" s="14" t="str">
        <f>_xll.BDH("SRPT US Equity","COMPENSATION_CMTE_MTG_ATTEND_PCT","FY 2015","FY 2015","Currency=USD","Period=FQ","BEST_FPERIOD_OVERRIDE=FQ","FILING_STATUS=MR","Sort=A","Dates=H","DateFormat=P","Fill=—","Direction=H","UseDPDF=Y")</f>
        <v>—</v>
      </c>
      <c r="P52" s="14" t="str">
        <f>_xll.BDH("SRPT US Equity","COMPENSATION_CMTE_MTG_ATTEND_PCT","FY 2016","FY 2016","Currency=USD","Period=FQ","BEST_FPERIOD_OVERRIDE=FQ","FILING_STATUS=MR","Sort=A","Dates=H","DateFormat=P","Fill=—","Direction=H","UseDPDF=Y")</f>
        <v>—</v>
      </c>
      <c r="Q52" s="14" t="str">
        <f>_xll.BDH("SRPT US Equity","COMPENSATION_CMTE_MTG_ATTEND_PCT","FY 2017","FY 2017","Currency=USD","Period=FQ","BEST_FPERIOD_OVERRIDE=FQ","FILING_STATUS=MR","Sort=A","Dates=H","DateFormat=P","Fill=—","Direction=H","UseDPDF=Y")</f>
        <v>—</v>
      </c>
      <c r="R52" s="14" t="str">
        <f>_xll.BDH("SRPT US Equity","COMPENSATION_CMTE_MTG_ATTEND_PCT","FY 2018","FY 2018","Currency=USD","Period=FQ","BEST_FPERIOD_OVERRIDE=FQ","FILING_STATUS=MR","Sort=A","Dates=H","DateFormat=P","Fill=—","Direction=H","UseDPDF=Y")</f>
        <v>—</v>
      </c>
      <c r="S52" s="14" t="str">
        <f>_xll.BDH("SRPT US Equity","COMPENSATION_CMTE_MTG_ATTEND_PCT","FY 2019","FY 2019","Currency=USD","Period=FQ","BEST_FPERIOD_OVERRIDE=FQ","FILING_STATUS=MR","Sort=A","Dates=H","DateFormat=P","Fill=—","Direction=H","UseDPDF=Y")</f>
        <v>—</v>
      </c>
      <c r="T52" s="14" t="str">
        <f>_xll.BDH("SRPT US Equity","COMPENSATION_CMTE_MTG_ATTEND_PCT","FY 2020","FY 2020","Currency=USD","Period=FQ","BEST_FPERIOD_OVERRIDE=FQ","FILING_STATUS=MR","Sort=A","Dates=H","DateFormat=P","Fill=—","Direction=H","UseDPDF=Y")</f>
        <v>—</v>
      </c>
      <c r="U52" s="14" t="str">
        <f>_xll.BDH("SRPT US Equity","COMPENSATION_CMTE_MTG_ATTEND_PCT","FY 2021","FY 2021","Currency=USD","Period=FQ","BEST_FPERIOD_OVERRIDE=FQ","FILING_STATUS=MR","Sort=A","Dates=H","DateFormat=P","Fill=—","Direction=H","UseDPDF=Y")</f>
        <v>—</v>
      </c>
      <c r="V52" s="14" t="str">
        <f>_xll.BDH("SRPT US Equity","COMPENSATION_CMTE_MTG_ATTEND_PCT","FY 2022","FY 2022","Currency=USD","Period=FQ","BEST_FPERIOD_OVERRIDE=FQ","FILING_STATUS=MR","Sort=A","Dates=H","DateFormat=P","Fill=—","Direction=H","UseDPDF=Y")</f>
        <v>—</v>
      </c>
      <c r="W52" s="14" t="str">
        <f>_xll.BDH("SRPT US Equity","COMPENSATION_CMTE_MTG_ATTEND_PCT","FY 2023","FY 2023","Currency=USD","Period=FQ","BEST_FPERIOD_OVERRIDE=FQ","FILING_STATUS=MR","Sort=A","Dates=H","DateFormat=P","Fill=—","Direction=H","UseDPDF=Y")</f>
        <v>—</v>
      </c>
      <c r="X52" s="14" t="str">
        <f>_xll.BDH("SRPT US Equity","COMPENSATION_CMTE_MTG_ATTEND_PCT","FY 2024","FY 2024","Currency=USD","Period=FQ","BEST_FPERIOD_OVERRIDE=FQ","FILING_STATUS=MR","Sort=A","Dates=H","DateFormat=P","Fill=—","Direction=H","UseDPDF=Y")</f>
        <v>—</v>
      </c>
    </row>
    <row r="53" spans="1:24" x14ac:dyDescent="0.25">
      <c r="A53" s="10" t="s">
        <v>1792</v>
      </c>
      <c r="B53" s="10" t="s">
        <v>1793</v>
      </c>
      <c r="C53" s="14" t="str">
        <f>_xll.BDH("SRPT US Equity","PCT_OF_IND_DIRECTORS_ON_NOM_CMTE","FY 2002","FY 2002","Currency=USD","Period=FQ","BEST_FPERIOD_OVERRIDE=FQ","FILING_STATUS=MR","Sort=A","Dates=H","DateFormat=P","Fill=—","Direction=H","UseDPDF=Y")</f>
        <v>—</v>
      </c>
      <c r="D53" s="14" t="str">
        <f>_xll.BDH("SRPT US Equity","PCT_OF_IND_DIRECTORS_ON_NOM_CMTE","FY 2004","FY 2004","Currency=USD","Period=FQ","BEST_FPERIOD_OVERRIDE=FQ","FILING_STATUS=MR","Sort=A","Dates=H","DateFormat=P","Fill=—","Direction=H","UseDPDF=Y")</f>
        <v>—</v>
      </c>
      <c r="E53" s="14" t="str">
        <f>_xll.BDH("SRPT US Equity","PCT_OF_IND_DIRECTORS_ON_NOM_CMTE","FY 2005","FY 2005","Currency=USD","Period=FQ","BEST_FPERIOD_OVERRIDE=FQ","FILING_STATUS=MR","Sort=A","Dates=H","DateFormat=P","Fill=—","Direction=H","UseDPDF=Y")</f>
        <v>—</v>
      </c>
      <c r="F53" s="14" t="str">
        <f>_xll.BDH("SRPT US Equity","PCT_OF_IND_DIRECTORS_ON_NOM_CMTE","FY 2006","FY 2006","Currency=USD","Period=FQ","BEST_FPERIOD_OVERRIDE=FQ","FILING_STATUS=MR","Sort=A","Dates=H","DateFormat=P","Fill=—","Direction=H","UseDPDF=Y")</f>
        <v>—</v>
      </c>
      <c r="G53" s="14" t="str">
        <f>_xll.BDH("SRPT US Equity","PCT_OF_IND_DIRECTORS_ON_NOM_CMTE","FY 2007","FY 2007","Currency=USD","Period=FQ","BEST_FPERIOD_OVERRIDE=FQ","FILING_STATUS=MR","Sort=A","Dates=H","DateFormat=P","Fill=—","Direction=H","UseDPDF=Y")</f>
        <v>—</v>
      </c>
      <c r="H53" s="14" t="str">
        <f>_xll.BDH("SRPT US Equity","PCT_OF_IND_DIRECTORS_ON_NOM_CMTE","FY 2008","FY 2008","Currency=USD","Period=FQ","BEST_FPERIOD_OVERRIDE=FQ","FILING_STATUS=MR","Sort=A","Dates=H","DateFormat=P","Fill=—","Direction=H","UseDPDF=Y")</f>
        <v>—</v>
      </c>
      <c r="I53" s="14" t="str">
        <f>_xll.BDH("SRPT US Equity","PCT_OF_IND_DIRECTORS_ON_NOM_CMTE","FY 2009","FY 2009","Currency=USD","Period=FQ","BEST_FPERIOD_OVERRIDE=FQ","FILING_STATUS=MR","Sort=A","Dates=H","DateFormat=P","Fill=—","Direction=H","UseDPDF=Y")</f>
        <v>—</v>
      </c>
      <c r="J53" s="14" t="str">
        <f>_xll.BDH("SRPT US Equity","PCT_OF_IND_DIRECTORS_ON_NOM_CMTE","FY 2010","FY 2010","Currency=USD","Period=FQ","BEST_FPERIOD_OVERRIDE=FQ","FILING_STATUS=MR","Sort=A","Dates=H","DateFormat=P","Fill=—","Direction=H","UseDPDF=Y")</f>
        <v>—</v>
      </c>
      <c r="K53" s="14" t="str">
        <f>_xll.BDH("SRPT US Equity","PCT_OF_IND_DIRECTORS_ON_NOM_CMTE","FY 2011","FY 2011","Currency=USD","Period=FQ","BEST_FPERIOD_OVERRIDE=FQ","FILING_STATUS=MR","Sort=A","Dates=H","DateFormat=P","Fill=—","Direction=H","UseDPDF=Y")</f>
        <v>—</v>
      </c>
      <c r="L53" s="14" t="str">
        <f>_xll.BDH("SRPT US Equity","PCT_OF_IND_DIRECTORS_ON_NOM_CMTE","FY 2012","FY 2012","Currency=USD","Period=FQ","BEST_FPERIOD_OVERRIDE=FQ","FILING_STATUS=MR","Sort=A","Dates=H","DateFormat=P","Fill=—","Direction=H","UseDPDF=Y")</f>
        <v>—</v>
      </c>
      <c r="M53" s="14" t="str">
        <f>_xll.BDH("SRPT US Equity","PCT_OF_IND_DIRECTORS_ON_NOM_CMTE","FY 2013","FY 2013","Currency=USD","Period=FQ","BEST_FPERIOD_OVERRIDE=FQ","FILING_STATUS=MR","Sort=A","Dates=H","DateFormat=P","Fill=—","Direction=H","UseDPDF=Y")</f>
        <v>—</v>
      </c>
      <c r="N53" s="14" t="str">
        <f>_xll.BDH("SRPT US Equity","PCT_OF_IND_DIRECTORS_ON_NOM_CMTE","FY 2014","FY 2014","Currency=USD","Period=FQ","BEST_FPERIOD_OVERRIDE=FQ","FILING_STATUS=MR","Sort=A","Dates=H","DateFormat=P","Fill=—","Direction=H","UseDPDF=Y")</f>
        <v>—</v>
      </c>
      <c r="O53" s="14" t="str">
        <f>_xll.BDH("SRPT US Equity","PCT_OF_IND_DIRECTORS_ON_NOM_CMTE","FY 2015","FY 2015","Currency=USD","Period=FQ","BEST_FPERIOD_OVERRIDE=FQ","FILING_STATUS=MR","Sort=A","Dates=H","DateFormat=P","Fill=—","Direction=H","UseDPDF=Y")</f>
        <v>—</v>
      </c>
      <c r="P53" s="14" t="str">
        <f>_xll.BDH("SRPT US Equity","PCT_OF_IND_DIRECTORS_ON_NOM_CMTE","FY 2016","FY 2016","Currency=USD","Period=FQ","BEST_FPERIOD_OVERRIDE=FQ","FILING_STATUS=MR","Sort=A","Dates=H","DateFormat=P","Fill=—","Direction=H","UseDPDF=Y")</f>
        <v>—</v>
      </c>
      <c r="Q53" s="14" t="str">
        <f>_xll.BDH("SRPT US Equity","PCT_OF_IND_DIRECTORS_ON_NOM_CMTE","FY 2017","FY 2017","Currency=USD","Period=FQ","BEST_FPERIOD_OVERRIDE=FQ","FILING_STATUS=MR","Sort=A","Dates=H","DateFormat=P","Fill=—","Direction=H","UseDPDF=Y")</f>
        <v>—</v>
      </c>
      <c r="R53" s="14" t="str">
        <f>_xll.BDH("SRPT US Equity","PCT_OF_IND_DIRECTORS_ON_NOM_CMTE","FY 2018","FY 2018","Currency=USD","Period=FQ","BEST_FPERIOD_OVERRIDE=FQ","FILING_STATUS=MR","Sort=A","Dates=H","DateFormat=P","Fill=—","Direction=H","UseDPDF=Y")</f>
        <v>—</v>
      </c>
      <c r="S53" s="14" t="str">
        <f>_xll.BDH("SRPT US Equity","PCT_OF_IND_DIRECTORS_ON_NOM_CMTE","FY 2019","FY 2019","Currency=USD","Period=FQ","BEST_FPERIOD_OVERRIDE=FQ","FILING_STATUS=MR","Sort=A","Dates=H","DateFormat=P","Fill=—","Direction=H","UseDPDF=Y")</f>
        <v>—</v>
      </c>
      <c r="T53" s="14" t="str">
        <f>_xll.BDH("SRPT US Equity","PCT_OF_IND_DIRECTORS_ON_NOM_CMTE","FY 2020","FY 2020","Currency=USD","Period=FQ","BEST_FPERIOD_OVERRIDE=FQ","FILING_STATUS=MR","Sort=A","Dates=H","DateFormat=P","Fill=—","Direction=H","UseDPDF=Y")</f>
        <v>—</v>
      </c>
      <c r="U53" s="14" t="str">
        <f>_xll.BDH("SRPT US Equity","PCT_OF_IND_DIRECTORS_ON_NOM_CMTE","FY 2021","FY 2021","Currency=USD","Period=FQ","BEST_FPERIOD_OVERRIDE=FQ","FILING_STATUS=MR","Sort=A","Dates=H","DateFormat=P","Fill=—","Direction=H","UseDPDF=Y")</f>
        <v>—</v>
      </c>
      <c r="V53" s="14" t="str">
        <f>_xll.BDH("SRPT US Equity","PCT_OF_IND_DIRECTORS_ON_NOM_CMTE","FY 2022","FY 2022","Currency=USD","Period=FQ","BEST_FPERIOD_OVERRIDE=FQ","FILING_STATUS=MR","Sort=A","Dates=H","DateFormat=P","Fill=—","Direction=H","UseDPDF=Y")</f>
        <v>—</v>
      </c>
      <c r="W53" s="14" t="str">
        <f>_xll.BDH("SRPT US Equity","PCT_OF_IND_DIRECTORS_ON_NOM_CMTE","FY 2023","FY 2023","Currency=USD","Period=FQ","BEST_FPERIOD_OVERRIDE=FQ","FILING_STATUS=MR","Sort=A","Dates=H","DateFormat=P","Fill=—","Direction=H","UseDPDF=Y")</f>
        <v>—</v>
      </c>
      <c r="X53" s="14" t="str">
        <f>_xll.BDH("SRPT US Equity","PCT_OF_IND_DIRECTORS_ON_NOM_CMTE","FY 2024","FY 2024","Currency=USD","Period=FQ","BEST_FPERIOD_OVERRIDE=FQ","FILING_STATUS=MR","Sort=A","Dates=H","DateFormat=P","Fill=—","Direction=H","UseDPDF=Y")</f>
        <v>—</v>
      </c>
    </row>
    <row r="54" spans="1:24" x14ac:dyDescent="0.25">
      <c r="A54" s="10" t="s">
        <v>1794</v>
      </c>
      <c r="B54" s="10" t="s">
        <v>1795</v>
      </c>
      <c r="C54" s="14" t="str">
        <f>_xll.BDH("SRPT US Equity","PCT_OWNERSHIP_REQ_SPECIAL_MTG","FY 2002","FY 2002","Currency=USD","Period=FQ","BEST_FPERIOD_OVERRIDE=FQ","FILING_STATUS=MR","Sort=A","Dates=H","DateFormat=P","Fill=—","Direction=H","UseDPDF=Y")</f>
        <v>—</v>
      </c>
      <c r="D54" s="14" t="str">
        <f>_xll.BDH("SRPT US Equity","PCT_OWNERSHIP_REQ_SPECIAL_MTG","FY 2004","FY 2004","Currency=USD","Period=FQ","BEST_FPERIOD_OVERRIDE=FQ","FILING_STATUS=MR","Sort=A","Dates=H","DateFormat=P","Fill=—","Direction=H","UseDPDF=Y")</f>
        <v>—</v>
      </c>
      <c r="E54" s="14" t="str">
        <f>_xll.BDH("SRPT US Equity","PCT_OWNERSHIP_REQ_SPECIAL_MTG","FY 2005","FY 2005","Currency=USD","Period=FQ","BEST_FPERIOD_OVERRIDE=FQ","FILING_STATUS=MR","Sort=A","Dates=H","DateFormat=P","Fill=—","Direction=H","UseDPDF=Y")</f>
        <v>—</v>
      </c>
      <c r="F54" s="14" t="str">
        <f>_xll.BDH("SRPT US Equity","PCT_OWNERSHIP_REQ_SPECIAL_MTG","FY 2006","FY 2006","Currency=USD","Period=FQ","BEST_FPERIOD_OVERRIDE=FQ","FILING_STATUS=MR","Sort=A","Dates=H","DateFormat=P","Fill=—","Direction=H","UseDPDF=Y")</f>
        <v>—</v>
      </c>
      <c r="G54" s="14" t="str">
        <f>_xll.BDH("SRPT US Equity","PCT_OWNERSHIP_REQ_SPECIAL_MTG","FY 2007","FY 2007","Currency=USD","Period=FQ","BEST_FPERIOD_OVERRIDE=FQ","FILING_STATUS=MR","Sort=A","Dates=H","DateFormat=P","Fill=—","Direction=H","UseDPDF=Y")</f>
        <v>—</v>
      </c>
      <c r="H54" s="14" t="str">
        <f>_xll.BDH("SRPT US Equity","PCT_OWNERSHIP_REQ_SPECIAL_MTG","FY 2008","FY 2008","Currency=USD","Period=FQ","BEST_FPERIOD_OVERRIDE=FQ","FILING_STATUS=MR","Sort=A","Dates=H","DateFormat=P","Fill=—","Direction=H","UseDPDF=Y")</f>
        <v>—</v>
      </c>
      <c r="I54" s="14" t="str">
        <f>_xll.BDH("SRPT US Equity","PCT_OWNERSHIP_REQ_SPECIAL_MTG","FY 2009","FY 2009","Currency=USD","Period=FQ","BEST_FPERIOD_OVERRIDE=FQ","FILING_STATUS=MR","Sort=A","Dates=H","DateFormat=P","Fill=—","Direction=H","UseDPDF=Y")</f>
        <v>—</v>
      </c>
      <c r="J54" s="14" t="str">
        <f>_xll.BDH("SRPT US Equity","PCT_OWNERSHIP_REQ_SPECIAL_MTG","FY 2010","FY 2010","Currency=USD","Period=FQ","BEST_FPERIOD_OVERRIDE=FQ","FILING_STATUS=MR","Sort=A","Dates=H","DateFormat=P","Fill=—","Direction=H","UseDPDF=Y")</f>
        <v>—</v>
      </c>
      <c r="K54" s="14" t="str">
        <f>_xll.BDH("SRPT US Equity","PCT_OWNERSHIP_REQ_SPECIAL_MTG","FY 2011","FY 2011","Currency=USD","Period=FQ","BEST_FPERIOD_OVERRIDE=FQ","FILING_STATUS=MR","Sort=A","Dates=H","DateFormat=P","Fill=—","Direction=H","UseDPDF=Y")</f>
        <v>—</v>
      </c>
      <c r="L54" s="14" t="str">
        <f>_xll.BDH("SRPT US Equity","PCT_OWNERSHIP_REQ_SPECIAL_MTG","FY 2012","FY 2012","Currency=USD","Period=FQ","BEST_FPERIOD_OVERRIDE=FQ","FILING_STATUS=MR","Sort=A","Dates=H","DateFormat=P","Fill=—","Direction=H","UseDPDF=Y")</f>
        <v>—</v>
      </c>
      <c r="M54" s="14" t="str">
        <f>_xll.BDH("SRPT US Equity","PCT_OWNERSHIP_REQ_SPECIAL_MTG","FY 2013","FY 2013","Currency=USD","Period=FQ","BEST_FPERIOD_OVERRIDE=FQ","FILING_STATUS=MR","Sort=A","Dates=H","DateFormat=P","Fill=—","Direction=H","UseDPDF=Y")</f>
        <v>—</v>
      </c>
      <c r="N54" s="14" t="str">
        <f>_xll.BDH("SRPT US Equity","PCT_OWNERSHIP_REQ_SPECIAL_MTG","FY 2014","FY 2014","Currency=USD","Period=FQ","BEST_FPERIOD_OVERRIDE=FQ","FILING_STATUS=MR","Sort=A","Dates=H","DateFormat=P","Fill=—","Direction=H","UseDPDF=Y")</f>
        <v>—</v>
      </c>
      <c r="O54" s="14" t="str">
        <f>_xll.BDH("SRPT US Equity","PCT_OWNERSHIP_REQ_SPECIAL_MTG","FY 2015","FY 2015","Currency=USD","Period=FQ","BEST_FPERIOD_OVERRIDE=FQ","FILING_STATUS=MR","Sort=A","Dates=H","DateFormat=P","Fill=—","Direction=H","UseDPDF=Y")</f>
        <v>—</v>
      </c>
      <c r="P54" s="14" t="str">
        <f>_xll.BDH("SRPT US Equity","PCT_OWNERSHIP_REQ_SPECIAL_MTG","FY 2016","FY 2016","Currency=USD","Period=FQ","BEST_FPERIOD_OVERRIDE=FQ","FILING_STATUS=MR","Sort=A","Dates=H","DateFormat=P","Fill=—","Direction=H","UseDPDF=Y")</f>
        <v>—</v>
      </c>
      <c r="Q54" s="14" t="str">
        <f>_xll.BDH("SRPT US Equity","PCT_OWNERSHIP_REQ_SPECIAL_MTG","FY 2017","FY 2017","Currency=USD","Period=FQ","BEST_FPERIOD_OVERRIDE=FQ","FILING_STATUS=MR","Sort=A","Dates=H","DateFormat=P","Fill=—","Direction=H","UseDPDF=Y")</f>
        <v>—</v>
      </c>
      <c r="R54" s="14" t="str">
        <f>_xll.BDH("SRPT US Equity","PCT_OWNERSHIP_REQ_SPECIAL_MTG","FY 2018","FY 2018","Currency=USD","Period=FQ","BEST_FPERIOD_OVERRIDE=FQ","FILING_STATUS=MR","Sort=A","Dates=H","DateFormat=P","Fill=—","Direction=H","UseDPDF=Y")</f>
        <v>—</v>
      </c>
      <c r="S54" s="14" t="str">
        <f>_xll.BDH("SRPT US Equity","PCT_OWNERSHIP_REQ_SPECIAL_MTG","FY 2019","FY 2019","Currency=USD","Period=FQ","BEST_FPERIOD_OVERRIDE=FQ","FILING_STATUS=MR","Sort=A","Dates=H","DateFormat=P","Fill=—","Direction=H","UseDPDF=Y")</f>
        <v>—</v>
      </c>
      <c r="T54" s="14" t="str">
        <f>_xll.BDH("SRPT US Equity","PCT_OWNERSHIP_REQ_SPECIAL_MTG","FY 2020","FY 2020","Currency=USD","Period=FQ","BEST_FPERIOD_OVERRIDE=FQ","FILING_STATUS=MR","Sort=A","Dates=H","DateFormat=P","Fill=—","Direction=H","UseDPDF=Y")</f>
        <v>—</v>
      </c>
      <c r="U54" s="14" t="str">
        <f>_xll.BDH("SRPT US Equity","PCT_OWNERSHIP_REQ_SPECIAL_MTG","FY 2021","FY 2021","Currency=USD","Period=FQ","BEST_FPERIOD_OVERRIDE=FQ","FILING_STATUS=MR","Sort=A","Dates=H","DateFormat=P","Fill=—","Direction=H","UseDPDF=Y")</f>
        <v>—</v>
      </c>
      <c r="V54" s="14" t="str">
        <f>_xll.BDH("SRPT US Equity","PCT_OWNERSHIP_REQ_SPECIAL_MTG","FY 2022","FY 2022","Currency=USD","Period=FQ","BEST_FPERIOD_OVERRIDE=FQ","FILING_STATUS=MR","Sort=A","Dates=H","DateFormat=P","Fill=—","Direction=H","UseDPDF=Y")</f>
        <v>—</v>
      </c>
      <c r="W54" s="14" t="str">
        <f>_xll.BDH("SRPT US Equity","PCT_OWNERSHIP_REQ_SPECIAL_MTG","FY 2023","FY 2023","Currency=USD","Period=FQ","BEST_FPERIOD_OVERRIDE=FQ","FILING_STATUS=MR","Sort=A","Dates=H","DateFormat=P","Fill=—","Direction=H","UseDPDF=Y")</f>
        <v>—</v>
      </c>
      <c r="X54" s="14" t="str">
        <f>_xll.BDH("SRPT US Equity","PCT_OWNERSHIP_REQ_SPECIAL_MTG","FY 2024","FY 2024","Currency=USD","Period=FQ","BEST_FPERIOD_OVERRIDE=FQ","FILING_STATUS=MR","Sort=A","Dates=H","DateFormat=P","Fill=—","Direction=H","UseDPDF=Y")</f>
        <v>—</v>
      </c>
    </row>
    <row r="55" spans="1:24" x14ac:dyDescent="0.25">
      <c r="A55" s="7" t="s">
        <v>90</v>
      </c>
      <c r="B55" s="7"/>
      <c r="C55" s="7" t="s">
        <v>5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5"/>
  <sheetViews>
    <sheetView topLeftCell="A12"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163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4" t="s">
        <v>19</v>
      </c>
      <c r="M4" s="4" t="s">
        <v>20</v>
      </c>
      <c r="N4" s="4" t="s">
        <v>21</v>
      </c>
      <c r="O4" s="4" t="s">
        <v>22</v>
      </c>
      <c r="P4" s="4" t="s">
        <v>23</v>
      </c>
      <c r="Q4" s="4" t="s">
        <v>24</v>
      </c>
      <c r="R4" s="4" t="s">
        <v>25</v>
      </c>
      <c r="S4" s="4" t="s">
        <v>26</v>
      </c>
      <c r="T4" s="4" t="s">
        <v>27</v>
      </c>
      <c r="U4" s="4" t="s">
        <v>28</v>
      </c>
      <c r="V4" s="4" t="s">
        <v>29</v>
      </c>
      <c r="W4" s="4" t="s">
        <v>30</v>
      </c>
      <c r="X4" s="4" t="s">
        <v>31</v>
      </c>
      <c r="Y4" s="4" t="s">
        <v>164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36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41</v>
      </c>
      <c r="I5" s="5" t="s">
        <v>42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5" t="s">
        <v>48</v>
      </c>
      <c r="P5" s="5" t="s">
        <v>49</v>
      </c>
      <c r="Q5" s="5" t="s">
        <v>50</v>
      </c>
      <c r="R5" s="5" t="s">
        <v>51</v>
      </c>
      <c r="S5" s="5" t="s">
        <v>52</v>
      </c>
      <c r="T5" s="5" t="s">
        <v>53</v>
      </c>
      <c r="U5" s="5" t="s">
        <v>54</v>
      </c>
      <c r="V5" s="5" t="s">
        <v>55</v>
      </c>
      <c r="W5" s="5" t="s">
        <v>56</v>
      </c>
      <c r="X5" s="5" t="s">
        <v>57</v>
      </c>
      <c r="Y5" s="5" t="s">
        <v>165</v>
      </c>
      <c r="Z5" s="5" t="s">
        <v>58</v>
      </c>
      <c r="AA5" s="5" t="s">
        <v>59</v>
      </c>
    </row>
    <row r="6" spans="1:27" x14ac:dyDescent="0.25">
      <c r="A6" s="6" t="s">
        <v>60</v>
      </c>
      <c r="B6" s="6" t="s">
        <v>61</v>
      </c>
      <c r="C6" s="19">
        <f>_xll.BDH("SRPT US Equity","HISTORICAL_MARKET_CAP","FQ3 2019","FQ3 2019","Currency=USD","Period=FQ","BEST_FPERIOD_OVERRIDE=FQ","FILING_STATUS=MR","SCALING_FORMAT=MLN","Sort=A","Dates=H","DateFormat=P","Fill=—","Direction=H","UseDPDF=Y")</f>
        <v>5611.7042000000001</v>
      </c>
      <c r="D6" s="19">
        <f>_xll.BDH("SRPT US Equity","HISTORICAL_MARKET_CAP","FQ4 2019","FQ4 2019","Currency=USD","Period=FQ","BEST_FPERIOD_OVERRIDE=FQ","FILING_STATUS=MR","SCALING_FORMAT=MLN","Sort=A","Dates=H","DateFormat=P","Fill=—","Direction=H","UseDPDF=Y")</f>
        <v>9701.8546999999999</v>
      </c>
      <c r="E6" s="19">
        <f>_xll.BDH("SRPT US Equity","HISTORICAL_MARKET_CAP","FQ1 2020","FQ1 2020","Currency=USD","Period=FQ","BEST_FPERIOD_OVERRIDE=FQ","FILING_STATUS=MR","SCALING_FORMAT=MLN","Sort=A","Dates=H","DateFormat=P","Fill=—","Direction=H","UseDPDF=Y")</f>
        <v>7625.8310000000001</v>
      </c>
      <c r="F6" s="19">
        <f>_xll.BDH("SRPT US Equity","HISTORICAL_MARKET_CAP","FQ2 2020","FQ2 2020","Currency=USD","Period=FQ","BEST_FPERIOD_OVERRIDE=FQ","FILING_STATUS=MR","SCALING_FORMAT=MLN","Sort=A","Dates=H","DateFormat=P","Fill=—","Direction=H","UseDPDF=Y")</f>
        <v>12575.826300000001</v>
      </c>
      <c r="G6" s="19">
        <f>_xll.BDH("SRPT US Equity","HISTORICAL_MARKET_CAP","FQ3 2020","FQ3 2020","Currency=USD","Period=FQ","BEST_FPERIOD_OVERRIDE=FQ","FILING_STATUS=MR","SCALING_FORMAT=MLN","Sort=A","Dates=H","DateFormat=P","Fill=—","Direction=H","UseDPDF=Y")</f>
        <v>11064.446</v>
      </c>
      <c r="H6" s="19">
        <f>_xll.BDH("SRPT US Equity","HISTORICAL_MARKET_CAP","FQ4 2020","FQ4 2020","Currency=USD","Period=FQ","BEST_FPERIOD_OVERRIDE=FQ","FILING_STATUS=MR","SCALING_FORMAT=MLN","Sort=A","Dates=H","DateFormat=P","Fill=—","Direction=H","UseDPDF=Y")</f>
        <v>13532.5154</v>
      </c>
      <c r="I6" s="19">
        <f>_xll.BDH("SRPT US Equity","HISTORICAL_MARKET_CAP","FQ1 2021","FQ1 2021","Currency=USD","Period=FQ","BEST_FPERIOD_OVERRIDE=FQ","FILING_STATUS=MR","SCALING_FORMAT=MLN","Sort=A","Dates=H","DateFormat=P","Fill=—","Direction=H","UseDPDF=Y")</f>
        <v>5943.6265999999996</v>
      </c>
      <c r="J6" s="19">
        <f>_xll.BDH("SRPT US Equity","HISTORICAL_MARKET_CAP","FQ2 2021","FQ2 2021","Currency=USD","Period=FQ","BEST_FPERIOD_OVERRIDE=FQ","FILING_STATUS=MR","SCALING_FORMAT=MLN","Sort=A","Dates=H","DateFormat=P","Fill=—","Direction=H","UseDPDF=Y")</f>
        <v>6206.0162</v>
      </c>
      <c r="K6" s="19">
        <f>_xll.BDH("SRPT US Equity","HISTORICAL_MARKET_CAP","FQ3 2021","FQ3 2021","Currency=USD","Period=FQ","BEST_FPERIOD_OVERRIDE=FQ","FILING_STATUS=MR","SCALING_FORMAT=MLN","Sort=A","Dates=H","DateFormat=P","Fill=—","Direction=H","UseDPDF=Y")</f>
        <v>7394.5645999999997</v>
      </c>
      <c r="L6" s="19">
        <f>_xll.BDH("SRPT US Equity","HISTORICAL_MARKET_CAP","FQ4 2021","FQ4 2021","Currency=USD","Period=FQ","BEST_FPERIOD_OVERRIDE=FQ","FILING_STATUS=MR","SCALING_FORMAT=MLN","Sort=A","Dates=H","DateFormat=P","Fill=—","Direction=H","UseDPDF=Y")</f>
        <v>7845.7839999999997</v>
      </c>
      <c r="M6" s="19">
        <f>_xll.BDH("SRPT US Equity","HISTORICAL_MARKET_CAP","FQ1 2022","FQ1 2022","Currency=USD","Period=FQ","BEST_FPERIOD_OVERRIDE=FQ","FILING_STATUS=MR","SCALING_FORMAT=MLN","Sort=A","Dates=H","DateFormat=P","Fill=—","Direction=H","UseDPDF=Y")</f>
        <v>6835.1567999999997</v>
      </c>
      <c r="N6" s="19">
        <f>_xll.BDH("SRPT US Equity","HISTORICAL_MARKET_CAP","FQ2 2022","FQ2 2022","Currency=USD","Period=FQ","BEST_FPERIOD_OVERRIDE=FQ","FILING_STATUS=MR","SCALING_FORMAT=MLN","Sort=A","Dates=H","DateFormat=P","Fill=—","Direction=H","UseDPDF=Y")</f>
        <v>6561.6459999999997</v>
      </c>
      <c r="O6" s="19">
        <f>_xll.BDH("SRPT US Equity","HISTORICAL_MARKET_CAP","FQ3 2022","FQ3 2022","Currency=USD","Period=FQ","BEST_FPERIOD_OVERRIDE=FQ","FILING_STATUS=MR","SCALING_FORMAT=MLN","Sort=A","Dates=H","DateFormat=P","Fill=—","Direction=H","UseDPDF=Y")</f>
        <v>9701.6756000000005</v>
      </c>
      <c r="P6" s="19">
        <f>_xll.BDH("SRPT US Equity","HISTORICAL_MARKET_CAP","FQ4 2022","FQ4 2022","Currency=USD","Period=FQ","BEST_FPERIOD_OVERRIDE=FQ","FILING_STATUS=MR","SCALING_FORMAT=MLN","Sort=A","Dates=H","DateFormat=P","Fill=—","Direction=H","UseDPDF=Y")</f>
        <v>11396.5762</v>
      </c>
      <c r="Q6" s="19">
        <f>_xll.BDH("SRPT US Equity","HISTORICAL_MARKET_CAP","FQ1 2023","FQ1 2023","Currency=USD","Period=FQ","BEST_FPERIOD_OVERRIDE=FQ","FILING_STATUS=MR","SCALING_FORMAT=MLN","Sort=A","Dates=H","DateFormat=P","Fill=—","Direction=H","UseDPDF=Y")</f>
        <v>12837.504800000001</v>
      </c>
      <c r="R6" s="19">
        <f>_xll.BDH("SRPT US Equity","HISTORICAL_MARKET_CAP","FQ2 2023","FQ2 2023","Currency=USD","Period=FQ","BEST_FPERIOD_OVERRIDE=FQ","FILING_STATUS=MR","SCALING_FORMAT=MLN","Sort=A","Dates=H","DateFormat=P","Fill=—","Direction=H","UseDPDF=Y")</f>
        <v>10681.6859</v>
      </c>
      <c r="S6" s="19">
        <f>_xll.BDH("SRPT US Equity","HISTORICAL_MARKET_CAP","FQ3 2023","FQ3 2023","Currency=USD","Period=FQ","BEST_FPERIOD_OVERRIDE=FQ","FILING_STATUS=MR","SCALING_FORMAT=MLN","Sort=A","Dates=H","DateFormat=P","Fill=—","Direction=H","UseDPDF=Y")</f>
        <v>11338.5982</v>
      </c>
      <c r="T6" s="19">
        <f>_xll.BDH("SRPT US Equity","HISTORICAL_MARKET_CAP","FQ4 2023","FQ4 2023","Currency=USD","Period=FQ","BEST_FPERIOD_OVERRIDE=FQ","FILING_STATUS=MR","SCALING_FORMAT=MLN","Sort=A","Dates=H","DateFormat=P","Fill=—","Direction=H","UseDPDF=Y")</f>
        <v>9038.5604999999996</v>
      </c>
      <c r="U6" s="19">
        <f>_xll.BDH("SRPT US Equity","HISTORICAL_MARKET_CAP","FQ1 2024","FQ1 2024","Currency=USD","Period=FQ","BEST_FPERIOD_OVERRIDE=FQ","FILING_STATUS=MR","SCALING_FORMAT=MLN","Sort=A","Dates=H","DateFormat=P","Fill=—","Direction=H","UseDPDF=Y")</f>
        <v>12232.6957</v>
      </c>
      <c r="V6" s="19">
        <f>_xll.BDH("SRPT US Equity","HISTORICAL_MARKET_CAP","FQ2 2024","FQ2 2024","Currency=USD","Period=FQ","BEST_FPERIOD_OVERRIDE=FQ","FILING_STATUS=MR","SCALING_FORMAT=MLN","Sort=A","Dates=H","DateFormat=P","Fill=—","Direction=H","UseDPDF=Y")</f>
        <v>15054.650799999999</v>
      </c>
      <c r="W6" s="19">
        <f>_xll.BDH("SRPT US Equity","HISTORICAL_MARKET_CAP","FQ3 2024","FQ3 2024","Currency=USD","Period=FQ","BEST_FPERIOD_OVERRIDE=FQ","FILING_STATUS=MR","SCALING_FORMAT=MLN","Sort=A","Dates=H","DateFormat=P","Fill=—","Direction=H","UseDPDF=Y")</f>
        <v>11926.1214</v>
      </c>
      <c r="X6" s="19">
        <f>_xll.BDH("SRPT US Equity","HISTORICAL_MARKET_CAP","FQ4 2024","FQ4 2024","Currency=USD","Period=FQ","BEST_FPERIOD_OVERRIDE=FQ","FILING_STATUS=MR","SCALING_FORMAT=MLN","Sort=A","Dates=H","DateFormat=P","Fill=—","Direction=H","UseDPDF=Y")</f>
        <v>11782.131299999999</v>
      </c>
      <c r="Y6" s="22">
        <v>6829.8450382874998</v>
      </c>
      <c r="Z6" s="19"/>
      <c r="AA6" s="19"/>
    </row>
    <row r="7" spans="1:27" x14ac:dyDescent="0.25">
      <c r="A7" s="10" t="s">
        <v>166</v>
      </c>
      <c r="B7" s="10" t="s">
        <v>63</v>
      </c>
      <c r="C7" s="13">
        <f>_xll.BDH("SRPT US Equity","CASH_AND_MARKETABLE_SECURITIES","FQ3 2019","FQ3 2019","Currency=USD","Period=FQ","BEST_FPERIOD_OVERRIDE=FQ","FILING_STATUS=MR","SCALING_FORMAT=MLN","Sort=A","Dates=H","DateFormat=P","Fill=—","Direction=H","UseDPDF=Y")</f>
        <v>1048.8920000000001</v>
      </c>
      <c r="D7" s="13">
        <f>_xll.BDH("SRPT US Equity","CASH_AND_MARKETABLE_SECURITIES","FQ4 2019","FQ4 2019","Currency=USD","Period=FQ","BEST_FPERIOD_OVERRIDE=FQ","FILING_STATUS=MR","SCALING_FORMAT=MLN","Sort=A","Dates=H","DateFormat=P","Fill=—","Direction=H","UseDPDF=Y")</f>
        <v>1124.748</v>
      </c>
      <c r="E7" s="13">
        <f>_xll.BDH("SRPT US Equity","CASH_AND_MARKETABLE_SECURITIES","FQ1 2020","FQ1 2020","Currency=USD","Period=FQ","BEST_FPERIOD_OVERRIDE=FQ","FILING_STATUS=MR","SCALING_FORMAT=MLN","Sort=A","Dates=H","DateFormat=P","Fill=—","Direction=H","UseDPDF=Y")</f>
        <v>2180.7179999999998</v>
      </c>
      <c r="F7" s="13">
        <f>_xll.BDH("SRPT US Equity","CASH_AND_MARKETABLE_SECURITIES","FQ2 2020","FQ2 2020","Currency=USD","Period=FQ","BEST_FPERIOD_OVERRIDE=FQ","FILING_STATUS=MR","SCALING_FORMAT=MLN","Sort=A","Dates=H","DateFormat=P","Fill=—","Direction=H","UseDPDF=Y")</f>
        <v>2070.8739999999998</v>
      </c>
      <c r="G7" s="13">
        <f>_xll.BDH("SRPT US Equity","CASH_AND_MARKETABLE_SECURITIES","FQ3 2020","FQ3 2020","Currency=USD","Period=FQ","BEST_FPERIOD_OVERRIDE=FQ","FILING_STATUS=MR","SCALING_FORMAT=MLN","Sort=A","Dates=H","DateFormat=P","Fill=—","Direction=H","UseDPDF=Y")</f>
        <v>1825.67</v>
      </c>
      <c r="H7" s="13">
        <f>_xll.BDH("SRPT US Equity","CASH_AND_MARKETABLE_SECURITIES","FQ4 2020","FQ4 2020","Currency=USD","Period=FQ","BEST_FPERIOD_OVERRIDE=FQ","FILING_STATUS=MR","SCALING_FORMAT=MLN","Sort=A","Dates=H","DateFormat=P","Fill=—","Direction=H","UseDPDF=Y")</f>
        <v>1947.886</v>
      </c>
      <c r="I7" s="13">
        <f>_xll.BDH("SRPT US Equity","CASH_AND_MARKETABLE_SECURITIES","FQ1 2021","FQ1 2021","Currency=USD","Period=FQ","BEST_FPERIOD_OVERRIDE=FQ","FILING_STATUS=MR","SCALING_FORMAT=MLN","Sort=A","Dates=H","DateFormat=P","Fill=—","Direction=H","UseDPDF=Y")</f>
        <v>1747.1479999999999</v>
      </c>
      <c r="J7" s="13">
        <f>_xll.BDH("SRPT US Equity","CASH_AND_MARKETABLE_SECURITIES","FQ2 2021","FQ2 2021","Currency=USD","Period=FQ","BEST_FPERIOD_OVERRIDE=FQ","FILING_STATUS=MR","SCALING_FORMAT=MLN","Sort=A","Dates=H","DateFormat=P","Fill=—","Direction=H","UseDPDF=Y")</f>
        <v>1736.59</v>
      </c>
      <c r="K7" s="13">
        <f>_xll.BDH("SRPT US Equity","CASH_AND_MARKETABLE_SECURITIES","FQ3 2021","FQ3 2021","Currency=USD","Period=FQ","BEST_FPERIOD_OVERRIDE=FQ","FILING_STATUS=MR","SCALING_FORMAT=MLN","Sort=A","Dates=H","DateFormat=P","Fill=—","Direction=H","UseDPDF=Y")</f>
        <v>1608.4280000000001</v>
      </c>
      <c r="L7" s="13">
        <f>_xll.BDH("SRPT US Equity","CASH_AND_MARKETABLE_SECURITIES","FQ4 2021","FQ4 2021","Currency=USD","Period=FQ","BEST_FPERIOD_OVERRIDE=FQ","FILING_STATUS=MR","SCALING_FORMAT=MLN","Sort=A","Dates=H","DateFormat=P","Fill=—","Direction=H","UseDPDF=Y")</f>
        <v>2125.7730000000001</v>
      </c>
      <c r="M7" s="13">
        <f>_xll.BDH("SRPT US Equity","CASH_AND_MARKETABLE_SECURITIES","FQ1 2022","FQ1 2022","Currency=USD","Period=FQ","BEST_FPERIOD_OVERRIDE=FQ","FILING_STATUS=MR","SCALING_FORMAT=MLN","Sort=A","Dates=H","DateFormat=P","Fill=—","Direction=H","UseDPDF=Y")</f>
        <v>2023.079</v>
      </c>
      <c r="N7" s="13">
        <f>_xll.BDH("SRPT US Equity","CASH_AND_MARKETABLE_SECURITIES","FQ2 2022","FQ2 2022","Currency=USD","Period=FQ","BEST_FPERIOD_OVERRIDE=FQ","FILING_STATUS=MR","SCALING_FORMAT=MLN","Sort=A","Dates=H","DateFormat=P","Fill=—","Direction=H","UseDPDF=Y")</f>
        <v>1946.518</v>
      </c>
      <c r="O7" s="13">
        <f>_xll.BDH("SRPT US Equity","CASH_AND_MARKETABLE_SECURITIES","FQ3 2022","FQ3 2022","Currency=USD","Period=FQ","BEST_FPERIOD_OVERRIDE=FQ","FILING_STATUS=MR","SCALING_FORMAT=MLN","Sort=A","Dates=H","DateFormat=P","Fill=—","Direction=H","UseDPDF=Y")</f>
        <v>2091.5079999999998</v>
      </c>
      <c r="P7" s="13">
        <f>_xll.BDH("SRPT US Equity","CASH_AND_MARKETABLE_SECURITIES","FQ4 2022","FQ4 2022","Currency=USD","Period=FQ","BEST_FPERIOD_OVERRIDE=FQ","FILING_STATUS=MR","SCALING_FORMAT=MLN","Sort=A","Dates=H","DateFormat=P","Fill=—","Direction=H","UseDPDF=Y")</f>
        <v>2008.3979999999999</v>
      </c>
      <c r="Q7" s="13">
        <f>_xll.BDH("SRPT US Equity","CASH_AND_MARKETABLE_SECURITIES","FQ1 2023","FQ1 2023","Currency=USD","Period=FQ","BEST_FPERIOD_OVERRIDE=FQ","FILING_STATUS=MR","SCALING_FORMAT=MLN","Sort=A","Dates=H","DateFormat=P","Fill=—","Direction=H","UseDPDF=Y")</f>
        <v>1901.1210000000001</v>
      </c>
      <c r="R7" s="13">
        <f>_xll.BDH("SRPT US Equity","CASH_AND_MARKETABLE_SECURITIES","FQ2 2023","FQ2 2023","Currency=USD","Period=FQ","BEST_FPERIOD_OVERRIDE=FQ","FILING_STATUS=MR","SCALING_FORMAT=MLN","Sort=A","Dates=H","DateFormat=P","Fill=—","Direction=H","UseDPDF=Y")</f>
        <v>1879.739</v>
      </c>
      <c r="S7" s="13">
        <f>_xll.BDH("SRPT US Equity","CASH_AND_MARKETABLE_SECURITIES","FQ3 2023","FQ3 2023","Currency=USD","Period=FQ","BEST_FPERIOD_OVERRIDE=FQ","FILING_STATUS=MR","SCALING_FORMAT=MLN","Sort=A","Dates=H","DateFormat=P","Fill=—","Direction=H","UseDPDF=Y")</f>
        <v>1741.0419999999999</v>
      </c>
      <c r="T7" s="13">
        <f>_xll.BDH("SRPT US Equity","CASH_AND_MARKETABLE_SECURITIES","FQ4 2023","FQ4 2023","Currency=USD","Period=FQ","BEST_FPERIOD_OVERRIDE=FQ","FILING_STATUS=MR","SCALING_FORMAT=MLN","Sort=A","Dates=H","DateFormat=P","Fill=—","Direction=H","UseDPDF=Y")</f>
        <v>1682.777</v>
      </c>
      <c r="U7" s="13">
        <f>_xll.BDH("SRPT US Equity","CASH_AND_MARKETABLE_SECURITIES","FQ1 2024","FQ1 2024","Currency=USD","Period=FQ","BEST_FPERIOD_OVERRIDE=FQ","FILING_STATUS=MR","SCALING_FORMAT=MLN","Sort=A","Dates=H","DateFormat=P","Fill=—","Direction=H","UseDPDF=Y")</f>
        <v>1406.3219999999999</v>
      </c>
      <c r="V7" s="13">
        <f>_xll.BDH("SRPT US Equity","CASH_AND_MARKETABLE_SECURITIES","FQ2 2024","FQ2 2024","Currency=USD","Period=FQ","BEST_FPERIOD_OVERRIDE=FQ","FILING_STATUS=MR","SCALING_FORMAT=MLN","Sort=A","Dates=H","DateFormat=P","Fill=—","Direction=H","UseDPDF=Y")</f>
        <v>1476.0530000000001</v>
      </c>
      <c r="W7" s="13">
        <f>_xll.BDH("SRPT US Equity","CASH_AND_MARKETABLE_SECURITIES","FQ3 2024","FQ3 2024","Currency=USD","Period=FQ","BEST_FPERIOD_OVERRIDE=FQ","FILING_STATUS=MR","SCALING_FORMAT=MLN","Sort=A","Dates=H","DateFormat=P","Fill=—","Direction=H","UseDPDF=Y")</f>
        <v>1203.1120000000001</v>
      </c>
      <c r="X7" s="13">
        <f>_xll.BDH("SRPT US Equity","CASH_AND_MARKETABLE_SECURITIES","FQ4 2024","FQ4 2024","Currency=USD","Period=FQ","BEST_FPERIOD_OVERRIDE=FQ","FILING_STATUS=MR","SCALING_FORMAT=MLN","Sort=A","Dates=H","DateFormat=P","Fill=—","Direction=H","UseDPDF=Y")</f>
        <v>1358.502</v>
      </c>
      <c r="Y7" s="16">
        <v>1358.502</v>
      </c>
      <c r="Z7" s="13"/>
      <c r="AA7" s="13"/>
    </row>
    <row r="8" spans="1:27" x14ac:dyDescent="0.25">
      <c r="A8" s="10" t="s">
        <v>167</v>
      </c>
      <c r="B8" s="10" t="s">
        <v>168</v>
      </c>
      <c r="C8" s="13">
        <f>_xll.BDH("SRPT US Equity","PFD_EQTY_HYBRID_CAPITAL","FQ3 2019","FQ3 2019","Currency=USD","Period=FQ","BEST_FPERIOD_OVERRIDE=FQ","FILING_STATUS=MR","SCALING_FORMAT=MLN","Sort=A","Dates=H","DateFormat=P","Fill=—","Direction=H","UseDPDF=Y")</f>
        <v>0</v>
      </c>
      <c r="D8" s="13">
        <f>_xll.BDH("SRPT US Equity","PFD_EQTY_HYBRID_CAPITAL","FQ4 2019","FQ4 2019","Currency=USD","Period=FQ","BEST_FPERIOD_OVERRIDE=FQ","FILING_STATUS=MR","SCALING_FORMAT=MLN","Sort=A","Dates=H","DateFormat=P","Fill=—","Direction=H","UseDPDF=Y")</f>
        <v>0</v>
      </c>
      <c r="E8" s="13">
        <f>_xll.BDH("SRPT US Equity","PFD_EQTY_HYBRID_CAPITAL","FQ1 2020","FQ1 2020","Currency=USD","Period=FQ","BEST_FPERIOD_OVERRIDE=FQ","FILING_STATUS=MR","SCALING_FORMAT=MLN","Sort=A","Dates=H","DateFormat=P","Fill=—","Direction=H","UseDPDF=Y")</f>
        <v>0</v>
      </c>
      <c r="F8" s="13">
        <f>_xll.BDH("SRPT US Equity","PFD_EQTY_HYBRID_CAPITAL","FQ2 2020","FQ2 2020","Currency=USD","Period=FQ","BEST_FPERIOD_OVERRIDE=FQ","FILING_STATUS=MR","SCALING_FORMAT=MLN","Sort=A","Dates=H","DateFormat=P","Fill=—","Direction=H","UseDPDF=Y")</f>
        <v>0</v>
      </c>
      <c r="G8" s="13">
        <f>_xll.BDH("SRPT US Equity","PFD_EQTY_HYBRID_CAPITAL","FQ3 2020","FQ3 2020","Currency=USD","Period=FQ","BEST_FPERIOD_OVERRIDE=FQ","FILING_STATUS=MR","SCALING_FORMAT=MLN","Sort=A","Dates=H","DateFormat=P","Fill=—","Direction=H","UseDPDF=Y")</f>
        <v>0</v>
      </c>
      <c r="H8" s="13">
        <f>_xll.BDH("SRPT US Equity","PFD_EQTY_HYBRID_CAPITAL","FQ4 2020","FQ4 2020","Currency=USD","Period=FQ","BEST_FPERIOD_OVERRIDE=FQ","FILING_STATUS=MR","SCALING_FORMAT=MLN","Sort=A","Dates=H","DateFormat=P","Fill=—","Direction=H","UseDPDF=Y")</f>
        <v>0</v>
      </c>
      <c r="I8" s="13">
        <f>_xll.BDH("SRPT US Equity","PFD_EQTY_HYBRID_CAPITAL","FQ1 2021","FQ1 2021","Currency=USD","Period=FQ","BEST_FPERIOD_OVERRIDE=FQ","FILING_STATUS=MR","SCALING_FORMAT=MLN","Sort=A","Dates=H","DateFormat=P","Fill=—","Direction=H","UseDPDF=Y")</f>
        <v>0</v>
      </c>
      <c r="J8" s="13">
        <f>_xll.BDH("SRPT US Equity","PFD_EQTY_HYBRID_CAPITAL","FQ2 2021","FQ2 2021","Currency=USD","Period=FQ","BEST_FPERIOD_OVERRIDE=FQ","FILING_STATUS=MR","SCALING_FORMAT=MLN","Sort=A","Dates=H","DateFormat=P","Fill=—","Direction=H","UseDPDF=Y")</f>
        <v>0</v>
      </c>
      <c r="K8" s="13">
        <f>_xll.BDH("SRPT US Equity","PFD_EQTY_HYBRID_CAPITAL","FQ3 2021","FQ3 2021","Currency=USD","Period=FQ","BEST_FPERIOD_OVERRIDE=FQ","FILING_STATUS=MR","SCALING_FORMAT=MLN","Sort=A","Dates=H","DateFormat=P","Fill=—","Direction=H","UseDPDF=Y")</f>
        <v>0</v>
      </c>
      <c r="L8" s="13">
        <f>_xll.BDH("SRPT US Equity","PFD_EQTY_HYBRID_CAPITAL","FQ4 2021","FQ4 2021","Currency=USD","Period=FQ","BEST_FPERIOD_OVERRIDE=FQ","FILING_STATUS=MR","SCALING_FORMAT=MLN","Sort=A","Dates=H","DateFormat=P","Fill=—","Direction=H","UseDPDF=Y")</f>
        <v>0</v>
      </c>
      <c r="M8" s="13">
        <f>_xll.BDH("SRPT US Equity","PFD_EQTY_HYBRID_CAPITAL","FQ1 2022","FQ1 2022","Currency=USD","Period=FQ","BEST_FPERIOD_OVERRIDE=FQ","FILING_STATUS=MR","SCALING_FORMAT=MLN","Sort=A","Dates=H","DateFormat=P","Fill=—","Direction=H","UseDPDF=Y")</f>
        <v>0</v>
      </c>
      <c r="N8" s="13">
        <f>_xll.BDH("SRPT US Equity","PFD_EQTY_HYBRID_CAPITAL","FQ2 2022","FQ2 2022","Currency=USD","Period=FQ","BEST_FPERIOD_OVERRIDE=FQ","FILING_STATUS=MR","SCALING_FORMAT=MLN","Sort=A","Dates=H","DateFormat=P","Fill=—","Direction=H","UseDPDF=Y")</f>
        <v>0</v>
      </c>
      <c r="O8" s="13">
        <f>_xll.BDH("SRPT US Equity","PFD_EQTY_HYBRID_CAPITAL","FQ3 2022","FQ3 2022","Currency=USD","Period=FQ","BEST_FPERIOD_OVERRIDE=FQ","FILING_STATUS=MR","SCALING_FORMAT=MLN","Sort=A","Dates=H","DateFormat=P","Fill=—","Direction=H","UseDPDF=Y")</f>
        <v>0</v>
      </c>
      <c r="P8" s="13">
        <f>_xll.BDH("SRPT US Equity","PFD_EQTY_HYBRID_CAPITAL","FQ4 2022","FQ4 2022","Currency=USD","Period=FQ","BEST_FPERIOD_OVERRIDE=FQ","FILING_STATUS=MR","SCALING_FORMAT=MLN","Sort=A","Dates=H","DateFormat=P","Fill=—","Direction=H","UseDPDF=Y")</f>
        <v>0</v>
      </c>
      <c r="Q8" s="13">
        <f>_xll.BDH("SRPT US Equity","PFD_EQTY_HYBRID_CAPITAL","FQ1 2023","FQ1 2023","Currency=USD","Period=FQ","BEST_FPERIOD_OVERRIDE=FQ","FILING_STATUS=MR","SCALING_FORMAT=MLN","Sort=A","Dates=H","DateFormat=P","Fill=—","Direction=H","UseDPDF=Y")</f>
        <v>0</v>
      </c>
      <c r="R8" s="13">
        <f>_xll.BDH("SRPT US Equity","PFD_EQTY_HYBRID_CAPITAL","FQ2 2023","FQ2 2023","Currency=USD","Period=FQ","BEST_FPERIOD_OVERRIDE=FQ","FILING_STATUS=MR","SCALING_FORMAT=MLN","Sort=A","Dates=H","DateFormat=P","Fill=—","Direction=H","UseDPDF=Y")</f>
        <v>0</v>
      </c>
      <c r="S8" s="13">
        <f>_xll.BDH("SRPT US Equity","PFD_EQTY_HYBRID_CAPITAL","FQ3 2023","FQ3 2023","Currency=USD","Period=FQ","BEST_FPERIOD_OVERRIDE=FQ","FILING_STATUS=MR","SCALING_FORMAT=MLN","Sort=A","Dates=H","DateFormat=P","Fill=—","Direction=H","UseDPDF=Y")</f>
        <v>0</v>
      </c>
      <c r="T8" s="13">
        <f>_xll.BDH("SRPT US Equity","PFD_EQTY_HYBRID_CAPITAL","FQ4 2023","FQ4 2023","Currency=USD","Period=FQ","BEST_FPERIOD_OVERRIDE=FQ","FILING_STATUS=MR","SCALING_FORMAT=MLN","Sort=A","Dates=H","DateFormat=P","Fill=—","Direction=H","UseDPDF=Y")</f>
        <v>0</v>
      </c>
      <c r="U8" s="13">
        <f>_xll.BDH("SRPT US Equity","PFD_EQTY_HYBRID_CAPITAL","FQ1 2024","FQ1 2024","Currency=USD","Period=FQ","BEST_FPERIOD_OVERRIDE=FQ","FILING_STATUS=MR","SCALING_FORMAT=MLN","Sort=A","Dates=H","DateFormat=P","Fill=—","Direction=H","UseDPDF=Y")</f>
        <v>0</v>
      </c>
      <c r="V8" s="13">
        <f>_xll.BDH("SRPT US Equity","PFD_EQTY_HYBRID_CAPITAL","FQ2 2024","FQ2 2024","Currency=USD","Period=FQ","BEST_FPERIOD_OVERRIDE=FQ","FILING_STATUS=MR","SCALING_FORMAT=MLN","Sort=A","Dates=H","DateFormat=P","Fill=—","Direction=H","UseDPDF=Y")</f>
        <v>0</v>
      </c>
      <c r="W8" s="13">
        <f>_xll.BDH("SRPT US Equity","PFD_EQTY_HYBRID_CAPITAL","FQ3 2024","FQ3 2024","Currency=USD","Period=FQ","BEST_FPERIOD_OVERRIDE=FQ","FILING_STATUS=MR","SCALING_FORMAT=MLN","Sort=A","Dates=H","DateFormat=P","Fill=—","Direction=H","UseDPDF=Y")</f>
        <v>0</v>
      </c>
      <c r="X8" s="13">
        <f>_xll.BDH("SRPT US Equity","PFD_EQTY_HYBRID_CAPITAL","FQ4 2024","FQ4 2024","Currency=USD","Period=FQ","BEST_FPERIOD_OVERRIDE=FQ","FILING_STATUS=MR","SCALING_FORMAT=MLN","Sort=A","Dates=H","DateFormat=P","Fill=—","Direction=H","UseDPDF=Y")</f>
        <v>0</v>
      </c>
      <c r="Y8" s="16">
        <v>0</v>
      </c>
      <c r="Z8" s="13"/>
      <c r="AA8" s="13"/>
    </row>
    <row r="9" spans="1:27" x14ac:dyDescent="0.25">
      <c r="A9" s="10" t="s">
        <v>169</v>
      </c>
      <c r="B9" s="10" t="s">
        <v>170</v>
      </c>
      <c r="C9" s="13">
        <f>_xll.BDH("SRPT US Equity","MINORITY_NONCONTROLLING_INTEREST","FQ3 2019","FQ3 2019","Currency=USD","Period=FQ","BEST_FPERIOD_OVERRIDE=FQ","FILING_STATUS=MR","SCALING_FORMAT=MLN","Sort=A","Dates=H","DateFormat=P","Fill=—","Direction=H","UseDPDF=Y")</f>
        <v>0</v>
      </c>
      <c r="D9" s="13">
        <f>_xll.BDH("SRPT US Equity","MINORITY_NONCONTROLLING_INTEREST","FQ4 2019","FQ4 2019","Currency=USD","Period=FQ","BEST_FPERIOD_OVERRIDE=FQ","FILING_STATUS=MR","SCALING_FORMAT=MLN","Sort=A","Dates=H","DateFormat=P","Fill=—","Direction=H","UseDPDF=Y")</f>
        <v>0</v>
      </c>
      <c r="E9" s="13">
        <f>_xll.BDH("SRPT US Equity","MINORITY_NONCONTROLLING_INTEREST","FQ1 2020","FQ1 2020","Currency=USD","Period=FQ","BEST_FPERIOD_OVERRIDE=FQ","FILING_STATUS=MR","SCALING_FORMAT=MLN","Sort=A","Dates=H","DateFormat=P","Fill=—","Direction=H","UseDPDF=Y")</f>
        <v>0</v>
      </c>
      <c r="F9" s="13">
        <f>_xll.BDH("SRPT US Equity","MINORITY_NONCONTROLLING_INTEREST","FQ2 2020","FQ2 2020","Currency=USD","Period=FQ","BEST_FPERIOD_OVERRIDE=FQ","FILING_STATUS=MR","SCALING_FORMAT=MLN","Sort=A","Dates=H","DateFormat=P","Fill=—","Direction=H","UseDPDF=Y")</f>
        <v>0</v>
      </c>
      <c r="G9" s="13">
        <f>_xll.BDH("SRPT US Equity","MINORITY_NONCONTROLLING_INTEREST","FQ3 2020","FQ3 2020","Currency=USD","Period=FQ","BEST_FPERIOD_OVERRIDE=FQ","FILING_STATUS=MR","SCALING_FORMAT=MLN","Sort=A","Dates=H","DateFormat=P","Fill=—","Direction=H","UseDPDF=Y")</f>
        <v>0</v>
      </c>
      <c r="H9" s="13">
        <f>_xll.BDH("SRPT US Equity","MINORITY_NONCONTROLLING_INTEREST","FQ4 2020","FQ4 2020","Currency=USD","Period=FQ","BEST_FPERIOD_OVERRIDE=FQ","FILING_STATUS=MR","SCALING_FORMAT=MLN","Sort=A","Dates=H","DateFormat=P","Fill=—","Direction=H","UseDPDF=Y")</f>
        <v>0</v>
      </c>
      <c r="I9" s="13">
        <f>_xll.BDH("SRPT US Equity","MINORITY_NONCONTROLLING_INTEREST","FQ1 2021","FQ1 2021","Currency=USD","Period=FQ","BEST_FPERIOD_OVERRIDE=FQ","FILING_STATUS=MR","SCALING_FORMAT=MLN","Sort=A","Dates=H","DateFormat=P","Fill=—","Direction=H","UseDPDF=Y")</f>
        <v>0</v>
      </c>
      <c r="J9" s="13">
        <f>_xll.BDH("SRPT US Equity","MINORITY_NONCONTROLLING_INTEREST","FQ2 2021","FQ2 2021","Currency=USD","Period=FQ","BEST_FPERIOD_OVERRIDE=FQ","FILING_STATUS=MR","SCALING_FORMAT=MLN","Sort=A","Dates=H","DateFormat=P","Fill=—","Direction=H","UseDPDF=Y")</f>
        <v>0</v>
      </c>
      <c r="K9" s="13">
        <f>_xll.BDH("SRPT US Equity","MINORITY_NONCONTROLLING_INTEREST","FQ3 2021","FQ3 2021","Currency=USD","Period=FQ","BEST_FPERIOD_OVERRIDE=FQ","FILING_STATUS=MR","SCALING_FORMAT=MLN","Sort=A","Dates=H","DateFormat=P","Fill=—","Direction=H","UseDPDF=Y")</f>
        <v>0</v>
      </c>
      <c r="L9" s="13">
        <f>_xll.BDH("SRPT US Equity","MINORITY_NONCONTROLLING_INTEREST","FQ4 2021","FQ4 2021","Currency=USD","Period=FQ","BEST_FPERIOD_OVERRIDE=FQ","FILING_STATUS=MR","SCALING_FORMAT=MLN","Sort=A","Dates=H","DateFormat=P","Fill=—","Direction=H","UseDPDF=Y")</f>
        <v>0</v>
      </c>
      <c r="M9" s="13">
        <f>_xll.BDH("SRPT US Equity","MINORITY_NONCONTROLLING_INTEREST","FQ1 2022","FQ1 2022","Currency=USD","Period=FQ","BEST_FPERIOD_OVERRIDE=FQ","FILING_STATUS=MR","SCALING_FORMAT=MLN","Sort=A","Dates=H","DateFormat=P","Fill=—","Direction=H","UseDPDF=Y")</f>
        <v>0</v>
      </c>
      <c r="N9" s="13">
        <f>_xll.BDH("SRPT US Equity","MINORITY_NONCONTROLLING_INTEREST","FQ2 2022","FQ2 2022","Currency=USD","Period=FQ","BEST_FPERIOD_OVERRIDE=FQ","FILING_STATUS=MR","SCALING_FORMAT=MLN","Sort=A","Dates=H","DateFormat=P","Fill=—","Direction=H","UseDPDF=Y")</f>
        <v>0</v>
      </c>
      <c r="O9" s="13">
        <f>_xll.BDH("SRPT US Equity","MINORITY_NONCONTROLLING_INTEREST","FQ3 2022","FQ3 2022","Currency=USD","Period=FQ","BEST_FPERIOD_OVERRIDE=FQ","FILING_STATUS=MR","SCALING_FORMAT=MLN","Sort=A","Dates=H","DateFormat=P","Fill=—","Direction=H","UseDPDF=Y")</f>
        <v>0</v>
      </c>
      <c r="P9" s="13">
        <f>_xll.BDH("SRPT US Equity","MINORITY_NONCONTROLLING_INTEREST","FQ4 2022","FQ4 2022","Currency=USD","Period=FQ","BEST_FPERIOD_OVERRIDE=FQ","FILING_STATUS=MR","SCALING_FORMAT=MLN","Sort=A","Dates=H","DateFormat=P","Fill=—","Direction=H","UseDPDF=Y")</f>
        <v>0</v>
      </c>
      <c r="Q9" s="13">
        <f>_xll.BDH("SRPT US Equity","MINORITY_NONCONTROLLING_INTEREST","FQ1 2023","FQ1 2023","Currency=USD","Period=FQ","BEST_FPERIOD_OVERRIDE=FQ","FILING_STATUS=MR","SCALING_FORMAT=MLN","Sort=A","Dates=H","DateFormat=P","Fill=—","Direction=H","UseDPDF=Y")</f>
        <v>0</v>
      </c>
      <c r="R9" s="13">
        <f>_xll.BDH("SRPT US Equity","MINORITY_NONCONTROLLING_INTEREST","FQ2 2023","FQ2 2023","Currency=USD","Period=FQ","BEST_FPERIOD_OVERRIDE=FQ","FILING_STATUS=MR","SCALING_FORMAT=MLN","Sort=A","Dates=H","DateFormat=P","Fill=—","Direction=H","UseDPDF=Y")</f>
        <v>0</v>
      </c>
      <c r="S9" s="13">
        <f>_xll.BDH("SRPT US Equity","MINORITY_NONCONTROLLING_INTEREST","FQ3 2023","FQ3 2023","Currency=USD","Period=FQ","BEST_FPERIOD_OVERRIDE=FQ","FILING_STATUS=MR","SCALING_FORMAT=MLN","Sort=A","Dates=H","DateFormat=P","Fill=—","Direction=H","UseDPDF=Y")</f>
        <v>0</v>
      </c>
      <c r="T9" s="13">
        <f>_xll.BDH("SRPT US Equity","MINORITY_NONCONTROLLING_INTEREST","FQ4 2023","FQ4 2023","Currency=USD","Period=FQ","BEST_FPERIOD_OVERRIDE=FQ","FILING_STATUS=MR","SCALING_FORMAT=MLN","Sort=A","Dates=H","DateFormat=P","Fill=—","Direction=H","UseDPDF=Y")</f>
        <v>0</v>
      </c>
      <c r="U9" s="13">
        <f>_xll.BDH("SRPT US Equity","MINORITY_NONCONTROLLING_INTEREST","FQ1 2024","FQ1 2024","Currency=USD","Period=FQ","BEST_FPERIOD_OVERRIDE=FQ","FILING_STATUS=MR","SCALING_FORMAT=MLN","Sort=A","Dates=H","DateFormat=P","Fill=—","Direction=H","UseDPDF=Y")</f>
        <v>0</v>
      </c>
      <c r="V9" s="13">
        <f>_xll.BDH("SRPT US Equity","MINORITY_NONCONTROLLING_INTEREST","FQ2 2024","FQ2 2024","Currency=USD","Period=FQ","BEST_FPERIOD_OVERRIDE=FQ","FILING_STATUS=MR","SCALING_FORMAT=MLN","Sort=A","Dates=H","DateFormat=P","Fill=—","Direction=H","UseDPDF=Y")</f>
        <v>0</v>
      </c>
      <c r="W9" s="13">
        <f>_xll.BDH("SRPT US Equity","MINORITY_NONCONTROLLING_INTEREST","FQ3 2024","FQ3 2024","Currency=USD","Period=FQ","BEST_FPERIOD_OVERRIDE=FQ","FILING_STATUS=MR","SCALING_FORMAT=MLN","Sort=A","Dates=H","DateFormat=P","Fill=—","Direction=H","UseDPDF=Y")</f>
        <v>0</v>
      </c>
      <c r="X9" s="13">
        <f>_xll.BDH("SRPT US Equity","MINORITY_NONCONTROLLING_INTEREST","FQ4 2024","FQ4 2024","Currency=USD","Period=FQ","BEST_FPERIOD_OVERRIDE=FQ","FILING_STATUS=MR","SCALING_FORMAT=MLN","Sort=A","Dates=H","DateFormat=P","Fill=—","Direction=H","UseDPDF=Y")</f>
        <v>0</v>
      </c>
      <c r="Y9" s="16">
        <v>0</v>
      </c>
      <c r="Z9" s="13"/>
      <c r="AA9" s="13"/>
    </row>
    <row r="10" spans="1:27" x14ac:dyDescent="0.25">
      <c r="A10" s="10" t="s">
        <v>171</v>
      </c>
      <c r="B10" s="10" t="s">
        <v>67</v>
      </c>
      <c r="C10" s="13">
        <f>_xll.BDH("SRPT US Equity","SHORT_AND_LONG_TERM_DEBT","FQ3 2019","FQ3 2019","Currency=USD","Period=FQ","BEST_FPERIOD_OVERRIDE=FQ","FILING_STATUS=MR","SCALING_FORMAT=MLN","Sort=A","Dates=H","DateFormat=P","Fill=—","Direction=H","UseDPDF=Y")</f>
        <v>493.75799999999998</v>
      </c>
      <c r="D10" s="13">
        <f>_xll.BDH("SRPT US Equity","SHORT_AND_LONG_TERM_DEBT","FQ4 2019","FQ4 2019","Currency=USD","Period=FQ","BEST_FPERIOD_OVERRIDE=FQ","FILING_STATUS=MR","SCALING_FORMAT=MLN","Sort=A","Dates=H","DateFormat=P","Fill=—","Direction=H","UseDPDF=Y")</f>
        <v>737.46600000000001</v>
      </c>
      <c r="E10" s="13">
        <f>_xll.BDH("SRPT US Equity","SHORT_AND_LONG_TERM_DEBT","FQ1 2020","FQ1 2020","Currency=USD","Period=FQ","BEST_FPERIOD_OVERRIDE=FQ","FILING_STATUS=MR","SCALING_FORMAT=MLN","Sort=A","Dates=H","DateFormat=P","Fill=—","Direction=H","UseDPDF=Y")</f>
        <v>753.21600000000001</v>
      </c>
      <c r="F10" s="13">
        <f>_xll.BDH("SRPT US Equity","SHORT_AND_LONG_TERM_DEBT","FQ2 2020","FQ2 2020","Currency=USD","Period=FQ","BEST_FPERIOD_OVERRIDE=FQ","FILING_STATUS=MR","SCALING_FORMAT=MLN","Sort=A","Dates=H","DateFormat=P","Fill=—","Direction=H","UseDPDF=Y")</f>
        <v>766.55700000000002</v>
      </c>
      <c r="G10" s="13">
        <f>_xll.BDH("SRPT US Equity","SHORT_AND_LONG_TERM_DEBT","FQ3 2020","FQ3 2020","Currency=USD","Period=FQ","BEST_FPERIOD_OVERRIDE=FQ","FILING_STATUS=MR","SCALING_FORMAT=MLN","Sort=A","Dates=H","DateFormat=P","Fill=—","Direction=H","UseDPDF=Y")</f>
        <v>768.69899999999996</v>
      </c>
      <c r="H10" s="13">
        <f>_xll.BDH("SRPT US Equity","SHORT_AND_LONG_TERM_DEBT","FQ4 2020","FQ4 2020","Currency=USD","Period=FQ","BEST_FPERIOD_OVERRIDE=FQ","FILING_STATUS=MR","SCALING_FORMAT=MLN","Sort=A","Dates=H","DateFormat=P","Fill=—","Direction=H","UseDPDF=Y")</f>
        <v>1093.79</v>
      </c>
      <c r="I10" s="13">
        <f>_xll.BDH("SRPT US Equity","SHORT_AND_LONG_TERM_DEBT","FQ1 2021","FQ1 2021","Currency=USD","Period=FQ","BEST_FPERIOD_OVERRIDE=FQ","FILING_STATUS=MR","SCALING_FORMAT=MLN","Sort=A","Dates=H","DateFormat=P","Fill=—","Direction=H","UseDPDF=Y")</f>
        <v>1151.7850000000001</v>
      </c>
      <c r="J10" s="13">
        <f>_xll.BDH("SRPT US Equity","SHORT_AND_LONG_TERM_DEBT","FQ2 2021","FQ2 2021","Currency=USD","Period=FQ","BEST_FPERIOD_OVERRIDE=FQ","FILING_STATUS=MR","SCALING_FORMAT=MLN","Sort=A","Dates=H","DateFormat=P","Fill=—","Direction=H","UseDPDF=Y")</f>
        <v>1158.27</v>
      </c>
      <c r="K10" s="13">
        <f>_xll.BDH("SRPT US Equity","SHORT_AND_LONG_TERM_DEBT","FQ3 2021","FQ3 2021","Currency=USD","Period=FQ","BEST_FPERIOD_OVERRIDE=FQ","FILING_STATUS=MR","SCALING_FORMAT=MLN","Sort=A","Dates=H","DateFormat=P","Fill=—","Direction=H","UseDPDF=Y")</f>
        <v>1158.3399999999999</v>
      </c>
      <c r="L10" s="13">
        <f>_xll.BDH("SRPT US Equity","SHORT_AND_LONG_TERM_DEBT","FQ4 2021","FQ4 2021","Currency=USD","Period=FQ","BEST_FPERIOD_OVERRIDE=FQ","FILING_STATUS=MR","SCALING_FORMAT=MLN","Sort=A","Dates=H","DateFormat=P","Fill=—","Direction=H","UseDPDF=Y")</f>
        <v>1153.4369999999999</v>
      </c>
      <c r="M10" s="13">
        <f>_xll.BDH("SRPT US Equity","SHORT_AND_LONG_TERM_DEBT","FQ1 2022","FQ1 2022","Currency=USD","Period=FQ","BEST_FPERIOD_OVERRIDE=FQ","FILING_STATUS=MR","SCALING_FORMAT=MLN","Sort=A","Dates=H","DateFormat=P","Fill=—","Direction=H","UseDPDF=Y")</f>
        <v>1137.4670000000001</v>
      </c>
      <c r="N10" s="13">
        <f>_xll.BDH("SRPT US Equity","SHORT_AND_LONG_TERM_DEBT","FQ2 2022","FQ2 2022","Currency=USD","Period=FQ","BEST_FPERIOD_OVERRIDE=FQ","FILING_STATUS=MR","SCALING_FORMAT=MLN","Sort=A","Dates=H","DateFormat=P","Fill=—","Direction=H","UseDPDF=Y")</f>
        <v>1140.241</v>
      </c>
      <c r="O10" s="13">
        <f>_xll.BDH("SRPT US Equity","SHORT_AND_LONG_TERM_DEBT","FQ3 2022","FQ3 2022","Currency=USD","Period=FQ","BEST_FPERIOD_OVERRIDE=FQ","FILING_STATUS=MR","SCALING_FORMAT=MLN","Sort=A","Dates=H","DateFormat=P","Fill=—","Direction=H","UseDPDF=Y")</f>
        <v>1577.999</v>
      </c>
      <c r="P10" s="13">
        <f>_xll.BDH("SRPT US Equity","SHORT_AND_LONG_TERM_DEBT","FQ4 2022","FQ4 2022","Currency=USD","Period=FQ","BEST_FPERIOD_OVERRIDE=FQ","FILING_STATUS=MR","SCALING_FORMAT=MLN","Sort=A","Dates=H","DateFormat=P","Fill=—","Direction=H","UseDPDF=Y")</f>
        <v>1617.3589999999999</v>
      </c>
      <c r="Q10" s="13">
        <f>_xll.BDH("SRPT US Equity","SHORT_AND_LONG_TERM_DEBT","FQ1 2023","FQ1 2023","Currency=USD","Period=FQ","BEST_FPERIOD_OVERRIDE=FQ","FILING_STATUS=MR","SCALING_FORMAT=MLN","Sort=A","Dates=H","DateFormat=P","Fill=—","Direction=H","UseDPDF=Y")</f>
        <v>1288.2149999999999</v>
      </c>
      <c r="R10" s="13">
        <f>_xll.BDH("SRPT US Equity","SHORT_AND_LONG_TERM_DEBT","FQ2 2023","FQ2 2023","Currency=USD","Period=FQ","BEST_FPERIOD_OVERRIDE=FQ","FILING_STATUS=MR","SCALING_FORMAT=MLN","Sort=A","Dates=H","DateFormat=P","Fill=—","Direction=H","UseDPDF=Y")</f>
        <v>1364.6869999999999</v>
      </c>
      <c r="S10" s="13">
        <f>_xll.BDH("SRPT US Equity","SHORT_AND_LONG_TERM_DEBT","FQ3 2023","FQ3 2023","Currency=USD","Period=FQ","BEST_FPERIOD_OVERRIDE=FQ","FILING_STATUS=MR","SCALING_FORMAT=MLN","Sort=A","Dates=H","DateFormat=P","Fill=—","Direction=H","UseDPDF=Y")</f>
        <v>1389.4580000000001</v>
      </c>
      <c r="T10" s="13">
        <f>_xll.BDH("SRPT US Equity","SHORT_AND_LONG_TERM_DEBT","FQ4 2023","FQ4 2023","Currency=USD","Period=FQ","BEST_FPERIOD_OVERRIDE=FQ","FILING_STATUS=MR","SCALING_FORMAT=MLN","Sort=A","Dates=H","DateFormat=P","Fill=—","Direction=H","UseDPDF=Y")</f>
        <v>1396.808</v>
      </c>
      <c r="U10" s="13">
        <f>_xll.BDH("SRPT US Equity","SHORT_AND_LONG_TERM_DEBT","FQ1 2024","FQ1 2024","Currency=USD","Period=FQ","BEST_FPERIOD_OVERRIDE=FQ","FILING_STATUS=MR","SCALING_FORMAT=MLN","Sort=A","Dates=H","DateFormat=P","Fill=—","Direction=H","UseDPDF=Y")</f>
        <v>1379.348</v>
      </c>
      <c r="V10" s="13">
        <f>_xll.BDH("SRPT US Equity","SHORT_AND_LONG_TERM_DEBT","FQ2 2024","FQ2 2024","Currency=USD","Period=FQ","BEST_FPERIOD_OVERRIDE=FQ","FILING_STATUS=MR","SCALING_FORMAT=MLN","Sort=A","Dates=H","DateFormat=P","Fill=—","Direction=H","UseDPDF=Y")</f>
        <v>1369.9159999999999</v>
      </c>
      <c r="W10" s="13">
        <f>_xll.BDH("SRPT US Equity","SHORT_AND_LONG_TERM_DEBT","FQ3 2024","FQ3 2024","Currency=USD","Period=FQ","BEST_FPERIOD_OVERRIDE=FQ","FILING_STATUS=MR","SCALING_FORMAT=MLN","Sort=A","Dates=H","DateFormat=P","Fill=—","Direction=H","UseDPDF=Y")</f>
        <v>1397.569</v>
      </c>
      <c r="X10" s="13">
        <f>_xll.BDH("SRPT US Equity","SHORT_AND_LONG_TERM_DEBT","FQ4 2024","FQ4 2024","Currency=USD","Period=FQ","BEST_FPERIOD_OVERRIDE=FQ","FILING_STATUS=MR","SCALING_FORMAT=MLN","Sort=A","Dates=H","DateFormat=P","Fill=—","Direction=H","UseDPDF=Y")</f>
        <v>1343.07</v>
      </c>
      <c r="Y10" s="16">
        <v>1343.07</v>
      </c>
      <c r="Z10" s="13"/>
      <c r="AA10" s="13"/>
    </row>
    <row r="11" spans="1:27" x14ac:dyDescent="0.25">
      <c r="A11" s="6" t="s">
        <v>68</v>
      </c>
      <c r="B11" s="6" t="s">
        <v>69</v>
      </c>
      <c r="C11" s="19">
        <f>_xll.BDH("SRPT US Equity","ENTERPRISE_VALUE","FQ3 2019","FQ3 2019","Currency=USD","Period=FQ","BEST_FPERIOD_OVERRIDE=FQ","FILING_STATUS=MR","SCALING_FORMAT=MLN","Sort=A","Dates=H","DateFormat=P","Fill=—","Direction=H","UseDPDF=Y")</f>
        <v>5056.5702000000001</v>
      </c>
      <c r="D11" s="19">
        <f>_xll.BDH("SRPT US Equity","ENTERPRISE_VALUE","FQ4 2019","FQ4 2019","Currency=USD","Period=FQ","BEST_FPERIOD_OVERRIDE=FQ","FILING_STATUS=MR","SCALING_FORMAT=MLN","Sort=A","Dates=H","DateFormat=P","Fill=—","Direction=H","UseDPDF=Y")</f>
        <v>9314.5727000000006</v>
      </c>
      <c r="E11" s="19">
        <f>_xll.BDH("SRPT US Equity","ENTERPRISE_VALUE","FQ1 2020","FQ1 2020","Currency=USD","Period=FQ","BEST_FPERIOD_OVERRIDE=FQ","FILING_STATUS=MR","SCALING_FORMAT=MLN","Sort=A","Dates=H","DateFormat=P","Fill=—","Direction=H","UseDPDF=Y")</f>
        <v>6198.3289999999997</v>
      </c>
      <c r="F11" s="19">
        <f>_xll.BDH("SRPT US Equity","ENTERPRISE_VALUE","FQ2 2020","FQ2 2020","Currency=USD","Period=FQ","BEST_FPERIOD_OVERRIDE=FQ","FILING_STATUS=MR","SCALING_FORMAT=MLN","Sort=A","Dates=H","DateFormat=P","Fill=—","Direction=H","UseDPDF=Y")</f>
        <v>11271.5093</v>
      </c>
      <c r="G11" s="19">
        <f>_xll.BDH("SRPT US Equity","ENTERPRISE_VALUE","FQ3 2020","FQ3 2020","Currency=USD","Period=FQ","BEST_FPERIOD_OVERRIDE=FQ","FILING_STATUS=MR","SCALING_FORMAT=MLN","Sort=A","Dates=H","DateFormat=P","Fill=—","Direction=H","UseDPDF=Y")</f>
        <v>10007.475</v>
      </c>
      <c r="H11" s="19">
        <f>_xll.BDH("SRPT US Equity","ENTERPRISE_VALUE","FQ4 2020","FQ4 2020","Currency=USD","Period=FQ","BEST_FPERIOD_OVERRIDE=FQ","FILING_STATUS=MR","SCALING_FORMAT=MLN","Sort=A","Dates=H","DateFormat=P","Fill=—","Direction=H","UseDPDF=Y")</f>
        <v>12678.419400000001</v>
      </c>
      <c r="I11" s="19">
        <f>_xll.BDH("SRPT US Equity","ENTERPRISE_VALUE","FQ1 2021","FQ1 2021","Currency=USD","Period=FQ","BEST_FPERIOD_OVERRIDE=FQ","FILING_STATUS=MR","SCALING_FORMAT=MLN","Sort=A","Dates=H","DateFormat=P","Fill=—","Direction=H","UseDPDF=Y")</f>
        <v>5348.2636000000002</v>
      </c>
      <c r="J11" s="19">
        <f>_xll.BDH("SRPT US Equity","ENTERPRISE_VALUE","FQ2 2021","FQ2 2021","Currency=USD","Period=FQ","BEST_FPERIOD_OVERRIDE=FQ","FILING_STATUS=MR","SCALING_FORMAT=MLN","Sort=A","Dates=H","DateFormat=P","Fill=—","Direction=H","UseDPDF=Y")</f>
        <v>5627.6962000000003</v>
      </c>
      <c r="K11" s="19">
        <f>_xll.BDH("SRPT US Equity","ENTERPRISE_VALUE","FQ3 2021","FQ3 2021","Currency=USD","Period=FQ","BEST_FPERIOD_OVERRIDE=FQ","FILING_STATUS=MR","SCALING_FORMAT=MLN","Sort=A","Dates=H","DateFormat=P","Fill=—","Direction=H","UseDPDF=Y")</f>
        <v>6944.4766</v>
      </c>
      <c r="L11" s="19">
        <f>_xll.BDH("SRPT US Equity","ENTERPRISE_VALUE","FQ4 2021","FQ4 2021","Currency=USD","Period=FQ","BEST_FPERIOD_OVERRIDE=FQ","FILING_STATUS=MR","SCALING_FORMAT=MLN","Sort=A","Dates=H","DateFormat=P","Fill=—","Direction=H","UseDPDF=Y")</f>
        <v>6873.4480000000003</v>
      </c>
      <c r="M11" s="19">
        <f>_xll.BDH("SRPT US Equity","ENTERPRISE_VALUE","FQ1 2022","FQ1 2022","Currency=USD","Period=FQ","BEST_FPERIOD_OVERRIDE=FQ","FILING_STATUS=MR","SCALING_FORMAT=MLN","Sort=A","Dates=H","DateFormat=P","Fill=—","Direction=H","UseDPDF=Y")</f>
        <v>5949.5447999999997</v>
      </c>
      <c r="N11" s="19">
        <f>_xll.BDH("SRPT US Equity","ENTERPRISE_VALUE","FQ2 2022","FQ2 2022","Currency=USD","Period=FQ","BEST_FPERIOD_OVERRIDE=FQ","FILING_STATUS=MR","SCALING_FORMAT=MLN","Sort=A","Dates=H","DateFormat=P","Fill=—","Direction=H","UseDPDF=Y")</f>
        <v>5755.3689999999997</v>
      </c>
      <c r="O11" s="19">
        <f>_xll.BDH("SRPT US Equity","ENTERPRISE_VALUE","FQ3 2022","FQ3 2022","Currency=USD","Period=FQ","BEST_FPERIOD_OVERRIDE=FQ","FILING_STATUS=MR","SCALING_FORMAT=MLN","Sort=A","Dates=H","DateFormat=P","Fill=—","Direction=H","UseDPDF=Y")</f>
        <v>9188.1666000000005</v>
      </c>
      <c r="P11" s="19">
        <f>_xll.BDH("SRPT US Equity","ENTERPRISE_VALUE","FQ4 2022","FQ4 2022","Currency=USD","Period=FQ","BEST_FPERIOD_OVERRIDE=FQ","FILING_STATUS=MR","SCALING_FORMAT=MLN","Sort=A","Dates=H","DateFormat=P","Fill=—","Direction=H","UseDPDF=Y")</f>
        <v>11005.537200000001</v>
      </c>
      <c r="Q11" s="19">
        <f>_xll.BDH("SRPT US Equity","ENTERPRISE_VALUE","FQ1 2023","FQ1 2023","Currency=USD","Period=FQ","BEST_FPERIOD_OVERRIDE=FQ","FILING_STATUS=MR","SCALING_FORMAT=MLN","Sort=A","Dates=H","DateFormat=P","Fill=—","Direction=H","UseDPDF=Y")</f>
        <v>12224.5988</v>
      </c>
      <c r="R11" s="19">
        <f>_xll.BDH("SRPT US Equity","ENTERPRISE_VALUE","FQ2 2023","FQ2 2023","Currency=USD","Period=FQ","BEST_FPERIOD_OVERRIDE=FQ","FILING_STATUS=MR","SCALING_FORMAT=MLN","Sort=A","Dates=H","DateFormat=P","Fill=—","Direction=H","UseDPDF=Y")</f>
        <v>10166.633900000001</v>
      </c>
      <c r="S11" s="19">
        <f>_xll.BDH("SRPT US Equity","ENTERPRISE_VALUE","FQ3 2023","FQ3 2023","Currency=USD","Period=FQ","BEST_FPERIOD_OVERRIDE=FQ","FILING_STATUS=MR","SCALING_FORMAT=MLN","Sort=A","Dates=H","DateFormat=P","Fill=—","Direction=H","UseDPDF=Y")</f>
        <v>10987.0142</v>
      </c>
      <c r="T11" s="19">
        <f>_xll.BDH("SRPT US Equity","ENTERPRISE_VALUE","FQ4 2023","FQ4 2023","Currency=USD","Period=FQ","BEST_FPERIOD_OVERRIDE=FQ","FILING_STATUS=MR","SCALING_FORMAT=MLN","Sort=A","Dates=H","DateFormat=P","Fill=—","Direction=H","UseDPDF=Y")</f>
        <v>8752.5915000000005</v>
      </c>
      <c r="U11" s="19">
        <f>_xll.BDH("SRPT US Equity","ENTERPRISE_VALUE","FQ1 2024","FQ1 2024","Currency=USD","Period=FQ","BEST_FPERIOD_OVERRIDE=FQ","FILING_STATUS=MR","SCALING_FORMAT=MLN","Sort=A","Dates=H","DateFormat=P","Fill=—","Direction=H","UseDPDF=Y")</f>
        <v>12205.7217</v>
      </c>
      <c r="V11" s="19">
        <f>_xll.BDH("SRPT US Equity","ENTERPRISE_VALUE","FQ2 2024","FQ2 2024","Currency=USD","Period=FQ","BEST_FPERIOD_OVERRIDE=FQ","FILING_STATUS=MR","SCALING_FORMAT=MLN","Sort=A","Dates=H","DateFormat=P","Fill=—","Direction=H","UseDPDF=Y")</f>
        <v>14948.513800000001</v>
      </c>
      <c r="W11" s="19">
        <f>_xll.BDH("SRPT US Equity","ENTERPRISE_VALUE","FQ3 2024","FQ3 2024","Currency=USD","Period=FQ","BEST_FPERIOD_OVERRIDE=FQ","FILING_STATUS=MR","SCALING_FORMAT=MLN","Sort=A","Dates=H","DateFormat=P","Fill=—","Direction=H","UseDPDF=Y")</f>
        <v>12120.5784</v>
      </c>
      <c r="X11" s="19">
        <f>_xll.BDH("SRPT US Equity","ENTERPRISE_VALUE","FQ4 2024","FQ4 2024","Currency=USD","Period=FQ","BEST_FPERIOD_OVERRIDE=FQ","FILING_STATUS=MR","SCALING_FORMAT=MLN","Sort=A","Dates=H","DateFormat=P","Fill=—","Direction=H","UseDPDF=Y")</f>
        <v>11766.6993</v>
      </c>
      <c r="Y11" s="22">
        <v>6814.4130382875001</v>
      </c>
      <c r="Z11" s="19"/>
      <c r="AA11" s="19"/>
    </row>
    <row r="12" spans="1:27" x14ac:dyDescent="0.25">
      <c r="A12" s="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21"/>
      <c r="Z12" s="18"/>
      <c r="AA12" s="18"/>
    </row>
    <row r="13" spans="1:27" x14ac:dyDescent="0.25">
      <c r="A13" s="6" t="s">
        <v>172</v>
      </c>
      <c r="B13" s="6" t="s">
        <v>173</v>
      </c>
      <c r="C13" s="19">
        <f>_xll.BDH("SRPT US Equity","BS_TOT_CAP","FQ3 2019","FQ3 2019","Currency=USD","Period=FQ","BEST_FPERIOD_OVERRIDE=FQ","FILING_STATUS=MR","SCALING_FORMAT=MLN","Sort=A","Dates=H","DateFormat=P","Fill=—","Direction=H","UseDPDF=Y")</f>
        <v>1488.962</v>
      </c>
      <c r="D13" s="19">
        <f>_xll.BDH("SRPT US Equity","BS_TOT_CAP","FQ4 2019","FQ4 2019","Currency=USD","Period=FQ","BEST_FPERIOD_OVERRIDE=FQ","FILING_STATUS=MR","SCALING_FORMAT=MLN","Sort=A","Dates=H","DateFormat=P","Fill=—","Direction=H","UseDPDF=Y")</f>
        <v>1555.653</v>
      </c>
      <c r="E13" s="19">
        <f>_xll.BDH("SRPT US Equity","BS_TOT_CAP","FQ1 2020","FQ1 2020","Currency=USD","Period=FQ","BEST_FPERIOD_OVERRIDE=FQ","FILING_STATUS=MR","SCALING_FORMAT=MLN","Sort=A","Dates=H","DateFormat=P","Fill=—","Direction=H","UseDPDF=Y")</f>
        <v>1898.0440000000001</v>
      </c>
      <c r="F13" s="19">
        <f>_xll.BDH("SRPT US Equity","BS_TOT_CAP","FQ2 2020","FQ2 2020","Currency=USD","Period=FQ","BEST_FPERIOD_OVERRIDE=FQ","FILING_STATUS=MR","SCALING_FORMAT=MLN","Sort=A","Dates=H","DateFormat=P","Fill=—","Direction=H","UseDPDF=Y")</f>
        <v>1809.423</v>
      </c>
      <c r="G13" s="19">
        <f>_xll.BDH("SRPT US Equity","BS_TOT_CAP","FQ3 2020","FQ3 2020","Currency=USD","Period=FQ","BEST_FPERIOD_OVERRIDE=FQ","FILING_STATUS=MR","SCALING_FORMAT=MLN","Sort=A","Dates=H","DateFormat=P","Fill=—","Direction=H","UseDPDF=Y")</f>
        <v>1660.7460000000001</v>
      </c>
      <c r="H13" s="19">
        <f>_xll.BDH("SRPT US Equity","BS_TOT_CAP","FQ4 2020","FQ4 2020","Currency=USD","Period=FQ","BEST_FPERIOD_OVERRIDE=FQ","FILING_STATUS=MR","SCALING_FORMAT=MLN","Sort=A","Dates=H","DateFormat=P","Fill=—","Direction=H","UseDPDF=Y")</f>
        <v>1855.549</v>
      </c>
      <c r="I13" s="19">
        <f>_xll.BDH("SRPT US Equity","BS_TOT_CAP","FQ1 2021","FQ1 2021","Currency=USD","Period=FQ","BEST_FPERIOD_OVERRIDE=FQ","FILING_STATUS=MR","SCALING_FORMAT=MLN","Sort=A","Dates=H","DateFormat=P","Fill=—","Direction=H","UseDPDF=Y")</f>
        <v>1687.23</v>
      </c>
      <c r="J13" s="19">
        <f>_xll.BDH("SRPT US Equity","BS_TOT_CAP","FQ2 2021","FQ2 2021","Currency=USD","Period=FQ","BEST_FPERIOD_OVERRIDE=FQ","FILING_STATUS=MR","SCALING_FORMAT=MLN","Sort=A","Dates=H","DateFormat=P","Fill=—","Direction=H","UseDPDF=Y")</f>
        <v>1643.3779999999999</v>
      </c>
      <c r="K13" s="19">
        <f>_xll.BDH("SRPT US Equity","BS_TOT_CAP","FQ3 2021","FQ3 2021","Currency=USD","Period=FQ","BEST_FPERIOD_OVERRIDE=FQ","FILING_STATUS=MR","SCALING_FORMAT=MLN","Sort=A","Dates=H","DateFormat=P","Fill=—","Direction=H","UseDPDF=Y")</f>
        <v>1627.8679999999999</v>
      </c>
      <c r="L13" s="19">
        <f>_xll.BDH("SRPT US Equity","BS_TOT_CAP","FQ4 2021","FQ4 2021","Currency=USD","Period=FQ","BEST_FPERIOD_OVERRIDE=FQ","FILING_STATUS=MR","SCALING_FORMAT=MLN","Sort=A","Dates=H","DateFormat=P","Fill=—","Direction=H","UseDPDF=Y")</f>
        <v>2081.4459999999999</v>
      </c>
      <c r="M13" s="19">
        <f>_xll.BDH("SRPT US Equity","BS_TOT_CAP","FQ1 2022","FQ1 2022","Currency=USD","Period=FQ","BEST_FPERIOD_OVERRIDE=FQ","FILING_STATUS=MR","SCALING_FORMAT=MLN","Sort=A","Dates=H","DateFormat=P","Fill=—","Direction=H","UseDPDF=Y")</f>
        <v>1994.3530000000001</v>
      </c>
      <c r="N13" s="19">
        <f>_xll.BDH("SRPT US Equity","BS_TOT_CAP","FQ2 2022","FQ2 2022","Currency=USD","Period=FQ","BEST_FPERIOD_OVERRIDE=FQ","FILING_STATUS=MR","SCALING_FORMAT=MLN","Sort=A","Dates=H","DateFormat=P","Fill=—","Direction=H","UseDPDF=Y")</f>
        <v>1866.6980000000001</v>
      </c>
      <c r="O13" s="19">
        <f>_xll.BDH("SRPT US Equity","BS_TOT_CAP","FQ3 2022","FQ3 2022","Currency=USD","Period=FQ","BEST_FPERIOD_OVERRIDE=FQ","FILING_STATUS=MR","SCALING_FORMAT=MLN","Sort=A","Dates=H","DateFormat=P","Fill=—","Direction=H","UseDPDF=Y")</f>
        <v>2008.8389999999999</v>
      </c>
      <c r="P13" s="19">
        <f>_xll.BDH("SRPT US Equity","BS_TOT_CAP","FQ4 2022","FQ4 2022","Currency=USD","Period=FQ","BEST_FPERIOD_OVERRIDE=FQ","FILING_STATUS=MR","SCALING_FORMAT=MLN","Sort=A","Dates=H","DateFormat=P","Fill=—","Direction=H","UseDPDF=Y")</f>
        <v>2002.309</v>
      </c>
      <c r="Q13" s="19">
        <f>_xll.BDH("SRPT US Equity","BS_TOT_CAP","FQ1 2023","FQ1 2023","Currency=USD","Period=FQ","BEST_FPERIOD_OVERRIDE=FQ","FILING_STATUS=MR","SCALING_FORMAT=MLN","Sort=A","Dates=H","DateFormat=P","Fill=—","Direction=H","UseDPDF=Y")</f>
        <v>2000.9639999999999</v>
      </c>
      <c r="R13" s="19">
        <f>_xll.BDH("SRPT US Equity","BS_TOT_CAP","FQ2 2023","FQ2 2023","Currency=USD","Period=FQ","BEST_FPERIOD_OVERRIDE=FQ","FILING_STATUS=MR","SCALING_FORMAT=MLN","Sort=A","Dates=H","DateFormat=P","Fill=—","Direction=H","UseDPDF=Y")</f>
        <v>2106.098</v>
      </c>
      <c r="S13" s="19">
        <f>_xll.BDH("SRPT US Equity","BS_TOT_CAP","FQ3 2023","FQ3 2023","Currency=USD","Period=FQ","BEST_FPERIOD_OVERRIDE=FQ","FILING_STATUS=MR","SCALING_FORMAT=MLN","Sort=A","Dates=H","DateFormat=P","Fill=—","Direction=H","UseDPDF=Y")</f>
        <v>2153.8150000000001</v>
      </c>
      <c r="T13" s="19">
        <f>_xll.BDH("SRPT US Equity","BS_TOT_CAP","FQ4 2023","FQ4 2023","Currency=USD","Period=FQ","BEST_FPERIOD_OVERRIDE=FQ","FILING_STATUS=MR","SCALING_FORMAT=MLN","Sort=A","Dates=H","DateFormat=P","Fill=—","Direction=H","UseDPDF=Y")</f>
        <v>2256.145</v>
      </c>
      <c r="U13" s="19">
        <f>_xll.BDH("SRPT US Equity","BS_TOT_CAP","FQ1 2024","FQ1 2024","Currency=USD","Period=FQ","BEST_FPERIOD_OVERRIDE=FQ","FILING_STATUS=MR","SCALING_FORMAT=MLN","Sort=A","Dates=H","DateFormat=P","Fill=—","Direction=H","UseDPDF=Y")</f>
        <v>2340.54</v>
      </c>
      <c r="V13" s="19">
        <f>_xll.BDH("SRPT US Equity","BS_TOT_CAP","FQ2 2024","FQ2 2024","Currency=USD","Period=FQ","BEST_FPERIOD_OVERRIDE=FQ","FILING_STATUS=MR","SCALING_FORMAT=MLN","Sort=A","Dates=H","DateFormat=P","Fill=—","Direction=H","UseDPDF=Y")</f>
        <v>2446.9850000000001</v>
      </c>
      <c r="W13" s="19">
        <f>_xll.BDH("SRPT US Equity","BS_TOT_CAP","FQ3 2024","FQ3 2024","Currency=USD","Period=FQ","BEST_FPERIOD_OVERRIDE=FQ","FILING_STATUS=MR","SCALING_FORMAT=MLN","Sort=A","Dates=H","DateFormat=P","Fill=—","Direction=H","UseDPDF=Y")</f>
        <v>2618.64</v>
      </c>
      <c r="X13" s="19">
        <f>_xll.BDH("SRPT US Equity","BS_TOT_CAP","FQ4 2024","FQ4 2024","Currency=USD","Period=FQ","BEST_FPERIOD_OVERRIDE=FQ","FILING_STATUS=MR","SCALING_FORMAT=MLN","Sort=A","Dates=H","DateFormat=P","Fill=—","Direction=H","UseDPDF=Y")</f>
        <v>2870.8119999999999</v>
      </c>
      <c r="Y13" s="22">
        <v>2870.8119999999999</v>
      </c>
      <c r="Z13" s="19"/>
      <c r="AA13" s="19"/>
    </row>
    <row r="14" spans="1:27" x14ac:dyDescent="0.25">
      <c r="A14" s="10" t="s">
        <v>174</v>
      </c>
      <c r="B14" s="10" t="s">
        <v>175</v>
      </c>
      <c r="C14" s="14">
        <f>_xll.BDH("SRPT US Equity","TOT_DEBT_TO_TOT_CAP","FQ3 2019","FQ3 2019","Currency=USD","Period=FQ","BEST_FPERIOD_OVERRIDE=FQ","FILING_STATUS=MR","Sort=A","Dates=H","DateFormat=P","Fill=—","Direction=H","UseDPDF=Y")</f>
        <v>33.161200000000001</v>
      </c>
      <c r="D14" s="14">
        <f>_xll.BDH("SRPT US Equity","TOT_DEBT_TO_TOT_CAP","FQ4 2019","FQ4 2019","Currency=USD","Period=FQ","BEST_FPERIOD_OVERRIDE=FQ","FILING_STATUS=MR","Sort=A","Dates=H","DateFormat=P","Fill=—","Direction=H","UseDPDF=Y")</f>
        <v>47.4056</v>
      </c>
      <c r="E14" s="14">
        <f>_xll.BDH("SRPT US Equity","TOT_DEBT_TO_TOT_CAP","FQ1 2020","FQ1 2020","Currency=USD","Period=FQ","BEST_FPERIOD_OVERRIDE=FQ","FILING_STATUS=MR","Sort=A","Dates=H","DateFormat=P","Fill=—","Direction=H","UseDPDF=Y")</f>
        <v>39.683799999999998</v>
      </c>
      <c r="F14" s="14">
        <f>_xll.BDH("SRPT US Equity","TOT_DEBT_TO_TOT_CAP","FQ2 2020","FQ2 2020","Currency=USD","Period=FQ","BEST_FPERIOD_OVERRIDE=FQ","FILING_STATUS=MR","Sort=A","Dates=H","DateFormat=P","Fill=—","Direction=H","UseDPDF=Y")</f>
        <v>42.364699999999999</v>
      </c>
      <c r="G14" s="14">
        <f>_xll.BDH("SRPT US Equity","TOT_DEBT_TO_TOT_CAP","FQ3 2020","FQ3 2020","Currency=USD","Period=FQ","BEST_FPERIOD_OVERRIDE=FQ","FILING_STATUS=MR","Sort=A","Dates=H","DateFormat=P","Fill=—","Direction=H","UseDPDF=Y")</f>
        <v>46.2864</v>
      </c>
      <c r="H14" s="14">
        <f>_xll.BDH("SRPT US Equity","TOT_DEBT_TO_TOT_CAP","FQ4 2020","FQ4 2020","Currency=USD","Period=FQ","BEST_FPERIOD_OVERRIDE=FQ","FILING_STATUS=MR","Sort=A","Dates=H","DateFormat=P","Fill=—","Direction=H","UseDPDF=Y")</f>
        <v>58.947000000000003</v>
      </c>
      <c r="I14" s="14">
        <f>_xll.BDH("SRPT US Equity","TOT_DEBT_TO_TOT_CAP","FQ1 2021","FQ1 2021","Currency=USD","Period=FQ","BEST_FPERIOD_OVERRIDE=FQ","FILING_STATUS=MR","Sort=A","Dates=H","DateFormat=P","Fill=—","Direction=H","UseDPDF=Y")</f>
        <v>68.264799999999994</v>
      </c>
      <c r="J14" s="14">
        <f>_xll.BDH("SRPT US Equity","TOT_DEBT_TO_TOT_CAP","FQ2 2021","FQ2 2021","Currency=USD","Period=FQ","BEST_FPERIOD_OVERRIDE=FQ","FILING_STATUS=MR","Sort=A","Dates=H","DateFormat=P","Fill=—","Direction=H","UseDPDF=Y")</f>
        <v>70.480999999999995</v>
      </c>
      <c r="K14" s="14">
        <f>_xll.BDH("SRPT US Equity","TOT_DEBT_TO_TOT_CAP","FQ3 2021","FQ3 2021","Currency=USD","Period=FQ","BEST_FPERIOD_OVERRIDE=FQ","FILING_STATUS=MR","Sort=A","Dates=H","DateFormat=P","Fill=—","Direction=H","UseDPDF=Y")</f>
        <v>71.156899999999993</v>
      </c>
      <c r="L14" s="14">
        <f>_xll.BDH("SRPT US Equity","TOT_DEBT_TO_TOT_CAP","FQ4 2021","FQ4 2021","Currency=USD","Period=FQ","BEST_FPERIOD_OVERRIDE=FQ","FILING_STATUS=MR","Sort=A","Dates=H","DateFormat=P","Fill=—","Direction=H","UseDPDF=Y")</f>
        <v>55.415199999999999</v>
      </c>
      <c r="M14" s="14">
        <f>_xll.BDH("SRPT US Equity","TOT_DEBT_TO_TOT_CAP","FQ1 2022","FQ1 2022","Currency=USD","Period=FQ","BEST_FPERIOD_OVERRIDE=FQ","FILING_STATUS=MR","Sort=A","Dates=H","DateFormat=P","Fill=—","Direction=H","UseDPDF=Y")</f>
        <v>57.034399999999998</v>
      </c>
      <c r="N14" s="14">
        <f>_xll.BDH("SRPT US Equity","TOT_DEBT_TO_TOT_CAP","FQ2 2022","FQ2 2022","Currency=USD","Period=FQ","BEST_FPERIOD_OVERRIDE=FQ","FILING_STATUS=MR","Sort=A","Dates=H","DateFormat=P","Fill=—","Direction=H","UseDPDF=Y")</f>
        <v>61.083300000000001</v>
      </c>
      <c r="O14" s="14">
        <f>_xll.BDH("SRPT US Equity","TOT_DEBT_TO_TOT_CAP","FQ3 2022","FQ3 2022","Currency=USD","Period=FQ","BEST_FPERIOD_OVERRIDE=FQ","FILING_STATUS=MR","Sort=A","Dates=H","DateFormat=P","Fill=—","Direction=H","UseDPDF=Y")</f>
        <v>78.552800000000005</v>
      </c>
      <c r="P14" s="14">
        <f>_xll.BDH("SRPT US Equity","TOT_DEBT_TO_TOT_CAP","FQ4 2022","FQ4 2022","Currency=USD","Period=FQ","BEST_FPERIOD_OVERRIDE=FQ","FILING_STATUS=MR","Sort=A","Dates=H","DateFormat=P","Fill=—","Direction=H","UseDPDF=Y")</f>
        <v>80.774699999999996</v>
      </c>
      <c r="Q14" s="14">
        <f>_xll.BDH("SRPT US Equity","TOT_DEBT_TO_TOT_CAP","FQ1 2023","FQ1 2023","Currency=USD","Period=FQ","BEST_FPERIOD_OVERRIDE=FQ","FILING_STATUS=MR","Sort=A","Dates=H","DateFormat=P","Fill=—","Direction=H","UseDPDF=Y")</f>
        <v>64.3797</v>
      </c>
      <c r="R14" s="14">
        <f>_xll.BDH("SRPT US Equity","TOT_DEBT_TO_TOT_CAP","FQ2 2023","FQ2 2023","Currency=USD","Period=FQ","BEST_FPERIOD_OVERRIDE=FQ","FILING_STATUS=MR","Sort=A","Dates=H","DateFormat=P","Fill=—","Direction=H","UseDPDF=Y")</f>
        <v>64.796899999999994</v>
      </c>
      <c r="S14" s="14">
        <f>_xll.BDH("SRPT US Equity","TOT_DEBT_TO_TOT_CAP","FQ3 2023","FQ3 2023","Currency=USD","Period=FQ","BEST_FPERIOD_OVERRIDE=FQ","FILING_STATUS=MR","Sort=A","Dates=H","DateFormat=P","Fill=—","Direction=H","UseDPDF=Y")</f>
        <v>64.511499999999998</v>
      </c>
      <c r="T14" s="14">
        <f>_xll.BDH("SRPT US Equity","TOT_DEBT_TO_TOT_CAP","FQ4 2023","FQ4 2023","Currency=USD","Period=FQ","BEST_FPERIOD_OVERRIDE=FQ","FILING_STATUS=MR","Sort=A","Dates=H","DateFormat=P","Fill=—","Direction=H","UseDPDF=Y")</f>
        <v>61.911299999999997</v>
      </c>
      <c r="U14" s="14">
        <f>_xll.BDH("SRPT US Equity","TOT_DEBT_TO_TOT_CAP","FQ1 2024","FQ1 2024","Currency=USD","Period=FQ","BEST_FPERIOD_OVERRIDE=FQ","FILING_STATUS=MR","Sort=A","Dates=H","DateFormat=P","Fill=—","Direction=H","UseDPDF=Y")</f>
        <v>58.932899999999997</v>
      </c>
      <c r="V14" s="14">
        <f>_xll.BDH("SRPT US Equity","TOT_DEBT_TO_TOT_CAP","FQ2 2024","FQ2 2024","Currency=USD","Period=FQ","BEST_FPERIOD_OVERRIDE=FQ","FILING_STATUS=MR","Sort=A","Dates=H","DateFormat=P","Fill=—","Direction=H","UseDPDF=Y")</f>
        <v>55.983800000000002</v>
      </c>
      <c r="W14" s="14">
        <f>_xll.BDH("SRPT US Equity","TOT_DEBT_TO_TOT_CAP","FQ3 2024","FQ3 2024","Currency=USD","Period=FQ","BEST_FPERIOD_OVERRIDE=FQ","FILING_STATUS=MR","Sort=A","Dates=H","DateFormat=P","Fill=—","Direction=H","UseDPDF=Y")</f>
        <v>53.37</v>
      </c>
      <c r="X14" s="14">
        <f>_xll.BDH("SRPT US Equity","TOT_DEBT_TO_TOT_CAP","FQ4 2024","FQ4 2024","Currency=USD","Period=FQ","BEST_FPERIOD_OVERRIDE=FQ","FILING_STATUS=MR","Sort=A","Dates=H","DateFormat=P","Fill=—","Direction=H","UseDPDF=Y")</f>
        <v>46.7836</v>
      </c>
      <c r="Y14" s="17">
        <v>46.783627768032197</v>
      </c>
      <c r="Z14" s="14"/>
      <c r="AA14" s="14"/>
    </row>
    <row r="15" spans="1:27" x14ac:dyDescent="0.25">
      <c r="A15" s="10" t="s">
        <v>176</v>
      </c>
      <c r="B15" s="10" t="s">
        <v>177</v>
      </c>
      <c r="C15" s="14">
        <f>_xll.BDH("SRPT US Equity","TOTAL_DEBT_TO_EV","FQ3 2019","FQ3 2019","Currency=USD","Period=FQ","BEST_FPERIOD_OVERRIDE=FQ","FILING_STATUS=MR","Sort=A","Dates=H","DateFormat=P","Fill=—","Direction=H","UseDPDF=Y")</f>
        <v>9.7600000000000006E-2</v>
      </c>
      <c r="D15" s="14">
        <f>_xll.BDH("SRPT US Equity","TOTAL_DEBT_TO_EV","FQ4 2019","FQ4 2019","Currency=USD","Period=FQ","BEST_FPERIOD_OVERRIDE=FQ","FILING_STATUS=MR","Sort=A","Dates=H","DateFormat=P","Fill=—","Direction=H","UseDPDF=Y")</f>
        <v>7.9200000000000007E-2</v>
      </c>
      <c r="E15" s="14">
        <f>_xll.BDH("SRPT US Equity","TOTAL_DEBT_TO_EV","FQ1 2020","FQ1 2020","Currency=USD","Period=FQ","BEST_FPERIOD_OVERRIDE=FQ","FILING_STATUS=MR","Sort=A","Dates=H","DateFormat=P","Fill=—","Direction=H","UseDPDF=Y")</f>
        <v>0.1215</v>
      </c>
      <c r="F15" s="14">
        <f>_xll.BDH("SRPT US Equity","TOTAL_DEBT_TO_EV","FQ2 2020","FQ2 2020","Currency=USD","Period=FQ","BEST_FPERIOD_OVERRIDE=FQ","FILING_STATUS=MR","Sort=A","Dates=H","DateFormat=P","Fill=—","Direction=H","UseDPDF=Y")</f>
        <v>6.8000000000000005E-2</v>
      </c>
      <c r="G15" s="14">
        <f>_xll.BDH("SRPT US Equity","TOTAL_DEBT_TO_EV","FQ3 2020","FQ3 2020","Currency=USD","Period=FQ","BEST_FPERIOD_OVERRIDE=FQ","FILING_STATUS=MR","Sort=A","Dates=H","DateFormat=P","Fill=—","Direction=H","UseDPDF=Y")</f>
        <v>7.6799999999999993E-2</v>
      </c>
      <c r="H15" s="14">
        <f>_xll.BDH("SRPT US Equity","TOTAL_DEBT_TO_EV","FQ4 2020","FQ4 2020","Currency=USD","Period=FQ","BEST_FPERIOD_OVERRIDE=FQ","FILING_STATUS=MR","Sort=A","Dates=H","DateFormat=P","Fill=—","Direction=H","UseDPDF=Y")</f>
        <v>8.6300000000000002E-2</v>
      </c>
      <c r="I15" s="14">
        <f>_xll.BDH("SRPT US Equity","TOTAL_DEBT_TO_EV","FQ1 2021","FQ1 2021","Currency=USD","Period=FQ","BEST_FPERIOD_OVERRIDE=FQ","FILING_STATUS=MR","Sort=A","Dates=H","DateFormat=P","Fill=—","Direction=H","UseDPDF=Y")</f>
        <v>0.21540000000000001</v>
      </c>
      <c r="J15" s="14">
        <f>_xll.BDH("SRPT US Equity","TOTAL_DEBT_TO_EV","FQ2 2021","FQ2 2021","Currency=USD","Period=FQ","BEST_FPERIOD_OVERRIDE=FQ","FILING_STATUS=MR","Sort=A","Dates=H","DateFormat=P","Fill=—","Direction=H","UseDPDF=Y")</f>
        <v>0.20580000000000001</v>
      </c>
      <c r="K15" s="14">
        <f>_xll.BDH("SRPT US Equity","TOTAL_DEBT_TO_EV","FQ3 2021","FQ3 2021","Currency=USD","Period=FQ","BEST_FPERIOD_OVERRIDE=FQ","FILING_STATUS=MR","Sort=A","Dates=H","DateFormat=P","Fill=—","Direction=H","UseDPDF=Y")</f>
        <v>0.1668</v>
      </c>
      <c r="L15" s="14">
        <f>_xll.BDH("SRPT US Equity","TOTAL_DEBT_TO_EV","FQ4 2021","FQ4 2021","Currency=USD","Period=FQ","BEST_FPERIOD_OVERRIDE=FQ","FILING_STATUS=MR","Sort=A","Dates=H","DateFormat=P","Fill=—","Direction=H","UseDPDF=Y")</f>
        <v>0.1678</v>
      </c>
      <c r="M15" s="14">
        <f>_xll.BDH("SRPT US Equity","TOTAL_DEBT_TO_EV","FQ1 2022","FQ1 2022","Currency=USD","Period=FQ","BEST_FPERIOD_OVERRIDE=FQ","FILING_STATUS=MR","Sort=A","Dates=H","DateFormat=P","Fill=—","Direction=H","UseDPDF=Y")</f>
        <v>0.19120000000000001</v>
      </c>
      <c r="N15" s="14">
        <f>_xll.BDH("SRPT US Equity","TOTAL_DEBT_TO_EV","FQ2 2022","FQ2 2022","Currency=USD","Period=FQ","BEST_FPERIOD_OVERRIDE=FQ","FILING_STATUS=MR","Sort=A","Dates=H","DateFormat=P","Fill=—","Direction=H","UseDPDF=Y")</f>
        <v>0.1981</v>
      </c>
      <c r="O15" s="14">
        <f>_xll.BDH("SRPT US Equity","TOTAL_DEBT_TO_EV","FQ3 2022","FQ3 2022","Currency=USD","Period=FQ","BEST_FPERIOD_OVERRIDE=FQ","FILING_STATUS=MR","Sort=A","Dates=H","DateFormat=P","Fill=—","Direction=H","UseDPDF=Y")</f>
        <v>0.17169999999999999</v>
      </c>
      <c r="P15" s="14">
        <f>_xll.BDH("SRPT US Equity","TOTAL_DEBT_TO_EV","FQ4 2022","FQ4 2022","Currency=USD","Period=FQ","BEST_FPERIOD_OVERRIDE=FQ","FILING_STATUS=MR","Sort=A","Dates=H","DateFormat=P","Fill=—","Direction=H","UseDPDF=Y")</f>
        <v>0.14699999999999999</v>
      </c>
      <c r="Q15" s="14">
        <f>_xll.BDH("SRPT US Equity","TOTAL_DEBT_TO_EV","FQ1 2023","FQ1 2023","Currency=USD","Period=FQ","BEST_FPERIOD_OVERRIDE=FQ","FILING_STATUS=MR","Sort=A","Dates=H","DateFormat=P","Fill=—","Direction=H","UseDPDF=Y")</f>
        <v>0.10539999999999999</v>
      </c>
      <c r="R15" s="14">
        <f>_xll.BDH("SRPT US Equity","TOTAL_DEBT_TO_EV","FQ2 2023","FQ2 2023","Currency=USD","Period=FQ","BEST_FPERIOD_OVERRIDE=FQ","FILING_STATUS=MR","Sort=A","Dates=H","DateFormat=P","Fill=—","Direction=H","UseDPDF=Y")</f>
        <v>0.13420000000000001</v>
      </c>
      <c r="S15" s="14">
        <f>_xll.BDH("SRPT US Equity","TOTAL_DEBT_TO_EV","FQ3 2023","FQ3 2023","Currency=USD","Period=FQ","BEST_FPERIOD_OVERRIDE=FQ","FILING_STATUS=MR","Sort=A","Dates=H","DateFormat=P","Fill=—","Direction=H","UseDPDF=Y")</f>
        <v>0.1265</v>
      </c>
      <c r="T15" s="14">
        <f>_xll.BDH("SRPT US Equity","TOTAL_DEBT_TO_EV","FQ4 2023","FQ4 2023","Currency=USD","Period=FQ","BEST_FPERIOD_OVERRIDE=FQ","FILING_STATUS=MR","Sort=A","Dates=H","DateFormat=P","Fill=—","Direction=H","UseDPDF=Y")</f>
        <v>0.15959999999999999</v>
      </c>
      <c r="U15" s="14">
        <f>_xll.BDH("SRPT US Equity","TOTAL_DEBT_TO_EV","FQ1 2024","FQ1 2024","Currency=USD","Period=FQ","BEST_FPERIOD_OVERRIDE=FQ","FILING_STATUS=MR","Sort=A","Dates=H","DateFormat=P","Fill=—","Direction=H","UseDPDF=Y")</f>
        <v>0.113</v>
      </c>
      <c r="V15" s="14">
        <f>_xll.BDH("SRPT US Equity","TOTAL_DEBT_TO_EV","FQ2 2024","FQ2 2024","Currency=USD","Period=FQ","BEST_FPERIOD_OVERRIDE=FQ","FILING_STATUS=MR","Sort=A","Dates=H","DateFormat=P","Fill=—","Direction=H","UseDPDF=Y")</f>
        <v>9.1600000000000001E-2</v>
      </c>
      <c r="W15" s="14">
        <f>_xll.BDH("SRPT US Equity","TOTAL_DEBT_TO_EV","FQ3 2024","FQ3 2024","Currency=USD","Period=FQ","BEST_FPERIOD_OVERRIDE=FQ","FILING_STATUS=MR","Sort=A","Dates=H","DateFormat=P","Fill=—","Direction=H","UseDPDF=Y")</f>
        <v>0.1153</v>
      </c>
      <c r="X15" s="14">
        <f>_xll.BDH("SRPT US Equity","TOTAL_DEBT_TO_EV","FQ4 2024","FQ4 2024","Currency=USD","Period=FQ","BEST_FPERIOD_OVERRIDE=FQ","FILING_STATUS=MR","Sort=A","Dates=H","DateFormat=P","Fill=—","Direction=H","UseDPDF=Y")</f>
        <v>0.11409999999999999</v>
      </c>
      <c r="Y15" s="17">
        <v>0.19709254376772001</v>
      </c>
      <c r="Z15" s="14"/>
      <c r="AA15" s="14"/>
    </row>
    <row r="16" spans="1:27" x14ac:dyDescent="0.25">
      <c r="A16" s="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21"/>
      <c r="Z16" s="18"/>
      <c r="AA16" s="18"/>
    </row>
    <row r="17" spans="1:27" x14ac:dyDescent="0.25">
      <c r="A17" s="6" t="s">
        <v>178</v>
      </c>
      <c r="B17" s="6" t="s">
        <v>179</v>
      </c>
      <c r="C17" s="20">
        <f>_xll.BDH("SRPT US Equity","EV_TO_T12M_SALES","FQ3 2019","FQ3 2019","Currency=USD","Period=FQ","BEST_FPERIOD_OVERRIDE=FQ","FILING_STATUS=MR","FA_ADJUSTED=GAAP","Sort=A","Dates=H","DateFormat=P","Fill=—","Direction=H","UseDPDF=Y")</f>
        <v>13.8485</v>
      </c>
      <c r="D17" s="20">
        <f>_xll.BDH("SRPT US Equity","EV_TO_T12M_SALES","FQ4 2019","FQ4 2019","Currency=USD","Period=FQ","BEST_FPERIOD_OVERRIDE=FQ","FILING_STATUS=MR","FA_ADJUSTED=GAAP","Sort=A","Dates=H","DateFormat=P","Fill=—","Direction=H","UseDPDF=Y")</f>
        <v>24.458400000000001</v>
      </c>
      <c r="E17" s="20">
        <f>_xll.BDH("SRPT US Equity","EV_TO_T12M_SALES","FQ1 2020","FQ1 2020","Currency=USD","Period=FQ","BEST_FPERIOD_OVERRIDE=FQ","FILING_STATUS=MR","FA_ADJUSTED=GAAP","Sort=A","Dates=H","DateFormat=P","Fill=—","Direction=H","UseDPDF=Y")</f>
        <v>15.210800000000001</v>
      </c>
      <c r="F17" s="20">
        <f>_xll.BDH("SRPT US Equity","EV_TO_T12M_SALES","FQ2 2020","FQ2 2020","Currency=USD","Period=FQ","BEST_FPERIOD_OVERRIDE=FQ","FILING_STATUS=MR","FA_ADJUSTED=GAAP","Sort=A","Dates=H","DateFormat=P","Fill=—","Direction=H","UseDPDF=Y")</f>
        <v>25.037199999999999</v>
      </c>
      <c r="G17" s="20">
        <f>_xll.BDH("SRPT US Equity","EV_TO_T12M_SALES","FQ3 2020","FQ3 2020","Currency=USD","Period=FQ","BEST_FPERIOD_OVERRIDE=FQ","FILING_STATUS=MR","FA_ADJUSTED=GAAP","Sort=A","Dates=H","DateFormat=P","Fill=—","Direction=H","UseDPDF=Y")</f>
        <v>20.214099999999998</v>
      </c>
      <c r="H17" s="20">
        <f>_xll.BDH("SRPT US Equity","EV_TO_T12M_SALES","FQ4 2020","FQ4 2020","Currency=USD","Period=FQ","BEST_FPERIOD_OVERRIDE=FQ","FILING_STATUS=MR","FA_ADJUSTED=GAAP","Sort=A","Dates=H","DateFormat=P","Fill=—","Direction=H","UseDPDF=Y")</f>
        <v>23.474299999999999</v>
      </c>
      <c r="I17" s="20">
        <f>_xll.BDH("SRPT US Equity","EV_TO_T12M_SALES","FQ1 2021","FQ1 2021","Currency=USD","Period=FQ","BEST_FPERIOD_OVERRIDE=FQ","FILING_STATUS=MR","FA_ADJUSTED=GAAP","Sort=A","Dates=H","DateFormat=P","Fill=—","Direction=H","UseDPDF=Y")</f>
        <v>9.3279999999999994</v>
      </c>
      <c r="J17" s="20">
        <f>_xll.BDH("SRPT US Equity","EV_TO_T12M_SALES","FQ2 2021","FQ2 2021","Currency=USD","Period=FQ","BEST_FPERIOD_OVERRIDE=FQ","FILING_STATUS=MR","FA_ADJUSTED=GAAP","Sort=A","Dates=H","DateFormat=P","Fill=—","Direction=H","UseDPDF=Y")</f>
        <v>9.3781999999999996</v>
      </c>
      <c r="K17" s="20">
        <f>_xll.BDH("SRPT US Equity","EV_TO_T12M_SALES","FQ3 2021","FQ3 2021","Currency=USD","Period=FQ","BEST_FPERIOD_OVERRIDE=FQ","FILING_STATUS=MR","FA_ADJUSTED=GAAP","Sort=A","Dates=H","DateFormat=P","Fill=—","Direction=H","UseDPDF=Y")</f>
        <v>10.757199999999999</v>
      </c>
      <c r="L17" s="20">
        <f>_xll.BDH("SRPT US Equity","EV_TO_T12M_SALES","FQ4 2021","FQ4 2021","Currency=USD","Period=FQ","BEST_FPERIOD_OVERRIDE=FQ","FILING_STATUS=MR","FA_ADJUSTED=GAAP","Sort=A","Dates=H","DateFormat=P","Fill=—","Direction=H","UseDPDF=Y")</f>
        <v>9.7927999999999997</v>
      </c>
      <c r="M17" s="20">
        <f>_xll.BDH("SRPT US Equity","EV_TO_T12M_SALES","FQ1 2022","FQ1 2022","Currency=USD","Period=FQ","BEST_FPERIOD_OVERRIDE=FQ","FILING_STATUS=MR","FA_ADJUSTED=GAAP","Sort=A","Dates=H","DateFormat=P","Fill=—","Direction=H","UseDPDF=Y")</f>
        <v>7.7691999999999997</v>
      </c>
      <c r="N17" s="20">
        <f>_xll.BDH("SRPT US Equity","EV_TO_T12M_SALES","FQ2 2022","FQ2 2022","Currency=USD","Period=FQ","BEST_FPERIOD_OVERRIDE=FQ","FILING_STATUS=MR","FA_ADJUSTED=GAAP","Sort=A","Dates=H","DateFormat=P","Fill=—","Direction=H","UseDPDF=Y")</f>
        <v>6.8910999999999998</v>
      </c>
      <c r="O17" s="20">
        <f>_xll.BDH("SRPT US Equity","EV_TO_T12M_SALES","FQ3 2022","FQ3 2022","Currency=USD","Period=FQ","BEST_FPERIOD_OVERRIDE=FQ","FILING_STATUS=MR","FA_ADJUSTED=GAAP","Sort=A","Dates=H","DateFormat=P","Fill=—","Direction=H","UseDPDF=Y")</f>
        <v>10.488200000000001</v>
      </c>
      <c r="P17" s="20">
        <f>_xll.BDH("SRPT US Equity","EV_TO_T12M_SALES","FQ4 2022","FQ4 2022","Currency=USD","Period=FQ","BEST_FPERIOD_OVERRIDE=FQ","FILING_STATUS=MR","FA_ADJUSTED=GAAP","Sort=A","Dates=H","DateFormat=P","Fill=—","Direction=H","UseDPDF=Y")</f>
        <v>11.7957</v>
      </c>
      <c r="Q17" s="20">
        <f>_xll.BDH("SRPT US Equity","EV_TO_T12M_SALES","FQ1 2023","FQ1 2023","Currency=USD","Period=FQ","BEST_FPERIOD_OVERRIDE=FQ","FILING_STATUS=MR","FA_ADJUSTED=GAAP","Sort=A","Dates=H","DateFormat=P","Fill=—","Direction=H","UseDPDF=Y")</f>
        <v>12.529299999999999</v>
      </c>
      <c r="R17" s="20">
        <f>_xll.BDH("SRPT US Equity","EV_TO_T12M_SALES","FQ2 2023","FQ2 2023","Currency=USD","Period=FQ","BEST_FPERIOD_OVERRIDE=FQ","FILING_STATUS=MR","FA_ADJUSTED=GAAP","Sort=A","Dates=H","DateFormat=P","Fill=—","Direction=H","UseDPDF=Y")</f>
        <v>10.1318</v>
      </c>
      <c r="S17" s="20">
        <f>_xll.BDH("SRPT US Equity","EV_TO_T12M_SALES","FQ3 2023","FQ3 2023","Currency=USD","Period=FQ","BEST_FPERIOD_OVERRIDE=FQ","FILING_STATUS=MR","FA_ADJUSTED=GAAP","Sort=A","Dates=H","DateFormat=P","Fill=—","Direction=H","UseDPDF=Y")</f>
        <v>9.9431999999999992</v>
      </c>
      <c r="T17" s="20">
        <f>_xll.BDH("SRPT US Equity","EV_TO_T12M_SALES","FQ4 2023","FQ4 2023","Currency=USD","Period=FQ","BEST_FPERIOD_OVERRIDE=FQ","FILING_STATUS=MR","FA_ADJUSTED=GAAP","Sort=A","Dates=H","DateFormat=P","Fill=—","Direction=H","UseDPDF=Y")</f>
        <v>7.0396000000000001</v>
      </c>
      <c r="U17" s="20">
        <f>_xll.BDH("SRPT US Equity","EV_TO_T12M_SALES","FQ1 2024","FQ1 2024","Currency=USD","Period=FQ","BEST_FPERIOD_OVERRIDE=FQ","FILING_STATUS=MR","FA_ADJUSTED=GAAP","Sort=A","Dates=H","DateFormat=P","Fill=—","Direction=H","UseDPDF=Y")</f>
        <v>8.6979000000000006</v>
      </c>
      <c r="V17" s="20">
        <f>_xll.BDH("SRPT US Equity","EV_TO_T12M_SALES","FQ2 2024","FQ2 2024","Currency=USD","Period=FQ","BEST_FPERIOD_OVERRIDE=FQ","FILING_STATUS=MR","FA_ADJUSTED=GAAP","Sort=A","Dates=H","DateFormat=P","Fill=—","Direction=H","UseDPDF=Y")</f>
        <v>9.9326000000000008</v>
      </c>
      <c r="W17" s="20">
        <f>_xll.BDH("SRPT US Equity","EV_TO_T12M_SALES","FQ3 2024","FQ3 2024","Currency=USD","Period=FQ","BEST_FPERIOD_OVERRIDE=FQ","FILING_STATUS=MR","FA_ADJUSTED=GAAP","Sort=A","Dates=H","DateFormat=P","Fill=—","Direction=H","UseDPDF=Y")</f>
        <v>7.3890000000000002</v>
      </c>
      <c r="X17" s="20">
        <f>_xll.BDH("SRPT US Equity","EV_TO_T12M_SALES","FQ4 2024","FQ4 2024","Currency=USD","Period=FQ","BEST_FPERIOD_OVERRIDE=FQ","FILING_STATUS=MR","FA_ADJUSTED=GAAP","Sort=A","Dates=H","DateFormat=P","Fill=—","Direction=H","UseDPDF=Y")</f>
        <v>6.1866000000000003</v>
      </c>
      <c r="Y17" s="23">
        <v>3.58280140752737</v>
      </c>
      <c r="Z17" s="20">
        <v>2.15506176002514</v>
      </c>
      <c r="AA17" s="20">
        <v>2.0622552206296199</v>
      </c>
    </row>
    <row r="18" spans="1:27" x14ac:dyDescent="0.25">
      <c r="A18" s="6" t="s">
        <v>180</v>
      </c>
      <c r="B18" s="6" t="s">
        <v>181</v>
      </c>
      <c r="C18" s="20" t="str">
        <f>_xll.BDH("SRPT US Equity","EV_TO_T12M_EBITDA","FQ3 2019","FQ3 2019","Currency=USD","Period=FQ","BEST_FPERIOD_OVERRIDE=FQ","FILING_STATUS=MR","FA_ADJUSTED=GAAP","Sort=A","Dates=H","DateFormat=P","Fill=—","Direction=H","UseDPDF=Y")</f>
        <v>—</v>
      </c>
      <c r="D18" s="20" t="str">
        <f>_xll.BDH("SRPT US Equity","EV_TO_T12M_EBITDA","FQ4 2019","FQ4 2019","Currency=USD","Period=FQ","BEST_FPERIOD_OVERRIDE=FQ","FILING_STATUS=MR","FA_ADJUSTED=GAAP","Sort=A","Dates=H","DateFormat=P","Fill=—","Direction=H","UseDPDF=Y")</f>
        <v>—</v>
      </c>
      <c r="E18" s="20" t="str">
        <f>_xll.BDH("SRPT US Equity","EV_TO_T12M_EBITDA","FQ1 2020","FQ1 2020","Currency=USD","Period=FQ","BEST_FPERIOD_OVERRIDE=FQ","FILING_STATUS=MR","FA_ADJUSTED=GAAP","Sort=A","Dates=H","DateFormat=P","Fill=—","Direction=H","UseDPDF=Y")</f>
        <v>—</v>
      </c>
      <c r="F18" s="20" t="str">
        <f>_xll.BDH("SRPT US Equity","EV_TO_T12M_EBITDA","FQ2 2020","FQ2 2020","Currency=USD","Period=FQ","BEST_FPERIOD_OVERRIDE=FQ","FILING_STATUS=MR","FA_ADJUSTED=GAAP","Sort=A","Dates=H","DateFormat=P","Fill=—","Direction=H","UseDPDF=Y")</f>
        <v>—</v>
      </c>
      <c r="G18" s="20" t="str">
        <f>_xll.BDH("SRPT US Equity","EV_TO_T12M_EBITDA","FQ3 2020","FQ3 2020","Currency=USD","Period=FQ","BEST_FPERIOD_OVERRIDE=FQ","FILING_STATUS=MR","FA_ADJUSTED=GAAP","Sort=A","Dates=H","DateFormat=P","Fill=—","Direction=H","UseDPDF=Y")</f>
        <v>—</v>
      </c>
      <c r="H18" s="20" t="str">
        <f>_xll.BDH("SRPT US Equity","EV_TO_T12M_EBITDA","FQ4 2020","FQ4 2020","Currency=USD","Period=FQ","BEST_FPERIOD_OVERRIDE=FQ","FILING_STATUS=MR","FA_ADJUSTED=GAAP","Sort=A","Dates=H","DateFormat=P","Fill=—","Direction=H","UseDPDF=Y")</f>
        <v>—</v>
      </c>
      <c r="I18" s="20" t="str">
        <f>_xll.BDH("SRPT US Equity","EV_TO_T12M_EBITDA","FQ1 2021","FQ1 2021","Currency=USD","Period=FQ","BEST_FPERIOD_OVERRIDE=FQ","FILING_STATUS=MR","FA_ADJUSTED=GAAP","Sort=A","Dates=H","DateFormat=P","Fill=—","Direction=H","UseDPDF=Y")</f>
        <v>—</v>
      </c>
      <c r="J18" s="20" t="str">
        <f>_xll.BDH("SRPT US Equity","EV_TO_T12M_EBITDA","FQ2 2021","FQ2 2021","Currency=USD","Period=FQ","BEST_FPERIOD_OVERRIDE=FQ","FILING_STATUS=MR","FA_ADJUSTED=GAAP","Sort=A","Dates=H","DateFormat=P","Fill=—","Direction=H","UseDPDF=Y")</f>
        <v>—</v>
      </c>
      <c r="K18" s="20" t="str">
        <f>_xll.BDH("SRPT US Equity","EV_TO_T12M_EBITDA","FQ3 2021","FQ3 2021","Currency=USD","Period=FQ","BEST_FPERIOD_OVERRIDE=FQ","FILING_STATUS=MR","FA_ADJUSTED=GAAP","Sort=A","Dates=H","DateFormat=P","Fill=—","Direction=H","UseDPDF=Y")</f>
        <v>—</v>
      </c>
      <c r="L18" s="20" t="str">
        <f>_xll.BDH("SRPT US Equity","EV_TO_T12M_EBITDA","FQ4 2021","FQ4 2021","Currency=USD","Period=FQ","BEST_FPERIOD_OVERRIDE=FQ","FILING_STATUS=MR","FA_ADJUSTED=GAAP","Sort=A","Dates=H","DateFormat=P","Fill=—","Direction=H","UseDPDF=Y")</f>
        <v>—</v>
      </c>
      <c r="M18" s="20" t="str">
        <f>_xll.BDH("SRPT US Equity","EV_TO_T12M_EBITDA","FQ1 2022","FQ1 2022","Currency=USD","Period=FQ","BEST_FPERIOD_OVERRIDE=FQ","FILING_STATUS=MR","FA_ADJUSTED=GAAP","Sort=A","Dates=H","DateFormat=P","Fill=—","Direction=H","UseDPDF=Y")</f>
        <v>—</v>
      </c>
      <c r="N18" s="20" t="str">
        <f>_xll.BDH("SRPT US Equity","EV_TO_T12M_EBITDA","FQ2 2022","FQ2 2022","Currency=USD","Period=FQ","BEST_FPERIOD_OVERRIDE=FQ","FILING_STATUS=MR","FA_ADJUSTED=GAAP","Sort=A","Dates=H","DateFormat=P","Fill=—","Direction=H","UseDPDF=Y")</f>
        <v>—</v>
      </c>
      <c r="O18" s="20" t="str">
        <f>_xll.BDH("SRPT US Equity","EV_TO_T12M_EBITDA","FQ3 2022","FQ3 2022","Currency=USD","Period=FQ","BEST_FPERIOD_OVERRIDE=FQ","FILING_STATUS=MR","FA_ADJUSTED=GAAP","Sort=A","Dates=H","DateFormat=P","Fill=—","Direction=H","UseDPDF=Y")</f>
        <v>—</v>
      </c>
      <c r="P18" s="20" t="str">
        <f>_xll.BDH("SRPT US Equity","EV_TO_T12M_EBITDA","FQ4 2022","FQ4 2022","Currency=USD","Period=FQ","BEST_FPERIOD_OVERRIDE=FQ","FILING_STATUS=MR","FA_ADJUSTED=GAAP","Sort=A","Dates=H","DateFormat=P","Fill=—","Direction=H","UseDPDF=Y")</f>
        <v>—</v>
      </c>
      <c r="Q18" s="20" t="str">
        <f>_xll.BDH("SRPT US Equity","EV_TO_T12M_EBITDA","FQ1 2023","FQ1 2023","Currency=USD","Period=FQ","BEST_FPERIOD_OVERRIDE=FQ","FILING_STATUS=MR","FA_ADJUSTED=GAAP","Sort=A","Dates=H","DateFormat=P","Fill=—","Direction=H","UseDPDF=Y")</f>
        <v>—</v>
      </c>
      <c r="R18" s="20" t="str">
        <f>_xll.BDH("SRPT US Equity","EV_TO_T12M_EBITDA","FQ2 2023","FQ2 2023","Currency=USD","Period=FQ","BEST_FPERIOD_OVERRIDE=FQ","FILING_STATUS=MR","FA_ADJUSTED=GAAP","Sort=A","Dates=H","DateFormat=P","Fill=—","Direction=H","UseDPDF=Y")</f>
        <v>—</v>
      </c>
      <c r="S18" s="20" t="str">
        <f>_xll.BDH("SRPT US Equity","EV_TO_T12M_EBITDA","FQ3 2023","FQ3 2023","Currency=USD","Period=FQ","BEST_FPERIOD_OVERRIDE=FQ","FILING_STATUS=MR","FA_ADJUSTED=GAAP","Sort=A","Dates=H","DateFormat=P","Fill=—","Direction=H","UseDPDF=Y")</f>
        <v>—</v>
      </c>
      <c r="T18" s="20" t="str">
        <f>_xll.BDH("SRPT US Equity","EV_TO_T12M_EBITDA","FQ4 2023","FQ4 2023","Currency=USD","Period=FQ","BEST_FPERIOD_OVERRIDE=FQ","FILING_STATUS=MR","FA_ADJUSTED=GAAP","Sort=A","Dates=H","DateFormat=P","Fill=—","Direction=H","UseDPDF=Y")</f>
        <v>—</v>
      </c>
      <c r="U18" s="20" t="str">
        <f>_xll.BDH("SRPT US Equity","EV_TO_T12M_EBITDA","FQ1 2024","FQ1 2024","Currency=USD","Period=FQ","BEST_FPERIOD_OVERRIDE=FQ","FILING_STATUS=MR","FA_ADJUSTED=GAAP","Sort=A","Dates=H","DateFormat=P","Fill=—","Direction=H","UseDPDF=Y")</f>
        <v>—</v>
      </c>
      <c r="V18" s="20">
        <f>_xll.BDH("SRPT US Equity","EV_TO_T12M_EBITDA","FQ2 2024","FQ2 2024","Currency=USD","Period=FQ","BEST_FPERIOD_OVERRIDE=FQ","FILING_STATUS=MR","FA_ADJUSTED=GAAP","Sort=A","Dates=H","DateFormat=P","Fill=—","Direction=H","UseDPDF=Y")</f>
        <v>192.2638</v>
      </c>
      <c r="W18" s="20">
        <f>_xll.BDH("SRPT US Equity","EV_TO_T12M_EBITDA","FQ3 2024","FQ3 2024","Currency=USD","Period=FQ","BEST_FPERIOD_OVERRIDE=FQ","FILING_STATUS=MR","FA_ADJUSTED=GAAP","Sort=A","Dates=H","DateFormat=P","Fill=—","Direction=H","UseDPDF=Y")</f>
        <v>101.2867</v>
      </c>
      <c r="X18" s="20">
        <f>_xll.BDH("SRPT US Equity","EV_TO_T12M_EBITDA","FQ4 2024","FQ4 2024","Currency=USD","Period=FQ","BEST_FPERIOD_OVERRIDE=FQ","FILING_STATUS=MR","FA_ADJUSTED=GAAP","Sort=A","Dates=H","DateFormat=P","Fill=—","Direction=H","UseDPDF=Y")</f>
        <v>45.998699999999999</v>
      </c>
      <c r="Y18" s="23">
        <v>23.431317934453698</v>
      </c>
      <c r="Z18" s="20">
        <v>7.2286884707941397</v>
      </c>
      <c r="AA18" s="20"/>
    </row>
    <row r="19" spans="1:27" x14ac:dyDescent="0.25">
      <c r="A19" s="6" t="s">
        <v>182</v>
      </c>
      <c r="B19" s="6" t="s">
        <v>183</v>
      </c>
      <c r="C19" s="20" t="str">
        <f>_xll.BDH("SRPT US Equity","EV_TO_T12M_EBIT","FQ3 2019","FQ3 2019","Currency=USD","Period=FQ","BEST_FPERIOD_OVERRIDE=FQ","FILING_STATUS=MR","FA_ADJUSTED=GAAP","Sort=A","Dates=H","DateFormat=P","Fill=—","Direction=H","UseDPDF=Y")</f>
        <v>—</v>
      </c>
      <c r="D19" s="20" t="str">
        <f>_xll.BDH("SRPT US Equity","EV_TO_T12M_EBIT","FQ4 2019","FQ4 2019","Currency=USD","Period=FQ","BEST_FPERIOD_OVERRIDE=FQ","FILING_STATUS=MR","FA_ADJUSTED=GAAP","Sort=A","Dates=H","DateFormat=P","Fill=—","Direction=H","UseDPDF=Y")</f>
        <v>—</v>
      </c>
      <c r="E19" s="20" t="str">
        <f>_xll.BDH("SRPT US Equity","EV_TO_T12M_EBIT","FQ1 2020","FQ1 2020","Currency=USD","Period=FQ","BEST_FPERIOD_OVERRIDE=FQ","FILING_STATUS=MR","FA_ADJUSTED=GAAP","Sort=A","Dates=H","DateFormat=P","Fill=—","Direction=H","UseDPDF=Y")</f>
        <v>—</v>
      </c>
      <c r="F19" s="20" t="str">
        <f>_xll.BDH("SRPT US Equity","EV_TO_T12M_EBIT","FQ2 2020","FQ2 2020","Currency=USD","Period=FQ","BEST_FPERIOD_OVERRIDE=FQ","FILING_STATUS=MR","FA_ADJUSTED=GAAP","Sort=A","Dates=H","DateFormat=P","Fill=—","Direction=H","UseDPDF=Y")</f>
        <v>—</v>
      </c>
      <c r="G19" s="20" t="str">
        <f>_xll.BDH("SRPT US Equity","EV_TO_T12M_EBIT","FQ3 2020","FQ3 2020","Currency=USD","Period=FQ","BEST_FPERIOD_OVERRIDE=FQ","FILING_STATUS=MR","FA_ADJUSTED=GAAP","Sort=A","Dates=H","DateFormat=P","Fill=—","Direction=H","UseDPDF=Y")</f>
        <v>—</v>
      </c>
      <c r="H19" s="20" t="str">
        <f>_xll.BDH("SRPT US Equity","EV_TO_T12M_EBIT","FQ4 2020","FQ4 2020","Currency=USD","Period=FQ","BEST_FPERIOD_OVERRIDE=FQ","FILING_STATUS=MR","FA_ADJUSTED=GAAP","Sort=A","Dates=H","DateFormat=P","Fill=—","Direction=H","UseDPDF=Y")</f>
        <v>—</v>
      </c>
      <c r="I19" s="20" t="str">
        <f>_xll.BDH("SRPT US Equity","EV_TO_T12M_EBIT","FQ1 2021","FQ1 2021","Currency=USD","Period=FQ","BEST_FPERIOD_OVERRIDE=FQ","FILING_STATUS=MR","FA_ADJUSTED=GAAP","Sort=A","Dates=H","DateFormat=P","Fill=—","Direction=H","UseDPDF=Y")</f>
        <v>—</v>
      </c>
      <c r="J19" s="20" t="str">
        <f>_xll.BDH("SRPT US Equity","EV_TO_T12M_EBIT","FQ2 2021","FQ2 2021","Currency=USD","Period=FQ","BEST_FPERIOD_OVERRIDE=FQ","FILING_STATUS=MR","FA_ADJUSTED=GAAP","Sort=A","Dates=H","DateFormat=P","Fill=—","Direction=H","UseDPDF=Y")</f>
        <v>—</v>
      </c>
      <c r="K19" s="20" t="str">
        <f>_xll.BDH("SRPT US Equity","EV_TO_T12M_EBIT","FQ3 2021","FQ3 2021","Currency=USD","Period=FQ","BEST_FPERIOD_OVERRIDE=FQ","FILING_STATUS=MR","FA_ADJUSTED=GAAP","Sort=A","Dates=H","DateFormat=P","Fill=—","Direction=H","UseDPDF=Y")</f>
        <v>—</v>
      </c>
      <c r="L19" s="20" t="str">
        <f>_xll.BDH("SRPT US Equity","EV_TO_T12M_EBIT","FQ4 2021","FQ4 2021","Currency=USD","Period=FQ","BEST_FPERIOD_OVERRIDE=FQ","FILING_STATUS=MR","FA_ADJUSTED=GAAP","Sort=A","Dates=H","DateFormat=P","Fill=—","Direction=H","UseDPDF=Y")</f>
        <v>—</v>
      </c>
      <c r="M19" s="20" t="str">
        <f>_xll.BDH("SRPT US Equity","EV_TO_T12M_EBIT","FQ1 2022","FQ1 2022","Currency=USD","Period=FQ","BEST_FPERIOD_OVERRIDE=FQ","FILING_STATUS=MR","FA_ADJUSTED=GAAP","Sort=A","Dates=H","DateFormat=P","Fill=—","Direction=H","UseDPDF=Y")</f>
        <v>—</v>
      </c>
      <c r="N19" s="20" t="str">
        <f>_xll.BDH("SRPT US Equity","EV_TO_T12M_EBIT","FQ2 2022","FQ2 2022","Currency=USD","Period=FQ","BEST_FPERIOD_OVERRIDE=FQ","FILING_STATUS=MR","FA_ADJUSTED=GAAP","Sort=A","Dates=H","DateFormat=P","Fill=—","Direction=H","UseDPDF=Y")</f>
        <v>—</v>
      </c>
      <c r="O19" s="20" t="str">
        <f>_xll.BDH("SRPT US Equity","EV_TO_T12M_EBIT","FQ3 2022","FQ3 2022","Currency=USD","Period=FQ","BEST_FPERIOD_OVERRIDE=FQ","FILING_STATUS=MR","FA_ADJUSTED=GAAP","Sort=A","Dates=H","DateFormat=P","Fill=—","Direction=H","UseDPDF=Y")</f>
        <v>—</v>
      </c>
      <c r="P19" s="20" t="str">
        <f>_xll.BDH("SRPT US Equity","EV_TO_T12M_EBIT","FQ4 2022","FQ4 2022","Currency=USD","Period=FQ","BEST_FPERIOD_OVERRIDE=FQ","FILING_STATUS=MR","FA_ADJUSTED=GAAP","Sort=A","Dates=H","DateFormat=P","Fill=—","Direction=H","UseDPDF=Y")</f>
        <v>—</v>
      </c>
      <c r="Q19" s="20" t="str">
        <f>_xll.BDH("SRPT US Equity","EV_TO_T12M_EBIT","FQ1 2023","FQ1 2023","Currency=USD","Period=FQ","BEST_FPERIOD_OVERRIDE=FQ","FILING_STATUS=MR","FA_ADJUSTED=GAAP","Sort=A","Dates=H","DateFormat=P","Fill=—","Direction=H","UseDPDF=Y")</f>
        <v>—</v>
      </c>
      <c r="R19" s="20" t="str">
        <f>_xll.BDH("SRPT US Equity","EV_TO_T12M_EBIT","FQ2 2023","FQ2 2023","Currency=USD","Period=FQ","BEST_FPERIOD_OVERRIDE=FQ","FILING_STATUS=MR","FA_ADJUSTED=GAAP","Sort=A","Dates=H","DateFormat=P","Fill=—","Direction=H","UseDPDF=Y")</f>
        <v>—</v>
      </c>
      <c r="S19" s="20" t="str">
        <f>_xll.BDH("SRPT US Equity","EV_TO_T12M_EBIT","FQ3 2023","FQ3 2023","Currency=USD","Period=FQ","BEST_FPERIOD_OVERRIDE=FQ","FILING_STATUS=MR","FA_ADJUSTED=GAAP","Sort=A","Dates=H","DateFormat=P","Fill=—","Direction=H","UseDPDF=Y")</f>
        <v>—</v>
      </c>
      <c r="T19" s="20" t="str">
        <f>_xll.BDH("SRPT US Equity","EV_TO_T12M_EBIT","FQ4 2023","FQ4 2023","Currency=USD","Period=FQ","BEST_FPERIOD_OVERRIDE=FQ","FILING_STATUS=MR","FA_ADJUSTED=GAAP","Sort=A","Dates=H","DateFormat=P","Fill=—","Direction=H","UseDPDF=Y")</f>
        <v>—</v>
      </c>
      <c r="U19" s="20" t="str">
        <f>_xll.BDH("SRPT US Equity","EV_TO_T12M_EBIT","FQ1 2024","FQ1 2024","Currency=USD","Period=FQ","BEST_FPERIOD_OVERRIDE=FQ","FILING_STATUS=MR","FA_ADJUSTED=GAAP","Sort=A","Dates=H","DateFormat=P","Fill=—","Direction=H","UseDPDF=Y")</f>
        <v>—</v>
      </c>
      <c r="V19" s="20">
        <f>_xll.BDH("SRPT US Equity","EV_TO_T12M_EBIT","FQ2 2024","FQ2 2024","Currency=USD","Period=FQ","BEST_FPERIOD_OVERRIDE=FQ","FILING_STATUS=MR","FA_ADJUSTED=GAAP","Sort=A","Dates=H","DateFormat=P","Fill=—","Direction=H","UseDPDF=Y")</f>
        <v>393.51659999999998</v>
      </c>
      <c r="W19" s="20">
        <f>_xll.BDH("SRPT US Equity","EV_TO_T12M_EBIT","FQ3 2024","FQ3 2024","Currency=USD","Period=FQ","BEST_FPERIOD_OVERRIDE=FQ","FILING_STATUS=MR","FA_ADJUSTED=GAAP","Sort=A","Dates=H","DateFormat=P","Fill=—","Direction=H","UseDPDF=Y")</f>
        <v>149.59059999999999</v>
      </c>
      <c r="X19" s="20">
        <f>_xll.BDH("SRPT US Equity","EV_TO_T12M_EBIT","FQ4 2024","FQ4 2024","Currency=USD","Period=FQ","BEST_FPERIOD_OVERRIDE=FQ","FILING_STATUS=MR","FA_ADJUSTED=GAAP","Sort=A","Dates=H","DateFormat=P","Fill=—","Direction=H","UseDPDF=Y")</f>
        <v>53.955599999999997</v>
      </c>
      <c r="Y19" s="23">
        <v>29.355727105503899</v>
      </c>
      <c r="Z19" s="20">
        <v>6.6543428217112401</v>
      </c>
      <c r="AA19" s="20">
        <v>5.4130802390757999</v>
      </c>
    </row>
    <row r="20" spans="1:27" x14ac:dyDescent="0.25">
      <c r="A20" s="6" t="s">
        <v>184</v>
      </c>
      <c r="B20" s="6" t="s">
        <v>185</v>
      </c>
      <c r="C20" s="20" t="str">
        <f>_xll.BDH("SRPT US Equity","EV_TO_T12M_CASH_FLOW_FIRM","FQ3 2019","FQ3 2019","Currency=USD","Period=FQ","BEST_FPERIOD_OVERRIDE=FQ","FILING_STATUS=MR","FA_ADJUSTED=GAAP","Sort=A","Dates=H","DateFormat=P","Fill=—","Direction=H","UseDPDF=Y")</f>
        <v>—</v>
      </c>
      <c r="D20" s="20" t="str">
        <f>_xll.BDH("SRPT US Equity","EV_TO_T12M_CASH_FLOW_FIRM","FQ4 2019","FQ4 2019","Currency=USD","Period=FQ","BEST_FPERIOD_OVERRIDE=FQ","FILING_STATUS=MR","FA_ADJUSTED=GAAP","Sort=A","Dates=H","DateFormat=P","Fill=—","Direction=H","UseDPDF=Y")</f>
        <v>—</v>
      </c>
      <c r="E20" s="20" t="str">
        <f>_xll.BDH("SRPT US Equity","EV_TO_T12M_CASH_FLOW_FIRM","FQ1 2020","FQ1 2020","Currency=USD","Period=FQ","BEST_FPERIOD_OVERRIDE=FQ","FILING_STATUS=MR","FA_ADJUSTED=GAAP","Sort=A","Dates=H","DateFormat=P","Fill=—","Direction=H","UseDPDF=Y")</f>
        <v>—</v>
      </c>
      <c r="F20" s="20" t="str">
        <f>_xll.BDH("SRPT US Equity","EV_TO_T12M_CASH_FLOW_FIRM","FQ2 2020","FQ2 2020","Currency=USD","Period=FQ","BEST_FPERIOD_OVERRIDE=FQ","FILING_STATUS=MR","FA_ADJUSTED=GAAP","Sort=A","Dates=H","DateFormat=P","Fill=—","Direction=H","UseDPDF=Y")</f>
        <v>—</v>
      </c>
      <c r="G20" s="20" t="str">
        <f>_xll.BDH("SRPT US Equity","EV_TO_T12M_CASH_FLOW_FIRM","FQ3 2020","FQ3 2020","Currency=USD","Period=FQ","BEST_FPERIOD_OVERRIDE=FQ","FILING_STATUS=MR","FA_ADJUSTED=GAAP","Sort=A","Dates=H","DateFormat=P","Fill=—","Direction=H","UseDPDF=Y")</f>
        <v>—</v>
      </c>
      <c r="H20" s="20" t="str">
        <f>_xll.BDH("SRPT US Equity","EV_TO_T12M_CASH_FLOW_FIRM","FQ4 2020","FQ4 2020","Currency=USD","Period=FQ","BEST_FPERIOD_OVERRIDE=FQ","FILING_STATUS=MR","FA_ADJUSTED=GAAP","Sort=A","Dates=H","DateFormat=P","Fill=—","Direction=H","UseDPDF=Y")</f>
        <v>—</v>
      </c>
      <c r="I20" s="20" t="str">
        <f>_xll.BDH("SRPT US Equity","EV_TO_T12M_CASH_FLOW_FIRM","FQ1 2021","FQ1 2021","Currency=USD","Period=FQ","BEST_FPERIOD_OVERRIDE=FQ","FILING_STATUS=MR","FA_ADJUSTED=GAAP","Sort=A","Dates=H","DateFormat=P","Fill=—","Direction=H","UseDPDF=Y")</f>
        <v>—</v>
      </c>
      <c r="J20" s="20" t="str">
        <f>_xll.BDH("SRPT US Equity","EV_TO_T12M_CASH_FLOW_FIRM","FQ2 2021","FQ2 2021","Currency=USD","Period=FQ","BEST_FPERIOD_OVERRIDE=FQ","FILING_STATUS=MR","FA_ADJUSTED=GAAP","Sort=A","Dates=H","DateFormat=P","Fill=—","Direction=H","UseDPDF=Y")</f>
        <v>—</v>
      </c>
      <c r="K20" s="20" t="str">
        <f>_xll.BDH("SRPT US Equity","EV_TO_T12M_CASH_FLOW_FIRM","FQ3 2021","FQ3 2021","Currency=USD","Period=FQ","BEST_FPERIOD_OVERRIDE=FQ","FILING_STATUS=MR","FA_ADJUSTED=GAAP","Sort=A","Dates=H","DateFormat=P","Fill=—","Direction=H","UseDPDF=Y")</f>
        <v>—</v>
      </c>
      <c r="L20" s="20" t="str">
        <f>_xll.BDH("SRPT US Equity","EV_TO_T12M_CASH_FLOW_FIRM","FQ4 2021","FQ4 2021","Currency=USD","Period=FQ","BEST_FPERIOD_OVERRIDE=FQ","FILING_STATUS=MR","FA_ADJUSTED=GAAP","Sort=A","Dates=H","DateFormat=P","Fill=—","Direction=H","UseDPDF=Y")</f>
        <v>—</v>
      </c>
      <c r="M20" s="20" t="str">
        <f>_xll.BDH("SRPT US Equity","EV_TO_T12M_CASH_FLOW_FIRM","FQ1 2022","FQ1 2022","Currency=USD","Period=FQ","BEST_FPERIOD_OVERRIDE=FQ","FILING_STATUS=MR","FA_ADJUSTED=GAAP","Sort=A","Dates=H","DateFormat=P","Fill=—","Direction=H","UseDPDF=Y")</f>
        <v>—</v>
      </c>
      <c r="N20" s="20" t="str">
        <f>_xll.BDH("SRPT US Equity","EV_TO_T12M_CASH_FLOW_FIRM","FQ2 2022","FQ2 2022","Currency=USD","Period=FQ","BEST_FPERIOD_OVERRIDE=FQ","FILING_STATUS=MR","FA_ADJUSTED=GAAP","Sort=A","Dates=H","DateFormat=P","Fill=—","Direction=H","UseDPDF=Y")</f>
        <v>—</v>
      </c>
      <c r="O20" s="20" t="str">
        <f>_xll.BDH("SRPT US Equity","EV_TO_T12M_CASH_FLOW_FIRM","FQ3 2022","FQ3 2022","Currency=USD","Period=FQ","BEST_FPERIOD_OVERRIDE=FQ","FILING_STATUS=MR","FA_ADJUSTED=GAAP","Sort=A","Dates=H","DateFormat=P","Fill=—","Direction=H","UseDPDF=Y")</f>
        <v>—</v>
      </c>
      <c r="P20" s="20" t="str">
        <f>_xll.BDH("SRPT US Equity","EV_TO_T12M_CASH_FLOW_FIRM","FQ4 2022","FQ4 2022","Currency=USD","Period=FQ","BEST_FPERIOD_OVERRIDE=FQ","FILING_STATUS=MR","FA_ADJUSTED=GAAP","Sort=A","Dates=H","DateFormat=P","Fill=—","Direction=H","UseDPDF=Y")</f>
        <v>—</v>
      </c>
      <c r="Q20" s="20" t="str">
        <f>_xll.BDH("SRPT US Equity","EV_TO_T12M_CASH_FLOW_FIRM","FQ1 2023","FQ1 2023","Currency=USD","Period=FQ","BEST_FPERIOD_OVERRIDE=FQ","FILING_STATUS=MR","FA_ADJUSTED=GAAP","Sort=A","Dates=H","DateFormat=P","Fill=—","Direction=H","UseDPDF=Y")</f>
        <v>—</v>
      </c>
      <c r="R20" s="20" t="str">
        <f>_xll.BDH("SRPT US Equity","EV_TO_T12M_CASH_FLOW_FIRM","FQ2 2023","FQ2 2023","Currency=USD","Period=FQ","BEST_FPERIOD_OVERRIDE=FQ","FILING_STATUS=MR","FA_ADJUSTED=GAAP","Sort=A","Dates=H","DateFormat=P","Fill=—","Direction=H","UseDPDF=Y")</f>
        <v>—</v>
      </c>
      <c r="S20" s="20" t="str">
        <f>_xll.BDH("SRPT US Equity","EV_TO_T12M_CASH_FLOW_FIRM","FQ3 2023","FQ3 2023","Currency=USD","Period=FQ","BEST_FPERIOD_OVERRIDE=FQ","FILING_STATUS=MR","FA_ADJUSTED=GAAP","Sort=A","Dates=H","DateFormat=P","Fill=—","Direction=H","UseDPDF=Y")</f>
        <v>—</v>
      </c>
      <c r="T20" s="20" t="str">
        <f>_xll.BDH("SRPT US Equity","EV_TO_T12M_CASH_FLOW_FIRM","FQ4 2023","FQ4 2023","Currency=USD","Period=FQ","BEST_FPERIOD_OVERRIDE=FQ","FILING_STATUS=MR","FA_ADJUSTED=GAAP","Sort=A","Dates=H","DateFormat=P","Fill=—","Direction=H","UseDPDF=Y")</f>
        <v>—</v>
      </c>
      <c r="U20" s="20">
        <f>_xll.BDH("SRPT US Equity","EV_TO_T12M_CASH_FLOW_FIRM","FQ1 2024","FQ1 2024","Currency=USD","Period=FQ","BEST_FPERIOD_OVERRIDE=FQ","FILING_STATUS=MR","FA_ADJUSTED=GAAP","Sort=A","Dates=H","DateFormat=P","Fill=—","Direction=H","UseDPDF=Y")</f>
        <v>-23.301200000000001</v>
      </c>
      <c r="V20" s="20">
        <f>_xll.BDH("SRPT US Equity","EV_TO_T12M_CASH_FLOW_FIRM","FQ2 2024","FQ2 2024","Currency=USD","Period=FQ","BEST_FPERIOD_OVERRIDE=FQ","FILING_STATUS=MR","FA_ADJUSTED=GAAP","Sort=A","Dates=H","DateFormat=P","Fill=—","Direction=H","UseDPDF=Y")</f>
        <v>-39.162599999999998</v>
      </c>
      <c r="W20" s="20">
        <f>_xll.BDH("SRPT US Equity","EV_TO_T12M_CASH_FLOW_FIRM","FQ3 2024","FQ3 2024","Currency=USD","Period=FQ","BEST_FPERIOD_OVERRIDE=FQ","FILING_STATUS=MR","FA_ADJUSTED=GAAP","Sort=A","Dates=H","DateFormat=P","Fill=—","Direction=H","UseDPDF=Y")</f>
        <v>-36.239400000000003</v>
      </c>
      <c r="X20" s="20">
        <f>_xll.BDH("SRPT US Equity","EV_TO_T12M_CASH_FLOW_FIRM","FQ4 2024","FQ4 2024","Currency=USD","Period=FQ","BEST_FPERIOD_OVERRIDE=FQ","FILING_STATUS=MR","FA_ADJUSTED=GAAP","Sort=A","Dates=H","DateFormat=P","Fill=—","Direction=H","UseDPDF=Y")</f>
        <v>-62.192900000000002</v>
      </c>
      <c r="Y20" s="23">
        <v>-38.603884607245497</v>
      </c>
      <c r="Z20" s="20"/>
      <c r="AA20" s="20"/>
    </row>
    <row r="21" spans="1:27" x14ac:dyDescent="0.25">
      <c r="A21" s="6" t="s">
        <v>186</v>
      </c>
      <c r="B21" s="6" t="s">
        <v>187</v>
      </c>
      <c r="C21" s="20" t="str">
        <f>_xll.BDH("SRPT US Equity","EV_TO_T12M_FREE_CASH_FLOW_FIRM","FQ3 2019","FQ3 2019","Currency=USD","Period=FQ","BEST_FPERIOD_OVERRIDE=FQ","FILING_STATUS=MR","FA_ADJUSTED=GAAP","Sort=A","Dates=H","DateFormat=P","Fill=—","Direction=H","UseDPDF=Y")</f>
        <v>—</v>
      </c>
      <c r="D21" s="20" t="str">
        <f>_xll.BDH("SRPT US Equity","EV_TO_T12M_FREE_CASH_FLOW_FIRM","FQ4 2019","FQ4 2019","Currency=USD","Period=FQ","BEST_FPERIOD_OVERRIDE=FQ","FILING_STATUS=MR","FA_ADJUSTED=GAAP","Sort=A","Dates=H","DateFormat=P","Fill=—","Direction=H","UseDPDF=Y")</f>
        <v>—</v>
      </c>
      <c r="E21" s="20" t="str">
        <f>_xll.BDH("SRPT US Equity","EV_TO_T12M_FREE_CASH_FLOW_FIRM","FQ1 2020","FQ1 2020","Currency=USD","Period=FQ","BEST_FPERIOD_OVERRIDE=FQ","FILING_STATUS=MR","FA_ADJUSTED=GAAP","Sort=A","Dates=H","DateFormat=P","Fill=—","Direction=H","UseDPDF=Y")</f>
        <v>—</v>
      </c>
      <c r="F21" s="20" t="str">
        <f>_xll.BDH("SRPT US Equity","EV_TO_T12M_FREE_CASH_FLOW_FIRM","FQ2 2020","FQ2 2020","Currency=USD","Period=FQ","BEST_FPERIOD_OVERRIDE=FQ","FILING_STATUS=MR","FA_ADJUSTED=GAAP","Sort=A","Dates=H","DateFormat=P","Fill=—","Direction=H","UseDPDF=Y")</f>
        <v>—</v>
      </c>
      <c r="G21" s="20" t="str">
        <f>_xll.BDH("SRPT US Equity","EV_TO_T12M_FREE_CASH_FLOW_FIRM","FQ3 2020","FQ3 2020","Currency=USD","Period=FQ","BEST_FPERIOD_OVERRIDE=FQ","FILING_STATUS=MR","FA_ADJUSTED=GAAP","Sort=A","Dates=H","DateFormat=P","Fill=—","Direction=H","UseDPDF=Y")</f>
        <v>—</v>
      </c>
      <c r="H21" s="20" t="str">
        <f>_xll.BDH("SRPT US Equity","EV_TO_T12M_FREE_CASH_FLOW_FIRM","FQ4 2020","FQ4 2020","Currency=USD","Period=FQ","BEST_FPERIOD_OVERRIDE=FQ","FILING_STATUS=MR","FA_ADJUSTED=GAAP","Sort=A","Dates=H","DateFormat=P","Fill=—","Direction=H","UseDPDF=Y")</f>
        <v>—</v>
      </c>
      <c r="I21" s="20" t="str">
        <f>_xll.BDH("SRPT US Equity","EV_TO_T12M_FREE_CASH_FLOW_FIRM","FQ1 2021","FQ1 2021","Currency=USD","Period=FQ","BEST_FPERIOD_OVERRIDE=FQ","FILING_STATUS=MR","FA_ADJUSTED=GAAP","Sort=A","Dates=H","DateFormat=P","Fill=—","Direction=H","UseDPDF=Y")</f>
        <v>—</v>
      </c>
      <c r="J21" s="20" t="str">
        <f>_xll.BDH("SRPT US Equity","EV_TO_T12M_FREE_CASH_FLOW_FIRM","FQ2 2021","FQ2 2021","Currency=USD","Period=FQ","BEST_FPERIOD_OVERRIDE=FQ","FILING_STATUS=MR","FA_ADJUSTED=GAAP","Sort=A","Dates=H","DateFormat=P","Fill=—","Direction=H","UseDPDF=Y")</f>
        <v>—</v>
      </c>
      <c r="K21" s="20" t="str">
        <f>_xll.BDH("SRPT US Equity","EV_TO_T12M_FREE_CASH_FLOW_FIRM","FQ3 2021","FQ3 2021","Currency=USD","Period=FQ","BEST_FPERIOD_OVERRIDE=FQ","FILING_STATUS=MR","FA_ADJUSTED=GAAP","Sort=A","Dates=H","DateFormat=P","Fill=—","Direction=H","UseDPDF=Y")</f>
        <v>—</v>
      </c>
      <c r="L21" s="20" t="str">
        <f>_xll.BDH("SRPT US Equity","EV_TO_T12M_FREE_CASH_FLOW_FIRM","FQ4 2021","FQ4 2021","Currency=USD","Period=FQ","BEST_FPERIOD_OVERRIDE=FQ","FILING_STATUS=MR","FA_ADJUSTED=GAAP","Sort=A","Dates=H","DateFormat=P","Fill=—","Direction=H","UseDPDF=Y")</f>
        <v>—</v>
      </c>
      <c r="M21" s="20" t="str">
        <f>_xll.BDH("SRPT US Equity","EV_TO_T12M_FREE_CASH_FLOW_FIRM","FQ1 2022","FQ1 2022","Currency=USD","Period=FQ","BEST_FPERIOD_OVERRIDE=FQ","FILING_STATUS=MR","FA_ADJUSTED=GAAP","Sort=A","Dates=H","DateFormat=P","Fill=—","Direction=H","UseDPDF=Y")</f>
        <v>—</v>
      </c>
      <c r="N21" s="20" t="str">
        <f>_xll.BDH("SRPT US Equity","EV_TO_T12M_FREE_CASH_FLOW_FIRM","FQ2 2022","FQ2 2022","Currency=USD","Period=FQ","BEST_FPERIOD_OVERRIDE=FQ","FILING_STATUS=MR","FA_ADJUSTED=GAAP","Sort=A","Dates=H","DateFormat=P","Fill=—","Direction=H","UseDPDF=Y")</f>
        <v>—</v>
      </c>
      <c r="O21" s="20" t="str">
        <f>_xll.BDH("SRPT US Equity","EV_TO_T12M_FREE_CASH_FLOW_FIRM","FQ3 2022","FQ3 2022","Currency=USD","Period=FQ","BEST_FPERIOD_OVERRIDE=FQ","FILING_STATUS=MR","FA_ADJUSTED=GAAP","Sort=A","Dates=H","DateFormat=P","Fill=—","Direction=H","UseDPDF=Y")</f>
        <v>—</v>
      </c>
      <c r="P21" s="20" t="str">
        <f>_xll.BDH("SRPT US Equity","EV_TO_T12M_FREE_CASH_FLOW_FIRM","FQ4 2022","FQ4 2022","Currency=USD","Period=FQ","BEST_FPERIOD_OVERRIDE=FQ","FILING_STATUS=MR","FA_ADJUSTED=GAAP","Sort=A","Dates=H","DateFormat=P","Fill=—","Direction=H","UseDPDF=Y")</f>
        <v>—</v>
      </c>
      <c r="Q21" s="20" t="str">
        <f>_xll.BDH("SRPT US Equity","EV_TO_T12M_FREE_CASH_FLOW_FIRM","FQ1 2023","FQ1 2023","Currency=USD","Period=FQ","BEST_FPERIOD_OVERRIDE=FQ","FILING_STATUS=MR","FA_ADJUSTED=GAAP","Sort=A","Dates=H","DateFormat=P","Fill=—","Direction=H","UseDPDF=Y")</f>
        <v>—</v>
      </c>
      <c r="R21" s="20" t="str">
        <f>_xll.BDH("SRPT US Equity","EV_TO_T12M_FREE_CASH_FLOW_FIRM","FQ2 2023","FQ2 2023","Currency=USD","Period=FQ","BEST_FPERIOD_OVERRIDE=FQ","FILING_STATUS=MR","FA_ADJUSTED=GAAP","Sort=A","Dates=H","DateFormat=P","Fill=—","Direction=H","UseDPDF=Y")</f>
        <v>—</v>
      </c>
      <c r="S21" s="20" t="str">
        <f>_xll.BDH("SRPT US Equity","EV_TO_T12M_FREE_CASH_FLOW_FIRM","FQ3 2023","FQ3 2023","Currency=USD","Period=FQ","BEST_FPERIOD_OVERRIDE=FQ","FILING_STATUS=MR","FA_ADJUSTED=GAAP","Sort=A","Dates=H","DateFormat=P","Fill=—","Direction=H","UseDPDF=Y")</f>
        <v>—</v>
      </c>
      <c r="T21" s="20" t="str">
        <f>_xll.BDH("SRPT US Equity","EV_TO_T12M_FREE_CASH_FLOW_FIRM","FQ4 2023","FQ4 2023","Currency=USD","Period=FQ","BEST_FPERIOD_OVERRIDE=FQ","FILING_STATUS=MR","FA_ADJUSTED=GAAP","Sort=A","Dates=H","DateFormat=P","Fill=—","Direction=H","UseDPDF=Y")</f>
        <v>—</v>
      </c>
      <c r="U21" s="20">
        <f>_xll.BDH("SRPT US Equity","EV_TO_T12M_FREE_CASH_FLOW_FIRM","FQ1 2024","FQ1 2024","Currency=USD","Period=FQ","BEST_FPERIOD_OVERRIDE=FQ","FILING_STATUS=MR","FA_ADJUSTED=GAAP","Sort=A","Dates=H","DateFormat=P","Fill=—","Direction=H","UseDPDF=Y")</f>
        <v>-19.595300000000002</v>
      </c>
      <c r="V21" s="20">
        <f>_xll.BDH("SRPT US Equity","EV_TO_T12M_FREE_CASH_FLOW_FIRM","FQ2 2024","FQ2 2024","Currency=USD","Period=FQ","BEST_FPERIOD_OVERRIDE=FQ","FILING_STATUS=MR","FA_ADJUSTED=GAAP","Sort=A","Dates=H","DateFormat=P","Fill=—","Direction=H","UseDPDF=Y")</f>
        <v>-30.381499999999999</v>
      </c>
      <c r="W21" s="20">
        <f>_xll.BDH("SRPT US Equity","EV_TO_T12M_FREE_CASH_FLOW_FIRM","FQ3 2024","FQ3 2024","Currency=USD","Period=FQ","BEST_FPERIOD_OVERRIDE=FQ","FILING_STATUS=MR","FA_ADJUSTED=GAAP","Sort=A","Dates=H","DateFormat=P","Fill=—","Direction=H","UseDPDF=Y")</f>
        <v>-26.793399999999998</v>
      </c>
      <c r="X21" s="20">
        <f>_xll.BDH("SRPT US Equity","EV_TO_T12M_FREE_CASH_FLOW_FIRM","FQ4 2024","FQ4 2024","Currency=USD","Period=FQ","BEST_FPERIOD_OVERRIDE=FQ","FILING_STATUS=MR","FA_ADJUSTED=GAAP","Sort=A","Dates=H","DateFormat=P","Fill=—","Direction=H","UseDPDF=Y")</f>
        <v>-36.077300000000001</v>
      </c>
      <c r="Y21" s="23">
        <v>-21.738129499594798</v>
      </c>
      <c r="Z21" s="20"/>
      <c r="AA21" s="20"/>
    </row>
    <row r="22" spans="1:27" x14ac:dyDescent="0.25">
      <c r="A22" s="6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1"/>
      <c r="Z22" s="18"/>
      <c r="AA22" s="18"/>
    </row>
    <row r="23" spans="1:27" x14ac:dyDescent="0.25">
      <c r="A23" s="6" t="s">
        <v>188</v>
      </c>
      <c r="B23" s="6" t="s">
        <v>189</v>
      </c>
      <c r="C23" s="19">
        <f>_xll.BDH("SRPT US Equity","DILUTED_MKT_CAP","FQ3 2019","FQ3 2019","Currency=USD","Period=FQ","BEST_FPERIOD_OVERRIDE=FQ","FILING_STATUS=MR","SCALING_FORMAT=MLN","Sort=A","Dates=H","DateFormat=P","Fill=—","Direction=H","UseDPDF=Y")</f>
        <v>5587.0115999999998</v>
      </c>
      <c r="D23" s="19">
        <f>_xll.BDH("SRPT US Equity","DILUTED_MKT_CAP","FQ4 2019","FQ4 2019","Currency=USD","Period=FQ","BEST_FPERIOD_OVERRIDE=FQ","FILING_STATUS=MR","SCALING_FORMAT=MLN","Sort=A","Dates=H","DateFormat=P","Fill=—","Direction=H","UseDPDF=Y")</f>
        <v>9620.8353000000006</v>
      </c>
      <c r="E23" s="19">
        <f>_xll.BDH("SRPT US Equity","DILUTED_MKT_CAP","FQ1 2020","FQ1 2020","Currency=USD","Period=FQ","BEST_FPERIOD_OVERRIDE=FQ","FILING_STATUS=MR","SCALING_FORMAT=MLN","Sort=A","Dates=H","DateFormat=P","Fill=—","Direction=H","UseDPDF=Y")</f>
        <v>7476.5781999999999</v>
      </c>
      <c r="F23" s="19">
        <f>_xll.BDH("SRPT US Equity","DILUTED_MKT_CAP","FQ2 2020","FQ2 2020","Currency=USD","Period=FQ","BEST_FPERIOD_OVERRIDE=FQ","FILING_STATUS=MR","SCALING_FORMAT=MLN","Sort=A","Dates=H","DateFormat=P","Fill=—","Direction=H","UseDPDF=Y")</f>
        <v>12501.3891</v>
      </c>
      <c r="G23" s="19">
        <f>_xll.BDH("SRPT US Equity","DILUTED_MKT_CAP","FQ3 2020","FQ3 2020","Currency=USD","Period=FQ","BEST_FPERIOD_OVERRIDE=FQ","FILING_STATUS=MR","SCALING_FORMAT=MLN","Sort=A","Dates=H","DateFormat=P","Fill=—","Direction=H","UseDPDF=Y")</f>
        <v>11023.895399999999</v>
      </c>
      <c r="H23" s="19">
        <f>_xll.BDH("SRPT US Equity","DILUTED_MKT_CAP","FQ4 2020","FQ4 2020","Currency=USD","Period=FQ","BEST_FPERIOD_OVERRIDE=FQ","FILING_STATUS=MR","SCALING_FORMAT=MLN","Sort=A","Dates=H","DateFormat=P","Fill=—","Direction=H","UseDPDF=Y")</f>
        <v>13452.513499999999</v>
      </c>
      <c r="I23" s="19">
        <f>_xll.BDH("SRPT US Equity","DILUTED_MKT_CAP","FQ1 2021","FQ1 2021","Currency=USD","Period=FQ","BEST_FPERIOD_OVERRIDE=FQ","FILING_STATUS=MR","SCALING_FORMAT=MLN","Sort=A","Dates=H","DateFormat=P","Fill=—","Direction=H","UseDPDF=Y")</f>
        <v>5921.7066000000004</v>
      </c>
      <c r="J23" s="19">
        <f>_xll.BDH("SRPT US Equity","DILUTED_MKT_CAP","FQ2 2021","FQ2 2021","Currency=USD","Period=FQ","BEST_FPERIOD_OVERRIDE=FQ","FILING_STATUS=MR","SCALING_FORMAT=MLN","Sort=A","Dates=H","DateFormat=P","Fill=—","Direction=H","UseDPDF=Y")</f>
        <v>6199.4539999999997</v>
      </c>
      <c r="K23" s="19">
        <f>_xll.BDH("SRPT US Equity","DILUTED_MKT_CAP","FQ3 2021","FQ3 2021","Currency=USD","Period=FQ","BEST_FPERIOD_OVERRIDE=FQ","FILING_STATUS=MR","SCALING_FORMAT=MLN","Sort=A","Dates=H","DateFormat=P","Fill=—","Direction=H","UseDPDF=Y")</f>
        <v>7387.3023999999996</v>
      </c>
      <c r="L23" s="19">
        <f>_xll.BDH("SRPT US Equity","DILUTED_MKT_CAP","FQ4 2021","FQ4 2021","Currency=USD","Period=FQ","BEST_FPERIOD_OVERRIDE=FQ","FILING_STATUS=MR","SCALING_FORMAT=MLN","Sort=A","Dates=H","DateFormat=P","Fill=—","Direction=H","UseDPDF=Y")</f>
        <v>7739.8876</v>
      </c>
      <c r="M23" s="19">
        <f>_xll.BDH("SRPT US Equity","DILUTED_MKT_CAP","FQ1 2022","FQ1 2022","Currency=USD","Period=FQ","BEST_FPERIOD_OVERRIDE=FQ","FILING_STATUS=MR","SCALING_FORMAT=MLN","Sort=A","Dates=H","DateFormat=P","Fill=—","Direction=H","UseDPDF=Y")</f>
        <v>6816.2043999999996</v>
      </c>
      <c r="N23" s="19">
        <f>_xll.BDH("SRPT US Equity","DILUTED_MKT_CAP","FQ2 2022","FQ2 2022","Currency=USD","Period=FQ","BEST_FPERIOD_OVERRIDE=FQ","FILING_STATUS=MR","SCALING_FORMAT=MLN","Sort=A","Dates=H","DateFormat=P","Fill=—","Direction=H","UseDPDF=Y")</f>
        <v>6559.8245999999999</v>
      </c>
      <c r="O23" s="19">
        <f>_xll.BDH("SRPT US Equity","DILUTED_MKT_CAP","FQ3 2022","FQ3 2022","Currency=USD","Period=FQ","BEST_FPERIOD_OVERRIDE=FQ","FILING_STATUS=MR","SCALING_FORMAT=MLN","Sort=A","Dates=H","DateFormat=P","Fill=—","Direction=H","UseDPDF=Y")</f>
        <v>9686.3991000000005</v>
      </c>
      <c r="P23" s="19">
        <f>_xll.BDH("SRPT US Equity","DILUTED_MKT_CAP","FQ4 2022","FQ4 2022","Currency=USD","Period=FQ","BEST_FPERIOD_OVERRIDE=FQ","FILING_STATUS=MR","SCALING_FORMAT=MLN","Sort=A","Dates=H","DateFormat=P","Fill=—","Direction=H","UseDPDF=Y")</f>
        <v>11382.048000000001</v>
      </c>
      <c r="Q23" s="19">
        <f>_xll.BDH("SRPT US Equity","DILUTED_MKT_CAP","FQ1 2023","FQ1 2023","Currency=USD","Period=FQ","BEST_FPERIOD_OVERRIDE=FQ","FILING_STATUS=MR","SCALING_FORMAT=MLN","Sort=A","Dates=H","DateFormat=P","Fill=—","Direction=H","UseDPDF=Y")</f>
        <v>12154.6764</v>
      </c>
      <c r="R23" s="19">
        <f>_xll.BDH("SRPT US Equity","DILUTED_MKT_CAP","FQ2 2023","FQ2 2023","Currency=USD","Period=FQ","BEST_FPERIOD_OVERRIDE=FQ","FILING_STATUS=MR","SCALING_FORMAT=MLN","Sort=A","Dates=H","DateFormat=P","Fill=—","Direction=H","UseDPDF=Y")</f>
        <v>10162.848400000001</v>
      </c>
      <c r="S23" s="19">
        <f>_xll.BDH("SRPT US Equity","DILUTED_MKT_CAP","FQ3 2023","FQ3 2023","Currency=USD","Period=FQ","BEST_FPERIOD_OVERRIDE=FQ","FILING_STATUS=MR","SCALING_FORMAT=MLN","Sort=A","Dates=H","DateFormat=P","Fill=—","Direction=H","UseDPDF=Y")</f>
        <v>10775.124599999999</v>
      </c>
      <c r="T23" s="19">
        <f>_xll.BDH("SRPT US Equity","DILUTED_MKT_CAP","FQ4 2023","FQ4 2023","Currency=USD","Period=FQ","BEST_FPERIOD_OVERRIDE=FQ","FILING_STATUS=MR","SCALING_FORMAT=MLN","Sort=A","Dates=H","DateFormat=P","Fill=—","Direction=H","UseDPDF=Y")</f>
        <v>10182.429400000001</v>
      </c>
      <c r="U23" s="19">
        <f>_xll.BDH("SRPT US Equity","DILUTED_MKT_CAP","FQ1 2024","FQ1 2024","Currency=USD","Period=FQ","BEST_FPERIOD_OVERRIDE=FQ","FILING_STATUS=MR","SCALING_FORMAT=MLN","Sort=A","Dates=H","DateFormat=P","Fill=—","Direction=H","UseDPDF=Y")</f>
        <v>12831.2984</v>
      </c>
      <c r="V23" s="19">
        <f>_xll.BDH("SRPT US Equity","DILUTED_MKT_CAP","FQ2 2024","FQ2 2024","Currency=USD","Period=FQ","BEST_FPERIOD_OVERRIDE=FQ","FILING_STATUS=MR","SCALING_FORMAT=MLN","Sort=A","Dates=H","DateFormat=P","Fill=—","Direction=H","UseDPDF=Y")</f>
        <v>15664.752</v>
      </c>
      <c r="W23" s="19">
        <f>_xll.BDH("SRPT US Equity","DILUTED_MKT_CAP","FQ3 2024","FQ3 2024","Currency=USD","Period=FQ","BEST_FPERIOD_OVERRIDE=FQ","FILING_STATUS=MR","SCALING_FORMAT=MLN","Sort=A","Dates=H","DateFormat=P","Fill=—","Direction=H","UseDPDF=Y")</f>
        <v>12544.950699999999</v>
      </c>
      <c r="X23" s="19">
        <f>_xll.BDH("SRPT US Equity","DILUTED_MKT_CAP","FQ4 2024","FQ4 2024","Currency=USD","Period=FQ","BEST_FPERIOD_OVERRIDE=FQ","FILING_STATUS=MR","SCALING_FORMAT=MLN","Sort=A","Dates=H","DateFormat=P","Fill=—","Direction=H","UseDPDF=Y")</f>
        <v>13189.3537</v>
      </c>
      <c r="Y23" s="22">
        <v>7635.21334396362</v>
      </c>
      <c r="Z23" s="19"/>
      <c r="AA23" s="19"/>
    </row>
    <row r="24" spans="1:27" x14ac:dyDescent="0.25">
      <c r="A24" s="6" t="s">
        <v>190</v>
      </c>
      <c r="B24" s="6" t="s">
        <v>191</v>
      </c>
      <c r="C24" s="19">
        <f>_xll.BDH("SRPT US Equity","DILUTED_EV","FQ3 2019","FQ3 2019","Currency=USD","Period=FQ","BEST_FPERIOD_OVERRIDE=FQ","FILING_STATUS=MR","SCALING_FORMAT=MLN","Sort=A","Dates=H","DateFormat=P","Fill=—","Direction=H","UseDPDF=Y")</f>
        <v>5031.8775999999998</v>
      </c>
      <c r="D24" s="19">
        <f>_xll.BDH("SRPT US Equity","DILUTED_EV","FQ4 2019","FQ4 2019","Currency=USD","Period=FQ","BEST_FPERIOD_OVERRIDE=FQ","FILING_STATUS=MR","SCALING_FORMAT=MLN","Sort=A","Dates=H","DateFormat=P","Fill=—","Direction=H","UseDPDF=Y")</f>
        <v>9233.5532999999996</v>
      </c>
      <c r="E24" s="19">
        <f>_xll.BDH("SRPT US Equity","DILUTED_EV","FQ1 2020","FQ1 2020","Currency=USD","Period=FQ","BEST_FPERIOD_OVERRIDE=FQ","FILING_STATUS=MR","SCALING_FORMAT=MLN","Sort=A","Dates=H","DateFormat=P","Fill=—","Direction=H","UseDPDF=Y")</f>
        <v>6049.0762000000004</v>
      </c>
      <c r="F24" s="19">
        <f>_xll.BDH("SRPT US Equity","DILUTED_EV","FQ2 2020","FQ2 2020","Currency=USD","Period=FQ","BEST_FPERIOD_OVERRIDE=FQ","FILING_STATUS=MR","SCALING_FORMAT=MLN","Sort=A","Dates=H","DateFormat=P","Fill=—","Direction=H","UseDPDF=Y")</f>
        <v>11197.072099999999</v>
      </c>
      <c r="G24" s="19">
        <f>_xll.BDH("SRPT US Equity","DILUTED_EV","FQ3 2020","FQ3 2020","Currency=USD","Period=FQ","BEST_FPERIOD_OVERRIDE=FQ","FILING_STATUS=MR","SCALING_FORMAT=MLN","Sort=A","Dates=H","DateFormat=P","Fill=—","Direction=H","UseDPDF=Y")</f>
        <v>9966.9243999999999</v>
      </c>
      <c r="H24" s="19">
        <f>_xll.BDH("SRPT US Equity","DILUTED_EV","FQ4 2020","FQ4 2020","Currency=USD","Period=FQ","BEST_FPERIOD_OVERRIDE=FQ","FILING_STATUS=MR","SCALING_FORMAT=MLN","Sort=A","Dates=H","DateFormat=P","Fill=—","Direction=H","UseDPDF=Y")</f>
        <v>12598.4175</v>
      </c>
      <c r="I24" s="19">
        <f>_xll.BDH("SRPT US Equity","DILUTED_EV","FQ1 2021","FQ1 2021","Currency=USD","Period=FQ","BEST_FPERIOD_OVERRIDE=FQ","FILING_STATUS=MR","SCALING_FORMAT=MLN","Sort=A","Dates=H","DateFormat=P","Fill=—","Direction=H","UseDPDF=Y")</f>
        <v>5326.3436000000002</v>
      </c>
      <c r="J24" s="19">
        <f>_xll.BDH("SRPT US Equity","DILUTED_EV","FQ2 2021","FQ2 2021","Currency=USD","Period=FQ","BEST_FPERIOD_OVERRIDE=FQ","FILING_STATUS=MR","SCALING_FORMAT=MLN","Sort=A","Dates=H","DateFormat=P","Fill=—","Direction=H","UseDPDF=Y")</f>
        <v>5621.134</v>
      </c>
      <c r="K24" s="19">
        <f>_xll.BDH("SRPT US Equity","DILUTED_EV","FQ3 2021","FQ3 2021","Currency=USD","Period=FQ","BEST_FPERIOD_OVERRIDE=FQ","FILING_STATUS=MR","SCALING_FORMAT=MLN","Sort=A","Dates=H","DateFormat=P","Fill=—","Direction=H","UseDPDF=Y")</f>
        <v>6937.2143999999998</v>
      </c>
      <c r="L24" s="19">
        <f>_xll.BDH("SRPT US Equity","DILUTED_EV","FQ4 2021","FQ4 2021","Currency=USD","Period=FQ","BEST_FPERIOD_OVERRIDE=FQ","FILING_STATUS=MR","SCALING_FORMAT=MLN","Sort=A","Dates=H","DateFormat=P","Fill=—","Direction=H","UseDPDF=Y")</f>
        <v>6767.5514999999996</v>
      </c>
      <c r="M24" s="19">
        <f>_xll.BDH("SRPT US Equity","DILUTED_EV","FQ1 2022","FQ1 2022","Currency=USD","Period=FQ","BEST_FPERIOD_OVERRIDE=FQ","FILING_STATUS=MR","SCALING_FORMAT=MLN","Sort=A","Dates=H","DateFormat=P","Fill=—","Direction=H","UseDPDF=Y")</f>
        <v>5930.5924000000005</v>
      </c>
      <c r="N24" s="19">
        <f>_xll.BDH("SRPT US Equity","DILUTED_EV","FQ2 2022","FQ2 2022","Currency=USD","Period=FQ","BEST_FPERIOD_OVERRIDE=FQ","FILING_STATUS=MR","SCALING_FORMAT=MLN","Sort=A","Dates=H","DateFormat=P","Fill=—","Direction=H","UseDPDF=Y")</f>
        <v>5753.5475999999999</v>
      </c>
      <c r="O24" s="19">
        <f>_xll.BDH("SRPT US Equity","DILUTED_EV","FQ3 2022","FQ3 2022","Currency=USD","Period=FQ","BEST_FPERIOD_OVERRIDE=FQ","FILING_STATUS=MR","SCALING_FORMAT=MLN","Sort=A","Dates=H","DateFormat=P","Fill=—","Direction=H","UseDPDF=Y")</f>
        <v>9172.8901000000005</v>
      </c>
      <c r="P24" s="19">
        <f>_xll.BDH("SRPT US Equity","DILUTED_EV","FQ4 2022","FQ4 2022","Currency=USD","Period=FQ","BEST_FPERIOD_OVERRIDE=FQ","FILING_STATUS=MR","SCALING_FORMAT=MLN","Sort=A","Dates=H","DateFormat=P","Fill=—","Direction=H","UseDPDF=Y")</f>
        <v>10991.009</v>
      </c>
      <c r="Q24" s="19">
        <f>_xll.BDH("SRPT US Equity","DILUTED_EV","FQ1 2023","FQ1 2023","Currency=USD","Period=FQ","BEST_FPERIOD_OVERRIDE=FQ","FILING_STATUS=MR","SCALING_FORMAT=MLN","Sort=A","Dates=H","DateFormat=P","Fill=—","Direction=H","UseDPDF=Y")</f>
        <v>11541.770399999999</v>
      </c>
      <c r="R24" s="19">
        <f>_xll.BDH("SRPT US Equity","DILUTED_EV","FQ2 2023","FQ2 2023","Currency=USD","Period=FQ","BEST_FPERIOD_OVERRIDE=FQ","FILING_STATUS=MR","SCALING_FORMAT=MLN","Sort=A","Dates=H","DateFormat=P","Fill=—","Direction=H","UseDPDF=Y")</f>
        <v>9647.7963999999993</v>
      </c>
      <c r="S24" s="19">
        <f>_xll.BDH("SRPT US Equity","DILUTED_EV","FQ3 2023","FQ3 2023","Currency=USD","Period=FQ","BEST_FPERIOD_OVERRIDE=FQ","FILING_STATUS=MR","SCALING_FORMAT=MLN","Sort=A","Dates=H","DateFormat=P","Fill=—","Direction=H","UseDPDF=Y")</f>
        <v>10423.5406</v>
      </c>
      <c r="T24" s="19">
        <f>_xll.BDH("SRPT US Equity","DILUTED_EV","FQ4 2023","FQ4 2023","Currency=USD","Period=FQ","BEST_FPERIOD_OVERRIDE=FQ","FILING_STATUS=MR","SCALING_FORMAT=MLN","Sort=A","Dates=H","DateFormat=P","Fill=—","Direction=H","UseDPDF=Y")</f>
        <v>9908.9501999999993</v>
      </c>
      <c r="U24" s="19">
        <f>_xll.BDH("SRPT US Equity","DILUTED_EV","FQ1 2024","FQ1 2024","Currency=USD","Period=FQ","BEST_FPERIOD_OVERRIDE=FQ","FILING_STATUS=MR","SCALING_FORMAT=MLN","Sort=A","Dates=H","DateFormat=P","Fill=—","Direction=H","UseDPDF=Y")</f>
        <v>12872.467500000001</v>
      </c>
      <c r="V24" s="19">
        <f>_xll.BDH("SRPT US Equity","DILUTED_EV","FQ2 2024","FQ2 2024","Currency=USD","Period=FQ","BEST_FPERIOD_OVERRIDE=FQ","FILING_STATUS=MR","SCALING_FORMAT=MLN","Sort=A","Dates=H","DateFormat=P","Fill=—","Direction=H","UseDPDF=Y")</f>
        <v>15668.644700000001</v>
      </c>
      <c r="W24" s="19">
        <f>_xll.BDH("SRPT US Equity","DILUTED_EV","FQ3 2024","FQ3 2024","Currency=USD","Period=FQ","BEST_FPERIOD_OVERRIDE=FQ","FILING_STATUS=MR","SCALING_FORMAT=MLN","Sort=A","Dates=H","DateFormat=P","Fill=—","Direction=H","UseDPDF=Y")</f>
        <v>12752.954100000001</v>
      </c>
      <c r="X24" s="19">
        <f>_xll.BDH("SRPT US Equity","DILUTED_EV","FQ4 2024","FQ4 2024","Currency=USD","Period=FQ","BEST_FPERIOD_OVERRIDE=FQ","FILING_STATUS=MR","SCALING_FORMAT=MLN","Sort=A","Dates=H","DateFormat=P","Fill=—","Direction=H","UseDPDF=Y")</f>
        <v>13258.5095</v>
      </c>
      <c r="Y24" s="22">
        <v>7668.74859362394</v>
      </c>
      <c r="Z24" s="19"/>
      <c r="AA24" s="19"/>
    </row>
    <row r="25" spans="1:27" x14ac:dyDescent="0.25">
      <c r="A25" s="6" t="s">
        <v>192</v>
      </c>
      <c r="B25" s="6" t="s">
        <v>193</v>
      </c>
      <c r="C25" s="20">
        <f>_xll.BDH("SRPT US Equity","EV_TO_SH_OUT","FQ3 2019","FQ3 2019","Currency=USD","Period=FQ","BEST_FPERIOD_OVERRIDE=FQ","FILING_STATUS=MR","Sort=A","Dates=H","DateFormat=P","Fill=—","Direction=H","UseDPDF=Y")</f>
        <v>67.869</v>
      </c>
      <c r="D25" s="20">
        <f>_xll.BDH("SRPT US Equity","EV_TO_SH_OUT","FQ4 2019","FQ4 2019","Currency=USD","Period=FQ","BEST_FPERIOD_OVERRIDE=FQ","FILING_STATUS=MR","Sort=A","Dates=H","DateFormat=P","Fill=—","Direction=H","UseDPDF=Y")</f>
        <v>123.88890000000001</v>
      </c>
      <c r="E25" s="20">
        <f>_xll.BDH("SRPT US Equity","EV_TO_SH_OUT","FQ1 2020","FQ1 2020","Currency=USD","Period=FQ","BEST_FPERIOD_OVERRIDE=FQ","FILING_STATUS=MR","Sort=A","Dates=H","DateFormat=P","Fill=—","Direction=H","UseDPDF=Y")</f>
        <v>79.508799999999994</v>
      </c>
      <c r="F25" s="20">
        <f>_xll.BDH("SRPT US Equity","EV_TO_SH_OUT","FQ2 2020","FQ2 2020","Currency=USD","Period=FQ","BEST_FPERIOD_OVERRIDE=FQ","FILING_STATUS=MR","Sort=A","Dates=H","DateFormat=P","Fill=—","Direction=H","UseDPDF=Y")</f>
        <v>143.71010000000001</v>
      </c>
      <c r="G25" s="20">
        <f>_xll.BDH("SRPT US Equity","EV_TO_SH_OUT","FQ3 2020","FQ3 2020","Currency=USD","Period=FQ","BEST_FPERIOD_OVERRIDE=FQ","FILING_STATUS=MR","Sort=A","Dates=H","DateFormat=P","Fill=—","Direction=H","UseDPDF=Y")</f>
        <v>127.0149</v>
      </c>
      <c r="H25" s="20">
        <f>_xll.BDH("SRPT US Equity","EV_TO_SH_OUT","FQ4 2020","FQ4 2020","Currency=USD","Period=FQ","BEST_FPERIOD_OVERRIDE=FQ","FILING_STATUS=MR","Sort=A","Dates=H","DateFormat=P","Fill=—","Direction=H","UseDPDF=Y")</f>
        <v>159.7296</v>
      </c>
      <c r="I25" s="20">
        <f>_xll.BDH("SRPT US Equity","EV_TO_SH_OUT","FQ1 2021","FQ1 2021","Currency=USD","Period=FQ","BEST_FPERIOD_OVERRIDE=FQ","FILING_STATUS=MR","Sort=A","Dates=H","DateFormat=P","Fill=—","Direction=H","UseDPDF=Y")</f>
        <v>67.064499999999995</v>
      </c>
      <c r="J25" s="20">
        <f>_xll.BDH("SRPT US Equity","EV_TO_SH_OUT","FQ2 2021","FQ2 2021","Currency=USD","Period=FQ","BEST_FPERIOD_OVERRIDE=FQ","FILING_STATUS=MR","Sort=A","Dates=H","DateFormat=P","Fill=—","Direction=H","UseDPDF=Y")</f>
        <v>70.495599999999996</v>
      </c>
      <c r="K25" s="20">
        <f>_xll.BDH("SRPT US Equity","EV_TO_SH_OUT","FQ3 2021","FQ3 2021","Currency=USD","Period=FQ","BEST_FPERIOD_OVERRIDE=FQ","FILING_STATUS=MR","Sort=A","Dates=H","DateFormat=P","Fill=—","Direction=H","UseDPDF=Y")</f>
        <v>86.850999999999999</v>
      </c>
      <c r="L25" s="20">
        <f>_xll.BDH("SRPT US Equity","EV_TO_SH_OUT","FQ4 2021","FQ4 2021","Currency=USD","Period=FQ","BEST_FPERIOD_OVERRIDE=FQ","FILING_STATUS=MR","Sort=A","Dates=H","DateFormat=P","Fill=—","Direction=H","UseDPDF=Y")</f>
        <v>78.89</v>
      </c>
      <c r="M25" s="20">
        <f>_xll.BDH("SRPT US Equity","EV_TO_SH_OUT","FQ1 2022","FQ1 2022","Currency=USD","Period=FQ","BEST_FPERIOD_OVERRIDE=FQ","FILING_STATUS=MR","Sort=A","Dates=H","DateFormat=P","Fill=—","Direction=H","UseDPDF=Y")</f>
        <v>67.998199999999997</v>
      </c>
      <c r="N25" s="20">
        <f>_xll.BDH("SRPT US Equity","EV_TO_SH_OUT","FQ2 2022","FQ2 2022","Currency=USD","Period=FQ","BEST_FPERIOD_OVERRIDE=FQ","FILING_STATUS=MR","Sort=A","Dates=H","DateFormat=P","Fill=—","Direction=H","UseDPDF=Y")</f>
        <v>65.749099999999999</v>
      </c>
      <c r="O25" s="20">
        <f>_xll.BDH("SRPT US Equity","EV_TO_SH_OUT","FQ3 2022","FQ3 2022","Currency=USD","Period=FQ","BEST_FPERIOD_OVERRIDE=FQ","FILING_STATUS=MR","Sort=A","Dates=H","DateFormat=P","Fill=—","Direction=H","UseDPDF=Y")</f>
        <v>104.6891</v>
      </c>
      <c r="P25" s="20">
        <f>_xll.BDH("SRPT US Equity","EV_TO_SH_OUT","FQ4 2022","FQ4 2022","Currency=USD","Period=FQ","BEST_FPERIOD_OVERRIDE=FQ","FILING_STATUS=MR","Sort=A","Dates=H","DateFormat=P","Fill=—","Direction=H","UseDPDF=Y")</f>
        <v>125.1339</v>
      </c>
      <c r="Q25" s="20">
        <f>_xll.BDH("SRPT US Equity","EV_TO_SH_OUT","FQ1 2023","FQ1 2023","Currency=USD","Period=FQ","BEST_FPERIOD_OVERRIDE=FQ","FILING_STATUS=MR","Sort=A","Dates=H","DateFormat=P","Fill=—","Direction=H","UseDPDF=Y")</f>
        <v>131.24950000000001</v>
      </c>
      <c r="R25" s="20">
        <f>_xll.BDH("SRPT US Equity","EV_TO_SH_OUT","FQ2 2023","FQ2 2023","Currency=USD","Period=FQ","BEST_FPERIOD_OVERRIDE=FQ","FILING_STATUS=MR","Sort=A","Dates=H","DateFormat=P","Fill=—","Direction=H","UseDPDF=Y")</f>
        <v>108.998</v>
      </c>
      <c r="S25" s="20">
        <f>_xll.BDH("SRPT US Equity","EV_TO_SH_OUT","FQ3 2023","FQ3 2023","Currency=USD","Period=FQ","BEST_FPERIOD_OVERRIDE=FQ","FILING_STATUS=MR","Sort=A","Dates=H","DateFormat=P","Fill=—","Direction=H","UseDPDF=Y")</f>
        <v>117.46120000000001</v>
      </c>
      <c r="T25" s="20">
        <f>_xll.BDH("SRPT US Equity","EV_TO_SH_OUT","FQ4 2023","FQ4 2023","Currency=USD","Period=FQ","BEST_FPERIOD_OVERRIDE=FQ","FILING_STATUS=MR","Sort=A","Dates=H","DateFormat=P","Fill=—","Direction=H","UseDPDF=Y")</f>
        <v>93.379099999999994</v>
      </c>
      <c r="U25" s="20">
        <f>_xll.BDH("SRPT US Equity","EV_TO_SH_OUT","FQ1 2024","FQ1 2024","Currency=USD","Period=FQ","BEST_FPERIOD_OVERRIDE=FQ","FILING_STATUS=MR","Sort=A","Dates=H","DateFormat=P","Fill=—","Direction=H","UseDPDF=Y")</f>
        <v>129.17449999999999</v>
      </c>
      <c r="V25" s="20">
        <f>_xll.BDH("SRPT US Equity","EV_TO_SH_OUT","FQ2 2024","FQ2 2024","Currency=USD","Period=FQ","BEST_FPERIOD_OVERRIDE=FQ","FILING_STATUS=MR","Sort=A","Dates=H","DateFormat=P","Fill=—","Direction=H","UseDPDF=Y")</f>
        <v>156.8861</v>
      </c>
      <c r="W25" s="20">
        <f>_xll.BDH("SRPT US Equity","EV_TO_SH_OUT","FQ3 2024","FQ3 2024","Currency=USD","Period=FQ","BEST_FPERIOD_OVERRIDE=FQ","FILING_STATUS=MR","Sort=A","Dates=H","DateFormat=P","Fill=—","Direction=H","UseDPDF=Y")</f>
        <v>126.9263</v>
      </c>
      <c r="X25" s="20">
        <f>_xll.BDH("SRPT US Equity","EV_TO_SH_OUT","FQ4 2024","FQ4 2024","Currency=USD","Period=FQ","BEST_FPERIOD_OVERRIDE=FQ","FILING_STATUS=MR","Sort=A","Dates=H","DateFormat=P","Fill=—","Direction=H","UseDPDF=Y")</f>
        <v>121.4307</v>
      </c>
      <c r="Y25" s="23">
        <v>121.430743849237</v>
      </c>
      <c r="Z25" s="20"/>
      <c r="AA25" s="20"/>
    </row>
    <row r="26" spans="1:27" x14ac:dyDescent="0.25">
      <c r="A26" s="6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21"/>
      <c r="Z26" s="18"/>
      <c r="AA26" s="18"/>
    </row>
    <row r="27" spans="1:27" x14ac:dyDescent="0.25">
      <c r="A27" s="6" t="s">
        <v>4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21"/>
      <c r="Z27" s="18"/>
      <c r="AA27" s="18"/>
    </row>
    <row r="28" spans="1:27" x14ac:dyDescent="0.25">
      <c r="A28" s="11" t="s">
        <v>194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7"/>
      <c r="Z28" s="24"/>
      <c r="AA28" s="24"/>
    </row>
    <row r="29" spans="1:27" x14ac:dyDescent="0.25">
      <c r="A29" s="10" t="s">
        <v>195</v>
      </c>
      <c r="B29" s="10" t="s">
        <v>196</v>
      </c>
      <c r="C29" s="12" t="s">
        <v>197</v>
      </c>
      <c r="D29" s="12" t="s">
        <v>197</v>
      </c>
      <c r="E29" s="12" t="s">
        <v>197</v>
      </c>
      <c r="F29" s="12" t="s">
        <v>197</v>
      </c>
      <c r="G29" s="12" t="s">
        <v>197</v>
      </c>
      <c r="H29" s="12" t="s">
        <v>197</v>
      </c>
      <c r="I29" s="12" t="s">
        <v>197</v>
      </c>
      <c r="J29" s="12" t="s">
        <v>197</v>
      </c>
      <c r="K29" s="12" t="s">
        <v>197</v>
      </c>
      <c r="L29" s="12" t="s">
        <v>197</v>
      </c>
      <c r="M29" s="12" t="s">
        <v>197</v>
      </c>
      <c r="N29" s="12" t="s">
        <v>197</v>
      </c>
      <c r="O29" s="12" t="s">
        <v>197</v>
      </c>
      <c r="P29" s="12" t="s">
        <v>197</v>
      </c>
      <c r="Q29" s="12" t="s">
        <v>197</v>
      </c>
      <c r="R29" s="12" t="s">
        <v>197</v>
      </c>
      <c r="S29" s="12" t="s">
        <v>197</v>
      </c>
      <c r="T29" s="12" t="s">
        <v>197</v>
      </c>
      <c r="U29" s="12" t="s">
        <v>197</v>
      </c>
      <c r="V29" s="12" t="s">
        <v>197</v>
      </c>
      <c r="W29" s="12" t="s">
        <v>197</v>
      </c>
      <c r="X29" s="12" t="s">
        <v>197</v>
      </c>
      <c r="Y29" s="15" t="s">
        <v>197</v>
      </c>
      <c r="Z29" s="12"/>
      <c r="AA29" s="12"/>
    </row>
    <row r="30" spans="1:27" x14ac:dyDescent="0.25">
      <c r="A30" s="10" t="s">
        <v>198</v>
      </c>
      <c r="B30" s="10" t="s">
        <v>199</v>
      </c>
      <c r="C30" s="13">
        <f>_xll.BDH("SRPT US Equity","TRAIL_12M_NET_SALES","FQ3 2019","FQ3 2019","Currency=USD","Period=FQ","BEST_FPERIOD_OVERRIDE=FQ","FILING_STATUS=MR","SCALING_FORMAT=MLN","FA_ADJUSTED=GAAP","Sort=A","Dates=H","DateFormat=P","Fill=—","Direction=H","UseDPDF=Y")</f>
        <v>365.13499999999999</v>
      </c>
      <c r="D30" s="13">
        <f>_xll.BDH("SRPT US Equity","TRAIL_12M_NET_SALES","FQ4 2019","FQ4 2019","Currency=USD","Period=FQ","BEST_FPERIOD_OVERRIDE=FQ","FILING_STATUS=MR","SCALING_FORMAT=MLN","FA_ADJUSTED=GAAP","Sort=A","Dates=H","DateFormat=P","Fill=—","Direction=H","UseDPDF=Y")</f>
        <v>380.83300000000003</v>
      </c>
      <c r="E30" s="13">
        <f>_xll.BDH("SRPT US Equity","TRAIL_12M_NET_SALES","FQ1 2020","FQ1 2020","Currency=USD","Period=FQ","BEST_FPERIOD_OVERRIDE=FQ","FILING_STATUS=MR","SCALING_FORMAT=MLN","FA_ADJUSTED=GAAP","Sort=A","Dates=H","DateFormat=P","Fill=—","Direction=H","UseDPDF=Y")</f>
        <v>407.49599999999998</v>
      </c>
      <c r="F30" s="13">
        <f>_xll.BDH("SRPT US Equity","TRAIL_12M_NET_SALES","FQ2 2020","FQ2 2020","Currency=USD","Period=FQ","BEST_FPERIOD_OVERRIDE=FQ","FILING_STATUS=MR","SCALING_FORMAT=MLN","FA_ADJUSTED=GAAP","Sort=A","Dates=H","DateFormat=P","Fill=—","Direction=H","UseDPDF=Y")</f>
        <v>450.19099999999997</v>
      </c>
      <c r="G30" s="13">
        <f>_xll.BDH("SRPT US Equity","TRAIL_12M_NET_SALES","FQ3 2020","FQ3 2020","Currency=USD","Period=FQ","BEST_FPERIOD_OVERRIDE=FQ","FILING_STATUS=MR","SCALING_FORMAT=MLN","FA_ADJUSTED=GAAP","Sort=A","Dates=H","DateFormat=P","Fill=—","Direction=H","UseDPDF=Y")</f>
        <v>495.07400000000001</v>
      </c>
      <c r="H30" s="13">
        <f>_xll.BDH("SRPT US Equity","TRAIL_12M_NET_SALES","FQ4 2020","FQ4 2020","Currency=USD","Period=FQ","BEST_FPERIOD_OVERRIDE=FQ","FILING_STATUS=MR","SCALING_FORMAT=MLN","FA_ADJUSTED=GAAP","Sort=A","Dates=H","DateFormat=P","Fill=—","Direction=H","UseDPDF=Y")</f>
        <v>540.09900000000005</v>
      </c>
      <c r="I30" s="13">
        <f>_xll.BDH("SRPT US Equity","TRAIL_12M_NET_SALES","FQ1 2021","FQ1 2021","Currency=USD","Period=FQ","BEST_FPERIOD_OVERRIDE=FQ","FILING_STATUS=MR","SCALING_FORMAT=MLN","FA_ADJUSTED=GAAP","Sort=A","Dates=H","DateFormat=P","Fill=—","Direction=H","UseDPDF=Y")</f>
        <v>573.35599999999999</v>
      </c>
      <c r="J30" s="13">
        <f>_xll.BDH("SRPT US Equity","TRAIL_12M_NET_SALES","FQ2 2021","FQ2 2021","Currency=USD","Period=FQ","BEST_FPERIOD_OVERRIDE=FQ","FILING_STATUS=MR","SCALING_FORMAT=MLN","FA_ADJUSTED=GAAP","Sort=A","Dates=H","DateFormat=P","Fill=—","Direction=H","UseDPDF=Y")</f>
        <v>600.08199999999999</v>
      </c>
      <c r="K30" s="13">
        <f>_xll.BDH("SRPT US Equity","TRAIL_12M_NET_SALES","FQ3 2021","FQ3 2021","Currency=USD","Period=FQ","BEST_FPERIOD_OVERRIDE=FQ","FILING_STATUS=MR","SCALING_FORMAT=MLN","FA_ADJUSTED=GAAP","Sort=A","Dates=H","DateFormat=P","Fill=—","Direction=H","UseDPDF=Y")</f>
        <v>645.56399999999996</v>
      </c>
      <c r="L30" s="13">
        <f>_xll.BDH("SRPT US Equity","TRAIL_12M_NET_SALES","FQ4 2021","FQ4 2021","Currency=USD","Period=FQ","BEST_FPERIOD_OVERRIDE=FQ","FILING_STATUS=MR","SCALING_FORMAT=MLN","FA_ADJUSTED=GAAP","Sort=A","Dates=H","DateFormat=P","Fill=—","Direction=H","UseDPDF=Y")</f>
        <v>701.88699999999994</v>
      </c>
      <c r="M30" s="13">
        <f>_xll.BDH("SRPT US Equity","TRAIL_12M_NET_SALES","FQ1 2022","FQ1 2022","Currency=USD","Period=FQ","BEST_FPERIOD_OVERRIDE=FQ","FILING_STATUS=MR","SCALING_FORMAT=MLN","FA_ADJUSTED=GAAP","Sort=A","Dates=H","DateFormat=P","Fill=—","Direction=H","UseDPDF=Y")</f>
        <v>765.78599999999994</v>
      </c>
      <c r="N30" s="13">
        <f>_xll.BDH("SRPT US Equity","TRAIL_12M_NET_SALES","FQ2 2022","FQ2 2022","Currency=USD","Period=FQ","BEST_FPERIOD_OVERRIDE=FQ","FILING_STATUS=MR","SCALING_FORMAT=MLN","FA_ADJUSTED=GAAP","Sort=A","Dates=H","DateFormat=P","Fill=—","Direction=H","UseDPDF=Y")</f>
        <v>835.18399999999997</v>
      </c>
      <c r="O30" s="13">
        <f>_xll.BDH("SRPT US Equity","TRAIL_12M_NET_SALES","FQ3 2022","FQ3 2022","Currency=USD","Period=FQ","BEST_FPERIOD_OVERRIDE=FQ","FILING_STATUS=MR","SCALING_FORMAT=MLN","FA_ADJUSTED=GAAP","Sort=A","Dates=H","DateFormat=P","Fill=—","Direction=H","UseDPDF=Y")</f>
        <v>876.04700000000003</v>
      </c>
      <c r="P30" s="13">
        <f>_xll.BDH("SRPT US Equity","TRAIL_12M_NET_SALES","FQ4 2022","FQ4 2022","Currency=USD","Period=FQ","BEST_FPERIOD_OVERRIDE=FQ","FILING_STATUS=MR","SCALING_FORMAT=MLN","FA_ADJUSTED=GAAP","Sort=A","Dates=H","DateFormat=P","Fill=—","Direction=H","UseDPDF=Y")</f>
        <v>933.01300000000003</v>
      </c>
      <c r="Q30" s="13">
        <f>_xll.BDH("SRPT US Equity","TRAIL_12M_NET_SALES","FQ1 2023","FQ1 2023","Currency=USD","Period=FQ","BEST_FPERIOD_OVERRIDE=FQ","FILING_STATUS=MR","SCALING_FORMAT=MLN","FA_ADJUSTED=GAAP","Sort=A","Dates=H","DateFormat=P","Fill=—","Direction=H","UseDPDF=Y")</f>
        <v>975.68299999999999</v>
      </c>
      <c r="R30" s="13">
        <f>_xll.BDH("SRPT US Equity","TRAIL_12M_NET_SALES","FQ2 2023","FQ2 2023","Currency=USD","Period=FQ","BEST_FPERIOD_OVERRIDE=FQ","FILING_STATUS=MR","SCALING_FORMAT=MLN","FA_ADJUSTED=GAAP","Sort=A","Dates=H","DateFormat=P","Fill=—","Direction=H","UseDPDF=Y")</f>
        <v>1003.434</v>
      </c>
      <c r="S30" s="13">
        <f>_xll.BDH("SRPT US Equity","TRAIL_12M_NET_SALES","FQ3 2023","FQ3 2023","Currency=USD","Period=FQ","BEST_FPERIOD_OVERRIDE=FQ","FILING_STATUS=MR","SCALING_FORMAT=MLN","FA_ADJUSTED=GAAP","Sort=A","Dates=H","DateFormat=P","Fill=—","Direction=H","UseDPDF=Y")</f>
        <v>1104.982</v>
      </c>
      <c r="T30" s="13">
        <f>_xll.BDH("SRPT US Equity","TRAIL_12M_NET_SALES","FQ4 2023","FQ4 2023","Currency=USD","Period=FQ","BEST_FPERIOD_OVERRIDE=FQ","FILING_STATUS=MR","SCALING_FORMAT=MLN","FA_ADJUSTED=GAAP","Sort=A","Dates=H","DateFormat=P","Fill=—","Direction=H","UseDPDF=Y")</f>
        <v>1243.336</v>
      </c>
      <c r="U30" s="13">
        <f>_xll.BDH("SRPT US Equity","TRAIL_12M_NET_SALES","FQ1 2024","FQ1 2024","Currency=USD","Period=FQ","BEST_FPERIOD_OVERRIDE=FQ","FILING_STATUS=MR","SCALING_FORMAT=MLN","FA_ADJUSTED=GAAP","Sort=A","Dates=H","DateFormat=P","Fill=—","Direction=H","UseDPDF=Y")</f>
        <v>1403.3</v>
      </c>
      <c r="V30" s="13">
        <f>_xll.BDH("SRPT US Equity","TRAIL_12M_NET_SALES","FQ2 2024","FQ2 2024","Currency=USD","Period=FQ","BEST_FPERIOD_OVERRIDE=FQ","FILING_STATUS=MR","SCALING_FORMAT=MLN","FA_ADJUSTED=GAAP","Sort=A","Dates=H","DateFormat=P","Fill=—","Direction=H","UseDPDF=Y")</f>
        <v>1504.9929999999999</v>
      </c>
      <c r="W30" s="13">
        <f>_xll.BDH("SRPT US Equity","TRAIL_12M_NET_SALES","FQ3 2024","FQ3 2024","Currency=USD","Period=FQ","BEST_FPERIOD_OVERRIDE=FQ","FILING_STATUS=MR","SCALING_FORMAT=MLN","FA_ADJUSTED=GAAP","Sort=A","Dates=H","DateFormat=P","Fill=—","Direction=H","UseDPDF=Y")</f>
        <v>1640.348</v>
      </c>
      <c r="X30" s="13">
        <f>_xll.BDH("SRPT US Equity","TRAIL_12M_NET_SALES","FQ4 2024","FQ4 2024","Currency=USD","Period=FQ","BEST_FPERIOD_OVERRIDE=FQ","FILING_STATUS=MR","SCALING_FORMAT=MLN","FA_ADJUSTED=GAAP","Sort=A","Dates=H","DateFormat=P","Fill=—","Direction=H","UseDPDF=Y")</f>
        <v>1901.979</v>
      </c>
      <c r="Y30" s="16">
        <v>1901.979</v>
      </c>
      <c r="Z30" s="13">
        <v>3162.05</v>
      </c>
      <c r="AA30" s="13">
        <v>3304.35</v>
      </c>
    </row>
    <row r="31" spans="1:27" x14ac:dyDescent="0.25">
      <c r="A31" s="10" t="s">
        <v>78</v>
      </c>
      <c r="B31" s="10" t="s">
        <v>200</v>
      </c>
      <c r="C31" s="13">
        <f>_xll.BDH("SRPT US Equity","TRAIL_12M_EBITDA","FQ3 2019","FQ3 2019","Currency=USD","Period=FQ","BEST_FPERIOD_OVERRIDE=FQ","FILING_STATUS=MR","SCALING_FORMAT=MLN","FA_ADJUSTED=GAAP","Sort=A","Dates=H","DateFormat=P","Fill=—","Direction=H","UseDPDF=Y")</f>
        <v>-581.101</v>
      </c>
      <c r="D31" s="13">
        <f>_xll.BDH("SRPT US Equity","TRAIL_12M_EBITDA","FQ4 2019","FQ4 2019","Currency=USD","Period=FQ","BEST_FPERIOD_OVERRIDE=FQ","FILING_STATUS=MR","SCALING_FORMAT=MLN","FA_ADJUSTED=GAAP","Sort=A","Dates=H","DateFormat=P","Fill=—","Direction=H","UseDPDF=Y")</f>
        <v>-664.68100000000004</v>
      </c>
      <c r="E31" s="13">
        <f>_xll.BDH("SRPT US Equity","TRAIL_12M_EBITDA","FQ1 2020","FQ1 2020","Currency=USD","Period=FQ","BEST_FPERIOD_OVERRIDE=FQ","FILING_STATUS=MR","SCALING_FORMAT=MLN","FA_ADJUSTED=GAAP","Sort=A","Dates=H","DateFormat=P","Fill=—","Direction=H","UseDPDF=Y")</f>
        <v>-707.96299999999997</v>
      </c>
      <c r="F31" s="13">
        <f>_xll.BDH("SRPT US Equity","TRAIL_12M_EBITDA","FQ2 2020","FQ2 2020","Currency=USD","Period=FQ","BEST_FPERIOD_OVERRIDE=FQ","FILING_STATUS=MR","SCALING_FORMAT=MLN","FA_ADJUSTED=GAAP","Sort=A","Dates=H","DateFormat=P","Fill=—","Direction=H","UseDPDF=Y")</f>
        <v>-572.69799999999998</v>
      </c>
      <c r="G31" s="13">
        <f>_xll.BDH("SRPT US Equity","TRAIL_12M_EBITDA","FQ3 2020","FQ3 2020","Currency=USD","Period=FQ","BEST_FPERIOD_OVERRIDE=FQ","FILING_STATUS=MR","SCALING_FORMAT=MLN","FA_ADJUSTED=GAAP","Sort=A","Dates=H","DateFormat=P","Fill=—","Direction=H","UseDPDF=Y")</f>
        <v>-588.24</v>
      </c>
      <c r="H31" s="13">
        <f>_xll.BDH("SRPT US Equity","TRAIL_12M_EBITDA","FQ4 2020","FQ4 2020","Currency=USD","Period=FQ","BEST_FPERIOD_OVERRIDE=FQ","FILING_STATUS=MR","SCALING_FORMAT=MLN","FA_ADJUSTED=GAAP","Sort=A","Dates=H","DateFormat=P","Fill=—","Direction=H","UseDPDF=Y")</f>
        <v>-518.274</v>
      </c>
      <c r="I31" s="13">
        <f>_xll.BDH("SRPT US Equity","TRAIL_12M_EBITDA","FQ1 2021","FQ1 2021","Currency=USD","Period=FQ","BEST_FPERIOD_OVERRIDE=FQ","FILING_STATUS=MR","SCALING_FORMAT=MLN","FA_ADJUSTED=GAAP","Sort=A","Dates=H","DateFormat=P","Fill=—","Direction=H","UseDPDF=Y")</f>
        <v>-550.51199999999994</v>
      </c>
      <c r="J31" s="13">
        <f>_xll.BDH("SRPT US Equity","TRAIL_12M_EBITDA","FQ2 2021","FQ2 2021","Currency=USD","Period=FQ","BEST_FPERIOD_OVERRIDE=FQ","FILING_STATUS=MR","SCALING_FORMAT=MLN","FA_ADJUSTED=GAAP","Sort=A","Dates=H","DateFormat=P","Fill=—","Direction=H","UseDPDF=Y")</f>
        <v>-579.76099999999997</v>
      </c>
      <c r="K31" s="13">
        <f>_xll.BDH("SRPT US Equity","TRAIL_12M_EBITDA","FQ3 2021","FQ3 2021","Currency=USD","Period=FQ","BEST_FPERIOD_OVERRIDE=FQ","FILING_STATUS=MR","SCALING_FORMAT=MLN","FA_ADJUSTED=GAAP","Sort=A","Dates=H","DateFormat=P","Fill=—","Direction=H","UseDPDF=Y")</f>
        <v>-475.47500000000002</v>
      </c>
      <c r="L31" s="13">
        <f>_xll.BDH("SRPT US Equity","TRAIL_12M_EBITDA","FQ4 2021","FQ4 2021","Currency=USD","Period=FQ","BEST_FPERIOD_OVERRIDE=FQ","FILING_STATUS=MR","SCALING_FORMAT=MLN","FA_ADJUSTED=GAAP","Sort=A","Dates=H","DateFormat=P","Fill=—","Direction=H","UseDPDF=Y")</f>
        <v>-421.69299999999998</v>
      </c>
      <c r="M31" s="13">
        <f>_xll.BDH("SRPT US Equity","TRAIL_12M_EBITDA","FQ1 2022","FQ1 2022","Currency=USD","Period=FQ","BEST_FPERIOD_OVERRIDE=FQ","FILING_STATUS=MR","SCALING_FORMAT=MLN","FA_ADJUSTED=GAAP","Sort=A","Dates=H","DateFormat=P","Fill=—","Direction=H","UseDPDF=Y")</f>
        <v>-354.92</v>
      </c>
      <c r="N31" s="13">
        <f>_xll.BDH("SRPT US Equity","TRAIL_12M_EBITDA","FQ2 2022","FQ2 2022","Currency=USD","Period=FQ","BEST_FPERIOD_OVERRIDE=FQ","FILING_STATUS=MR","SCALING_FORMAT=MLN","FA_ADJUSTED=GAAP","Sort=A","Dates=H","DateFormat=P","Fill=—","Direction=H","UseDPDF=Y")</f>
        <v>-397.036</v>
      </c>
      <c r="O31" s="13">
        <f>_xll.BDH("SRPT US Equity","TRAIL_12M_EBITDA","FQ3 2022","FQ3 2022","Currency=USD","Period=FQ","BEST_FPERIOD_OVERRIDE=FQ","FILING_STATUS=MR","SCALING_FORMAT=MLN","FA_ADJUSTED=GAAP","Sort=A","Dates=H","DateFormat=P","Fill=—","Direction=H","UseDPDF=Y")</f>
        <v>-493.72500000000002</v>
      </c>
      <c r="P31" s="13">
        <f>_xll.BDH("SRPT US Equity","TRAIL_12M_EBITDA","FQ4 2022","FQ4 2022","Currency=USD","Period=FQ","BEST_FPERIOD_OVERRIDE=FQ","FILING_STATUS=MR","SCALING_FORMAT=MLN","FA_ADJUSTED=GAAP","Sort=A","Dates=H","DateFormat=P","Fill=—","Direction=H","UseDPDF=Y")</f>
        <v>-494.33699999999999</v>
      </c>
      <c r="Q31" s="13">
        <f>_xll.BDH("SRPT US Equity","TRAIL_12M_EBITDA","FQ1 2023","FQ1 2023","Currency=USD","Period=FQ","BEST_FPERIOD_OVERRIDE=FQ","FILING_STATUS=MR","SCALING_FORMAT=MLN","FA_ADJUSTED=GAAP","Sort=A","Dates=H","DateFormat=P","Fill=—","Direction=H","UseDPDF=Y")</f>
        <v>-544.95799999999997</v>
      </c>
      <c r="R31" s="13">
        <f>_xll.BDH("SRPT US Equity","TRAIL_12M_EBITDA","FQ2 2023","FQ2 2023","Currency=USD","Period=FQ","BEST_FPERIOD_OVERRIDE=FQ","FILING_STATUS=MR","SCALING_FORMAT=MLN","FA_ADJUSTED=GAAP","Sort=A","Dates=H","DateFormat=P","Fill=—","Direction=H","UseDPDF=Y")</f>
        <v>-466.44200000000001</v>
      </c>
      <c r="S31" s="13">
        <f>_xll.BDH("SRPT US Equity","TRAIL_12M_EBITDA","FQ3 2023","FQ3 2023","Currency=USD","Period=FQ","BEST_FPERIOD_OVERRIDE=FQ","FILING_STATUS=MR","SCALING_FORMAT=MLN","FA_ADJUSTED=GAAP","Sort=A","Dates=H","DateFormat=P","Fill=—","Direction=H","UseDPDF=Y")</f>
        <v>-355.70400000000001</v>
      </c>
      <c r="T31" s="13">
        <f>_xll.BDH("SRPT US Equity","TRAIL_12M_EBITDA","FQ4 2023","FQ4 2023","Currency=USD","Period=FQ","BEST_FPERIOD_OVERRIDE=FQ","FILING_STATUS=MR","SCALING_FORMAT=MLN","FA_ADJUSTED=GAAP","Sort=A","Dates=H","DateFormat=P","Fill=—","Direction=H","UseDPDF=Y")</f>
        <v>-223.42699999999999</v>
      </c>
      <c r="U31" s="13">
        <f>_xll.BDH("SRPT US Equity","TRAIL_12M_EBITDA","FQ1 2024","FQ1 2024","Currency=USD","Period=FQ","BEST_FPERIOD_OVERRIDE=FQ","FILING_STATUS=MR","SCALING_FORMAT=MLN","FA_ADJUSTED=GAAP","Sort=A","Dates=H","DateFormat=P","Fill=—","Direction=H","UseDPDF=Y")</f>
        <v>-52.994999999999997</v>
      </c>
      <c r="V31" s="13">
        <f>_xll.BDH("SRPT US Equity","TRAIL_12M_EBITDA","FQ2 2024","FQ2 2024","Currency=USD","Period=FQ","BEST_FPERIOD_OVERRIDE=FQ","FILING_STATUS=MR","SCALING_FORMAT=MLN","FA_ADJUSTED=GAAP","Sort=A","Dates=H","DateFormat=P","Fill=—","Direction=H","UseDPDF=Y")</f>
        <v>77.75</v>
      </c>
      <c r="W31" s="13">
        <f>_xll.BDH("SRPT US Equity","TRAIL_12M_EBITDA","FQ3 2024","FQ3 2024","Currency=USD","Period=FQ","BEST_FPERIOD_OVERRIDE=FQ","FILING_STATUS=MR","SCALING_FORMAT=MLN","FA_ADJUSTED=GAAP","Sort=A","Dates=H","DateFormat=P","Fill=—","Direction=H","UseDPDF=Y")</f>
        <v>119.666</v>
      </c>
      <c r="X31" s="13">
        <f>_xll.BDH("SRPT US Equity","TRAIL_12M_EBITDA","FQ4 2024","FQ4 2024","Currency=USD","Period=FQ","BEST_FPERIOD_OVERRIDE=FQ","FILING_STATUS=MR","SCALING_FORMAT=MLN","FA_ADJUSTED=GAAP","Sort=A","Dates=H","DateFormat=P","Fill=—","Direction=H","UseDPDF=Y")</f>
        <v>255.80500000000001</v>
      </c>
      <c r="Y31" s="16">
        <v>255.80500000000001</v>
      </c>
      <c r="Z31" s="13">
        <v>914.2</v>
      </c>
      <c r="AA31" s="13"/>
    </row>
    <row r="32" spans="1:27" x14ac:dyDescent="0.25">
      <c r="A32" s="10" t="s">
        <v>142</v>
      </c>
      <c r="B32" s="10" t="s">
        <v>201</v>
      </c>
      <c r="C32" s="13">
        <f>_xll.BDH("SRPT US Equity","TRAIL_12M_OPER_INC","FQ3 2019","FQ3 2019","Currency=USD","Period=FQ","BEST_FPERIOD_OVERRIDE=FQ","FILING_STATUS=MR","SCALING_FORMAT=MLN","FA_ADJUSTED=GAAP","Sort=A","Dates=H","DateFormat=P","Fill=—","Direction=H","UseDPDF=Y")</f>
        <v>-614.70699999999999</v>
      </c>
      <c r="D32" s="13">
        <f>_xll.BDH("SRPT US Equity","TRAIL_12M_OPER_INC","FQ4 2019","FQ4 2019","Currency=USD","Period=FQ","BEST_FPERIOD_OVERRIDE=FQ","FILING_STATUS=MR","SCALING_FORMAT=MLN","FA_ADJUSTED=GAAP","Sort=A","Dates=H","DateFormat=P","Fill=—","Direction=H","UseDPDF=Y")</f>
        <v>-705.56299999999999</v>
      </c>
      <c r="E32" s="13">
        <f>_xll.BDH("SRPT US Equity","TRAIL_12M_OPER_INC","FQ1 2020","FQ1 2020","Currency=USD","Period=FQ","BEST_FPERIOD_OVERRIDE=FQ","FILING_STATUS=MR","SCALING_FORMAT=MLN","FA_ADJUSTED=GAAP","Sort=A","Dates=H","DateFormat=P","Fill=—","Direction=H","UseDPDF=Y")</f>
        <v>-747.202</v>
      </c>
      <c r="F32" s="13">
        <f>_xll.BDH("SRPT US Equity","TRAIL_12M_OPER_INC","FQ2 2020","FQ2 2020","Currency=USD","Period=FQ","BEST_FPERIOD_OVERRIDE=FQ","FILING_STATUS=MR","SCALING_FORMAT=MLN","FA_ADJUSTED=GAAP","Sort=A","Dates=H","DateFormat=P","Fill=—","Direction=H","UseDPDF=Y")</f>
        <v>-610.18799999999999</v>
      </c>
      <c r="G32" s="13">
        <f>_xll.BDH("SRPT US Equity","TRAIL_12M_OPER_INC","FQ3 2020","FQ3 2020","Currency=USD","Period=FQ","BEST_FPERIOD_OVERRIDE=FQ","FILING_STATUS=MR","SCALING_FORMAT=MLN","FA_ADJUSTED=GAAP","Sort=A","Dates=H","DateFormat=P","Fill=—","Direction=H","UseDPDF=Y")</f>
        <v>-623.66600000000005</v>
      </c>
      <c r="H32" s="13">
        <f>_xll.BDH("SRPT US Equity","TRAIL_12M_OPER_INC","FQ4 2020","FQ4 2020","Currency=USD","Period=FQ","BEST_FPERIOD_OVERRIDE=FQ","FILING_STATUS=MR","SCALING_FORMAT=MLN","FA_ADJUSTED=GAAP","Sort=A","Dates=H","DateFormat=P","Fill=—","Direction=H","UseDPDF=Y")</f>
        <v>-564.16300000000001</v>
      </c>
      <c r="I32" s="13">
        <f>_xll.BDH("SRPT US Equity","TRAIL_12M_OPER_INC","FQ1 2021","FQ1 2021","Currency=USD","Period=FQ","BEST_FPERIOD_OVERRIDE=FQ","FILING_STATUS=MR","SCALING_FORMAT=MLN","FA_ADJUSTED=GAAP","Sort=A","Dates=H","DateFormat=P","Fill=—","Direction=H","UseDPDF=Y")</f>
        <v>-598.00199999999995</v>
      </c>
      <c r="J32" s="13">
        <f>_xll.BDH("SRPT US Equity","TRAIL_12M_OPER_INC","FQ2 2021","FQ2 2021","Currency=USD","Period=FQ","BEST_FPERIOD_OVERRIDE=FQ","FILING_STATUS=MR","SCALING_FORMAT=MLN","FA_ADJUSTED=GAAP","Sort=A","Dates=H","DateFormat=P","Fill=—","Direction=H","UseDPDF=Y")</f>
        <v>-627.22299999999996</v>
      </c>
      <c r="K32" s="13">
        <f>_xll.BDH("SRPT US Equity","TRAIL_12M_OPER_INC","FQ3 2021","FQ3 2021","Currency=USD","Period=FQ","BEST_FPERIOD_OVERRIDE=FQ","FILING_STATUS=MR","SCALING_FORMAT=MLN","FA_ADJUSTED=GAAP","Sort=A","Dates=H","DateFormat=P","Fill=—","Direction=H","UseDPDF=Y")</f>
        <v>-524.61300000000006</v>
      </c>
      <c r="L32" s="13">
        <f>_xll.BDH("SRPT US Equity","TRAIL_12M_OPER_INC","FQ4 2021","FQ4 2021","Currency=USD","Period=FQ","BEST_FPERIOD_OVERRIDE=FQ","FILING_STATUS=MR","SCALING_FORMAT=MLN","FA_ADJUSTED=GAAP","Sort=A","Dates=H","DateFormat=P","Fill=—","Direction=H","UseDPDF=Y")</f>
        <v>-459.71</v>
      </c>
      <c r="M32" s="13">
        <f>_xll.BDH("SRPT US Equity","TRAIL_12M_OPER_INC","FQ1 2022","FQ1 2022","Currency=USD","Period=FQ","BEST_FPERIOD_OVERRIDE=FQ","FILING_STATUS=MR","SCALING_FORMAT=MLN","FA_ADJUSTED=GAAP","Sort=A","Dates=H","DateFormat=P","Fill=—","Direction=H","UseDPDF=Y")</f>
        <v>-394.726</v>
      </c>
      <c r="N32" s="13">
        <f>_xll.BDH("SRPT US Equity","TRAIL_12M_OPER_INC","FQ2 2022","FQ2 2022","Currency=USD","Period=FQ","BEST_FPERIOD_OVERRIDE=FQ","FILING_STATUS=MR","SCALING_FORMAT=MLN","FA_ADJUSTED=GAAP","Sort=A","Dates=H","DateFormat=P","Fill=—","Direction=H","UseDPDF=Y")</f>
        <v>-438.28399999999999</v>
      </c>
      <c r="O32" s="13">
        <f>_xll.BDH("SRPT US Equity","TRAIL_12M_OPER_INC","FQ3 2022","FQ3 2022","Currency=USD","Period=FQ","BEST_FPERIOD_OVERRIDE=FQ","FILING_STATUS=MR","SCALING_FORMAT=MLN","FA_ADJUSTED=GAAP","Sort=A","Dates=H","DateFormat=P","Fill=—","Direction=H","UseDPDF=Y")</f>
        <v>-535.18100000000004</v>
      </c>
      <c r="P32" s="13">
        <f>_xll.BDH("SRPT US Equity","TRAIL_12M_OPER_INC","FQ4 2022","FQ4 2022","Currency=USD","Period=FQ","BEST_FPERIOD_OVERRIDE=FQ","FILING_STATUS=MR","SCALING_FORMAT=MLN","FA_ADJUSTED=GAAP","Sort=A","Dates=H","DateFormat=P","Fill=—","Direction=H","UseDPDF=Y")</f>
        <v>-536.20100000000002</v>
      </c>
      <c r="Q32" s="13">
        <f>_xll.BDH("SRPT US Equity","TRAIL_12M_OPER_INC","FQ1 2023","FQ1 2023","Currency=USD","Period=FQ","BEST_FPERIOD_OVERRIDE=FQ","FILING_STATUS=MR","SCALING_FORMAT=MLN","FA_ADJUSTED=GAAP","Sort=A","Dates=H","DateFormat=P","Fill=—","Direction=H","UseDPDF=Y")</f>
        <v>-587.40800000000002</v>
      </c>
      <c r="R32" s="13">
        <f>_xll.BDH("SRPT US Equity","TRAIL_12M_OPER_INC","FQ2 2023","FQ2 2023","Currency=USD","Period=FQ","BEST_FPERIOD_OVERRIDE=FQ","FILING_STATUS=MR","SCALING_FORMAT=MLN","FA_ADJUSTED=GAAP","Sort=A","Dates=H","DateFormat=P","Fill=—","Direction=H","UseDPDF=Y")</f>
        <v>-509.79500000000002</v>
      </c>
      <c r="S32" s="13">
        <f>_xll.BDH("SRPT US Equity","TRAIL_12M_OPER_INC","FQ3 2023","FQ3 2023","Currency=USD","Period=FQ","BEST_FPERIOD_OVERRIDE=FQ","FILING_STATUS=MR","SCALING_FORMAT=MLN","FA_ADJUSTED=GAAP","Sort=A","Dates=H","DateFormat=P","Fill=—","Direction=H","UseDPDF=Y")</f>
        <v>-399.28199999999998</v>
      </c>
      <c r="T32" s="13">
        <f>_xll.BDH("SRPT US Equity","TRAIL_12M_OPER_INC","FQ4 2023","FQ4 2023","Currency=USD","Period=FQ","BEST_FPERIOD_OVERRIDE=FQ","FILING_STATUS=MR","SCALING_FORMAT=MLN","FA_ADJUSTED=GAAP","Sort=A","Dates=H","DateFormat=P","Fill=—","Direction=H","UseDPDF=Y")</f>
        <v>-267.82400000000001</v>
      </c>
      <c r="U32" s="13">
        <f>_xll.BDH("SRPT US Equity","TRAIL_12M_OPER_INC","FQ1 2024","FQ1 2024","Currency=USD","Period=FQ","BEST_FPERIOD_OVERRIDE=FQ","FILING_STATUS=MR","SCALING_FORMAT=MLN","FA_ADJUSTED=GAAP","Sort=A","Dates=H","DateFormat=P","Fill=—","Direction=H","UseDPDF=Y")</f>
        <v>-94.831000000000003</v>
      </c>
      <c r="V32" s="13">
        <f>_xll.BDH("SRPT US Equity","TRAIL_12M_OPER_INC","FQ2 2024","FQ2 2024","Currency=USD","Period=FQ","BEST_FPERIOD_OVERRIDE=FQ","FILING_STATUS=MR","SCALING_FORMAT=MLN","FA_ADJUSTED=GAAP","Sort=A","Dates=H","DateFormat=P","Fill=—","Direction=H","UseDPDF=Y")</f>
        <v>37.987000000000002</v>
      </c>
      <c r="W32" s="13">
        <f>_xll.BDH("SRPT US Equity","TRAIL_12M_OPER_INC","FQ3 2024","FQ3 2024","Currency=USD","Period=FQ","BEST_FPERIOD_OVERRIDE=FQ","FILING_STATUS=MR","SCALING_FORMAT=MLN","FA_ADJUSTED=GAAP","Sort=A","Dates=H","DateFormat=P","Fill=—","Direction=H","UseDPDF=Y")</f>
        <v>81.025000000000006</v>
      </c>
      <c r="X32" s="13">
        <f>_xll.BDH("SRPT US Equity","TRAIL_12M_OPER_INC","FQ4 2024","FQ4 2024","Currency=USD","Period=FQ","BEST_FPERIOD_OVERRIDE=FQ","FILING_STATUS=MR","SCALING_FORMAT=MLN","FA_ADJUSTED=GAAP","Sort=A","Dates=H","DateFormat=P","Fill=—","Direction=H","UseDPDF=Y")</f>
        <v>218.08099999999999</v>
      </c>
      <c r="Y32" s="16">
        <v>218.08099999999999</v>
      </c>
      <c r="Z32" s="13">
        <v>1024.0550000000001</v>
      </c>
      <c r="AA32" s="13">
        <v>1258.8789999999999</v>
      </c>
    </row>
    <row r="33" spans="1:27" x14ac:dyDescent="0.25">
      <c r="A33" s="10" t="s">
        <v>202</v>
      </c>
      <c r="B33" s="10" t="s">
        <v>203</v>
      </c>
      <c r="C33" s="13" t="str">
        <f>_xll.BDH("SRPT US Equity","TRAIL_12M_CASH_FLOW_FIRM","FQ3 2019","FQ3 2019","Currency=USD","Period=FQ","BEST_FPERIOD_OVERRIDE=FQ","FILING_STATUS=MR","SCALING_FORMAT=MLN","FA_ADJUSTED=GAAP","Sort=A","Dates=H","DateFormat=P","Fill=—","Direction=H","UseDPDF=Y")</f>
        <v>—</v>
      </c>
      <c r="D33" s="13" t="str">
        <f>_xll.BDH("SRPT US Equity","TRAIL_12M_CASH_FLOW_FIRM","FQ4 2019","FQ4 2019","Currency=USD","Period=FQ","BEST_FPERIOD_OVERRIDE=FQ","FILING_STATUS=MR","SCALING_FORMAT=MLN","FA_ADJUSTED=GAAP","Sort=A","Dates=H","DateFormat=P","Fill=—","Direction=H","UseDPDF=Y")</f>
        <v>—</v>
      </c>
      <c r="E33" s="13" t="str">
        <f>_xll.BDH("SRPT US Equity","TRAIL_12M_CASH_FLOW_FIRM","FQ1 2020","FQ1 2020","Currency=USD","Period=FQ","BEST_FPERIOD_OVERRIDE=FQ","FILING_STATUS=MR","SCALING_FORMAT=MLN","FA_ADJUSTED=GAAP","Sort=A","Dates=H","DateFormat=P","Fill=—","Direction=H","UseDPDF=Y")</f>
        <v>—</v>
      </c>
      <c r="F33" s="13" t="str">
        <f>_xll.BDH("SRPT US Equity","TRAIL_12M_CASH_FLOW_FIRM","FQ2 2020","FQ2 2020","Currency=USD","Period=FQ","BEST_FPERIOD_OVERRIDE=FQ","FILING_STATUS=MR","SCALING_FORMAT=MLN","FA_ADJUSTED=GAAP","Sort=A","Dates=H","DateFormat=P","Fill=—","Direction=H","UseDPDF=Y")</f>
        <v>—</v>
      </c>
      <c r="G33" s="13" t="str">
        <f>_xll.BDH("SRPT US Equity","TRAIL_12M_CASH_FLOW_FIRM","FQ3 2020","FQ3 2020","Currency=USD","Period=FQ","BEST_FPERIOD_OVERRIDE=FQ","FILING_STATUS=MR","SCALING_FORMAT=MLN","FA_ADJUSTED=GAAP","Sort=A","Dates=H","DateFormat=P","Fill=—","Direction=H","UseDPDF=Y")</f>
        <v>—</v>
      </c>
      <c r="H33" s="13" t="str">
        <f>_xll.BDH("SRPT US Equity","TRAIL_12M_CASH_FLOW_FIRM","FQ4 2020","FQ4 2020","Currency=USD","Period=FQ","BEST_FPERIOD_OVERRIDE=FQ","FILING_STATUS=MR","SCALING_FORMAT=MLN","FA_ADJUSTED=GAAP","Sort=A","Dates=H","DateFormat=P","Fill=—","Direction=H","UseDPDF=Y")</f>
        <v>—</v>
      </c>
      <c r="I33" s="13" t="str">
        <f>_xll.BDH("SRPT US Equity","TRAIL_12M_CASH_FLOW_FIRM","FQ1 2021","FQ1 2021","Currency=USD","Period=FQ","BEST_FPERIOD_OVERRIDE=FQ","FILING_STATUS=MR","SCALING_FORMAT=MLN","FA_ADJUSTED=GAAP","Sort=A","Dates=H","DateFormat=P","Fill=—","Direction=H","UseDPDF=Y")</f>
        <v>—</v>
      </c>
      <c r="J33" s="13" t="str">
        <f>_xll.BDH("SRPT US Equity","TRAIL_12M_CASH_FLOW_FIRM","FQ2 2021","FQ2 2021","Currency=USD","Period=FQ","BEST_FPERIOD_OVERRIDE=FQ","FILING_STATUS=MR","SCALING_FORMAT=MLN","FA_ADJUSTED=GAAP","Sort=A","Dates=H","DateFormat=P","Fill=—","Direction=H","UseDPDF=Y")</f>
        <v>—</v>
      </c>
      <c r="K33" s="13" t="str">
        <f>_xll.BDH("SRPT US Equity","TRAIL_12M_CASH_FLOW_FIRM","FQ3 2021","FQ3 2021","Currency=USD","Period=FQ","BEST_FPERIOD_OVERRIDE=FQ","FILING_STATUS=MR","SCALING_FORMAT=MLN","FA_ADJUSTED=GAAP","Sort=A","Dates=H","DateFormat=P","Fill=—","Direction=H","UseDPDF=Y")</f>
        <v>—</v>
      </c>
      <c r="L33" s="13" t="str">
        <f>_xll.BDH("SRPT US Equity","TRAIL_12M_CASH_FLOW_FIRM","FQ4 2021","FQ4 2021","Currency=USD","Period=FQ","BEST_FPERIOD_OVERRIDE=FQ","FILING_STATUS=MR","SCALING_FORMAT=MLN","FA_ADJUSTED=GAAP","Sort=A","Dates=H","DateFormat=P","Fill=—","Direction=H","UseDPDF=Y")</f>
        <v>—</v>
      </c>
      <c r="M33" s="13" t="str">
        <f>_xll.BDH("SRPT US Equity","TRAIL_12M_CASH_FLOW_FIRM","FQ1 2022","FQ1 2022","Currency=USD","Period=FQ","BEST_FPERIOD_OVERRIDE=FQ","FILING_STATUS=MR","SCALING_FORMAT=MLN","FA_ADJUSTED=GAAP","Sort=A","Dates=H","DateFormat=P","Fill=—","Direction=H","UseDPDF=Y")</f>
        <v>—</v>
      </c>
      <c r="N33" s="13" t="str">
        <f>_xll.BDH("SRPT US Equity","TRAIL_12M_CASH_FLOW_FIRM","FQ2 2022","FQ2 2022","Currency=USD","Period=FQ","BEST_FPERIOD_OVERRIDE=FQ","FILING_STATUS=MR","SCALING_FORMAT=MLN","FA_ADJUSTED=GAAP","Sort=A","Dates=H","DateFormat=P","Fill=—","Direction=H","UseDPDF=Y")</f>
        <v>—</v>
      </c>
      <c r="O33" s="13" t="str">
        <f>_xll.BDH("SRPT US Equity","TRAIL_12M_CASH_FLOW_FIRM","FQ3 2022","FQ3 2022","Currency=USD","Period=FQ","BEST_FPERIOD_OVERRIDE=FQ","FILING_STATUS=MR","SCALING_FORMAT=MLN","FA_ADJUSTED=GAAP","Sort=A","Dates=H","DateFormat=P","Fill=—","Direction=H","UseDPDF=Y")</f>
        <v>—</v>
      </c>
      <c r="P33" s="13" t="str">
        <f>_xll.BDH("SRPT US Equity","TRAIL_12M_CASH_FLOW_FIRM","FQ4 2022","FQ4 2022","Currency=USD","Period=FQ","BEST_FPERIOD_OVERRIDE=FQ","FILING_STATUS=MR","SCALING_FORMAT=MLN","FA_ADJUSTED=GAAP","Sort=A","Dates=H","DateFormat=P","Fill=—","Direction=H","UseDPDF=Y")</f>
        <v>—</v>
      </c>
      <c r="Q33" s="13" t="str">
        <f>_xll.BDH("SRPT US Equity","TRAIL_12M_CASH_FLOW_FIRM","FQ1 2023","FQ1 2023","Currency=USD","Period=FQ","BEST_FPERIOD_OVERRIDE=FQ","FILING_STATUS=MR","SCALING_FORMAT=MLN","FA_ADJUSTED=GAAP","Sort=A","Dates=H","DateFormat=P","Fill=—","Direction=H","UseDPDF=Y")</f>
        <v>—</v>
      </c>
      <c r="R33" s="13" t="str">
        <f>_xll.BDH("SRPT US Equity","TRAIL_12M_CASH_FLOW_FIRM","FQ2 2023","FQ2 2023","Currency=USD","Period=FQ","BEST_FPERIOD_OVERRIDE=FQ","FILING_STATUS=MR","SCALING_FORMAT=MLN","FA_ADJUSTED=GAAP","Sort=A","Dates=H","DateFormat=P","Fill=—","Direction=H","UseDPDF=Y")</f>
        <v>—</v>
      </c>
      <c r="S33" s="13" t="str">
        <f>_xll.BDH("SRPT US Equity","TRAIL_12M_CASH_FLOW_FIRM","FQ3 2023","FQ3 2023","Currency=USD","Period=FQ","BEST_FPERIOD_OVERRIDE=FQ","FILING_STATUS=MR","SCALING_FORMAT=MLN","FA_ADJUSTED=GAAP","Sort=A","Dates=H","DateFormat=P","Fill=—","Direction=H","UseDPDF=Y")</f>
        <v>—</v>
      </c>
      <c r="T33" s="13" t="str">
        <f>_xll.BDH("SRPT US Equity","TRAIL_12M_CASH_FLOW_FIRM","FQ4 2023","FQ4 2023","Currency=USD","Period=FQ","BEST_FPERIOD_OVERRIDE=FQ","FILING_STATUS=MR","SCALING_FORMAT=MLN","FA_ADJUSTED=GAAP","Sort=A","Dates=H","DateFormat=P","Fill=—","Direction=H","UseDPDF=Y")</f>
        <v>—</v>
      </c>
      <c r="U33" s="13">
        <f>_xll.BDH("SRPT US Equity","TRAIL_12M_CASH_FLOW_FIRM","FQ1 2024","FQ1 2024","Currency=USD","Period=FQ","BEST_FPERIOD_OVERRIDE=FQ","FILING_STATUS=MR","SCALING_FORMAT=MLN","FA_ADJUSTED=GAAP","Sort=A","Dates=H","DateFormat=P","Fill=—","Direction=H","UseDPDF=Y")</f>
        <v>-523.82399999999996</v>
      </c>
      <c r="V33" s="13">
        <f>_xll.BDH("SRPT US Equity","TRAIL_12M_CASH_FLOW_FIRM","FQ2 2024","FQ2 2024","Currency=USD","Period=FQ","BEST_FPERIOD_OVERRIDE=FQ","FILING_STATUS=MR","SCALING_FORMAT=MLN","FA_ADJUSTED=GAAP","Sort=A","Dates=H","DateFormat=P","Fill=—","Direction=H","UseDPDF=Y")</f>
        <v>-381.70409999999998</v>
      </c>
      <c r="W33" s="13">
        <f>_xll.BDH("SRPT US Equity","TRAIL_12M_CASH_FLOW_FIRM","FQ3 2024","FQ3 2024","Currency=USD","Period=FQ","BEST_FPERIOD_OVERRIDE=FQ","FILING_STATUS=MR","SCALING_FORMAT=MLN","FA_ADJUSTED=GAAP","Sort=A","Dates=H","DateFormat=P","Fill=—","Direction=H","UseDPDF=Y")</f>
        <v>-334.45830000000001</v>
      </c>
      <c r="X33" s="13">
        <f>_xll.BDH("SRPT US Equity","TRAIL_12M_CASH_FLOW_FIRM","FQ4 2024","FQ4 2024","Currency=USD","Period=FQ","BEST_FPERIOD_OVERRIDE=FQ","FILING_STATUS=MR","SCALING_FORMAT=MLN","FA_ADJUSTED=GAAP","Sort=A","Dates=H","DateFormat=P","Fill=—","Direction=H","UseDPDF=Y")</f>
        <v>-189.1968</v>
      </c>
      <c r="Y33" s="16">
        <v>-189.19684741960501</v>
      </c>
      <c r="Z33" s="13"/>
      <c r="AA33" s="13"/>
    </row>
    <row r="34" spans="1:27" x14ac:dyDescent="0.25">
      <c r="A34" s="10" t="s">
        <v>204</v>
      </c>
      <c r="B34" s="10" t="s">
        <v>205</v>
      </c>
      <c r="C34" s="13" t="str">
        <f>_xll.BDH("SRPT US Equity","TRAIL_12M_FREE_CASH_FLOW_FIRM","FQ3 2019","FQ3 2019","Currency=USD","Period=FQ","BEST_FPERIOD_OVERRIDE=FQ","FILING_STATUS=MR","SCALING_FORMAT=MLN","FA_ADJUSTED=GAAP","Sort=A","Dates=H","DateFormat=P","Fill=—","Direction=H","UseDPDF=Y")</f>
        <v>—</v>
      </c>
      <c r="D34" s="13" t="str">
        <f>_xll.BDH("SRPT US Equity","TRAIL_12M_FREE_CASH_FLOW_FIRM","FQ4 2019","FQ4 2019","Currency=USD","Period=FQ","BEST_FPERIOD_OVERRIDE=FQ","FILING_STATUS=MR","SCALING_FORMAT=MLN","FA_ADJUSTED=GAAP","Sort=A","Dates=H","DateFormat=P","Fill=—","Direction=H","UseDPDF=Y")</f>
        <v>—</v>
      </c>
      <c r="E34" s="13" t="str">
        <f>_xll.BDH("SRPT US Equity","TRAIL_12M_FREE_CASH_FLOW_FIRM","FQ1 2020","FQ1 2020","Currency=USD","Period=FQ","BEST_FPERIOD_OVERRIDE=FQ","FILING_STATUS=MR","SCALING_FORMAT=MLN","FA_ADJUSTED=GAAP","Sort=A","Dates=H","DateFormat=P","Fill=—","Direction=H","UseDPDF=Y")</f>
        <v>—</v>
      </c>
      <c r="F34" s="13" t="str">
        <f>_xll.BDH("SRPT US Equity","TRAIL_12M_FREE_CASH_FLOW_FIRM","FQ2 2020","FQ2 2020","Currency=USD","Period=FQ","BEST_FPERIOD_OVERRIDE=FQ","FILING_STATUS=MR","SCALING_FORMAT=MLN","FA_ADJUSTED=GAAP","Sort=A","Dates=H","DateFormat=P","Fill=—","Direction=H","UseDPDF=Y")</f>
        <v>—</v>
      </c>
      <c r="G34" s="13" t="str">
        <f>_xll.BDH("SRPT US Equity","TRAIL_12M_FREE_CASH_FLOW_FIRM","FQ3 2020","FQ3 2020","Currency=USD","Period=FQ","BEST_FPERIOD_OVERRIDE=FQ","FILING_STATUS=MR","SCALING_FORMAT=MLN","FA_ADJUSTED=GAAP","Sort=A","Dates=H","DateFormat=P","Fill=—","Direction=H","UseDPDF=Y")</f>
        <v>—</v>
      </c>
      <c r="H34" s="13" t="str">
        <f>_xll.BDH("SRPT US Equity","TRAIL_12M_FREE_CASH_FLOW_FIRM","FQ4 2020","FQ4 2020","Currency=USD","Period=FQ","BEST_FPERIOD_OVERRIDE=FQ","FILING_STATUS=MR","SCALING_FORMAT=MLN","FA_ADJUSTED=GAAP","Sort=A","Dates=H","DateFormat=P","Fill=—","Direction=H","UseDPDF=Y")</f>
        <v>—</v>
      </c>
      <c r="I34" s="13" t="str">
        <f>_xll.BDH("SRPT US Equity","TRAIL_12M_FREE_CASH_FLOW_FIRM","FQ1 2021","FQ1 2021","Currency=USD","Period=FQ","BEST_FPERIOD_OVERRIDE=FQ","FILING_STATUS=MR","SCALING_FORMAT=MLN","FA_ADJUSTED=GAAP","Sort=A","Dates=H","DateFormat=P","Fill=—","Direction=H","UseDPDF=Y")</f>
        <v>—</v>
      </c>
      <c r="J34" s="13" t="str">
        <f>_xll.BDH("SRPT US Equity","TRAIL_12M_FREE_CASH_FLOW_FIRM","FQ2 2021","FQ2 2021","Currency=USD","Period=FQ","BEST_FPERIOD_OVERRIDE=FQ","FILING_STATUS=MR","SCALING_FORMAT=MLN","FA_ADJUSTED=GAAP","Sort=A","Dates=H","DateFormat=P","Fill=—","Direction=H","UseDPDF=Y")</f>
        <v>—</v>
      </c>
      <c r="K34" s="13" t="str">
        <f>_xll.BDH("SRPT US Equity","TRAIL_12M_FREE_CASH_FLOW_FIRM","FQ3 2021","FQ3 2021","Currency=USD","Period=FQ","BEST_FPERIOD_OVERRIDE=FQ","FILING_STATUS=MR","SCALING_FORMAT=MLN","FA_ADJUSTED=GAAP","Sort=A","Dates=H","DateFormat=P","Fill=—","Direction=H","UseDPDF=Y")</f>
        <v>—</v>
      </c>
      <c r="L34" s="13" t="str">
        <f>_xll.BDH("SRPT US Equity","TRAIL_12M_FREE_CASH_FLOW_FIRM","FQ4 2021","FQ4 2021","Currency=USD","Period=FQ","BEST_FPERIOD_OVERRIDE=FQ","FILING_STATUS=MR","SCALING_FORMAT=MLN","FA_ADJUSTED=GAAP","Sort=A","Dates=H","DateFormat=P","Fill=—","Direction=H","UseDPDF=Y")</f>
        <v>—</v>
      </c>
      <c r="M34" s="13" t="str">
        <f>_xll.BDH("SRPT US Equity","TRAIL_12M_FREE_CASH_FLOW_FIRM","FQ1 2022","FQ1 2022","Currency=USD","Period=FQ","BEST_FPERIOD_OVERRIDE=FQ","FILING_STATUS=MR","SCALING_FORMAT=MLN","FA_ADJUSTED=GAAP","Sort=A","Dates=H","DateFormat=P","Fill=—","Direction=H","UseDPDF=Y")</f>
        <v>—</v>
      </c>
      <c r="N34" s="13" t="str">
        <f>_xll.BDH("SRPT US Equity","TRAIL_12M_FREE_CASH_FLOW_FIRM","FQ2 2022","FQ2 2022","Currency=USD","Period=FQ","BEST_FPERIOD_OVERRIDE=FQ","FILING_STATUS=MR","SCALING_FORMAT=MLN","FA_ADJUSTED=GAAP","Sort=A","Dates=H","DateFormat=P","Fill=—","Direction=H","UseDPDF=Y")</f>
        <v>—</v>
      </c>
      <c r="O34" s="13" t="str">
        <f>_xll.BDH("SRPT US Equity","TRAIL_12M_FREE_CASH_FLOW_FIRM","FQ3 2022","FQ3 2022","Currency=USD","Period=FQ","BEST_FPERIOD_OVERRIDE=FQ","FILING_STATUS=MR","SCALING_FORMAT=MLN","FA_ADJUSTED=GAAP","Sort=A","Dates=H","DateFormat=P","Fill=—","Direction=H","UseDPDF=Y")</f>
        <v>—</v>
      </c>
      <c r="P34" s="13" t="str">
        <f>_xll.BDH("SRPT US Equity","TRAIL_12M_FREE_CASH_FLOW_FIRM","FQ4 2022","FQ4 2022","Currency=USD","Period=FQ","BEST_FPERIOD_OVERRIDE=FQ","FILING_STATUS=MR","SCALING_FORMAT=MLN","FA_ADJUSTED=GAAP","Sort=A","Dates=H","DateFormat=P","Fill=—","Direction=H","UseDPDF=Y")</f>
        <v>—</v>
      </c>
      <c r="Q34" s="13" t="str">
        <f>_xll.BDH("SRPT US Equity","TRAIL_12M_FREE_CASH_FLOW_FIRM","FQ1 2023","FQ1 2023","Currency=USD","Period=FQ","BEST_FPERIOD_OVERRIDE=FQ","FILING_STATUS=MR","SCALING_FORMAT=MLN","FA_ADJUSTED=GAAP","Sort=A","Dates=H","DateFormat=P","Fill=—","Direction=H","UseDPDF=Y")</f>
        <v>—</v>
      </c>
      <c r="R34" s="13" t="str">
        <f>_xll.BDH("SRPT US Equity","TRAIL_12M_FREE_CASH_FLOW_FIRM","FQ2 2023","FQ2 2023","Currency=USD","Period=FQ","BEST_FPERIOD_OVERRIDE=FQ","FILING_STATUS=MR","SCALING_FORMAT=MLN","FA_ADJUSTED=GAAP","Sort=A","Dates=H","DateFormat=P","Fill=—","Direction=H","UseDPDF=Y")</f>
        <v>—</v>
      </c>
      <c r="S34" s="13" t="str">
        <f>_xll.BDH("SRPT US Equity","TRAIL_12M_FREE_CASH_FLOW_FIRM","FQ3 2023","FQ3 2023","Currency=USD","Period=FQ","BEST_FPERIOD_OVERRIDE=FQ","FILING_STATUS=MR","SCALING_FORMAT=MLN","FA_ADJUSTED=GAAP","Sort=A","Dates=H","DateFormat=P","Fill=—","Direction=H","UseDPDF=Y")</f>
        <v>—</v>
      </c>
      <c r="T34" s="13" t="str">
        <f>_xll.BDH("SRPT US Equity","TRAIL_12M_FREE_CASH_FLOW_FIRM","FQ4 2023","FQ4 2023","Currency=USD","Period=FQ","BEST_FPERIOD_OVERRIDE=FQ","FILING_STATUS=MR","SCALING_FORMAT=MLN","FA_ADJUSTED=GAAP","Sort=A","Dates=H","DateFormat=P","Fill=—","Direction=H","UseDPDF=Y")</f>
        <v>—</v>
      </c>
      <c r="U34" s="13">
        <f>_xll.BDH("SRPT US Equity","TRAIL_12M_FREE_CASH_FLOW_FIRM","FQ1 2024","FQ1 2024","Currency=USD","Period=FQ","BEST_FPERIOD_OVERRIDE=FQ","FILING_STATUS=MR","SCALING_FORMAT=MLN","FA_ADJUSTED=GAAP","Sort=A","Dates=H","DateFormat=P","Fill=—","Direction=H","UseDPDF=Y")</f>
        <v>-622.88900000000001</v>
      </c>
      <c r="V34" s="13">
        <f>_xll.BDH("SRPT US Equity","TRAIL_12M_FREE_CASH_FLOW_FIRM","FQ2 2024","FQ2 2024","Currency=USD","Period=FQ","BEST_FPERIOD_OVERRIDE=FQ","FILING_STATUS=MR","SCALING_FORMAT=MLN","FA_ADJUSTED=GAAP","Sort=A","Dates=H","DateFormat=P","Fill=—","Direction=H","UseDPDF=Y")</f>
        <v>-492.02710000000002</v>
      </c>
      <c r="W34" s="13">
        <f>_xll.BDH("SRPT US Equity","TRAIL_12M_FREE_CASH_FLOW_FIRM","FQ3 2024","FQ3 2024","Currency=USD","Period=FQ","BEST_FPERIOD_OVERRIDE=FQ","FILING_STATUS=MR","SCALING_FORMAT=MLN","FA_ADJUSTED=GAAP","Sort=A","Dates=H","DateFormat=P","Fill=—","Direction=H","UseDPDF=Y")</f>
        <v>-452.37130000000002</v>
      </c>
      <c r="X34" s="13">
        <f>_xll.BDH("SRPT US Equity","TRAIL_12M_FREE_CASH_FLOW_FIRM","FQ4 2024","FQ4 2024","Currency=USD","Period=FQ","BEST_FPERIOD_OVERRIDE=FQ","FILING_STATUS=MR","SCALING_FORMAT=MLN","FA_ADJUSTED=GAAP","Sort=A","Dates=H","DateFormat=P","Fill=—","Direction=H","UseDPDF=Y")</f>
        <v>-326.15280000000001</v>
      </c>
      <c r="Y34" s="16">
        <v>-326.152847419605</v>
      </c>
      <c r="Z34" s="13"/>
      <c r="AA34" s="13"/>
    </row>
    <row r="35" spans="1:27" x14ac:dyDescent="0.25">
      <c r="A35" s="7" t="s">
        <v>90</v>
      </c>
      <c r="B35" s="7"/>
      <c r="C35" s="7" t="s">
        <v>5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9"/>
  <sheetViews>
    <sheetView topLeftCell="F1"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206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4" t="s">
        <v>19</v>
      </c>
      <c r="M4" s="4" t="s">
        <v>20</v>
      </c>
      <c r="N4" s="4" t="s">
        <v>21</v>
      </c>
      <c r="O4" s="4" t="s">
        <v>22</v>
      </c>
      <c r="P4" s="4" t="s">
        <v>23</v>
      </c>
      <c r="Q4" s="4" t="s">
        <v>24</v>
      </c>
      <c r="R4" s="4" t="s">
        <v>25</v>
      </c>
      <c r="S4" s="4" t="s">
        <v>26</v>
      </c>
      <c r="T4" s="4" t="s">
        <v>27</v>
      </c>
      <c r="U4" s="4" t="s">
        <v>28</v>
      </c>
      <c r="V4" s="4" t="s">
        <v>29</v>
      </c>
      <c r="W4" s="4" t="s">
        <v>30</v>
      </c>
      <c r="X4" s="4" t="s">
        <v>31</v>
      </c>
      <c r="Y4" s="4" t="s">
        <v>164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36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41</v>
      </c>
      <c r="I5" s="5" t="s">
        <v>42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5" t="s">
        <v>48</v>
      </c>
      <c r="P5" s="5" t="s">
        <v>49</v>
      </c>
      <c r="Q5" s="5" t="s">
        <v>50</v>
      </c>
      <c r="R5" s="5" t="s">
        <v>51</v>
      </c>
      <c r="S5" s="5" t="s">
        <v>52</v>
      </c>
      <c r="T5" s="5" t="s">
        <v>53</v>
      </c>
      <c r="U5" s="5" t="s">
        <v>54</v>
      </c>
      <c r="V5" s="5" t="s">
        <v>55</v>
      </c>
      <c r="W5" s="5" t="s">
        <v>56</v>
      </c>
      <c r="X5" s="5" t="s">
        <v>57</v>
      </c>
      <c r="Y5" s="5" t="s">
        <v>165</v>
      </c>
      <c r="Z5" s="5" t="s">
        <v>58</v>
      </c>
      <c r="AA5" s="5" t="s">
        <v>59</v>
      </c>
    </row>
    <row r="6" spans="1:27" x14ac:dyDescent="0.25">
      <c r="A6" s="6" t="s">
        <v>207</v>
      </c>
      <c r="B6" s="6" t="s">
        <v>208</v>
      </c>
      <c r="C6" s="20" t="str">
        <f>_xll.BDH("SRPT US Equity","PE_RATIO","FQ3 2019","FQ3 2019","Currency=USD","Period=FQ","BEST_FPERIOD_OVERRIDE=FQ","FILING_STATUS=MR","Sort=A","Dates=H","DateFormat=P","Fill=—","Direction=H","UseDPDF=Y")</f>
        <v>—</v>
      </c>
      <c r="D6" s="20" t="str">
        <f>_xll.BDH("SRPT US Equity","PE_RATIO","FQ4 2019","FQ4 2019","Currency=USD","Period=FQ","BEST_FPERIOD_OVERRIDE=FQ","FILING_STATUS=MR","Sort=A","Dates=H","DateFormat=P","Fill=—","Direction=H","UseDPDF=Y")</f>
        <v>—</v>
      </c>
      <c r="E6" s="20" t="str">
        <f>_xll.BDH("SRPT US Equity","PE_RATIO","FQ1 2020","FQ1 2020","Currency=USD","Period=FQ","BEST_FPERIOD_OVERRIDE=FQ","FILING_STATUS=MR","Sort=A","Dates=H","DateFormat=P","Fill=—","Direction=H","UseDPDF=Y")</f>
        <v>—</v>
      </c>
      <c r="F6" s="20" t="str">
        <f>_xll.BDH("SRPT US Equity","PE_RATIO","FQ2 2020","FQ2 2020","Currency=USD","Period=FQ","BEST_FPERIOD_OVERRIDE=FQ","FILING_STATUS=MR","Sort=A","Dates=H","DateFormat=P","Fill=—","Direction=H","UseDPDF=Y")</f>
        <v>—</v>
      </c>
      <c r="G6" s="20" t="str">
        <f>_xll.BDH("SRPT US Equity","PE_RATIO","FQ3 2020","FQ3 2020","Currency=USD","Period=FQ","BEST_FPERIOD_OVERRIDE=FQ","FILING_STATUS=MR","Sort=A","Dates=H","DateFormat=P","Fill=—","Direction=H","UseDPDF=Y")</f>
        <v>—</v>
      </c>
      <c r="H6" s="20" t="str">
        <f>_xll.BDH("SRPT US Equity","PE_RATIO","FQ4 2020","FQ4 2020","Currency=USD","Period=FQ","BEST_FPERIOD_OVERRIDE=FQ","FILING_STATUS=MR","Sort=A","Dates=H","DateFormat=P","Fill=—","Direction=H","UseDPDF=Y")</f>
        <v>—</v>
      </c>
      <c r="I6" s="20" t="str">
        <f>_xll.BDH("SRPT US Equity","PE_RATIO","FQ1 2021","FQ1 2021","Currency=USD","Period=FQ","BEST_FPERIOD_OVERRIDE=FQ","FILING_STATUS=MR","Sort=A","Dates=H","DateFormat=P","Fill=—","Direction=H","UseDPDF=Y")</f>
        <v>—</v>
      </c>
      <c r="J6" s="20" t="str">
        <f>_xll.BDH("SRPT US Equity","PE_RATIO","FQ2 2021","FQ2 2021","Currency=USD","Period=FQ","BEST_FPERIOD_OVERRIDE=FQ","FILING_STATUS=MR","Sort=A","Dates=H","DateFormat=P","Fill=—","Direction=H","UseDPDF=Y")</f>
        <v>—</v>
      </c>
      <c r="K6" s="20" t="str">
        <f>_xll.BDH("SRPT US Equity","PE_RATIO","FQ3 2021","FQ3 2021","Currency=USD","Period=FQ","BEST_FPERIOD_OVERRIDE=FQ","FILING_STATUS=MR","Sort=A","Dates=H","DateFormat=P","Fill=—","Direction=H","UseDPDF=Y")</f>
        <v>—</v>
      </c>
      <c r="L6" s="20" t="str">
        <f>_xll.BDH("SRPT US Equity","PE_RATIO","FQ4 2021","FQ4 2021","Currency=USD","Period=FQ","BEST_FPERIOD_OVERRIDE=FQ","FILING_STATUS=MR","Sort=A","Dates=H","DateFormat=P","Fill=—","Direction=H","UseDPDF=Y")</f>
        <v>—</v>
      </c>
      <c r="M6" s="20" t="str">
        <f>_xll.BDH("SRPT US Equity","PE_RATIO","FQ1 2022","FQ1 2022","Currency=USD","Period=FQ","BEST_FPERIOD_OVERRIDE=FQ","FILING_STATUS=MR","Sort=A","Dates=H","DateFormat=P","Fill=—","Direction=H","UseDPDF=Y")</f>
        <v>—</v>
      </c>
      <c r="N6" s="20" t="str">
        <f>_xll.BDH("SRPT US Equity","PE_RATIO","FQ2 2022","FQ2 2022","Currency=USD","Period=FQ","BEST_FPERIOD_OVERRIDE=FQ","FILING_STATUS=MR","Sort=A","Dates=H","DateFormat=P","Fill=—","Direction=H","UseDPDF=Y")</f>
        <v>—</v>
      </c>
      <c r="O6" s="20" t="str">
        <f>_xll.BDH("SRPT US Equity","PE_RATIO","FQ3 2022","FQ3 2022","Currency=USD","Period=FQ","BEST_FPERIOD_OVERRIDE=FQ","FILING_STATUS=MR","Sort=A","Dates=H","DateFormat=P","Fill=—","Direction=H","UseDPDF=Y")</f>
        <v>—</v>
      </c>
      <c r="P6" s="20" t="str">
        <f>_xll.BDH("SRPT US Equity","PE_RATIO","FQ4 2022","FQ4 2022","Currency=USD","Period=FQ","BEST_FPERIOD_OVERRIDE=FQ","FILING_STATUS=MR","Sort=A","Dates=H","DateFormat=P","Fill=—","Direction=H","UseDPDF=Y")</f>
        <v>—</v>
      </c>
      <c r="Q6" s="20" t="str">
        <f>_xll.BDH("SRPT US Equity","PE_RATIO","FQ1 2023","FQ1 2023","Currency=USD","Period=FQ","BEST_FPERIOD_OVERRIDE=FQ","FILING_STATUS=MR","Sort=A","Dates=H","DateFormat=P","Fill=—","Direction=H","UseDPDF=Y")</f>
        <v>—</v>
      </c>
      <c r="R6" s="20" t="str">
        <f>_xll.BDH("SRPT US Equity","PE_RATIO","FQ2 2023","FQ2 2023","Currency=USD","Period=FQ","BEST_FPERIOD_OVERRIDE=FQ","FILING_STATUS=MR","Sort=A","Dates=H","DateFormat=P","Fill=—","Direction=H","UseDPDF=Y")</f>
        <v>—</v>
      </c>
      <c r="S6" s="20" t="str">
        <f>_xll.BDH("SRPT US Equity","PE_RATIO","FQ3 2023","FQ3 2023","Currency=USD","Period=FQ","BEST_FPERIOD_OVERRIDE=FQ","FILING_STATUS=MR","Sort=A","Dates=H","DateFormat=P","Fill=—","Direction=H","UseDPDF=Y")</f>
        <v>—</v>
      </c>
      <c r="T6" s="20" t="str">
        <f>_xll.BDH("SRPT US Equity","PE_RATIO","FQ4 2023","FQ4 2023","Currency=USD","Period=FQ","BEST_FPERIOD_OVERRIDE=FQ","FILING_STATUS=MR","Sort=A","Dates=H","DateFormat=P","Fill=—","Direction=H","UseDPDF=Y")</f>
        <v>—</v>
      </c>
      <c r="U6" s="20" t="str">
        <f>_xll.BDH("SRPT US Equity","PE_RATIO","FQ1 2024","FQ1 2024","Currency=USD","Period=FQ","BEST_FPERIOD_OVERRIDE=FQ","FILING_STATUS=MR","Sort=A","Dates=H","DateFormat=P","Fill=—","Direction=H","UseDPDF=Y")</f>
        <v>—</v>
      </c>
      <c r="V6" s="20">
        <f>_xll.BDH("SRPT US Equity","PE_RATIO","FQ2 2024","FQ2 2024","Currency=USD","Period=FQ","BEST_FPERIOD_OVERRIDE=FQ","FILING_STATUS=MR","Sort=A","Dates=H","DateFormat=P","Fill=—","Direction=H","UseDPDF=Y")</f>
        <v>279.1574</v>
      </c>
      <c r="W6" s="20">
        <f>_xll.BDH("SRPT US Equity","PE_RATIO","FQ3 2024","FQ3 2024","Currency=USD","Period=FQ","BEST_FPERIOD_OVERRIDE=FQ","FILING_STATUS=MR","Sort=A","Dates=H","DateFormat=P","Fill=—","Direction=H","UseDPDF=Y")</f>
        <v>93.535399999999996</v>
      </c>
      <c r="X6" s="20">
        <f>_xll.BDH("SRPT US Equity","PE_RATIO","FQ4 2024","FQ4 2024","Currency=USD","Period=FQ","BEST_FPERIOD_OVERRIDE=FQ","FILING_STATUS=MR","Sort=A","Dates=H","DateFormat=P","Fill=—","Direction=H","UseDPDF=Y")</f>
        <v>51.5503</v>
      </c>
      <c r="Y6" s="23">
        <v>29.842078932855301</v>
      </c>
      <c r="Z6" s="20">
        <v>6.7395155112983502</v>
      </c>
      <c r="AA6" s="20">
        <v>6.0371815764645298</v>
      </c>
    </row>
    <row r="7" spans="1:27" x14ac:dyDescent="0.25">
      <c r="A7" s="10" t="s">
        <v>209</v>
      </c>
      <c r="B7" s="10" t="s">
        <v>210</v>
      </c>
      <c r="C7" s="14" t="str">
        <f>_xll.BDH("SRPT US Equity","AVERAGE_PRICE_EARNINGS_RATIO","FQ3 2019","FQ3 2019","Currency=USD","Period=FQ","BEST_FPERIOD_OVERRIDE=FQ","FILING_STATUS=MR","Sort=A","Dates=H","DateFormat=P","Fill=—","Direction=H","UseDPDF=Y")</f>
        <v>—</v>
      </c>
      <c r="D7" s="14" t="str">
        <f>_xll.BDH("SRPT US Equity","AVERAGE_PRICE_EARNINGS_RATIO","FQ4 2019","FQ4 2019","Currency=USD","Period=FQ","BEST_FPERIOD_OVERRIDE=FQ","FILING_STATUS=MR","Sort=A","Dates=H","DateFormat=P","Fill=—","Direction=H","UseDPDF=Y")</f>
        <v>—</v>
      </c>
      <c r="E7" s="14" t="str">
        <f>_xll.BDH("SRPT US Equity","AVERAGE_PRICE_EARNINGS_RATIO","FQ1 2020","FQ1 2020","Currency=USD","Period=FQ","BEST_FPERIOD_OVERRIDE=FQ","FILING_STATUS=MR","Sort=A","Dates=H","DateFormat=P","Fill=—","Direction=H","UseDPDF=Y")</f>
        <v>—</v>
      </c>
      <c r="F7" s="14" t="str">
        <f>_xll.BDH("SRPT US Equity","AVERAGE_PRICE_EARNINGS_RATIO","FQ2 2020","FQ2 2020","Currency=USD","Period=FQ","BEST_FPERIOD_OVERRIDE=FQ","FILING_STATUS=MR","Sort=A","Dates=H","DateFormat=P","Fill=—","Direction=H","UseDPDF=Y")</f>
        <v>—</v>
      </c>
      <c r="G7" s="14" t="str">
        <f>_xll.BDH("SRPT US Equity","AVERAGE_PRICE_EARNINGS_RATIO","FQ3 2020","FQ3 2020","Currency=USD","Period=FQ","BEST_FPERIOD_OVERRIDE=FQ","FILING_STATUS=MR","Sort=A","Dates=H","DateFormat=P","Fill=—","Direction=H","UseDPDF=Y")</f>
        <v>—</v>
      </c>
      <c r="H7" s="14" t="str">
        <f>_xll.BDH("SRPT US Equity","AVERAGE_PRICE_EARNINGS_RATIO","FQ4 2020","FQ4 2020","Currency=USD","Period=FQ","BEST_FPERIOD_OVERRIDE=FQ","FILING_STATUS=MR","Sort=A","Dates=H","DateFormat=P","Fill=—","Direction=H","UseDPDF=Y")</f>
        <v>—</v>
      </c>
      <c r="I7" s="14" t="str">
        <f>_xll.BDH("SRPT US Equity","AVERAGE_PRICE_EARNINGS_RATIO","FQ1 2021","FQ1 2021","Currency=USD","Period=FQ","BEST_FPERIOD_OVERRIDE=FQ","FILING_STATUS=MR","Sort=A","Dates=H","DateFormat=P","Fill=—","Direction=H","UseDPDF=Y")</f>
        <v>—</v>
      </c>
      <c r="J7" s="14" t="str">
        <f>_xll.BDH("SRPT US Equity","AVERAGE_PRICE_EARNINGS_RATIO","FQ2 2021","FQ2 2021","Currency=USD","Period=FQ","BEST_FPERIOD_OVERRIDE=FQ","FILING_STATUS=MR","Sort=A","Dates=H","DateFormat=P","Fill=—","Direction=H","UseDPDF=Y")</f>
        <v>—</v>
      </c>
      <c r="K7" s="14" t="str">
        <f>_xll.BDH("SRPT US Equity","AVERAGE_PRICE_EARNINGS_RATIO","FQ3 2021","FQ3 2021","Currency=USD","Period=FQ","BEST_FPERIOD_OVERRIDE=FQ","FILING_STATUS=MR","Sort=A","Dates=H","DateFormat=P","Fill=—","Direction=H","UseDPDF=Y")</f>
        <v>—</v>
      </c>
      <c r="L7" s="14" t="str">
        <f>_xll.BDH("SRPT US Equity","AVERAGE_PRICE_EARNINGS_RATIO","FQ4 2021","FQ4 2021","Currency=USD","Period=FQ","BEST_FPERIOD_OVERRIDE=FQ","FILING_STATUS=MR","Sort=A","Dates=H","DateFormat=P","Fill=—","Direction=H","UseDPDF=Y")</f>
        <v>—</v>
      </c>
      <c r="M7" s="14" t="str">
        <f>_xll.BDH("SRPT US Equity","AVERAGE_PRICE_EARNINGS_RATIO","FQ1 2022","FQ1 2022","Currency=USD","Period=FQ","BEST_FPERIOD_OVERRIDE=FQ","FILING_STATUS=MR","Sort=A","Dates=H","DateFormat=P","Fill=—","Direction=H","UseDPDF=Y")</f>
        <v>—</v>
      </c>
      <c r="N7" s="14" t="str">
        <f>_xll.BDH("SRPT US Equity","AVERAGE_PRICE_EARNINGS_RATIO","FQ2 2022","FQ2 2022","Currency=USD","Period=FQ","BEST_FPERIOD_OVERRIDE=FQ","FILING_STATUS=MR","Sort=A","Dates=H","DateFormat=P","Fill=—","Direction=H","UseDPDF=Y")</f>
        <v>—</v>
      </c>
      <c r="O7" s="14" t="str">
        <f>_xll.BDH("SRPT US Equity","AVERAGE_PRICE_EARNINGS_RATIO","FQ3 2022","FQ3 2022","Currency=USD","Period=FQ","BEST_FPERIOD_OVERRIDE=FQ","FILING_STATUS=MR","Sort=A","Dates=H","DateFormat=P","Fill=—","Direction=H","UseDPDF=Y")</f>
        <v>—</v>
      </c>
      <c r="P7" s="14" t="str">
        <f>_xll.BDH("SRPT US Equity","AVERAGE_PRICE_EARNINGS_RATIO","FQ4 2022","FQ4 2022","Currency=USD","Period=FQ","BEST_FPERIOD_OVERRIDE=FQ","FILING_STATUS=MR","Sort=A","Dates=H","DateFormat=P","Fill=—","Direction=H","UseDPDF=Y")</f>
        <v>—</v>
      </c>
      <c r="Q7" s="14" t="str">
        <f>_xll.BDH("SRPT US Equity","AVERAGE_PRICE_EARNINGS_RATIO","FQ1 2023","FQ1 2023","Currency=USD","Period=FQ","BEST_FPERIOD_OVERRIDE=FQ","FILING_STATUS=MR","Sort=A","Dates=H","DateFormat=P","Fill=—","Direction=H","UseDPDF=Y")</f>
        <v>—</v>
      </c>
      <c r="R7" s="14" t="str">
        <f>_xll.BDH("SRPT US Equity","AVERAGE_PRICE_EARNINGS_RATIO","FQ2 2023","FQ2 2023","Currency=USD","Period=FQ","BEST_FPERIOD_OVERRIDE=FQ","FILING_STATUS=MR","Sort=A","Dates=H","DateFormat=P","Fill=—","Direction=H","UseDPDF=Y")</f>
        <v>—</v>
      </c>
      <c r="S7" s="14" t="str">
        <f>_xll.BDH("SRPT US Equity","AVERAGE_PRICE_EARNINGS_RATIO","FQ3 2023","FQ3 2023","Currency=USD","Period=FQ","BEST_FPERIOD_OVERRIDE=FQ","FILING_STATUS=MR","Sort=A","Dates=H","DateFormat=P","Fill=—","Direction=H","UseDPDF=Y")</f>
        <v>—</v>
      </c>
      <c r="T7" s="14" t="str">
        <f>_xll.BDH("SRPT US Equity","AVERAGE_PRICE_EARNINGS_RATIO","FQ4 2023","FQ4 2023","Currency=USD","Period=FQ","BEST_FPERIOD_OVERRIDE=FQ","FILING_STATUS=MR","Sort=A","Dates=H","DateFormat=P","Fill=—","Direction=H","UseDPDF=Y")</f>
        <v>—</v>
      </c>
      <c r="U7" s="14" t="str">
        <f>_xll.BDH("SRPT US Equity","AVERAGE_PRICE_EARNINGS_RATIO","FQ1 2024","FQ1 2024","Currency=USD","Period=FQ","BEST_FPERIOD_OVERRIDE=FQ","FILING_STATUS=MR","Sort=A","Dates=H","DateFormat=P","Fill=—","Direction=H","UseDPDF=Y")</f>
        <v>—</v>
      </c>
      <c r="V7" s="14">
        <f>_xll.BDH("SRPT US Equity","AVERAGE_PRICE_EARNINGS_RATIO","FQ2 2024","FQ2 2024","Currency=USD","Period=FQ","BEST_FPERIOD_OVERRIDE=FQ","FILING_STATUS=MR","Sort=A","Dates=H","DateFormat=P","Fill=—","Direction=H","UseDPDF=Y")</f>
        <v>279.1574</v>
      </c>
      <c r="W7" s="14">
        <f>_xll.BDH("SRPT US Equity","AVERAGE_PRICE_EARNINGS_RATIO","FQ3 2024","FQ3 2024","Currency=USD","Period=FQ","BEST_FPERIOD_OVERRIDE=FQ","FILING_STATUS=MR","Sort=A","Dates=H","DateFormat=P","Fill=—","Direction=H","UseDPDF=Y")</f>
        <v>242.2627</v>
      </c>
      <c r="X7" s="14">
        <f>_xll.BDH("SRPT US Equity","AVERAGE_PRICE_EARNINGS_RATIO","FQ4 2024","FQ4 2024","Currency=USD","Period=FQ","BEST_FPERIOD_OVERRIDE=FQ","FILING_STATUS=MR","Sort=A","Dates=H","DateFormat=P","Fill=—","Direction=H","UseDPDF=Y")</f>
        <v>91.168199999999999</v>
      </c>
      <c r="Y7" s="17"/>
      <c r="Z7" s="14"/>
      <c r="AA7" s="14"/>
    </row>
    <row r="8" spans="1:27" x14ac:dyDescent="0.25">
      <c r="A8" s="10" t="s">
        <v>211</v>
      </c>
      <c r="B8" s="10" t="s">
        <v>212</v>
      </c>
      <c r="C8" s="14" t="str">
        <f>_xll.BDH("SRPT US Equity","PX_ERN_RATIO_WITH_HIGH_CLOS_PX","FQ3 2019","FQ3 2019","Currency=USD","Period=FQ","BEST_FPERIOD_OVERRIDE=FQ","FILING_STATUS=MR","Sort=A","Dates=H","DateFormat=P","Fill=—","Direction=H","UseDPDF=Y")</f>
        <v>—</v>
      </c>
      <c r="D8" s="14" t="str">
        <f>_xll.BDH("SRPT US Equity","PX_ERN_RATIO_WITH_HIGH_CLOS_PX","FQ4 2019","FQ4 2019","Currency=USD","Period=FQ","BEST_FPERIOD_OVERRIDE=FQ","FILING_STATUS=MR","Sort=A","Dates=H","DateFormat=P","Fill=—","Direction=H","UseDPDF=Y")</f>
        <v>—</v>
      </c>
      <c r="E8" s="14" t="str">
        <f>_xll.BDH("SRPT US Equity","PX_ERN_RATIO_WITH_HIGH_CLOS_PX","FQ1 2020","FQ1 2020","Currency=USD","Period=FQ","BEST_FPERIOD_OVERRIDE=FQ","FILING_STATUS=MR","Sort=A","Dates=H","DateFormat=P","Fill=—","Direction=H","UseDPDF=Y")</f>
        <v>—</v>
      </c>
      <c r="F8" s="14" t="str">
        <f>_xll.BDH("SRPT US Equity","PX_ERN_RATIO_WITH_HIGH_CLOS_PX","FQ2 2020","FQ2 2020","Currency=USD","Period=FQ","BEST_FPERIOD_OVERRIDE=FQ","FILING_STATUS=MR","Sort=A","Dates=H","DateFormat=P","Fill=—","Direction=H","UseDPDF=Y")</f>
        <v>—</v>
      </c>
      <c r="G8" s="14" t="str">
        <f>_xll.BDH("SRPT US Equity","PX_ERN_RATIO_WITH_HIGH_CLOS_PX","FQ3 2020","FQ3 2020","Currency=USD","Period=FQ","BEST_FPERIOD_OVERRIDE=FQ","FILING_STATUS=MR","Sort=A","Dates=H","DateFormat=P","Fill=—","Direction=H","UseDPDF=Y")</f>
        <v>—</v>
      </c>
      <c r="H8" s="14" t="str">
        <f>_xll.BDH("SRPT US Equity","PX_ERN_RATIO_WITH_HIGH_CLOS_PX","FQ4 2020","FQ4 2020","Currency=USD","Period=FQ","BEST_FPERIOD_OVERRIDE=FQ","FILING_STATUS=MR","Sort=A","Dates=H","DateFormat=P","Fill=—","Direction=H","UseDPDF=Y")</f>
        <v>—</v>
      </c>
      <c r="I8" s="14" t="str">
        <f>_xll.BDH("SRPT US Equity","PX_ERN_RATIO_WITH_HIGH_CLOS_PX","FQ1 2021","FQ1 2021","Currency=USD","Period=FQ","BEST_FPERIOD_OVERRIDE=FQ","FILING_STATUS=MR","Sort=A","Dates=H","DateFormat=P","Fill=—","Direction=H","UseDPDF=Y")</f>
        <v>—</v>
      </c>
      <c r="J8" s="14" t="str">
        <f>_xll.BDH("SRPT US Equity","PX_ERN_RATIO_WITH_HIGH_CLOS_PX","FQ2 2021","FQ2 2021","Currency=USD","Period=FQ","BEST_FPERIOD_OVERRIDE=FQ","FILING_STATUS=MR","Sort=A","Dates=H","DateFormat=P","Fill=—","Direction=H","UseDPDF=Y")</f>
        <v>—</v>
      </c>
      <c r="K8" s="14" t="str">
        <f>_xll.BDH("SRPT US Equity","PX_ERN_RATIO_WITH_HIGH_CLOS_PX","FQ3 2021","FQ3 2021","Currency=USD","Period=FQ","BEST_FPERIOD_OVERRIDE=FQ","FILING_STATUS=MR","Sort=A","Dates=H","DateFormat=P","Fill=—","Direction=H","UseDPDF=Y")</f>
        <v>—</v>
      </c>
      <c r="L8" s="14" t="str">
        <f>_xll.BDH("SRPT US Equity","PX_ERN_RATIO_WITH_HIGH_CLOS_PX","FQ4 2021","FQ4 2021","Currency=USD","Period=FQ","BEST_FPERIOD_OVERRIDE=FQ","FILING_STATUS=MR","Sort=A","Dates=H","DateFormat=P","Fill=—","Direction=H","UseDPDF=Y")</f>
        <v>—</v>
      </c>
      <c r="M8" s="14" t="str">
        <f>_xll.BDH("SRPT US Equity","PX_ERN_RATIO_WITH_HIGH_CLOS_PX","FQ1 2022","FQ1 2022","Currency=USD","Period=FQ","BEST_FPERIOD_OVERRIDE=FQ","FILING_STATUS=MR","Sort=A","Dates=H","DateFormat=P","Fill=—","Direction=H","UseDPDF=Y")</f>
        <v>—</v>
      </c>
      <c r="N8" s="14" t="str">
        <f>_xll.BDH("SRPT US Equity","PX_ERN_RATIO_WITH_HIGH_CLOS_PX","FQ2 2022","FQ2 2022","Currency=USD","Period=FQ","BEST_FPERIOD_OVERRIDE=FQ","FILING_STATUS=MR","Sort=A","Dates=H","DateFormat=P","Fill=—","Direction=H","UseDPDF=Y")</f>
        <v>—</v>
      </c>
      <c r="O8" s="14" t="str">
        <f>_xll.BDH("SRPT US Equity","PX_ERN_RATIO_WITH_HIGH_CLOS_PX","FQ3 2022","FQ3 2022","Currency=USD","Period=FQ","BEST_FPERIOD_OVERRIDE=FQ","FILING_STATUS=MR","Sort=A","Dates=H","DateFormat=P","Fill=—","Direction=H","UseDPDF=Y")</f>
        <v>—</v>
      </c>
      <c r="P8" s="14" t="str">
        <f>_xll.BDH("SRPT US Equity","PX_ERN_RATIO_WITH_HIGH_CLOS_PX","FQ4 2022","FQ4 2022","Currency=USD","Period=FQ","BEST_FPERIOD_OVERRIDE=FQ","FILING_STATUS=MR","Sort=A","Dates=H","DateFormat=P","Fill=—","Direction=H","UseDPDF=Y")</f>
        <v>—</v>
      </c>
      <c r="Q8" s="14" t="str">
        <f>_xll.BDH("SRPT US Equity","PX_ERN_RATIO_WITH_HIGH_CLOS_PX","FQ1 2023","FQ1 2023","Currency=USD","Period=FQ","BEST_FPERIOD_OVERRIDE=FQ","FILING_STATUS=MR","Sort=A","Dates=H","DateFormat=P","Fill=—","Direction=H","UseDPDF=Y")</f>
        <v>—</v>
      </c>
      <c r="R8" s="14" t="str">
        <f>_xll.BDH("SRPT US Equity","PX_ERN_RATIO_WITH_HIGH_CLOS_PX","FQ2 2023","FQ2 2023","Currency=USD","Period=FQ","BEST_FPERIOD_OVERRIDE=FQ","FILING_STATUS=MR","Sort=A","Dates=H","DateFormat=P","Fill=—","Direction=H","UseDPDF=Y")</f>
        <v>—</v>
      </c>
      <c r="S8" s="14" t="str">
        <f>_xll.BDH("SRPT US Equity","PX_ERN_RATIO_WITH_HIGH_CLOS_PX","FQ3 2023","FQ3 2023","Currency=USD","Period=FQ","BEST_FPERIOD_OVERRIDE=FQ","FILING_STATUS=MR","Sort=A","Dates=H","DateFormat=P","Fill=—","Direction=H","UseDPDF=Y")</f>
        <v>—</v>
      </c>
      <c r="T8" s="14" t="str">
        <f>_xll.BDH("SRPT US Equity","PX_ERN_RATIO_WITH_HIGH_CLOS_PX","FQ4 2023","FQ4 2023","Currency=USD","Period=FQ","BEST_FPERIOD_OVERRIDE=FQ","FILING_STATUS=MR","Sort=A","Dates=H","DateFormat=P","Fill=—","Direction=H","UseDPDF=Y")</f>
        <v>—</v>
      </c>
      <c r="U8" s="14" t="str">
        <f>_xll.BDH("SRPT US Equity","PX_ERN_RATIO_WITH_HIGH_CLOS_PX","FQ1 2024","FQ1 2024","Currency=USD","Period=FQ","BEST_FPERIOD_OVERRIDE=FQ","FILING_STATUS=MR","Sort=A","Dates=H","DateFormat=P","Fill=—","Direction=H","UseDPDF=Y")</f>
        <v>—</v>
      </c>
      <c r="V8" s="14">
        <f>_xll.BDH("SRPT US Equity","PX_ERN_RATIO_WITH_HIGH_CLOS_PX","FQ2 2024","FQ2 2024","Currency=USD","Period=FQ","BEST_FPERIOD_OVERRIDE=FQ","FILING_STATUS=MR","Sort=A","Dates=H","DateFormat=P","Fill=—","Direction=H","UseDPDF=Y")</f>
        <v>279.1574</v>
      </c>
      <c r="W8" s="14">
        <f>_xll.BDH("SRPT US Equity","PX_ERN_RATIO_WITH_HIGH_CLOS_PX","FQ3 2024","FQ3 2024","Currency=USD","Period=FQ","BEST_FPERIOD_OVERRIDE=FQ","FILING_STATUS=MR","Sort=A","Dates=H","DateFormat=P","Fill=—","Direction=H","UseDPDF=Y")</f>
        <v>276.94880000000001</v>
      </c>
      <c r="X8" s="14">
        <f>_xll.BDH("SRPT US Equity","PX_ERN_RATIO_WITH_HIGH_CLOS_PX","FQ4 2024","FQ4 2024","Currency=USD","Period=FQ","BEST_FPERIOD_OVERRIDE=FQ","FILING_STATUS=MR","Sort=A","Dates=H","DateFormat=P","Fill=—","Direction=H","UseDPDF=Y")</f>
        <v>103.3091</v>
      </c>
      <c r="Y8" s="17"/>
      <c r="Z8" s="14"/>
      <c r="AA8" s="14"/>
    </row>
    <row r="9" spans="1:27" x14ac:dyDescent="0.25">
      <c r="A9" s="10" t="s">
        <v>213</v>
      </c>
      <c r="B9" s="10" t="s">
        <v>214</v>
      </c>
      <c r="C9" s="14" t="str">
        <f>_xll.BDH("SRPT US Equity","PX_ERN_RATIO_WITH_LOW_CLOS_PX","FQ3 2019","FQ3 2019","Currency=USD","Period=FQ","BEST_FPERIOD_OVERRIDE=FQ","FILING_STATUS=MR","Sort=A","Dates=H","DateFormat=P","Fill=—","Direction=H","UseDPDF=Y")</f>
        <v>—</v>
      </c>
      <c r="D9" s="14" t="str">
        <f>_xll.BDH("SRPT US Equity","PX_ERN_RATIO_WITH_LOW_CLOS_PX","FQ4 2019","FQ4 2019","Currency=USD","Period=FQ","BEST_FPERIOD_OVERRIDE=FQ","FILING_STATUS=MR","Sort=A","Dates=H","DateFormat=P","Fill=—","Direction=H","UseDPDF=Y")</f>
        <v>—</v>
      </c>
      <c r="E9" s="14" t="str">
        <f>_xll.BDH("SRPT US Equity","PX_ERN_RATIO_WITH_LOW_CLOS_PX","FQ1 2020","FQ1 2020","Currency=USD","Period=FQ","BEST_FPERIOD_OVERRIDE=FQ","FILING_STATUS=MR","Sort=A","Dates=H","DateFormat=P","Fill=—","Direction=H","UseDPDF=Y")</f>
        <v>—</v>
      </c>
      <c r="F9" s="14" t="str">
        <f>_xll.BDH("SRPT US Equity","PX_ERN_RATIO_WITH_LOW_CLOS_PX","FQ2 2020","FQ2 2020","Currency=USD","Period=FQ","BEST_FPERIOD_OVERRIDE=FQ","FILING_STATUS=MR","Sort=A","Dates=H","DateFormat=P","Fill=—","Direction=H","UseDPDF=Y")</f>
        <v>—</v>
      </c>
      <c r="G9" s="14" t="str">
        <f>_xll.BDH("SRPT US Equity","PX_ERN_RATIO_WITH_LOW_CLOS_PX","FQ3 2020","FQ3 2020","Currency=USD","Period=FQ","BEST_FPERIOD_OVERRIDE=FQ","FILING_STATUS=MR","Sort=A","Dates=H","DateFormat=P","Fill=—","Direction=H","UseDPDF=Y")</f>
        <v>—</v>
      </c>
      <c r="H9" s="14" t="str">
        <f>_xll.BDH("SRPT US Equity","PX_ERN_RATIO_WITH_LOW_CLOS_PX","FQ4 2020","FQ4 2020","Currency=USD","Period=FQ","BEST_FPERIOD_OVERRIDE=FQ","FILING_STATUS=MR","Sort=A","Dates=H","DateFormat=P","Fill=—","Direction=H","UseDPDF=Y")</f>
        <v>—</v>
      </c>
      <c r="I9" s="14" t="str">
        <f>_xll.BDH("SRPT US Equity","PX_ERN_RATIO_WITH_LOW_CLOS_PX","FQ1 2021","FQ1 2021","Currency=USD","Period=FQ","BEST_FPERIOD_OVERRIDE=FQ","FILING_STATUS=MR","Sort=A","Dates=H","DateFormat=P","Fill=—","Direction=H","UseDPDF=Y")</f>
        <v>—</v>
      </c>
      <c r="J9" s="14" t="str">
        <f>_xll.BDH("SRPT US Equity","PX_ERN_RATIO_WITH_LOW_CLOS_PX","FQ2 2021","FQ2 2021","Currency=USD","Period=FQ","BEST_FPERIOD_OVERRIDE=FQ","FILING_STATUS=MR","Sort=A","Dates=H","DateFormat=P","Fill=—","Direction=H","UseDPDF=Y")</f>
        <v>—</v>
      </c>
      <c r="K9" s="14" t="str">
        <f>_xll.BDH("SRPT US Equity","PX_ERN_RATIO_WITH_LOW_CLOS_PX","FQ3 2021","FQ3 2021","Currency=USD","Period=FQ","BEST_FPERIOD_OVERRIDE=FQ","FILING_STATUS=MR","Sort=A","Dates=H","DateFormat=P","Fill=—","Direction=H","UseDPDF=Y")</f>
        <v>—</v>
      </c>
      <c r="L9" s="14" t="str">
        <f>_xll.BDH("SRPT US Equity","PX_ERN_RATIO_WITH_LOW_CLOS_PX","FQ4 2021","FQ4 2021","Currency=USD","Period=FQ","BEST_FPERIOD_OVERRIDE=FQ","FILING_STATUS=MR","Sort=A","Dates=H","DateFormat=P","Fill=—","Direction=H","UseDPDF=Y")</f>
        <v>—</v>
      </c>
      <c r="M9" s="14" t="str">
        <f>_xll.BDH("SRPT US Equity","PX_ERN_RATIO_WITH_LOW_CLOS_PX","FQ1 2022","FQ1 2022","Currency=USD","Period=FQ","BEST_FPERIOD_OVERRIDE=FQ","FILING_STATUS=MR","Sort=A","Dates=H","DateFormat=P","Fill=—","Direction=H","UseDPDF=Y")</f>
        <v>—</v>
      </c>
      <c r="N9" s="14" t="str">
        <f>_xll.BDH("SRPT US Equity","PX_ERN_RATIO_WITH_LOW_CLOS_PX","FQ2 2022","FQ2 2022","Currency=USD","Period=FQ","BEST_FPERIOD_OVERRIDE=FQ","FILING_STATUS=MR","Sort=A","Dates=H","DateFormat=P","Fill=—","Direction=H","UseDPDF=Y")</f>
        <v>—</v>
      </c>
      <c r="O9" s="14" t="str">
        <f>_xll.BDH("SRPT US Equity","PX_ERN_RATIO_WITH_LOW_CLOS_PX","FQ3 2022","FQ3 2022","Currency=USD","Period=FQ","BEST_FPERIOD_OVERRIDE=FQ","FILING_STATUS=MR","Sort=A","Dates=H","DateFormat=P","Fill=—","Direction=H","UseDPDF=Y")</f>
        <v>—</v>
      </c>
      <c r="P9" s="14" t="str">
        <f>_xll.BDH("SRPT US Equity","PX_ERN_RATIO_WITH_LOW_CLOS_PX","FQ4 2022","FQ4 2022","Currency=USD","Period=FQ","BEST_FPERIOD_OVERRIDE=FQ","FILING_STATUS=MR","Sort=A","Dates=H","DateFormat=P","Fill=—","Direction=H","UseDPDF=Y")</f>
        <v>—</v>
      </c>
      <c r="Q9" s="14" t="str">
        <f>_xll.BDH("SRPT US Equity","PX_ERN_RATIO_WITH_LOW_CLOS_PX","FQ1 2023","FQ1 2023","Currency=USD","Period=FQ","BEST_FPERIOD_OVERRIDE=FQ","FILING_STATUS=MR","Sort=A","Dates=H","DateFormat=P","Fill=—","Direction=H","UseDPDF=Y")</f>
        <v>—</v>
      </c>
      <c r="R9" s="14" t="str">
        <f>_xll.BDH("SRPT US Equity","PX_ERN_RATIO_WITH_LOW_CLOS_PX","FQ2 2023","FQ2 2023","Currency=USD","Period=FQ","BEST_FPERIOD_OVERRIDE=FQ","FILING_STATUS=MR","Sort=A","Dates=H","DateFormat=P","Fill=—","Direction=H","UseDPDF=Y")</f>
        <v>—</v>
      </c>
      <c r="S9" s="14" t="str">
        <f>_xll.BDH("SRPT US Equity","PX_ERN_RATIO_WITH_LOW_CLOS_PX","FQ3 2023","FQ3 2023","Currency=USD","Period=FQ","BEST_FPERIOD_OVERRIDE=FQ","FILING_STATUS=MR","Sort=A","Dates=H","DateFormat=P","Fill=—","Direction=H","UseDPDF=Y")</f>
        <v>—</v>
      </c>
      <c r="T9" s="14" t="str">
        <f>_xll.BDH("SRPT US Equity","PX_ERN_RATIO_WITH_LOW_CLOS_PX","FQ4 2023","FQ4 2023","Currency=USD","Period=FQ","BEST_FPERIOD_OVERRIDE=FQ","FILING_STATUS=MR","Sort=A","Dates=H","DateFormat=P","Fill=—","Direction=H","UseDPDF=Y")</f>
        <v>—</v>
      </c>
      <c r="U9" s="14" t="str">
        <f>_xll.BDH("SRPT US Equity","PX_ERN_RATIO_WITH_LOW_CLOS_PX","FQ1 2024","FQ1 2024","Currency=USD","Period=FQ","BEST_FPERIOD_OVERRIDE=FQ","FILING_STATUS=MR","Sort=A","Dates=H","DateFormat=P","Fill=—","Direction=H","UseDPDF=Y")</f>
        <v>—</v>
      </c>
      <c r="V9" s="14">
        <f>_xll.BDH("SRPT US Equity","PX_ERN_RATIO_WITH_LOW_CLOS_PX","FQ2 2024","FQ2 2024","Currency=USD","Period=FQ","BEST_FPERIOD_OVERRIDE=FQ","FILING_STATUS=MR","Sort=A","Dates=H","DateFormat=P","Fill=—","Direction=H","UseDPDF=Y")</f>
        <v>279.1574</v>
      </c>
      <c r="W9" s="14">
        <f>_xll.BDH("SRPT US Equity","PX_ERN_RATIO_WITH_LOW_CLOS_PX","FQ3 2024","FQ3 2024","Currency=USD","Period=FQ","BEST_FPERIOD_OVERRIDE=FQ","FILING_STATUS=MR","Sort=A","Dates=H","DateFormat=P","Fill=—","Direction=H","UseDPDF=Y")</f>
        <v>93.535399999999996</v>
      </c>
      <c r="X9" s="14">
        <f>_xll.BDH("SRPT US Equity","PX_ERN_RATIO_WITH_LOW_CLOS_PX","FQ4 2024","FQ4 2024","Currency=USD","Period=FQ","BEST_FPERIOD_OVERRIDE=FQ","FILING_STATUS=MR","Sort=A","Dates=H","DateFormat=P","Fill=—","Direction=H","UseDPDF=Y")</f>
        <v>51.5503</v>
      </c>
      <c r="Y9" s="17"/>
      <c r="Z9" s="14"/>
      <c r="AA9" s="14"/>
    </row>
    <row r="10" spans="1:27" x14ac:dyDescent="0.25">
      <c r="A10" s="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21"/>
      <c r="Z10" s="18"/>
      <c r="AA10" s="18"/>
    </row>
    <row r="11" spans="1:27" x14ac:dyDescent="0.25">
      <c r="A11" s="6" t="s">
        <v>215</v>
      </c>
      <c r="B11" s="6" t="s">
        <v>216</v>
      </c>
      <c r="C11" s="20">
        <f>_xll.BDH("SRPT US Equity","PX_TO_BOOK_RATIO","FQ3 2019","FQ3 2019","Currency=USD","Period=FQ","BEST_FPERIOD_OVERRIDE=FQ","FILING_STATUS=MR","Sort=A","Dates=H","DateFormat=P","Fill=—","Direction=H","UseDPDF=Y")</f>
        <v>5.6387</v>
      </c>
      <c r="D11" s="20">
        <f>_xll.BDH("SRPT US Equity","PX_TO_BOOK_RATIO","FQ4 2019","FQ4 2019","Currency=USD","Period=FQ","BEST_FPERIOD_OVERRIDE=FQ","FILING_STATUS=MR","Sort=A","Dates=H","DateFormat=P","Fill=—","Direction=H","UseDPDF=Y")</f>
        <v>11.857699999999999</v>
      </c>
      <c r="E11" s="20">
        <f>_xll.BDH("SRPT US Equity","PX_TO_BOOK_RATIO","FQ1 2020","FQ1 2020","Currency=USD","Period=FQ","BEST_FPERIOD_OVERRIDE=FQ","FILING_STATUS=MR","Sort=A","Dates=H","DateFormat=P","Fill=—","Direction=H","UseDPDF=Y")</f>
        <v>6.6611000000000002</v>
      </c>
      <c r="F11" s="20">
        <f>_xll.BDH("SRPT US Equity","PX_TO_BOOK_RATIO","FQ2 2020","FQ2 2020","Currency=USD","Period=FQ","BEST_FPERIOD_OVERRIDE=FQ","FILING_STATUS=MR","Sort=A","Dates=H","DateFormat=P","Fill=—","Direction=H","UseDPDF=Y")</f>
        <v>12.0589</v>
      </c>
      <c r="G11" s="20">
        <f>_xll.BDH("SRPT US Equity","PX_TO_BOOK_RATIO","FQ3 2020","FQ3 2020","Currency=USD","Period=FQ","BEST_FPERIOD_OVERRIDE=FQ","FILING_STATUS=MR","Sort=A","Dates=H","DateFormat=P","Fill=—","Direction=H","UseDPDF=Y")</f>
        <v>12.4034</v>
      </c>
      <c r="H11" s="20">
        <f>_xll.BDH("SRPT US Equity","PX_TO_BOOK_RATIO","FQ4 2020","FQ4 2020","Currency=USD","Period=FQ","BEST_FPERIOD_OVERRIDE=FQ","FILING_STATUS=MR","Sort=A","Dates=H","DateFormat=P","Fill=—","Direction=H","UseDPDF=Y")</f>
        <v>17.764800000000001</v>
      </c>
      <c r="I11" s="20">
        <f>_xll.BDH("SRPT US Equity","PX_TO_BOOK_RATIO","FQ1 2021","FQ1 2021","Currency=USD","Period=FQ","BEST_FPERIOD_OVERRIDE=FQ","FILING_STATUS=MR","Sort=A","Dates=H","DateFormat=P","Fill=—","Direction=H","UseDPDF=Y")</f>
        <v>11.100300000000001</v>
      </c>
      <c r="J11" s="20">
        <f>_xll.BDH("SRPT US Equity","PX_TO_BOOK_RATIO","FQ2 2021","FQ2 2021","Currency=USD","Period=FQ","BEST_FPERIOD_OVERRIDE=FQ","FILING_STATUS=MR","Sort=A","Dates=H","DateFormat=P","Fill=—","Direction=H","UseDPDF=Y")</f>
        <v>12.793100000000001</v>
      </c>
      <c r="K11" s="20">
        <f>_xll.BDH("SRPT US Equity","PX_TO_BOOK_RATIO","FQ3 2021","FQ3 2021","Currency=USD","Period=FQ","BEST_FPERIOD_OVERRIDE=FQ","FILING_STATUS=MR","Sort=A","Dates=H","DateFormat=P","Fill=—","Direction=H","UseDPDF=Y")</f>
        <v>15.748900000000001</v>
      </c>
      <c r="L11" s="20">
        <f>_xll.BDH("SRPT US Equity","PX_TO_BOOK_RATIO","FQ4 2021","FQ4 2021","Currency=USD","Period=FQ","BEST_FPERIOD_OVERRIDE=FQ","FILING_STATUS=MR","Sort=A","Dates=H","DateFormat=P","Fill=—","Direction=H","UseDPDF=Y")</f>
        <v>8.4543999999999997</v>
      </c>
      <c r="M11" s="20">
        <f>_xll.BDH("SRPT US Equity","PX_TO_BOOK_RATIO","FQ1 2022","FQ1 2022","Currency=USD","Period=FQ","BEST_FPERIOD_OVERRIDE=FQ","FILING_STATUS=MR","Sort=A","Dates=H","DateFormat=P","Fill=—","Direction=H","UseDPDF=Y")</f>
        <v>7.9767000000000001</v>
      </c>
      <c r="N11" s="20">
        <f>_xll.BDH("SRPT US Equity","PX_TO_BOOK_RATIO","FQ2 2022","FQ2 2022","Currency=USD","Period=FQ","BEST_FPERIOD_OVERRIDE=FQ","FILING_STATUS=MR","Sort=A","Dates=H","DateFormat=P","Fill=—","Direction=H","UseDPDF=Y")</f>
        <v>9.0324000000000009</v>
      </c>
      <c r="O11" s="20">
        <f>_xll.BDH("SRPT US Equity","PX_TO_BOOK_RATIO","FQ3 2022","FQ3 2022","Currency=USD","Period=FQ","BEST_FPERIOD_OVERRIDE=FQ","FILING_STATUS=MR","Sort=A","Dates=H","DateFormat=P","Fill=—","Direction=H","UseDPDF=Y")</f>
        <v>22.518000000000001</v>
      </c>
      <c r="P11" s="20">
        <f>_xll.BDH("SRPT US Equity","PX_TO_BOOK_RATIO","FQ4 2022","FQ4 2022","Currency=USD","Period=FQ","BEST_FPERIOD_OVERRIDE=FQ","FILING_STATUS=MR","Sort=A","Dates=H","DateFormat=P","Fill=—","Direction=H","UseDPDF=Y")</f>
        <v>29.6053</v>
      </c>
      <c r="Q11" s="20">
        <f>_xll.BDH("SRPT US Equity","PX_TO_BOOK_RATIO","FQ1 2023","FQ1 2023","Currency=USD","Period=FQ","BEST_FPERIOD_OVERRIDE=FQ","FILING_STATUS=MR","Sort=A","Dates=H","DateFormat=P","Fill=—","Direction=H","UseDPDF=Y")</f>
        <v>18.011299999999999</v>
      </c>
      <c r="R11" s="20">
        <f>_xll.BDH("SRPT US Equity","PX_TO_BOOK_RATIO","FQ2 2023","FQ2 2023","Currency=USD","Period=FQ","BEST_FPERIOD_OVERRIDE=FQ","FILING_STATUS=MR","Sort=A","Dates=H","DateFormat=P","Fill=—","Direction=H","UseDPDF=Y")</f>
        <v>14.4072</v>
      </c>
      <c r="S11" s="20">
        <f>_xll.BDH("SRPT US Equity","PX_TO_BOOK_RATIO","FQ3 2023","FQ3 2023","Currency=USD","Period=FQ","BEST_FPERIOD_OVERRIDE=FQ","FILING_STATUS=MR","Sort=A","Dates=H","DateFormat=P","Fill=—","Direction=H","UseDPDF=Y")</f>
        <v>14.834199999999999</v>
      </c>
      <c r="T11" s="20">
        <f>_xll.BDH("SRPT US Equity","PX_TO_BOOK_RATIO","FQ4 2023","FQ4 2023","Currency=USD","Period=FQ","BEST_FPERIOD_OVERRIDE=FQ","FILING_STATUS=MR","Sort=A","Dates=H","DateFormat=P","Fill=—","Direction=H","UseDPDF=Y")</f>
        <v>10.5181</v>
      </c>
      <c r="U11" s="20">
        <f>_xll.BDH("SRPT US Equity","PX_TO_BOOK_RATIO","FQ1 2024","FQ1 2024","Currency=USD","Period=FQ","BEST_FPERIOD_OVERRIDE=FQ","FILING_STATUS=MR","Sort=A","Dates=H","DateFormat=P","Fill=—","Direction=H","UseDPDF=Y")</f>
        <v>12.726599999999999</v>
      </c>
      <c r="V11" s="20">
        <f>_xll.BDH("SRPT US Equity","PX_TO_BOOK_RATIO","FQ2 2024","FQ2 2024","Currency=USD","Period=FQ","BEST_FPERIOD_OVERRIDE=FQ","FILING_STATUS=MR","Sort=A","Dates=H","DateFormat=P","Fill=—","Direction=H","UseDPDF=Y")</f>
        <v>13.977399999999999</v>
      </c>
      <c r="W11" s="20">
        <f>_xll.BDH("SRPT US Equity","PX_TO_BOOK_RATIO","FQ3 2024","FQ3 2024","Currency=USD","Period=FQ","BEST_FPERIOD_OVERRIDE=FQ","FILING_STATUS=MR","Sort=A","Dates=H","DateFormat=P","Fill=—","Direction=H","UseDPDF=Y")</f>
        <v>9.7668999999999997</v>
      </c>
      <c r="X11" s="20">
        <f>_xll.BDH("SRPT US Equity","PX_TO_BOOK_RATIO","FQ4 2024","FQ4 2024","Currency=USD","Period=FQ","BEST_FPERIOD_OVERRIDE=FQ","FILING_STATUS=MR","Sort=A","Dates=H","DateFormat=P","Fill=—","Direction=H","UseDPDF=Y")</f>
        <v>7.7121000000000004</v>
      </c>
      <c r="Y11" s="23">
        <v>4.4644863900338896</v>
      </c>
      <c r="Z11" s="20">
        <v>3.7380509824747699</v>
      </c>
      <c r="AA11" s="20">
        <v>3.18063714414822</v>
      </c>
    </row>
    <row r="12" spans="1:27" x14ac:dyDescent="0.25">
      <c r="A12" s="10" t="s">
        <v>209</v>
      </c>
      <c r="B12" s="10" t="s">
        <v>217</v>
      </c>
      <c r="C12" s="14">
        <f>_xll.BDH("SRPT US Equity","AVERAGE_PRICE_TO_BOOK_RATIO","FQ3 2019","FQ3 2019","Currency=USD","Period=FQ","BEST_FPERIOD_OVERRIDE=FQ","FILING_STATUS=MR","Sort=A","Dates=H","DateFormat=P","Fill=—","Direction=H","UseDPDF=Y")</f>
        <v>7.9946999999999999</v>
      </c>
      <c r="D12" s="14">
        <f>_xll.BDH("SRPT US Equity","AVERAGE_PRICE_TO_BOOK_RATIO","FQ4 2019","FQ4 2019","Currency=USD","Period=FQ","BEST_FPERIOD_OVERRIDE=FQ","FILING_STATUS=MR","Sort=A","Dates=H","DateFormat=P","Fill=—","Direction=H","UseDPDF=Y")</f>
        <v>7.5904999999999996</v>
      </c>
      <c r="E12" s="14">
        <f>_xll.BDH("SRPT US Equity","AVERAGE_PRICE_TO_BOOK_RATIO","FQ1 2020","FQ1 2020","Currency=USD","Period=FQ","BEST_FPERIOD_OVERRIDE=FQ","FILING_STATUS=MR","Sort=A","Dates=H","DateFormat=P","Fill=—","Direction=H","UseDPDF=Y")</f>
        <v>10.466200000000001</v>
      </c>
      <c r="F12" s="14">
        <f>_xll.BDH("SRPT US Equity","AVERAGE_PRICE_TO_BOOK_RATIO","FQ2 2020","FQ2 2020","Currency=USD","Period=FQ","BEST_FPERIOD_OVERRIDE=FQ","FILING_STATUS=MR","Sort=A","Dates=H","DateFormat=P","Fill=—","Direction=H","UseDPDF=Y")</f>
        <v>9.2845999999999993</v>
      </c>
      <c r="G12" s="14">
        <f>_xll.BDH("SRPT US Equity","AVERAGE_PRICE_TO_BOOK_RATIO","FQ3 2020","FQ3 2020","Currency=USD","Period=FQ","BEST_FPERIOD_OVERRIDE=FQ","FILING_STATUS=MR","Sort=A","Dates=H","DateFormat=P","Fill=—","Direction=H","UseDPDF=Y")</f>
        <v>11.458399999999999</v>
      </c>
      <c r="H12" s="14">
        <f>_xll.BDH("SRPT US Equity","AVERAGE_PRICE_TO_BOOK_RATIO","FQ4 2020","FQ4 2020","Currency=USD","Period=FQ","BEST_FPERIOD_OVERRIDE=FQ","FILING_STATUS=MR","Sort=A","Dates=H","DateFormat=P","Fill=—","Direction=H","UseDPDF=Y")</f>
        <v>13.1294</v>
      </c>
      <c r="I12" s="14">
        <f>_xll.BDH("SRPT US Equity","AVERAGE_PRICE_TO_BOOK_RATIO","FQ1 2021","FQ1 2021","Currency=USD","Period=FQ","BEST_FPERIOD_OVERRIDE=FQ","FILING_STATUS=MR","Sort=A","Dates=H","DateFormat=P","Fill=—","Direction=H","UseDPDF=Y")</f>
        <v>9.6698000000000004</v>
      </c>
      <c r="J12" s="14">
        <f>_xll.BDH("SRPT US Equity","AVERAGE_PRICE_TO_BOOK_RATIO","FQ2 2021","FQ2 2021","Currency=USD","Period=FQ","BEST_FPERIOD_OVERRIDE=FQ","FILING_STATUS=MR","Sort=A","Dates=H","DateFormat=P","Fill=—","Direction=H","UseDPDF=Y")</f>
        <v>11.310700000000001</v>
      </c>
      <c r="K12" s="14">
        <f>_xll.BDH("SRPT US Equity","AVERAGE_PRICE_TO_BOOK_RATIO","FQ3 2021","FQ3 2021","Currency=USD","Period=FQ","BEST_FPERIOD_OVERRIDE=FQ","FILING_STATUS=MR","Sort=A","Dates=H","DateFormat=P","Fill=—","Direction=H","UseDPDF=Y")</f>
        <v>12.6839</v>
      </c>
      <c r="L12" s="14">
        <f>_xll.BDH("SRPT US Equity","AVERAGE_PRICE_TO_BOOK_RATIO","FQ4 2021","FQ4 2021","Currency=USD","Period=FQ","BEST_FPERIOD_OVERRIDE=FQ","FILING_STATUS=MR","Sort=A","Dates=H","DateFormat=P","Fill=—","Direction=H","UseDPDF=Y")</f>
        <v>14.450699999999999</v>
      </c>
      <c r="M12" s="14">
        <f>_xll.BDH("SRPT US Equity","AVERAGE_PRICE_TO_BOOK_RATIO","FQ1 2022","FQ1 2022","Currency=USD","Period=FQ","BEST_FPERIOD_OVERRIDE=FQ","FILING_STATUS=MR","Sort=A","Dates=H","DateFormat=P","Fill=—","Direction=H","UseDPDF=Y")</f>
        <v>7.2000999999999999</v>
      </c>
      <c r="N12" s="14">
        <f>_xll.BDH("SRPT US Equity","AVERAGE_PRICE_TO_BOOK_RATIO","FQ2 2022","FQ2 2022","Currency=USD","Period=FQ","BEST_FPERIOD_OVERRIDE=FQ","FILING_STATUS=MR","Sort=A","Dates=H","DateFormat=P","Fill=—","Direction=H","UseDPDF=Y")</f>
        <v>7.5339999999999998</v>
      </c>
      <c r="O12" s="14">
        <f>_xll.BDH("SRPT US Equity","AVERAGE_PRICE_TO_BOOK_RATIO","FQ3 2022","FQ3 2022","Currency=USD","Period=FQ","BEST_FPERIOD_OVERRIDE=FQ","FILING_STATUS=MR","Sort=A","Dates=H","DateFormat=P","Fill=—","Direction=H","UseDPDF=Y")</f>
        <v>12.2889</v>
      </c>
      <c r="P12" s="14">
        <f>_xll.BDH("SRPT US Equity","AVERAGE_PRICE_TO_BOOK_RATIO","FQ4 2022","FQ4 2022","Currency=USD","Period=FQ","BEST_FPERIOD_OVERRIDE=FQ","FILING_STATUS=MR","Sort=A","Dates=H","DateFormat=P","Fill=—","Direction=H","UseDPDF=Y")</f>
        <v>23.657399999999999</v>
      </c>
      <c r="Q12" s="14">
        <f>_xll.BDH("SRPT US Equity","AVERAGE_PRICE_TO_BOOK_RATIO","FQ1 2023","FQ1 2023","Currency=USD","Period=FQ","BEST_FPERIOD_OVERRIDE=FQ","FILING_STATUS=MR","Sort=A","Dates=H","DateFormat=P","Fill=—","Direction=H","UseDPDF=Y")</f>
        <v>29.419699999999999</v>
      </c>
      <c r="R12" s="14">
        <f>_xll.BDH("SRPT US Equity","AVERAGE_PRICE_TO_BOOK_RATIO","FQ2 2023","FQ2 2023","Currency=USD","Period=FQ","BEST_FPERIOD_OVERRIDE=FQ","FILING_STATUS=MR","Sort=A","Dates=H","DateFormat=P","Fill=—","Direction=H","UseDPDF=Y")</f>
        <v>16.8415</v>
      </c>
      <c r="S12" s="14">
        <f>_xll.BDH("SRPT US Equity","AVERAGE_PRICE_TO_BOOK_RATIO","FQ3 2023","FQ3 2023","Currency=USD","Period=FQ","BEST_FPERIOD_OVERRIDE=FQ","FILING_STATUS=MR","Sort=A","Dates=H","DateFormat=P","Fill=—","Direction=H","UseDPDF=Y")</f>
        <v>14.2127</v>
      </c>
      <c r="T12" s="14">
        <f>_xll.BDH("SRPT US Equity","AVERAGE_PRICE_TO_BOOK_RATIO","FQ4 2023","FQ4 2023","Currency=USD","Period=FQ","BEST_FPERIOD_OVERRIDE=FQ","FILING_STATUS=MR","Sort=A","Dates=H","DateFormat=P","Fill=—","Direction=H","UseDPDF=Y")</f>
        <v>11.7188</v>
      </c>
      <c r="U12" s="14">
        <f>_xll.BDH("SRPT US Equity","AVERAGE_PRICE_TO_BOOK_RATIO","FQ1 2024","FQ1 2024","Currency=USD","Period=FQ","BEST_FPERIOD_OVERRIDE=FQ","FILING_STATUS=MR","Sort=A","Dates=H","DateFormat=P","Fill=—","Direction=H","UseDPDF=Y")</f>
        <v>13.3383</v>
      </c>
      <c r="V12" s="14">
        <f>_xll.BDH("SRPT US Equity","AVERAGE_PRICE_TO_BOOK_RATIO","FQ2 2024","FQ2 2024","Currency=USD","Period=FQ","BEST_FPERIOD_OVERRIDE=FQ","FILING_STATUS=MR","Sort=A","Dates=H","DateFormat=P","Fill=—","Direction=H","UseDPDF=Y")</f>
        <v>12.6038</v>
      </c>
      <c r="W12" s="14">
        <f>_xll.BDH("SRPT US Equity","AVERAGE_PRICE_TO_BOOK_RATIO","FQ3 2024","FQ3 2024","Currency=USD","Period=FQ","BEST_FPERIOD_OVERRIDE=FQ","FILING_STATUS=MR","Sort=A","Dates=H","DateFormat=P","Fill=—","Direction=H","UseDPDF=Y")</f>
        <v>12.2095</v>
      </c>
      <c r="X12" s="14">
        <f>_xll.BDH("SRPT US Equity","AVERAGE_PRICE_TO_BOOK_RATIO","FQ4 2024","FQ4 2024","Currency=USD","Period=FQ","BEST_FPERIOD_OVERRIDE=FQ","FILING_STATUS=MR","Sort=A","Dates=H","DateFormat=P","Fill=—","Direction=H","UseDPDF=Y")</f>
        <v>9.5561000000000007</v>
      </c>
      <c r="Y12" s="17"/>
      <c r="Z12" s="14"/>
      <c r="AA12" s="14"/>
    </row>
    <row r="13" spans="1:27" x14ac:dyDescent="0.25">
      <c r="A13" s="10" t="s">
        <v>211</v>
      </c>
      <c r="B13" s="10" t="s">
        <v>218</v>
      </c>
      <c r="C13" s="14">
        <f>_xll.BDH("SRPT US Equity","HIGH_CLOSING_PRICE_TO_BOOK_RATIO","FQ3 2019","FQ3 2019","Currency=USD","Period=FQ","BEST_FPERIOD_OVERRIDE=FQ","FILING_STATUS=MR","Sort=A","Dates=H","DateFormat=P","Fill=—","Direction=H","UseDPDF=Y")</f>
        <v>10.6106</v>
      </c>
      <c r="D13" s="14">
        <f>_xll.BDH("SRPT US Equity","HIGH_CLOSING_PRICE_TO_BOOK_RATIO","FQ4 2019","FQ4 2019","Currency=USD","Period=FQ","BEST_FPERIOD_OVERRIDE=FQ","FILING_STATUS=MR","Sort=A","Dates=H","DateFormat=P","Fill=—","Direction=H","UseDPDF=Y")</f>
        <v>11.857699999999999</v>
      </c>
      <c r="E13" s="14">
        <f>_xll.BDH("SRPT US Equity","HIGH_CLOSING_PRICE_TO_BOOK_RATIO","FQ1 2020","FQ1 2020","Currency=USD","Period=FQ","BEST_FPERIOD_OVERRIDE=FQ","FILING_STATUS=MR","Sort=A","Dates=H","DateFormat=P","Fill=—","Direction=H","UseDPDF=Y")</f>
        <v>12.0967</v>
      </c>
      <c r="F13" s="14">
        <f>_xll.BDH("SRPT US Equity","HIGH_CLOSING_PRICE_TO_BOOK_RATIO","FQ2 2020","FQ2 2020","Currency=USD","Period=FQ","BEST_FPERIOD_OVERRIDE=FQ","FILING_STATUS=MR","Sort=A","Dates=H","DateFormat=P","Fill=—","Direction=H","UseDPDF=Y")</f>
        <v>12.0589</v>
      </c>
      <c r="G13" s="14">
        <f>_xll.BDH("SRPT US Equity","HIGH_CLOSING_PRICE_TO_BOOK_RATIO","FQ3 2020","FQ3 2020","Currency=USD","Period=FQ","BEST_FPERIOD_OVERRIDE=FQ","FILING_STATUS=MR","Sort=A","Dates=H","DateFormat=P","Fill=—","Direction=H","UseDPDF=Y")</f>
        <v>12.961399999999999</v>
      </c>
      <c r="H13" s="14">
        <f>_xll.BDH("SRPT US Equity","HIGH_CLOSING_PRICE_TO_BOOK_RATIO","FQ4 2020","FQ4 2020","Currency=USD","Period=FQ","BEST_FPERIOD_OVERRIDE=FQ","FILING_STATUS=MR","Sort=A","Dates=H","DateFormat=P","Fill=—","Direction=H","UseDPDF=Y")</f>
        <v>17.764800000000001</v>
      </c>
      <c r="I13" s="14">
        <f>_xll.BDH("SRPT US Equity","HIGH_CLOSING_PRICE_TO_BOOK_RATIO","FQ1 2021","FQ1 2021","Currency=USD","Period=FQ","BEST_FPERIOD_OVERRIDE=FQ","FILING_STATUS=MR","Sort=A","Dates=H","DateFormat=P","Fill=—","Direction=H","UseDPDF=Y")</f>
        <v>17.604399999999998</v>
      </c>
      <c r="J13" s="14">
        <f>_xll.BDH("SRPT US Equity","HIGH_CLOSING_PRICE_TO_BOOK_RATIO","FQ2 2021","FQ2 2021","Currency=USD","Period=FQ","BEST_FPERIOD_OVERRIDE=FQ","FILING_STATUS=MR","Sort=A","Dates=H","DateFormat=P","Fill=—","Direction=H","UseDPDF=Y")</f>
        <v>12.920400000000001</v>
      </c>
      <c r="K13" s="14">
        <f>_xll.BDH("SRPT US Equity","HIGH_CLOSING_PRICE_TO_BOOK_RATIO","FQ3 2021","FQ3 2021","Currency=USD","Period=FQ","BEST_FPERIOD_OVERRIDE=FQ","FILING_STATUS=MR","Sort=A","Dates=H","DateFormat=P","Fill=—","Direction=H","UseDPDF=Y")</f>
        <v>15.748900000000001</v>
      </c>
      <c r="L13" s="14">
        <f>_xll.BDH("SRPT US Equity","HIGH_CLOSING_PRICE_TO_BOOK_RATIO","FQ4 2021","FQ4 2021","Currency=USD","Period=FQ","BEST_FPERIOD_OVERRIDE=FQ","FILING_STATUS=MR","Sort=A","Dates=H","DateFormat=P","Fill=—","Direction=H","UseDPDF=Y")</f>
        <v>16.930800000000001</v>
      </c>
      <c r="M13" s="14">
        <f>_xll.BDH("SRPT US Equity","HIGH_CLOSING_PRICE_TO_BOOK_RATIO","FQ1 2022","FQ1 2022","Currency=USD","Period=FQ","BEST_FPERIOD_OVERRIDE=FQ","FILING_STATUS=MR","Sort=A","Dates=H","DateFormat=P","Fill=—","Direction=H","UseDPDF=Y")</f>
        <v>8.4892000000000003</v>
      </c>
      <c r="N13" s="14">
        <f>_xll.BDH("SRPT US Equity","HIGH_CLOSING_PRICE_TO_BOOK_RATIO","FQ2 2022","FQ2 2022","Currency=USD","Period=FQ","BEST_FPERIOD_OVERRIDE=FQ","FILING_STATUS=MR","Sort=A","Dates=H","DateFormat=P","Fill=—","Direction=H","UseDPDF=Y")</f>
        <v>9.0324000000000009</v>
      </c>
      <c r="O13" s="14">
        <f>_xll.BDH("SRPT US Equity","HIGH_CLOSING_PRICE_TO_BOOK_RATIO","FQ3 2022","FQ3 2022","Currency=USD","Period=FQ","BEST_FPERIOD_OVERRIDE=FQ","FILING_STATUS=MR","Sort=A","Dates=H","DateFormat=P","Fill=—","Direction=H","UseDPDF=Y")</f>
        <v>22.518000000000001</v>
      </c>
      <c r="P13" s="14">
        <f>_xll.BDH("SRPT US Equity","HIGH_CLOSING_PRICE_TO_BOOK_RATIO","FQ4 2022","FQ4 2022","Currency=USD","Period=FQ","BEST_FPERIOD_OVERRIDE=FQ","FILING_STATUS=MR","Sort=A","Dates=H","DateFormat=P","Fill=—","Direction=H","UseDPDF=Y")</f>
        <v>29.6053</v>
      </c>
      <c r="Q13" s="14">
        <f>_xll.BDH("SRPT US Equity","HIGH_CLOSING_PRICE_TO_BOOK_RATIO","FQ1 2023","FQ1 2023","Currency=USD","Period=FQ","BEST_FPERIOD_OVERRIDE=FQ","FILING_STATUS=MR","Sort=A","Dates=H","DateFormat=P","Fill=—","Direction=H","UseDPDF=Y")</f>
        <v>35.639299999999999</v>
      </c>
      <c r="R13" s="14">
        <f>_xll.BDH("SRPT US Equity","HIGH_CLOSING_PRICE_TO_BOOK_RATIO","FQ2 2023","FQ2 2023","Currency=USD","Period=FQ","BEST_FPERIOD_OVERRIDE=FQ","FILING_STATUS=MR","Sort=A","Dates=H","DateFormat=P","Fill=—","Direction=H","UseDPDF=Y")</f>
        <v>20.5412</v>
      </c>
      <c r="S13" s="14">
        <f>_xll.BDH("SRPT US Equity","HIGH_CLOSING_PRICE_TO_BOOK_RATIO","FQ3 2023","FQ3 2023","Currency=USD","Period=FQ","BEST_FPERIOD_OVERRIDE=FQ","FILING_STATUS=MR","Sort=A","Dates=H","DateFormat=P","Fill=—","Direction=H","UseDPDF=Y")</f>
        <v>15.548299999999999</v>
      </c>
      <c r="T13" s="14">
        <f>_xll.BDH("SRPT US Equity","HIGH_CLOSING_PRICE_TO_BOOK_RATIO","FQ4 2023","FQ4 2023","Currency=USD","Period=FQ","BEST_FPERIOD_OVERRIDE=FQ","FILING_STATUS=MR","Sort=A","Dates=H","DateFormat=P","Fill=—","Direction=H","UseDPDF=Y")</f>
        <v>15.2674</v>
      </c>
      <c r="U13" s="14">
        <f>_xll.BDH("SRPT US Equity","HIGH_CLOSING_PRICE_TO_BOOK_RATIO","FQ1 2024","FQ1 2024","Currency=USD","Period=FQ","BEST_FPERIOD_OVERRIDE=FQ","FILING_STATUS=MR","Sort=A","Dates=H","DateFormat=P","Fill=—","Direction=H","UseDPDF=Y")</f>
        <v>15.4373</v>
      </c>
      <c r="V13" s="14">
        <f>_xll.BDH("SRPT US Equity","HIGH_CLOSING_PRICE_TO_BOOK_RATIO","FQ2 2024","FQ2 2024","Currency=USD","Period=FQ","BEST_FPERIOD_OVERRIDE=FQ","FILING_STATUS=MR","Sort=A","Dates=H","DateFormat=P","Fill=—","Direction=H","UseDPDF=Y")</f>
        <v>16.107299999999999</v>
      </c>
      <c r="W13" s="14">
        <f>_xll.BDH("SRPT US Equity","HIGH_CLOSING_PRICE_TO_BOOK_RATIO","FQ3 2024","FQ3 2024","Currency=USD","Period=FQ","BEST_FPERIOD_OVERRIDE=FQ","FILING_STATUS=MR","Sort=A","Dates=H","DateFormat=P","Fill=—","Direction=H","UseDPDF=Y")</f>
        <v>13.8668</v>
      </c>
      <c r="X13" s="14">
        <f>_xll.BDH("SRPT US Equity","HIGH_CLOSING_PRICE_TO_BOOK_RATIO","FQ4 2024","FQ4 2024","Currency=USD","Period=FQ","BEST_FPERIOD_OVERRIDE=FQ","FILING_STATUS=MR","Sort=A","Dates=H","DateFormat=P","Fill=—","Direction=H","UseDPDF=Y")</f>
        <v>10.7875</v>
      </c>
      <c r="Y13" s="17"/>
      <c r="Z13" s="14"/>
      <c r="AA13" s="14"/>
    </row>
    <row r="14" spans="1:27" x14ac:dyDescent="0.25">
      <c r="A14" s="10" t="s">
        <v>213</v>
      </c>
      <c r="B14" s="10" t="s">
        <v>219</v>
      </c>
      <c r="C14" s="14">
        <f>_xll.BDH("SRPT US Equity","LOW_CLOSING_PRICE_TO_BOOK_RATIO","FQ3 2019","FQ3 2019","Currency=USD","Period=FQ","BEST_FPERIOD_OVERRIDE=FQ","FILING_STATUS=MR","Sort=A","Dates=H","DateFormat=P","Fill=—","Direction=H","UseDPDF=Y")</f>
        <v>4.9236000000000004</v>
      </c>
      <c r="D14" s="14">
        <f>_xll.BDH("SRPT US Equity","LOW_CLOSING_PRICE_TO_BOOK_RATIO","FQ4 2019","FQ4 2019","Currency=USD","Period=FQ","BEST_FPERIOD_OVERRIDE=FQ","FILING_STATUS=MR","Sort=A","Dates=H","DateFormat=P","Fill=—","Direction=H","UseDPDF=Y")</f>
        <v>5.7293000000000003</v>
      </c>
      <c r="E14" s="14">
        <f>_xll.BDH("SRPT US Equity","LOW_CLOSING_PRICE_TO_BOOK_RATIO","FQ1 2020","FQ1 2020","Currency=USD","Period=FQ","BEST_FPERIOD_OVERRIDE=FQ","FILING_STATUS=MR","Sort=A","Dates=H","DateFormat=P","Fill=—","Direction=H","UseDPDF=Y")</f>
        <v>6.6611000000000002</v>
      </c>
      <c r="F14" s="14">
        <f>_xll.BDH("SRPT US Equity","LOW_CLOSING_PRICE_TO_BOOK_RATIO","FQ2 2020","FQ2 2020","Currency=USD","Period=FQ","BEST_FPERIOD_OVERRIDE=FQ","FILING_STATUS=MR","Sort=A","Dates=H","DateFormat=P","Fill=—","Direction=H","UseDPDF=Y")</f>
        <v>6.3329000000000004</v>
      </c>
      <c r="G14" s="14">
        <f>_xll.BDH("SRPT US Equity","LOW_CLOSING_PRICE_TO_BOOK_RATIO","FQ3 2020","FQ3 2020","Currency=USD","Period=FQ","BEST_FPERIOD_OVERRIDE=FQ","FILING_STATUS=MR","Sort=A","Dates=H","DateFormat=P","Fill=—","Direction=H","UseDPDF=Y")</f>
        <v>9.5604999999999993</v>
      </c>
      <c r="H14" s="14">
        <f>_xll.BDH("SRPT US Equity","LOW_CLOSING_PRICE_TO_BOOK_RATIO","FQ4 2020","FQ4 2020","Currency=USD","Period=FQ","BEST_FPERIOD_OVERRIDE=FQ","FILING_STATUS=MR","Sort=A","Dates=H","DateFormat=P","Fill=—","Direction=H","UseDPDF=Y")</f>
        <v>11.09</v>
      </c>
      <c r="I14" s="14">
        <f>_xll.BDH("SRPT US Equity","LOW_CLOSING_PRICE_TO_BOOK_RATIO","FQ1 2021","FQ1 2021","Currency=USD","Period=FQ","BEST_FPERIOD_OVERRIDE=FQ","FILING_STATUS=MR","Sort=A","Dates=H","DateFormat=P","Fill=—","Direction=H","UseDPDF=Y")</f>
        <v>7.5284000000000004</v>
      </c>
      <c r="J14" s="14">
        <f>_xll.BDH("SRPT US Equity","LOW_CLOSING_PRICE_TO_BOOK_RATIO","FQ2 2021","FQ2 2021","Currency=USD","Period=FQ","BEST_FPERIOD_OVERRIDE=FQ","FILING_STATUS=MR","Sort=A","Dates=H","DateFormat=P","Fill=—","Direction=H","UseDPDF=Y")</f>
        <v>10.333299999999999</v>
      </c>
      <c r="K14" s="14">
        <f>_xll.BDH("SRPT US Equity","LOW_CLOSING_PRICE_TO_BOOK_RATIO","FQ3 2021","FQ3 2021","Currency=USD","Period=FQ","BEST_FPERIOD_OVERRIDE=FQ","FILING_STATUS=MR","Sort=A","Dates=H","DateFormat=P","Fill=—","Direction=H","UseDPDF=Y")</f>
        <v>10.856199999999999</v>
      </c>
      <c r="L14" s="14">
        <f>_xll.BDH("SRPT US Equity","LOW_CLOSING_PRICE_TO_BOOK_RATIO","FQ4 2021","FQ4 2021","Currency=USD","Period=FQ","BEST_FPERIOD_OVERRIDE=FQ","FILING_STATUS=MR","Sort=A","Dates=H","DateFormat=P","Fill=—","Direction=H","UseDPDF=Y")</f>
        <v>8.4543999999999997</v>
      </c>
      <c r="M14" s="14">
        <f>_xll.BDH("SRPT US Equity","LOW_CLOSING_PRICE_TO_BOOK_RATIO","FQ1 2022","FQ1 2022","Currency=USD","Period=FQ","BEST_FPERIOD_OVERRIDE=FQ","FILING_STATUS=MR","Sort=A","Dates=H","DateFormat=P","Fill=—","Direction=H","UseDPDF=Y")</f>
        <v>5.9288999999999996</v>
      </c>
      <c r="N14" s="14">
        <f>_xll.BDH("SRPT US Equity","LOW_CLOSING_PRICE_TO_BOOK_RATIO","FQ2 2022","FQ2 2022","Currency=USD","Period=FQ","BEST_FPERIOD_OVERRIDE=FQ","FILING_STATUS=MR","Sort=A","Dates=H","DateFormat=P","Fill=—","Direction=H","UseDPDF=Y")</f>
        <v>6.4012000000000002</v>
      </c>
      <c r="O14" s="14">
        <f>_xll.BDH("SRPT US Equity","LOW_CLOSING_PRICE_TO_BOOK_RATIO","FQ3 2022","FQ3 2022","Currency=USD","Period=FQ","BEST_FPERIOD_OVERRIDE=FQ","FILING_STATUS=MR","Sort=A","Dates=H","DateFormat=P","Fill=—","Direction=H","UseDPDF=Y")</f>
        <v>9.1227999999999998</v>
      </c>
      <c r="P14" s="14">
        <f>_xll.BDH("SRPT US Equity","LOW_CLOSING_PRICE_TO_BOOK_RATIO","FQ4 2022","FQ4 2022","Currency=USD","Period=FQ","BEST_FPERIOD_OVERRIDE=FQ","FILING_STATUS=MR","Sort=A","Dates=H","DateFormat=P","Fill=—","Direction=H","UseDPDF=Y")</f>
        <v>20.450399999999998</v>
      </c>
      <c r="Q14" s="14">
        <f>_xll.BDH("SRPT US Equity","LOW_CLOSING_PRICE_TO_BOOK_RATIO","FQ1 2023","FQ1 2023","Currency=USD","Period=FQ","BEST_FPERIOD_OVERRIDE=FQ","FILING_STATUS=MR","Sort=A","Dates=H","DateFormat=P","Fill=—","Direction=H","UseDPDF=Y")</f>
        <v>18.011299999999999</v>
      </c>
      <c r="R14" s="14">
        <f>_xll.BDH("SRPT US Equity","LOW_CLOSING_PRICE_TO_BOOK_RATIO","FQ2 2023","FQ2 2023","Currency=USD","Period=FQ","BEST_FPERIOD_OVERRIDE=FQ","FILING_STATUS=MR","Sort=A","Dates=H","DateFormat=P","Fill=—","Direction=H","UseDPDF=Y")</f>
        <v>13.9041</v>
      </c>
      <c r="S14" s="14">
        <f>_xll.BDH("SRPT US Equity","LOW_CLOSING_PRICE_TO_BOOK_RATIO","FQ3 2023","FQ3 2023","Currency=USD","Period=FQ","BEST_FPERIOD_OVERRIDE=FQ","FILING_STATUS=MR","Sort=A","Dates=H","DateFormat=P","Fill=—","Direction=H","UseDPDF=Y")</f>
        <v>12.895099999999999</v>
      </c>
      <c r="T14" s="14">
        <f>_xll.BDH("SRPT US Equity","LOW_CLOSING_PRICE_TO_BOOK_RATIO","FQ4 2023","FQ4 2023","Currency=USD","Period=FQ","BEST_FPERIOD_OVERRIDE=FQ","FILING_STATUS=MR","Sort=A","Dates=H","DateFormat=P","Fill=—","Direction=H","UseDPDF=Y")</f>
        <v>8.2370000000000001</v>
      </c>
      <c r="U14" s="14">
        <f>_xll.BDH("SRPT US Equity","LOW_CLOSING_PRICE_TO_BOOK_RATIO","FQ1 2024","FQ1 2024","Currency=USD","Period=FQ","BEST_FPERIOD_OVERRIDE=FQ","FILING_STATUS=MR","Sort=A","Dates=H","DateFormat=P","Fill=—","Direction=H","UseDPDF=Y")</f>
        <v>10.2203</v>
      </c>
      <c r="V14" s="14">
        <f>_xll.BDH("SRPT US Equity","LOW_CLOSING_PRICE_TO_BOOK_RATIO","FQ2 2024","FQ2 2024","Currency=USD","Period=FQ","BEST_FPERIOD_OVERRIDE=FQ","FILING_STATUS=MR","Sort=A","Dates=H","DateFormat=P","Fill=—","Direction=H","UseDPDF=Y")</f>
        <v>11.1409</v>
      </c>
      <c r="W14" s="14">
        <f>_xll.BDH("SRPT US Equity","LOW_CLOSING_PRICE_TO_BOOK_RATIO","FQ3 2024","FQ3 2024","Currency=USD","Period=FQ","BEST_FPERIOD_OVERRIDE=FQ","FILING_STATUS=MR","Sort=A","Dates=H","DateFormat=P","Fill=—","Direction=H","UseDPDF=Y")</f>
        <v>9.7668999999999997</v>
      </c>
      <c r="X14" s="14">
        <f>_xll.BDH("SRPT US Equity","LOW_CLOSING_PRICE_TO_BOOK_RATIO","FQ4 2024","FQ4 2024","Currency=USD","Period=FQ","BEST_FPERIOD_OVERRIDE=FQ","FILING_STATUS=MR","Sort=A","Dates=H","DateFormat=P","Fill=—","Direction=H","UseDPDF=Y")</f>
        <v>7.7121000000000004</v>
      </c>
      <c r="Y14" s="17"/>
      <c r="Z14" s="14"/>
      <c r="AA14" s="14"/>
    </row>
    <row r="15" spans="1:27" x14ac:dyDescent="0.25">
      <c r="A15" s="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21"/>
      <c r="Z15" s="18"/>
      <c r="AA15" s="18"/>
    </row>
    <row r="16" spans="1:27" x14ac:dyDescent="0.25">
      <c r="A16" s="6" t="s">
        <v>220</v>
      </c>
      <c r="B16" s="6" t="s">
        <v>221</v>
      </c>
      <c r="C16" s="20">
        <f>_xll.BDH("SRPT US Equity","PX_TO_TANG_BV_PER_SH","FQ3 2019","FQ3 2019","Currency=USD","Period=FQ","BEST_FPERIOD_OVERRIDE=FQ","FILING_STATUS=MR","Sort=A","Dates=H","DateFormat=P","Fill=—","Direction=H","UseDPDF=Y")</f>
        <v>5.7073999999999998</v>
      </c>
      <c r="D16" s="20">
        <f>_xll.BDH("SRPT US Equity","PX_TO_TANG_BV_PER_SH","FQ4 2019","FQ4 2019","Currency=USD","Period=FQ","BEST_FPERIOD_OVERRIDE=FQ","FILING_STATUS=MR","Sort=A","Dates=H","DateFormat=P","Fill=—","Direction=H","UseDPDF=Y")</f>
        <v>12.041700000000001</v>
      </c>
      <c r="E16" s="20">
        <f>_xll.BDH("SRPT US Equity","PX_TO_TANG_BV_PER_SH","FQ1 2020","FQ1 2020","Currency=USD","Period=FQ","BEST_FPERIOD_OVERRIDE=FQ","FILING_STATUS=MR","Sort=A","Dates=H","DateFormat=P","Fill=—","Direction=H","UseDPDF=Y")</f>
        <v>6.7365000000000004</v>
      </c>
      <c r="F16" s="20">
        <f>_xll.BDH("SRPT US Equity","PX_TO_TANG_BV_PER_SH","FQ2 2020","FQ2 2020","Currency=USD","Period=FQ","BEST_FPERIOD_OVERRIDE=FQ","FILING_STATUS=MR","Sort=A","Dates=H","DateFormat=P","Fill=—","Direction=H","UseDPDF=Y")</f>
        <v>12.212400000000001</v>
      </c>
      <c r="G16" s="20">
        <f>_xll.BDH("SRPT US Equity","PX_TO_TANG_BV_PER_SH","FQ3 2020","FQ3 2020","Currency=USD","Period=FQ","BEST_FPERIOD_OVERRIDE=FQ","FILING_STATUS=MR","Sort=A","Dates=H","DateFormat=P","Fill=—","Direction=H","UseDPDF=Y")</f>
        <v>12.591799999999999</v>
      </c>
      <c r="H16" s="20">
        <f>_xll.BDH("SRPT US Equity","PX_TO_TANG_BV_PER_SH","FQ4 2020","FQ4 2020","Currency=USD","Period=FQ","BEST_FPERIOD_OVERRIDE=FQ","FILING_STATUS=MR","Sort=A","Dates=H","DateFormat=P","Fill=—","Direction=H","UseDPDF=Y")</f>
        <v>18.0884</v>
      </c>
      <c r="I16" s="20">
        <f>_xll.BDH("SRPT US Equity","PX_TO_TANG_BV_PER_SH","FQ1 2021","FQ1 2021","Currency=USD","Period=FQ","BEST_FPERIOD_OVERRIDE=FQ","FILING_STATUS=MR","Sort=A","Dates=H","DateFormat=P","Fill=—","Direction=H","UseDPDF=Y")</f>
        <v>11.4011</v>
      </c>
      <c r="J16" s="20">
        <f>_xll.BDH("SRPT US Equity","PX_TO_TANG_BV_PER_SH","FQ2 2021","FQ2 2021","Currency=USD","Period=FQ","BEST_FPERIOD_OVERRIDE=FQ","FILING_STATUS=MR","Sort=A","Dates=H","DateFormat=P","Fill=—","Direction=H","UseDPDF=Y")</f>
        <v>13.1762</v>
      </c>
      <c r="K16" s="20">
        <f>_xll.BDH("SRPT US Equity","PX_TO_TANG_BV_PER_SH","FQ3 2021","FQ3 2021","Currency=USD","Period=FQ","BEST_FPERIOD_OVERRIDE=FQ","FILING_STATUS=MR","Sort=A","Dates=H","DateFormat=P","Fill=—","Direction=H","UseDPDF=Y")</f>
        <v>16.240200000000002</v>
      </c>
      <c r="L16" s="20">
        <f>_xll.BDH("SRPT US Equity","PX_TO_TANG_BV_PER_SH","FQ4 2021","FQ4 2021","Currency=USD","Period=FQ","BEST_FPERIOD_OVERRIDE=FQ","FILING_STATUS=MR","Sort=A","Dates=H","DateFormat=P","Fill=—","Direction=H","UseDPDF=Y")</f>
        <v>8.5861999999999998</v>
      </c>
      <c r="M16" s="20">
        <f>_xll.BDH("SRPT US Equity","PX_TO_TANG_BV_PER_SH","FQ1 2022","FQ1 2022","Currency=USD","Period=FQ","BEST_FPERIOD_OVERRIDE=FQ","FILING_STATUS=MR","Sort=A","Dates=H","DateFormat=P","Fill=—","Direction=H","UseDPDF=Y")</f>
        <v>8.1028000000000002</v>
      </c>
      <c r="N16" s="20">
        <f>_xll.BDH("SRPT US Equity","PX_TO_TANG_BV_PER_SH","FQ2 2022","FQ2 2022","Currency=USD","Period=FQ","BEST_FPERIOD_OVERRIDE=FQ","FILING_STATUS=MR","Sort=A","Dates=H","DateFormat=P","Fill=—","Direction=H","UseDPDF=Y")</f>
        <v>9.1978000000000009</v>
      </c>
      <c r="O16" s="20">
        <f>_xll.BDH("SRPT US Equity","PX_TO_TANG_BV_PER_SH","FQ3 2022","FQ3 2022","Currency=USD","Period=FQ","BEST_FPERIOD_OVERRIDE=FQ","FILING_STATUS=MR","Sort=A","Dates=H","DateFormat=P","Fill=—","Direction=H","UseDPDF=Y")</f>
        <v>23.221800000000002</v>
      </c>
      <c r="P16" s="20">
        <f>_xll.BDH("SRPT US Equity","PX_TO_TANG_BV_PER_SH","FQ4 2022","FQ4 2022","Currency=USD","Period=FQ","BEST_FPERIOD_OVERRIDE=FQ","FILING_STATUS=MR","Sort=A","Dates=H","DateFormat=P","Fill=—","Direction=H","UseDPDF=Y")</f>
        <v>30.7211</v>
      </c>
      <c r="Q16" s="20">
        <f>_xll.BDH("SRPT US Equity","PX_TO_TANG_BV_PER_SH","FQ1 2023","FQ1 2023","Currency=USD","Period=FQ","BEST_FPERIOD_OVERRIDE=FQ","FILING_STATUS=MR","Sort=A","Dates=H","DateFormat=P","Fill=—","Direction=H","UseDPDF=Y")</f>
        <v>18.195</v>
      </c>
      <c r="R16" s="20">
        <f>_xll.BDH("SRPT US Equity","PX_TO_TANG_BV_PER_SH","FQ2 2023","FQ2 2023","Currency=USD","Period=FQ","BEST_FPERIOD_OVERRIDE=FQ","FILING_STATUS=MR","Sort=A","Dates=H","DateFormat=P","Fill=—","Direction=H","UseDPDF=Y")</f>
        <v>14.7661</v>
      </c>
      <c r="S16" s="20">
        <f>_xll.BDH("SRPT US Equity","PX_TO_TANG_BV_PER_SH","FQ3 2023","FQ3 2023","Currency=USD","Period=FQ","BEST_FPERIOD_OVERRIDE=FQ","FILING_STATUS=MR","Sort=A","Dates=H","DateFormat=P","Fill=—","Direction=H","UseDPDF=Y")</f>
        <v>15.2225</v>
      </c>
      <c r="T16" s="20">
        <f>_xll.BDH("SRPT US Equity","PX_TO_TANG_BV_PER_SH","FQ4 2023","FQ4 2023","Currency=USD","Period=FQ","BEST_FPERIOD_OVERRIDE=FQ","FILING_STATUS=MR","Sort=A","Dates=H","DateFormat=P","Fill=—","Direction=H","UseDPDF=Y")</f>
        <v>11.0029</v>
      </c>
      <c r="U16" s="20">
        <f>_xll.BDH("SRPT US Equity","PX_TO_TANG_BV_PER_SH","FQ1 2024","FQ1 2024","Currency=USD","Period=FQ","BEST_FPERIOD_OVERRIDE=FQ","FILING_STATUS=MR","Sort=A","Dates=H","DateFormat=P","Fill=—","Direction=H","UseDPDF=Y")</f>
        <v>13.121499999999999</v>
      </c>
      <c r="V16" s="20">
        <f>_xll.BDH("SRPT US Equity","PX_TO_TANG_BV_PER_SH","FQ2 2024","FQ2 2024","Currency=USD","Period=FQ","BEST_FPERIOD_OVERRIDE=FQ","FILING_STATUS=MR","Sort=A","Dates=H","DateFormat=P","Fill=—","Direction=H","UseDPDF=Y")</f>
        <v>14.353899999999999</v>
      </c>
      <c r="W16" s="20">
        <f>_xll.BDH("SRPT US Equity","PX_TO_TANG_BV_PER_SH","FQ3 2024","FQ3 2024","Currency=USD","Period=FQ","BEST_FPERIOD_OVERRIDE=FQ","FILING_STATUS=MR","Sort=A","Dates=H","DateFormat=P","Fill=—","Direction=H","UseDPDF=Y")</f>
        <v>9.9925999999999995</v>
      </c>
      <c r="X16" s="20">
        <f>_xll.BDH("SRPT US Equity","PX_TO_TANG_BV_PER_SH","FQ4 2024","FQ4 2024","Currency=USD","Period=FQ","BEST_FPERIOD_OVERRIDE=FQ","FILING_STATUS=MR","Sort=A","Dates=H","DateFormat=P","Fill=—","Direction=H","UseDPDF=Y")</f>
        <v>7.9080000000000004</v>
      </c>
      <c r="Y16" s="23">
        <v>4.5778523161368598</v>
      </c>
      <c r="Z16" s="20"/>
      <c r="AA16" s="20"/>
    </row>
    <row r="17" spans="1:27" x14ac:dyDescent="0.25">
      <c r="A17" s="10" t="s">
        <v>209</v>
      </c>
      <c r="B17" s="10" t="s">
        <v>222</v>
      </c>
      <c r="C17" s="14">
        <f>_xll.BDH("SRPT US Equity","AVERAGE_PRICE_TO_TANGIBLE_BPS","FQ3 2019","FQ3 2019","Currency=USD","Period=FQ","BEST_FPERIOD_OVERRIDE=FQ","FILING_STATUS=MR","Sort=A","Dates=H","DateFormat=P","Fill=—","Direction=H","UseDPDF=Y")</f>
        <v>8.0816999999999997</v>
      </c>
      <c r="D17" s="14">
        <f>_xll.BDH("SRPT US Equity","AVERAGE_PRICE_TO_TANGIBLE_BPS","FQ4 2019","FQ4 2019","Currency=USD","Period=FQ","BEST_FPERIOD_OVERRIDE=FQ","FILING_STATUS=MR","Sort=A","Dates=H","DateFormat=P","Fill=—","Direction=H","UseDPDF=Y")</f>
        <v>7.6835000000000004</v>
      </c>
      <c r="E17" s="14">
        <f>_xll.BDH("SRPT US Equity","AVERAGE_PRICE_TO_TANGIBLE_BPS","FQ1 2020","FQ1 2020","Currency=USD","Period=FQ","BEST_FPERIOD_OVERRIDE=FQ","FILING_STATUS=MR","Sort=A","Dates=H","DateFormat=P","Fill=—","Direction=H","UseDPDF=Y")</f>
        <v>10.6281</v>
      </c>
      <c r="F17" s="14">
        <f>_xll.BDH("SRPT US Equity","AVERAGE_PRICE_TO_TANGIBLE_BPS","FQ2 2020","FQ2 2020","Currency=USD","Period=FQ","BEST_FPERIOD_OVERRIDE=FQ","FILING_STATUS=MR","Sort=A","Dates=H","DateFormat=P","Fill=—","Direction=H","UseDPDF=Y")</f>
        <v>9.39</v>
      </c>
      <c r="G17" s="14">
        <f>_xll.BDH("SRPT US Equity","AVERAGE_PRICE_TO_TANGIBLE_BPS","FQ3 2020","FQ3 2020","Currency=USD","Period=FQ","BEST_FPERIOD_OVERRIDE=FQ","FILING_STATUS=MR","Sort=A","Dates=H","DateFormat=P","Fill=—","Direction=H","UseDPDF=Y")</f>
        <v>11.604699999999999</v>
      </c>
      <c r="H17" s="14">
        <f>_xll.BDH("SRPT US Equity","AVERAGE_PRICE_TO_TANGIBLE_BPS","FQ4 2020","FQ4 2020","Currency=USD","Period=FQ","BEST_FPERIOD_OVERRIDE=FQ","FILING_STATUS=MR","Sort=A","Dates=H","DateFormat=P","Fill=—","Direction=H","UseDPDF=Y")</f>
        <v>13.329599999999999</v>
      </c>
      <c r="I17" s="14">
        <f>_xll.BDH("SRPT US Equity","AVERAGE_PRICE_TO_TANGIBLE_BPS","FQ1 2021","FQ1 2021","Currency=USD","Period=FQ","BEST_FPERIOD_OVERRIDE=FQ","FILING_STATUS=MR","Sort=A","Dates=H","DateFormat=P","Fill=—","Direction=H","UseDPDF=Y")</f>
        <v>9.8475000000000001</v>
      </c>
      <c r="J17" s="14">
        <f>_xll.BDH("SRPT US Equity","AVERAGE_PRICE_TO_TANGIBLE_BPS","FQ2 2021","FQ2 2021","Currency=USD","Period=FQ","BEST_FPERIOD_OVERRIDE=FQ","FILING_STATUS=MR","Sort=A","Dates=H","DateFormat=P","Fill=—","Direction=H","UseDPDF=Y")</f>
        <v>11.617699999999999</v>
      </c>
      <c r="K17" s="14">
        <f>_xll.BDH("SRPT US Equity","AVERAGE_PRICE_TO_TANGIBLE_BPS","FQ3 2021","FQ3 2021","Currency=USD","Period=FQ","BEST_FPERIOD_OVERRIDE=FQ","FILING_STATUS=MR","Sort=A","Dates=H","DateFormat=P","Fill=—","Direction=H","UseDPDF=Y")</f>
        <v>13.064</v>
      </c>
      <c r="L17" s="14">
        <f>_xll.BDH("SRPT US Equity","AVERAGE_PRICE_TO_TANGIBLE_BPS","FQ4 2021","FQ4 2021","Currency=USD","Period=FQ","BEST_FPERIOD_OVERRIDE=FQ","FILING_STATUS=MR","Sort=A","Dates=H","DateFormat=P","Fill=—","Direction=H","UseDPDF=Y")</f>
        <v>14.8994</v>
      </c>
      <c r="M17" s="14">
        <f>_xll.BDH("SRPT US Equity","AVERAGE_PRICE_TO_TANGIBLE_BPS","FQ1 2022","FQ1 2022","Currency=USD","Period=FQ","BEST_FPERIOD_OVERRIDE=FQ","FILING_STATUS=MR","Sort=A","Dates=H","DateFormat=P","Fill=—","Direction=H","UseDPDF=Y")</f>
        <v>7.3122999999999996</v>
      </c>
      <c r="N17" s="14">
        <f>_xll.BDH("SRPT US Equity","AVERAGE_PRICE_TO_TANGIBLE_BPS","FQ2 2022","FQ2 2022","Currency=USD","Period=FQ","BEST_FPERIOD_OVERRIDE=FQ","FILING_STATUS=MR","Sort=A","Dates=H","DateFormat=P","Fill=—","Direction=H","UseDPDF=Y")</f>
        <v>7.6534000000000004</v>
      </c>
      <c r="O17" s="14">
        <f>_xll.BDH("SRPT US Equity","AVERAGE_PRICE_TO_TANGIBLE_BPS","FQ3 2022","FQ3 2022","Currency=USD","Period=FQ","BEST_FPERIOD_OVERRIDE=FQ","FILING_STATUS=MR","Sort=A","Dates=H","DateFormat=P","Fill=—","Direction=H","UseDPDF=Y")</f>
        <v>12.5185</v>
      </c>
      <c r="P17" s="14">
        <f>_xll.BDH("SRPT US Equity","AVERAGE_PRICE_TO_TANGIBLE_BPS","FQ4 2022","FQ4 2022","Currency=USD","Period=FQ","BEST_FPERIOD_OVERRIDE=FQ","FILING_STATUS=MR","Sort=A","Dates=H","DateFormat=P","Fill=—","Direction=H","UseDPDF=Y")</f>
        <v>24.399799999999999</v>
      </c>
      <c r="Q17" s="14">
        <f>_xll.BDH("SRPT US Equity","AVERAGE_PRICE_TO_TANGIBLE_BPS","FQ1 2023","FQ1 2023","Currency=USD","Period=FQ","BEST_FPERIOD_OVERRIDE=FQ","FILING_STATUS=MR","Sort=A","Dates=H","DateFormat=P","Fill=—","Direction=H","UseDPDF=Y")</f>
        <v>30.520499999999998</v>
      </c>
      <c r="R17" s="14">
        <f>_xll.BDH("SRPT US Equity","AVERAGE_PRICE_TO_TANGIBLE_BPS","FQ2 2023","FQ2 2023","Currency=USD","Period=FQ","BEST_FPERIOD_OVERRIDE=FQ","FILING_STATUS=MR","Sort=A","Dates=H","DateFormat=P","Fill=—","Direction=H","UseDPDF=Y")</f>
        <v>17.0168</v>
      </c>
      <c r="S17" s="14">
        <f>_xll.BDH("SRPT US Equity","AVERAGE_PRICE_TO_TANGIBLE_BPS","FQ3 2023","FQ3 2023","Currency=USD","Period=FQ","BEST_FPERIOD_OVERRIDE=FQ","FILING_STATUS=MR","Sort=A","Dates=H","DateFormat=P","Fill=—","Direction=H","UseDPDF=Y")</f>
        <v>14.567</v>
      </c>
      <c r="T17" s="14">
        <f>_xll.BDH("SRPT US Equity","AVERAGE_PRICE_TO_TANGIBLE_BPS","FQ4 2023","FQ4 2023","Currency=USD","Period=FQ","BEST_FPERIOD_OVERRIDE=FQ","FILING_STATUS=MR","Sort=A","Dates=H","DateFormat=P","Fill=—","Direction=H","UseDPDF=Y")</f>
        <v>12.0289</v>
      </c>
      <c r="U17" s="14">
        <f>_xll.BDH("SRPT US Equity","AVERAGE_PRICE_TO_TANGIBLE_BPS","FQ1 2024","FQ1 2024","Currency=USD","Period=FQ","BEST_FPERIOD_OVERRIDE=FQ","FILING_STATUS=MR","Sort=A","Dates=H","DateFormat=P","Fill=—","Direction=H","UseDPDF=Y")</f>
        <v>13.95</v>
      </c>
      <c r="V17" s="14">
        <f>_xll.BDH("SRPT US Equity","AVERAGE_PRICE_TO_TANGIBLE_BPS","FQ2 2024","FQ2 2024","Currency=USD","Period=FQ","BEST_FPERIOD_OVERRIDE=FQ","FILING_STATUS=MR","Sort=A","Dates=H","DateFormat=P","Fill=—","Direction=H","UseDPDF=Y")</f>
        <v>12.994</v>
      </c>
      <c r="W17" s="14">
        <f>_xll.BDH("SRPT US Equity","AVERAGE_PRICE_TO_TANGIBLE_BPS","FQ3 2024","FQ3 2024","Currency=USD","Period=FQ","BEST_FPERIOD_OVERRIDE=FQ","FILING_STATUS=MR","Sort=A","Dates=H","DateFormat=P","Fill=—","Direction=H","UseDPDF=Y")</f>
        <v>12.537800000000001</v>
      </c>
      <c r="X17" s="14">
        <f>_xll.BDH("SRPT US Equity","AVERAGE_PRICE_TO_TANGIBLE_BPS","FQ4 2024","FQ4 2024","Currency=USD","Period=FQ","BEST_FPERIOD_OVERRIDE=FQ","FILING_STATUS=MR","Sort=A","Dates=H","DateFormat=P","Fill=—","Direction=H","UseDPDF=Y")</f>
        <v>9.7772000000000006</v>
      </c>
      <c r="Y17" s="17"/>
      <c r="Z17" s="14"/>
      <c r="AA17" s="14"/>
    </row>
    <row r="18" spans="1:27" x14ac:dyDescent="0.25">
      <c r="A18" s="10" t="s">
        <v>211</v>
      </c>
      <c r="B18" s="10" t="s">
        <v>223</v>
      </c>
      <c r="C18" s="14">
        <f>_xll.BDH("SRPT US Equity","HIGH_PRICE_TO_TANGIBLE_BPS","FQ3 2019","FQ3 2019","Currency=USD","Period=FQ","BEST_FPERIOD_OVERRIDE=FQ","FILING_STATUS=MR","Sort=A","Dates=H","DateFormat=P","Fill=—","Direction=H","UseDPDF=Y")</f>
        <v>10.725899999999999</v>
      </c>
      <c r="D18" s="14">
        <f>_xll.BDH("SRPT US Equity","HIGH_PRICE_TO_TANGIBLE_BPS","FQ4 2019","FQ4 2019","Currency=USD","Period=FQ","BEST_FPERIOD_OVERRIDE=FQ","FILING_STATUS=MR","Sort=A","Dates=H","DateFormat=P","Fill=—","Direction=H","UseDPDF=Y")</f>
        <v>12.041700000000001</v>
      </c>
      <c r="E18" s="14">
        <f>_xll.BDH("SRPT US Equity","HIGH_PRICE_TO_TANGIBLE_BPS","FQ1 2020","FQ1 2020","Currency=USD","Period=FQ","BEST_FPERIOD_OVERRIDE=FQ","FILING_STATUS=MR","Sort=A","Dates=H","DateFormat=P","Fill=—","Direction=H","UseDPDF=Y")</f>
        <v>12.2843</v>
      </c>
      <c r="F18" s="14">
        <f>_xll.BDH("SRPT US Equity","HIGH_PRICE_TO_TANGIBLE_BPS","FQ2 2020","FQ2 2020","Currency=USD","Period=FQ","BEST_FPERIOD_OVERRIDE=FQ","FILING_STATUS=MR","Sort=A","Dates=H","DateFormat=P","Fill=—","Direction=H","UseDPDF=Y")</f>
        <v>12.212400000000001</v>
      </c>
      <c r="G18" s="14">
        <f>_xll.BDH("SRPT US Equity","HIGH_PRICE_TO_TANGIBLE_BPS","FQ3 2020","FQ3 2020","Currency=USD","Period=FQ","BEST_FPERIOD_OVERRIDE=FQ","FILING_STATUS=MR","Sort=A","Dates=H","DateFormat=P","Fill=—","Direction=H","UseDPDF=Y")</f>
        <v>13.1264</v>
      </c>
      <c r="H18" s="14">
        <f>_xll.BDH("SRPT US Equity","HIGH_PRICE_TO_TANGIBLE_BPS","FQ4 2020","FQ4 2020","Currency=USD","Period=FQ","BEST_FPERIOD_OVERRIDE=FQ","FILING_STATUS=MR","Sort=A","Dates=H","DateFormat=P","Fill=—","Direction=H","UseDPDF=Y")</f>
        <v>18.0884</v>
      </c>
      <c r="I18" s="14">
        <f>_xll.BDH("SRPT US Equity","HIGH_PRICE_TO_TANGIBLE_BPS","FQ1 2021","FQ1 2021","Currency=USD","Period=FQ","BEST_FPERIOD_OVERRIDE=FQ","FILING_STATUS=MR","Sort=A","Dates=H","DateFormat=P","Fill=—","Direction=H","UseDPDF=Y")</f>
        <v>17.925000000000001</v>
      </c>
      <c r="J18" s="14">
        <f>_xll.BDH("SRPT US Equity","HIGH_PRICE_TO_TANGIBLE_BPS","FQ2 2021","FQ2 2021","Currency=USD","Period=FQ","BEST_FPERIOD_OVERRIDE=FQ","FILING_STATUS=MR","Sort=A","Dates=H","DateFormat=P","Fill=—","Direction=H","UseDPDF=Y")</f>
        <v>13.2704</v>
      </c>
      <c r="K18" s="14">
        <f>_xll.BDH("SRPT US Equity","HIGH_PRICE_TO_TANGIBLE_BPS","FQ3 2021","FQ3 2021","Currency=USD","Period=FQ","BEST_FPERIOD_OVERRIDE=FQ","FILING_STATUS=MR","Sort=A","Dates=H","DateFormat=P","Fill=—","Direction=H","UseDPDF=Y")</f>
        <v>16.240200000000002</v>
      </c>
      <c r="L18" s="14">
        <f>_xll.BDH("SRPT US Equity","HIGH_PRICE_TO_TANGIBLE_BPS","FQ4 2021","FQ4 2021","Currency=USD","Period=FQ","BEST_FPERIOD_OVERRIDE=FQ","FILING_STATUS=MR","Sort=A","Dates=H","DateFormat=P","Fill=—","Direction=H","UseDPDF=Y")</f>
        <v>17.4589</v>
      </c>
      <c r="M18" s="14">
        <f>_xll.BDH("SRPT US Equity","HIGH_PRICE_TO_TANGIBLE_BPS","FQ1 2022","FQ1 2022","Currency=USD","Period=FQ","BEST_FPERIOD_OVERRIDE=FQ","FILING_STATUS=MR","Sort=A","Dates=H","DateFormat=P","Fill=—","Direction=H","UseDPDF=Y")</f>
        <v>8.6213999999999995</v>
      </c>
      <c r="N18" s="14">
        <f>_xll.BDH("SRPT US Equity","HIGH_PRICE_TO_TANGIBLE_BPS","FQ2 2022","FQ2 2022","Currency=USD","Period=FQ","BEST_FPERIOD_OVERRIDE=FQ","FILING_STATUS=MR","Sort=A","Dates=H","DateFormat=P","Fill=—","Direction=H","UseDPDF=Y")</f>
        <v>9.1978000000000009</v>
      </c>
      <c r="O18" s="14">
        <f>_xll.BDH("SRPT US Equity","HIGH_PRICE_TO_TANGIBLE_BPS","FQ3 2022","FQ3 2022","Currency=USD","Period=FQ","BEST_FPERIOD_OVERRIDE=FQ","FILING_STATUS=MR","Sort=A","Dates=H","DateFormat=P","Fill=—","Direction=H","UseDPDF=Y")</f>
        <v>23.221800000000002</v>
      </c>
      <c r="P18" s="14">
        <f>_xll.BDH("SRPT US Equity","HIGH_PRICE_TO_TANGIBLE_BPS","FQ4 2022","FQ4 2022","Currency=USD","Period=FQ","BEST_FPERIOD_OVERRIDE=FQ","FILING_STATUS=MR","Sort=A","Dates=H","DateFormat=P","Fill=—","Direction=H","UseDPDF=Y")</f>
        <v>30.7211</v>
      </c>
      <c r="Q18" s="14">
        <f>_xll.BDH("SRPT US Equity","HIGH_PRICE_TO_TANGIBLE_BPS","FQ1 2023","FQ1 2023","Currency=USD","Period=FQ","BEST_FPERIOD_OVERRIDE=FQ","FILING_STATUS=MR","Sort=A","Dates=H","DateFormat=P","Fill=—","Direction=H","UseDPDF=Y")</f>
        <v>36.982399999999998</v>
      </c>
      <c r="R18" s="14">
        <f>_xll.BDH("SRPT US Equity","HIGH_PRICE_TO_TANGIBLE_BPS","FQ2 2023","FQ2 2023","Currency=USD","Period=FQ","BEST_FPERIOD_OVERRIDE=FQ","FILING_STATUS=MR","Sort=A","Dates=H","DateFormat=P","Fill=—","Direction=H","UseDPDF=Y")</f>
        <v>20.750800000000002</v>
      </c>
      <c r="S18" s="14">
        <f>_xll.BDH("SRPT US Equity","HIGH_PRICE_TO_TANGIBLE_BPS","FQ3 2023","FQ3 2023","Currency=USD","Period=FQ","BEST_FPERIOD_OVERRIDE=FQ","FILING_STATUS=MR","Sort=A","Dates=H","DateFormat=P","Fill=—","Direction=H","UseDPDF=Y")</f>
        <v>15.935600000000001</v>
      </c>
      <c r="T18" s="14">
        <f>_xll.BDH("SRPT US Equity","HIGH_PRICE_TO_TANGIBLE_BPS","FQ4 2023","FQ4 2023","Currency=USD","Period=FQ","BEST_FPERIOD_OVERRIDE=FQ","FILING_STATUS=MR","Sort=A","Dates=H","DateFormat=P","Fill=—","Direction=H","UseDPDF=Y")</f>
        <v>15.6671</v>
      </c>
      <c r="U18" s="14">
        <f>_xll.BDH("SRPT US Equity","HIGH_PRICE_TO_TANGIBLE_BPS","FQ1 2024","FQ1 2024","Currency=USD","Period=FQ","BEST_FPERIOD_OVERRIDE=FQ","FILING_STATUS=MR","Sort=A","Dates=H","DateFormat=P","Fill=—","Direction=H","UseDPDF=Y")</f>
        <v>16.148900000000001</v>
      </c>
      <c r="V18" s="14">
        <f>_xll.BDH("SRPT US Equity","HIGH_PRICE_TO_TANGIBLE_BPS","FQ2 2024","FQ2 2024","Currency=USD","Period=FQ","BEST_FPERIOD_OVERRIDE=FQ","FILING_STATUS=MR","Sort=A","Dates=H","DateFormat=P","Fill=—","Direction=H","UseDPDF=Y")</f>
        <v>16.607099999999999</v>
      </c>
      <c r="W18" s="14">
        <f>_xll.BDH("SRPT US Equity","HIGH_PRICE_TO_TANGIBLE_BPS","FQ3 2024","FQ3 2024","Currency=USD","Period=FQ","BEST_FPERIOD_OVERRIDE=FQ","FILING_STATUS=MR","Sort=A","Dates=H","DateFormat=P","Fill=—","Direction=H","UseDPDF=Y")</f>
        <v>14.240399999999999</v>
      </c>
      <c r="X18" s="14">
        <f>_xll.BDH("SRPT US Equity","HIGH_PRICE_TO_TANGIBLE_BPS","FQ4 2024","FQ4 2024","Currency=USD","Period=FQ","BEST_FPERIOD_OVERRIDE=FQ","FILING_STATUS=MR","Sort=A","Dates=H","DateFormat=P","Fill=—","Direction=H","UseDPDF=Y")</f>
        <v>11.0367</v>
      </c>
      <c r="Y18" s="17"/>
      <c r="Z18" s="14"/>
      <c r="AA18" s="14"/>
    </row>
    <row r="19" spans="1:27" x14ac:dyDescent="0.25">
      <c r="A19" s="10" t="s">
        <v>213</v>
      </c>
      <c r="B19" s="10" t="s">
        <v>224</v>
      </c>
      <c r="C19" s="14">
        <f>_xll.BDH("SRPT US Equity","LOW_PRICE_TO_TANGIBLE_BPS","FQ3 2019","FQ3 2019","Currency=USD","Period=FQ","BEST_FPERIOD_OVERRIDE=FQ","FILING_STATUS=MR","Sort=A","Dates=H","DateFormat=P","Fill=—","Direction=H","UseDPDF=Y")</f>
        <v>4.9771000000000001</v>
      </c>
      <c r="D19" s="14">
        <f>_xll.BDH("SRPT US Equity","LOW_PRICE_TO_TANGIBLE_BPS","FQ4 2019","FQ4 2019","Currency=USD","Period=FQ","BEST_FPERIOD_OVERRIDE=FQ","FILING_STATUS=MR","Sort=A","Dates=H","DateFormat=P","Fill=—","Direction=H","UseDPDF=Y")</f>
        <v>5.7991000000000001</v>
      </c>
      <c r="E19" s="14">
        <f>_xll.BDH("SRPT US Equity","LOW_PRICE_TO_TANGIBLE_BPS","FQ1 2020","FQ1 2020","Currency=USD","Period=FQ","BEST_FPERIOD_OVERRIDE=FQ","FILING_STATUS=MR","Sort=A","Dates=H","DateFormat=P","Fill=—","Direction=H","UseDPDF=Y")</f>
        <v>6.7365000000000004</v>
      </c>
      <c r="F19" s="14">
        <f>_xll.BDH("SRPT US Equity","LOW_PRICE_TO_TANGIBLE_BPS","FQ2 2020","FQ2 2020","Currency=USD","Period=FQ","BEST_FPERIOD_OVERRIDE=FQ","FILING_STATUS=MR","Sort=A","Dates=H","DateFormat=P","Fill=—","Direction=H","UseDPDF=Y")</f>
        <v>6.4046000000000003</v>
      </c>
      <c r="G19" s="14">
        <f>_xll.BDH("SRPT US Equity","LOW_PRICE_TO_TANGIBLE_BPS","FQ3 2020","FQ3 2020","Currency=USD","Period=FQ","BEST_FPERIOD_OVERRIDE=FQ","FILING_STATUS=MR","Sort=A","Dates=H","DateFormat=P","Fill=—","Direction=H","UseDPDF=Y")</f>
        <v>9.6821999999999999</v>
      </c>
      <c r="H19" s="14">
        <f>_xll.BDH("SRPT US Equity","LOW_PRICE_TO_TANGIBLE_BPS","FQ4 2020","FQ4 2020","Currency=USD","Period=FQ","BEST_FPERIOD_OVERRIDE=FQ","FILING_STATUS=MR","Sort=A","Dates=H","DateFormat=P","Fill=—","Direction=H","UseDPDF=Y")</f>
        <v>11.2585</v>
      </c>
      <c r="I19" s="14">
        <f>_xll.BDH("SRPT US Equity","LOW_PRICE_TO_TANGIBLE_BPS","FQ1 2021","FQ1 2021","Currency=USD","Period=FQ","BEST_FPERIOD_OVERRIDE=FQ","FILING_STATUS=MR","Sort=A","Dates=H","DateFormat=P","Fill=—","Direction=H","UseDPDF=Y")</f>
        <v>7.6654999999999998</v>
      </c>
      <c r="J19" s="14">
        <f>_xll.BDH("SRPT US Equity","LOW_PRICE_TO_TANGIBLE_BPS","FQ2 2021","FQ2 2021","Currency=USD","Period=FQ","BEST_FPERIOD_OVERRIDE=FQ","FILING_STATUS=MR","Sort=A","Dates=H","DateFormat=P","Fill=—","Direction=H","UseDPDF=Y")</f>
        <v>10.613300000000001</v>
      </c>
      <c r="K19" s="14">
        <f>_xll.BDH("SRPT US Equity","LOW_PRICE_TO_TANGIBLE_BPS","FQ3 2021","FQ3 2021","Currency=USD","Period=FQ","BEST_FPERIOD_OVERRIDE=FQ","FILING_STATUS=MR","Sort=A","Dates=H","DateFormat=P","Fill=—","Direction=H","UseDPDF=Y")</f>
        <v>11.1813</v>
      </c>
      <c r="L19" s="14">
        <f>_xll.BDH("SRPT US Equity","LOW_PRICE_TO_TANGIBLE_BPS","FQ4 2021","FQ4 2021","Currency=USD","Period=FQ","BEST_FPERIOD_OVERRIDE=FQ","FILING_STATUS=MR","Sort=A","Dates=H","DateFormat=P","Fill=—","Direction=H","UseDPDF=Y")</f>
        <v>8.5861999999999998</v>
      </c>
      <c r="M19" s="14">
        <f>_xll.BDH("SRPT US Equity","LOW_PRICE_TO_TANGIBLE_BPS","FQ1 2022","FQ1 2022","Currency=USD","Period=FQ","BEST_FPERIOD_OVERRIDE=FQ","FILING_STATUS=MR","Sort=A","Dates=H","DateFormat=P","Fill=—","Direction=H","UseDPDF=Y")</f>
        <v>6.0213000000000001</v>
      </c>
      <c r="N19" s="14">
        <f>_xll.BDH("SRPT US Equity","LOW_PRICE_TO_TANGIBLE_BPS","FQ2 2022","FQ2 2022","Currency=USD","Period=FQ","BEST_FPERIOD_OVERRIDE=FQ","FILING_STATUS=MR","Sort=A","Dates=H","DateFormat=P","Fill=—","Direction=H","UseDPDF=Y")</f>
        <v>6.5023</v>
      </c>
      <c r="O19" s="14">
        <f>_xll.BDH("SRPT US Equity","LOW_PRICE_TO_TANGIBLE_BPS","FQ3 2022","FQ3 2022","Currency=USD","Period=FQ","BEST_FPERIOD_OVERRIDE=FQ","FILING_STATUS=MR","Sort=A","Dates=H","DateFormat=P","Fill=—","Direction=H","UseDPDF=Y")</f>
        <v>9.2897999999999996</v>
      </c>
      <c r="P19" s="14">
        <f>_xll.BDH("SRPT US Equity","LOW_PRICE_TO_TANGIBLE_BPS","FQ4 2022","FQ4 2022","Currency=USD","Period=FQ","BEST_FPERIOD_OVERRIDE=FQ","FILING_STATUS=MR","Sort=A","Dates=H","DateFormat=P","Fill=—","Direction=H","UseDPDF=Y")</f>
        <v>21.089500000000001</v>
      </c>
      <c r="Q19" s="14">
        <f>_xll.BDH("SRPT US Equity","LOW_PRICE_TO_TANGIBLE_BPS","FQ1 2023","FQ1 2023","Currency=USD","Period=FQ","BEST_FPERIOD_OVERRIDE=FQ","FILING_STATUS=MR","Sort=A","Dates=H","DateFormat=P","Fill=—","Direction=H","UseDPDF=Y")</f>
        <v>18.195</v>
      </c>
      <c r="R19" s="14">
        <f>_xll.BDH("SRPT US Equity","LOW_PRICE_TO_TANGIBLE_BPS","FQ2 2023","FQ2 2023","Currency=USD","Period=FQ","BEST_FPERIOD_OVERRIDE=FQ","FILING_STATUS=MR","Sort=A","Dates=H","DateFormat=P","Fill=—","Direction=H","UseDPDF=Y")</f>
        <v>14.0459</v>
      </c>
      <c r="S19" s="14">
        <f>_xll.BDH("SRPT US Equity","LOW_PRICE_TO_TANGIBLE_BPS","FQ3 2023","FQ3 2023","Currency=USD","Period=FQ","BEST_FPERIOD_OVERRIDE=FQ","FILING_STATUS=MR","Sort=A","Dates=H","DateFormat=P","Fill=—","Direction=H","UseDPDF=Y")</f>
        <v>13.216200000000001</v>
      </c>
      <c r="T19" s="14">
        <f>_xll.BDH("SRPT US Equity","LOW_PRICE_TO_TANGIBLE_BPS","FQ4 2023","FQ4 2023","Currency=USD","Period=FQ","BEST_FPERIOD_OVERRIDE=FQ","FILING_STATUS=MR","Sort=A","Dates=H","DateFormat=P","Fill=—","Direction=H","UseDPDF=Y")</f>
        <v>8.4526000000000003</v>
      </c>
      <c r="U19" s="14">
        <f>_xll.BDH("SRPT US Equity","LOW_PRICE_TO_TANGIBLE_BPS","FQ1 2024","FQ1 2024","Currency=USD","Period=FQ","BEST_FPERIOD_OVERRIDE=FQ","FILING_STATUS=MR","Sort=A","Dates=H","DateFormat=P","Fill=—","Direction=H","UseDPDF=Y")</f>
        <v>10.6914</v>
      </c>
      <c r="V19" s="14">
        <f>_xll.BDH("SRPT US Equity","LOW_PRICE_TO_TANGIBLE_BPS","FQ2 2024","FQ2 2024","Currency=USD","Period=FQ","BEST_FPERIOD_OVERRIDE=FQ","FILING_STATUS=MR","Sort=A","Dates=H","DateFormat=P","Fill=—","Direction=H","UseDPDF=Y")</f>
        <v>11.486700000000001</v>
      </c>
      <c r="W19" s="14">
        <f>_xll.BDH("SRPT US Equity","LOW_PRICE_TO_TANGIBLE_BPS","FQ3 2024","FQ3 2024","Currency=USD","Period=FQ","BEST_FPERIOD_OVERRIDE=FQ","FILING_STATUS=MR","Sort=A","Dates=H","DateFormat=P","Fill=—","Direction=H","UseDPDF=Y")</f>
        <v>9.9925999999999995</v>
      </c>
      <c r="X19" s="14">
        <f>_xll.BDH("SRPT US Equity","LOW_PRICE_TO_TANGIBLE_BPS","FQ4 2024","FQ4 2024","Currency=USD","Period=FQ","BEST_FPERIOD_OVERRIDE=FQ","FILING_STATUS=MR","Sort=A","Dates=H","DateFormat=P","Fill=—","Direction=H","UseDPDF=Y")</f>
        <v>7.9080000000000004</v>
      </c>
      <c r="Y19" s="17"/>
      <c r="Z19" s="14"/>
      <c r="AA19" s="14"/>
    </row>
    <row r="20" spans="1:27" x14ac:dyDescent="0.25">
      <c r="A20" s="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21"/>
      <c r="Z20" s="18"/>
      <c r="AA20" s="18"/>
    </row>
    <row r="21" spans="1:27" x14ac:dyDescent="0.25">
      <c r="A21" s="6" t="s">
        <v>225</v>
      </c>
      <c r="B21" s="6" t="s">
        <v>226</v>
      </c>
      <c r="C21" s="20">
        <f>_xll.BDH("SRPT US Equity","PX_TO_SALES_RATIO","FQ3 2019","FQ3 2019","Currency=USD","Period=FQ","BEST_FPERIOD_OVERRIDE=FQ","FILING_STATUS=MR","FA_ADJUSTED=GAAP","Sort=A","Dates=H","DateFormat=P","Fill=—","Direction=H","UseDPDF=Y")</f>
        <v>14.8918</v>
      </c>
      <c r="D21" s="20">
        <f>_xll.BDH("SRPT US Equity","PX_TO_SALES_RATIO","FQ4 2019","FQ4 2019","Currency=USD","Period=FQ","BEST_FPERIOD_OVERRIDE=FQ","FILING_STATUS=MR","FA_ADJUSTED=GAAP","Sort=A","Dates=H","DateFormat=P","Fill=—","Direction=H","UseDPDF=Y")</f>
        <v>24.954499999999999</v>
      </c>
      <c r="E21" s="20">
        <f>_xll.BDH("SRPT US Equity","PX_TO_SALES_RATIO","FQ1 2020","FQ1 2020","Currency=USD","Period=FQ","BEST_FPERIOD_OVERRIDE=FQ","FILING_STATUS=MR","FA_ADJUSTED=GAAP","Sort=A","Dates=H","DateFormat=P","Fill=—","Direction=H","UseDPDF=Y")</f>
        <v>17.964300000000001</v>
      </c>
      <c r="F21" s="20">
        <f>_xll.BDH("SRPT US Equity","PX_TO_SALES_RATIO","FQ2 2020","FQ2 2020","Currency=USD","Period=FQ","BEST_FPERIOD_OVERRIDE=FQ","FILING_STATUS=MR","FA_ADJUSTED=GAAP","Sort=A","Dates=H","DateFormat=P","Fill=—","Direction=H","UseDPDF=Y")</f>
        <v>27.052399999999999</v>
      </c>
      <c r="G21" s="20">
        <f>_xll.BDH("SRPT US Equity","PX_TO_SALES_RATIO","FQ3 2020","FQ3 2020","Currency=USD","Period=FQ","BEST_FPERIOD_OVERRIDE=FQ","FILING_STATUS=MR","FA_ADJUSTED=GAAP","Sort=A","Dates=H","DateFormat=P","Fill=—","Direction=H","UseDPDF=Y")</f>
        <v>21.856100000000001</v>
      </c>
      <c r="H21" s="20">
        <f>_xll.BDH("SRPT US Equity","PX_TO_SALES_RATIO","FQ4 2020","FQ4 2020","Currency=USD","Period=FQ","BEST_FPERIOD_OVERRIDE=FQ","FILING_STATUS=MR","FA_ADJUSTED=GAAP","Sort=A","Dates=H","DateFormat=P","Fill=—","Direction=H","UseDPDF=Y")</f>
        <v>24.630700000000001</v>
      </c>
      <c r="I21" s="20">
        <f>_xll.BDH("SRPT US Equity","PX_TO_SALES_RATIO","FQ1 2021","FQ1 2021","Currency=USD","Period=FQ","BEST_FPERIOD_OVERRIDE=FQ","FILING_STATUS=MR","FA_ADJUSTED=GAAP","Sort=A","Dates=H","DateFormat=P","Fill=—","Direction=H","UseDPDF=Y")</f>
        <v>10.232200000000001</v>
      </c>
      <c r="J21" s="20">
        <f>_xll.BDH("SRPT US Equity","PX_TO_SALES_RATIO","FQ2 2021","FQ2 2021","Currency=USD","Period=FQ","BEST_FPERIOD_OVERRIDE=FQ","FILING_STATUS=MR","FA_ADJUSTED=GAAP","Sort=A","Dates=H","DateFormat=P","Fill=—","Direction=H","UseDPDF=Y")</f>
        <v>10.2563</v>
      </c>
      <c r="K21" s="20">
        <f>_xll.BDH("SRPT US Equity","PX_TO_SALES_RATIO","FQ3 2021","FQ3 2021","Currency=USD","Period=FQ","BEST_FPERIOD_OVERRIDE=FQ","FILING_STATUS=MR","FA_ADJUSTED=GAAP","Sort=A","Dates=H","DateFormat=P","Fill=—","Direction=H","UseDPDF=Y")</f>
        <v>11.392799999999999</v>
      </c>
      <c r="L21" s="20">
        <f>_xll.BDH("SRPT US Equity","PX_TO_SALES_RATIO","FQ4 2021","FQ4 2021","Currency=USD","Period=FQ","BEST_FPERIOD_OVERRIDE=FQ","FILING_STATUS=MR","FA_ADJUSTED=GAAP","Sort=A","Dates=H","DateFormat=P","Fill=—","Direction=H","UseDPDF=Y")</f>
        <v>10.4443</v>
      </c>
      <c r="M21" s="20">
        <f>_xll.BDH("SRPT US Equity","PX_TO_SALES_RATIO","FQ1 2022","FQ1 2022","Currency=USD","Period=FQ","BEST_FPERIOD_OVERRIDE=FQ","FILING_STATUS=MR","FA_ADJUSTED=GAAP","Sort=A","Dates=H","DateFormat=P","Fill=—","Direction=H","UseDPDF=Y")</f>
        <v>8.5015000000000001</v>
      </c>
      <c r="N21" s="20">
        <f>_xll.BDH("SRPT US Equity","PX_TO_SALES_RATIO","FQ2 2022","FQ2 2022","Currency=USD","Period=FQ","BEST_FPERIOD_OVERRIDE=FQ","FILING_STATUS=MR","FA_ADJUSTED=GAAP","Sort=A","Dates=H","DateFormat=P","Fill=—","Direction=H","UseDPDF=Y")</f>
        <v>7.6494</v>
      </c>
      <c r="O21" s="20">
        <f>_xll.BDH("SRPT US Equity","PX_TO_SALES_RATIO","FQ3 2022","FQ3 2022","Currency=USD","Period=FQ","BEST_FPERIOD_OVERRIDE=FQ","FILING_STATUS=MR","FA_ADJUSTED=GAAP","Sort=A","Dates=H","DateFormat=P","Fill=—","Direction=H","UseDPDF=Y")</f>
        <v>10.9923</v>
      </c>
      <c r="P21" s="20">
        <f>_xll.BDH("SRPT US Equity","PX_TO_SALES_RATIO","FQ4 2022","FQ4 2022","Currency=USD","Period=FQ","BEST_FPERIOD_OVERRIDE=FQ","FILING_STATUS=MR","FA_ADJUSTED=GAAP","Sort=A","Dates=H","DateFormat=P","Fill=—","Direction=H","UseDPDF=Y")</f>
        <v>12.1622</v>
      </c>
      <c r="Q21" s="20">
        <f>_xll.BDH("SRPT US Equity","PX_TO_SALES_RATIO","FQ1 2023","FQ1 2023","Currency=USD","Period=FQ","BEST_FPERIOD_OVERRIDE=FQ","FILING_STATUS=MR","FA_ADJUSTED=GAAP","Sort=A","Dates=H","DateFormat=P","Fill=—","Direction=H","UseDPDF=Y")</f>
        <v>12.4031</v>
      </c>
      <c r="R21" s="20">
        <f>_xll.BDH("SRPT US Equity","PX_TO_SALES_RATIO","FQ2 2023","FQ2 2023","Currency=USD","Period=FQ","BEST_FPERIOD_OVERRIDE=FQ","FILING_STATUS=MR","FA_ADJUSTED=GAAP","Sort=A","Dates=H","DateFormat=P","Fill=—","Direction=H","UseDPDF=Y")</f>
        <v>10.055999999999999</v>
      </c>
      <c r="S21" s="20">
        <f>_xll.BDH("SRPT US Equity","PX_TO_SALES_RATIO","FQ3 2023","FQ3 2023","Currency=USD","Period=FQ","BEST_FPERIOD_OVERRIDE=FQ","FILING_STATUS=MR","FA_ADJUSTED=GAAP","Sort=A","Dates=H","DateFormat=P","Fill=—","Direction=H","UseDPDF=Y")</f>
        <v>9.7027000000000001</v>
      </c>
      <c r="T21" s="20">
        <f>_xll.BDH("SRPT US Equity","PX_TO_SALES_RATIO","FQ4 2023","FQ4 2023","Currency=USD","Period=FQ","BEST_FPERIOD_OVERRIDE=FQ","FILING_STATUS=MR","FA_ADJUSTED=GAAP","Sort=A","Dates=H","DateFormat=P","Fill=—","Direction=H","UseDPDF=Y")</f>
        <v>6.9928999999999997</v>
      </c>
      <c r="U21" s="20">
        <f>_xll.BDH("SRPT US Equity","PX_TO_SALES_RATIO","FQ1 2024","FQ1 2024","Currency=USD","Period=FQ","BEST_FPERIOD_OVERRIDE=FQ","FILING_STATUS=MR","FA_ADJUSTED=GAAP","Sort=A","Dates=H","DateFormat=P","Fill=—","Direction=H","UseDPDF=Y")</f>
        <v>8.4536999999999995</v>
      </c>
      <c r="V21" s="20">
        <f>_xll.BDH("SRPT US Equity","PX_TO_SALES_RATIO","FQ2 2024","FQ2 2024","Currency=USD","Period=FQ","BEST_FPERIOD_OVERRIDE=FQ","FILING_STATUS=MR","FA_ADJUSTED=GAAP","Sort=A","Dates=H","DateFormat=P","Fill=—","Direction=H","UseDPDF=Y")</f>
        <v>9.7494999999999994</v>
      </c>
      <c r="W21" s="20">
        <f>_xll.BDH("SRPT US Equity","PX_TO_SALES_RATIO","FQ3 2024","FQ3 2024","Currency=USD","Period=FQ","BEST_FPERIOD_OVERRIDE=FQ","FILING_STATUS=MR","FA_ADJUSTED=GAAP","Sort=A","Dates=H","DateFormat=P","Fill=—","Direction=H","UseDPDF=Y")</f>
        <v>7.1897000000000002</v>
      </c>
      <c r="X21" s="20">
        <f>_xll.BDH("SRPT US Equity","PX_TO_SALES_RATIO","FQ4 2024","FQ4 2024","Currency=USD","Period=FQ","BEST_FPERIOD_OVERRIDE=FQ","FILING_STATUS=MR","FA_ADJUSTED=GAAP","Sort=A","Dates=H","DateFormat=P","Fill=—","Direction=H","UseDPDF=Y")</f>
        <v>6.0884999999999998</v>
      </c>
      <c r="Y21" s="23">
        <v>3.5245703229752001</v>
      </c>
      <c r="Z21" s="20">
        <v>2.1599421261523402</v>
      </c>
      <c r="AA21" s="20">
        <v>2.0669254164964399</v>
      </c>
    </row>
    <row r="22" spans="1:27" x14ac:dyDescent="0.25">
      <c r="A22" s="10" t="s">
        <v>209</v>
      </c>
      <c r="B22" s="10" t="s">
        <v>227</v>
      </c>
      <c r="C22" s="14">
        <f>_xll.BDH("SRPT US Equity","AVERAGE_PRICE_TO_SALES_RATIO","FQ3 2019","FQ3 2019","Currency=USD","Period=FQ","BEST_FPERIOD_OVERRIDE=FQ","FILING_STATUS=MR","FA_ADJUSTED=GAAP","Sort=A","Dates=H","DateFormat=P","Fill=—","Direction=H","UseDPDF=Y")</f>
        <v>24.055299999999999</v>
      </c>
      <c r="D22" s="14">
        <f>_xll.BDH("SRPT US Equity","AVERAGE_PRICE_TO_SALES_RATIO","FQ4 2019","FQ4 2019","Currency=USD","Period=FQ","BEST_FPERIOD_OVERRIDE=FQ","FILING_STATUS=MR","FA_ADJUSTED=GAAP","Sort=A","Dates=H","DateFormat=P","Fill=—","Direction=H","UseDPDF=Y")</f>
        <v>19.9468</v>
      </c>
      <c r="E22" s="14">
        <f>_xll.BDH("SRPT US Equity","AVERAGE_PRICE_TO_SALES_RATIO","FQ1 2020","FQ1 2020","Currency=USD","Period=FQ","BEST_FPERIOD_OVERRIDE=FQ","FILING_STATUS=MR","FA_ADJUSTED=GAAP","Sort=A","Dates=H","DateFormat=P","Fill=—","Direction=H","UseDPDF=Y")</f>
        <v>22.089700000000001</v>
      </c>
      <c r="F22" s="14">
        <f>_xll.BDH("SRPT US Equity","AVERAGE_PRICE_TO_SALES_RATIO","FQ2 2020","FQ2 2020","Currency=USD","Period=FQ","BEST_FPERIOD_OVERRIDE=FQ","FILING_STATUS=MR","FA_ADJUSTED=GAAP","Sort=A","Dates=H","DateFormat=P","Fill=—","Direction=H","UseDPDF=Y")</f>
        <v>24.9528</v>
      </c>
      <c r="G22" s="14">
        <f>_xll.BDH("SRPT US Equity","AVERAGE_PRICE_TO_SALES_RATIO","FQ3 2020","FQ3 2020","Currency=USD","Period=FQ","BEST_FPERIOD_OVERRIDE=FQ","FILING_STATUS=MR","FA_ADJUSTED=GAAP","Sort=A","Dates=H","DateFormat=P","Fill=—","Direction=H","UseDPDF=Y")</f>
        <v>25.611999999999998</v>
      </c>
      <c r="H22" s="14">
        <f>_xll.BDH("SRPT US Equity","AVERAGE_PRICE_TO_SALES_RATIO","FQ4 2020","FQ4 2020","Currency=USD","Period=FQ","BEST_FPERIOD_OVERRIDE=FQ","FILING_STATUS=MR","FA_ADJUSTED=GAAP","Sort=A","Dates=H","DateFormat=P","Fill=—","Direction=H","UseDPDF=Y")</f>
        <v>23.030899999999999</v>
      </c>
      <c r="I22" s="14">
        <f>_xll.BDH("SRPT US Equity","AVERAGE_PRICE_TO_SALES_RATIO","FQ1 2021","FQ1 2021","Currency=USD","Period=FQ","BEST_FPERIOD_OVERRIDE=FQ","FILING_STATUS=MR","FA_ADJUSTED=GAAP","Sort=A","Dates=H","DateFormat=P","Fill=—","Direction=H","UseDPDF=Y")</f>
        <v>13.3225</v>
      </c>
      <c r="J22" s="14">
        <f>_xll.BDH("SRPT US Equity","AVERAGE_PRICE_TO_SALES_RATIO","FQ2 2021","FQ2 2021","Currency=USD","Period=FQ","BEST_FPERIOD_OVERRIDE=FQ","FILING_STATUS=MR","FA_ADJUSTED=GAAP","Sort=A","Dates=H","DateFormat=P","Fill=—","Direction=H","UseDPDF=Y")</f>
        <v>10.4017</v>
      </c>
      <c r="K22" s="14">
        <f>_xll.BDH("SRPT US Equity","AVERAGE_PRICE_TO_SALES_RATIO","FQ3 2021","FQ3 2021","Currency=USD","Period=FQ","BEST_FPERIOD_OVERRIDE=FQ","FILING_STATUS=MR","FA_ADJUSTED=GAAP","Sort=A","Dates=H","DateFormat=P","Fill=—","Direction=H","UseDPDF=Y")</f>
        <v>10.1495</v>
      </c>
      <c r="L22" s="14">
        <f>_xll.BDH("SRPT US Equity","AVERAGE_PRICE_TO_SALES_RATIO","FQ4 2021","FQ4 2021","Currency=USD","Period=FQ","BEST_FPERIOD_OVERRIDE=FQ","FILING_STATUS=MR","FA_ADJUSTED=GAAP","Sort=A","Dates=H","DateFormat=P","Fill=—","Direction=H","UseDPDF=Y")</f>
        <v>10.5213</v>
      </c>
      <c r="M22" s="14">
        <f>_xll.BDH("SRPT US Equity","AVERAGE_PRICE_TO_SALES_RATIO","FQ1 2022","FQ1 2022","Currency=USD","Period=FQ","BEST_FPERIOD_OVERRIDE=FQ","FILING_STATUS=MR","FA_ADJUSTED=GAAP","Sort=A","Dates=H","DateFormat=P","Fill=—","Direction=H","UseDPDF=Y")</f>
        <v>8.8728999999999996</v>
      </c>
      <c r="N22" s="14">
        <f>_xll.BDH("SRPT US Equity","AVERAGE_PRICE_TO_SALES_RATIO","FQ2 2022","FQ2 2022","Currency=USD","Period=FQ","BEST_FPERIOD_OVERRIDE=FQ","FILING_STATUS=MR","FA_ADJUSTED=GAAP","Sort=A","Dates=H","DateFormat=P","Fill=—","Direction=H","UseDPDF=Y")</f>
        <v>7.9977999999999998</v>
      </c>
      <c r="O22" s="14">
        <f>_xll.BDH("SRPT US Equity","AVERAGE_PRICE_TO_SALES_RATIO","FQ3 2022","FQ3 2022","Currency=USD","Period=FQ","BEST_FPERIOD_OVERRIDE=FQ","FILING_STATUS=MR","FA_ADJUSTED=GAAP","Sort=A","Dates=H","DateFormat=P","Fill=—","Direction=H","UseDPDF=Y")</f>
        <v>10.2811</v>
      </c>
      <c r="P22" s="14">
        <f>_xll.BDH("SRPT US Equity","AVERAGE_PRICE_TO_SALES_RATIO","FQ4 2022","FQ4 2022","Currency=USD","Period=FQ","BEST_FPERIOD_OVERRIDE=FQ","FILING_STATUS=MR","FA_ADJUSTED=GAAP","Sort=A","Dates=H","DateFormat=P","Fill=—","Direction=H","UseDPDF=Y")</f>
        <v>11.5122</v>
      </c>
      <c r="Q22" s="14">
        <f>_xll.BDH("SRPT US Equity","AVERAGE_PRICE_TO_SALES_RATIO","FQ1 2023","FQ1 2023","Currency=USD","Period=FQ","BEST_FPERIOD_OVERRIDE=FQ","FILING_STATUS=MR","FA_ADJUSTED=GAAP","Sort=A","Dates=H","DateFormat=P","Fill=—","Direction=H","UseDPDF=Y")</f>
        <v>12.166700000000001</v>
      </c>
      <c r="R22" s="14">
        <f>_xll.BDH("SRPT US Equity","AVERAGE_PRICE_TO_SALES_RATIO","FQ2 2023","FQ2 2023","Currency=USD","Period=FQ","BEST_FPERIOD_OVERRIDE=FQ","FILING_STATUS=MR","FA_ADJUSTED=GAAP","Sort=A","Dates=H","DateFormat=P","Fill=—","Direction=H","UseDPDF=Y")</f>
        <v>11.5997</v>
      </c>
      <c r="S22" s="14">
        <f>_xll.BDH("SRPT US Equity","AVERAGE_PRICE_TO_SALES_RATIO","FQ3 2023","FQ3 2023","Currency=USD","Period=FQ","BEST_FPERIOD_OVERRIDE=FQ","FILING_STATUS=MR","FA_ADJUSTED=GAAP","Sort=A","Dates=H","DateFormat=P","Fill=—","Direction=H","UseDPDF=Y")</f>
        <v>9.9098000000000006</v>
      </c>
      <c r="T22" s="14">
        <f>_xll.BDH("SRPT US Equity","AVERAGE_PRICE_TO_SALES_RATIO","FQ4 2023","FQ4 2023","Currency=USD","Period=FQ","BEST_FPERIOD_OVERRIDE=FQ","FILING_STATUS=MR","FA_ADJUSTED=GAAP","Sort=A","Dates=H","DateFormat=P","Fill=—","Direction=H","UseDPDF=Y")</f>
        <v>7.6668000000000003</v>
      </c>
      <c r="U22" s="14">
        <f>_xll.BDH("SRPT US Equity","AVERAGE_PRICE_TO_SALES_RATIO","FQ1 2024","FQ1 2024","Currency=USD","Period=FQ","BEST_FPERIOD_OVERRIDE=FQ","FILING_STATUS=MR","FA_ADJUSTED=GAAP","Sort=A","Dates=H","DateFormat=P","Fill=—","Direction=H","UseDPDF=Y")</f>
        <v>8.8678000000000008</v>
      </c>
      <c r="V22" s="14">
        <f>_xll.BDH("SRPT US Equity","AVERAGE_PRICE_TO_SALES_RATIO","FQ2 2024","FQ2 2024","Currency=USD","Period=FQ","BEST_FPERIOD_OVERRIDE=FQ","FILING_STATUS=MR","FA_ADJUSTED=GAAP","Sort=A","Dates=H","DateFormat=P","Fill=—","Direction=H","UseDPDF=Y")</f>
        <v>8.3795000000000002</v>
      </c>
      <c r="W22" s="14">
        <f>_xll.BDH("SRPT US Equity","AVERAGE_PRICE_TO_SALES_RATIO","FQ3 2024","FQ3 2024","Currency=USD","Period=FQ","BEST_FPERIOD_OVERRIDE=FQ","FILING_STATUS=MR","FA_ADJUSTED=GAAP","Sort=A","Dates=H","DateFormat=P","Fill=—","Direction=H","UseDPDF=Y")</f>
        <v>8.5221999999999998</v>
      </c>
      <c r="X22" s="14">
        <f>_xll.BDH("SRPT US Equity","AVERAGE_PRICE_TO_SALES_RATIO","FQ4 2024","FQ4 2024","Currency=USD","Period=FQ","BEST_FPERIOD_OVERRIDE=FQ","FILING_STATUS=MR","FA_ADJUSTED=GAAP","Sort=A","Dates=H","DateFormat=P","Fill=—","Direction=H","UseDPDF=Y")</f>
        <v>7.0410000000000004</v>
      </c>
      <c r="Y22" s="17"/>
      <c r="Z22" s="14"/>
      <c r="AA22" s="14"/>
    </row>
    <row r="23" spans="1:27" x14ac:dyDescent="0.25">
      <c r="A23" s="10" t="s">
        <v>211</v>
      </c>
      <c r="B23" s="10" t="s">
        <v>228</v>
      </c>
      <c r="C23" s="14">
        <f>_xll.BDH("SRPT US Equity","HIGH_PX_TO_SALES_RATIO","FQ3 2019","FQ3 2019","Currency=USD","Period=FQ","BEST_FPERIOD_OVERRIDE=FQ","FILING_STATUS=MR","FA_ADJUSTED=GAAP","Sort=A","Dates=H","DateFormat=P","Fill=—","Direction=H","UseDPDF=Y")</f>
        <v>32.354900000000001</v>
      </c>
      <c r="D23" s="14">
        <f>_xll.BDH("SRPT US Equity","HIGH_PX_TO_SALES_RATIO","FQ4 2019","FQ4 2019","Currency=USD","Period=FQ","BEST_FPERIOD_OVERRIDE=FQ","FILING_STATUS=MR","FA_ADJUSTED=GAAP","Sort=A","Dates=H","DateFormat=P","Fill=—","Direction=H","UseDPDF=Y")</f>
        <v>27.4406</v>
      </c>
      <c r="E23" s="14">
        <f>_xll.BDH("SRPT US Equity","HIGH_PX_TO_SALES_RATIO","FQ1 2020","FQ1 2020","Currency=USD","Period=FQ","BEST_FPERIOD_OVERRIDE=FQ","FILING_STATUS=MR","FA_ADJUSTED=GAAP","Sort=A","Dates=H","DateFormat=P","Fill=—","Direction=H","UseDPDF=Y")</f>
        <v>26.024100000000001</v>
      </c>
      <c r="F23" s="14">
        <f>_xll.BDH("SRPT US Equity","HIGH_PX_TO_SALES_RATIO","FQ2 2020","FQ2 2020","Currency=USD","Period=FQ","BEST_FPERIOD_OVERRIDE=FQ","FILING_STATUS=MR","FA_ADJUSTED=GAAP","Sort=A","Dates=H","DateFormat=P","Fill=—","Direction=H","UseDPDF=Y")</f>
        <v>31.715699999999998</v>
      </c>
      <c r="G23" s="14">
        <f>_xll.BDH("SRPT US Equity","HIGH_PX_TO_SALES_RATIO","FQ3 2020","FQ3 2020","Currency=USD","Period=FQ","BEST_FPERIOD_OVERRIDE=FQ","FILING_STATUS=MR","FA_ADJUSTED=GAAP","Sort=A","Dates=H","DateFormat=P","Fill=—","Direction=H","UseDPDF=Y")</f>
        <v>29.5258</v>
      </c>
      <c r="H23" s="14">
        <f>_xll.BDH("SRPT US Equity","HIGH_PX_TO_SALES_RATIO","FQ4 2020","FQ4 2020","Currency=USD","Period=FQ","BEST_FPERIOD_OVERRIDE=FQ","FILING_STATUS=MR","FA_ADJUSTED=GAAP","Sort=A","Dates=H","DateFormat=P","Fill=—","Direction=H","UseDPDF=Y")</f>
        <v>28.299399999999999</v>
      </c>
      <c r="I23" s="14">
        <f>_xll.BDH("SRPT US Equity","HIGH_PX_TO_SALES_RATIO","FQ1 2021","FQ1 2021","Currency=USD","Period=FQ","BEST_FPERIOD_OVERRIDE=FQ","FILING_STATUS=MR","FA_ADJUSTED=GAAP","Sort=A","Dates=H","DateFormat=P","Fill=—","Direction=H","UseDPDF=Y")</f>
        <v>25.208600000000001</v>
      </c>
      <c r="J23" s="14">
        <f>_xll.BDH("SRPT US Equity","HIGH_PX_TO_SALES_RATIO","FQ2 2021","FQ2 2021","Currency=USD","Period=FQ","BEST_FPERIOD_OVERRIDE=FQ","FILING_STATUS=MR","FA_ADJUSTED=GAAP","Sort=A","Dates=H","DateFormat=P","Fill=—","Direction=H","UseDPDF=Y")</f>
        <v>12.3561</v>
      </c>
      <c r="K23" s="14">
        <f>_xll.BDH("SRPT US Equity","HIGH_PX_TO_SALES_RATIO","FQ3 2021","FQ3 2021","Currency=USD","Period=FQ","BEST_FPERIOD_OVERRIDE=FQ","FILING_STATUS=MR","FA_ADJUSTED=GAAP","Sort=A","Dates=H","DateFormat=P","Fill=—","Direction=H","UseDPDF=Y")</f>
        <v>12.270899999999999</v>
      </c>
      <c r="L23" s="14">
        <f>_xll.BDH("SRPT US Equity","HIGH_PX_TO_SALES_RATIO","FQ4 2021","FQ4 2021","Currency=USD","Period=FQ","BEST_FPERIOD_OVERRIDE=FQ","FILING_STATUS=MR","FA_ADJUSTED=GAAP","Sort=A","Dates=H","DateFormat=P","Fill=—","Direction=H","UseDPDF=Y")</f>
        <v>12.4719</v>
      </c>
      <c r="M23" s="14">
        <f>_xll.BDH("SRPT US Equity","HIGH_PX_TO_SALES_RATIO","FQ1 2022","FQ1 2022","Currency=USD","Period=FQ","BEST_FPERIOD_OVERRIDE=FQ","FILING_STATUS=MR","FA_ADJUSTED=GAAP","Sort=A","Dates=H","DateFormat=P","Fill=—","Direction=H","UseDPDF=Y")</f>
        <v>10.670500000000001</v>
      </c>
      <c r="N23" s="14">
        <f>_xll.BDH("SRPT US Equity","HIGH_PX_TO_SALES_RATIO","FQ2 2022","FQ2 2022","Currency=USD","Period=FQ","BEST_FPERIOD_OVERRIDE=FQ","FILING_STATUS=MR","FA_ADJUSTED=GAAP","Sort=A","Dates=H","DateFormat=P","Fill=—","Direction=H","UseDPDF=Y")</f>
        <v>9.7454000000000001</v>
      </c>
      <c r="O23" s="14">
        <f>_xll.BDH("SRPT US Equity","HIGH_PX_TO_SALES_RATIO","FQ3 2022","FQ3 2022","Currency=USD","Period=FQ","BEST_FPERIOD_OVERRIDE=FQ","FILING_STATUS=MR","FA_ADJUSTED=GAAP","Sort=A","Dates=H","DateFormat=P","Fill=—","Direction=H","UseDPDF=Y")</f>
        <v>12.2691</v>
      </c>
      <c r="P23" s="14">
        <f>_xll.BDH("SRPT US Equity","HIGH_PX_TO_SALES_RATIO","FQ4 2022","FQ4 2022","Currency=USD","Period=FQ","BEST_FPERIOD_OVERRIDE=FQ","FILING_STATUS=MR","FA_ADJUSTED=GAAP","Sort=A","Dates=H","DateFormat=P","Fill=—","Direction=H","UseDPDF=Y")</f>
        <v>13.3332</v>
      </c>
      <c r="Q23" s="14">
        <f>_xll.BDH("SRPT US Equity","HIGH_PX_TO_SALES_RATIO","FQ1 2023","FQ1 2023","Currency=USD","Period=FQ","BEST_FPERIOD_OVERRIDE=FQ","FILING_STATUS=MR","FA_ADJUSTED=GAAP","Sort=A","Dates=H","DateFormat=P","Fill=—","Direction=H","UseDPDF=Y")</f>
        <v>15.001899999999999</v>
      </c>
      <c r="R23" s="14">
        <f>_xll.BDH("SRPT US Equity","HIGH_PX_TO_SALES_RATIO","FQ2 2023","FQ2 2023","Currency=USD","Period=FQ","BEST_FPERIOD_OVERRIDE=FQ","FILING_STATUS=MR","FA_ADJUSTED=GAAP","Sort=A","Dates=H","DateFormat=P","Fill=—","Direction=H","UseDPDF=Y")</f>
        <v>14.388199999999999</v>
      </c>
      <c r="S23" s="14">
        <f>_xll.BDH("SRPT US Equity","HIGH_PX_TO_SALES_RATIO","FQ3 2023","FQ3 2023","Currency=USD","Period=FQ","BEST_FPERIOD_OVERRIDE=FQ","FILING_STATUS=MR","FA_ADJUSTED=GAAP","Sort=A","Dates=H","DateFormat=P","Fill=—","Direction=H","UseDPDF=Y")</f>
        <v>10.933199999999999</v>
      </c>
      <c r="T23" s="14">
        <f>_xll.BDH("SRPT US Equity","HIGH_PX_TO_SALES_RATIO","FQ4 2023","FQ4 2023","Currency=USD","Period=FQ","BEST_FPERIOD_OVERRIDE=FQ","FILING_STATUS=MR","FA_ADJUSTED=GAAP","Sort=A","Dates=H","DateFormat=P","Fill=—","Direction=H","UseDPDF=Y")</f>
        <v>10.0053</v>
      </c>
      <c r="U23" s="14">
        <f>_xll.BDH("SRPT US Equity","HIGH_PX_TO_SALES_RATIO","FQ1 2024","FQ1 2024","Currency=USD","Period=FQ","BEST_FPERIOD_OVERRIDE=FQ","FILING_STATUS=MR","FA_ADJUSTED=GAAP","Sort=A","Dates=H","DateFormat=P","Fill=—","Direction=H","UseDPDF=Y")</f>
        <v>10.370100000000001</v>
      </c>
      <c r="V23" s="14">
        <f>_xll.BDH("SRPT US Equity","HIGH_PX_TO_SALES_RATIO","FQ2 2024","FQ2 2024","Currency=USD","Period=FQ","BEST_FPERIOD_OVERRIDE=FQ","FILING_STATUS=MR","FA_ADJUSTED=GAAP","Sort=A","Dates=H","DateFormat=P","Fill=—","Direction=H","UseDPDF=Y")</f>
        <v>11.3132</v>
      </c>
      <c r="W23" s="14">
        <f>_xll.BDH("SRPT US Equity","HIGH_PX_TO_SALES_RATIO","FQ3 2024","FQ3 2024","Currency=USD","Period=FQ","BEST_FPERIOD_OVERRIDE=FQ","FILING_STATUS=MR","FA_ADJUSTED=GAAP","Sort=A","Dates=H","DateFormat=P","Fill=—","Direction=H","UseDPDF=Y")</f>
        <v>10.0549</v>
      </c>
      <c r="X23" s="14">
        <f>_xll.BDH("SRPT US Equity","HIGH_PX_TO_SALES_RATIO","FQ4 2024","FQ4 2024","Currency=USD","Period=FQ","BEST_FPERIOD_OVERRIDE=FQ","FILING_STATUS=MR","FA_ADJUSTED=GAAP","Sort=A","Dates=H","DateFormat=P","Fill=—","Direction=H","UseDPDF=Y")</f>
        <v>7.9911000000000003</v>
      </c>
      <c r="Y23" s="17"/>
      <c r="Z23" s="14"/>
      <c r="AA23" s="14"/>
    </row>
    <row r="24" spans="1:27" x14ac:dyDescent="0.25">
      <c r="A24" s="10" t="s">
        <v>213</v>
      </c>
      <c r="B24" s="10" t="s">
        <v>229</v>
      </c>
      <c r="C24" s="14">
        <f>_xll.BDH("SRPT US Equity","LOW_PX_TO_SALES_RATIO","FQ3 2019","FQ3 2019","Currency=USD","Period=FQ","BEST_FPERIOD_OVERRIDE=FQ","FILING_STATUS=MR","FA_ADJUSTED=GAAP","Sort=A","Dates=H","DateFormat=P","Fill=—","Direction=H","UseDPDF=Y")</f>
        <v>14.5557</v>
      </c>
      <c r="D24" s="14">
        <f>_xll.BDH("SRPT US Equity","LOW_PX_TO_SALES_RATIO","FQ4 2019","FQ4 2019","Currency=USD","Period=FQ","BEST_FPERIOD_OVERRIDE=FQ","FILING_STATUS=MR","FA_ADJUSTED=GAAP","Sort=A","Dates=H","DateFormat=P","Fill=—","Direction=H","UseDPDF=Y")</f>
        <v>14.5754</v>
      </c>
      <c r="E24" s="14">
        <f>_xll.BDH("SRPT US Equity","LOW_PX_TO_SALES_RATIO","FQ1 2020","FQ1 2020","Currency=USD","Period=FQ","BEST_FPERIOD_OVERRIDE=FQ","FILING_STATUS=MR","FA_ADJUSTED=GAAP","Sort=A","Dates=H","DateFormat=P","Fill=—","Direction=H","UseDPDF=Y")</f>
        <v>15.095700000000001</v>
      </c>
      <c r="F24" s="14">
        <f>_xll.BDH("SRPT US Equity","LOW_PX_TO_SALES_RATIO","FQ2 2020","FQ2 2020","Currency=USD","Period=FQ","BEST_FPERIOD_OVERRIDE=FQ","FILING_STATUS=MR","FA_ADJUSTED=GAAP","Sort=A","Dates=H","DateFormat=P","Fill=—","Direction=H","UseDPDF=Y")</f>
        <v>16.809100000000001</v>
      </c>
      <c r="G24" s="14">
        <f>_xll.BDH("SRPT US Equity","LOW_PX_TO_SALES_RATIO","FQ3 2020","FQ3 2020","Currency=USD","Period=FQ","BEST_FPERIOD_OVERRIDE=FQ","FILING_STATUS=MR","FA_ADJUSTED=GAAP","Sort=A","Dates=H","DateFormat=P","Fill=—","Direction=H","UseDPDF=Y")</f>
        <v>21.174199999999999</v>
      </c>
      <c r="H24" s="14">
        <f>_xll.BDH("SRPT US Equity","LOW_PX_TO_SALES_RATIO","FQ4 2020","FQ4 2020","Currency=USD","Period=FQ","BEST_FPERIOD_OVERRIDE=FQ","FILING_STATUS=MR","FA_ADJUSTED=GAAP","Sort=A","Dates=H","DateFormat=P","Fill=—","Direction=H","UseDPDF=Y")</f>
        <v>19.046800000000001</v>
      </c>
      <c r="I24" s="14">
        <f>_xll.BDH("SRPT US Equity","LOW_PX_TO_SALES_RATIO","FQ1 2021","FQ1 2021","Currency=USD","Period=FQ","BEST_FPERIOD_OVERRIDE=FQ","FILING_STATUS=MR","FA_ADJUSTED=GAAP","Sort=A","Dates=H","DateFormat=P","Fill=—","Direction=H","UseDPDF=Y")</f>
        <v>9.9990000000000006</v>
      </c>
      <c r="J24" s="14">
        <f>_xll.BDH("SRPT US Equity","LOW_PX_TO_SALES_RATIO","FQ2 2021","FQ2 2021","Currency=USD","Period=FQ","BEST_FPERIOD_OVERRIDE=FQ","FILING_STATUS=MR","FA_ADJUSTED=GAAP","Sort=A","Dates=H","DateFormat=P","Fill=—","Direction=H","UseDPDF=Y")</f>
        <v>9.2918000000000003</v>
      </c>
      <c r="K24" s="14">
        <f>_xll.BDH("SRPT US Equity","LOW_PX_TO_SALES_RATIO","FQ3 2021","FQ3 2021","Currency=USD","Period=FQ","BEST_FPERIOD_OVERRIDE=FQ","FILING_STATUS=MR","FA_ADJUSTED=GAAP","Sort=A","Dates=H","DateFormat=P","Fill=—","Direction=H","UseDPDF=Y")</f>
        <v>8.6151</v>
      </c>
      <c r="L24" s="14">
        <f>_xll.BDH("SRPT US Equity","LOW_PX_TO_SALES_RATIO","FQ4 2021","FQ4 2021","Currency=USD","Period=FQ","BEST_FPERIOD_OVERRIDE=FQ","FILING_STATUS=MR","FA_ADJUSTED=GAAP","Sort=A","Dates=H","DateFormat=P","Fill=—","Direction=H","UseDPDF=Y")</f>
        <v>9.3378999999999994</v>
      </c>
      <c r="M24" s="14">
        <f>_xll.BDH("SRPT US Equity","LOW_PX_TO_SALES_RATIO","FQ1 2022","FQ1 2022","Currency=USD","Period=FQ","BEST_FPERIOD_OVERRIDE=FQ","FILING_STATUS=MR","FA_ADJUSTED=GAAP","Sort=A","Dates=H","DateFormat=P","Fill=—","Direction=H","UseDPDF=Y")</f>
        <v>7.1109</v>
      </c>
      <c r="N24" s="14">
        <f>_xll.BDH("SRPT US Equity","LOW_PX_TO_SALES_RATIO","FQ2 2022","FQ2 2022","Currency=USD","Period=FQ","BEST_FPERIOD_OVERRIDE=FQ","FILING_STATUS=MR","FA_ADJUSTED=GAAP","Sort=A","Dates=H","DateFormat=P","Fill=—","Direction=H","UseDPDF=Y")</f>
        <v>6.6688999999999998</v>
      </c>
      <c r="O24" s="14">
        <f>_xll.BDH("SRPT US Equity","LOW_PX_TO_SALES_RATIO","FQ3 2022","FQ3 2022","Currency=USD","Period=FQ","BEST_FPERIOD_OVERRIDE=FQ","FILING_STATUS=MR","FA_ADJUSTED=GAAP","Sort=A","Dates=H","DateFormat=P","Fill=—","Direction=H","UseDPDF=Y")</f>
        <v>7.3494000000000002</v>
      </c>
      <c r="P24" s="14">
        <f>_xll.BDH("SRPT US Equity","LOW_PX_TO_SALES_RATIO","FQ4 2022","FQ4 2022","Currency=USD","Period=FQ","BEST_FPERIOD_OVERRIDE=FQ","FILING_STATUS=MR","FA_ADJUSTED=GAAP","Sort=A","Dates=H","DateFormat=P","Fill=—","Direction=H","UseDPDF=Y")</f>
        <v>9.9590999999999994</v>
      </c>
      <c r="Q24" s="14">
        <f>_xll.BDH("SRPT US Equity","LOW_PX_TO_SALES_RATIO","FQ1 2023","FQ1 2023","Currency=USD","Period=FQ","BEST_FPERIOD_OVERRIDE=FQ","FILING_STATUS=MR","FA_ADJUSTED=GAAP","Sort=A","Dates=H","DateFormat=P","Fill=—","Direction=H","UseDPDF=Y")</f>
        <v>10.897</v>
      </c>
      <c r="R24" s="14">
        <f>_xll.BDH("SRPT US Equity","LOW_PX_TO_SALES_RATIO","FQ2 2023","FQ2 2023","Currency=USD","Period=FQ","BEST_FPERIOD_OVERRIDE=FQ","FILING_STATUS=MR","FA_ADJUSTED=GAAP","Sort=A","Dates=H","DateFormat=P","Fill=—","Direction=H","UseDPDF=Y")</f>
        <v>9.4522999999999993</v>
      </c>
      <c r="S24" s="14">
        <f>_xll.BDH("SRPT US Equity","LOW_PX_TO_SALES_RATIO","FQ3 2023","FQ3 2023","Currency=USD","Period=FQ","BEST_FPERIOD_OVERRIDE=FQ","FILING_STATUS=MR","FA_ADJUSTED=GAAP","Sort=A","Dates=H","DateFormat=P","Fill=—","Direction=H","UseDPDF=Y")</f>
        <v>8.8445999999999998</v>
      </c>
      <c r="T24" s="14">
        <f>_xll.BDH("SRPT US Equity","LOW_PX_TO_SALES_RATIO","FQ4 2023","FQ4 2023","Currency=USD","Period=FQ","BEST_FPERIOD_OVERRIDE=FQ","FILING_STATUS=MR","FA_ADJUSTED=GAAP","Sort=A","Dates=H","DateFormat=P","Fill=—","Direction=H","UseDPDF=Y")</f>
        <v>4.4222999999999999</v>
      </c>
      <c r="U24" s="14">
        <f>_xll.BDH("SRPT US Equity","LOW_PX_TO_SALES_RATIO","FQ1 2024","FQ1 2024","Currency=USD","Period=FQ","BEST_FPERIOD_OVERRIDE=FQ","FILING_STATUS=MR","FA_ADJUSTED=GAAP","Sort=A","Dates=H","DateFormat=P","Fill=—","Direction=H","UseDPDF=Y")</f>
        <v>6.6241000000000003</v>
      </c>
      <c r="V24" s="14">
        <f>_xll.BDH("SRPT US Equity","LOW_PX_TO_SALES_RATIO","FQ2 2024","FQ2 2024","Currency=USD","Period=FQ","BEST_FPERIOD_OVERRIDE=FQ","FILING_STATUS=MR","FA_ADJUSTED=GAAP","Sort=A","Dates=H","DateFormat=P","Fill=—","Direction=H","UseDPDF=Y")</f>
        <v>7.1771000000000003</v>
      </c>
      <c r="W24" s="14">
        <f>_xll.BDH("SRPT US Equity","LOW_PX_TO_SALES_RATIO","FQ3 2024","FQ3 2024","Currency=USD","Period=FQ","BEST_FPERIOD_OVERRIDE=FQ","FILING_STATUS=MR","FA_ADJUSTED=GAAP","Sort=A","Dates=H","DateFormat=P","Fill=—","Direction=H","UseDPDF=Y")</f>
        <v>7.1200999999999999</v>
      </c>
      <c r="X24" s="14">
        <f>_xll.BDH("SRPT US Equity","LOW_PX_TO_SALES_RATIO","FQ4 2024","FQ4 2024","Currency=USD","Period=FQ","BEST_FPERIOD_OVERRIDE=FQ","FILING_STATUS=MR","FA_ADJUSTED=GAAP","Sort=A","Dates=H","DateFormat=P","Fill=—","Direction=H","UseDPDF=Y")</f>
        <v>5.8808999999999996</v>
      </c>
      <c r="Y24" s="17"/>
      <c r="Z24" s="14"/>
      <c r="AA24" s="14"/>
    </row>
    <row r="25" spans="1:27" x14ac:dyDescent="0.25">
      <c r="A25" s="6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21"/>
      <c r="Z25" s="18"/>
      <c r="AA25" s="18"/>
    </row>
    <row r="26" spans="1:27" x14ac:dyDescent="0.25">
      <c r="A26" s="6" t="s">
        <v>230</v>
      </c>
      <c r="B26" s="6" t="s">
        <v>231</v>
      </c>
      <c r="C26" s="20" t="str">
        <f>_xll.BDH("SRPT US Equity","PX_TO_CASH_FLOW","FQ3 2019","FQ3 2019","Currency=USD","Period=FQ","BEST_FPERIOD_OVERRIDE=FQ","FILING_STATUS=MR","Sort=A","Dates=H","DateFormat=P","Fill=—","Direction=H","UseDPDF=Y")</f>
        <v>—</v>
      </c>
      <c r="D26" s="20" t="str">
        <f>_xll.BDH("SRPT US Equity","PX_TO_CASH_FLOW","FQ4 2019","FQ4 2019","Currency=USD","Period=FQ","BEST_FPERIOD_OVERRIDE=FQ","FILING_STATUS=MR","Sort=A","Dates=H","DateFormat=P","Fill=—","Direction=H","UseDPDF=Y")</f>
        <v>—</v>
      </c>
      <c r="E26" s="20">
        <f>_xll.BDH("SRPT US Equity","PX_TO_CASH_FLOW","FQ1 2020","FQ1 2020","Currency=USD","Period=FQ","BEST_FPERIOD_OVERRIDE=FQ","FILING_STATUS=MR","Sort=A","Dates=H","DateFormat=P","Fill=—","Direction=H","UseDPDF=Y")</f>
        <v>24.215800000000002</v>
      </c>
      <c r="F26" s="20">
        <f>_xll.BDH("SRPT US Equity","PX_TO_CASH_FLOW","FQ2 2020","FQ2 2020","Currency=USD","Period=FQ","BEST_FPERIOD_OVERRIDE=FQ","FILING_STATUS=MR","Sort=A","Dates=H","DateFormat=P","Fill=—","Direction=H","UseDPDF=Y")</f>
        <v>43.0137</v>
      </c>
      <c r="G26" s="20">
        <f>_xll.BDH("SRPT US Equity","PX_TO_CASH_FLOW","FQ3 2020","FQ3 2020","Currency=USD","Period=FQ","BEST_FPERIOD_OVERRIDE=FQ","FILING_STATUS=MR","Sort=A","Dates=H","DateFormat=P","Fill=—","Direction=H","UseDPDF=Y")</f>
        <v>87.630399999999995</v>
      </c>
      <c r="H26" s="20">
        <f>_xll.BDH("SRPT US Equity","PX_TO_CASH_FLOW","FQ4 2020","FQ4 2020","Currency=USD","Period=FQ","BEST_FPERIOD_OVERRIDE=FQ","FILING_STATUS=MR","Sort=A","Dates=H","DateFormat=P","Fill=—","Direction=H","UseDPDF=Y")</f>
        <v>107.39709999999999</v>
      </c>
      <c r="I26" s="20" t="str">
        <f>_xll.BDH("SRPT US Equity","PX_TO_CASH_FLOW","FQ1 2021","FQ1 2021","Currency=USD","Period=FQ","BEST_FPERIOD_OVERRIDE=FQ","FILING_STATUS=MR","Sort=A","Dates=H","DateFormat=P","Fill=—","Direction=H","UseDPDF=Y")</f>
        <v>—</v>
      </c>
      <c r="J26" s="20" t="str">
        <f>_xll.BDH("SRPT US Equity","PX_TO_CASH_FLOW","FQ2 2021","FQ2 2021","Currency=USD","Period=FQ","BEST_FPERIOD_OVERRIDE=FQ","FILING_STATUS=MR","Sort=A","Dates=H","DateFormat=P","Fill=—","Direction=H","UseDPDF=Y")</f>
        <v>—</v>
      </c>
      <c r="K26" s="20" t="str">
        <f>_xll.BDH("SRPT US Equity","PX_TO_CASH_FLOW","FQ3 2021","FQ3 2021","Currency=USD","Period=FQ","BEST_FPERIOD_OVERRIDE=FQ","FILING_STATUS=MR","Sort=A","Dates=H","DateFormat=P","Fill=—","Direction=H","UseDPDF=Y")</f>
        <v>—</v>
      </c>
      <c r="L26" s="20" t="str">
        <f>_xll.BDH("SRPT US Equity","PX_TO_CASH_FLOW","FQ4 2021","FQ4 2021","Currency=USD","Period=FQ","BEST_FPERIOD_OVERRIDE=FQ","FILING_STATUS=MR","Sort=A","Dates=H","DateFormat=P","Fill=—","Direction=H","UseDPDF=Y")</f>
        <v>—</v>
      </c>
      <c r="M26" s="20" t="str">
        <f>_xll.BDH("SRPT US Equity","PX_TO_CASH_FLOW","FQ1 2022","FQ1 2022","Currency=USD","Period=FQ","BEST_FPERIOD_OVERRIDE=FQ","FILING_STATUS=MR","Sort=A","Dates=H","DateFormat=P","Fill=—","Direction=H","UseDPDF=Y")</f>
        <v>—</v>
      </c>
      <c r="N26" s="20" t="str">
        <f>_xll.BDH("SRPT US Equity","PX_TO_CASH_FLOW","FQ2 2022","FQ2 2022","Currency=USD","Period=FQ","BEST_FPERIOD_OVERRIDE=FQ","FILING_STATUS=MR","Sort=A","Dates=H","DateFormat=P","Fill=—","Direction=H","UseDPDF=Y")</f>
        <v>—</v>
      </c>
      <c r="O26" s="20" t="str">
        <f>_xll.BDH("SRPT US Equity","PX_TO_CASH_FLOW","FQ3 2022","FQ3 2022","Currency=USD","Period=FQ","BEST_FPERIOD_OVERRIDE=FQ","FILING_STATUS=MR","Sort=A","Dates=H","DateFormat=P","Fill=—","Direction=H","UseDPDF=Y")</f>
        <v>—</v>
      </c>
      <c r="P26" s="20" t="str">
        <f>_xll.BDH("SRPT US Equity","PX_TO_CASH_FLOW","FQ4 2022","FQ4 2022","Currency=USD","Period=FQ","BEST_FPERIOD_OVERRIDE=FQ","FILING_STATUS=MR","Sort=A","Dates=H","DateFormat=P","Fill=—","Direction=H","UseDPDF=Y")</f>
        <v>—</v>
      </c>
      <c r="Q26" s="20" t="str">
        <f>_xll.BDH("SRPT US Equity","PX_TO_CASH_FLOW","FQ1 2023","FQ1 2023","Currency=USD","Period=FQ","BEST_FPERIOD_OVERRIDE=FQ","FILING_STATUS=MR","Sort=A","Dates=H","DateFormat=P","Fill=—","Direction=H","UseDPDF=Y")</f>
        <v>—</v>
      </c>
      <c r="R26" s="20" t="str">
        <f>_xll.BDH("SRPT US Equity","PX_TO_CASH_FLOW","FQ2 2023","FQ2 2023","Currency=USD","Period=FQ","BEST_FPERIOD_OVERRIDE=FQ","FILING_STATUS=MR","Sort=A","Dates=H","DateFormat=P","Fill=—","Direction=H","UseDPDF=Y")</f>
        <v>—</v>
      </c>
      <c r="S26" s="20" t="str">
        <f>_xll.BDH("SRPT US Equity","PX_TO_CASH_FLOW","FQ3 2023","FQ3 2023","Currency=USD","Period=FQ","BEST_FPERIOD_OVERRIDE=FQ","FILING_STATUS=MR","Sort=A","Dates=H","DateFormat=P","Fill=—","Direction=H","UseDPDF=Y")</f>
        <v>—</v>
      </c>
      <c r="T26" s="20" t="str">
        <f>_xll.BDH("SRPT US Equity","PX_TO_CASH_FLOW","FQ4 2023","FQ4 2023","Currency=USD","Period=FQ","BEST_FPERIOD_OVERRIDE=FQ","FILING_STATUS=MR","Sort=A","Dates=H","DateFormat=P","Fill=—","Direction=H","UseDPDF=Y")</f>
        <v>—</v>
      </c>
      <c r="U26" s="20" t="str">
        <f>_xll.BDH("SRPT US Equity","PX_TO_CASH_FLOW","FQ1 2024","FQ1 2024","Currency=USD","Period=FQ","BEST_FPERIOD_OVERRIDE=FQ","FILING_STATUS=MR","Sort=A","Dates=H","DateFormat=P","Fill=—","Direction=H","UseDPDF=Y")</f>
        <v>—</v>
      </c>
      <c r="V26" s="20" t="str">
        <f>_xll.BDH("SRPT US Equity","PX_TO_CASH_FLOW","FQ2 2024","FQ2 2024","Currency=USD","Period=FQ","BEST_FPERIOD_OVERRIDE=FQ","FILING_STATUS=MR","Sort=A","Dates=H","DateFormat=P","Fill=—","Direction=H","UseDPDF=Y")</f>
        <v>—</v>
      </c>
      <c r="W26" s="20" t="str">
        <f>_xll.BDH("SRPT US Equity","PX_TO_CASH_FLOW","FQ3 2024","FQ3 2024","Currency=USD","Period=FQ","BEST_FPERIOD_OVERRIDE=FQ","FILING_STATUS=MR","Sort=A","Dates=H","DateFormat=P","Fill=—","Direction=H","UseDPDF=Y")</f>
        <v>—</v>
      </c>
      <c r="X26" s="20" t="str">
        <f>_xll.BDH("SRPT US Equity","PX_TO_CASH_FLOW","FQ4 2024","FQ4 2024","Currency=USD","Period=FQ","BEST_FPERIOD_OVERRIDE=FQ","FILING_STATUS=MR","Sort=A","Dates=H","DateFormat=P","Fill=—","Direction=H","UseDPDF=Y")</f>
        <v>—</v>
      </c>
      <c r="Y26" s="23"/>
      <c r="Z26" s="20">
        <v>3.9366610738254999</v>
      </c>
      <c r="AA26" s="20"/>
    </row>
    <row r="27" spans="1:27" x14ac:dyDescent="0.25">
      <c r="A27" s="10" t="s">
        <v>209</v>
      </c>
      <c r="B27" s="10" t="s">
        <v>232</v>
      </c>
      <c r="C27" s="14" t="str">
        <f>_xll.BDH("SRPT US Equity","AVERAGE_PRICE_TO_CASH_FLOW","FQ3 2019","FQ3 2019","Currency=USD","Period=FQ","BEST_FPERIOD_OVERRIDE=FQ","FILING_STATUS=MR","Sort=A","Dates=H","DateFormat=P","Fill=—","Direction=H","UseDPDF=Y")</f>
        <v>—</v>
      </c>
      <c r="D27" s="14" t="str">
        <f>_xll.BDH("SRPT US Equity","AVERAGE_PRICE_TO_CASH_FLOW","FQ4 2019","FQ4 2019","Currency=USD","Period=FQ","BEST_FPERIOD_OVERRIDE=FQ","FILING_STATUS=MR","Sort=A","Dates=H","DateFormat=P","Fill=—","Direction=H","UseDPDF=Y")</f>
        <v>—</v>
      </c>
      <c r="E27" s="14">
        <f>_xll.BDH("SRPT US Equity","AVERAGE_PRICE_TO_CASH_FLOW","FQ1 2020","FQ1 2020","Currency=USD","Period=FQ","BEST_FPERIOD_OVERRIDE=FQ","FILING_STATUS=MR","Sort=A","Dates=H","DateFormat=P","Fill=—","Direction=H","UseDPDF=Y")</f>
        <v>24.215800000000002</v>
      </c>
      <c r="F27" s="14">
        <f>_xll.BDH("SRPT US Equity","AVERAGE_PRICE_TO_CASH_FLOW","FQ2 2020","FQ2 2020","Currency=USD","Period=FQ","BEST_FPERIOD_OVERRIDE=FQ","FILING_STATUS=MR","Sort=A","Dates=H","DateFormat=P","Fill=—","Direction=H","UseDPDF=Y")</f>
        <v>33.740200000000002</v>
      </c>
      <c r="G27" s="14">
        <f>_xll.BDH("SRPT US Equity","AVERAGE_PRICE_TO_CASH_FLOW","FQ3 2020","FQ3 2020","Currency=USD","Period=FQ","BEST_FPERIOD_OVERRIDE=FQ","FILING_STATUS=MR","Sort=A","Dates=H","DateFormat=P","Fill=—","Direction=H","UseDPDF=Y")</f>
        <v>41.549599999999998</v>
      </c>
      <c r="H27" s="14">
        <f>_xll.BDH("SRPT US Equity","AVERAGE_PRICE_TO_CASH_FLOW","FQ4 2020","FQ4 2020","Currency=USD","Period=FQ","BEST_FPERIOD_OVERRIDE=FQ","FILING_STATUS=MR","Sort=A","Dates=H","DateFormat=P","Fill=—","Direction=H","UseDPDF=Y")</f>
        <v>92.475999999999999</v>
      </c>
      <c r="I27" s="14">
        <f>_xll.BDH("SRPT US Equity","AVERAGE_PRICE_TO_CASH_FLOW","FQ1 2021","FQ1 2021","Currency=USD","Period=FQ","BEST_FPERIOD_OVERRIDE=FQ","FILING_STATUS=MR","Sort=A","Dates=H","DateFormat=P","Fill=—","Direction=H","UseDPDF=Y")</f>
        <v>58.314500000000002</v>
      </c>
      <c r="J27" s="14" t="str">
        <f>_xll.BDH("SRPT US Equity","AVERAGE_PRICE_TO_CASH_FLOW","FQ2 2021","FQ2 2021","Currency=USD","Period=FQ","BEST_FPERIOD_OVERRIDE=FQ","FILING_STATUS=MR","Sort=A","Dates=H","DateFormat=P","Fill=—","Direction=H","UseDPDF=Y")</f>
        <v>—</v>
      </c>
      <c r="K27" s="14" t="str">
        <f>_xll.BDH("SRPT US Equity","AVERAGE_PRICE_TO_CASH_FLOW","FQ3 2021","FQ3 2021","Currency=USD","Period=FQ","BEST_FPERIOD_OVERRIDE=FQ","FILING_STATUS=MR","Sort=A","Dates=H","DateFormat=P","Fill=—","Direction=H","UseDPDF=Y")</f>
        <v>—</v>
      </c>
      <c r="L27" s="14" t="str">
        <f>_xll.BDH("SRPT US Equity","AVERAGE_PRICE_TO_CASH_FLOW","FQ4 2021","FQ4 2021","Currency=USD","Period=FQ","BEST_FPERIOD_OVERRIDE=FQ","FILING_STATUS=MR","Sort=A","Dates=H","DateFormat=P","Fill=—","Direction=H","UseDPDF=Y")</f>
        <v>—</v>
      </c>
      <c r="M27" s="14" t="str">
        <f>_xll.BDH("SRPT US Equity","AVERAGE_PRICE_TO_CASH_FLOW","FQ1 2022","FQ1 2022","Currency=USD","Period=FQ","BEST_FPERIOD_OVERRIDE=FQ","FILING_STATUS=MR","Sort=A","Dates=H","DateFormat=P","Fill=—","Direction=H","UseDPDF=Y")</f>
        <v>—</v>
      </c>
      <c r="N27" s="14" t="str">
        <f>_xll.BDH("SRPT US Equity","AVERAGE_PRICE_TO_CASH_FLOW","FQ2 2022","FQ2 2022","Currency=USD","Period=FQ","BEST_FPERIOD_OVERRIDE=FQ","FILING_STATUS=MR","Sort=A","Dates=H","DateFormat=P","Fill=—","Direction=H","UseDPDF=Y")</f>
        <v>—</v>
      </c>
      <c r="O27" s="14" t="str">
        <f>_xll.BDH("SRPT US Equity","AVERAGE_PRICE_TO_CASH_FLOW","FQ3 2022","FQ3 2022","Currency=USD","Period=FQ","BEST_FPERIOD_OVERRIDE=FQ","FILING_STATUS=MR","Sort=A","Dates=H","DateFormat=P","Fill=—","Direction=H","UseDPDF=Y")</f>
        <v>—</v>
      </c>
      <c r="P27" s="14" t="str">
        <f>_xll.BDH("SRPT US Equity","AVERAGE_PRICE_TO_CASH_FLOW","FQ4 2022","FQ4 2022","Currency=USD","Period=FQ","BEST_FPERIOD_OVERRIDE=FQ","FILING_STATUS=MR","Sort=A","Dates=H","DateFormat=P","Fill=—","Direction=H","UseDPDF=Y")</f>
        <v>—</v>
      </c>
      <c r="Q27" s="14" t="str">
        <f>_xll.BDH("SRPT US Equity","AVERAGE_PRICE_TO_CASH_FLOW","FQ1 2023","FQ1 2023","Currency=USD","Period=FQ","BEST_FPERIOD_OVERRIDE=FQ","FILING_STATUS=MR","Sort=A","Dates=H","DateFormat=P","Fill=—","Direction=H","UseDPDF=Y")</f>
        <v>—</v>
      </c>
      <c r="R27" s="14" t="str">
        <f>_xll.BDH("SRPT US Equity","AVERAGE_PRICE_TO_CASH_FLOW","FQ2 2023","FQ2 2023","Currency=USD","Period=FQ","BEST_FPERIOD_OVERRIDE=FQ","FILING_STATUS=MR","Sort=A","Dates=H","DateFormat=P","Fill=—","Direction=H","UseDPDF=Y")</f>
        <v>—</v>
      </c>
      <c r="S27" s="14" t="str">
        <f>_xll.BDH("SRPT US Equity","AVERAGE_PRICE_TO_CASH_FLOW","FQ3 2023","FQ3 2023","Currency=USD","Period=FQ","BEST_FPERIOD_OVERRIDE=FQ","FILING_STATUS=MR","Sort=A","Dates=H","DateFormat=P","Fill=—","Direction=H","UseDPDF=Y")</f>
        <v>—</v>
      </c>
      <c r="T27" s="14" t="str">
        <f>_xll.BDH("SRPT US Equity","AVERAGE_PRICE_TO_CASH_FLOW","FQ4 2023","FQ4 2023","Currency=USD","Period=FQ","BEST_FPERIOD_OVERRIDE=FQ","FILING_STATUS=MR","Sort=A","Dates=H","DateFormat=P","Fill=—","Direction=H","UseDPDF=Y")</f>
        <v>—</v>
      </c>
      <c r="U27" s="14" t="str">
        <f>_xll.BDH("SRPT US Equity","AVERAGE_PRICE_TO_CASH_FLOW","FQ1 2024","FQ1 2024","Currency=USD","Period=FQ","BEST_FPERIOD_OVERRIDE=FQ","FILING_STATUS=MR","Sort=A","Dates=H","DateFormat=P","Fill=—","Direction=H","UseDPDF=Y")</f>
        <v>—</v>
      </c>
      <c r="V27" s="14" t="str">
        <f>_xll.BDH("SRPT US Equity","AVERAGE_PRICE_TO_CASH_FLOW","FQ2 2024","FQ2 2024","Currency=USD","Period=FQ","BEST_FPERIOD_OVERRIDE=FQ","FILING_STATUS=MR","Sort=A","Dates=H","DateFormat=P","Fill=—","Direction=H","UseDPDF=Y")</f>
        <v>—</v>
      </c>
      <c r="W27" s="14" t="str">
        <f>_xll.BDH("SRPT US Equity","AVERAGE_PRICE_TO_CASH_FLOW","FQ3 2024","FQ3 2024","Currency=USD","Period=FQ","BEST_FPERIOD_OVERRIDE=FQ","FILING_STATUS=MR","Sort=A","Dates=H","DateFormat=P","Fill=—","Direction=H","UseDPDF=Y")</f>
        <v>—</v>
      </c>
      <c r="X27" s="14" t="str">
        <f>_xll.BDH("SRPT US Equity","AVERAGE_PRICE_TO_CASH_FLOW","FQ4 2024","FQ4 2024","Currency=USD","Period=FQ","BEST_FPERIOD_OVERRIDE=FQ","FILING_STATUS=MR","Sort=A","Dates=H","DateFormat=P","Fill=—","Direction=H","UseDPDF=Y")</f>
        <v>—</v>
      </c>
      <c r="Y27" s="17"/>
      <c r="Z27" s="14"/>
      <c r="AA27" s="14"/>
    </row>
    <row r="28" spans="1:27" x14ac:dyDescent="0.25">
      <c r="A28" s="10" t="s">
        <v>211</v>
      </c>
      <c r="B28" s="10" t="s">
        <v>233</v>
      </c>
      <c r="C28" s="14" t="str">
        <f>_xll.BDH("SRPT US Equity","HIGH_CLOSING_PRICE_TO_CASH_FLOW","FQ3 2019","FQ3 2019","Currency=USD","Period=FQ","BEST_FPERIOD_OVERRIDE=FQ","FILING_STATUS=MR","Sort=A","Dates=H","DateFormat=P","Fill=—","Direction=H","UseDPDF=Y")</f>
        <v>—</v>
      </c>
      <c r="D28" s="14" t="str">
        <f>_xll.BDH("SRPT US Equity","HIGH_CLOSING_PRICE_TO_CASH_FLOW","FQ4 2019","FQ4 2019","Currency=USD","Period=FQ","BEST_FPERIOD_OVERRIDE=FQ","FILING_STATUS=MR","Sort=A","Dates=H","DateFormat=P","Fill=—","Direction=H","UseDPDF=Y")</f>
        <v>—</v>
      </c>
      <c r="E28" s="14">
        <f>_xll.BDH("SRPT US Equity","HIGH_CLOSING_PRICE_TO_CASH_FLOW","FQ1 2020","FQ1 2020","Currency=USD","Period=FQ","BEST_FPERIOD_OVERRIDE=FQ","FILING_STATUS=MR","Sort=A","Dates=H","DateFormat=P","Fill=—","Direction=H","UseDPDF=Y")</f>
        <v>24.215800000000002</v>
      </c>
      <c r="F28" s="14">
        <f>_xll.BDH("SRPT US Equity","HIGH_CLOSING_PRICE_TO_CASH_FLOW","FQ2 2020","FQ2 2020","Currency=USD","Period=FQ","BEST_FPERIOD_OVERRIDE=FQ","FILING_STATUS=MR","Sort=A","Dates=H","DateFormat=P","Fill=—","Direction=H","UseDPDF=Y")</f>
        <v>43.0137</v>
      </c>
      <c r="G28" s="14">
        <f>_xll.BDH("SRPT US Equity","HIGH_CLOSING_PRICE_TO_CASH_FLOW","FQ3 2020","FQ3 2020","Currency=USD","Period=FQ","BEST_FPERIOD_OVERRIDE=FQ","FILING_STATUS=MR","Sort=A","Dates=H","DateFormat=P","Fill=—","Direction=H","UseDPDF=Y")</f>
        <v>87.630399999999995</v>
      </c>
      <c r="H28" s="14">
        <f>_xll.BDH("SRPT US Equity","HIGH_CLOSING_PRICE_TO_CASH_FLOW","FQ4 2020","FQ4 2020","Currency=USD","Period=FQ","BEST_FPERIOD_OVERRIDE=FQ","FILING_STATUS=MR","Sort=A","Dates=H","DateFormat=P","Fill=—","Direction=H","UseDPDF=Y")</f>
        <v>111.5364</v>
      </c>
      <c r="I28" s="14">
        <f>_xll.BDH("SRPT US Equity","HIGH_CLOSING_PRICE_TO_CASH_FLOW","FQ1 2021","FQ1 2021","Currency=USD","Period=FQ","BEST_FPERIOD_OVERRIDE=FQ","FILING_STATUS=MR","Sort=A","Dates=H","DateFormat=P","Fill=—","Direction=H","UseDPDF=Y")</f>
        <v>106.42700000000001</v>
      </c>
      <c r="J28" s="14" t="str">
        <f>_xll.BDH("SRPT US Equity","HIGH_CLOSING_PRICE_TO_CASH_FLOW","FQ2 2021","FQ2 2021","Currency=USD","Period=FQ","BEST_FPERIOD_OVERRIDE=FQ","FILING_STATUS=MR","Sort=A","Dates=H","DateFormat=P","Fill=—","Direction=H","UseDPDF=Y")</f>
        <v>—</v>
      </c>
      <c r="K28" s="14" t="str">
        <f>_xll.BDH("SRPT US Equity","HIGH_CLOSING_PRICE_TO_CASH_FLOW","FQ3 2021","FQ3 2021","Currency=USD","Period=FQ","BEST_FPERIOD_OVERRIDE=FQ","FILING_STATUS=MR","Sort=A","Dates=H","DateFormat=P","Fill=—","Direction=H","UseDPDF=Y")</f>
        <v>—</v>
      </c>
      <c r="L28" s="14" t="str">
        <f>_xll.BDH("SRPT US Equity","HIGH_CLOSING_PRICE_TO_CASH_FLOW","FQ4 2021","FQ4 2021","Currency=USD","Period=FQ","BEST_FPERIOD_OVERRIDE=FQ","FILING_STATUS=MR","Sort=A","Dates=H","DateFormat=P","Fill=—","Direction=H","UseDPDF=Y")</f>
        <v>—</v>
      </c>
      <c r="M28" s="14" t="str">
        <f>_xll.BDH("SRPT US Equity","HIGH_CLOSING_PRICE_TO_CASH_FLOW","FQ1 2022","FQ1 2022","Currency=USD","Period=FQ","BEST_FPERIOD_OVERRIDE=FQ","FILING_STATUS=MR","Sort=A","Dates=H","DateFormat=P","Fill=—","Direction=H","UseDPDF=Y")</f>
        <v>—</v>
      </c>
      <c r="N28" s="14" t="str">
        <f>_xll.BDH("SRPT US Equity","HIGH_CLOSING_PRICE_TO_CASH_FLOW","FQ2 2022","FQ2 2022","Currency=USD","Period=FQ","BEST_FPERIOD_OVERRIDE=FQ","FILING_STATUS=MR","Sort=A","Dates=H","DateFormat=P","Fill=—","Direction=H","UseDPDF=Y")</f>
        <v>—</v>
      </c>
      <c r="O28" s="14" t="str">
        <f>_xll.BDH("SRPT US Equity","HIGH_CLOSING_PRICE_TO_CASH_FLOW","FQ3 2022","FQ3 2022","Currency=USD","Period=FQ","BEST_FPERIOD_OVERRIDE=FQ","FILING_STATUS=MR","Sort=A","Dates=H","DateFormat=P","Fill=—","Direction=H","UseDPDF=Y")</f>
        <v>—</v>
      </c>
      <c r="P28" s="14" t="str">
        <f>_xll.BDH("SRPT US Equity","HIGH_CLOSING_PRICE_TO_CASH_FLOW","FQ4 2022","FQ4 2022","Currency=USD","Period=FQ","BEST_FPERIOD_OVERRIDE=FQ","FILING_STATUS=MR","Sort=A","Dates=H","DateFormat=P","Fill=—","Direction=H","UseDPDF=Y")</f>
        <v>—</v>
      </c>
      <c r="Q28" s="14" t="str">
        <f>_xll.BDH("SRPT US Equity","HIGH_CLOSING_PRICE_TO_CASH_FLOW","FQ1 2023","FQ1 2023","Currency=USD","Period=FQ","BEST_FPERIOD_OVERRIDE=FQ","FILING_STATUS=MR","Sort=A","Dates=H","DateFormat=P","Fill=—","Direction=H","UseDPDF=Y")</f>
        <v>—</v>
      </c>
      <c r="R28" s="14" t="str">
        <f>_xll.BDH("SRPT US Equity","HIGH_CLOSING_PRICE_TO_CASH_FLOW","FQ2 2023","FQ2 2023","Currency=USD","Period=FQ","BEST_FPERIOD_OVERRIDE=FQ","FILING_STATUS=MR","Sort=A","Dates=H","DateFormat=P","Fill=—","Direction=H","UseDPDF=Y")</f>
        <v>—</v>
      </c>
      <c r="S28" s="14" t="str">
        <f>_xll.BDH("SRPT US Equity","HIGH_CLOSING_PRICE_TO_CASH_FLOW","FQ3 2023","FQ3 2023","Currency=USD","Period=FQ","BEST_FPERIOD_OVERRIDE=FQ","FILING_STATUS=MR","Sort=A","Dates=H","DateFormat=P","Fill=—","Direction=H","UseDPDF=Y")</f>
        <v>—</v>
      </c>
      <c r="T28" s="14" t="str">
        <f>_xll.BDH("SRPT US Equity","HIGH_CLOSING_PRICE_TO_CASH_FLOW","FQ4 2023","FQ4 2023","Currency=USD","Period=FQ","BEST_FPERIOD_OVERRIDE=FQ","FILING_STATUS=MR","Sort=A","Dates=H","DateFormat=P","Fill=—","Direction=H","UseDPDF=Y")</f>
        <v>—</v>
      </c>
      <c r="U28" s="14" t="str">
        <f>_xll.BDH("SRPT US Equity","HIGH_CLOSING_PRICE_TO_CASH_FLOW","FQ1 2024","FQ1 2024","Currency=USD","Period=FQ","BEST_FPERIOD_OVERRIDE=FQ","FILING_STATUS=MR","Sort=A","Dates=H","DateFormat=P","Fill=—","Direction=H","UseDPDF=Y")</f>
        <v>—</v>
      </c>
      <c r="V28" s="14" t="str">
        <f>_xll.BDH("SRPT US Equity","HIGH_CLOSING_PRICE_TO_CASH_FLOW","FQ2 2024","FQ2 2024","Currency=USD","Period=FQ","BEST_FPERIOD_OVERRIDE=FQ","FILING_STATUS=MR","Sort=A","Dates=H","DateFormat=P","Fill=—","Direction=H","UseDPDF=Y")</f>
        <v>—</v>
      </c>
      <c r="W28" s="14" t="str">
        <f>_xll.BDH("SRPT US Equity","HIGH_CLOSING_PRICE_TO_CASH_FLOW","FQ3 2024","FQ3 2024","Currency=USD","Period=FQ","BEST_FPERIOD_OVERRIDE=FQ","FILING_STATUS=MR","Sort=A","Dates=H","DateFormat=P","Fill=—","Direction=H","UseDPDF=Y")</f>
        <v>—</v>
      </c>
      <c r="X28" s="14" t="str">
        <f>_xll.BDH("SRPT US Equity","HIGH_CLOSING_PRICE_TO_CASH_FLOW","FQ4 2024","FQ4 2024","Currency=USD","Period=FQ","BEST_FPERIOD_OVERRIDE=FQ","FILING_STATUS=MR","Sort=A","Dates=H","DateFormat=P","Fill=—","Direction=H","UseDPDF=Y")</f>
        <v>—</v>
      </c>
      <c r="Y28" s="17"/>
      <c r="Z28" s="14"/>
      <c r="AA28" s="14"/>
    </row>
    <row r="29" spans="1:27" x14ac:dyDescent="0.25">
      <c r="A29" s="10" t="s">
        <v>213</v>
      </c>
      <c r="B29" s="10" t="s">
        <v>234</v>
      </c>
      <c r="C29" s="14" t="str">
        <f>_xll.BDH("SRPT US Equity","LOW_CLOSING_PRICE_TO_CASH_FLOW","FQ3 2019","FQ3 2019","Currency=USD","Period=FQ","BEST_FPERIOD_OVERRIDE=FQ","FILING_STATUS=MR","Sort=A","Dates=H","DateFormat=P","Fill=—","Direction=H","UseDPDF=Y")</f>
        <v>—</v>
      </c>
      <c r="D29" s="14" t="str">
        <f>_xll.BDH("SRPT US Equity","LOW_CLOSING_PRICE_TO_CASH_FLOW","FQ4 2019","FQ4 2019","Currency=USD","Period=FQ","BEST_FPERIOD_OVERRIDE=FQ","FILING_STATUS=MR","Sort=A","Dates=H","DateFormat=P","Fill=—","Direction=H","UseDPDF=Y")</f>
        <v>—</v>
      </c>
      <c r="E29" s="14">
        <f>_xll.BDH("SRPT US Equity","LOW_CLOSING_PRICE_TO_CASH_FLOW","FQ1 2020","FQ1 2020","Currency=USD","Period=FQ","BEST_FPERIOD_OVERRIDE=FQ","FILING_STATUS=MR","Sort=A","Dates=H","DateFormat=P","Fill=—","Direction=H","UseDPDF=Y")</f>
        <v>24.215800000000002</v>
      </c>
      <c r="F29" s="14">
        <f>_xll.BDH("SRPT US Equity","LOW_CLOSING_PRICE_TO_CASH_FLOW","FQ2 2020","FQ2 2020","Currency=USD","Period=FQ","BEST_FPERIOD_OVERRIDE=FQ","FILING_STATUS=MR","Sort=A","Dates=H","DateFormat=P","Fill=—","Direction=H","UseDPDF=Y")</f>
        <v>23.022600000000001</v>
      </c>
      <c r="G29" s="14">
        <f>_xll.BDH("SRPT US Equity","LOW_CLOSING_PRICE_TO_CASH_FLOW","FQ3 2020","FQ3 2020","Currency=USD","Period=FQ","BEST_FPERIOD_OVERRIDE=FQ","FILING_STATUS=MR","Sort=A","Dates=H","DateFormat=P","Fill=—","Direction=H","UseDPDF=Y")</f>
        <v>34.101900000000001</v>
      </c>
      <c r="H29" s="14">
        <f>_xll.BDH("SRPT US Equity","LOW_CLOSING_PRICE_TO_CASH_FLOW","FQ4 2020","FQ4 2020","Currency=USD","Period=FQ","BEST_FPERIOD_OVERRIDE=FQ","FILING_STATUS=MR","Sort=A","Dates=H","DateFormat=P","Fill=—","Direction=H","UseDPDF=Y")</f>
        <v>78.351299999999995</v>
      </c>
      <c r="I29" s="14">
        <f>_xll.BDH("SRPT US Equity","LOW_CLOSING_PRICE_TO_CASH_FLOW","FQ1 2021","FQ1 2021","Currency=USD","Period=FQ","BEST_FPERIOD_OVERRIDE=FQ","FILING_STATUS=MR","Sort=A","Dates=H","DateFormat=P","Fill=—","Direction=H","UseDPDF=Y")</f>
        <v>45.512599999999999</v>
      </c>
      <c r="J29" s="14" t="str">
        <f>_xll.BDH("SRPT US Equity","LOW_CLOSING_PRICE_TO_CASH_FLOW","FQ2 2021","FQ2 2021","Currency=USD","Period=FQ","BEST_FPERIOD_OVERRIDE=FQ","FILING_STATUS=MR","Sort=A","Dates=H","DateFormat=P","Fill=—","Direction=H","UseDPDF=Y")</f>
        <v>—</v>
      </c>
      <c r="K29" s="14" t="str">
        <f>_xll.BDH("SRPT US Equity","LOW_CLOSING_PRICE_TO_CASH_FLOW","FQ3 2021","FQ3 2021","Currency=USD","Period=FQ","BEST_FPERIOD_OVERRIDE=FQ","FILING_STATUS=MR","Sort=A","Dates=H","DateFormat=P","Fill=—","Direction=H","UseDPDF=Y")</f>
        <v>—</v>
      </c>
      <c r="L29" s="14" t="str">
        <f>_xll.BDH("SRPT US Equity","LOW_CLOSING_PRICE_TO_CASH_FLOW","FQ4 2021","FQ4 2021","Currency=USD","Period=FQ","BEST_FPERIOD_OVERRIDE=FQ","FILING_STATUS=MR","Sort=A","Dates=H","DateFormat=P","Fill=—","Direction=H","UseDPDF=Y")</f>
        <v>—</v>
      </c>
      <c r="M29" s="14" t="str">
        <f>_xll.BDH("SRPT US Equity","LOW_CLOSING_PRICE_TO_CASH_FLOW","FQ1 2022","FQ1 2022","Currency=USD","Period=FQ","BEST_FPERIOD_OVERRIDE=FQ","FILING_STATUS=MR","Sort=A","Dates=H","DateFormat=P","Fill=—","Direction=H","UseDPDF=Y")</f>
        <v>—</v>
      </c>
      <c r="N29" s="14" t="str">
        <f>_xll.BDH("SRPT US Equity","LOW_CLOSING_PRICE_TO_CASH_FLOW","FQ2 2022","FQ2 2022","Currency=USD","Period=FQ","BEST_FPERIOD_OVERRIDE=FQ","FILING_STATUS=MR","Sort=A","Dates=H","DateFormat=P","Fill=—","Direction=H","UseDPDF=Y")</f>
        <v>—</v>
      </c>
      <c r="O29" s="14" t="str">
        <f>_xll.BDH("SRPT US Equity","LOW_CLOSING_PRICE_TO_CASH_FLOW","FQ3 2022","FQ3 2022","Currency=USD","Period=FQ","BEST_FPERIOD_OVERRIDE=FQ","FILING_STATUS=MR","Sort=A","Dates=H","DateFormat=P","Fill=—","Direction=H","UseDPDF=Y")</f>
        <v>—</v>
      </c>
      <c r="P29" s="14" t="str">
        <f>_xll.BDH("SRPT US Equity","LOW_CLOSING_PRICE_TO_CASH_FLOW","FQ4 2022","FQ4 2022","Currency=USD","Period=FQ","BEST_FPERIOD_OVERRIDE=FQ","FILING_STATUS=MR","Sort=A","Dates=H","DateFormat=P","Fill=—","Direction=H","UseDPDF=Y")</f>
        <v>—</v>
      </c>
      <c r="Q29" s="14" t="str">
        <f>_xll.BDH("SRPT US Equity","LOW_CLOSING_PRICE_TO_CASH_FLOW","FQ1 2023","FQ1 2023","Currency=USD","Period=FQ","BEST_FPERIOD_OVERRIDE=FQ","FILING_STATUS=MR","Sort=A","Dates=H","DateFormat=P","Fill=—","Direction=H","UseDPDF=Y")</f>
        <v>—</v>
      </c>
      <c r="R29" s="14" t="str">
        <f>_xll.BDH("SRPT US Equity","LOW_CLOSING_PRICE_TO_CASH_FLOW","FQ2 2023","FQ2 2023","Currency=USD","Period=FQ","BEST_FPERIOD_OVERRIDE=FQ","FILING_STATUS=MR","Sort=A","Dates=H","DateFormat=P","Fill=—","Direction=H","UseDPDF=Y")</f>
        <v>—</v>
      </c>
      <c r="S29" s="14" t="str">
        <f>_xll.BDH("SRPT US Equity","LOW_CLOSING_PRICE_TO_CASH_FLOW","FQ3 2023","FQ3 2023","Currency=USD","Period=FQ","BEST_FPERIOD_OVERRIDE=FQ","FILING_STATUS=MR","Sort=A","Dates=H","DateFormat=P","Fill=—","Direction=H","UseDPDF=Y")</f>
        <v>—</v>
      </c>
      <c r="T29" s="14" t="str">
        <f>_xll.BDH("SRPT US Equity","LOW_CLOSING_PRICE_TO_CASH_FLOW","FQ4 2023","FQ4 2023","Currency=USD","Period=FQ","BEST_FPERIOD_OVERRIDE=FQ","FILING_STATUS=MR","Sort=A","Dates=H","DateFormat=P","Fill=—","Direction=H","UseDPDF=Y")</f>
        <v>—</v>
      </c>
      <c r="U29" s="14" t="str">
        <f>_xll.BDH("SRPT US Equity","LOW_CLOSING_PRICE_TO_CASH_FLOW","FQ1 2024","FQ1 2024","Currency=USD","Period=FQ","BEST_FPERIOD_OVERRIDE=FQ","FILING_STATUS=MR","Sort=A","Dates=H","DateFormat=P","Fill=—","Direction=H","UseDPDF=Y")</f>
        <v>—</v>
      </c>
      <c r="V29" s="14" t="str">
        <f>_xll.BDH("SRPT US Equity","LOW_CLOSING_PRICE_TO_CASH_FLOW","FQ2 2024","FQ2 2024","Currency=USD","Period=FQ","BEST_FPERIOD_OVERRIDE=FQ","FILING_STATUS=MR","Sort=A","Dates=H","DateFormat=P","Fill=—","Direction=H","UseDPDF=Y")</f>
        <v>—</v>
      </c>
      <c r="W29" s="14" t="str">
        <f>_xll.BDH("SRPT US Equity","LOW_CLOSING_PRICE_TO_CASH_FLOW","FQ3 2024","FQ3 2024","Currency=USD","Period=FQ","BEST_FPERIOD_OVERRIDE=FQ","FILING_STATUS=MR","Sort=A","Dates=H","DateFormat=P","Fill=—","Direction=H","UseDPDF=Y")</f>
        <v>—</v>
      </c>
      <c r="X29" s="14" t="str">
        <f>_xll.BDH("SRPT US Equity","LOW_CLOSING_PRICE_TO_CASH_FLOW","FQ4 2024","FQ4 2024","Currency=USD","Period=FQ","BEST_FPERIOD_OVERRIDE=FQ","FILING_STATUS=MR","Sort=A","Dates=H","DateFormat=P","Fill=—","Direction=H","UseDPDF=Y")</f>
        <v>—</v>
      </c>
      <c r="Y29" s="17"/>
      <c r="Z29" s="14"/>
      <c r="AA29" s="14"/>
    </row>
    <row r="30" spans="1:27" x14ac:dyDescent="0.25">
      <c r="A30" s="6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21"/>
      <c r="Z30" s="18"/>
      <c r="AA30" s="18"/>
    </row>
    <row r="31" spans="1:27" x14ac:dyDescent="0.25">
      <c r="A31" s="6" t="s">
        <v>235</v>
      </c>
      <c r="B31" s="6" t="s">
        <v>236</v>
      </c>
      <c r="C31" s="20" t="str">
        <f>_xll.BDH("SRPT US Equity","PX_TO_FREE_CASH_FLOW","FQ3 2019","FQ3 2019","Currency=USD","Period=FQ","BEST_FPERIOD_OVERRIDE=FQ","FILING_STATUS=MR","Sort=A","Dates=H","DateFormat=P","Fill=—","Direction=H","UseDPDF=Y")</f>
        <v>—</v>
      </c>
      <c r="D31" s="20" t="str">
        <f>_xll.BDH("SRPT US Equity","PX_TO_FREE_CASH_FLOW","FQ4 2019","FQ4 2019","Currency=USD","Period=FQ","BEST_FPERIOD_OVERRIDE=FQ","FILING_STATUS=MR","Sort=A","Dates=H","DateFormat=P","Fill=—","Direction=H","UseDPDF=Y")</f>
        <v>—</v>
      </c>
      <c r="E31" s="20">
        <f>_xll.BDH("SRPT US Equity","PX_TO_FREE_CASH_FLOW","FQ1 2020","FQ1 2020","Currency=USD","Period=FQ","BEST_FPERIOD_OVERRIDE=FQ","FILING_STATUS=MR","Sort=A","Dates=H","DateFormat=P","Fill=—","Direction=H","UseDPDF=Y")</f>
        <v>29.322099999999999</v>
      </c>
      <c r="F31" s="20">
        <f>_xll.BDH("SRPT US Equity","PX_TO_FREE_CASH_FLOW","FQ2 2020","FQ2 2020","Currency=USD","Period=FQ","BEST_FPERIOD_OVERRIDE=FQ","FILING_STATUS=MR","Sort=A","Dates=H","DateFormat=P","Fill=—","Direction=H","UseDPDF=Y")</f>
        <v>53.377400000000002</v>
      </c>
      <c r="G31" s="20">
        <f>_xll.BDH("SRPT US Equity","PX_TO_FREE_CASH_FLOW","FQ3 2020","FQ3 2020","Currency=USD","Period=FQ","BEST_FPERIOD_OVERRIDE=FQ","FILING_STATUS=MR","Sort=A","Dates=H","DateFormat=P","Fill=—","Direction=H","UseDPDF=Y")</f>
        <v>205.4391</v>
      </c>
      <c r="H31" s="20">
        <f>_xll.BDH("SRPT US Equity","PX_TO_FREE_CASH_FLOW","FQ4 2020","FQ4 2020","Currency=USD","Period=FQ","BEST_FPERIOD_OVERRIDE=FQ","FILING_STATUS=MR","Sort=A","Dates=H","DateFormat=P","Fill=—","Direction=H","UseDPDF=Y")</f>
        <v>298.95890000000003</v>
      </c>
      <c r="I31" s="20" t="str">
        <f>_xll.BDH("SRPT US Equity","PX_TO_FREE_CASH_FLOW","FQ1 2021","FQ1 2021","Currency=USD","Period=FQ","BEST_FPERIOD_OVERRIDE=FQ","FILING_STATUS=MR","Sort=A","Dates=H","DateFormat=P","Fill=—","Direction=H","UseDPDF=Y")</f>
        <v>—</v>
      </c>
      <c r="J31" s="20" t="str">
        <f>_xll.BDH("SRPT US Equity","PX_TO_FREE_CASH_FLOW","FQ2 2021","FQ2 2021","Currency=USD","Period=FQ","BEST_FPERIOD_OVERRIDE=FQ","FILING_STATUS=MR","Sort=A","Dates=H","DateFormat=P","Fill=—","Direction=H","UseDPDF=Y")</f>
        <v>—</v>
      </c>
      <c r="K31" s="20" t="str">
        <f>_xll.BDH("SRPT US Equity","PX_TO_FREE_CASH_FLOW","FQ3 2021","FQ3 2021","Currency=USD","Period=FQ","BEST_FPERIOD_OVERRIDE=FQ","FILING_STATUS=MR","Sort=A","Dates=H","DateFormat=P","Fill=—","Direction=H","UseDPDF=Y")</f>
        <v>—</v>
      </c>
      <c r="L31" s="20" t="str">
        <f>_xll.BDH("SRPT US Equity","PX_TO_FREE_CASH_FLOW","FQ4 2021","FQ4 2021","Currency=USD","Period=FQ","BEST_FPERIOD_OVERRIDE=FQ","FILING_STATUS=MR","Sort=A","Dates=H","DateFormat=P","Fill=—","Direction=H","UseDPDF=Y")</f>
        <v>—</v>
      </c>
      <c r="M31" s="20" t="str">
        <f>_xll.BDH("SRPT US Equity","PX_TO_FREE_CASH_FLOW","FQ1 2022","FQ1 2022","Currency=USD","Period=FQ","BEST_FPERIOD_OVERRIDE=FQ","FILING_STATUS=MR","Sort=A","Dates=H","DateFormat=P","Fill=—","Direction=H","UseDPDF=Y")</f>
        <v>—</v>
      </c>
      <c r="N31" s="20" t="str">
        <f>_xll.BDH("SRPT US Equity","PX_TO_FREE_CASH_FLOW","FQ2 2022","FQ2 2022","Currency=USD","Period=FQ","BEST_FPERIOD_OVERRIDE=FQ","FILING_STATUS=MR","Sort=A","Dates=H","DateFormat=P","Fill=—","Direction=H","UseDPDF=Y")</f>
        <v>—</v>
      </c>
      <c r="O31" s="20" t="str">
        <f>_xll.BDH("SRPT US Equity","PX_TO_FREE_CASH_FLOW","FQ3 2022","FQ3 2022","Currency=USD","Period=FQ","BEST_FPERIOD_OVERRIDE=FQ","FILING_STATUS=MR","Sort=A","Dates=H","DateFormat=P","Fill=—","Direction=H","UseDPDF=Y")</f>
        <v>—</v>
      </c>
      <c r="P31" s="20" t="str">
        <f>_xll.BDH("SRPT US Equity","PX_TO_FREE_CASH_FLOW","FQ4 2022","FQ4 2022","Currency=USD","Period=FQ","BEST_FPERIOD_OVERRIDE=FQ","FILING_STATUS=MR","Sort=A","Dates=H","DateFormat=P","Fill=—","Direction=H","UseDPDF=Y")</f>
        <v>—</v>
      </c>
      <c r="Q31" s="20" t="str">
        <f>_xll.BDH("SRPT US Equity","PX_TO_FREE_CASH_FLOW","FQ1 2023","FQ1 2023","Currency=USD","Period=FQ","BEST_FPERIOD_OVERRIDE=FQ","FILING_STATUS=MR","Sort=A","Dates=H","DateFormat=P","Fill=—","Direction=H","UseDPDF=Y")</f>
        <v>—</v>
      </c>
      <c r="R31" s="20" t="str">
        <f>_xll.BDH("SRPT US Equity","PX_TO_FREE_CASH_FLOW","FQ2 2023","FQ2 2023","Currency=USD","Period=FQ","BEST_FPERIOD_OVERRIDE=FQ","FILING_STATUS=MR","Sort=A","Dates=H","DateFormat=P","Fill=—","Direction=H","UseDPDF=Y")</f>
        <v>—</v>
      </c>
      <c r="S31" s="20" t="str">
        <f>_xll.BDH("SRPT US Equity","PX_TO_FREE_CASH_FLOW","FQ3 2023","FQ3 2023","Currency=USD","Period=FQ","BEST_FPERIOD_OVERRIDE=FQ","FILING_STATUS=MR","Sort=A","Dates=H","DateFormat=P","Fill=—","Direction=H","UseDPDF=Y")</f>
        <v>—</v>
      </c>
      <c r="T31" s="20" t="str">
        <f>_xll.BDH("SRPT US Equity","PX_TO_FREE_CASH_FLOW","FQ4 2023","FQ4 2023","Currency=USD","Period=FQ","BEST_FPERIOD_OVERRIDE=FQ","FILING_STATUS=MR","Sort=A","Dates=H","DateFormat=P","Fill=—","Direction=H","UseDPDF=Y")</f>
        <v>—</v>
      </c>
      <c r="U31" s="20" t="str">
        <f>_xll.BDH("SRPT US Equity","PX_TO_FREE_CASH_FLOW","FQ1 2024","FQ1 2024","Currency=USD","Period=FQ","BEST_FPERIOD_OVERRIDE=FQ","FILING_STATUS=MR","Sort=A","Dates=H","DateFormat=P","Fill=—","Direction=H","UseDPDF=Y")</f>
        <v>—</v>
      </c>
      <c r="V31" s="20" t="str">
        <f>_xll.BDH("SRPT US Equity","PX_TO_FREE_CASH_FLOW","FQ2 2024","FQ2 2024","Currency=USD","Period=FQ","BEST_FPERIOD_OVERRIDE=FQ","FILING_STATUS=MR","Sort=A","Dates=H","DateFormat=P","Fill=—","Direction=H","UseDPDF=Y")</f>
        <v>—</v>
      </c>
      <c r="W31" s="20" t="str">
        <f>_xll.BDH("SRPT US Equity","PX_TO_FREE_CASH_FLOW","FQ3 2024","FQ3 2024","Currency=USD","Period=FQ","BEST_FPERIOD_OVERRIDE=FQ","FILING_STATUS=MR","Sort=A","Dates=H","DateFormat=P","Fill=—","Direction=H","UseDPDF=Y")</f>
        <v>—</v>
      </c>
      <c r="X31" s="20" t="str">
        <f>_xll.BDH("SRPT US Equity","PX_TO_FREE_CASH_FLOW","FQ4 2024","FQ4 2024","Currency=USD","Period=FQ","BEST_FPERIOD_OVERRIDE=FQ","FILING_STATUS=MR","Sort=A","Dates=H","DateFormat=P","Fill=—","Direction=H","UseDPDF=Y")</f>
        <v>—</v>
      </c>
      <c r="Y31" s="23"/>
      <c r="Z31" s="20"/>
      <c r="AA31" s="20"/>
    </row>
    <row r="32" spans="1:27" x14ac:dyDescent="0.25">
      <c r="A32" s="10" t="s">
        <v>209</v>
      </c>
      <c r="B32" s="10" t="s">
        <v>237</v>
      </c>
      <c r="C32" s="14" t="str">
        <f>_xll.BDH("SRPT US Equity","AVERAGE_PRICE_TO_FREE_CASH_FLOW","FQ3 2019","FQ3 2019","Currency=USD","Period=FQ","BEST_FPERIOD_OVERRIDE=FQ","FILING_STATUS=MR","Sort=A","Dates=H","DateFormat=P","Fill=—","Direction=H","UseDPDF=Y")</f>
        <v>—</v>
      </c>
      <c r="D32" s="14" t="str">
        <f>_xll.BDH("SRPT US Equity","AVERAGE_PRICE_TO_FREE_CASH_FLOW","FQ4 2019","FQ4 2019","Currency=USD","Period=FQ","BEST_FPERIOD_OVERRIDE=FQ","FILING_STATUS=MR","Sort=A","Dates=H","DateFormat=P","Fill=—","Direction=H","UseDPDF=Y")</f>
        <v>—</v>
      </c>
      <c r="E32" s="14">
        <f>_xll.BDH("SRPT US Equity","AVERAGE_PRICE_TO_FREE_CASH_FLOW","FQ1 2020","FQ1 2020","Currency=USD","Period=FQ","BEST_FPERIOD_OVERRIDE=FQ","FILING_STATUS=MR","Sort=A","Dates=H","DateFormat=P","Fill=—","Direction=H","UseDPDF=Y")</f>
        <v>29.322099999999999</v>
      </c>
      <c r="F32" s="14">
        <f>_xll.BDH("SRPT US Equity","AVERAGE_PRICE_TO_FREE_CASH_FLOW","FQ2 2020","FQ2 2020","Currency=USD","Period=FQ","BEST_FPERIOD_OVERRIDE=FQ","FILING_STATUS=MR","Sort=A","Dates=H","DateFormat=P","Fill=—","Direction=H","UseDPDF=Y")</f>
        <v>40.875399999999999</v>
      </c>
      <c r="G32" s="14">
        <f>_xll.BDH("SRPT US Equity","AVERAGE_PRICE_TO_FREE_CASH_FLOW","FQ3 2020","FQ3 2020","Currency=USD","Period=FQ","BEST_FPERIOD_OVERRIDE=FQ","FILING_STATUS=MR","Sort=A","Dates=H","DateFormat=P","Fill=—","Direction=H","UseDPDF=Y")</f>
        <v>53.071399999999997</v>
      </c>
      <c r="H32" s="14">
        <f>_xll.BDH("SRPT US Equity","AVERAGE_PRICE_TO_FREE_CASH_FLOW","FQ4 2020","FQ4 2020","Currency=USD","Period=FQ","BEST_FPERIOD_OVERRIDE=FQ","FILING_STATUS=MR","Sort=A","Dates=H","DateFormat=P","Fill=—","Direction=H","UseDPDF=Y")</f>
        <v>217.53630000000001</v>
      </c>
      <c r="I32" s="14">
        <f>_xll.BDH("SRPT US Equity","AVERAGE_PRICE_TO_FREE_CASH_FLOW","FQ1 2021","FQ1 2021","Currency=USD","Period=FQ","BEST_FPERIOD_OVERRIDE=FQ","FILING_STATUS=MR","Sort=A","Dates=H","DateFormat=P","Fill=—","Direction=H","UseDPDF=Y")</f>
        <v>162.3287</v>
      </c>
      <c r="J32" s="14" t="str">
        <f>_xll.BDH("SRPT US Equity","AVERAGE_PRICE_TO_FREE_CASH_FLOW","FQ2 2021","FQ2 2021","Currency=USD","Period=FQ","BEST_FPERIOD_OVERRIDE=FQ","FILING_STATUS=MR","Sort=A","Dates=H","DateFormat=P","Fill=—","Direction=H","UseDPDF=Y")</f>
        <v>—</v>
      </c>
      <c r="K32" s="14" t="str">
        <f>_xll.BDH("SRPT US Equity","AVERAGE_PRICE_TO_FREE_CASH_FLOW","FQ3 2021","FQ3 2021","Currency=USD","Period=FQ","BEST_FPERIOD_OVERRIDE=FQ","FILING_STATUS=MR","Sort=A","Dates=H","DateFormat=P","Fill=—","Direction=H","UseDPDF=Y")</f>
        <v>—</v>
      </c>
      <c r="L32" s="14" t="str">
        <f>_xll.BDH("SRPT US Equity","AVERAGE_PRICE_TO_FREE_CASH_FLOW","FQ4 2021","FQ4 2021","Currency=USD","Period=FQ","BEST_FPERIOD_OVERRIDE=FQ","FILING_STATUS=MR","Sort=A","Dates=H","DateFormat=P","Fill=—","Direction=H","UseDPDF=Y")</f>
        <v>—</v>
      </c>
      <c r="M32" s="14" t="str">
        <f>_xll.BDH("SRPT US Equity","AVERAGE_PRICE_TO_FREE_CASH_FLOW","FQ1 2022","FQ1 2022","Currency=USD","Period=FQ","BEST_FPERIOD_OVERRIDE=FQ","FILING_STATUS=MR","Sort=A","Dates=H","DateFormat=P","Fill=—","Direction=H","UseDPDF=Y")</f>
        <v>—</v>
      </c>
      <c r="N32" s="14" t="str">
        <f>_xll.BDH("SRPT US Equity","AVERAGE_PRICE_TO_FREE_CASH_FLOW","FQ2 2022","FQ2 2022","Currency=USD","Period=FQ","BEST_FPERIOD_OVERRIDE=FQ","FILING_STATUS=MR","Sort=A","Dates=H","DateFormat=P","Fill=—","Direction=H","UseDPDF=Y")</f>
        <v>—</v>
      </c>
      <c r="O32" s="14" t="str">
        <f>_xll.BDH("SRPT US Equity","AVERAGE_PRICE_TO_FREE_CASH_FLOW","FQ3 2022","FQ3 2022","Currency=USD","Period=FQ","BEST_FPERIOD_OVERRIDE=FQ","FILING_STATUS=MR","Sort=A","Dates=H","DateFormat=P","Fill=—","Direction=H","UseDPDF=Y")</f>
        <v>—</v>
      </c>
      <c r="P32" s="14" t="str">
        <f>_xll.BDH("SRPT US Equity","AVERAGE_PRICE_TO_FREE_CASH_FLOW","FQ4 2022","FQ4 2022","Currency=USD","Period=FQ","BEST_FPERIOD_OVERRIDE=FQ","FILING_STATUS=MR","Sort=A","Dates=H","DateFormat=P","Fill=—","Direction=H","UseDPDF=Y")</f>
        <v>—</v>
      </c>
      <c r="Q32" s="14" t="str">
        <f>_xll.BDH("SRPT US Equity","AVERAGE_PRICE_TO_FREE_CASH_FLOW","FQ1 2023","FQ1 2023","Currency=USD","Period=FQ","BEST_FPERIOD_OVERRIDE=FQ","FILING_STATUS=MR","Sort=A","Dates=H","DateFormat=P","Fill=—","Direction=H","UseDPDF=Y")</f>
        <v>—</v>
      </c>
      <c r="R32" s="14" t="str">
        <f>_xll.BDH("SRPT US Equity","AVERAGE_PRICE_TO_FREE_CASH_FLOW","FQ2 2023","FQ2 2023","Currency=USD","Period=FQ","BEST_FPERIOD_OVERRIDE=FQ","FILING_STATUS=MR","Sort=A","Dates=H","DateFormat=P","Fill=—","Direction=H","UseDPDF=Y")</f>
        <v>—</v>
      </c>
      <c r="S32" s="14" t="str">
        <f>_xll.BDH("SRPT US Equity","AVERAGE_PRICE_TO_FREE_CASH_FLOW","FQ3 2023","FQ3 2023","Currency=USD","Period=FQ","BEST_FPERIOD_OVERRIDE=FQ","FILING_STATUS=MR","Sort=A","Dates=H","DateFormat=P","Fill=—","Direction=H","UseDPDF=Y")</f>
        <v>—</v>
      </c>
      <c r="T32" s="14" t="str">
        <f>_xll.BDH("SRPT US Equity","AVERAGE_PRICE_TO_FREE_CASH_FLOW","FQ4 2023","FQ4 2023","Currency=USD","Period=FQ","BEST_FPERIOD_OVERRIDE=FQ","FILING_STATUS=MR","Sort=A","Dates=H","DateFormat=P","Fill=—","Direction=H","UseDPDF=Y")</f>
        <v>—</v>
      </c>
      <c r="U32" s="14" t="str">
        <f>_xll.BDH("SRPT US Equity","AVERAGE_PRICE_TO_FREE_CASH_FLOW","FQ1 2024","FQ1 2024","Currency=USD","Period=FQ","BEST_FPERIOD_OVERRIDE=FQ","FILING_STATUS=MR","Sort=A","Dates=H","DateFormat=P","Fill=—","Direction=H","UseDPDF=Y")</f>
        <v>—</v>
      </c>
      <c r="V32" s="14" t="str">
        <f>_xll.BDH("SRPT US Equity","AVERAGE_PRICE_TO_FREE_CASH_FLOW","FQ2 2024","FQ2 2024","Currency=USD","Period=FQ","BEST_FPERIOD_OVERRIDE=FQ","FILING_STATUS=MR","Sort=A","Dates=H","DateFormat=P","Fill=—","Direction=H","UseDPDF=Y")</f>
        <v>—</v>
      </c>
      <c r="W32" s="14" t="str">
        <f>_xll.BDH("SRPT US Equity","AVERAGE_PRICE_TO_FREE_CASH_FLOW","FQ3 2024","FQ3 2024","Currency=USD","Period=FQ","BEST_FPERIOD_OVERRIDE=FQ","FILING_STATUS=MR","Sort=A","Dates=H","DateFormat=P","Fill=—","Direction=H","UseDPDF=Y")</f>
        <v>—</v>
      </c>
      <c r="X32" s="14" t="str">
        <f>_xll.BDH("SRPT US Equity","AVERAGE_PRICE_TO_FREE_CASH_FLOW","FQ4 2024","FQ4 2024","Currency=USD","Period=FQ","BEST_FPERIOD_OVERRIDE=FQ","FILING_STATUS=MR","Sort=A","Dates=H","DateFormat=P","Fill=—","Direction=H","UseDPDF=Y")</f>
        <v>—</v>
      </c>
      <c r="Y32" s="17"/>
      <c r="Z32" s="14"/>
      <c r="AA32" s="14"/>
    </row>
    <row r="33" spans="1:27" x14ac:dyDescent="0.25">
      <c r="A33" s="10" t="s">
        <v>211</v>
      </c>
      <c r="B33" s="10" t="s">
        <v>238</v>
      </c>
      <c r="C33" s="14" t="str">
        <f>_xll.BDH("SRPT US Equity","HIGH_PRICE_TO_FREE_CASH_FLOW","FQ3 2019","FQ3 2019","Currency=USD","Period=FQ","BEST_FPERIOD_OVERRIDE=FQ","FILING_STATUS=MR","Sort=A","Dates=H","DateFormat=P","Fill=—","Direction=H","UseDPDF=Y")</f>
        <v>—</v>
      </c>
      <c r="D33" s="14" t="str">
        <f>_xll.BDH("SRPT US Equity","HIGH_PRICE_TO_FREE_CASH_FLOW","FQ4 2019","FQ4 2019","Currency=USD","Period=FQ","BEST_FPERIOD_OVERRIDE=FQ","FILING_STATUS=MR","Sort=A","Dates=H","DateFormat=P","Fill=—","Direction=H","UseDPDF=Y")</f>
        <v>—</v>
      </c>
      <c r="E33" s="14">
        <f>_xll.BDH("SRPT US Equity","HIGH_PRICE_TO_FREE_CASH_FLOW","FQ1 2020","FQ1 2020","Currency=USD","Period=FQ","BEST_FPERIOD_OVERRIDE=FQ","FILING_STATUS=MR","Sort=A","Dates=H","DateFormat=P","Fill=—","Direction=H","UseDPDF=Y")</f>
        <v>29.322099999999999</v>
      </c>
      <c r="F33" s="14">
        <f>_xll.BDH("SRPT US Equity","HIGH_PRICE_TO_FREE_CASH_FLOW","FQ2 2020","FQ2 2020","Currency=USD","Period=FQ","BEST_FPERIOD_OVERRIDE=FQ","FILING_STATUS=MR","Sort=A","Dates=H","DateFormat=P","Fill=—","Direction=H","UseDPDF=Y")</f>
        <v>53.377400000000002</v>
      </c>
      <c r="G33" s="14">
        <f>_xll.BDH("SRPT US Equity","HIGH_PRICE_TO_FREE_CASH_FLOW","FQ3 2020","FQ3 2020","Currency=USD","Period=FQ","BEST_FPERIOD_OVERRIDE=FQ","FILING_STATUS=MR","Sort=A","Dates=H","DateFormat=P","Fill=—","Direction=H","UseDPDF=Y")</f>
        <v>205.4391</v>
      </c>
      <c r="H33" s="14">
        <f>_xll.BDH("SRPT US Equity","HIGH_PRICE_TO_FREE_CASH_FLOW","FQ4 2020","FQ4 2020","Currency=USD","Period=FQ","BEST_FPERIOD_OVERRIDE=FQ","FILING_STATUS=MR","Sort=A","Dates=H","DateFormat=P","Fill=—","Direction=H","UseDPDF=Y")</f>
        <v>298.95890000000003</v>
      </c>
      <c r="I33" s="14">
        <f>_xll.BDH("SRPT US Equity","HIGH_PRICE_TO_FREE_CASH_FLOW","FQ1 2021","FQ1 2021","Currency=USD","Period=FQ","BEST_FPERIOD_OVERRIDE=FQ","FILING_STATUS=MR","Sort=A","Dates=H","DateFormat=P","Fill=—","Direction=H","UseDPDF=Y")</f>
        <v>296.25850000000003</v>
      </c>
      <c r="J33" s="14" t="str">
        <f>_xll.BDH("SRPT US Equity","HIGH_PRICE_TO_FREE_CASH_FLOW","FQ2 2021","FQ2 2021","Currency=USD","Period=FQ","BEST_FPERIOD_OVERRIDE=FQ","FILING_STATUS=MR","Sort=A","Dates=H","DateFormat=P","Fill=—","Direction=H","UseDPDF=Y")</f>
        <v>—</v>
      </c>
      <c r="K33" s="14" t="str">
        <f>_xll.BDH("SRPT US Equity","HIGH_PRICE_TO_FREE_CASH_FLOW","FQ3 2021","FQ3 2021","Currency=USD","Period=FQ","BEST_FPERIOD_OVERRIDE=FQ","FILING_STATUS=MR","Sort=A","Dates=H","DateFormat=P","Fill=—","Direction=H","UseDPDF=Y")</f>
        <v>—</v>
      </c>
      <c r="L33" s="14" t="str">
        <f>_xll.BDH("SRPT US Equity","HIGH_PRICE_TO_FREE_CASH_FLOW","FQ4 2021","FQ4 2021","Currency=USD","Period=FQ","BEST_FPERIOD_OVERRIDE=FQ","FILING_STATUS=MR","Sort=A","Dates=H","DateFormat=P","Fill=—","Direction=H","UseDPDF=Y")</f>
        <v>—</v>
      </c>
      <c r="M33" s="14" t="str">
        <f>_xll.BDH("SRPT US Equity","HIGH_PRICE_TO_FREE_CASH_FLOW","FQ1 2022","FQ1 2022","Currency=USD","Period=FQ","BEST_FPERIOD_OVERRIDE=FQ","FILING_STATUS=MR","Sort=A","Dates=H","DateFormat=P","Fill=—","Direction=H","UseDPDF=Y")</f>
        <v>—</v>
      </c>
      <c r="N33" s="14" t="str">
        <f>_xll.BDH("SRPT US Equity","HIGH_PRICE_TO_FREE_CASH_FLOW","FQ2 2022","FQ2 2022","Currency=USD","Period=FQ","BEST_FPERIOD_OVERRIDE=FQ","FILING_STATUS=MR","Sort=A","Dates=H","DateFormat=P","Fill=—","Direction=H","UseDPDF=Y")</f>
        <v>—</v>
      </c>
      <c r="O33" s="14" t="str">
        <f>_xll.BDH("SRPT US Equity","HIGH_PRICE_TO_FREE_CASH_FLOW","FQ3 2022","FQ3 2022","Currency=USD","Period=FQ","BEST_FPERIOD_OVERRIDE=FQ","FILING_STATUS=MR","Sort=A","Dates=H","DateFormat=P","Fill=—","Direction=H","UseDPDF=Y")</f>
        <v>—</v>
      </c>
      <c r="P33" s="14" t="str">
        <f>_xll.BDH("SRPT US Equity","HIGH_PRICE_TO_FREE_CASH_FLOW","FQ4 2022","FQ4 2022","Currency=USD","Period=FQ","BEST_FPERIOD_OVERRIDE=FQ","FILING_STATUS=MR","Sort=A","Dates=H","DateFormat=P","Fill=—","Direction=H","UseDPDF=Y")</f>
        <v>—</v>
      </c>
      <c r="Q33" s="14" t="str">
        <f>_xll.BDH("SRPT US Equity","HIGH_PRICE_TO_FREE_CASH_FLOW","FQ1 2023","FQ1 2023","Currency=USD","Period=FQ","BEST_FPERIOD_OVERRIDE=FQ","FILING_STATUS=MR","Sort=A","Dates=H","DateFormat=P","Fill=—","Direction=H","UseDPDF=Y")</f>
        <v>—</v>
      </c>
      <c r="R33" s="14" t="str">
        <f>_xll.BDH("SRPT US Equity","HIGH_PRICE_TO_FREE_CASH_FLOW","FQ2 2023","FQ2 2023","Currency=USD","Period=FQ","BEST_FPERIOD_OVERRIDE=FQ","FILING_STATUS=MR","Sort=A","Dates=H","DateFormat=P","Fill=—","Direction=H","UseDPDF=Y")</f>
        <v>—</v>
      </c>
      <c r="S33" s="14" t="str">
        <f>_xll.BDH("SRPT US Equity","HIGH_PRICE_TO_FREE_CASH_FLOW","FQ3 2023","FQ3 2023","Currency=USD","Period=FQ","BEST_FPERIOD_OVERRIDE=FQ","FILING_STATUS=MR","Sort=A","Dates=H","DateFormat=P","Fill=—","Direction=H","UseDPDF=Y")</f>
        <v>—</v>
      </c>
      <c r="T33" s="14" t="str">
        <f>_xll.BDH("SRPT US Equity","HIGH_PRICE_TO_FREE_CASH_FLOW","FQ4 2023","FQ4 2023","Currency=USD","Period=FQ","BEST_FPERIOD_OVERRIDE=FQ","FILING_STATUS=MR","Sort=A","Dates=H","DateFormat=P","Fill=—","Direction=H","UseDPDF=Y")</f>
        <v>—</v>
      </c>
      <c r="U33" s="14" t="str">
        <f>_xll.BDH("SRPT US Equity","HIGH_PRICE_TO_FREE_CASH_FLOW","FQ1 2024","FQ1 2024","Currency=USD","Period=FQ","BEST_FPERIOD_OVERRIDE=FQ","FILING_STATUS=MR","Sort=A","Dates=H","DateFormat=P","Fill=—","Direction=H","UseDPDF=Y")</f>
        <v>—</v>
      </c>
      <c r="V33" s="14" t="str">
        <f>_xll.BDH("SRPT US Equity","HIGH_PRICE_TO_FREE_CASH_FLOW","FQ2 2024","FQ2 2024","Currency=USD","Period=FQ","BEST_FPERIOD_OVERRIDE=FQ","FILING_STATUS=MR","Sort=A","Dates=H","DateFormat=P","Fill=—","Direction=H","UseDPDF=Y")</f>
        <v>—</v>
      </c>
      <c r="W33" s="14" t="str">
        <f>_xll.BDH("SRPT US Equity","HIGH_PRICE_TO_FREE_CASH_FLOW","FQ3 2024","FQ3 2024","Currency=USD","Period=FQ","BEST_FPERIOD_OVERRIDE=FQ","FILING_STATUS=MR","Sort=A","Dates=H","DateFormat=P","Fill=—","Direction=H","UseDPDF=Y")</f>
        <v>—</v>
      </c>
      <c r="X33" s="14" t="str">
        <f>_xll.BDH("SRPT US Equity","HIGH_PRICE_TO_FREE_CASH_FLOW","FQ4 2024","FQ4 2024","Currency=USD","Period=FQ","BEST_FPERIOD_OVERRIDE=FQ","FILING_STATUS=MR","Sort=A","Dates=H","DateFormat=P","Fill=—","Direction=H","UseDPDF=Y")</f>
        <v>—</v>
      </c>
      <c r="Y33" s="17"/>
      <c r="Z33" s="14"/>
      <c r="AA33" s="14"/>
    </row>
    <row r="34" spans="1:27" x14ac:dyDescent="0.25">
      <c r="A34" s="10" t="s">
        <v>213</v>
      </c>
      <c r="B34" s="10" t="s">
        <v>239</v>
      </c>
      <c r="C34" s="14" t="str">
        <f>_xll.BDH("SRPT US Equity","LOW_PRICE_TO_FREE_CASH_FLOW","FQ3 2019","FQ3 2019","Currency=USD","Period=FQ","BEST_FPERIOD_OVERRIDE=FQ","FILING_STATUS=MR","Sort=A","Dates=H","DateFormat=P","Fill=—","Direction=H","UseDPDF=Y")</f>
        <v>—</v>
      </c>
      <c r="D34" s="14" t="str">
        <f>_xll.BDH("SRPT US Equity","LOW_PRICE_TO_FREE_CASH_FLOW","FQ4 2019","FQ4 2019","Currency=USD","Period=FQ","BEST_FPERIOD_OVERRIDE=FQ","FILING_STATUS=MR","Sort=A","Dates=H","DateFormat=P","Fill=—","Direction=H","UseDPDF=Y")</f>
        <v>—</v>
      </c>
      <c r="E34" s="14">
        <f>_xll.BDH("SRPT US Equity","LOW_PRICE_TO_FREE_CASH_FLOW","FQ1 2020","FQ1 2020","Currency=USD","Period=FQ","BEST_FPERIOD_OVERRIDE=FQ","FILING_STATUS=MR","Sort=A","Dates=H","DateFormat=P","Fill=—","Direction=H","UseDPDF=Y")</f>
        <v>29.322099999999999</v>
      </c>
      <c r="F34" s="14">
        <f>_xll.BDH("SRPT US Equity","LOW_PRICE_TO_FREE_CASH_FLOW","FQ2 2020","FQ2 2020","Currency=USD","Period=FQ","BEST_FPERIOD_OVERRIDE=FQ","FILING_STATUS=MR","Sort=A","Dates=H","DateFormat=P","Fill=—","Direction=H","UseDPDF=Y")</f>
        <v>27.877199999999998</v>
      </c>
      <c r="G34" s="14">
        <f>_xll.BDH("SRPT US Equity","LOW_PRICE_TO_FREE_CASH_FLOW","FQ3 2020","FQ3 2020","Currency=USD","Period=FQ","BEST_FPERIOD_OVERRIDE=FQ","FILING_STATUS=MR","Sort=A","Dates=H","DateFormat=P","Fill=—","Direction=H","UseDPDF=Y")</f>
        <v>42.318399999999997</v>
      </c>
      <c r="H34" s="14">
        <f>_xll.BDH("SRPT US Equity","LOW_PRICE_TO_FREE_CASH_FLOW","FQ4 2020","FQ4 2020","Currency=USD","Period=FQ","BEST_FPERIOD_OVERRIDE=FQ","FILING_STATUS=MR","Sort=A","Dates=H","DateFormat=P","Fill=—","Direction=H","UseDPDF=Y")</f>
        <v>183.68539999999999</v>
      </c>
      <c r="I34" s="14">
        <f>_xll.BDH("SRPT US Equity","LOW_PRICE_TO_FREE_CASH_FLOW","FQ1 2021","FQ1 2021","Currency=USD","Period=FQ","BEST_FPERIOD_OVERRIDE=FQ","FILING_STATUS=MR","Sort=A","Dates=H","DateFormat=P","Fill=—","Direction=H","UseDPDF=Y")</f>
        <v>126.69240000000001</v>
      </c>
      <c r="J34" s="14" t="str">
        <f>_xll.BDH("SRPT US Equity","LOW_PRICE_TO_FREE_CASH_FLOW","FQ2 2021","FQ2 2021","Currency=USD","Period=FQ","BEST_FPERIOD_OVERRIDE=FQ","FILING_STATUS=MR","Sort=A","Dates=H","DateFormat=P","Fill=—","Direction=H","UseDPDF=Y")</f>
        <v>—</v>
      </c>
      <c r="K34" s="14" t="str">
        <f>_xll.BDH("SRPT US Equity","LOW_PRICE_TO_FREE_CASH_FLOW","FQ3 2021","FQ3 2021","Currency=USD","Period=FQ","BEST_FPERIOD_OVERRIDE=FQ","FILING_STATUS=MR","Sort=A","Dates=H","DateFormat=P","Fill=—","Direction=H","UseDPDF=Y")</f>
        <v>—</v>
      </c>
      <c r="L34" s="14" t="str">
        <f>_xll.BDH("SRPT US Equity","LOW_PRICE_TO_FREE_CASH_FLOW","FQ4 2021","FQ4 2021","Currency=USD","Period=FQ","BEST_FPERIOD_OVERRIDE=FQ","FILING_STATUS=MR","Sort=A","Dates=H","DateFormat=P","Fill=—","Direction=H","UseDPDF=Y")</f>
        <v>—</v>
      </c>
      <c r="M34" s="14" t="str">
        <f>_xll.BDH("SRPT US Equity","LOW_PRICE_TO_FREE_CASH_FLOW","FQ1 2022","FQ1 2022","Currency=USD","Period=FQ","BEST_FPERIOD_OVERRIDE=FQ","FILING_STATUS=MR","Sort=A","Dates=H","DateFormat=P","Fill=—","Direction=H","UseDPDF=Y")</f>
        <v>—</v>
      </c>
      <c r="N34" s="14" t="str">
        <f>_xll.BDH("SRPT US Equity","LOW_PRICE_TO_FREE_CASH_FLOW","FQ2 2022","FQ2 2022","Currency=USD","Period=FQ","BEST_FPERIOD_OVERRIDE=FQ","FILING_STATUS=MR","Sort=A","Dates=H","DateFormat=P","Fill=—","Direction=H","UseDPDF=Y")</f>
        <v>—</v>
      </c>
      <c r="O34" s="14" t="str">
        <f>_xll.BDH("SRPT US Equity","LOW_PRICE_TO_FREE_CASH_FLOW","FQ3 2022","FQ3 2022","Currency=USD","Period=FQ","BEST_FPERIOD_OVERRIDE=FQ","FILING_STATUS=MR","Sort=A","Dates=H","DateFormat=P","Fill=—","Direction=H","UseDPDF=Y")</f>
        <v>—</v>
      </c>
      <c r="P34" s="14" t="str">
        <f>_xll.BDH("SRPT US Equity","LOW_PRICE_TO_FREE_CASH_FLOW","FQ4 2022","FQ4 2022","Currency=USD","Period=FQ","BEST_FPERIOD_OVERRIDE=FQ","FILING_STATUS=MR","Sort=A","Dates=H","DateFormat=P","Fill=—","Direction=H","UseDPDF=Y")</f>
        <v>—</v>
      </c>
      <c r="Q34" s="14" t="str">
        <f>_xll.BDH("SRPT US Equity","LOW_PRICE_TO_FREE_CASH_FLOW","FQ1 2023","FQ1 2023","Currency=USD","Period=FQ","BEST_FPERIOD_OVERRIDE=FQ","FILING_STATUS=MR","Sort=A","Dates=H","DateFormat=P","Fill=—","Direction=H","UseDPDF=Y")</f>
        <v>—</v>
      </c>
      <c r="R34" s="14" t="str">
        <f>_xll.BDH("SRPT US Equity","LOW_PRICE_TO_FREE_CASH_FLOW","FQ2 2023","FQ2 2023","Currency=USD","Period=FQ","BEST_FPERIOD_OVERRIDE=FQ","FILING_STATUS=MR","Sort=A","Dates=H","DateFormat=P","Fill=—","Direction=H","UseDPDF=Y")</f>
        <v>—</v>
      </c>
      <c r="S34" s="14" t="str">
        <f>_xll.BDH("SRPT US Equity","LOW_PRICE_TO_FREE_CASH_FLOW","FQ3 2023","FQ3 2023","Currency=USD","Period=FQ","BEST_FPERIOD_OVERRIDE=FQ","FILING_STATUS=MR","Sort=A","Dates=H","DateFormat=P","Fill=—","Direction=H","UseDPDF=Y")</f>
        <v>—</v>
      </c>
      <c r="T34" s="14" t="str">
        <f>_xll.BDH("SRPT US Equity","LOW_PRICE_TO_FREE_CASH_FLOW","FQ4 2023","FQ4 2023","Currency=USD","Period=FQ","BEST_FPERIOD_OVERRIDE=FQ","FILING_STATUS=MR","Sort=A","Dates=H","DateFormat=P","Fill=—","Direction=H","UseDPDF=Y")</f>
        <v>—</v>
      </c>
      <c r="U34" s="14" t="str">
        <f>_xll.BDH("SRPT US Equity","LOW_PRICE_TO_FREE_CASH_FLOW","FQ1 2024","FQ1 2024","Currency=USD","Period=FQ","BEST_FPERIOD_OVERRIDE=FQ","FILING_STATUS=MR","Sort=A","Dates=H","DateFormat=P","Fill=—","Direction=H","UseDPDF=Y")</f>
        <v>—</v>
      </c>
      <c r="V34" s="14" t="str">
        <f>_xll.BDH("SRPT US Equity","LOW_PRICE_TO_FREE_CASH_FLOW","FQ2 2024","FQ2 2024","Currency=USD","Period=FQ","BEST_FPERIOD_OVERRIDE=FQ","FILING_STATUS=MR","Sort=A","Dates=H","DateFormat=P","Fill=—","Direction=H","UseDPDF=Y")</f>
        <v>—</v>
      </c>
      <c r="W34" s="14" t="str">
        <f>_xll.BDH("SRPT US Equity","LOW_PRICE_TO_FREE_CASH_FLOW","FQ3 2024","FQ3 2024","Currency=USD","Period=FQ","BEST_FPERIOD_OVERRIDE=FQ","FILING_STATUS=MR","Sort=A","Dates=H","DateFormat=P","Fill=—","Direction=H","UseDPDF=Y")</f>
        <v>—</v>
      </c>
      <c r="X34" s="14" t="str">
        <f>_xll.BDH("SRPT US Equity","LOW_PRICE_TO_FREE_CASH_FLOW","FQ4 2024","FQ4 2024","Currency=USD","Period=FQ","BEST_FPERIOD_OVERRIDE=FQ","FILING_STATUS=MR","Sort=A","Dates=H","DateFormat=P","Fill=—","Direction=H","UseDPDF=Y")</f>
        <v>—</v>
      </c>
      <c r="Y34" s="17"/>
      <c r="Z34" s="14"/>
      <c r="AA34" s="14"/>
    </row>
    <row r="35" spans="1:27" x14ac:dyDescent="0.25">
      <c r="A35" s="6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21"/>
      <c r="Z35" s="18"/>
      <c r="AA35" s="18"/>
    </row>
    <row r="36" spans="1:27" x14ac:dyDescent="0.25">
      <c r="A36" s="6" t="s">
        <v>178</v>
      </c>
      <c r="B36" s="6" t="s">
        <v>179</v>
      </c>
      <c r="C36" s="20">
        <f>_xll.BDH("SRPT US Equity","EV_TO_T12M_SALES","FQ3 2019","FQ3 2019","Currency=USD","Period=FQ","BEST_FPERIOD_OVERRIDE=FQ","FILING_STATUS=MR","FA_ADJUSTED=GAAP","Sort=A","Dates=H","DateFormat=P","Fill=—","Direction=H","UseDPDF=Y")</f>
        <v>13.8485</v>
      </c>
      <c r="D36" s="20">
        <f>_xll.BDH("SRPT US Equity","EV_TO_T12M_SALES","FQ4 2019","FQ4 2019","Currency=USD","Period=FQ","BEST_FPERIOD_OVERRIDE=FQ","FILING_STATUS=MR","FA_ADJUSTED=GAAP","Sort=A","Dates=H","DateFormat=P","Fill=—","Direction=H","UseDPDF=Y")</f>
        <v>24.458400000000001</v>
      </c>
      <c r="E36" s="20">
        <f>_xll.BDH("SRPT US Equity","EV_TO_T12M_SALES","FQ1 2020","FQ1 2020","Currency=USD","Period=FQ","BEST_FPERIOD_OVERRIDE=FQ","FILING_STATUS=MR","FA_ADJUSTED=GAAP","Sort=A","Dates=H","DateFormat=P","Fill=—","Direction=H","UseDPDF=Y")</f>
        <v>15.210800000000001</v>
      </c>
      <c r="F36" s="20">
        <f>_xll.BDH("SRPT US Equity","EV_TO_T12M_SALES","FQ2 2020","FQ2 2020","Currency=USD","Period=FQ","BEST_FPERIOD_OVERRIDE=FQ","FILING_STATUS=MR","FA_ADJUSTED=GAAP","Sort=A","Dates=H","DateFormat=P","Fill=—","Direction=H","UseDPDF=Y")</f>
        <v>25.037199999999999</v>
      </c>
      <c r="G36" s="20">
        <f>_xll.BDH("SRPT US Equity","EV_TO_T12M_SALES","FQ3 2020","FQ3 2020","Currency=USD","Period=FQ","BEST_FPERIOD_OVERRIDE=FQ","FILING_STATUS=MR","FA_ADJUSTED=GAAP","Sort=A","Dates=H","DateFormat=P","Fill=—","Direction=H","UseDPDF=Y")</f>
        <v>20.214099999999998</v>
      </c>
      <c r="H36" s="20">
        <f>_xll.BDH("SRPT US Equity","EV_TO_T12M_SALES","FQ4 2020","FQ4 2020","Currency=USD","Period=FQ","BEST_FPERIOD_OVERRIDE=FQ","FILING_STATUS=MR","FA_ADJUSTED=GAAP","Sort=A","Dates=H","DateFormat=P","Fill=—","Direction=H","UseDPDF=Y")</f>
        <v>23.474299999999999</v>
      </c>
      <c r="I36" s="20">
        <f>_xll.BDH("SRPT US Equity","EV_TO_T12M_SALES","FQ1 2021","FQ1 2021","Currency=USD","Period=FQ","BEST_FPERIOD_OVERRIDE=FQ","FILING_STATUS=MR","FA_ADJUSTED=GAAP","Sort=A","Dates=H","DateFormat=P","Fill=—","Direction=H","UseDPDF=Y")</f>
        <v>9.3279999999999994</v>
      </c>
      <c r="J36" s="20">
        <f>_xll.BDH("SRPT US Equity","EV_TO_T12M_SALES","FQ2 2021","FQ2 2021","Currency=USD","Period=FQ","BEST_FPERIOD_OVERRIDE=FQ","FILING_STATUS=MR","FA_ADJUSTED=GAAP","Sort=A","Dates=H","DateFormat=P","Fill=—","Direction=H","UseDPDF=Y")</f>
        <v>9.3781999999999996</v>
      </c>
      <c r="K36" s="20">
        <f>_xll.BDH("SRPT US Equity","EV_TO_T12M_SALES","FQ3 2021","FQ3 2021","Currency=USD","Period=FQ","BEST_FPERIOD_OVERRIDE=FQ","FILING_STATUS=MR","FA_ADJUSTED=GAAP","Sort=A","Dates=H","DateFormat=P","Fill=—","Direction=H","UseDPDF=Y")</f>
        <v>10.757199999999999</v>
      </c>
      <c r="L36" s="20">
        <f>_xll.BDH("SRPT US Equity","EV_TO_T12M_SALES","FQ4 2021","FQ4 2021","Currency=USD","Period=FQ","BEST_FPERIOD_OVERRIDE=FQ","FILING_STATUS=MR","FA_ADJUSTED=GAAP","Sort=A","Dates=H","DateFormat=P","Fill=—","Direction=H","UseDPDF=Y")</f>
        <v>9.7927999999999997</v>
      </c>
      <c r="M36" s="20">
        <f>_xll.BDH("SRPT US Equity","EV_TO_T12M_SALES","FQ1 2022","FQ1 2022","Currency=USD","Period=FQ","BEST_FPERIOD_OVERRIDE=FQ","FILING_STATUS=MR","FA_ADJUSTED=GAAP","Sort=A","Dates=H","DateFormat=P","Fill=—","Direction=H","UseDPDF=Y")</f>
        <v>7.7691999999999997</v>
      </c>
      <c r="N36" s="20">
        <f>_xll.BDH("SRPT US Equity","EV_TO_T12M_SALES","FQ2 2022","FQ2 2022","Currency=USD","Period=FQ","BEST_FPERIOD_OVERRIDE=FQ","FILING_STATUS=MR","FA_ADJUSTED=GAAP","Sort=A","Dates=H","DateFormat=P","Fill=—","Direction=H","UseDPDF=Y")</f>
        <v>6.8910999999999998</v>
      </c>
      <c r="O36" s="20">
        <f>_xll.BDH("SRPT US Equity","EV_TO_T12M_SALES","FQ3 2022","FQ3 2022","Currency=USD","Period=FQ","BEST_FPERIOD_OVERRIDE=FQ","FILING_STATUS=MR","FA_ADJUSTED=GAAP","Sort=A","Dates=H","DateFormat=P","Fill=—","Direction=H","UseDPDF=Y")</f>
        <v>10.488200000000001</v>
      </c>
      <c r="P36" s="20">
        <f>_xll.BDH("SRPT US Equity","EV_TO_T12M_SALES","FQ4 2022","FQ4 2022","Currency=USD","Period=FQ","BEST_FPERIOD_OVERRIDE=FQ","FILING_STATUS=MR","FA_ADJUSTED=GAAP","Sort=A","Dates=H","DateFormat=P","Fill=—","Direction=H","UseDPDF=Y")</f>
        <v>11.7957</v>
      </c>
      <c r="Q36" s="20">
        <f>_xll.BDH("SRPT US Equity","EV_TO_T12M_SALES","FQ1 2023","FQ1 2023","Currency=USD","Period=FQ","BEST_FPERIOD_OVERRIDE=FQ","FILING_STATUS=MR","FA_ADJUSTED=GAAP","Sort=A","Dates=H","DateFormat=P","Fill=—","Direction=H","UseDPDF=Y")</f>
        <v>12.529299999999999</v>
      </c>
      <c r="R36" s="20">
        <f>_xll.BDH("SRPT US Equity","EV_TO_T12M_SALES","FQ2 2023","FQ2 2023","Currency=USD","Period=FQ","BEST_FPERIOD_OVERRIDE=FQ","FILING_STATUS=MR","FA_ADJUSTED=GAAP","Sort=A","Dates=H","DateFormat=P","Fill=—","Direction=H","UseDPDF=Y")</f>
        <v>10.1318</v>
      </c>
      <c r="S36" s="20">
        <f>_xll.BDH("SRPT US Equity","EV_TO_T12M_SALES","FQ3 2023","FQ3 2023","Currency=USD","Period=FQ","BEST_FPERIOD_OVERRIDE=FQ","FILING_STATUS=MR","FA_ADJUSTED=GAAP","Sort=A","Dates=H","DateFormat=P","Fill=—","Direction=H","UseDPDF=Y")</f>
        <v>9.9431999999999992</v>
      </c>
      <c r="T36" s="20">
        <f>_xll.BDH("SRPT US Equity","EV_TO_T12M_SALES","FQ4 2023","FQ4 2023","Currency=USD","Period=FQ","BEST_FPERIOD_OVERRIDE=FQ","FILING_STATUS=MR","FA_ADJUSTED=GAAP","Sort=A","Dates=H","DateFormat=P","Fill=—","Direction=H","UseDPDF=Y")</f>
        <v>7.0396000000000001</v>
      </c>
      <c r="U36" s="20">
        <f>_xll.BDH("SRPT US Equity","EV_TO_T12M_SALES","FQ1 2024","FQ1 2024","Currency=USD","Period=FQ","BEST_FPERIOD_OVERRIDE=FQ","FILING_STATUS=MR","FA_ADJUSTED=GAAP","Sort=A","Dates=H","DateFormat=P","Fill=—","Direction=H","UseDPDF=Y")</f>
        <v>8.6979000000000006</v>
      </c>
      <c r="V36" s="20">
        <f>_xll.BDH("SRPT US Equity","EV_TO_T12M_SALES","FQ2 2024","FQ2 2024","Currency=USD","Period=FQ","BEST_FPERIOD_OVERRIDE=FQ","FILING_STATUS=MR","FA_ADJUSTED=GAAP","Sort=A","Dates=H","DateFormat=P","Fill=—","Direction=H","UseDPDF=Y")</f>
        <v>9.9326000000000008</v>
      </c>
      <c r="W36" s="20">
        <f>_xll.BDH("SRPT US Equity","EV_TO_T12M_SALES","FQ3 2024","FQ3 2024","Currency=USD","Period=FQ","BEST_FPERIOD_OVERRIDE=FQ","FILING_STATUS=MR","FA_ADJUSTED=GAAP","Sort=A","Dates=H","DateFormat=P","Fill=—","Direction=H","UseDPDF=Y")</f>
        <v>7.3890000000000002</v>
      </c>
      <c r="X36" s="20">
        <f>_xll.BDH("SRPT US Equity","EV_TO_T12M_SALES","FQ4 2024","FQ4 2024","Currency=USD","Period=FQ","BEST_FPERIOD_OVERRIDE=FQ","FILING_STATUS=MR","FA_ADJUSTED=GAAP","Sort=A","Dates=H","DateFormat=P","Fill=—","Direction=H","UseDPDF=Y")</f>
        <v>6.1866000000000003</v>
      </c>
      <c r="Y36" s="23">
        <v>3.58280140752737</v>
      </c>
      <c r="Z36" s="20">
        <v>2.15506176002514</v>
      </c>
      <c r="AA36" s="20">
        <v>2.0622552206296199</v>
      </c>
    </row>
    <row r="37" spans="1:27" x14ac:dyDescent="0.25">
      <c r="A37" s="10" t="s">
        <v>209</v>
      </c>
      <c r="B37" s="10" t="s">
        <v>240</v>
      </c>
      <c r="C37" s="14">
        <f>_xll.BDH("SRPT US Equity","AVERAGE_EV_TO_T12M_SALES","FQ3 2019","FQ3 2019","Currency=USD","Period=FQ","BEST_FPERIOD_OVERRIDE=FQ","FILING_STATUS=MR","FA_ADJUSTED=GAAP","Sort=A","Dates=H","DateFormat=P","Fill=—","Direction=H","UseDPDF=Y")</f>
        <v>23.651</v>
      </c>
      <c r="D37" s="14">
        <f>_xll.BDH("SRPT US Equity","AVERAGE_EV_TO_T12M_SALES","FQ4 2019","FQ4 2019","Currency=USD","Period=FQ","BEST_FPERIOD_OVERRIDE=FQ","FILING_STATUS=MR","FA_ADJUSTED=GAAP","Sort=A","Dates=H","DateFormat=P","Fill=—","Direction=H","UseDPDF=Y")</f>
        <v>19.056000000000001</v>
      </c>
      <c r="E37" s="14">
        <f>_xll.BDH("SRPT US Equity","AVERAGE_EV_TO_T12M_SALES","FQ1 2020","FQ1 2020","Currency=USD","Period=FQ","BEST_FPERIOD_OVERRIDE=FQ","FILING_STATUS=MR","FA_ADJUSTED=GAAP","Sort=A","Dates=H","DateFormat=P","Fill=—","Direction=H","UseDPDF=Y")</f>
        <v>21.627600000000001</v>
      </c>
      <c r="F37" s="14">
        <f>_xll.BDH("SRPT US Equity","AVERAGE_EV_TO_T12M_SALES","FQ2 2020","FQ2 2020","Currency=USD","Period=FQ","BEST_FPERIOD_OVERRIDE=FQ","FILING_STATUS=MR","FA_ADJUSTED=GAAP","Sort=A","Dates=H","DateFormat=P","Fill=—","Direction=H","UseDPDF=Y")</f>
        <v>22.497699999999998</v>
      </c>
      <c r="G37" s="14">
        <f>_xll.BDH("SRPT US Equity","AVERAGE_EV_TO_T12M_SALES","FQ3 2020","FQ3 2020","Currency=USD","Period=FQ","BEST_FPERIOD_OVERRIDE=FQ","FILING_STATUS=MR","FA_ADJUSTED=GAAP","Sort=A","Dates=H","DateFormat=P","Fill=—","Direction=H","UseDPDF=Y")</f>
        <v>23.511199999999999</v>
      </c>
      <c r="H37" s="14">
        <f>_xll.BDH("SRPT US Equity","AVERAGE_EV_TO_T12M_SALES","FQ4 2020","FQ4 2020","Currency=USD","Period=FQ","BEST_FPERIOD_OVERRIDE=FQ","FILING_STATUS=MR","FA_ADJUSTED=GAAP","Sort=A","Dates=H","DateFormat=P","Fill=—","Direction=H","UseDPDF=Y")</f>
        <v>21.410699999999999</v>
      </c>
      <c r="I37" s="14">
        <f>_xll.BDH("SRPT US Equity","AVERAGE_EV_TO_T12M_SALES","FQ1 2021","FQ1 2021","Currency=USD","Period=FQ","BEST_FPERIOD_OVERRIDE=FQ","FILING_STATUS=MR","FA_ADJUSTED=GAAP","Sort=A","Dates=H","DateFormat=P","Fill=—","Direction=H","UseDPDF=Y")</f>
        <v>11.927199999999999</v>
      </c>
      <c r="J37" s="14">
        <f>_xll.BDH("SRPT US Equity","AVERAGE_EV_TO_T12M_SALES","FQ2 2021","FQ2 2021","Currency=USD","Period=FQ","BEST_FPERIOD_OVERRIDE=FQ","FILING_STATUS=MR","FA_ADJUSTED=GAAP","Sort=A","Dates=H","DateFormat=P","Fill=—","Direction=H","UseDPDF=Y")</f>
        <v>9.4937000000000005</v>
      </c>
      <c r="K37" s="14">
        <f>_xll.BDH("SRPT US Equity","AVERAGE_EV_TO_T12M_SALES","FQ3 2021","FQ3 2021","Currency=USD","Period=FQ","BEST_FPERIOD_OVERRIDE=FQ","FILING_STATUS=MR","FA_ADJUSTED=GAAP","Sort=A","Dates=H","DateFormat=P","Fill=—","Direction=H","UseDPDF=Y")</f>
        <v>9.2728000000000002</v>
      </c>
      <c r="L37" s="14">
        <f>_xll.BDH("SRPT US Equity","AVERAGE_EV_TO_T12M_SALES","FQ4 2021","FQ4 2021","Currency=USD","Period=FQ","BEST_FPERIOD_OVERRIDE=FQ","FILING_STATUS=MR","FA_ADJUSTED=GAAP","Sort=A","Dates=H","DateFormat=P","Fill=—","Direction=H","UseDPDF=Y")</f>
        <v>10.6304</v>
      </c>
      <c r="M37" s="14">
        <f>_xll.BDH("SRPT US Equity","AVERAGE_EV_TO_T12M_SALES","FQ1 2022","FQ1 2022","Currency=USD","Period=FQ","BEST_FPERIOD_OVERRIDE=FQ","FILING_STATUS=MR","FA_ADJUSTED=GAAP","Sort=A","Dates=H","DateFormat=P","Fill=—","Direction=H","UseDPDF=Y")</f>
        <v>8.1087000000000007</v>
      </c>
      <c r="N37" s="14">
        <f>_xll.BDH("SRPT US Equity","AVERAGE_EV_TO_T12M_SALES","FQ2 2022","FQ2 2022","Currency=USD","Period=FQ","BEST_FPERIOD_OVERRIDE=FQ","FILING_STATUS=MR","FA_ADJUSTED=GAAP","Sort=A","Dates=H","DateFormat=P","Fill=—","Direction=H","UseDPDF=Y")</f>
        <v>7.2317999999999998</v>
      </c>
      <c r="O37" s="14">
        <f>_xll.BDH("SRPT US Equity","AVERAGE_EV_TO_T12M_SALES","FQ3 2022","FQ3 2022","Currency=USD","Period=FQ","BEST_FPERIOD_OVERRIDE=FQ","FILING_STATUS=MR","FA_ADJUSTED=GAAP","Sort=A","Dates=H","DateFormat=P","Fill=—","Direction=H","UseDPDF=Y")</f>
        <v>9.5980000000000008</v>
      </c>
      <c r="P37" s="14">
        <f>_xll.BDH("SRPT US Equity","AVERAGE_EV_TO_T12M_SALES","FQ4 2022","FQ4 2022","Currency=USD","Period=FQ","BEST_FPERIOD_OVERRIDE=FQ","FILING_STATUS=MR","FA_ADJUSTED=GAAP","Sort=A","Dates=H","DateFormat=P","Fill=—","Direction=H","UseDPDF=Y")</f>
        <v>11.0061</v>
      </c>
      <c r="Q37" s="14">
        <f>_xll.BDH("SRPT US Equity","AVERAGE_EV_TO_T12M_SALES","FQ1 2023","FQ1 2023","Currency=USD","Period=FQ","BEST_FPERIOD_OVERRIDE=FQ","FILING_STATUS=MR","FA_ADJUSTED=GAAP","Sort=A","Dates=H","DateFormat=P","Fill=—","Direction=H","UseDPDF=Y")</f>
        <v>11.784599999999999</v>
      </c>
      <c r="R37" s="14">
        <f>_xll.BDH("SRPT US Equity","AVERAGE_EV_TO_T12M_SALES","FQ2 2023","FQ2 2023","Currency=USD","Period=FQ","BEST_FPERIOD_OVERRIDE=FQ","FILING_STATUS=MR","FA_ADJUSTED=GAAP","Sort=A","Dates=H","DateFormat=P","Fill=—","Direction=H","UseDPDF=Y")</f>
        <v>11.497199999999999</v>
      </c>
      <c r="S37" s="14">
        <f>_xll.BDH("SRPT US Equity","AVERAGE_EV_TO_T12M_SALES","FQ3 2023","FQ3 2023","Currency=USD","Period=FQ","BEST_FPERIOD_OVERRIDE=FQ","FILING_STATUS=MR","FA_ADJUSTED=GAAP","Sort=A","Dates=H","DateFormat=P","Fill=—","Direction=H","UseDPDF=Y")</f>
        <v>9.9756</v>
      </c>
      <c r="T37" s="14">
        <f>_xll.BDH("SRPT US Equity","AVERAGE_EV_TO_T12M_SALES","FQ4 2023","FQ4 2023","Currency=USD","Period=FQ","BEST_FPERIOD_OVERRIDE=FQ","FILING_STATUS=MR","FA_ADJUSTED=GAAP","Sort=A","Dates=H","DateFormat=P","Fill=—","Direction=H","UseDPDF=Y")</f>
        <v>7.7803000000000004</v>
      </c>
      <c r="U37" s="14">
        <f>_xll.BDH("SRPT US Equity","AVERAGE_EV_TO_T12M_SALES","FQ1 2024","FQ1 2024","Currency=USD","Period=FQ","BEST_FPERIOD_OVERRIDE=FQ","FILING_STATUS=MR","FA_ADJUSTED=GAAP","Sort=A","Dates=H","DateFormat=P","Fill=—","Direction=H","UseDPDF=Y")</f>
        <v>8.9827999999999992</v>
      </c>
      <c r="V37" s="14">
        <f>_xll.BDH("SRPT US Equity","AVERAGE_EV_TO_T12M_SALES","FQ2 2024","FQ2 2024","Currency=USD","Period=FQ","BEST_FPERIOD_OVERRIDE=FQ","FILING_STATUS=MR","FA_ADJUSTED=GAAP","Sort=A","Dates=H","DateFormat=P","Fill=—","Direction=H","UseDPDF=Y")</f>
        <v>8.6047999999999991</v>
      </c>
      <c r="W37" s="14">
        <f>_xll.BDH("SRPT US Equity","AVERAGE_EV_TO_T12M_SALES","FQ3 2024","FQ3 2024","Currency=USD","Period=FQ","BEST_FPERIOD_OVERRIDE=FQ","FILING_STATUS=MR","FA_ADJUSTED=GAAP","Sort=A","Dates=H","DateFormat=P","Fill=—","Direction=H","UseDPDF=Y")</f>
        <v>8.6486000000000001</v>
      </c>
      <c r="X37" s="14">
        <f>_xll.BDH("SRPT US Equity","AVERAGE_EV_TO_T12M_SALES","FQ4 2024","FQ4 2024","Currency=USD","Period=FQ","BEST_FPERIOD_OVERRIDE=FQ","FILING_STATUS=MR","FA_ADJUSTED=GAAP","Sort=A","Dates=H","DateFormat=P","Fill=—","Direction=H","UseDPDF=Y")</f>
        <v>7.2331000000000003</v>
      </c>
      <c r="Y37" s="17"/>
      <c r="Z37" s="14"/>
      <c r="AA37" s="14"/>
    </row>
    <row r="38" spans="1:27" x14ac:dyDescent="0.25">
      <c r="A38" s="10" t="s">
        <v>211</v>
      </c>
      <c r="B38" s="10" t="s">
        <v>241</v>
      </c>
      <c r="C38" s="14">
        <f>_xll.BDH("SRPT US Equity","HIGH_EV_TO_T12M_SALES","FQ3 2019","FQ3 2019","Currency=USD","Period=FQ","BEST_FPERIOD_OVERRIDE=FQ","FILING_STATUS=MR","FA_ADJUSTED=GAAP","Sort=A","Dates=H","DateFormat=P","Fill=—","Direction=H","UseDPDF=Y")</f>
        <v>31.9834</v>
      </c>
      <c r="D38" s="14">
        <f>_xll.BDH("SRPT US Equity","HIGH_EV_TO_T12M_SALES","FQ4 2019","FQ4 2019","Currency=USD","Period=FQ","BEST_FPERIOD_OVERRIDE=FQ","FILING_STATUS=MR","FA_ADJUSTED=GAAP","Sort=A","Dates=H","DateFormat=P","Fill=—","Direction=H","UseDPDF=Y")</f>
        <v>26.1586</v>
      </c>
      <c r="E38" s="14">
        <f>_xll.BDH("SRPT US Equity","HIGH_EV_TO_T12M_SALES","FQ1 2020","FQ1 2020","Currency=USD","Period=FQ","BEST_FPERIOD_OVERRIDE=FQ","FILING_STATUS=MR","FA_ADJUSTED=GAAP","Sort=A","Dates=H","DateFormat=P","Fill=—","Direction=H","UseDPDF=Y")</f>
        <v>24.7499</v>
      </c>
      <c r="F38" s="14">
        <f>_xll.BDH("SRPT US Equity","HIGH_EV_TO_T12M_SALES","FQ2 2020","FQ2 2020","Currency=USD","Period=FQ","BEST_FPERIOD_OVERRIDE=FQ","FILING_STATUS=MR","FA_ADJUSTED=GAAP","Sort=A","Dates=H","DateFormat=P","Fill=—","Direction=H","UseDPDF=Y")</f>
        <v>29.357700000000001</v>
      </c>
      <c r="G38" s="14">
        <f>_xll.BDH("SRPT US Equity","HIGH_EV_TO_T12M_SALES","FQ3 2020","FQ3 2020","Currency=USD","Period=FQ","BEST_FPERIOD_OVERRIDE=FQ","FILING_STATUS=MR","FA_ADJUSTED=GAAP","Sort=A","Dates=H","DateFormat=P","Fill=—","Direction=H","UseDPDF=Y")</f>
        <v>26.957999999999998</v>
      </c>
      <c r="H38" s="14">
        <f>_xll.BDH("SRPT US Equity","HIGH_EV_TO_T12M_SALES","FQ4 2020","FQ4 2020","Currency=USD","Period=FQ","BEST_FPERIOD_OVERRIDE=FQ","FILING_STATUS=MR","FA_ADJUSTED=GAAP","Sort=A","Dates=H","DateFormat=P","Fill=—","Direction=H","UseDPDF=Y")</f>
        <v>26.355499999999999</v>
      </c>
      <c r="I38" s="14">
        <f>_xll.BDH("SRPT US Equity","HIGH_EV_TO_T12M_SALES","FQ1 2021","FQ1 2021","Currency=USD","Period=FQ","BEST_FPERIOD_OVERRIDE=FQ","FILING_STATUS=MR","FA_ADJUSTED=GAAP","Sort=A","Dates=H","DateFormat=P","Fill=—","Direction=H","UseDPDF=Y")</f>
        <v>23.1037</v>
      </c>
      <c r="J38" s="14">
        <f>_xll.BDH("SRPT US Equity","HIGH_EV_TO_T12M_SALES","FQ2 2021","FQ2 2021","Currency=USD","Period=FQ","BEST_FPERIOD_OVERRIDE=FQ","FILING_STATUS=MR","FA_ADJUSTED=GAAP","Sort=A","Dates=H","DateFormat=P","Fill=—","Direction=H","UseDPDF=Y")</f>
        <v>11.031700000000001</v>
      </c>
      <c r="K38" s="14">
        <f>_xll.BDH("SRPT US Equity","HIGH_EV_TO_T12M_SALES","FQ3 2021","FQ3 2021","Currency=USD","Period=FQ","BEST_FPERIOD_OVERRIDE=FQ","FILING_STATUS=MR","FA_ADJUSTED=GAAP","Sort=A","Dates=H","DateFormat=P","Fill=—","Direction=H","UseDPDF=Y")</f>
        <v>11.2788</v>
      </c>
      <c r="L38" s="14">
        <f>_xll.BDH("SRPT US Equity","HIGH_EV_TO_T12M_SALES","FQ4 2021","FQ4 2021","Currency=USD","Period=FQ","BEST_FPERIOD_OVERRIDE=FQ","FILING_STATUS=MR","FA_ADJUSTED=GAAP","Sort=A","Dates=H","DateFormat=P","Fill=—","Direction=H","UseDPDF=Y")</f>
        <v>11.6623</v>
      </c>
      <c r="M38" s="14">
        <f>_xll.BDH("SRPT US Equity","HIGH_EV_TO_T12M_SALES","FQ1 2022","FQ1 2022","Currency=USD","Period=FQ","BEST_FPERIOD_OVERRIDE=FQ","FILING_STATUS=MR","FA_ADJUSTED=GAAP","Sort=A","Dates=H","DateFormat=P","Fill=—","Direction=H","UseDPDF=Y")</f>
        <v>9.8323</v>
      </c>
      <c r="N38" s="14">
        <f>_xll.BDH("SRPT US Equity","HIGH_EV_TO_T12M_SALES","FQ2 2022","FQ2 2022","Currency=USD","Period=FQ","BEST_FPERIOD_OVERRIDE=FQ","FILING_STATUS=MR","FA_ADJUSTED=GAAP","Sort=A","Dates=H","DateFormat=P","Fill=—","Direction=H","UseDPDF=Y")</f>
        <v>8.9084000000000003</v>
      </c>
      <c r="O38" s="14">
        <f>_xll.BDH("SRPT US Equity","HIGH_EV_TO_T12M_SALES","FQ3 2022","FQ3 2022","Currency=USD","Period=FQ","BEST_FPERIOD_OVERRIDE=FQ","FILING_STATUS=MR","FA_ADJUSTED=GAAP","Sort=A","Dates=H","DateFormat=P","Fill=—","Direction=H","UseDPDF=Y")</f>
        <v>11.536799999999999</v>
      </c>
      <c r="P38" s="14">
        <f>_xll.BDH("SRPT US Equity","HIGH_EV_TO_T12M_SALES","FQ4 2022","FQ4 2022","Currency=USD","Period=FQ","BEST_FPERIOD_OVERRIDE=FQ","FILING_STATUS=MR","FA_ADJUSTED=GAAP","Sort=A","Dates=H","DateFormat=P","Fill=—","Direction=H","UseDPDF=Y")</f>
        <v>12.653700000000001</v>
      </c>
      <c r="Q38" s="14">
        <f>_xll.BDH("SRPT US Equity","HIGH_EV_TO_T12M_SALES","FQ1 2023","FQ1 2023","Currency=USD","Period=FQ","BEST_FPERIOD_OVERRIDE=FQ","FILING_STATUS=MR","FA_ADJUSTED=GAAP","Sort=A","Dates=H","DateFormat=P","Fill=—","Direction=H","UseDPDF=Y")</f>
        <v>14.2905</v>
      </c>
      <c r="R38" s="14">
        <f>_xll.BDH("SRPT US Equity","HIGH_EV_TO_T12M_SALES","FQ2 2023","FQ2 2023","Currency=USD","Period=FQ","BEST_FPERIOD_OVERRIDE=FQ","FILING_STATUS=MR","FA_ADJUSTED=GAAP","Sort=A","Dates=H","DateFormat=P","Fill=—","Direction=H","UseDPDF=Y")</f>
        <v>14.3788</v>
      </c>
      <c r="S38" s="14">
        <f>_xll.BDH("SRPT US Equity","HIGH_EV_TO_T12M_SALES","FQ3 2023","FQ3 2023","Currency=USD","Period=FQ","BEST_FPERIOD_OVERRIDE=FQ","FILING_STATUS=MR","FA_ADJUSTED=GAAP","Sort=A","Dates=H","DateFormat=P","Fill=—","Direction=H","UseDPDF=Y")</f>
        <v>10.9756</v>
      </c>
      <c r="T38" s="14">
        <f>_xll.BDH("SRPT US Equity","HIGH_EV_TO_T12M_SALES","FQ4 2023","FQ4 2023","Currency=USD","Period=FQ","BEST_FPERIOD_OVERRIDE=FQ","FILING_STATUS=MR","FA_ADJUSTED=GAAP","Sort=A","Dates=H","DateFormat=P","Fill=—","Direction=H","UseDPDF=Y")</f>
        <v>10.2136</v>
      </c>
      <c r="U38" s="14">
        <f>_xll.BDH("SRPT US Equity","HIGH_EV_TO_T12M_SALES","FQ1 2024","FQ1 2024","Currency=USD","Period=FQ","BEST_FPERIOD_OVERRIDE=FQ","FILING_STATUS=MR","FA_ADJUSTED=GAAP","Sort=A","Dates=H","DateFormat=P","Fill=—","Direction=H","UseDPDF=Y")</f>
        <v>10.4185</v>
      </c>
      <c r="V38" s="14">
        <f>_xll.BDH("SRPT US Equity","HIGH_EV_TO_T12M_SALES","FQ2 2024","FQ2 2024","Currency=USD","Period=FQ","BEST_FPERIOD_OVERRIDE=FQ","FILING_STATUS=MR","FA_ADJUSTED=GAAP","Sort=A","Dates=H","DateFormat=P","Fill=—","Direction=H","UseDPDF=Y")</f>
        <v>11.0174</v>
      </c>
      <c r="W38" s="14">
        <f>_xll.BDH("SRPT US Equity","HIGH_EV_TO_T12M_SALES","FQ3 2024","FQ3 2024","Currency=USD","Period=FQ","BEST_FPERIOD_OVERRIDE=FQ","FILING_STATUS=MR","FA_ADJUSTED=GAAP","Sort=A","Dates=H","DateFormat=P","Fill=—","Direction=H","UseDPDF=Y")</f>
        <v>9.7744</v>
      </c>
      <c r="X38" s="14">
        <f>_xll.BDH("SRPT US Equity","HIGH_EV_TO_T12M_SALES","FQ4 2024","FQ4 2024","Currency=USD","Period=FQ","BEST_FPERIOD_OVERRIDE=FQ","FILING_STATUS=MR","FA_ADJUSTED=GAAP","Sort=A","Dates=H","DateFormat=P","Fill=—","Direction=H","UseDPDF=Y")</f>
        <v>8.1509999999999998</v>
      </c>
      <c r="Y38" s="17"/>
      <c r="Z38" s="14"/>
      <c r="AA38" s="14"/>
    </row>
    <row r="39" spans="1:27" x14ac:dyDescent="0.25">
      <c r="A39" s="10" t="s">
        <v>213</v>
      </c>
      <c r="B39" s="10" t="s">
        <v>242</v>
      </c>
      <c r="C39" s="14">
        <f>_xll.BDH("SRPT US Equity","LOW_EV_TO_T12M_SALES","FQ3 2019","FQ3 2019","Currency=USD","Period=FQ","BEST_FPERIOD_OVERRIDE=FQ","FILING_STATUS=MR","FA_ADJUSTED=GAAP","Sort=A","Dates=H","DateFormat=P","Fill=—","Direction=H","UseDPDF=Y")</f>
        <v>13.8146</v>
      </c>
      <c r="D39" s="14">
        <f>_xll.BDH("SRPT US Equity","LOW_EV_TO_T12M_SALES","FQ4 2019","FQ4 2019","Currency=USD","Period=FQ","BEST_FPERIOD_OVERRIDE=FQ","FILING_STATUS=MR","FA_ADJUSTED=GAAP","Sort=A","Dates=H","DateFormat=P","Fill=—","Direction=H","UseDPDF=Y")</f>
        <v>14.0609</v>
      </c>
      <c r="E39" s="14">
        <f>_xll.BDH("SRPT US Equity","LOW_EV_TO_T12M_SALES","FQ1 2020","FQ1 2020","Currency=USD","Period=FQ","BEST_FPERIOD_OVERRIDE=FQ","FILING_STATUS=MR","FA_ADJUSTED=GAAP","Sort=A","Dates=H","DateFormat=P","Fill=—","Direction=H","UseDPDF=Y")</f>
        <v>15.167299999999999</v>
      </c>
      <c r="F39" s="14">
        <f>_xll.BDH("SRPT US Equity","LOW_EV_TO_T12M_SALES","FQ2 2020","FQ2 2020","Currency=USD","Period=FQ","BEST_FPERIOD_OVERRIDE=FQ","FILING_STATUS=MR","FA_ADJUSTED=GAAP","Sort=A","Dates=H","DateFormat=P","Fill=—","Direction=H","UseDPDF=Y")</f>
        <v>14.247400000000001</v>
      </c>
      <c r="G39" s="14">
        <f>_xll.BDH("SRPT US Equity","LOW_EV_TO_T12M_SALES","FQ3 2020","FQ3 2020","Currency=USD","Period=FQ","BEST_FPERIOD_OVERRIDE=FQ","FILING_STATUS=MR","FA_ADJUSTED=GAAP","Sort=A","Dates=H","DateFormat=P","Fill=—","Direction=H","UseDPDF=Y")</f>
        <v>19.270199999999999</v>
      </c>
      <c r="H39" s="14">
        <f>_xll.BDH("SRPT US Equity","LOW_EV_TO_T12M_SALES","FQ4 2020","FQ4 2020","Currency=USD","Period=FQ","BEST_FPERIOD_OVERRIDE=FQ","FILING_STATUS=MR","FA_ADJUSTED=GAAP","Sort=A","Dates=H","DateFormat=P","Fill=—","Direction=H","UseDPDF=Y")</f>
        <v>17.878799999999998</v>
      </c>
      <c r="I39" s="14">
        <f>_xll.BDH("SRPT US Equity","LOW_EV_TO_T12M_SALES","FQ1 2021","FQ1 2021","Currency=USD","Period=FQ","BEST_FPERIOD_OVERRIDE=FQ","FILING_STATUS=MR","FA_ADJUSTED=GAAP","Sort=A","Dates=H","DateFormat=P","Fill=—","Direction=H","UseDPDF=Y")</f>
        <v>9.0428999999999995</v>
      </c>
      <c r="J39" s="14">
        <f>_xll.BDH("SRPT US Equity","LOW_EV_TO_T12M_SALES","FQ2 2021","FQ2 2021","Currency=USD","Period=FQ","BEST_FPERIOD_OVERRIDE=FQ","FILING_STATUS=MR","FA_ADJUSTED=GAAP","Sort=A","Dates=H","DateFormat=P","Fill=—","Direction=H","UseDPDF=Y")</f>
        <v>8.5721000000000007</v>
      </c>
      <c r="K39" s="14">
        <f>_xll.BDH("SRPT US Equity","LOW_EV_TO_T12M_SALES","FQ3 2021","FQ3 2021","Currency=USD","Period=FQ","BEST_FPERIOD_OVERRIDE=FQ","FILING_STATUS=MR","FA_ADJUSTED=GAAP","Sort=A","Dates=H","DateFormat=P","Fill=—","Direction=H","UseDPDF=Y")</f>
        <v>7.8063000000000002</v>
      </c>
      <c r="L39" s="14">
        <f>_xll.BDH("SRPT US Equity","LOW_EV_TO_T12M_SALES","FQ4 2021","FQ4 2021","Currency=USD","Period=FQ","BEST_FPERIOD_OVERRIDE=FQ","FILING_STATUS=MR","FA_ADJUSTED=GAAP","Sort=A","Dates=H","DateFormat=P","Fill=—","Direction=H","UseDPDF=Y")</f>
        <v>9.5955999999999992</v>
      </c>
      <c r="M39" s="14">
        <f>_xll.BDH("SRPT US Equity","LOW_EV_TO_T12M_SALES","FQ1 2022","FQ1 2022","Currency=USD","Period=FQ","BEST_FPERIOD_OVERRIDE=FQ","FILING_STATUS=MR","FA_ADJUSTED=GAAP","Sort=A","Dates=H","DateFormat=P","Fill=—","Direction=H","UseDPDF=Y")</f>
        <v>6.4490999999999996</v>
      </c>
      <c r="N39" s="14">
        <f>_xll.BDH("SRPT US Equity","LOW_EV_TO_T12M_SALES","FQ2 2022","FQ2 2022","Currency=USD","Period=FQ","BEST_FPERIOD_OVERRIDE=FQ","FILING_STATUS=MR","FA_ADJUSTED=GAAP","Sort=A","Dates=H","DateFormat=P","Fill=—","Direction=H","UseDPDF=Y")</f>
        <v>6.0067000000000004</v>
      </c>
      <c r="O39" s="14">
        <f>_xll.BDH("SRPT US Equity","LOW_EV_TO_T12M_SALES","FQ3 2022","FQ3 2022","Currency=USD","Period=FQ","BEST_FPERIOD_OVERRIDE=FQ","FILING_STATUS=MR","FA_ADJUSTED=GAAP","Sort=A","Dates=H","DateFormat=P","Fill=—","Direction=H","UseDPDF=Y")</f>
        <v>6.9665999999999997</v>
      </c>
      <c r="P39" s="14">
        <f>_xll.BDH("SRPT US Equity","LOW_EV_TO_T12M_SALES","FQ4 2022","FQ4 2022","Currency=USD","Period=FQ","BEST_FPERIOD_OVERRIDE=FQ","FILING_STATUS=MR","FA_ADJUSTED=GAAP","Sort=A","Dates=H","DateFormat=P","Fill=—","Direction=H","UseDPDF=Y")</f>
        <v>9.4732000000000003</v>
      </c>
      <c r="Q39" s="14">
        <f>_xll.BDH("SRPT US Equity","LOW_EV_TO_T12M_SALES","FQ1 2023","FQ1 2023","Currency=USD","Period=FQ","BEST_FPERIOD_OVERRIDE=FQ","FILING_STATUS=MR","FA_ADJUSTED=GAAP","Sort=A","Dates=H","DateFormat=P","Fill=—","Direction=H","UseDPDF=Y")</f>
        <v>10.6387</v>
      </c>
      <c r="R39" s="14">
        <f>_xll.BDH("SRPT US Equity","LOW_EV_TO_T12M_SALES","FQ2 2023","FQ2 2023","Currency=USD","Period=FQ","BEST_FPERIOD_OVERRIDE=FQ","FILING_STATUS=MR","FA_ADJUSTED=GAAP","Sort=A","Dates=H","DateFormat=P","Fill=—","Direction=H","UseDPDF=Y")</f>
        <v>9.5297999999999998</v>
      </c>
      <c r="S39" s="14">
        <f>_xll.BDH("SRPT US Equity","LOW_EV_TO_T12M_SALES","FQ3 2023","FQ3 2023","Currency=USD","Period=FQ","BEST_FPERIOD_OVERRIDE=FQ","FILING_STATUS=MR","FA_ADJUSTED=GAAP","Sort=A","Dates=H","DateFormat=P","Fill=—","Direction=H","UseDPDF=Y")</f>
        <v>9.0151000000000003</v>
      </c>
      <c r="T39" s="14">
        <f>_xll.BDH("SRPT US Equity","LOW_EV_TO_T12M_SALES","FQ4 2023","FQ4 2023","Currency=USD","Period=FQ","BEST_FPERIOD_OVERRIDE=FQ","FILING_STATUS=MR","FA_ADJUSTED=GAAP","Sort=A","Dates=H","DateFormat=P","Fill=—","Direction=H","UseDPDF=Y")</f>
        <v>5.3639000000000001</v>
      </c>
      <c r="U39" s="14">
        <f>_xll.BDH("SRPT US Equity","LOW_EV_TO_T12M_SALES","FQ1 2024","FQ1 2024","Currency=USD","Period=FQ","BEST_FPERIOD_OVERRIDE=FQ","FILING_STATUS=MR","FA_ADJUSTED=GAAP","Sort=A","Dates=H","DateFormat=P","Fill=—","Direction=H","UseDPDF=Y")</f>
        <v>6.8197999999999999</v>
      </c>
      <c r="V39" s="14">
        <f>_xll.BDH("SRPT US Equity","LOW_EV_TO_T12M_SALES","FQ2 2024","FQ2 2024","Currency=USD","Period=FQ","BEST_FPERIOD_OVERRIDE=FQ","FILING_STATUS=MR","FA_ADJUSTED=GAAP","Sort=A","Dates=H","DateFormat=P","Fill=—","Direction=H","UseDPDF=Y")</f>
        <v>7.6144999999999996</v>
      </c>
      <c r="W39" s="14">
        <f>_xll.BDH("SRPT US Equity","LOW_EV_TO_T12M_SALES","FQ3 2024","FQ3 2024","Currency=USD","Period=FQ","BEST_FPERIOD_OVERRIDE=FQ","FILING_STATUS=MR","FA_ADJUSTED=GAAP","Sort=A","Dates=H","DateFormat=P","Fill=—","Direction=H","UseDPDF=Y")</f>
        <v>7.3794000000000004</v>
      </c>
      <c r="X39" s="14">
        <f>_xll.BDH("SRPT US Equity","LOW_EV_TO_T12M_SALES","FQ4 2024","FQ4 2024","Currency=USD","Period=FQ","BEST_FPERIOD_OVERRIDE=FQ","FILING_STATUS=MR","FA_ADJUSTED=GAAP","Sort=A","Dates=H","DateFormat=P","Fill=—","Direction=H","UseDPDF=Y")</f>
        <v>6.0983000000000001</v>
      </c>
      <c r="Y39" s="17"/>
      <c r="Z39" s="14"/>
      <c r="AA39" s="14"/>
    </row>
    <row r="40" spans="1:27" x14ac:dyDescent="0.25">
      <c r="A40" s="6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21"/>
      <c r="Z40" s="18"/>
      <c r="AA40" s="18"/>
    </row>
    <row r="41" spans="1:27" x14ac:dyDescent="0.25">
      <c r="A41" s="6" t="s">
        <v>180</v>
      </c>
      <c r="B41" s="6" t="s">
        <v>181</v>
      </c>
      <c r="C41" s="20" t="str">
        <f>_xll.BDH("SRPT US Equity","EV_TO_T12M_EBITDA","FQ3 2019","FQ3 2019","Currency=USD","Period=FQ","BEST_FPERIOD_OVERRIDE=FQ","FILING_STATUS=MR","FA_ADJUSTED=GAAP","Sort=A","Dates=H","DateFormat=P","Fill=—","Direction=H","UseDPDF=Y")</f>
        <v>—</v>
      </c>
      <c r="D41" s="20" t="str">
        <f>_xll.BDH("SRPT US Equity","EV_TO_T12M_EBITDA","FQ4 2019","FQ4 2019","Currency=USD","Period=FQ","BEST_FPERIOD_OVERRIDE=FQ","FILING_STATUS=MR","FA_ADJUSTED=GAAP","Sort=A","Dates=H","DateFormat=P","Fill=—","Direction=H","UseDPDF=Y")</f>
        <v>—</v>
      </c>
      <c r="E41" s="20" t="str">
        <f>_xll.BDH("SRPT US Equity","EV_TO_T12M_EBITDA","FQ1 2020","FQ1 2020","Currency=USD","Period=FQ","BEST_FPERIOD_OVERRIDE=FQ","FILING_STATUS=MR","FA_ADJUSTED=GAAP","Sort=A","Dates=H","DateFormat=P","Fill=—","Direction=H","UseDPDF=Y")</f>
        <v>—</v>
      </c>
      <c r="F41" s="20" t="str">
        <f>_xll.BDH("SRPT US Equity","EV_TO_T12M_EBITDA","FQ2 2020","FQ2 2020","Currency=USD","Period=FQ","BEST_FPERIOD_OVERRIDE=FQ","FILING_STATUS=MR","FA_ADJUSTED=GAAP","Sort=A","Dates=H","DateFormat=P","Fill=—","Direction=H","UseDPDF=Y")</f>
        <v>—</v>
      </c>
      <c r="G41" s="20" t="str">
        <f>_xll.BDH("SRPT US Equity","EV_TO_T12M_EBITDA","FQ3 2020","FQ3 2020","Currency=USD","Period=FQ","BEST_FPERIOD_OVERRIDE=FQ","FILING_STATUS=MR","FA_ADJUSTED=GAAP","Sort=A","Dates=H","DateFormat=P","Fill=—","Direction=H","UseDPDF=Y")</f>
        <v>—</v>
      </c>
      <c r="H41" s="20" t="str">
        <f>_xll.BDH("SRPT US Equity","EV_TO_T12M_EBITDA","FQ4 2020","FQ4 2020","Currency=USD","Period=FQ","BEST_FPERIOD_OVERRIDE=FQ","FILING_STATUS=MR","FA_ADJUSTED=GAAP","Sort=A","Dates=H","DateFormat=P","Fill=—","Direction=H","UseDPDF=Y")</f>
        <v>—</v>
      </c>
      <c r="I41" s="20" t="str">
        <f>_xll.BDH("SRPT US Equity","EV_TO_T12M_EBITDA","FQ1 2021","FQ1 2021","Currency=USD","Period=FQ","BEST_FPERIOD_OVERRIDE=FQ","FILING_STATUS=MR","FA_ADJUSTED=GAAP","Sort=A","Dates=H","DateFormat=P","Fill=—","Direction=H","UseDPDF=Y")</f>
        <v>—</v>
      </c>
      <c r="J41" s="20" t="str">
        <f>_xll.BDH("SRPT US Equity","EV_TO_T12M_EBITDA","FQ2 2021","FQ2 2021","Currency=USD","Period=FQ","BEST_FPERIOD_OVERRIDE=FQ","FILING_STATUS=MR","FA_ADJUSTED=GAAP","Sort=A","Dates=H","DateFormat=P","Fill=—","Direction=H","UseDPDF=Y")</f>
        <v>—</v>
      </c>
      <c r="K41" s="20" t="str">
        <f>_xll.BDH("SRPT US Equity","EV_TO_T12M_EBITDA","FQ3 2021","FQ3 2021","Currency=USD","Period=FQ","BEST_FPERIOD_OVERRIDE=FQ","FILING_STATUS=MR","FA_ADJUSTED=GAAP","Sort=A","Dates=H","DateFormat=P","Fill=—","Direction=H","UseDPDF=Y")</f>
        <v>—</v>
      </c>
      <c r="L41" s="20" t="str">
        <f>_xll.BDH("SRPT US Equity","EV_TO_T12M_EBITDA","FQ4 2021","FQ4 2021","Currency=USD","Period=FQ","BEST_FPERIOD_OVERRIDE=FQ","FILING_STATUS=MR","FA_ADJUSTED=GAAP","Sort=A","Dates=H","DateFormat=P","Fill=—","Direction=H","UseDPDF=Y")</f>
        <v>—</v>
      </c>
      <c r="M41" s="20" t="str">
        <f>_xll.BDH("SRPT US Equity","EV_TO_T12M_EBITDA","FQ1 2022","FQ1 2022","Currency=USD","Period=FQ","BEST_FPERIOD_OVERRIDE=FQ","FILING_STATUS=MR","FA_ADJUSTED=GAAP","Sort=A","Dates=H","DateFormat=P","Fill=—","Direction=H","UseDPDF=Y")</f>
        <v>—</v>
      </c>
      <c r="N41" s="20" t="str">
        <f>_xll.BDH("SRPT US Equity","EV_TO_T12M_EBITDA","FQ2 2022","FQ2 2022","Currency=USD","Period=FQ","BEST_FPERIOD_OVERRIDE=FQ","FILING_STATUS=MR","FA_ADJUSTED=GAAP","Sort=A","Dates=H","DateFormat=P","Fill=—","Direction=H","UseDPDF=Y")</f>
        <v>—</v>
      </c>
      <c r="O41" s="20" t="str">
        <f>_xll.BDH("SRPT US Equity","EV_TO_T12M_EBITDA","FQ3 2022","FQ3 2022","Currency=USD","Period=FQ","BEST_FPERIOD_OVERRIDE=FQ","FILING_STATUS=MR","FA_ADJUSTED=GAAP","Sort=A","Dates=H","DateFormat=P","Fill=—","Direction=H","UseDPDF=Y")</f>
        <v>—</v>
      </c>
      <c r="P41" s="20" t="str">
        <f>_xll.BDH("SRPT US Equity","EV_TO_T12M_EBITDA","FQ4 2022","FQ4 2022","Currency=USD","Period=FQ","BEST_FPERIOD_OVERRIDE=FQ","FILING_STATUS=MR","FA_ADJUSTED=GAAP","Sort=A","Dates=H","DateFormat=P","Fill=—","Direction=H","UseDPDF=Y")</f>
        <v>—</v>
      </c>
      <c r="Q41" s="20" t="str">
        <f>_xll.BDH("SRPT US Equity","EV_TO_T12M_EBITDA","FQ1 2023","FQ1 2023","Currency=USD","Period=FQ","BEST_FPERIOD_OVERRIDE=FQ","FILING_STATUS=MR","FA_ADJUSTED=GAAP","Sort=A","Dates=H","DateFormat=P","Fill=—","Direction=H","UseDPDF=Y")</f>
        <v>—</v>
      </c>
      <c r="R41" s="20" t="str">
        <f>_xll.BDH("SRPT US Equity","EV_TO_T12M_EBITDA","FQ2 2023","FQ2 2023","Currency=USD","Period=FQ","BEST_FPERIOD_OVERRIDE=FQ","FILING_STATUS=MR","FA_ADJUSTED=GAAP","Sort=A","Dates=H","DateFormat=P","Fill=—","Direction=H","UseDPDF=Y")</f>
        <v>—</v>
      </c>
      <c r="S41" s="20" t="str">
        <f>_xll.BDH("SRPT US Equity","EV_TO_T12M_EBITDA","FQ3 2023","FQ3 2023","Currency=USD","Period=FQ","BEST_FPERIOD_OVERRIDE=FQ","FILING_STATUS=MR","FA_ADJUSTED=GAAP","Sort=A","Dates=H","DateFormat=P","Fill=—","Direction=H","UseDPDF=Y")</f>
        <v>—</v>
      </c>
      <c r="T41" s="20" t="str">
        <f>_xll.BDH("SRPT US Equity","EV_TO_T12M_EBITDA","FQ4 2023","FQ4 2023","Currency=USD","Period=FQ","BEST_FPERIOD_OVERRIDE=FQ","FILING_STATUS=MR","FA_ADJUSTED=GAAP","Sort=A","Dates=H","DateFormat=P","Fill=—","Direction=H","UseDPDF=Y")</f>
        <v>—</v>
      </c>
      <c r="U41" s="20" t="str">
        <f>_xll.BDH("SRPT US Equity","EV_TO_T12M_EBITDA","FQ1 2024","FQ1 2024","Currency=USD","Period=FQ","BEST_FPERIOD_OVERRIDE=FQ","FILING_STATUS=MR","FA_ADJUSTED=GAAP","Sort=A","Dates=H","DateFormat=P","Fill=—","Direction=H","UseDPDF=Y")</f>
        <v>—</v>
      </c>
      <c r="V41" s="20">
        <f>_xll.BDH("SRPT US Equity","EV_TO_T12M_EBITDA","FQ2 2024","FQ2 2024","Currency=USD","Period=FQ","BEST_FPERIOD_OVERRIDE=FQ","FILING_STATUS=MR","FA_ADJUSTED=GAAP","Sort=A","Dates=H","DateFormat=P","Fill=—","Direction=H","UseDPDF=Y")</f>
        <v>192.2638</v>
      </c>
      <c r="W41" s="20">
        <f>_xll.BDH("SRPT US Equity","EV_TO_T12M_EBITDA","FQ3 2024","FQ3 2024","Currency=USD","Period=FQ","BEST_FPERIOD_OVERRIDE=FQ","FILING_STATUS=MR","FA_ADJUSTED=GAAP","Sort=A","Dates=H","DateFormat=P","Fill=—","Direction=H","UseDPDF=Y")</f>
        <v>101.2867</v>
      </c>
      <c r="X41" s="20">
        <f>_xll.BDH("SRPT US Equity","EV_TO_T12M_EBITDA","FQ4 2024","FQ4 2024","Currency=USD","Period=FQ","BEST_FPERIOD_OVERRIDE=FQ","FILING_STATUS=MR","FA_ADJUSTED=GAAP","Sort=A","Dates=H","DateFormat=P","Fill=—","Direction=H","UseDPDF=Y")</f>
        <v>45.998699999999999</v>
      </c>
      <c r="Y41" s="23">
        <v>23.431317934453698</v>
      </c>
      <c r="Z41" s="20">
        <v>7.2286884707941397</v>
      </c>
      <c r="AA41" s="20"/>
    </row>
    <row r="42" spans="1:27" x14ac:dyDescent="0.25">
      <c r="A42" s="10" t="s">
        <v>209</v>
      </c>
      <c r="B42" s="10" t="s">
        <v>243</v>
      </c>
      <c r="C42" s="14" t="str">
        <f>_xll.BDH("SRPT US Equity","AVG_EV_TO_T12M_EBITDA","FQ3 2019","FQ3 2019","Currency=USD","Period=FQ","BEST_FPERIOD_OVERRIDE=FQ","FILING_STATUS=MR","FA_ADJUSTED=GAAP","Sort=A","Dates=H","DateFormat=P","Fill=—","Direction=H","UseDPDF=Y")</f>
        <v>—</v>
      </c>
      <c r="D42" s="14" t="str">
        <f>_xll.BDH("SRPT US Equity","AVG_EV_TO_T12M_EBITDA","FQ4 2019","FQ4 2019","Currency=USD","Period=FQ","BEST_FPERIOD_OVERRIDE=FQ","FILING_STATUS=MR","FA_ADJUSTED=GAAP","Sort=A","Dates=H","DateFormat=P","Fill=—","Direction=H","UseDPDF=Y")</f>
        <v>—</v>
      </c>
      <c r="E42" s="14" t="str">
        <f>_xll.BDH("SRPT US Equity","AVG_EV_TO_T12M_EBITDA","FQ1 2020","FQ1 2020","Currency=USD","Period=FQ","BEST_FPERIOD_OVERRIDE=FQ","FILING_STATUS=MR","FA_ADJUSTED=GAAP","Sort=A","Dates=H","DateFormat=P","Fill=—","Direction=H","UseDPDF=Y")</f>
        <v>—</v>
      </c>
      <c r="F42" s="14" t="str">
        <f>_xll.BDH("SRPT US Equity","AVG_EV_TO_T12M_EBITDA","FQ2 2020","FQ2 2020","Currency=USD","Period=FQ","BEST_FPERIOD_OVERRIDE=FQ","FILING_STATUS=MR","FA_ADJUSTED=GAAP","Sort=A","Dates=H","DateFormat=P","Fill=—","Direction=H","UseDPDF=Y")</f>
        <v>—</v>
      </c>
      <c r="G42" s="14" t="str">
        <f>_xll.BDH("SRPT US Equity","AVG_EV_TO_T12M_EBITDA","FQ3 2020","FQ3 2020","Currency=USD","Period=FQ","BEST_FPERIOD_OVERRIDE=FQ","FILING_STATUS=MR","FA_ADJUSTED=GAAP","Sort=A","Dates=H","DateFormat=P","Fill=—","Direction=H","UseDPDF=Y")</f>
        <v>—</v>
      </c>
      <c r="H42" s="14" t="str">
        <f>_xll.BDH("SRPT US Equity","AVG_EV_TO_T12M_EBITDA","FQ4 2020","FQ4 2020","Currency=USD","Period=FQ","BEST_FPERIOD_OVERRIDE=FQ","FILING_STATUS=MR","FA_ADJUSTED=GAAP","Sort=A","Dates=H","DateFormat=P","Fill=—","Direction=H","UseDPDF=Y")</f>
        <v>—</v>
      </c>
      <c r="I42" s="14" t="str">
        <f>_xll.BDH("SRPT US Equity","AVG_EV_TO_T12M_EBITDA","FQ1 2021","FQ1 2021","Currency=USD","Period=FQ","BEST_FPERIOD_OVERRIDE=FQ","FILING_STATUS=MR","FA_ADJUSTED=GAAP","Sort=A","Dates=H","DateFormat=P","Fill=—","Direction=H","UseDPDF=Y")</f>
        <v>—</v>
      </c>
      <c r="J42" s="14" t="str">
        <f>_xll.BDH("SRPT US Equity","AVG_EV_TO_T12M_EBITDA","FQ2 2021","FQ2 2021","Currency=USD","Period=FQ","BEST_FPERIOD_OVERRIDE=FQ","FILING_STATUS=MR","FA_ADJUSTED=GAAP","Sort=A","Dates=H","DateFormat=P","Fill=—","Direction=H","UseDPDF=Y")</f>
        <v>—</v>
      </c>
      <c r="K42" s="14" t="str">
        <f>_xll.BDH("SRPT US Equity","AVG_EV_TO_T12M_EBITDA","FQ3 2021","FQ3 2021","Currency=USD","Period=FQ","BEST_FPERIOD_OVERRIDE=FQ","FILING_STATUS=MR","FA_ADJUSTED=GAAP","Sort=A","Dates=H","DateFormat=P","Fill=—","Direction=H","UseDPDF=Y")</f>
        <v>—</v>
      </c>
      <c r="L42" s="14" t="str">
        <f>_xll.BDH("SRPT US Equity","AVG_EV_TO_T12M_EBITDA","FQ4 2021","FQ4 2021","Currency=USD","Period=FQ","BEST_FPERIOD_OVERRIDE=FQ","FILING_STATUS=MR","FA_ADJUSTED=GAAP","Sort=A","Dates=H","DateFormat=P","Fill=—","Direction=H","UseDPDF=Y")</f>
        <v>—</v>
      </c>
      <c r="M42" s="14" t="str">
        <f>_xll.BDH("SRPT US Equity","AVG_EV_TO_T12M_EBITDA","FQ1 2022","FQ1 2022","Currency=USD","Period=FQ","BEST_FPERIOD_OVERRIDE=FQ","FILING_STATUS=MR","FA_ADJUSTED=GAAP","Sort=A","Dates=H","DateFormat=P","Fill=—","Direction=H","UseDPDF=Y")</f>
        <v>—</v>
      </c>
      <c r="N42" s="14" t="str">
        <f>_xll.BDH("SRPT US Equity","AVG_EV_TO_T12M_EBITDA","FQ2 2022","FQ2 2022","Currency=USD","Period=FQ","BEST_FPERIOD_OVERRIDE=FQ","FILING_STATUS=MR","FA_ADJUSTED=GAAP","Sort=A","Dates=H","DateFormat=P","Fill=—","Direction=H","UseDPDF=Y")</f>
        <v>—</v>
      </c>
      <c r="O42" s="14" t="str">
        <f>_xll.BDH("SRPT US Equity","AVG_EV_TO_T12M_EBITDA","FQ3 2022","FQ3 2022","Currency=USD","Period=FQ","BEST_FPERIOD_OVERRIDE=FQ","FILING_STATUS=MR","FA_ADJUSTED=GAAP","Sort=A","Dates=H","DateFormat=P","Fill=—","Direction=H","UseDPDF=Y")</f>
        <v>—</v>
      </c>
      <c r="P42" s="14" t="str">
        <f>_xll.BDH("SRPT US Equity","AVG_EV_TO_T12M_EBITDA","FQ4 2022","FQ4 2022","Currency=USD","Period=FQ","BEST_FPERIOD_OVERRIDE=FQ","FILING_STATUS=MR","FA_ADJUSTED=GAAP","Sort=A","Dates=H","DateFormat=P","Fill=—","Direction=H","UseDPDF=Y")</f>
        <v>—</v>
      </c>
      <c r="Q42" s="14" t="str">
        <f>_xll.BDH("SRPT US Equity","AVG_EV_TO_T12M_EBITDA","FQ1 2023","FQ1 2023","Currency=USD","Period=FQ","BEST_FPERIOD_OVERRIDE=FQ","FILING_STATUS=MR","FA_ADJUSTED=GAAP","Sort=A","Dates=H","DateFormat=P","Fill=—","Direction=H","UseDPDF=Y")</f>
        <v>—</v>
      </c>
      <c r="R42" s="14" t="str">
        <f>_xll.BDH("SRPT US Equity","AVG_EV_TO_T12M_EBITDA","FQ2 2023","FQ2 2023","Currency=USD","Period=FQ","BEST_FPERIOD_OVERRIDE=FQ","FILING_STATUS=MR","FA_ADJUSTED=GAAP","Sort=A","Dates=H","DateFormat=P","Fill=—","Direction=H","UseDPDF=Y")</f>
        <v>—</v>
      </c>
      <c r="S42" s="14" t="str">
        <f>_xll.BDH("SRPT US Equity","AVG_EV_TO_T12M_EBITDA","FQ3 2023","FQ3 2023","Currency=USD","Period=FQ","BEST_FPERIOD_OVERRIDE=FQ","FILING_STATUS=MR","FA_ADJUSTED=GAAP","Sort=A","Dates=H","DateFormat=P","Fill=—","Direction=H","UseDPDF=Y")</f>
        <v>—</v>
      </c>
      <c r="T42" s="14" t="str">
        <f>_xll.BDH("SRPT US Equity","AVG_EV_TO_T12M_EBITDA","FQ4 2023","FQ4 2023","Currency=USD","Period=FQ","BEST_FPERIOD_OVERRIDE=FQ","FILING_STATUS=MR","FA_ADJUSTED=GAAP","Sort=A","Dates=H","DateFormat=P","Fill=—","Direction=H","UseDPDF=Y")</f>
        <v>—</v>
      </c>
      <c r="U42" s="14" t="str">
        <f>_xll.BDH("SRPT US Equity","AVG_EV_TO_T12M_EBITDA","FQ1 2024","FQ1 2024","Currency=USD","Period=FQ","BEST_FPERIOD_OVERRIDE=FQ","FILING_STATUS=MR","FA_ADJUSTED=GAAP","Sort=A","Dates=H","DateFormat=P","Fill=—","Direction=H","UseDPDF=Y")</f>
        <v>—</v>
      </c>
      <c r="V42" s="14">
        <f>_xll.BDH("SRPT US Equity","AVG_EV_TO_T12M_EBITDA","FQ2 2024","FQ2 2024","Currency=USD","Period=FQ","BEST_FPERIOD_OVERRIDE=FQ","FILING_STATUS=MR","FA_ADJUSTED=GAAP","Sort=A","Dates=H","DateFormat=P","Fill=—","Direction=H","UseDPDF=Y")</f>
        <v>190.7218</v>
      </c>
      <c r="W42" s="14">
        <f>_xll.BDH("SRPT US Equity","AVG_EV_TO_T12M_EBITDA","FQ3 2024","FQ3 2024","Currency=USD","Period=FQ","BEST_FPERIOD_OVERRIDE=FQ","FILING_STATUS=MR","FA_ADJUSTED=GAAP","Sort=A","Dates=H","DateFormat=P","Fill=—","Direction=H","UseDPDF=Y")</f>
        <v>166.75710000000001</v>
      </c>
      <c r="X42" s="14">
        <f>_xll.BDH("SRPT US Equity","AVG_EV_TO_T12M_EBITDA","FQ4 2024","FQ4 2024","Currency=USD","Period=FQ","BEST_FPERIOD_OVERRIDE=FQ","FILING_STATUS=MR","FA_ADJUSTED=GAAP","Sort=A","Dates=H","DateFormat=P","Fill=—","Direction=H","UseDPDF=Y")</f>
        <v>98.551199999999994</v>
      </c>
      <c r="Y42" s="17"/>
      <c r="Z42" s="14"/>
      <c r="AA42" s="14"/>
    </row>
    <row r="43" spans="1:27" x14ac:dyDescent="0.25">
      <c r="A43" s="10" t="s">
        <v>211</v>
      </c>
      <c r="B43" s="10" t="s">
        <v>244</v>
      </c>
      <c r="C43" s="14" t="str">
        <f>_xll.BDH("SRPT US Equity","HIGH_EV_TO_T12M_EBITDA","FQ3 2019","FQ3 2019","Currency=USD","Period=FQ","BEST_FPERIOD_OVERRIDE=FQ","FILING_STATUS=MR","FA_ADJUSTED=GAAP","Sort=A","Dates=H","DateFormat=P","Fill=—","Direction=H","UseDPDF=Y")</f>
        <v>—</v>
      </c>
      <c r="D43" s="14" t="str">
        <f>_xll.BDH("SRPT US Equity","HIGH_EV_TO_T12M_EBITDA","FQ4 2019","FQ4 2019","Currency=USD","Period=FQ","BEST_FPERIOD_OVERRIDE=FQ","FILING_STATUS=MR","FA_ADJUSTED=GAAP","Sort=A","Dates=H","DateFormat=P","Fill=—","Direction=H","UseDPDF=Y")</f>
        <v>—</v>
      </c>
      <c r="E43" s="14" t="str">
        <f>_xll.BDH("SRPT US Equity","HIGH_EV_TO_T12M_EBITDA","FQ1 2020","FQ1 2020","Currency=USD","Period=FQ","BEST_FPERIOD_OVERRIDE=FQ","FILING_STATUS=MR","FA_ADJUSTED=GAAP","Sort=A","Dates=H","DateFormat=P","Fill=—","Direction=H","UseDPDF=Y")</f>
        <v>—</v>
      </c>
      <c r="F43" s="14" t="str">
        <f>_xll.BDH("SRPT US Equity","HIGH_EV_TO_T12M_EBITDA","FQ2 2020","FQ2 2020","Currency=USD","Period=FQ","BEST_FPERIOD_OVERRIDE=FQ","FILING_STATUS=MR","FA_ADJUSTED=GAAP","Sort=A","Dates=H","DateFormat=P","Fill=—","Direction=H","UseDPDF=Y")</f>
        <v>—</v>
      </c>
      <c r="G43" s="14" t="str">
        <f>_xll.BDH("SRPT US Equity","HIGH_EV_TO_T12M_EBITDA","FQ3 2020","FQ3 2020","Currency=USD","Period=FQ","BEST_FPERIOD_OVERRIDE=FQ","FILING_STATUS=MR","FA_ADJUSTED=GAAP","Sort=A","Dates=H","DateFormat=P","Fill=—","Direction=H","UseDPDF=Y")</f>
        <v>—</v>
      </c>
      <c r="H43" s="14" t="str">
        <f>_xll.BDH("SRPT US Equity","HIGH_EV_TO_T12M_EBITDA","FQ4 2020","FQ4 2020","Currency=USD","Period=FQ","BEST_FPERIOD_OVERRIDE=FQ","FILING_STATUS=MR","FA_ADJUSTED=GAAP","Sort=A","Dates=H","DateFormat=P","Fill=—","Direction=H","UseDPDF=Y")</f>
        <v>—</v>
      </c>
      <c r="I43" s="14" t="str">
        <f>_xll.BDH("SRPT US Equity","HIGH_EV_TO_T12M_EBITDA","FQ1 2021","FQ1 2021","Currency=USD","Period=FQ","BEST_FPERIOD_OVERRIDE=FQ","FILING_STATUS=MR","FA_ADJUSTED=GAAP","Sort=A","Dates=H","DateFormat=P","Fill=—","Direction=H","UseDPDF=Y")</f>
        <v>—</v>
      </c>
      <c r="J43" s="14" t="str">
        <f>_xll.BDH("SRPT US Equity","HIGH_EV_TO_T12M_EBITDA","FQ2 2021","FQ2 2021","Currency=USD","Period=FQ","BEST_FPERIOD_OVERRIDE=FQ","FILING_STATUS=MR","FA_ADJUSTED=GAAP","Sort=A","Dates=H","DateFormat=P","Fill=—","Direction=H","UseDPDF=Y")</f>
        <v>—</v>
      </c>
      <c r="K43" s="14" t="str">
        <f>_xll.BDH("SRPT US Equity","HIGH_EV_TO_T12M_EBITDA","FQ3 2021","FQ3 2021","Currency=USD","Period=FQ","BEST_FPERIOD_OVERRIDE=FQ","FILING_STATUS=MR","FA_ADJUSTED=GAAP","Sort=A","Dates=H","DateFormat=P","Fill=—","Direction=H","UseDPDF=Y")</f>
        <v>—</v>
      </c>
      <c r="L43" s="14" t="str">
        <f>_xll.BDH("SRPT US Equity","HIGH_EV_TO_T12M_EBITDA","FQ4 2021","FQ4 2021","Currency=USD","Period=FQ","BEST_FPERIOD_OVERRIDE=FQ","FILING_STATUS=MR","FA_ADJUSTED=GAAP","Sort=A","Dates=H","DateFormat=P","Fill=—","Direction=H","UseDPDF=Y")</f>
        <v>—</v>
      </c>
      <c r="M43" s="14" t="str">
        <f>_xll.BDH("SRPT US Equity","HIGH_EV_TO_T12M_EBITDA","FQ1 2022","FQ1 2022","Currency=USD","Period=FQ","BEST_FPERIOD_OVERRIDE=FQ","FILING_STATUS=MR","FA_ADJUSTED=GAAP","Sort=A","Dates=H","DateFormat=P","Fill=—","Direction=H","UseDPDF=Y")</f>
        <v>—</v>
      </c>
      <c r="N43" s="14" t="str">
        <f>_xll.BDH("SRPT US Equity","HIGH_EV_TO_T12M_EBITDA","FQ2 2022","FQ2 2022","Currency=USD","Period=FQ","BEST_FPERIOD_OVERRIDE=FQ","FILING_STATUS=MR","FA_ADJUSTED=GAAP","Sort=A","Dates=H","DateFormat=P","Fill=—","Direction=H","UseDPDF=Y")</f>
        <v>—</v>
      </c>
      <c r="O43" s="14" t="str">
        <f>_xll.BDH("SRPT US Equity","HIGH_EV_TO_T12M_EBITDA","FQ3 2022","FQ3 2022","Currency=USD","Period=FQ","BEST_FPERIOD_OVERRIDE=FQ","FILING_STATUS=MR","FA_ADJUSTED=GAAP","Sort=A","Dates=H","DateFormat=P","Fill=—","Direction=H","UseDPDF=Y")</f>
        <v>—</v>
      </c>
      <c r="P43" s="14" t="str">
        <f>_xll.BDH("SRPT US Equity","HIGH_EV_TO_T12M_EBITDA","FQ4 2022","FQ4 2022","Currency=USD","Period=FQ","BEST_FPERIOD_OVERRIDE=FQ","FILING_STATUS=MR","FA_ADJUSTED=GAAP","Sort=A","Dates=H","DateFormat=P","Fill=—","Direction=H","UseDPDF=Y")</f>
        <v>—</v>
      </c>
      <c r="Q43" s="14" t="str">
        <f>_xll.BDH("SRPT US Equity","HIGH_EV_TO_T12M_EBITDA","FQ1 2023","FQ1 2023","Currency=USD","Period=FQ","BEST_FPERIOD_OVERRIDE=FQ","FILING_STATUS=MR","FA_ADJUSTED=GAAP","Sort=A","Dates=H","DateFormat=P","Fill=—","Direction=H","UseDPDF=Y")</f>
        <v>—</v>
      </c>
      <c r="R43" s="14" t="str">
        <f>_xll.BDH("SRPT US Equity","HIGH_EV_TO_T12M_EBITDA","FQ2 2023","FQ2 2023","Currency=USD","Period=FQ","BEST_FPERIOD_OVERRIDE=FQ","FILING_STATUS=MR","FA_ADJUSTED=GAAP","Sort=A","Dates=H","DateFormat=P","Fill=—","Direction=H","UseDPDF=Y")</f>
        <v>—</v>
      </c>
      <c r="S43" s="14" t="str">
        <f>_xll.BDH("SRPT US Equity","HIGH_EV_TO_T12M_EBITDA","FQ3 2023","FQ3 2023","Currency=USD","Period=FQ","BEST_FPERIOD_OVERRIDE=FQ","FILING_STATUS=MR","FA_ADJUSTED=GAAP","Sort=A","Dates=H","DateFormat=P","Fill=—","Direction=H","UseDPDF=Y")</f>
        <v>—</v>
      </c>
      <c r="T43" s="14" t="str">
        <f>_xll.BDH("SRPT US Equity","HIGH_EV_TO_T12M_EBITDA","FQ4 2023","FQ4 2023","Currency=USD","Period=FQ","BEST_FPERIOD_OVERRIDE=FQ","FILING_STATUS=MR","FA_ADJUSTED=GAAP","Sort=A","Dates=H","DateFormat=P","Fill=—","Direction=H","UseDPDF=Y")</f>
        <v>—</v>
      </c>
      <c r="U43" s="14" t="str">
        <f>_xll.BDH("SRPT US Equity","HIGH_EV_TO_T12M_EBITDA","FQ1 2024","FQ1 2024","Currency=USD","Period=FQ","BEST_FPERIOD_OVERRIDE=FQ","FILING_STATUS=MR","FA_ADJUSTED=GAAP","Sort=A","Dates=H","DateFormat=P","Fill=—","Direction=H","UseDPDF=Y")</f>
        <v>—</v>
      </c>
      <c r="V43" s="14">
        <f>_xll.BDH("SRPT US Equity","HIGH_EV_TO_T12M_EBITDA","FQ2 2024","FQ2 2024","Currency=USD","Period=FQ","BEST_FPERIOD_OVERRIDE=FQ","FILING_STATUS=MR","FA_ADJUSTED=GAAP","Sort=A","Dates=H","DateFormat=P","Fill=—","Direction=H","UseDPDF=Y")</f>
        <v>190.7218</v>
      </c>
      <c r="W43" s="14">
        <f>_xll.BDH("SRPT US Equity","HIGH_EV_TO_T12M_EBITDA","FQ3 2024","FQ3 2024","Currency=USD","Period=FQ","BEST_FPERIOD_OVERRIDE=FQ","FILING_STATUS=MR","FA_ADJUSTED=GAAP","Sort=A","Dates=H","DateFormat=P","Fill=—","Direction=H","UseDPDF=Y")</f>
        <v>189.2021</v>
      </c>
      <c r="X43" s="14">
        <f>_xll.BDH("SRPT US Equity","HIGH_EV_TO_T12M_EBITDA","FQ4 2024","FQ4 2024","Currency=USD","Period=FQ","BEST_FPERIOD_OVERRIDE=FQ","FILING_STATUS=MR","FA_ADJUSTED=GAAP","Sort=A","Dates=H","DateFormat=P","Fill=—","Direction=H","UseDPDF=Y")</f>
        <v>111.7313</v>
      </c>
      <c r="Y43" s="17"/>
      <c r="Z43" s="14"/>
      <c r="AA43" s="14"/>
    </row>
    <row r="44" spans="1:27" x14ac:dyDescent="0.25">
      <c r="A44" s="10" t="s">
        <v>213</v>
      </c>
      <c r="B44" s="10" t="s">
        <v>245</v>
      </c>
      <c r="C44" s="14" t="str">
        <f>_xll.BDH("SRPT US Equity","LOW_EV_TO_T12M_EBITDA","FQ3 2019","FQ3 2019","Currency=USD","Period=FQ","BEST_FPERIOD_OVERRIDE=FQ","FILING_STATUS=MR","FA_ADJUSTED=GAAP","Sort=A","Dates=H","DateFormat=P","Fill=—","Direction=H","UseDPDF=Y")</f>
        <v>—</v>
      </c>
      <c r="D44" s="14" t="str">
        <f>_xll.BDH("SRPT US Equity","LOW_EV_TO_T12M_EBITDA","FQ4 2019","FQ4 2019","Currency=USD","Period=FQ","BEST_FPERIOD_OVERRIDE=FQ","FILING_STATUS=MR","FA_ADJUSTED=GAAP","Sort=A","Dates=H","DateFormat=P","Fill=—","Direction=H","UseDPDF=Y")</f>
        <v>—</v>
      </c>
      <c r="E44" s="14" t="str">
        <f>_xll.BDH("SRPT US Equity","LOW_EV_TO_T12M_EBITDA","FQ1 2020","FQ1 2020","Currency=USD","Period=FQ","BEST_FPERIOD_OVERRIDE=FQ","FILING_STATUS=MR","FA_ADJUSTED=GAAP","Sort=A","Dates=H","DateFormat=P","Fill=—","Direction=H","UseDPDF=Y")</f>
        <v>—</v>
      </c>
      <c r="F44" s="14" t="str">
        <f>_xll.BDH("SRPT US Equity","LOW_EV_TO_T12M_EBITDA","FQ2 2020","FQ2 2020","Currency=USD","Period=FQ","BEST_FPERIOD_OVERRIDE=FQ","FILING_STATUS=MR","FA_ADJUSTED=GAAP","Sort=A","Dates=H","DateFormat=P","Fill=—","Direction=H","UseDPDF=Y")</f>
        <v>—</v>
      </c>
      <c r="G44" s="14" t="str">
        <f>_xll.BDH("SRPT US Equity","LOW_EV_TO_T12M_EBITDA","FQ3 2020","FQ3 2020","Currency=USD","Period=FQ","BEST_FPERIOD_OVERRIDE=FQ","FILING_STATUS=MR","FA_ADJUSTED=GAAP","Sort=A","Dates=H","DateFormat=P","Fill=—","Direction=H","UseDPDF=Y")</f>
        <v>—</v>
      </c>
      <c r="H44" s="14" t="str">
        <f>_xll.BDH("SRPT US Equity","LOW_EV_TO_T12M_EBITDA","FQ4 2020","FQ4 2020","Currency=USD","Period=FQ","BEST_FPERIOD_OVERRIDE=FQ","FILING_STATUS=MR","FA_ADJUSTED=GAAP","Sort=A","Dates=H","DateFormat=P","Fill=—","Direction=H","UseDPDF=Y")</f>
        <v>—</v>
      </c>
      <c r="I44" s="14" t="str">
        <f>_xll.BDH("SRPT US Equity","LOW_EV_TO_T12M_EBITDA","FQ1 2021","FQ1 2021","Currency=USD","Period=FQ","BEST_FPERIOD_OVERRIDE=FQ","FILING_STATUS=MR","FA_ADJUSTED=GAAP","Sort=A","Dates=H","DateFormat=P","Fill=—","Direction=H","UseDPDF=Y")</f>
        <v>—</v>
      </c>
      <c r="J44" s="14" t="str">
        <f>_xll.BDH("SRPT US Equity","LOW_EV_TO_T12M_EBITDA","FQ2 2021","FQ2 2021","Currency=USD","Period=FQ","BEST_FPERIOD_OVERRIDE=FQ","FILING_STATUS=MR","FA_ADJUSTED=GAAP","Sort=A","Dates=H","DateFormat=P","Fill=—","Direction=H","UseDPDF=Y")</f>
        <v>—</v>
      </c>
      <c r="K44" s="14" t="str">
        <f>_xll.BDH("SRPT US Equity","LOW_EV_TO_T12M_EBITDA","FQ3 2021","FQ3 2021","Currency=USD","Period=FQ","BEST_FPERIOD_OVERRIDE=FQ","FILING_STATUS=MR","FA_ADJUSTED=GAAP","Sort=A","Dates=H","DateFormat=P","Fill=—","Direction=H","UseDPDF=Y")</f>
        <v>—</v>
      </c>
      <c r="L44" s="14" t="str">
        <f>_xll.BDH("SRPT US Equity","LOW_EV_TO_T12M_EBITDA","FQ4 2021","FQ4 2021","Currency=USD","Period=FQ","BEST_FPERIOD_OVERRIDE=FQ","FILING_STATUS=MR","FA_ADJUSTED=GAAP","Sort=A","Dates=H","DateFormat=P","Fill=—","Direction=H","UseDPDF=Y")</f>
        <v>—</v>
      </c>
      <c r="M44" s="14" t="str">
        <f>_xll.BDH("SRPT US Equity","LOW_EV_TO_T12M_EBITDA","FQ1 2022","FQ1 2022","Currency=USD","Period=FQ","BEST_FPERIOD_OVERRIDE=FQ","FILING_STATUS=MR","FA_ADJUSTED=GAAP","Sort=A","Dates=H","DateFormat=P","Fill=—","Direction=H","UseDPDF=Y")</f>
        <v>—</v>
      </c>
      <c r="N44" s="14" t="str">
        <f>_xll.BDH("SRPT US Equity","LOW_EV_TO_T12M_EBITDA","FQ2 2022","FQ2 2022","Currency=USD","Period=FQ","BEST_FPERIOD_OVERRIDE=FQ","FILING_STATUS=MR","FA_ADJUSTED=GAAP","Sort=A","Dates=H","DateFormat=P","Fill=—","Direction=H","UseDPDF=Y")</f>
        <v>—</v>
      </c>
      <c r="O44" s="14" t="str">
        <f>_xll.BDH("SRPT US Equity","LOW_EV_TO_T12M_EBITDA","FQ3 2022","FQ3 2022","Currency=USD","Period=FQ","BEST_FPERIOD_OVERRIDE=FQ","FILING_STATUS=MR","FA_ADJUSTED=GAAP","Sort=A","Dates=H","DateFormat=P","Fill=—","Direction=H","UseDPDF=Y")</f>
        <v>—</v>
      </c>
      <c r="P44" s="14" t="str">
        <f>_xll.BDH("SRPT US Equity","LOW_EV_TO_T12M_EBITDA","FQ4 2022","FQ4 2022","Currency=USD","Period=FQ","BEST_FPERIOD_OVERRIDE=FQ","FILING_STATUS=MR","FA_ADJUSTED=GAAP","Sort=A","Dates=H","DateFormat=P","Fill=—","Direction=H","UseDPDF=Y")</f>
        <v>—</v>
      </c>
      <c r="Q44" s="14" t="str">
        <f>_xll.BDH("SRPT US Equity","LOW_EV_TO_T12M_EBITDA","FQ1 2023","FQ1 2023","Currency=USD","Period=FQ","BEST_FPERIOD_OVERRIDE=FQ","FILING_STATUS=MR","FA_ADJUSTED=GAAP","Sort=A","Dates=H","DateFormat=P","Fill=—","Direction=H","UseDPDF=Y")</f>
        <v>—</v>
      </c>
      <c r="R44" s="14" t="str">
        <f>_xll.BDH("SRPT US Equity","LOW_EV_TO_T12M_EBITDA","FQ2 2023","FQ2 2023","Currency=USD","Period=FQ","BEST_FPERIOD_OVERRIDE=FQ","FILING_STATUS=MR","FA_ADJUSTED=GAAP","Sort=A","Dates=H","DateFormat=P","Fill=—","Direction=H","UseDPDF=Y")</f>
        <v>—</v>
      </c>
      <c r="S44" s="14" t="str">
        <f>_xll.BDH("SRPT US Equity","LOW_EV_TO_T12M_EBITDA","FQ3 2023","FQ3 2023","Currency=USD","Period=FQ","BEST_FPERIOD_OVERRIDE=FQ","FILING_STATUS=MR","FA_ADJUSTED=GAAP","Sort=A","Dates=H","DateFormat=P","Fill=—","Direction=H","UseDPDF=Y")</f>
        <v>—</v>
      </c>
      <c r="T44" s="14" t="str">
        <f>_xll.BDH("SRPT US Equity","LOW_EV_TO_T12M_EBITDA","FQ4 2023","FQ4 2023","Currency=USD","Period=FQ","BEST_FPERIOD_OVERRIDE=FQ","FILING_STATUS=MR","FA_ADJUSTED=GAAP","Sort=A","Dates=H","DateFormat=P","Fill=—","Direction=H","UseDPDF=Y")</f>
        <v>—</v>
      </c>
      <c r="U44" s="14" t="str">
        <f>_xll.BDH("SRPT US Equity","LOW_EV_TO_T12M_EBITDA","FQ1 2024","FQ1 2024","Currency=USD","Period=FQ","BEST_FPERIOD_OVERRIDE=FQ","FILING_STATUS=MR","FA_ADJUSTED=GAAP","Sort=A","Dates=H","DateFormat=P","Fill=—","Direction=H","UseDPDF=Y")</f>
        <v>—</v>
      </c>
      <c r="V44" s="14">
        <f>_xll.BDH("SRPT US Equity","LOW_EV_TO_T12M_EBITDA","FQ2 2024","FQ2 2024","Currency=USD","Period=FQ","BEST_FPERIOD_OVERRIDE=FQ","FILING_STATUS=MR","FA_ADJUSTED=GAAP","Sort=A","Dates=H","DateFormat=P","Fill=—","Direction=H","UseDPDF=Y")</f>
        <v>190.7218</v>
      </c>
      <c r="W44" s="14">
        <f>_xll.BDH("SRPT US Equity","LOW_EV_TO_T12M_EBITDA","FQ3 2024","FQ3 2024","Currency=USD","Period=FQ","BEST_FPERIOD_OVERRIDE=FQ","FILING_STATUS=MR","FA_ADJUSTED=GAAP","Sort=A","Dates=H","DateFormat=P","Fill=—","Direction=H","UseDPDF=Y")</f>
        <v>101.1545</v>
      </c>
      <c r="X44" s="14">
        <f>_xll.BDH("SRPT US Equity","LOW_EV_TO_T12M_EBITDA","FQ4 2024","FQ4 2024","Currency=USD","Period=FQ","BEST_FPERIOD_OVERRIDE=FQ","FILING_STATUS=MR","FA_ADJUSTED=GAAP","Sort=A","Dates=H","DateFormat=P","Fill=—","Direction=H","UseDPDF=Y")</f>
        <v>45.342399999999998</v>
      </c>
      <c r="Y44" s="17"/>
      <c r="Z44" s="14"/>
      <c r="AA44" s="14"/>
    </row>
    <row r="45" spans="1:27" x14ac:dyDescent="0.25">
      <c r="A45" s="6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21"/>
      <c r="Z45" s="18"/>
      <c r="AA45" s="18"/>
    </row>
    <row r="46" spans="1:27" x14ac:dyDescent="0.25">
      <c r="A46" s="6" t="s">
        <v>182</v>
      </c>
      <c r="B46" s="6" t="s">
        <v>183</v>
      </c>
      <c r="C46" s="20" t="str">
        <f>_xll.BDH("SRPT US Equity","EV_TO_T12M_EBIT","FQ3 2019","FQ3 2019","Currency=USD","Period=FQ","BEST_FPERIOD_OVERRIDE=FQ","FILING_STATUS=MR","FA_ADJUSTED=GAAP","Sort=A","Dates=H","DateFormat=P","Fill=—","Direction=H","UseDPDF=Y")</f>
        <v>—</v>
      </c>
      <c r="D46" s="20" t="str">
        <f>_xll.BDH("SRPT US Equity","EV_TO_T12M_EBIT","FQ4 2019","FQ4 2019","Currency=USD","Period=FQ","BEST_FPERIOD_OVERRIDE=FQ","FILING_STATUS=MR","FA_ADJUSTED=GAAP","Sort=A","Dates=H","DateFormat=P","Fill=—","Direction=H","UseDPDF=Y")</f>
        <v>—</v>
      </c>
      <c r="E46" s="20" t="str">
        <f>_xll.BDH("SRPT US Equity","EV_TO_T12M_EBIT","FQ1 2020","FQ1 2020","Currency=USD","Period=FQ","BEST_FPERIOD_OVERRIDE=FQ","FILING_STATUS=MR","FA_ADJUSTED=GAAP","Sort=A","Dates=H","DateFormat=P","Fill=—","Direction=H","UseDPDF=Y")</f>
        <v>—</v>
      </c>
      <c r="F46" s="20" t="str">
        <f>_xll.BDH("SRPT US Equity","EV_TO_T12M_EBIT","FQ2 2020","FQ2 2020","Currency=USD","Period=FQ","BEST_FPERIOD_OVERRIDE=FQ","FILING_STATUS=MR","FA_ADJUSTED=GAAP","Sort=A","Dates=H","DateFormat=P","Fill=—","Direction=H","UseDPDF=Y")</f>
        <v>—</v>
      </c>
      <c r="G46" s="20" t="str">
        <f>_xll.BDH("SRPT US Equity","EV_TO_T12M_EBIT","FQ3 2020","FQ3 2020","Currency=USD","Period=FQ","BEST_FPERIOD_OVERRIDE=FQ","FILING_STATUS=MR","FA_ADJUSTED=GAAP","Sort=A","Dates=H","DateFormat=P","Fill=—","Direction=H","UseDPDF=Y")</f>
        <v>—</v>
      </c>
      <c r="H46" s="20" t="str">
        <f>_xll.BDH("SRPT US Equity","EV_TO_T12M_EBIT","FQ4 2020","FQ4 2020","Currency=USD","Period=FQ","BEST_FPERIOD_OVERRIDE=FQ","FILING_STATUS=MR","FA_ADJUSTED=GAAP","Sort=A","Dates=H","DateFormat=P","Fill=—","Direction=H","UseDPDF=Y")</f>
        <v>—</v>
      </c>
      <c r="I46" s="20" t="str">
        <f>_xll.BDH("SRPT US Equity","EV_TO_T12M_EBIT","FQ1 2021","FQ1 2021","Currency=USD","Period=FQ","BEST_FPERIOD_OVERRIDE=FQ","FILING_STATUS=MR","FA_ADJUSTED=GAAP","Sort=A","Dates=H","DateFormat=P","Fill=—","Direction=H","UseDPDF=Y")</f>
        <v>—</v>
      </c>
      <c r="J46" s="20" t="str">
        <f>_xll.BDH("SRPT US Equity","EV_TO_T12M_EBIT","FQ2 2021","FQ2 2021","Currency=USD","Period=FQ","BEST_FPERIOD_OVERRIDE=FQ","FILING_STATUS=MR","FA_ADJUSTED=GAAP","Sort=A","Dates=H","DateFormat=P","Fill=—","Direction=H","UseDPDF=Y")</f>
        <v>—</v>
      </c>
      <c r="K46" s="20" t="str">
        <f>_xll.BDH("SRPT US Equity","EV_TO_T12M_EBIT","FQ3 2021","FQ3 2021","Currency=USD","Period=FQ","BEST_FPERIOD_OVERRIDE=FQ","FILING_STATUS=MR","FA_ADJUSTED=GAAP","Sort=A","Dates=H","DateFormat=P","Fill=—","Direction=H","UseDPDF=Y")</f>
        <v>—</v>
      </c>
      <c r="L46" s="20" t="str">
        <f>_xll.BDH("SRPT US Equity","EV_TO_T12M_EBIT","FQ4 2021","FQ4 2021","Currency=USD","Period=FQ","BEST_FPERIOD_OVERRIDE=FQ","FILING_STATUS=MR","FA_ADJUSTED=GAAP","Sort=A","Dates=H","DateFormat=P","Fill=—","Direction=H","UseDPDF=Y")</f>
        <v>—</v>
      </c>
      <c r="M46" s="20" t="str">
        <f>_xll.BDH("SRPT US Equity","EV_TO_T12M_EBIT","FQ1 2022","FQ1 2022","Currency=USD","Period=FQ","BEST_FPERIOD_OVERRIDE=FQ","FILING_STATUS=MR","FA_ADJUSTED=GAAP","Sort=A","Dates=H","DateFormat=P","Fill=—","Direction=H","UseDPDF=Y")</f>
        <v>—</v>
      </c>
      <c r="N46" s="20" t="str">
        <f>_xll.BDH("SRPT US Equity","EV_TO_T12M_EBIT","FQ2 2022","FQ2 2022","Currency=USD","Period=FQ","BEST_FPERIOD_OVERRIDE=FQ","FILING_STATUS=MR","FA_ADJUSTED=GAAP","Sort=A","Dates=H","DateFormat=P","Fill=—","Direction=H","UseDPDF=Y")</f>
        <v>—</v>
      </c>
      <c r="O46" s="20" t="str">
        <f>_xll.BDH("SRPT US Equity","EV_TO_T12M_EBIT","FQ3 2022","FQ3 2022","Currency=USD","Period=FQ","BEST_FPERIOD_OVERRIDE=FQ","FILING_STATUS=MR","FA_ADJUSTED=GAAP","Sort=A","Dates=H","DateFormat=P","Fill=—","Direction=H","UseDPDF=Y")</f>
        <v>—</v>
      </c>
      <c r="P46" s="20" t="str">
        <f>_xll.BDH("SRPT US Equity","EV_TO_T12M_EBIT","FQ4 2022","FQ4 2022","Currency=USD","Period=FQ","BEST_FPERIOD_OVERRIDE=FQ","FILING_STATUS=MR","FA_ADJUSTED=GAAP","Sort=A","Dates=H","DateFormat=P","Fill=—","Direction=H","UseDPDF=Y")</f>
        <v>—</v>
      </c>
      <c r="Q46" s="20" t="str">
        <f>_xll.BDH("SRPT US Equity","EV_TO_T12M_EBIT","FQ1 2023","FQ1 2023","Currency=USD","Period=FQ","BEST_FPERIOD_OVERRIDE=FQ","FILING_STATUS=MR","FA_ADJUSTED=GAAP","Sort=A","Dates=H","DateFormat=P","Fill=—","Direction=H","UseDPDF=Y")</f>
        <v>—</v>
      </c>
      <c r="R46" s="20" t="str">
        <f>_xll.BDH("SRPT US Equity","EV_TO_T12M_EBIT","FQ2 2023","FQ2 2023","Currency=USD","Period=FQ","BEST_FPERIOD_OVERRIDE=FQ","FILING_STATUS=MR","FA_ADJUSTED=GAAP","Sort=A","Dates=H","DateFormat=P","Fill=—","Direction=H","UseDPDF=Y")</f>
        <v>—</v>
      </c>
      <c r="S46" s="20" t="str">
        <f>_xll.BDH("SRPT US Equity","EV_TO_T12M_EBIT","FQ3 2023","FQ3 2023","Currency=USD","Period=FQ","BEST_FPERIOD_OVERRIDE=FQ","FILING_STATUS=MR","FA_ADJUSTED=GAAP","Sort=A","Dates=H","DateFormat=P","Fill=—","Direction=H","UseDPDF=Y")</f>
        <v>—</v>
      </c>
      <c r="T46" s="20" t="str">
        <f>_xll.BDH("SRPT US Equity","EV_TO_T12M_EBIT","FQ4 2023","FQ4 2023","Currency=USD","Period=FQ","BEST_FPERIOD_OVERRIDE=FQ","FILING_STATUS=MR","FA_ADJUSTED=GAAP","Sort=A","Dates=H","DateFormat=P","Fill=—","Direction=H","UseDPDF=Y")</f>
        <v>—</v>
      </c>
      <c r="U46" s="20" t="str">
        <f>_xll.BDH("SRPT US Equity","EV_TO_T12M_EBIT","FQ1 2024","FQ1 2024","Currency=USD","Period=FQ","BEST_FPERIOD_OVERRIDE=FQ","FILING_STATUS=MR","FA_ADJUSTED=GAAP","Sort=A","Dates=H","DateFormat=P","Fill=—","Direction=H","UseDPDF=Y")</f>
        <v>—</v>
      </c>
      <c r="V46" s="20">
        <f>_xll.BDH("SRPT US Equity","EV_TO_T12M_EBIT","FQ2 2024","FQ2 2024","Currency=USD","Period=FQ","BEST_FPERIOD_OVERRIDE=FQ","FILING_STATUS=MR","FA_ADJUSTED=GAAP","Sort=A","Dates=H","DateFormat=P","Fill=—","Direction=H","UseDPDF=Y")</f>
        <v>393.51659999999998</v>
      </c>
      <c r="W46" s="20">
        <f>_xll.BDH("SRPT US Equity","EV_TO_T12M_EBIT","FQ3 2024","FQ3 2024","Currency=USD","Period=FQ","BEST_FPERIOD_OVERRIDE=FQ","FILING_STATUS=MR","FA_ADJUSTED=GAAP","Sort=A","Dates=H","DateFormat=P","Fill=—","Direction=H","UseDPDF=Y")</f>
        <v>149.59059999999999</v>
      </c>
      <c r="X46" s="20">
        <f>_xll.BDH("SRPT US Equity","EV_TO_T12M_EBIT","FQ4 2024","FQ4 2024","Currency=USD","Period=FQ","BEST_FPERIOD_OVERRIDE=FQ","FILING_STATUS=MR","FA_ADJUSTED=GAAP","Sort=A","Dates=H","DateFormat=P","Fill=—","Direction=H","UseDPDF=Y")</f>
        <v>53.955599999999997</v>
      </c>
      <c r="Y46" s="23">
        <v>29.355727105503899</v>
      </c>
      <c r="Z46" s="20">
        <v>6.6543428217112401</v>
      </c>
      <c r="AA46" s="20">
        <v>5.4130802390757999</v>
      </c>
    </row>
    <row r="47" spans="1:27" x14ac:dyDescent="0.25">
      <c r="A47" s="10" t="s">
        <v>209</v>
      </c>
      <c r="B47" s="10" t="s">
        <v>246</v>
      </c>
      <c r="C47" s="14" t="str">
        <f>_xll.BDH("SRPT US Equity","AVERAGE_EV_TO_T12M_EBIT","FQ3 2019","FQ3 2019","Currency=USD","Period=FQ","BEST_FPERIOD_OVERRIDE=FQ","FILING_STATUS=MR","FA_ADJUSTED=GAAP","Sort=A","Dates=H","DateFormat=P","Fill=—","Direction=H","UseDPDF=Y")</f>
        <v>—</v>
      </c>
      <c r="D47" s="14" t="str">
        <f>_xll.BDH("SRPT US Equity","AVERAGE_EV_TO_T12M_EBIT","FQ4 2019","FQ4 2019","Currency=USD","Period=FQ","BEST_FPERIOD_OVERRIDE=FQ","FILING_STATUS=MR","FA_ADJUSTED=GAAP","Sort=A","Dates=H","DateFormat=P","Fill=—","Direction=H","UseDPDF=Y")</f>
        <v>—</v>
      </c>
      <c r="E47" s="14" t="str">
        <f>_xll.BDH("SRPT US Equity","AVERAGE_EV_TO_T12M_EBIT","FQ1 2020","FQ1 2020","Currency=USD","Period=FQ","BEST_FPERIOD_OVERRIDE=FQ","FILING_STATUS=MR","FA_ADJUSTED=GAAP","Sort=A","Dates=H","DateFormat=P","Fill=—","Direction=H","UseDPDF=Y")</f>
        <v>—</v>
      </c>
      <c r="F47" s="14" t="str">
        <f>_xll.BDH("SRPT US Equity","AVERAGE_EV_TO_T12M_EBIT","FQ2 2020","FQ2 2020","Currency=USD","Period=FQ","BEST_FPERIOD_OVERRIDE=FQ","FILING_STATUS=MR","FA_ADJUSTED=GAAP","Sort=A","Dates=H","DateFormat=P","Fill=—","Direction=H","UseDPDF=Y")</f>
        <v>—</v>
      </c>
      <c r="G47" s="14" t="str">
        <f>_xll.BDH("SRPT US Equity","AVERAGE_EV_TO_T12M_EBIT","FQ3 2020","FQ3 2020","Currency=USD","Period=FQ","BEST_FPERIOD_OVERRIDE=FQ","FILING_STATUS=MR","FA_ADJUSTED=GAAP","Sort=A","Dates=H","DateFormat=P","Fill=—","Direction=H","UseDPDF=Y")</f>
        <v>—</v>
      </c>
      <c r="H47" s="14" t="str">
        <f>_xll.BDH("SRPT US Equity","AVERAGE_EV_TO_T12M_EBIT","FQ4 2020","FQ4 2020","Currency=USD","Period=FQ","BEST_FPERIOD_OVERRIDE=FQ","FILING_STATUS=MR","FA_ADJUSTED=GAAP","Sort=A","Dates=H","DateFormat=P","Fill=—","Direction=H","UseDPDF=Y")</f>
        <v>—</v>
      </c>
      <c r="I47" s="14" t="str">
        <f>_xll.BDH("SRPT US Equity","AVERAGE_EV_TO_T12M_EBIT","FQ1 2021","FQ1 2021","Currency=USD","Period=FQ","BEST_FPERIOD_OVERRIDE=FQ","FILING_STATUS=MR","FA_ADJUSTED=GAAP","Sort=A","Dates=H","DateFormat=P","Fill=—","Direction=H","UseDPDF=Y")</f>
        <v>—</v>
      </c>
      <c r="J47" s="14" t="str">
        <f>_xll.BDH("SRPT US Equity","AVERAGE_EV_TO_T12M_EBIT","FQ2 2021","FQ2 2021","Currency=USD","Period=FQ","BEST_FPERIOD_OVERRIDE=FQ","FILING_STATUS=MR","FA_ADJUSTED=GAAP","Sort=A","Dates=H","DateFormat=P","Fill=—","Direction=H","UseDPDF=Y")</f>
        <v>—</v>
      </c>
      <c r="K47" s="14" t="str">
        <f>_xll.BDH("SRPT US Equity","AVERAGE_EV_TO_T12M_EBIT","FQ3 2021","FQ3 2021","Currency=USD","Period=FQ","BEST_FPERIOD_OVERRIDE=FQ","FILING_STATUS=MR","FA_ADJUSTED=GAAP","Sort=A","Dates=H","DateFormat=P","Fill=—","Direction=H","UseDPDF=Y")</f>
        <v>—</v>
      </c>
      <c r="L47" s="14" t="str">
        <f>_xll.BDH("SRPT US Equity","AVERAGE_EV_TO_T12M_EBIT","FQ4 2021","FQ4 2021","Currency=USD","Period=FQ","BEST_FPERIOD_OVERRIDE=FQ","FILING_STATUS=MR","FA_ADJUSTED=GAAP","Sort=A","Dates=H","DateFormat=P","Fill=—","Direction=H","UseDPDF=Y")</f>
        <v>—</v>
      </c>
      <c r="M47" s="14" t="str">
        <f>_xll.BDH("SRPT US Equity","AVERAGE_EV_TO_T12M_EBIT","FQ1 2022","FQ1 2022","Currency=USD","Period=FQ","BEST_FPERIOD_OVERRIDE=FQ","FILING_STATUS=MR","FA_ADJUSTED=GAAP","Sort=A","Dates=H","DateFormat=P","Fill=—","Direction=H","UseDPDF=Y")</f>
        <v>—</v>
      </c>
      <c r="N47" s="14" t="str">
        <f>_xll.BDH("SRPT US Equity","AVERAGE_EV_TO_T12M_EBIT","FQ2 2022","FQ2 2022","Currency=USD","Period=FQ","BEST_FPERIOD_OVERRIDE=FQ","FILING_STATUS=MR","FA_ADJUSTED=GAAP","Sort=A","Dates=H","DateFormat=P","Fill=—","Direction=H","UseDPDF=Y")</f>
        <v>—</v>
      </c>
      <c r="O47" s="14" t="str">
        <f>_xll.BDH("SRPT US Equity","AVERAGE_EV_TO_T12M_EBIT","FQ3 2022","FQ3 2022","Currency=USD","Period=FQ","BEST_FPERIOD_OVERRIDE=FQ","FILING_STATUS=MR","FA_ADJUSTED=GAAP","Sort=A","Dates=H","DateFormat=P","Fill=—","Direction=H","UseDPDF=Y")</f>
        <v>—</v>
      </c>
      <c r="P47" s="14" t="str">
        <f>_xll.BDH("SRPT US Equity","AVERAGE_EV_TO_T12M_EBIT","FQ4 2022","FQ4 2022","Currency=USD","Period=FQ","BEST_FPERIOD_OVERRIDE=FQ","FILING_STATUS=MR","FA_ADJUSTED=GAAP","Sort=A","Dates=H","DateFormat=P","Fill=—","Direction=H","UseDPDF=Y")</f>
        <v>—</v>
      </c>
      <c r="Q47" s="14" t="str">
        <f>_xll.BDH("SRPT US Equity","AVERAGE_EV_TO_T12M_EBIT","FQ1 2023","FQ1 2023","Currency=USD","Period=FQ","BEST_FPERIOD_OVERRIDE=FQ","FILING_STATUS=MR","FA_ADJUSTED=GAAP","Sort=A","Dates=H","DateFormat=P","Fill=—","Direction=H","UseDPDF=Y")</f>
        <v>—</v>
      </c>
      <c r="R47" s="14" t="str">
        <f>_xll.BDH("SRPT US Equity","AVERAGE_EV_TO_T12M_EBIT","FQ2 2023","FQ2 2023","Currency=USD","Period=FQ","BEST_FPERIOD_OVERRIDE=FQ","FILING_STATUS=MR","FA_ADJUSTED=GAAP","Sort=A","Dates=H","DateFormat=P","Fill=—","Direction=H","UseDPDF=Y")</f>
        <v>—</v>
      </c>
      <c r="S47" s="14" t="str">
        <f>_xll.BDH("SRPT US Equity","AVERAGE_EV_TO_T12M_EBIT","FQ3 2023","FQ3 2023","Currency=USD","Period=FQ","BEST_FPERIOD_OVERRIDE=FQ","FILING_STATUS=MR","FA_ADJUSTED=GAAP","Sort=A","Dates=H","DateFormat=P","Fill=—","Direction=H","UseDPDF=Y")</f>
        <v>—</v>
      </c>
      <c r="T47" s="14" t="str">
        <f>_xll.BDH("SRPT US Equity","AVERAGE_EV_TO_T12M_EBIT","FQ4 2023","FQ4 2023","Currency=USD","Period=FQ","BEST_FPERIOD_OVERRIDE=FQ","FILING_STATUS=MR","FA_ADJUSTED=GAAP","Sort=A","Dates=H","DateFormat=P","Fill=—","Direction=H","UseDPDF=Y")</f>
        <v>—</v>
      </c>
      <c r="U47" s="14" t="str">
        <f>_xll.BDH("SRPT US Equity","AVERAGE_EV_TO_T12M_EBIT","FQ1 2024","FQ1 2024","Currency=USD","Period=FQ","BEST_FPERIOD_OVERRIDE=FQ","FILING_STATUS=MR","FA_ADJUSTED=GAAP","Sort=A","Dates=H","DateFormat=P","Fill=—","Direction=H","UseDPDF=Y")</f>
        <v>—</v>
      </c>
      <c r="V47" s="14">
        <f>_xll.BDH("SRPT US Equity","AVERAGE_EV_TO_T12M_EBIT","FQ2 2024","FQ2 2024","Currency=USD","Period=FQ","BEST_FPERIOD_OVERRIDE=FQ","FILING_STATUS=MR","FA_ADJUSTED=GAAP","Sort=A","Dates=H","DateFormat=P","Fill=—","Direction=H","UseDPDF=Y")</f>
        <v>390.3603</v>
      </c>
      <c r="W47" s="14">
        <f>_xll.BDH("SRPT US Equity","AVERAGE_EV_TO_T12M_EBIT","FQ3 2024","FQ3 2024","Currency=USD","Period=FQ","BEST_FPERIOD_OVERRIDE=FQ","FILING_STATUS=MR","FA_ADJUSTED=GAAP","Sort=A","Dates=H","DateFormat=P","Fill=—","Direction=H","UseDPDF=Y")</f>
        <v>340.41</v>
      </c>
      <c r="X47" s="14">
        <f>_xll.BDH("SRPT US Equity","AVERAGE_EV_TO_T12M_EBIT","FQ4 2024","FQ4 2024","Currency=USD","Period=FQ","BEST_FPERIOD_OVERRIDE=FQ","FILING_STATUS=MR","FA_ADJUSTED=GAAP","Sort=A","Dates=H","DateFormat=P","Fill=—","Direction=H","UseDPDF=Y")</f>
        <v>145.33510000000001</v>
      </c>
      <c r="Y47" s="17"/>
      <c r="Z47" s="14"/>
      <c r="AA47" s="14"/>
    </row>
    <row r="48" spans="1:27" x14ac:dyDescent="0.25">
      <c r="A48" s="10" t="s">
        <v>211</v>
      </c>
      <c r="B48" s="10" t="s">
        <v>247</v>
      </c>
      <c r="C48" s="14" t="str">
        <f>_xll.BDH("SRPT US Equity","HIGH_EV_TO_T12M_EBIT","FQ3 2019","FQ3 2019","Currency=USD","Period=FQ","BEST_FPERIOD_OVERRIDE=FQ","FILING_STATUS=MR","FA_ADJUSTED=GAAP","Sort=A","Dates=H","DateFormat=P","Fill=—","Direction=H","UseDPDF=Y")</f>
        <v>—</v>
      </c>
      <c r="D48" s="14" t="str">
        <f>_xll.BDH("SRPT US Equity","HIGH_EV_TO_T12M_EBIT","FQ4 2019","FQ4 2019","Currency=USD","Period=FQ","BEST_FPERIOD_OVERRIDE=FQ","FILING_STATUS=MR","FA_ADJUSTED=GAAP","Sort=A","Dates=H","DateFormat=P","Fill=—","Direction=H","UseDPDF=Y")</f>
        <v>—</v>
      </c>
      <c r="E48" s="14" t="str">
        <f>_xll.BDH("SRPT US Equity","HIGH_EV_TO_T12M_EBIT","FQ1 2020","FQ1 2020","Currency=USD","Period=FQ","BEST_FPERIOD_OVERRIDE=FQ","FILING_STATUS=MR","FA_ADJUSTED=GAAP","Sort=A","Dates=H","DateFormat=P","Fill=—","Direction=H","UseDPDF=Y")</f>
        <v>—</v>
      </c>
      <c r="F48" s="14" t="str">
        <f>_xll.BDH("SRPT US Equity","HIGH_EV_TO_T12M_EBIT","FQ2 2020","FQ2 2020","Currency=USD","Period=FQ","BEST_FPERIOD_OVERRIDE=FQ","FILING_STATUS=MR","FA_ADJUSTED=GAAP","Sort=A","Dates=H","DateFormat=P","Fill=—","Direction=H","UseDPDF=Y")</f>
        <v>—</v>
      </c>
      <c r="G48" s="14" t="str">
        <f>_xll.BDH("SRPT US Equity","HIGH_EV_TO_T12M_EBIT","FQ3 2020","FQ3 2020","Currency=USD","Period=FQ","BEST_FPERIOD_OVERRIDE=FQ","FILING_STATUS=MR","FA_ADJUSTED=GAAP","Sort=A","Dates=H","DateFormat=P","Fill=—","Direction=H","UseDPDF=Y")</f>
        <v>—</v>
      </c>
      <c r="H48" s="14" t="str">
        <f>_xll.BDH("SRPT US Equity","HIGH_EV_TO_T12M_EBIT","FQ4 2020","FQ4 2020","Currency=USD","Period=FQ","BEST_FPERIOD_OVERRIDE=FQ","FILING_STATUS=MR","FA_ADJUSTED=GAAP","Sort=A","Dates=H","DateFormat=P","Fill=—","Direction=H","UseDPDF=Y")</f>
        <v>—</v>
      </c>
      <c r="I48" s="14" t="str">
        <f>_xll.BDH("SRPT US Equity","HIGH_EV_TO_T12M_EBIT","FQ1 2021","FQ1 2021","Currency=USD","Period=FQ","BEST_FPERIOD_OVERRIDE=FQ","FILING_STATUS=MR","FA_ADJUSTED=GAAP","Sort=A","Dates=H","DateFormat=P","Fill=—","Direction=H","UseDPDF=Y")</f>
        <v>—</v>
      </c>
      <c r="J48" s="14" t="str">
        <f>_xll.BDH("SRPT US Equity","HIGH_EV_TO_T12M_EBIT","FQ2 2021","FQ2 2021","Currency=USD","Period=FQ","BEST_FPERIOD_OVERRIDE=FQ","FILING_STATUS=MR","FA_ADJUSTED=GAAP","Sort=A","Dates=H","DateFormat=P","Fill=—","Direction=H","UseDPDF=Y")</f>
        <v>—</v>
      </c>
      <c r="K48" s="14" t="str">
        <f>_xll.BDH("SRPT US Equity","HIGH_EV_TO_T12M_EBIT","FQ3 2021","FQ3 2021","Currency=USD","Period=FQ","BEST_FPERIOD_OVERRIDE=FQ","FILING_STATUS=MR","FA_ADJUSTED=GAAP","Sort=A","Dates=H","DateFormat=P","Fill=—","Direction=H","UseDPDF=Y")</f>
        <v>—</v>
      </c>
      <c r="L48" s="14" t="str">
        <f>_xll.BDH("SRPT US Equity","HIGH_EV_TO_T12M_EBIT","FQ4 2021","FQ4 2021","Currency=USD","Period=FQ","BEST_FPERIOD_OVERRIDE=FQ","FILING_STATUS=MR","FA_ADJUSTED=GAAP","Sort=A","Dates=H","DateFormat=P","Fill=—","Direction=H","UseDPDF=Y")</f>
        <v>—</v>
      </c>
      <c r="M48" s="14" t="str">
        <f>_xll.BDH("SRPT US Equity","HIGH_EV_TO_T12M_EBIT","FQ1 2022","FQ1 2022","Currency=USD","Period=FQ","BEST_FPERIOD_OVERRIDE=FQ","FILING_STATUS=MR","FA_ADJUSTED=GAAP","Sort=A","Dates=H","DateFormat=P","Fill=—","Direction=H","UseDPDF=Y")</f>
        <v>—</v>
      </c>
      <c r="N48" s="14" t="str">
        <f>_xll.BDH("SRPT US Equity","HIGH_EV_TO_T12M_EBIT","FQ2 2022","FQ2 2022","Currency=USD","Period=FQ","BEST_FPERIOD_OVERRIDE=FQ","FILING_STATUS=MR","FA_ADJUSTED=GAAP","Sort=A","Dates=H","DateFormat=P","Fill=—","Direction=H","UseDPDF=Y")</f>
        <v>—</v>
      </c>
      <c r="O48" s="14" t="str">
        <f>_xll.BDH("SRPT US Equity","HIGH_EV_TO_T12M_EBIT","FQ3 2022","FQ3 2022","Currency=USD","Period=FQ","BEST_FPERIOD_OVERRIDE=FQ","FILING_STATUS=MR","FA_ADJUSTED=GAAP","Sort=A","Dates=H","DateFormat=P","Fill=—","Direction=H","UseDPDF=Y")</f>
        <v>—</v>
      </c>
      <c r="P48" s="14" t="str">
        <f>_xll.BDH("SRPT US Equity","HIGH_EV_TO_T12M_EBIT","FQ4 2022","FQ4 2022","Currency=USD","Period=FQ","BEST_FPERIOD_OVERRIDE=FQ","FILING_STATUS=MR","FA_ADJUSTED=GAAP","Sort=A","Dates=H","DateFormat=P","Fill=—","Direction=H","UseDPDF=Y")</f>
        <v>—</v>
      </c>
      <c r="Q48" s="14" t="str">
        <f>_xll.BDH("SRPT US Equity","HIGH_EV_TO_T12M_EBIT","FQ1 2023","FQ1 2023","Currency=USD","Period=FQ","BEST_FPERIOD_OVERRIDE=FQ","FILING_STATUS=MR","FA_ADJUSTED=GAAP","Sort=A","Dates=H","DateFormat=P","Fill=—","Direction=H","UseDPDF=Y")</f>
        <v>—</v>
      </c>
      <c r="R48" s="14" t="str">
        <f>_xll.BDH("SRPT US Equity","HIGH_EV_TO_T12M_EBIT","FQ2 2023","FQ2 2023","Currency=USD","Period=FQ","BEST_FPERIOD_OVERRIDE=FQ","FILING_STATUS=MR","FA_ADJUSTED=GAAP","Sort=A","Dates=H","DateFormat=P","Fill=—","Direction=H","UseDPDF=Y")</f>
        <v>—</v>
      </c>
      <c r="S48" s="14" t="str">
        <f>_xll.BDH("SRPT US Equity","HIGH_EV_TO_T12M_EBIT","FQ3 2023","FQ3 2023","Currency=USD","Period=FQ","BEST_FPERIOD_OVERRIDE=FQ","FILING_STATUS=MR","FA_ADJUSTED=GAAP","Sort=A","Dates=H","DateFormat=P","Fill=—","Direction=H","UseDPDF=Y")</f>
        <v>—</v>
      </c>
      <c r="T48" s="14" t="str">
        <f>_xll.BDH("SRPT US Equity","HIGH_EV_TO_T12M_EBIT","FQ4 2023","FQ4 2023","Currency=USD","Period=FQ","BEST_FPERIOD_OVERRIDE=FQ","FILING_STATUS=MR","FA_ADJUSTED=GAAP","Sort=A","Dates=H","DateFormat=P","Fill=—","Direction=H","UseDPDF=Y")</f>
        <v>—</v>
      </c>
      <c r="U48" s="14" t="str">
        <f>_xll.BDH("SRPT US Equity","HIGH_EV_TO_T12M_EBIT","FQ1 2024","FQ1 2024","Currency=USD","Period=FQ","BEST_FPERIOD_OVERRIDE=FQ","FILING_STATUS=MR","FA_ADJUSTED=GAAP","Sort=A","Dates=H","DateFormat=P","Fill=—","Direction=H","UseDPDF=Y")</f>
        <v>—</v>
      </c>
      <c r="V48" s="14">
        <f>_xll.BDH("SRPT US Equity","HIGH_EV_TO_T12M_EBIT","FQ2 2024","FQ2 2024","Currency=USD","Period=FQ","BEST_FPERIOD_OVERRIDE=FQ","FILING_STATUS=MR","FA_ADJUSTED=GAAP","Sort=A","Dates=H","DateFormat=P","Fill=—","Direction=H","UseDPDF=Y")</f>
        <v>390.3603</v>
      </c>
      <c r="W48" s="14">
        <f>_xll.BDH("SRPT US Equity","HIGH_EV_TO_T12M_EBIT","FQ3 2024","FQ3 2024","Currency=USD","Period=FQ","BEST_FPERIOD_OVERRIDE=FQ","FILING_STATUS=MR","FA_ADJUSTED=GAAP","Sort=A","Dates=H","DateFormat=P","Fill=—","Direction=H","UseDPDF=Y")</f>
        <v>387.24990000000003</v>
      </c>
      <c r="X48" s="14">
        <f>_xll.BDH("SRPT US Equity","HIGH_EV_TO_T12M_EBIT","FQ4 2024","FQ4 2024","Currency=USD","Period=FQ","BEST_FPERIOD_OVERRIDE=FQ","FILING_STATUS=MR","FA_ADJUSTED=GAAP","Sort=A","Dates=H","DateFormat=P","Fill=—","Direction=H","UseDPDF=Y")</f>
        <v>165.0162</v>
      </c>
      <c r="Y48" s="17"/>
      <c r="Z48" s="14"/>
      <c r="AA48" s="14"/>
    </row>
    <row r="49" spans="1:27" x14ac:dyDescent="0.25">
      <c r="A49" s="10" t="s">
        <v>213</v>
      </c>
      <c r="B49" s="10" t="s">
        <v>248</v>
      </c>
      <c r="C49" s="14" t="str">
        <f>_xll.BDH("SRPT US Equity","LOW_EV_TO_T12M_EBIT","FQ3 2019","FQ3 2019","Currency=USD","Period=FQ","BEST_FPERIOD_OVERRIDE=FQ","FILING_STATUS=MR","FA_ADJUSTED=GAAP","Sort=A","Dates=H","DateFormat=P","Fill=—","Direction=H","UseDPDF=Y")</f>
        <v>—</v>
      </c>
      <c r="D49" s="14" t="str">
        <f>_xll.BDH("SRPT US Equity","LOW_EV_TO_T12M_EBIT","FQ4 2019","FQ4 2019","Currency=USD","Period=FQ","BEST_FPERIOD_OVERRIDE=FQ","FILING_STATUS=MR","FA_ADJUSTED=GAAP","Sort=A","Dates=H","DateFormat=P","Fill=—","Direction=H","UseDPDF=Y")</f>
        <v>—</v>
      </c>
      <c r="E49" s="14" t="str">
        <f>_xll.BDH("SRPT US Equity","LOW_EV_TO_T12M_EBIT","FQ1 2020","FQ1 2020","Currency=USD","Period=FQ","BEST_FPERIOD_OVERRIDE=FQ","FILING_STATUS=MR","FA_ADJUSTED=GAAP","Sort=A","Dates=H","DateFormat=P","Fill=—","Direction=H","UseDPDF=Y")</f>
        <v>—</v>
      </c>
      <c r="F49" s="14" t="str">
        <f>_xll.BDH("SRPT US Equity","LOW_EV_TO_T12M_EBIT","FQ2 2020","FQ2 2020","Currency=USD","Period=FQ","BEST_FPERIOD_OVERRIDE=FQ","FILING_STATUS=MR","FA_ADJUSTED=GAAP","Sort=A","Dates=H","DateFormat=P","Fill=—","Direction=H","UseDPDF=Y")</f>
        <v>—</v>
      </c>
      <c r="G49" s="14" t="str">
        <f>_xll.BDH("SRPT US Equity","LOW_EV_TO_T12M_EBIT","FQ3 2020","FQ3 2020","Currency=USD","Period=FQ","BEST_FPERIOD_OVERRIDE=FQ","FILING_STATUS=MR","FA_ADJUSTED=GAAP","Sort=A","Dates=H","DateFormat=P","Fill=—","Direction=H","UseDPDF=Y")</f>
        <v>—</v>
      </c>
      <c r="H49" s="14" t="str">
        <f>_xll.BDH("SRPT US Equity","LOW_EV_TO_T12M_EBIT","FQ4 2020","FQ4 2020","Currency=USD","Period=FQ","BEST_FPERIOD_OVERRIDE=FQ","FILING_STATUS=MR","FA_ADJUSTED=GAAP","Sort=A","Dates=H","DateFormat=P","Fill=—","Direction=H","UseDPDF=Y")</f>
        <v>—</v>
      </c>
      <c r="I49" s="14" t="str">
        <f>_xll.BDH("SRPT US Equity","LOW_EV_TO_T12M_EBIT","FQ1 2021","FQ1 2021","Currency=USD","Period=FQ","BEST_FPERIOD_OVERRIDE=FQ","FILING_STATUS=MR","FA_ADJUSTED=GAAP","Sort=A","Dates=H","DateFormat=P","Fill=—","Direction=H","UseDPDF=Y")</f>
        <v>—</v>
      </c>
      <c r="J49" s="14" t="str">
        <f>_xll.BDH("SRPT US Equity","LOW_EV_TO_T12M_EBIT","FQ2 2021","FQ2 2021","Currency=USD","Period=FQ","BEST_FPERIOD_OVERRIDE=FQ","FILING_STATUS=MR","FA_ADJUSTED=GAAP","Sort=A","Dates=H","DateFormat=P","Fill=—","Direction=H","UseDPDF=Y")</f>
        <v>—</v>
      </c>
      <c r="K49" s="14" t="str">
        <f>_xll.BDH("SRPT US Equity","LOW_EV_TO_T12M_EBIT","FQ3 2021","FQ3 2021","Currency=USD","Period=FQ","BEST_FPERIOD_OVERRIDE=FQ","FILING_STATUS=MR","FA_ADJUSTED=GAAP","Sort=A","Dates=H","DateFormat=P","Fill=—","Direction=H","UseDPDF=Y")</f>
        <v>—</v>
      </c>
      <c r="L49" s="14" t="str">
        <f>_xll.BDH("SRPT US Equity","LOW_EV_TO_T12M_EBIT","FQ4 2021","FQ4 2021","Currency=USD","Period=FQ","BEST_FPERIOD_OVERRIDE=FQ","FILING_STATUS=MR","FA_ADJUSTED=GAAP","Sort=A","Dates=H","DateFormat=P","Fill=—","Direction=H","UseDPDF=Y")</f>
        <v>—</v>
      </c>
      <c r="M49" s="14" t="str">
        <f>_xll.BDH("SRPT US Equity","LOW_EV_TO_T12M_EBIT","FQ1 2022","FQ1 2022","Currency=USD","Period=FQ","BEST_FPERIOD_OVERRIDE=FQ","FILING_STATUS=MR","FA_ADJUSTED=GAAP","Sort=A","Dates=H","DateFormat=P","Fill=—","Direction=H","UseDPDF=Y")</f>
        <v>—</v>
      </c>
      <c r="N49" s="14" t="str">
        <f>_xll.BDH("SRPT US Equity","LOW_EV_TO_T12M_EBIT","FQ2 2022","FQ2 2022","Currency=USD","Period=FQ","BEST_FPERIOD_OVERRIDE=FQ","FILING_STATUS=MR","FA_ADJUSTED=GAAP","Sort=A","Dates=H","DateFormat=P","Fill=—","Direction=H","UseDPDF=Y")</f>
        <v>—</v>
      </c>
      <c r="O49" s="14" t="str">
        <f>_xll.BDH("SRPT US Equity","LOW_EV_TO_T12M_EBIT","FQ3 2022","FQ3 2022","Currency=USD","Period=FQ","BEST_FPERIOD_OVERRIDE=FQ","FILING_STATUS=MR","FA_ADJUSTED=GAAP","Sort=A","Dates=H","DateFormat=P","Fill=—","Direction=H","UseDPDF=Y")</f>
        <v>—</v>
      </c>
      <c r="P49" s="14" t="str">
        <f>_xll.BDH("SRPT US Equity","LOW_EV_TO_T12M_EBIT","FQ4 2022","FQ4 2022","Currency=USD","Period=FQ","BEST_FPERIOD_OVERRIDE=FQ","FILING_STATUS=MR","FA_ADJUSTED=GAAP","Sort=A","Dates=H","DateFormat=P","Fill=—","Direction=H","UseDPDF=Y")</f>
        <v>—</v>
      </c>
      <c r="Q49" s="14" t="str">
        <f>_xll.BDH("SRPT US Equity","LOW_EV_TO_T12M_EBIT","FQ1 2023","FQ1 2023","Currency=USD","Period=FQ","BEST_FPERIOD_OVERRIDE=FQ","FILING_STATUS=MR","FA_ADJUSTED=GAAP","Sort=A","Dates=H","DateFormat=P","Fill=—","Direction=H","UseDPDF=Y")</f>
        <v>—</v>
      </c>
      <c r="R49" s="14" t="str">
        <f>_xll.BDH("SRPT US Equity","LOW_EV_TO_T12M_EBIT","FQ2 2023","FQ2 2023","Currency=USD","Period=FQ","BEST_FPERIOD_OVERRIDE=FQ","FILING_STATUS=MR","FA_ADJUSTED=GAAP","Sort=A","Dates=H","DateFormat=P","Fill=—","Direction=H","UseDPDF=Y")</f>
        <v>—</v>
      </c>
      <c r="S49" s="14" t="str">
        <f>_xll.BDH("SRPT US Equity","LOW_EV_TO_T12M_EBIT","FQ3 2023","FQ3 2023","Currency=USD","Period=FQ","BEST_FPERIOD_OVERRIDE=FQ","FILING_STATUS=MR","FA_ADJUSTED=GAAP","Sort=A","Dates=H","DateFormat=P","Fill=—","Direction=H","UseDPDF=Y")</f>
        <v>—</v>
      </c>
      <c r="T49" s="14" t="str">
        <f>_xll.BDH("SRPT US Equity","LOW_EV_TO_T12M_EBIT","FQ4 2023","FQ4 2023","Currency=USD","Period=FQ","BEST_FPERIOD_OVERRIDE=FQ","FILING_STATUS=MR","FA_ADJUSTED=GAAP","Sort=A","Dates=H","DateFormat=P","Fill=—","Direction=H","UseDPDF=Y")</f>
        <v>—</v>
      </c>
      <c r="U49" s="14" t="str">
        <f>_xll.BDH("SRPT US Equity","LOW_EV_TO_T12M_EBIT","FQ1 2024","FQ1 2024","Currency=USD","Period=FQ","BEST_FPERIOD_OVERRIDE=FQ","FILING_STATUS=MR","FA_ADJUSTED=GAAP","Sort=A","Dates=H","DateFormat=P","Fill=—","Direction=H","UseDPDF=Y")</f>
        <v>—</v>
      </c>
      <c r="V49" s="14">
        <f>_xll.BDH("SRPT US Equity","LOW_EV_TO_T12M_EBIT","FQ2 2024","FQ2 2024","Currency=USD","Period=FQ","BEST_FPERIOD_OVERRIDE=FQ","FILING_STATUS=MR","FA_ADJUSTED=GAAP","Sort=A","Dates=H","DateFormat=P","Fill=—","Direction=H","UseDPDF=Y")</f>
        <v>390.3603</v>
      </c>
      <c r="W49" s="14">
        <f>_xll.BDH("SRPT US Equity","LOW_EV_TO_T12M_EBIT","FQ3 2024","FQ3 2024","Currency=USD","Period=FQ","BEST_FPERIOD_OVERRIDE=FQ","FILING_STATUS=MR","FA_ADJUSTED=GAAP","Sort=A","Dates=H","DateFormat=P","Fill=—","Direction=H","UseDPDF=Y")</f>
        <v>149.3954</v>
      </c>
      <c r="X49" s="14">
        <f>_xll.BDH("SRPT US Equity","LOW_EV_TO_T12M_EBIT","FQ4 2024","FQ4 2024","Currency=USD","Period=FQ","BEST_FPERIOD_OVERRIDE=FQ","FILING_STATUS=MR","FA_ADJUSTED=GAAP","Sort=A","Dates=H","DateFormat=P","Fill=—","Direction=H","UseDPDF=Y")</f>
        <v>53.1858</v>
      </c>
      <c r="Y49" s="17"/>
      <c r="Z49" s="14"/>
      <c r="AA49" s="14"/>
    </row>
    <row r="50" spans="1:27" x14ac:dyDescent="0.25">
      <c r="A50" s="6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21"/>
      <c r="Z50" s="18"/>
      <c r="AA50" s="18"/>
    </row>
    <row r="51" spans="1:27" x14ac:dyDescent="0.25">
      <c r="A51" s="6" t="s">
        <v>249</v>
      </c>
      <c r="B51" s="6" t="s">
        <v>250</v>
      </c>
      <c r="C51" s="20">
        <f>_xll.BDH("SRPT US Equity","PX_LAST","FQ3 2019","FQ3 2019","Currency=USD","Period=FQ","BEST_FPERIOD_OVERRIDE=FQ","FILING_STATUS=MR","Sort=A","Dates=H","DateFormat=P","Fill=—","Direction=H","UseDPDF=Y")</f>
        <v>75.319999999999993</v>
      </c>
      <c r="D51" s="20">
        <f>_xll.BDH("SRPT US Equity","PX_LAST","FQ4 2019","FQ4 2019","Currency=USD","Period=FQ","BEST_FPERIOD_OVERRIDE=FQ","FILING_STATUS=MR","Sort=A","Dates=H","DateFormat=P","Fill=—","Direction=H","UseDPDF=Y")</f>
        <v>129.04</v>
      </c>
      <c r="E51" s="20">
        <f>_xll.BDH("SRPT US Equity","PX_LAST","FQ1 2020","FQ1 2020","Currency=USD","Period=FQ","BEST_FPERIOD_OVERRIDE=FQ","FILING_STATUS=MR","Sort=A","Dates=H","DateFormat=P","Fill=—","Direction=H","UseDPDF=Y")</f>
        <v>97.82</v>
      </c>
      <c r="F51" s="20">
        <f>_xll.BDH("SRPT US Equity","PX_LAST","FQ2 2020","FQ2 2020","Currency=USD","Period=FQ","BEST_FPERIOD_OVERRIDE=FQ","FILING_STATUS=MR","Sort=A","Dates=H","DateFormat=P","Fill=—","Direction=H","UseDPDF=Y")</f>
        <v>160.34</v>
      </c>
      <c r="G51" s="20">
        <f>_xll.BDH("SRPT US Equity","PX_LAST","FQ3 2020","FQ3 2020","Currency=USD","Period=FQ","BEST_FPERIOD_OVERRIDE=FQ","FILING_STATUS=MR","Sort=A","Dates=H","DateFormat=P","Fill=—","Direction=H","UseDPDF=Y")</f>
        <v>140.43</v>
      </c>
      <c r="H51" s="20">
        <f>_xll.BDH("SRPT US Equity","PX_LAST","FQ4 2020","FQ4 2020","Currency=USD","Period=FQ","BEST_FPERIOD_OVERRIDE=FQ","FILING_STATUS=MR","Sort=A","Dates=H","DateFormat=P","Fill=—","Direction=H","UseDPDF=Y")</f>
        <v>170.49</v>
      </c>
      <c r="I51" s="20">
        <f>_xll.BDH("SRPT US Equity","PX_LAST","FQ1 2021","FQ1 2021","Currency=USD","Period=FQ","BEST_FPERIOD_OVERRIDE=FQ","FILING_STATUS=MR","Sort=A","Dates=H","DateFormat=P","Fill=—","Direction=H","UseDPDF=Y")</f>
        <v>74.53</v>
      </c>
      <c r="J51" s="20">
        <f>_xll.BDH("SRPT US Equity","PX_LAST","FQ2 2021","FQ2 2021","Currency=USD","Period=FQ","BEST_FPERIOD_OVERRIDE=FQ","FILING_STATUS=MR","Sort=A","Dates=H","DateFormat=P","Fill=—","Direction=H","UseDPDF=Y")</f>
        <v>77.739999999999995</v>
      </c>
      <c r="K51" s="20">
        <f>_xll.BDH("SRPT US Equity","PX_LAST","FQ3 2021","FQ3 2021","Currency=USD","Period=FQ","BEST_FPERIOD_OVERRIDE=FQ","FILING_STATUS=MR","Sort=A","Dates=H","DateFormat=P","Fill=—","Direction=H","UseDPDF=Y")</f>
        <v>92.48</v>
      </c>
      <c r="L51" s="20">
        <f>_xll.BDH("SRPT US Equity","PX_LAST","FQ4 2021","FQ4 2021","Currency=USD","Period=FQ","BEST_FPERIOD_OVERRIDE=FQ","FILING_STATUS=MR","Sort=A","Dates=H","DateFormat=P","Fill=—","Direction=H","UseDPDF=Y")</f>
        <v>90.05</v>
      </c>
      <c r="M51" s="20">
        <f>_xll.BDH("SRPT US Equity","PX_LAST","FQ1 2022","FQ1 2022","Currency=USD","Period=FQ","BEST_FPERIOD_OVERRIDE=FQ","FILING_STATUS=MR","Sort=A","Dates=H","DateFormat=P","Fill=—","Direction=H","UseDPDF=Y")</f>
        <v>78.12</v>
      </c>
      <c r="N51" s="20">
        <f>_xll.BDH("SRPT US Equity","PX_LAST","FQ2 2022","FQ2 2022","Currency=USD","Period=FQ","BEST_FPERIOD_OVERRIDE=FQ","FILING_STATUS=MR","Sort=A","Dates=H","DateFormat=P","Fill=—","Direction=H","UseDPDF=Y")</f>
        <v>74.959999999999994</v>
      </c>
      <c r="O51" s="20">
        <f>_xll.BDH("SRPT US Equity","PX_LAST","FQ3 2022","FQ3 2022","Currency=USD","Period=FQ","BEST_FPERIOD_OVERRIDE=FQ","FILING_STATUS=MR","Sort=A","Dates=H","DateFormat=P","Fill=—","Direction=H","UseDPDF=Y")</f>
        <v>110.54</v>
      </c>
      <c r="P51" s="20">
        <f>_xll.BDH("SRPT US Equity","PX_LAST","FQ4 2022","FQ4 2022","Currency=USD","Period=FQ","BEST_FPERIOD_OVERRIDE=FQ","FILING_STATUS=MR","Sort=A","Dates=H","DateFormat=P","Fill=—","Direction=H","UseDPDF=Y")</f>
        <v>129.58000000000001</v>
      </c>
      <c r="Q51" s="20">
        <f>_xll.BDH("SRPT US Equity","PX_LAST","FQ1 2023","FQ1 2023","Currency=USD","Period=FQ","BEST_FPERIOD_OVERRIDE=FQ","FILING_STATUS=MR","Sort=A","Dates=H","DateFormat=P","Fill=—","Direction=H","UseDPDF=Y")</f>
        <v>137.83000000000001</v>
      </c>
      <c r="R51" s="20">
        <f>_xll.BDH("SRPT US Equity","PX_LAST","FQ2 2023","FQ2 2023","Currency=USD","Period=FQ","BEST_FPERIOD_OVERRIDE=FQ","FILING_STATUS=MR","Sort=A","Dates=H","DateFormat=P","Fill=—","Direction=H","UseDPDF=Y")</f>
        <v>114.52</v>
      </c>
      <c r="S51" s="20">
        <f>_xll.BDH("SRPT US Equity","PX_LAST","FQ3 2023","FQ3 2023","Currency=USD","Period=FQ","BEST_FPERIOD_OVERRIDE=FQ","FILING_STATUS=MR","Sort=A","Dates=H","DateFormat=P","Fill=—","Direction=H","UseDPDF=Y")</f>
        <v>121.22</v>
      </c>
      <c r="T51" s="20">
        <f>_xll.BDH("SRPT US Equity","PX_LAST","FQ4 2023","FQ4 2023","Currency=USD","Period=FQ","BEST_FPERIOD_OVERRIDE=FQ","FILING_STATUS=MR","Sort=A","Dates=H","DateFormat=P","Fill=—","Direction=H","UseDPDF=Y")</f>
        <v>96.43</v>
      </c>
      <c r="U51" s="20">
        <f>_xll.BDH("SRPT US Equity","PX_LAST","FQ1 2024","FQ1 2024","Currency=USD","Period=FQ","BEST_FPERIOD_OVERRIDE=FQ","FILING_STATUS=MR","Sort=A","Dates=H","DateFormat=P","Fill=—","Direction=H","UseDPDF=Y")</f>
        <v>129.46</v>
      </c>
      <c r="V51" s="20">
        <f>_xll.BDH("SRPT US Equity","PX_LAST","FQ2 2024","FQ2 2024","Currency=USD","Period=FQ","BEST_FPERIOD_OVERRIDE=FQ","FILING_STATUS=MR","Sort=A","Dates=H","DateFormat=P","Fill=—","Direction=H","UseDPDF=Y")</f>
        <v>158</v>
      </c>
      <c r="W51" s="20">
        <f>_xll.BDH("SRPT US Equity","PX_LAST","FQ3 2024","FQ3 2024","Currency=USD","Period=FQ","BEST_FPERIOD_OVERRIDE=FQ","FILING_STATUS=MR","Sort=A","Dates=H","DateFormat=P","Fill=—","Direction=H","UseDPDF=Y")</f>
        <v>124.89</v>
      </c>
      <c r="X51" s="20">
        <f>_xll.BDH("SRPT US Equity","PX_LAST","FQ4 2024","FQ4 2024","Currency=USD","Period=FQ","BEST_FPERIOD_OVERRIDE=FQ","FILING_STATUS=MR","Sort=A","Dates=H","DateFormat=P","Fill=—","Direction=H","UseDPDF=Y")</f>
        <v>121.59</v>
      </c>
      <c r="Y51" s="23">
        <v>70.387496948242202</v>
      </c>
      <c r="Z51" s="20"/>
      <c r="AA51" s="20"/>
    </row>
    <row r="52" spans="1:27" x14ac:dyDescent="0.25">
      <c r="A52" s="10" t="s">
        <v>211</v>
      </c>
      <c r="B52" s="10" t="s">
        <v>251</v>
      </c>
      <c r="C52" s="14">
        <f>_xll.BDH("SRPT US Equity","PX_HIGH","FQ3 2019","FQ3 2019","Currency=USD","Period=FQ","BEST_FPERIOD_OVERRIDE=FQ","FILING_STATUS=MR","Sort=A","Dates=H","DateFormat=P","Fill=—","Direction=H","UseDPDF=Y")</f>
        <v>158.80000000000001</v>
      </c>
      <c r="D52" s="14">
        <f>_xll.BDH("SRPT US Equity","PX_HIGH","FQ4 2019","FQ4 2019","Currency=USD","Period=FQ","BEST_FPERIOD_OVERRIDE=FQ","FILING_STATUS=MR","Sort=A","Dates=H","DateFormat=P","Fill=—","Direction=H","UseDPDF=Y")</f>
        <v>138.79</v>
      </c>
      <c r="E52" s="14">
        <f>_xll.BDH("SRPT US Equity","PX_HIGH","FQ1 2020","FQ1 2020","Currency=USD","Period=FQ","BEST_FPERIOD_OVERRIDE=FQ","FILING_STATUS=MR","Sort=A","Dates=H","DateFormat=P","Fill=—","Direction=H","UseDPDF=Y")</f>
        <v>134.57079999999999</v>
      </c>
      <c r="F52" s="14">
        <f>_xll.BDH("SRPT US Equity","PX_HIGH","FQ2 2020","FQ2 2020","Currency=USD","Period=FQ","BEST_FPERIOD_OVERRIDE=FQ","FILING_STATUS=MR","Sort=A","Dates=H","DateFormat=P","Fill=—","Direction=H","UseDPDF=Y")</f>
        <v>172.7</v>
      </c>
      <c r="G52" s="14">
        <f>_xll.BDH("SRPT US Equity","PX_HIGH","FQ3 2020","FQ3 2020","Currency=USD","Period=FQ","BEST_FPERIOD_OVERRIDE=FQ","FILING_STATUS=MR","Sort=A","Dates=H","DateFormat=P","Fill=—","Direction=H","UseDPDF=Y")</f>
        <v>175</v>
      </c>
      <c r="H52" s="14">
        <f>_xll.BDH("SRPT US Equity","PX_HIGH","FQ4 2020","FQ4 2020","Currency=USD","Period=FQ","BEST_FPERIOD_OVERRIDE=FQ","FILING_STATUS=MR","Sort=A","Dates=H","DateFormat=P","Fill=—","Direction=H","UseDPDF=Y")</f>
        <v>181.83</v>
      </c>
      <c r="I52" s="14">
        <f>_xll.BDH("SRPT US Equity","PX_HIGH","FQ1 2021","FQ1 2021","Currency=USD","Period=FQ","BEST_FPERIOD_OVERRIDE=FQ","FILING_STATUS=MR","Sort=A","Dates=H","DateFormat=P","Fill=—","Direction=H","UseDPDF=Y")</f>
        <v>174.49</v>
      </c>
      <c r="J52" s="14">
        <f>_xll.BDH("SRPT US Equity","PX_HIGH","FQ2 2021","FQ2 2021","Currency=USD","Period=FQ","BEST_FPERIOD_OVERRIDE=FQ","FILING_STATUS=MR","Sort=A","Dates=H","DateFormat=P","Fill=—","Direction=H","UseDPDF=Y")</f>
        <v>90</v>
      </c>
      <c r="K52" s="14">
        <f>_xll.BDH("SRPT US Equity","PX_HIGH","FQ3 2021","FQ3 2021","Currency=USD","Period=FQ","BEST_FPERIOD_OVERRIDE=FQ","FILING_STATUS=MR","Sort=A","Dates=H","DateFormat=P","Fill=—","Direction=H","UseDPDF=Y")</f>
        <v>93.5</v>
      </c>
      <c r="L52" s="14">
        <f>_xll.BDH("SRPT US Equity","PX_HIGH","FQ4 2021","FQ4 2021","Currency=USD","Period=FQ","BEST_FPERIOD_OVERRIDE=FQ","FILING_STATUS=MR","Sort=A","Dates=H","DateFormat=P","Fill=—","Direction=H","UseDPDF=Y")</f>
        <v>101.24</v>
      </c>
      <c r="M52" s="14">
        <f>_xll.BDH("SRPT US Equity","PX_HIGH","FQ1 2022","FQ1 2022","Currency=USD","Period=FQ","BEST_FPERIOD_OVERRIDE=FQ","FILING_STATUS=MR","Sort=A","Dates=H","DateFormat=P","Fill=—","Direction=H","UseDPDF=Y")</f>
        <v>92</v>
      </c>
      <c r="N52" s="14">
        <f>_xll.BDH("SRPT US Equity","PX_HIGH","FQ2 2022","FQ2 2022","Currency=USD","Period=FQ","BEST_FPERIOD_OVERRIDE=FQ","FILING_STATUS=MR","Sort=A","Dates=H","DateFormat=P","Fill=—","Direction=H","UseDPDF=Y")</f>
        <v>89.55</v>
      </c>
      <c r="O52" s="14">
        <f>_xll.BDH("SRPT US Equity","PX_HIGH","FQ3 2022","FQ3 2022","Currency=USD","Period=FQ","BEST_FPERIOD_OVERRIDE=FQ","FILING_STATUS=MR","Sort=A","Dates=H","DateFormat=P","Fill=—","Direction=H","UseDPDF=Y")</f>
        <v>120.23</v>
      </c>
      <c r="P52" s="14">
        <f>_xll.BDH("SRPT US Equity","PX_HIGH","FQ4 2022","FQ4 2022","Currency=USD","Period=FQ","BEST_FPERIOD_OVERRIDE=FQ","FILING_STATUS=MR","Sort=A","Dates=H","DateFormat=P","Fill=—","Direction=H","UseDPDF=Y")</f>
        <v>134.08000000000001</v>
      </c>
      <c r="Q52" s="14">
        <f>_xll.BDH("SRPT US Equity","PX_HIGH","FQ1 2023","FQ1 2023","Currency=USD","Period=FQ","BEST_FPERIOD_OVERRIDE=FQ","FILING_STATUS=MR","Sort=A","Dates=H","DateFormat=P","Fill=—","Direction=H","UseDPDF=Y")</f>
        <v>159.83500000000001</v>
      </c>
      <c r="R52" s="14">
        <f>_xll.BDH("SRPT US Equity","PX_HIGH","FQ2 2023","FQ2 2023","Currency=USD","Period=FQ","BEST_FPERIOD_OVERRIDE=FQ","FILING_STATUS=MR","Sort=A","Dates=H","DateFormat=P","Fill=—","Direction=H","UseDPDF=Y")</f>
        <v>159.88999999999999</v>
      </c>
      <c r="S52" s="14">
        <f>_xll.BDH("SRPT US Equity","PX_HIGH","FQ3 2023","FQ3 2023","Currency=USD","Period=FQ","BEST_FPERIOD_OVERRIDE=FQ","FILING_STATUS=MR","Sort=A","Dates=H","DateFormat=P","Fill=—","Direction=H","UseDPDF=Y")</f>
        <v>124.51</v>
      </c>
      <c r="T52" s="14">
        <f>_xll.BDH("SRPT US Equity","PX_HIGH","FQ4 2023","FQ4 2023","Currency=USD","Period=FQ","BEST_FPERIOD_OVERRIDE=FQ","FILING_STATUS=MR","Sort=A","Dates=H","DateFormat=P","Fill=—","Direction=H","UseDPDF=Y")</f>
        <v>125</v>
      </c>
      <c r="U52" s="14">
        <f>_xll.BDH("SRPT US Equity","PX_HIGH","FQ1 2024","FQ1 2024","Currency=USD","Period=FQ","BEST_FPERIOD_OVERRIDE=FQ","FILING_STATUS=MR","Sort=A","Dates=H","DateFormat=P","Fill=—","Direction=H","UseDPDF=Y")</f>
        <v>143</v>
      </c>
      <c r="V52" s="14">
        <f>_xll.BDH("SRPT US Equity","PX_HIGH","FQ2 2024","FQ2 2024","Currency=USD","Period=FQ","BEST_FPERIOD_OVERRIDE=FQ","FILING_STATUS=MR","Sort=A","Dates=H","DateFormat=P","Fill=—","Direction=H","UseDPDF=Y")</f>
        <v>173.25</v>
      </c>
      <c r="W52" s="14">
        <f>_xll.BDH("SRPT US Equity","PX_HIGH","FQ3 2024","FQ3 2024","Currency=USD","Period=FQ","BEST_FPERIOD_OVERRIDE=FQ","FILING_STATUS=MR","Sort=A","Dates=H","DateFormat=P","Fill=—","Direction=H","UseDPDF=Y")</f>
        <v>162.94999999999999</v>
      </c>
      <c r="X52" s="14">
        <f>_xll.BDH("SRPT US Equity","PX_HIGH","FQ4 2024","FQ4 2024","Currency=USD","Period=FQ","BEST_FPERIOD_OVERRIDE=FQ","FILING_STATUS=MR","Sort=A","Dates=H","DateFormat=P","Fill=—","Direction=H","UseDPDF=Y")</f>
        <v>138.81</v>
      </c>
      <c r="Y52" s="17">
        <v>72.050003051757798</v>
      </c>
      <c r="Z52" s="14"/>
      <c r="AA52" s="14"/>
    </row>
    <row r="53" spans="1:27" x14ac:dyDescent="0.25">
      <c r="A53" s="10" t="s">
        <v>213</v>
      </c>
      <c r="B53" s="10" t="s">
        <v>252</v>
      </c>
      <c r="C53" s="14">
        <f>_xll.BDH("SRPT US Equity","PX_LOW","FQ3 2019","FQ3 2019","Currency=USD","Period=FQ","BEST_FPERIOD_OVERRIDE=FQ","FILING_STATUS=MR","Sort=A","Dates=H","DateFormat=P","Fill=—","Direction=H","UseDPDF=Y")</f>
        <v>72.05</v>
      </c>
      <c r="D53" s="14">
        <f>_xll.BDH("SRPT US Equity","PX_LOW","FQ4 2019","FQ4 2019","Currency=USD","Period=FQ","BEST_FPERIOD_OVERRIDE=FQ","FILING_STATUS=MR","Sort=A","Dates=H","DateFormat=P","Fill=—","Direction=H","UseDPDF=Y")</f>
        <v>73.72</v>
      </c>
      <c r="E53" s="14">
        <f>_xll.BDH("SRPT US Equity","PX_LOW","FQ1 2020","FQ1 2020","Currency=USD","Period=FQ","BEST_FPERIOD_OVERRIDE=FQ","FILING_STATUS=MR","Sort=A","Dates=H","DateFormat=P","Fill=—","Direction=H","UseDPDF=Y")</f>
        <v>78.06</v>
      </c>
      <c r="F53" s="14">
        <f>_xll.BDH("SRPT US Equity","PX_LOW","FQ2 2020","FQ2 2020","Currency=USD","Period=FQ","BEST_FPERIOD_OVERRIDE=FQ","FILING_STATUS=MR","Sort=A","Dates=H","DateFormat=P","Fill=—","Direction=H","UseDPDF=Y")</f>
        <v>91.53</v>
      </c>
      <c r="G53" s="14">
        <f>_xll.BDH("SRPT US Equity","PX_LOW","FQ3 2020","FQ3 2020","Currency=USD","Period=FQ","BEST_FPERIOD_OVERRIDE=FQ","FILING_STATUS=MR","Sort=A","Dates=H","DateFormat=P","Fill=—","Direction=H","UseDPDF=Y")</f>
        <v>125.5</v>
      </c>
      <c r="H53" s="14">
        <f>_xll.BDH("SRPT US Equity","PX_LOW","FQ4 2020","FQ4 2020","Currency=USD","Period=FQ","BEST_FPERIOD_OVERRIDE=FQ","FILING_STATUS=MR","Sort=A","Dates=H","DateFormat=P","Fill=—","Direction=H","UseDPDF=Y")</f>
        <v>122.38</v>
      </c>
      <c r="I53" s="14">
        <f>_xll.BDH("SRPT US Equity","PX_LOW","FQ1 2021","FQ1 2021","Currency=USD","Period=FQ","BEST_FPERIOD_OVERRIDE=FQ","FILING_STATUS=MR","Sort=A","Dates=H","DateFormat=P","Fill=—","Direction=H","UseDPDF=Y")</f>
        <v>69.555000000000007</v>
      </c>
      <c r="J53" s="14">
        <f>_xll.BDH("SRPT US Equity","PX_LOW","FQ2 2021","FQ2 2021","Currency=USD","Period=FQ","BEST_FPERIOD_OVERRIDE=FQ","FILING_STATUS=MR","Sort=A","Dates=H","DateFormat=P","Fill=—","Direction=H","UseDPDF=Y")</f>
        <v>67.680000000000007</v>
      </c>
      <c r="K53" s="14">
        <f>_xll.BDH("SRPT US Equity","PX_LOW","FQ3 2021","FQ3 2021","Currency=USD","Period=FQ","BEST_FPERIOD_OVERRIDE=FQ","FILING_STATUS=MR","Sort=A","Dates=H","DateFormat=P","Fill=—","Direction=H","UseDPDF=Y")</f>
        <v>65.3</v>
      </c>
      <c r="L53" s="14">
        <f>_xll.BDH("SRPT US Equity","PX_LOW","FQ4 2021","FQ4 2021","Currency=USD","Period=FQ","BEST_FPERIOD_OVERRIDE=FQ","FILING_STATUS=MR","Sort=A","Dates=H","DateFormat=P","Fill=—","Direction=H","UseDPDF=Y")</f>
        <v>75.8</v>
      </c>
      <c r="M53" s="14">
        <f>_xll.BDH("SRPT US Equity","PX_LOW","FQ1 2022","FQ1 2022","Currency=USD","Period=FQ","BEST_FPERIOD_OVERRIDE=FQ","FILING_STATUS=MR","Sort=A","Dates=H","DateFormat=P","Fill=—","Direction=H","UseDPDF=Y")</f>
        <v>61.31</v>
      </c>
      <c r="N53" s="14">
        <f>_xll.BDH("SRPT US Equity","PX_LOW","FQ2 2022","FQ2 2022","Currency=USD","Period=FQ","BEST_FPERIOD_OVERRIDE=FQ","FILING_STATUS=MR","Sort=A","Dates=H","DateFormat=P","Fill=—","Direction=H","UseDPDF=Y")</f>
        <v>61.28</v>
      </c>
      <c r="O53" s="14">
        <f>_xll.BDH("SRPT US Equity","PX_LOW","FQ3 2022","FQ3 2022","Currency=USD","Period=FQ","BEST_FPERIOD_OVERRIDE=FQ","FILING_STATUS=MR","Sort=A","Dates=H","DateFormat=P","Fill=—","Direction=H","UseDPDF=Y")</f>
        <v>72.02</v>
      </c>
      <c r="P53" s="14">
        <f>_xll.BDH("SRPT US Equity","PX_LOW","FQ4 2022","FQ4 2022","Currency=USD","Period=FQ","BEST_FPERIOD_OVERRIDE=FQ","FILING_STATUS=MR","Sort=A","Dates=H","DateFormat=P","Fill=—","Direction=H","UseDPDF=Y")</f>
        <v>100.15</v>
      </c>
      <c r="Q53" s="14">
        <f>_xll.BDH("SRPT US Equity","PX_LOW","FQ1 2023","FQ1 2023","Currency=USD","Period=FQ","BEST_FPERIOD_OVERRIDE=FQ","FILING_STATUS=MR","Sort=A","Dates=H","DateFormat=P","Fill=—","Direction=H","UseDPDF=Y")</f>
        <v>116.1</v>
      </c>
      <c r="R53" s="14">
        <f>_xll.BDH("SRPT US Equity","PX_LOW","FQ2 2023","FQ2 2023","Currency=USD","Period=FQ","BEST_FPERIOD_OVERRIDE=FQ","FILING_STATUS=MR","Sort=A","Dates=H","DateFormat=P","Fill=—","Direction=H","UseDPDF=Y")</f>
        <v>105.04</v>
      </c>
      <c r="S53" s="14">
        <f>_xll.BDH("SRPT US Equity","PX_LOW","FQ3 2023","FQ3 2023","Currency=USD","Period=FQ","BEST_FPERIOD_OVERRIDE=FQ","FILING_STATUS=MR","Sort=A","Dates=H","DateFormat=P","Fill=—","Direction=H","UseDPDF=Y")</f>
        <v>100.72499999999999</v>
      </c>
      <c r="T53" s="14">
        <f>_xll.BDH("SRPT US Equity","PX_LOW","FQ4 2023","FQ4 2023","Currency=USD","Period=FQ","BEST_FPERIOD_OVERRIDE=FQ","FILING_STATUS=MR","Sort=A","Dates=H","DateFormat=P","Fill=—","Direction=H","UseDPDF=Y")</f>
        <v>55.25</v>
      </c>
      <c r="U53" s="14">
        <f>_xll.BDH("SRPT US Equity","PX_LOW","FQ1 2024","FQ1 2024","Currency=USD","Period=FQ","BEST_FPERIOD_OVERRIDE=FQ","FILING_STATUS=MR","Sort=A","Dates=H","DateFormat=P","Fill=—","Direction=H","UseDPDF=Y")</f>
        <v>91.343900000000005</v>
      </c>
      <c r="V53" s="14">
        <f>_xll.BDH("SRPT US Equity","PX_LOW","FQ2 2024","FQ2 2024","Currency=USD","Period=FQ","BEST_FPERIOD_OVERRIDE=FQ","FILING_STATUS=MR","Sort=A","Dates=H","DateFormat=P","Fill=—","Direction=H","UseDPDF=Y")</f>
        <v>109.91</v>
      </c>
      <c r="W53" s="14">
        <f>_xll.BDH("SRPT US Equity","PX_LOW","FQ3 2024","FQ3 2024","Currency=USD","Period=FQ","BEST_FPERIOD_OVERRIDE=FQ","FILING_STATUS=MR","Sort=A","Dates=H","DateFormat=P","Fill=—","Direction=H","UseDPDF=Y")</f>
        <v>120.42</v>
      </c>
      <c r="X53" s="14">
        <f>_xll.BDH("SRPT US Equity","PX_LOW","FQ4 2024","FQ4 2024","Currency=USD","Period=FQ","BEST_FPERIOD_OVERRIDE=FQ","FILING_STATUS=MR","Sort=A","Dates=H","DateFormat=P","Fill=—","Direction=H","UseDPDF=Y")</f>
        <v>102.155</v>
      </c>
      <c r="Y53" s="17">
        <v>70.330001831054702</v>
      </c>
      <c r="Z53" s="14"/>
      <c r="AA53" s="14"/>
    </row>
    <row r="54" spans="1:27" x14ac:dyDescent="0.25">
      <c r="A54" s="6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21"/>
      <c r="Z54" s="18"/>
      <c r="AA54" s="18"/>
    </row>
    <row r="55" spans="1:27" x14ac:dyDescent="0.25">
      <c r="A55" s="6" t="s">
        <v>68</v>
      </c>
      <c r="B55" s="6" t="s">
        <v>69</v>
      </c>
      <c r="C55" s="19">
        <f>_xll.BDH("SRPT US Equity","ENTERPRISE_VALUE","FQ3 2019","FQ3 2019","Currency=USD","Period=FQ","BEST_FPERIOD_OVERRIDE=FQ","FILING_STATUS=MR","SCALING_FORMAT=MLN","Sort=A","Dates=H","DateFormat=P","Fill=—","Direction=H","UseDPDF=Y")</f>
        <v>5056.5702000000001</v>
      </c>
      <c r="D55" s="19">
        <f>_xll.BDH("SRPT US Equity","ENTERPRISE_VALUE","FQ4 2019","FQ4 2019","Currency=USD","Period=FQ","BEST_FPERIOD_OVERRIDE=FQ","FILING_STATUS=MR","SCALING_FORMAT=MLN","Sort=A","Dates=H","DateFormat=P","Fill=—","Direction=H","UseDPDF=Y")</f>
        <v>9314.5727000000006</v>
      </c>
      <c r="E55" s="19">
        <f>_xll.BDH("SRPT US Equity","ENTERPRISE_VALUE","FQ1 2020","FQ1 2020","Currency=USD","Period=FQ","BEST_FPERIOD_OVERRIDE=FQ","FILING_STATUS=MR","SCALING_FORMAT=MLN","Sort=A","Dates=H","DateFormat=P","Fill=—","Direction=H","UseDPDF=Y")</f>
        <v>6198.3289999999997</v>
      </c>
      <c r="F55" s="19">
        <f>_xll.BDH("SRPT US Equity","ENTERPRISE_VALUE","FQ2 2020","FQ2 2020","Currency=USD","Period=FQ","BEST_FPERIOD_OVERRIDE=FQ","FILING_STATUS=MR","SCALING_FORMAT=MLN","Sort=A","Dates=H","DateFormat=P","Fill=—","Direction=H","UseDPDF=Y")</f>
        <v>11271.5093</v>
      </c>
      <c r="G55" s="19">
        <f>_xll.BDH("SRPT US Equity","ENTERPRISE_VALUE","FQ3 2020","FQ3 2020","Currency=USD","Period=FQ","BEST_FPERIOD_OVERRIDE=FQ","FILING_STATUS=MR","SCALING_FORMAT=MLN","Sort=A","Dates=H","DateFormat=P","Fill=—","Direction=H","UseDPDF=Y")</f>
        <v>10007.475</v>
      </c>
      <c r="H55" s="19">
        <f>_xll.BDH("SRPT US Equity","ENTERPRISE_VALUE","FQ4 2020","FQ4 2020","Currency=USD","Period=FQ","BEST_FPERIOD_OVERRIDE=FQ","FILING_STATUS=MR","SCALING_FORMAT=MLN","Sort=A","Dates=H","DateFormat=P","Fill=—","Direction=H","UseDPDF=Y")</f>
        <v>12678.419400000001</v>
      </c>
      <c r="I55" s="19">
        <f>_xll.BDH("SRPT US Equity","ENTERPRISE_VALUE","FQ1 2021","FQ1 2021","Currency=USD","Period=FQ","BEST_FPERIOD_OVERRIDE=FQ","FILING_STATUS=MR","SCALING_FORMAT=MLN","Sort=A","Dates=H","DateFormat=P","Fill=—","Direction=H","UseDPDF=Y")</f>
        <v>5348.2636000000002</v>
      </c>
      <c r="J55" s="19">
        <f>_xll.BDH("SRPT US Equity","ENTERPRISE_VALUE","FQ2 2021","FQ2 2021","Currency=USD","Period=FQ","BEST_FPERIOD_OVERRIDE=FQ","FILING_STATUS=MR","SCALING_FORMAT=MLN","Sort=A","Dates=H","DateFormat=P","Fill=—","Direction=H","UseDPDF=Y")</f>
        <v>5627.6962000000003</v>
      </c>
      <c r="K55" s="19">
        <f>_xll.BDH("SRPT US Equity","ENTERPRISE_VALUE","FQ3 2021","FQ3 2021","Currency=USD","Period=FQ","BEST_FPERIOD_OVERRIDE=FQ","FILING_STATUS=MR","SCALING_FORMAT=MLN","Sort=A","Dates=H","DateFormat=P","Fill=—","Direction=H","UseDPDF=Y")</f>
        <v>6944.4766</v>
      </c>
      <c r="L55" s="19">
        <f>_xll.BDH("SRPT US Equity","ENTERPRISE_VALUE","FQ4 2021","FQ4 2021","Currency=USD","Period=FQ","BEST_FPERIOD_OVERRIDE=FQ","FILING_STATUS=MR","SCALING_FORMAT=MLN","Sort=A","Dates=H","DateFormat=P","Fill=—","Direction=H","UseDPDF=Y")</f>
        <v>6873.4480000000003</v>
      </c>
      <c r="M55" s="19">
        <f>_xll.BDH("SRPT US Equity","ENTERPRISE_VALUE","FQ1 2022","FQ1 2022","Currency=USD","Period=FQ","BEST_FPERIOD_OVERRIDE=FQ","FILING_STATUS=MR","SCALING_FORMAT=MLN","Sort=A","Dates=H","DateFormat=P","Fill=—","Direction=H","UseDPDF=Y")</f>
        <v>5949.5447999999997</v>
      </c>
      <c r="N55" s="19">
        <f>_xll.BDH("SRPT US Equity","ENTERPRISE_VALUE","FQ2 2022","FQ2 2022","Currency=USD","Period=FQ","BEST_FPERIOD_OVERRIDE=FQ","FILING_STATUS=MR","SCALING_FORMAT=MLN","Sort=A","Dates=H","DateFormat=P","Fill=—","Direction=H","UseDPDF=Y")</f>
        <v>5755.3689999999997</v>
      </c>
      <c r="O55" s="19">
        <f>_xll.BDH("SRPT US Equity","ENTERPRISE_VALUE","FQ3 2022","FQ3 2022","Currency=USD","Period=FQ","BEST_FPERIOD_OVERRIDE=FQ","FILING_STATUS=MR","SCALING_FORMAT=MLN","Sort=A","Dates=H","DateFormat=P","Fill=—","Direction=H","UseDPDF=Y")</f>
        <v>9188.1666000000005</v>
      </c>
      <c r="P55" s="19">
        <f>_xll.BDH("SRPT US Equity","ENTERPRISE_VALUE","FQ4 2022","FQ4 2022","Currency=USD","Period=FQ","BEST_FPERIOD_OVERRIDE=FQ","FILING_STATUS=MR","SCALING_FORMAT=MLN","Sort=A","Dates=H","DateFormat=P","Fill=—","Direction=H","UseDPDF=Y")</f>
        <v>11005.537200000001</v>
      </c>
      <c r="Q55" s="19">
        <f>_xll.BDH("SRPT US Equity","ENTERPRISE_VALUE","FQ1 2023","FQ1 2023","Currency=USD","Period=FQ","BEST_FPERIOD_OVERRIDE=FQ","FILING_STATUS=MR","SCALING_FORMAT=MLN","Sort=A","Dates=H","DateFormat=P","Fill=—","Direction=H","UseDPDF=Y")</f>
        <v>12224.5988</v>
      </c>
      <c r="R55" s="19">
        <f>_xll.BDH("SRPT US Equity","ENTERPRISE_VALUE","FQ2 2023","FQ2 2023","Currency=USD","Period=FQ","BEST_FPERIOD_OVERRIDE=FQ","FILING_STATUS=MR","SCALING_FORMAT=MLN","Sort=A","Dates=H","DateFormat=P","Fill=—","Direction=H","UseDPDF=Y")</f>
        <v>10166.633900000001</v>
      </c>
      <c r="S55" s="19">
        <f>_xll.BDH("SRPT US Equity","ENTERPRISE_VALUE","FQ3 2023","FQ3 2023","Currency=USD","Period=FQ","BEST_FPERIOD_OVERRIDE=FQ","FILING_STATUS=MR","SCALING_FORMAT=MLN","Sort=A","Dates=H","DateFormat=P","Fill=—","Direction=H","UseDPDF=Y")</f>
        <v>10987.0142</v>
      </c>
      <c r="T55" s="19">
        <f>_xll.BDH("SRPT US Equity","ENTERPRISE_VALUE","FQ4 2023","FQ4 2023","Currency=USD","Period=FQ","BEST_FPERIOD_OVERRIDE=FQ","FILING_STATUS=MR","SCALING_FORMAT=MLN","Sort=A","Dates=H","DateFormat=P","Fill=—","Direction=H","UseDPDF=Y")</f>
        <v>8752.5915000000005</v>
      </c>
      <c r="U55" s="19">
        <f>_xll.BDH("SRPT US Equity","ENTERPRISE_VALUE","FQ1 2024","FQ1 2024","Currency=USD","Period=FQ","BEST_FPERIOD_OVERRIDE=FQ","FILING_STATUS=MR","SCALING_FORMAT=MLN","Sort=A","Dates=H","DateFormat=P","Fill=—","Direction=H","UseDPDF=Y")</f>
        <v>12205.7217</v>
      </c>
      <c r="V55" s="19">
        <f>_xll.BDH("SRPT US Equity","ENTERPRISE_VALUE","FQ2 2024","FQ2 2024","Currency=USD","Period=FQ","BEST_FPERIOD_OVERRIDE=FQ","FILING_STATUS=MR","SCALING_FORMAT=MLN","Sort=A","Dates=H","DateFormat=P","Fill=—","Direction=H","UseDPDF=Y")</f>
        <v>14948.513800000001</v>
      </c>
      <c r="W55" s="19">
        <f>_xll.BDH("SRPT US Equity","ENTERPRISE_VALUE","FQ3 2024","FQ3 2024","Currency=USD","Period=FQ","BEST_FPERIOD_OVERRIDE=FQ","FILING_STATUS=MR","SCALING_FORMAT=MLN","Sort=A","Dates=H","DateFormat=P","Fill=—","Direction=H","UseDPDF=Y")</f>
        <v>12120.5784</v>
      </c>
      <c r="X55" s="19">
        <f>_xll.BDH("SRPT US Equity","ENTERPRISE_VALUE","FQ4 2024","FQ4 2024","Currency=USD","Period=FQ","BEST_FPERIOD_OVERRIDE=FQ","FILING_STATUS=MR","SCALING_FORMAT=MLN","Sort=A","Dates=H","DateFormat=P","Fill=—","Direction=H","UseDPDF=Y")</f>
        <v>11766.6993</v>
      </c>
      <c r="Y55" s="22">
        <v>6814.4130382875001</v>
      </c>
      <c r="Z55" s="19"/>
      <c r="AA55" s="19"/>
    </row>
    <row r="56" spans="1:27" x14ac:dyDescent="0.25">
      <c r="A56" s="10" t="s">
        <v>209</v>
      </c>
      <c r="B56" s="10" t="s">
        <v>253</v>
      </c>
      <c r="C56" s="13">
        <f>_xll.BDH("SRPT US Equity","AVERAGE_ENTERPRISE_VALUE","FQ3 2019","FQ3 2019","Currency=USD","Period=FQ","BEST_FPERIOD_OVERRIDE=FQ","FILING_STATUS=MR","SCALING_FORMAT=MLN","Sort=A","Dates=H","DateFormat=P","Fill=—","Direction=H","UseDPDF=Y")</f>
        <v>8154.0902999999998</v>
      </c>
      <c r="D56" s="13">
        <f>_xll.BDH("SRPT US Equity","AVERAGE_ENTERPRISE_VALUE","FQ4 2019","FQ4 2019","Currency=USD","Period=FQ","BEST_FPERIOD_OVERRIDE=FQ","FILING_STATUS=MR","SCALING_FORMAT=MLN","Sort=A","Dates=H","DateFormat=P","Fill=—","Direction=H","UseDPDF=Y")</f>
        <v>6963.9745999999996</v>
      </c>
      <c r="E56" s="13">
        <f>_xll.BDH("SRPT US Equity","AVERAGE_ENTERPRISE_VALUE","FQ1 2020","FQ1 2020","Currency=USD","Period=FQ","BEST_FPERIOD_OVERRIDE=FQ","FILING_STATUS=MR","SCALING_FORMAT=MLN","Sort=A","Dates=H","DateFormat=P","Fill=—","Direction=H","UseDPDF=Y")</f>
        <v>8243.0421000000006</v>
      </c>
      <c r="F56" s="13">
        <f>_xll.BDH("SRPT US Equity","AVERAGE_ENTERPRISE_VALUE","FQ2 2020","FQ2 2020","Currency=USD","Period=FQ","BEST_FPERIOD_OVERRIDE=FQ","FILING_STATUS=MR","SCALING_FORMAT=MLN","Sort=A","Dates=H","DateFormat=P","Fill=—","Direction=H","UseDPDF=Y")</f>
        <v>9184.6023000000005</v>
      </c>
      <c r="G56" s="13">
        <f>_xll.BDH("SRPT US Equity","AVERAGE_ENTERPRISE_VALUE","FQ3 2020","FQ3 2020","Currency=USD","Period=FQ","BEST_FPERIOD_OVERRIDE=FQ","FILING_STATUS=MR","SCALING_FORMAT=MLN","Sort=A","Dates=H","DateFormat=P","Fill=—","Direction=H","UseDPDF=Y")</f>
        <v>10598.6489</v>
      </c>
      <c r="H56" s="13">
        <f>_xll.BDH("SRPT US Equity","AVERAGE_ENTERPRISE_VALUE","FQ4 2020","FQ4 2020","Currency=USD","Period=FQ","BEST_FPERIOD_OVERRIDE=FQ","FILING_STATUS=MR","SCALING_FORMAT=MLN","Sort=A","Dates=H","DateFormat=P","Fill=—","Direction=H","UseDPDF=Y")</f>
        <v>10616.2783</v>
      </c>
      <c r="I56" s="13">
        <f>_xll.BDH("SRPT US Equity","AVERAGE_ENTERPRISE_VALUE","FQ1 2021","FQ1 2021","Currency=USD","Period=FQ","BEST_FPERIOD_OVERRIDE=FQ","FILING_STATUS=MR","SCALING_FORMAT=MLN","Sort=A","Dates=H","DateFormat=P","Fill=—","Direction=H","UseDPDF=Y")</f>
        <v>6446.9521999999997</v>
      </c>
      <c r="J56" s="13">
        <f>_xll.BDH("SRPT US Equity","AVERAGE_ENTERPRISE_VALUE","FQ2 2021","FQ2 2021","Currency=USD","Period=FQ","BEST_FPERIOD_OVERRIDE=FQ","FILING_STATUS=MR","SCALING_FORMAT=MLN","Sort=A","Dates=H","DateFormat=P","Fill=—","Direction=H","UseDPDF=Y")</f>
        <v>5447.2557999999999</v>
      </c>
      <c r="K56" s="13">
        <f>_xll.BDH("SRPT US Equity","AVERAGE_ENTERPRISE_VALUE","FQ3 2021","FQ3 2021","Currency=USD","Period=FQ","BEST_FPERIOD_OVERRIDE=FQ","FILING_STATUS=MR","SCALING_FORMAT=MLN","Sort=A","Dates=H","DateFormat=P","Fill=—","Direction=H","UseDPDF=Y")</f>
        <v>5572.0504000000001</v>
      </c>
      <c r="L56" s="13">
        <f>_xll.BDH("SRPT US Equity","AVERAGE_ENTERPRISE_VALUE","FQ4 2021","FQ4 2021","Currency=USD","Period=FQ","BEST_FPERIOD_OVERRIDE=FQ","FILING_STATUS=MR","SCALING_FORMAT=MLN","Sort=A","Dates=H","DateFormat=P","Fill=—","Direction=H","UseDPDF=Y")</f>
        <v>6871.1954999999998</v>
      </c>
      <c r="M56" s="13">
        <f>_xll.BDH("SRPT US Equity","AVERAGE_ENTERPRISE_VALUE","FQ1 2022","FQ1 2022","Currency=USD","Period=FQ","BEST_FPERIOD_OVERRIDE=FQ","FILING_STATUS=MR","SCALING_FORMAT=MLN","Sort=A","Dates=H","DateFormat=P","Fill=—","Direction=H","UseDPDF=Y")</f>
        <v>5699.3782000000001</v>
      </c>
      <c r="N56" s="13">
        <f>_xll.BDH("SRPT US Equity","AVERAGE_ENTERPRISE_VALUE","FQ2 2022","FQ2 2022","Currency=USD","Period=FQ","BEST_FPERIOD_OVERRIDE=FQ","FILING_STATUS=MR","SCALING_FORMAT=MLN","Sort=A","Dates=H","DateFormat=P","Fill=—","Direction=H","UseDPDF=Y")</f>
        <v>5545.7196000000004</v>
      </c>
      <c r="O56" s="13">
        <f>_xll.BDH("SRPT US Equity","AVERAGE_ENTERPRISE_VALUE","FQ3 2022","FQ3 2022","Currency=USD","Period=FQ","BEST_FPERIOD_OVERRIDE=FQ","FILING_STATUS=MR","SCALING_FORMAT=MLN","Sort=A","Dates=H","DateFormat=P","Fill=—","Direction=H","UseDPDF=Y")</f>
        <v>8022.7449999999999</v>
      </c>
      <c r="P56" s="13">
        <f>_xll.BDH("SRPT US Equity","AVERAGE_ENTERPRISE_VALUE","FQ4 2022","FQ4 2022","Currency=USD","Period=FQ","BEST_FPERIOD_OVERRIDE=FQ","FILING_STATUS=MR","SCALING_FORMAT=MLN","Sort=A","Dates=H","DateFormat=P","Fill=—","Direction=H","UseDPDF=Y")</f>
        <v>9652.5270999999993</v>
      </c>
      <c r="Q56" s="13">
        <f>_xll.BDH("SRPT US Equity","AVERAGE_ENTERPRISE_VALUE","FQ1 2023","FQ1 2023","Currency=USD","Period=FQ","BEST_FPERIOD_OVERRIDE=FQ","FILING_STATUS=MR","SCALING_FORMAT=MLN","Sort=A","Dates=H","DateFormat=P","Fill=—","Direction=H","UseDPDF=Y")</f>
        <v>11003.269</v>
      </c>
      <c r="R56" s="13">
        <f>_xll.BDH("SRPT US Equity","AVERAGE_ENTERPRISE_VALUE","FQ2 2023","FQ2 2023","Currency=USD","Period=FQ","BEST_FPERIOD_OVERRIDE=FQ","FILING_STATUS=MR","SCALING_FORMAT=MLN","Sort=A","Dates=H","DateFormat=P","Fill=—","Direction=H","UseDPDF=Y")</f>
        <v>11222.131799999999</v>
      </c>
      <c r="S56" s="13">
        <f>_xll.BDH("SRPT US Equity","AVERAGE_ENTERPRISE_VALUE","FQ3 2023","FQ3 2023","Currency=USD","Period=FQ","BEST_FPERIOD_OVERRIDE=FQ","FILING_STATUS=MR","SCALING_FORMAT=MLN","Sort=A","Dates=H","DateFormat=P","Fill=—","Direction=H","UseDPDF=Y")</f>
        <v>10025.8069</v>
      </c>
      <c r="T56" s="13">
        <f>_xll.BDH("SRPT US Equity","AVERAGE_ENTERPRISE_VALUE","FQ4 2023","FQ4 2023","Currency=USD","Period=FQ","BEST_FPERIOD_OVERRIDE=FQ","FILING_STATUS=MR","SCALING_FORMAT=MLN","Sort=A","Dates=H","DateFormat=P","Fill=—","Direction=H","UseDPDF=Y")</f>
        <v>8612.5666999999994</v>
      </c>
      <c r="U56" s="13">
        <f>_xll.BDH("SRPT US Equity","AVERAGE_ENTERPRISE_VALUE","FQ1 2024","FQ1 2024","Currency=USD","Period=FQ","BEST_FPERIOD_OVERRIDE=FQ","FILING_STATUS=MR","SCALING_FORMAT=MLN","Sort=A","Dates=H","DateFormat=P","Fill=—","Direction=H","UseDPDF=Y")</f>
        <v>11191.3207</v>
      </c>
      <c r="V56" s="13">
        <f>_xll.BDH("SRPT US Equity","AVERAGE_ENTERPRISE_VALUE","FQ2 2024","FQ2 2024","Currency=USD","Period=FQ","BEST_FPERIOD_OVERRIDE=FQ","FILING_STATUS=MR","SCALING_FORMAT=MLN","Sort=A","Dates=H","DateFormat=P","Fill=—","Direction=H","UseDPDF=Y")</f>
        <v>12090.9606</v>
      </c>
      <c r="W56" s="13">
        <f>_xll.BDH("SRPT US Equity","AVERAGE_ENTERPRISE_VALUE","FQ3 2024","FQ3 2024","Currency=USD","Period=FQ","BEST_FPERIOD_OVERRIDE=FQ","FILING_STATUS=MR","SCALING_FORMAT=MLN","Sort=A","Dates=H","DateFormat=P","Fill=—","Direction=H","UseDPDF=Y")</f>
        <v>13031.618</v>
      </c>
      <c r="X56" s="13">
        <f>_xll.BDH("SRPT US Equity","AVERAGE_ENTERPRISE_VALUE","FQ4 2024","FQ4 2024","Currency=USD","Period=FQ","BEST_FPERIOD_OVERRIDE=FQ","FILING_STATUS=MR","SCALING_FORMAT=MLN","Sort=A","Dates=H","DateFormat=P","Fill=—","Direction=H","UseDPDF=Y")</f>
        <v>11889.6775</v>
      </c>
      <c r="Y56" s="16"/>
      <c r="Z56" s="13"/>
      <c r="AA56" s="13"/>
    </row>
    <row r="57" spans="1:27" x14ac:dyDescent="0.25">
      <c r="A57" s="10" t="s">
        <v>211</v>
      </c>
      <c r="B57" s="10" t="s">
        <v>254</v>
      </c>
      <c r="C57" s="13">
        <f>_xll.BDH("SRPT US Equity","HIGH_ENTERPRISE_VALUE","FQ3 2019","FQ3 2019","Currency=USD","Period=FQ","BEST_FPERIOD_OVERRIDE=FQ","FILING_STATUS=MR","SCALING_FORMAT=MLN","Sort=A","Dates=H","DateFormat=P","Fill=—","Direction=H","UseDPDF=Y")</f>
        <v>11020.8244</v>
      </c>
      <c r="D57" s="13">
        <f>_xll.BDH("SRPT US Equity","HIGH_ENTERPRISE_VALUE","FQ4 2019","FQ4 2019","Currency=USD","Period=FQ","BEST_FPERIOD_OVERRIDE=FQ","FILING_STATUS=MR","SCALING_FORMAT=MLN","Sort=A","Dates=H","DateFormat=P","Fill=—","Direction=H","UseDPDF=Y")</f>
        <v>9551.4225999999999</v>
      </c>
      <c r="E57" s="13">
        <f>_xll.BDH("SRPT US Equity","HIGH_ENTERPRISE_VALUE","FQ1 2020","FQ1 2020","Currency=USD","Period=FQ","BEST_FPERIOD_OVERRIDE=FQ","FILING_STATUS=MR","SCALING_FORMAT=MLN","Sort=A","Dates=H","DateFormat=P","Fill=—","Direction=H","UseDPDF=Y")</f>
        <v>9425.5746999999992</v>
      </c>
      <c r="F57" s="13">
        <f>_xll.BDH("SRPT US Equity","HIGH_ENTERPRISE_VALUE","FQ2 2020","FQ2 2020","Currency=USD","Period=FQ","BEST_FPERIOD_OVERRIDE=FQ","FILING_STATUS=MR","SCALING_FORMAT=MLN","Sort=A","Dates=H","DateFormat=P","Fill=—","Direction=H","UseDPDF=Y")</f>
        <v>11963.165300000001</v>
      </c>
      <c r="G57" s="13">
        <f>_xll.BDH("SRPT US Equity","HIGH_ENTERPRISE_VALUE","FQ3 2020","FQ3 2020","Currency=USD","Period=FQ","BEST_FPERIOD_OVERRIDE=FQ","FILING_STATUS=MR","SCALING_FORMAT=MLN","Sort=A","Dates=H","DateFormat=P","Fill=—","Direction=H","UseDPDF=Y")</f>
        <v>12136.2631</v>
      </c>
      <c r="H57" s="13">
        <f>_xll.BDH("SRPT US Equity","HIGH_ENTERPRISE_VALUE","FQ4 2020","FQ4 2020","Currency=USD","Period=FQ","BEST_FPERIOD_OVERRIDE=FQ","FILING_STATUS=MR","SCALING_FORMAT=MLN","Sort=A","Dates=H","DateFormat=P","Fill=—","Direction=H","UseDPDF=Y")</f>
        <v>13047.9467</v>
      </c>
      <c r="I57" s="13">
        <f>_xll.BDH("SRPT US Equity","HIGH_ENTERPRISE_VALUE","FQ1 2021","FQ1 2021","Currency=USD","Period=FQ","BEST_FPERIOD_OVERRIDE=FQ","FILING_STATUS=MR","SCALING_FORMAT=MLN","Sort=A","Dates=H","DateFormat=P","Fill=—","Direction=H","UseDPDF=Y")</f>
        <v>12478.263000000001</v>
      </c>
      <c r="J57" s="13">
        <f>_xll.BDH("SRPT US Equity","HIGH_ENTERPRISE_VALUE","FQ2 2021","FQ2 2021","Currency=USD","Period=FQ","BEST_FPERIOD_OVERRIDE=FQ","FILING_STATUS=MR","SCALING_FORMAT=MLN","Sort=A","Dates=H","DateFormat=P","Fill=—","Direction=H","UseDPDF=Y")</f>
        <v>6325.0814</v>
      </c>
      <c r="K57" s="13">
        <f>_xll.BDH("SRPT US Equity","HIGH_ENTERPRISE_VALUE","FQ3 2021","FQ3 2021","Currency=USD","Period=FQ","BEST_FPERIOD_OVERRIDE=FQ","FILING_STATUS=MR","SCALING_FORMAT=MLN","Sort=A","Dates=H","DateFormat=P","Fill=—","Direction=H","UseDPDF=Y")</f>
        <v>6933.9456</v>
      </c>
      <c r="L57" s="13">
        <f>_xll.BDH("SRPT US Equity","HIGH_ENTERPRISE_VALUE","FQ4 2021","FQ4 2021","Currency=USD","Period=FQ","BEST_FPERIOD_OVERRIDE=FQ","FILING_STATUS=MR","SCALING_FORMAT=MLN","Sort=A","Dates=H","DateFormat=P","Fill=—","Direction=H","UseDPDF=Y")</f>
        <v>7528.77</v>
      </c>
      <c r="M57" s="13">
        <f>_xll.BDH("SRPT US Equity","HIGH_ENTERPRISE_VALUE","FQ1 2022","FQ1 2022","Currency=USD","Period=FQ","BEST_FPERIOD_OVERRIDE=FQ","FILING_STATUS=MR","SCALING_FORMAT=MLN","Sort=A","Dates=H","DateFormat=P","Fill=—","Direction=H","UseDPDF=Y")</f>
        <v>6901.1589000000004</v>
      </c>
      <c r="N57" s="13">
        <f>_xll.BDH("SRPT US Equity","HIGH_ENTERPRISE_VALUE","FQ2 2022","FQ2 2022","Currency=USD","Period=FQ","BEST_FPERIOD_OVERRIDE=FQ","FILING_STATUS=MR","SCALING_FORMAT=MLN","Sort=A","Dates=H","DateFormat=P","Fill=—","Direction=H","UseDPDF=Y")</f>
        <v>6821.8977000000004</v>
      </c>
      <c r="O57" s="13">
        <f>_xll.BDH("SRPT US Equity","HIGH_ENTERPRISE_VALUE","FQ3 2022","FQ3 2022","Currency=USD","Period=FQ","BEST_FPERIOD_OVERRIDE=FQ","FILING_STATUS=MR","SCALING_FORMAT=MLN","Sort=A","Dates=H","DateFormat=P","Fill=—","Direction=H","UseDPDF=Y")</f>
        <v>9635.3143</v>
      </c>
      <c r="P57" s="13">
        <f>_xll.BDH("SRPT US Equity","HIGH_ENTERPRISE_VALUE","FQ4 2022","FQ4 2022","Currency=USD","Period=FQ","BEST_FPERIOD_OVERRIDE=FQ","FILING_STATUS=MR","SCALING_FORMAT=MLN","Sort=A","Dates=H","DateFormat=P","Fill=—","Direction=H","UseDPDF=Y")</f>
        <v>11085.202799999999</v>
      </c>
      <c r="Q57" s="13">
        <f>_xll.BDH("SRPT US Equity","HIGH_ENTERPRISE_VALUE","FQ1 2023","FQ1 2023","Currency=USD","Period=FQ","BEST_FPERIOD_OVERRIDE=FQ","FILING_STATUS=MR","SCALING_FORMAT=MLN","Sort=A","Dates=H","DateFormat=P","Fill=—","Direction=H","UseDPDF=Y")</f>
        <v>13333.2552</v>
      </c>
      <c r="R57" s="13">
        <f>_xll.BDH("SRPT US Equity","HIGH_ENTERPRISE_VALUE","FQ2 2023","FQ2 2023","Currency=USD","Period=FQ","BEST_FPERIOD_OVERRIDE=FQ","FILING_STATUS=MR","SCALING_FORMAT=MLN","Sort=A","Dates=H","DateFormat=P","Fill=—","Direction=H","UseDPDF=Y")</f>
        <v>14029.1306</v>
      </c>
      <c r="S57" s="13">
        <f>_xll.BDH("SRPT US Equity","HIGH_ENTERPRISE_VALUE","FQ3 2023","FQ3 2023","Currency=USD","Period=FQ","BEST_FPERIOD_OVERRIDE=FQ","FILING_STATUS=MR","SCALING_FORMAT=MLN","Sort=A","Dates=H","DateFormat=P","Fill=—","Direction=H","UseDPDF=Y")</f>
        <v>11013.2875</v>
      </c>
      <c r="T57" s="13">
        <f>_xll.BDH("SRPT US Equity","HIGH_ENTERPRISE_VALUE","FQ4 2023","FQ4 2023","Currency=USD","Period=FQ","BEST_FPERIOD_OVERRIDE=FQ","FILING_STATUS=MR","SCALING_FORMAT=MLN","Sort=A","Dates=H","DateFormat=P","Fill=—","Direction=H","UseDPDF=Y")</f>
        <v>11285.891799999999</v>
      </c>
      <c r="U57" s="13">
        <f>_xll.BDH("SRPT US Equity","HIGH_ENTERPRISE_VALUE","FQ1 2024","FQ1 2024","Currency=USD","Period=FQ","BEST_FPERIOD_OVERRIDE=FQ","FILING_STATUS=MR","SCALING_FORMAT=MLN","Sort=A","Dates=H","DateFormat=P","Fill=—","Direction=H","UseDPDF=Y")</f>
        <v>12953.692800000001</v>
      </c>
      <c r="V57" s="13">
        <f>_xll.BDH("SRPT US Equity","HIGH_ENTERPRISE_VALUE","FQ2 2024","FQ2 2024","Currency=USD","Period=FQ","BEST_FPERIOD_OVERRIDE=FQ","FILING_STATUS=MR","SCALING_FORMAT=MLN","Sort=A","Dates=H","DateFormat=P","Fill=—","Direction=H","UseDPDF=Y")</f>
        <v>15460.7451</v>
      </c>
      <c r="W57" s="13">
        <f>_xll.BDH("SRPT US Equity","HIGH_ENTERPRISE_VALUE","FQ3 2024","FQ3 2024","Currency=USD","Period=FQ","BEST_FPERIOD_OVERRIDE=FQ","FILING_STATUS=MR","SCALING_FORMAT=MLN","Sort=A","Dates=H","DateFormat=P","Fill=—","Direction=H","UseDPDF=Y")</f>
        <v>14710.463299999999</v>
      </c>
      <c r="X57" s="13">
        <f>_xll.BDH("SRPT US Equity","HIGH_ENTERPRISE_VALUE","FQ4 2024","FQ4 2024","Currency=USD","Period=FQ","BEST_FPERIOD_OVERRIDE=FQ","FILING_STATUS=MR","SCALING_FORMAT=MLN","Sort=A","Dates=H","DateFormat=P","Fill=—","Direction=H","UseDPDF=Y")</f>
        <v>13370.4375</v>
      </c>
      <c r="Y57" s="16"/>
      <c r="Z57" s="13"/>
      <c r="AA57" s="13"/>
    </row>
    <row r="58" spans="1:27" x14ac:dyDescent="0.25">
      <c r="A58" s="10" t="s">
        <v>213</v>
      </c>
      <c r="B58" s="10" t="s">
        <v>255</v>
      </c>
      <c r="C58" s="13">
        <f>_xll.BDH("SRPT US Equity","LOW_ENTERPRISE_VALUE","FQ3 2019","FQ3 2019","Currency=USD","Period=FQ","BEST_FPERIOD_OVERRIDE=FQ","FILING_STATUS=MR","SCALING_FORMAT=MLN","Sort=A","Dates=H","DateFormat=P","Fill=—","Direction=H","UseDPDF=Y")</f>
        <v>4798.0667999999996</v>
      </c>
      <c r="D58" s="13">
        <f>_xll.BDH("SRPT US Equity","LOW_ENTERPRISE_VALUE","FQ4 2019","FQ4 2019","Currency=USD","Period=FQ","BEST_FPERIOD_OVERRIDE=FQ","FILING_STATUS=MR","SCALING_FORMAT=MLN","Sort=A","Dates=H","DateFormat=P","Fill=—","Direction=H","UseDPDF=Y")</f>
        <v>5134.1381000000001</v>
      </c>
      <c r="E58" s="13">
        <f>_xll.BDH("SRPT US Equity","LOW_ENTERPRISE_VALUE","FQ1 2020","FQ1 2020","Currency=USD","Period=FQ","BEST_FPERIOD_OVERRIDE=FQ","FILING_STATUS=MR","SCALING_FORMAT=MLN","Sort=A","Dates=H","DateFormat=P","Fill=—","Direction=H","UseDPDF=Y")</f>
        <v>6019.9691000000003</v>
      </c>
      <c r="F58" s="13">
        <f>_xll.BDH("SRPT US Equity","LOW_ENTERPRISE_VALUE","FQ2 2020","FQ2 2020","Currency=USD","Period=FQ","BEST_FPERIOD_OVERRIDE=FQ","FILING_STATUS=MR","SCALING_FORMAT=MLN","Sort=A","Dates=H","DateFormat=P","Fill=—","Direction=H","UseDPDF=Y")</f>
        <v>5805.7384000000002</v>
      </c>
      <c r="G58" s="13">
        <f>_xll.BDH("SRPT US Equity","LOW_ENTERPRISE_VALUE","FQ3 2020","FQ3 2020","Currency=USD","Period=FQ","BEST_FPERIOD_OVERRIDE=FQ","FILING_STATUS=MR","SCALING_FORMAT=MLN","Sort=A","Dates=H","DateFormat=P","Fill=—","Direction=H","UseDPDF=Y")</f>
        <v>8675.2914000000001</v>
      </c>
      <c r="H58" s="13">
        <f>_xll.BDH("SRPT US Equity","LOW_ENTERPRISE_VALUE","FQ4 2020","FQ4 2020","Currency=USD","Period=FQ","BEST_FPERIOD_OVERRIDE=FQ","FILING_STATUS=MR","SCALING_FORMAT=MLN","Sort=A","Dates=H","DateFormat=P","Fill=—","Direction=H","UseDPDF=Y")</f>
        <v>8851.3508999999995</v>
      </c>
      <c r="I58" s="13">
        <f>_xll.BDH("SRPT US Equity","LOW_ENTERPRISE_VALUE","FQ1 2021","FQ1 2021","Currency=USD","Period=FQ","BEST_FPERIOD_OVERRIDE=FQ","FILING_STATUS=MR","SCALING_FORMAT=MLN","Sort=A","Dates=H","DateFormat=P","Fill=—","Direction=H","UseDPDF=Y")</f>
        <v>4884.0455000000002</v>
      </c>
      <c r="J58" s="13">
        <f>_xll.BDH("SRPT US Equity","LOW_ENTERPRISE_VALUE","FQ2 2021","FQ2 2021","Currency=USD","Period=FQ","BEST_FPERIOD_OVERRIDE=FQ","FILING_STATUS=MR","SCALING_FORMAT=MLN","Sort=A","Dates=H","DateFormat=P","Fill=—","Direction=H","UseDPDF=Y")</f>
        <v>4914.8411999999998</v>
      </c>
      <c r="K58" s="13">
        <f>_xll.BDH("SRPT US Equity","LOW_ENTERPRISE_VALUE","FQ3 2021","FQ3 2021","Currency=USD","Period=FQ","BEST_FPERIOD_OVERRIDE=FQ","FILING_STATUS=MR","SCALING_FORMAT=MLN","Sort=A","Dates=H","DateFormat=P","Fill=—","Direction=H","UseDPDF=Y")</f>
        <v>4684.4087</v>
      </c>
      <c r="L58" s="13">
        <f>_xll.BDH("SRPT US Equity","LOW_ENTERPRISE_VALUE","FQ4 2021","FQ4 2021","Currency=USD","Period=FQ","BEST_FPERIOD_OVERRIDE=FQ","FILING_STATUS=MR","SCALING_FORMAT=MLN","Sort=A","Dates=H","DateFormat=P","Fill=—","Direction=H","UseDPDF=Y")</f>
        <v>6194.5841</v>
      </c>
      <c r="M58" s="13">
        <f>_xll.BDH("SRPT US Equity","LOW_ENTERPRISE_VALUE","FQ1 2022","FQ1 2022","Currency=USD","Period=FQ","BEST_FPERIOD_OVERRIDE=FQ","FILING_STATUS=MR","SCALING_FORMAT=MLN","Sort=A","Dates=H","DateFormat=P","Fill=—","Direction=H","UseDPDF=Y")</f>
        <v>4526.5713999999998</v>
      </c>
      <c r="N58" s="13">
        <f>_xll.BDH("SRPT US Equity","LOW_ENTERPRISE_VALUE","FQ2 2022","FQ2 2022","Currency=USD","Period=FQ","BEST_FPERIOD_OVERRIDE=FQ","FILING_STATUS=MR","SCALING_FORMAT=MLN","Sort=A","Dates=H","DateFormat=P","Fill=—","Direction=H","UseDPDF=Y")</f>
        <v>4599.8231999999998</v>
      </c>
      <c r="O58" s="13">
        <f>_xll.BDH("SRPT US Equity","LOW_ENTERPRISE_VALUE","FQ3 2022","FQ3 2022","Currency=USD","Period=FQ","BEST_FPERIOD_OVERRIDE=FQ","FILING_STATUS=MR","SCALING_FORMAT=MLN","Sort=A","Dates=H","DateFormat=P","Fill=—","Direction=H","UseDPDF=Y")</f>
        <v>5818.4207999999999</v>
      </c>
      <c r="P58" s="13">
        <f>_xll.BDH("SRPT US Equity","LOW_ENTERPRISE_VALUE","FQ4 2022","FQ4 2022","Currency=USD","Period=FQ","BEST_FPERIOD_OVERRIDE=FQ","FILING_STATUS=MR","SCALING_FORMAT=MLN","Sort=A","Dates=H","DateFormat=P","Fill=—","Direction=H","UseDPDF=Y")</f>
        <v>8298.9838</v>
      </c>
      <c r="Q58" s="13">
        <f>_xll.BDH("SRPT US Equity","LOW_ENTERPRISE_VALUE","FQ1 2023","FQ1 2023","Currency=USD","Period=FQ","BEST_FPERIOD_OVERRIDE=FQ","FILING_STATUS=MR","SCALING_FORMAT=MLN","Sort=A","Dates=H","DateFormat=P","Fill=—","Direction=H","UseDPDF=Y")</f>
        <v>9926.0472000000009</v>
      </c>
      <c r="R58" s="13">
        <f>_xll.BDH("SRPT US Equity","LOW_ENTERPRISE_VALUE","FQ2 2023","FQ2 2023","Currency=USD","Period=FQ","BEST_FPERIOD_OVERRIDE=FQ","FILING_STATUS=MR","SCALING_FORMAT=MLN","Sort=A","Dates=H","DateFormat=P","Fill=—","Direction=H","UseDPDF=Y")</f>
        <v>9298.1106</v>
      </c>
      <c r="S58" s="13">
        <f>_xll.BDH("SRPT US Equity","LOW_ENTERPRISE_VALUE","FQ3 2023","FQ3 2023","Currency=USD","Period=FQ","BEST_FPERIOD_OVERRIDE=FQ","FILING_STATUS=MR","SCALING_FORMAT=MLN","Sort=A","Dates=H","DateFormat=P","Fill=—","Direction=H","UseDPDF=Y")</f>
        <v>9046.0355</v>
      </c>
      <c r="T58" s="13">
        <f>_xll.BDH("SRPT US Equity","LOW_ENTERPRISE_VALUE","FQ4 2023","FQ4 2023","Currency=USD","Period=FQ","BEST_FPERIOD_OVERRIDE=FQ","FILING_STATUS=MR","SCALING_FORMAT=MLN","Sort=A","Dates=H","DateFormat=P","Fill=—","Direction=H","UseDPDF=Y")</f>
        <v>5927.0189</v>
      </c>
      <c r="U58" s="13">
        <f>_xll.BDH("SRPT US Equity","LOW_ENTERPRISE_VALUE","FQ1 2024","FQ1 2024","Currency=USD","Period=FQ","BEST_FPERIOD_OVERRIDE=FQ","FILING_STATUS=MR","SCALING_FORMAT=MLN","Sort=A","Dates=H","DateFormat=P","Fill=—","Direction=H","UseDPDF=Y")</f>
        <v>8479.3549999999996</v>
      </c>
      <c r="V58" s="13">
        <f>_xll.BDH("SRPT US Equity","LOW_ENTERPRISE_VALUE","FQ2 2024","FQ2 2024","Currency=USD","Period=FQ","BEST_FPERIOD_OVERRIDE=FQ","FILING_STATUS=MR","SCALING_FORMAT=MLN","Sort=A","Dates=H","DateFormat=P","Fill=—","Direction=H","UseDPDF=Y")</f>
        <v>10685.404399999999</v>
      </c>
      <c r="W58" s="13">
        <f>_xll.BDH("SRPT US Equity","LOW_ENTERPRISE_VALUE","FQ3 2024","FQ3 2024","Currency=USD","Period=FQ","BEST_FPERIOD_OVERRIDE=FQ","FILING_STATUS=MR","SCALING_FORMAT=MLN","Sort=A","Dates=H","DateFormat=P","Fill=—","Direction=H","UseDPDF=Y")</f>
        <v>11750.7593</v>
      </c>
      <c r="X58" s="13">
        <f>_xll.BDH("SRPT US Equity","LOW_ENTERPRISE_VALUE","FQ4 2024","FQ4 2024","Currency=USD","Period=FQ","BEST_FPERIOD_OVERRIDE=FQ","FILING_STATUS=MR","SCALING_FORMAT=MLN","Sort=A","Dates=H","DateFormat=P","Fill=—","Direction=H","UseDPDF=Y")</f>
        <v>10180.081200000001</v>
      </c>
      <c r="Y58" s="16"/>
      <c r="Z58" s="13"/>
      <c r="AA58" s="13"/>
    </row>
    <row r="59" spans="1:27" x14ac:dyDescent="0.25">
      <c r="A59" s="7" t="s">
        <v>90</v>
      </c>
      <c r="B59" s="7"/>
      <c r="C59" s="7" t="s">
        <v>5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8"/>
  <sheetViews>
    <sheetView topLeftCell="F1"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256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31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</row>
    <row r="6" spans="1:27" x14ac:dyDescent="0.25">
      <c r="A6" s="10" t="s">
        <v>257</v>
      </c>
      <c r="B6" s="10" t="s">
        <v>121</v>
      </c>
      <c r="C6" s="13">
        <f>_xll.BDH("SRPT US Equity","BS_SH_OUT","FQ2 2019","FQ2 2019","Currency=USD","Period=FQ","BEST_FPERIOD_OVERRIDE=FQ","FILING_STATUS=MR","Sort=A","Dates=H","DateFormat=P","Fill=—","Direction=H","UseDPDF=Y")</f>
        <v>74.327799999999996</v>
      </c>
      <c r="D6" s="13">
        <f>_xll.BDH("SRPT US Equity","BS_SH_OUT","FQ3 2019","FQ3 2019","Currency=USD","Period=FQ","BEST_FPERIOD_OVERRIDE=FQ","FILING_STATUS=MR","Sort=A","Dates=H","DateFormat=P","Fill=—","Direction=H","UseDPDF=Y")</f>
        <v>74.504800000000003</v>
      </c>
      <c r="E6" s="13">
        <f>_xll.BDH("SRPT US Equity","BS_SH_OUT","FQ4 2019","FQ4 2019","Currency=USD","Period=FQ","BEST_FPERIOD_OVERRIDE=FQ","FILING_STATUS=MR","Sort=A","Dates=H","DateFormat=P","Fill=—","Direction=H","UseDPDF=Y")</f>
        <v>75.184899999999999</v>
      </c>
      <c r="F6" s="13">
        <f>_xll.BDH("SRPT US Equity","BS_SH_OUT","FQ1 2020","FQ1 2020","Currency=USD","Period=FQ","BEST_FPERIOD_OVERRIDE=FQ","FILING_STATUS=MR","Sort=A","Dates=H","DateFormat=P","Fill=—","Direction=H","UseDPDF=Y")</f>
        <v>77.957800000000006</v>
      </c>
      <c r="G6" s="13">
        <f>_xll.BDH("SRPT US Equity","BS_SH_OUT","FQ2 2020","FQ2 2020","Currency=USD","Period=FQ","BEST_FPERIOD_OVERRIDE=FQ","FILING_STATUS=MR","Sort=A","Dates=H","DateFormat=P","Fill=—","Direction=H","UseDPDF=Y")</f>
        <v>78.432199999999995</v>
      </c>
      <c r="H6" s="13">
        <f>_xll.BDH("SRPT US Equity","BS_SH_OUT","FQ3 2020","FQ3 2020","Currency=USD","Period=FQ","BEST_FPERIOD_OVERRIDE=FQ","FILING_STATUS=MR","Sort=A","Dates=H","DateFormat=P","Fill=—","Direction=H","UseDPDF=Y")</f>
        <v>78.7898</v>
      </c>
      <c r="I6" s="13">
        <f>_xll.BDH("SRPT US Equity","BS_SH_OUT","FQ4 2020","FQ4 2020","Currency=USD","Period=FQ","BEST_FPERIOD_OVERRIDE=FQ","FILING_STATUS=MR","Sort=A","Dates=H","DateFormat=P","Fill=—","Direction=H","UseDPDF=Y")</f>
        <v>79.374200000000002</v>
      </c>
      <c r="J6" s="13">
        <f>_xll.BDH("SRPT US Equity","BS_SH_OUT","FQ1 2021","FQ1 2021","Currency=USD","Period=FQ","BEST_FPERIOD_OVERRIDE=FQ","FILING_STATUS=MR","Sort=A","Dates=H","DateFormat=P","Fill=—","Direction=H","UseDPDF=Y")</f>
        <v>79.748099999999994</v>
      </c>
      <c r="K6" s="13">
        <f>_xll.BDH("SRPT US Equity","BS_SH_OUT","FQ2 2021","FQ2 2021","Currency=USD","Period=FQ","BEST_FPERIOD_OVERRIDE=FQ","FILING_STATUS=MR","Sort=A","Dates=H","DateFormat=P","Fill=—","Direction=H","UseDPDF=Y")</f>
        <v>79.830399999999997</v>
      </c>
      <c r="L6" s="13">
        <f>_xll.BDH("SRPT US Equity","BS_SH_OUT","FQ3 2021","FQ3 2021","Currency=USD","Period=FQ","BEST_FPERIOD_OVERRIDE=FQ","FILING_STATUS=MR","Sort=A","Dates=H","DateFormat=P","Fill=—","Direction=H","UseDPDF=Y")</f>
        <v>79.958500000000001</v>
      </c>
      <c r="M6" s="13">
        <f>_xll.BDH("SRPT US Equity","BS_SH_OUT","FQ4 2021","FQ4 2021","Currency=USD","Period=FQ","BEST_FPERIOD_OVERRIDE=FQ","FILING_STATUS=MR","Sort=A","Dates=H","DateFormat=P","Fill=—","Direction=H","UseDPDF=Y")</f>
        <v>87.126999999999995</v>
      </c>
      <c r="N6" s="13">
        <f>_xll.BDH("SRPT US Equity","BS_SH_OUT","FQ1 2022","FQ1 2022","Currency=USD","Period=FQ","BEST_FPERIOD_OVERRIDE=FQ","FILING_STATUS=MR","Sort=A","Dates=H","DateFormat=P","Fill=—","Direction=H","UseDPDF=Y")</f>
        <v>87.495599999999996</v>
      </c>
      <c r="O6" s="13">
        <f>_xll.BDH("SRPT US Equity","BS_SH_OUT","FQ2 2022","FQ2 2022","Currency=USD","Period=FQ","BEST_FPERIOD_OVERRIDE=FQ","FILING_STATUS=MR","Sort=A","Dates=H","DateFormat=P","Fill=—","Direction=H","UseDPDF=Y")</f>
        <v>87.535300000000007</v>
      </c>
      <c r="P6" s="13">
        <f>_xll.BDH("SRPT US Equity","BS_SH_OUT","FQ3 2022","FQ3 2022","Currency=USD","Period=FQ","BEST_FPERIOD_OVERRIDE=FQ","FILING_STATUS=MR","Sort=A","Dates=H","DateFormat=P","Fill=—","Direction=H","UseDPDF=Y")</f>
        <v>87.766199999999998</v>
      </c>
      <c r="Q6" s="13">
        <f>_xll.BDH("SRPT US Equity","BS_SH_OUT","FQ4 2022","FQ4 2022","Currency=USD","Period=FQ","BEST_FPERIOD_OVERRIDE=FQ","FILING_STATUS=MR","Sort=A","Dates=H","DateFormat=P","Fill=—","Direction=H","UseDPDF=Y")</f>
        <v>87.950100000000006</v>
      </c>
      <c r="R6" s="13">
        <f>_xll.BDH("SRPT US Equity","BS_SH_OUT","FQ1 2023","FQ1 2023","Currency=USD","Period=FQ","BEST_FPERIOD_OVERRIDE=FQ","FILING_STATUS=MR","Sort=A","Dates=H","DateFormat=P","Fill=—","Direction=H","UseDPDF=Y")</f>
        <v>93.140100000000004</v>
      </c>
      <c r="S6" s="13">
        <f>_xll.BDH("SRPT US Equity","BS_SH_OUT","FQ2 2023","FQ2 2023","Currency=USD","Period=FQ","BEST_FPERIOD_OVERRIDE=FQ","FILING_STATUS=MR","Sort=A","Dates=H","DateFormat=P","Fill=—","Direction=H","UseDPDF=Y")</f>
        <v>93.273499999999999</v>
      </c>
      <c r="T6" s="13">
        <f>_xll.BDH("SRPT US Equity","BS_SH_OUT","FQ3 2023","FQ3 2023","Currency=USD","Period=FQ","BEST_FPERIOD_OVERRIDE=FQ","FILING_STATUS=MR","Sort=A","Dates=H","DateFormat=P","Fill=—","Direction=H","UseDPDF=Y")</f>
        <v>93.537400000000005</v>
      </c>
      <c r="U6" s="13">
        <f>_xll.BDH("SRPT US Equity","BS_SH_OUT","FQ4 2023","FQ4 2023","Currency=USD","Period=FQ","BEST_FPERIOD_OVERRIDE=FQ","FILING_STATUS=MR","Sort=A","Dates=H","DateFormat=P","Fill=—","Direction=H","UseDPDF=Y")</f>
        <v>93.731800000000007</v>
      </c>
      <c r="V6" s="13">
        <f>_xll.BDH("SRPT US Equity","BS_SH_OUT","FQ1 2024","FQ1 2024","Currency=USD","Period=FQ","BEST_FPERIOD_OVERRIDE=FQ","FILING_STATUS=MR","Sort=A","Dates=H","DateFormat=P","Fill=—","Direction=H","UseDPDF=Y")</f>
        <v>94.490200000000002</v>
      </c>
      <c r="W6" s="13">
        <f>_xll.BDH("SRPT US Equity","BS_SH_OUT","FQ2 2024","FQ2 2024","Currency=USD","Period=FQ","BEST_FPERIOD_OVERRIDE=FQ","FILING_STATUS=MR","Sort=A","Dates=H","DateFormat=P","Fill=—","Direction=H","UseDPDF=Y")</f>
        <v>95.282600000000002</v>
      </c>
      <c r="X6" s="13">
        <f>_xll.BDH("SRPT US Equity","BS_SH_OUT","FQ3 2024","FQ3 2024","Currency=USD","Period=FQ","BEST_FPERIOD_OVERRIDE=FQ","FILING_STATUS=MR","Sort=A","Dates=H","DateFormat=P","Fill=—","Direction=H","UseDPDF=Y")</f>
        <v>95.492999999999995</v>
      </c>
      <c r="Y6" s="13">
        <f>_xll.BDH("SRPT US Equity","BS_SH_OUT","FQ4 2024","FQ4 2024","Currency=USD","Period=FQ","BEST_FPERIOD_OVERRIDE=FQ","FILING_STATUS=MR","Sort=A","Dates=H","DateFormat=P","Fill=—","Direction=H","UseDPDF=Y")</f>
        <v>96.900499999999994</v>
      </c>
      <c r="Z6" s="13"/>
      <c r="AA6" s="13"/>
    </row>
    <row r="7" spans="1:27" x14ac:dyDescent="0.25">
      <c r="A7" s="10" t="s">
        <v>258</v>
      </c>
      <c r="B7" s="10" t="s">
        <v>108</v>
      </c>
      <c r="C7" s="13">
        <f>_xll.BDH("SRPT US Equity","IS_SH_FOR_DILUTED_EPS","FQ2 2019","FQ2 2019","Currency=USD","Period=FQ","BEST_FPERIOD_OVERRIDE=FQ","FILING_STATUS=MR","Sort=A","Dates=H","DateFormat=P","Fill=—","Direction=H","UseDPDF=Y")</f>
        <v>73.957999999999998</v>
      </c>
      <c r="D7" s="13">
        <f>_xll.BDH("SRPT US Equity","IS_SH_FOR_DILUTED_EPS","FQ3 2019","FQ3 2019","Currency=USD","Period=FQ","BEST_FPERIOD_OVERRIDE=FQ","FILING_STATUS=MR","Sort=A","Dates=H","DateFormat=P","Fill=—","Direction=H","UseDPDF=Y")</f>
        <v>74.177000000000007</v>
      </c>
      <c r="E7" s="13">
        <f>_xll.BDH("SRPT US Equity","IS_SH_FOR_DILUTED_EPS","FQ4 2019","FQ4 2019","Currency=USD","Period=FQ","BEST_FPERIOD_OVERRIDE=FQ","FILING_STATUS=MR","Sort=A","Dates=H","DateFormat=P","Fill=—","Direction=H","UseDPDF=Y")</f>
        <v>74.557000000000002</v>
      </c>
      <c r="F7" s="13">
        <f>_xll.BDH("SRPT US Equity","IS_SH_FOR_DILUTED_EPS","FQ1 2020","FQ1 2020","Currency=USD","Period=FQ","BEST_FPERIOD_OVERRIDE=FQ","FILING_STATUS=MR","Sort=A","Dates=H","DateFormat=P","Fill=—","Direction=H","UseDPDF=Y")</f>
        <v>76.432000000000002</v>
      </c>
      <c r="G7" s="13">
        <f>_xll.BDH("SRPT US Equity","IS_SH_FOR_DILUTED_EPS","FQ2 2020","FQ2 2020","Currency=USD","Period=FQ","BEST_FPERIOD_OVERRIDE=FQ","FILING_STATUS=MR","Sort=A","Dates=H","DateFormat=P","Fill=—","Direction=H","UseDPDF=Y")</f>
        <v>77.968000000000004</v>
      </c>
      <c r="H7" s="13">
        <f>_xll.BDH("SRPT US Equity","IS_SH_FOR_DILUTED_EPS","FQ3 2020","FQ3 2020","Currency=USD","Period=FQ","BEST_FPERIOD_OVERRIDE=FQ","FILING_STATUS=MR","Sort=A","Dates=H","DateFormat=P","Fill=—","Direction=H","UseDPDF=Y")</f>
        <v>78.501000000000005</v>
      </c>
      <c r="I7" s="13">
        <f>_xll.BDH("SRPT US Equity","IS_SH_FOR_DILUTED_EPS","FQ4 2020","FQ4 2020","Currency=USD","Period=FQ","BEST_FPERIOD_OVERRIDE=FQ","FILING_STATUS=MR","Sort=A","Dates=H","DateFormat=P","Fill=—","Direction=H","UseDPDF=Y")</f>
        <v>78.905000000000001</v>
      </c>
      <c r="J7" s="13">
        <f>_xll.BDH("SRPT US Equity","IS_SH_FOR_DILUTED_EPS","FQ1 2021","FQ1 2021","Currency=USD","Period=FQ","BEST_FPERIOD_OVERRIDE=FQ","FILING_STATUS=MR","Sort=A","Dates=H","DateFormat=P","Fill=—","Direction=H","UseDPDF=Y")</f>
        <v>79.453999999999994</v>
      </c>
      <c r="K7" s="13">
        <f>_xll.BDH("SRPT US Equity","IS_SH_FOR_DILUTED_EPS","FQ2 2021","FQ2 2021","Currency=USD","Period=FQ","BEST_FPERIOD_OVERRIDE=FQ","FILING_STATUS=MR","Sort=A","Dates=H","DateFormat=P","Fill=—","Direction=H","UseDPDF=Y")</f>
        <v>79.745999999999995</v>
      </c>
      <c r="L7" s="13">
        <f>_xll.BDH("SRPT US Equity","IS_SH_FOR_DILUTED_EPS","FQ3 2021","FQ3 2021","Currency=USD","Period=FQ","BEST_FPERIOD_OVERRIDE=FQ","FILING_STATUS=MR","Sort=A","Dates=H","DateFormat=P","Fill=—","Direction=H","UseDPDF=Y")</f>
        <v>79.88</v>
      </c>
      <c r="M7" s="13">
        <f>_xll.BDH("SRPT US Equity","IS_SH_FOR_DILUTED_EPS","FQ4 2021","FQ4 2021","Currency=USD","Period=FQ","BEST_FPERIOD_OVERRIDE=FQ","FILING_STATUS=MR","Sort=A","Dates=H","DateFormat=P","Fill=—","Direction=H","UseDPDF=Y")</f>
        <v>85.950999999999993</v>
      </c>
      <c r="N7" s="13">
        <f>_xll.BDH("SRPT US Equity","IS_SH_FOR_DILUTED_EPS","FQ1 2022","FQ1 2022","Currency=USD","Period=FQ","BEST_FPERIOD_OVERRIDE=FQ","FILING_STATUS=MR","Sort=A","Dates=H","DateFormat=P","Fill=—","Direction=H","UseDPDF=Y")</f>
        <v>87.253</v>
      </c>
      <c r="O7" s="13">
        <f>_xll.BDH("SRPT US Equity","IS_SH_FOR_DILUTED_EPS","FQ2 2022","FQ2 2022","Currency=USD","Period=FQ","BEST_FPERIOD_OVERRIDE=FQ","FILING_STATUS=MR","Sort=A","Dates=H","DateFormat=P","Fill=—","Direction=H","UseDPDF=Y")</f>
        <v>87.510999999999996</v>
      </c>
      <c r="P7" s="13">
        <f>_xll.BDH("SRPT US Equity","IS_SH_FOR_DILUTED_EPS","FQ3 2022","FQ3 2022","Currency=USD","Period=FQ","BEST_FPERIOD_OVERRIDE=FQ","FILING_STATUS=MR","Sort=A","Dates=H","DateFormat=P","Fill=—","Direction=H","UseDPDF=Y")</f>
        <v>87.628</v>
      </c>
      <c r="Q7" s="13">
        <f>_xll.BDH("SRPT US Equity","IS_SH_FOR_DILUTED_EPS","FQ4 2022","FQ4 2022","Currency=USD","Period=FQ","BEST_FPERIOD_OVERRIDE=FQ","FILING_STATUS=MR","Sort=A","Dates=H","DateFormat=P","Fill=—","Direction=H","UseDPDF=Y")</f>
        <v>87.837999999999994</v>
      </c>
      <c r="R7" s="13">
        <f>_xll.BDH("SRPT US Equity","IS_SH_FOR_DILUTED_EPS","FQ1 2023","FQ1 2023","Currency=USD","Period=FQ","BEST_FPERIOD_OVERRIDE=FQ","FILING_STATUS=MR","Sort=A","Dates=H","DateFormat=P","Fill=—","Direction=H","UseDPDF=Y")</f>
        <v>88.186000000000007</v>
      </c>
      <c r="S7" s="13">
        <f>_xll.BDH("SRPT US Equity","IS_SH_FOR_DILUTED_EPS","FQ2 2023","FQ2 2023","Currency=USD","Period=FQ","BEST_FPERIOD_OVERRIDE=FQ","FILING_STATUS=MR","Sort=A","Dates=H","DateFormat=P","Fill=—","Direction=H","UseDPDF=Y")</f>
        <v>88.742999999999995</v>
      </c>
      <c r="T7" s="13">
        <f>_xll.BDH("SRPT US Equity","IS_SH_FOR_DILUTED_EPS","FQ3 2023","FQ3 2023","Currency=USD","Period=FQ","BEST_FPERIOD_OVERRIDE=FQ","FILING_STATUS=MR","Sort=A","Dates=H","DateFormat=P","Fill=—","Direction=H","UseDPDF=Y")</f>
        <v>88.888999999999996</v>
      </c>
      <c r="U7" s="13">
        <f>_xll.BDH("SRPT US Equity","IS_SH_FOR_DILUTED_EPS","FQ4 2023","FQ4 2023","Currency=USD","Period=FQ","BEST_FPERIOD_OVERRIDE=FQ","FILING_STATUS=MR","Sort=A","Dates=H","DateFormat=P","Fill=—","Direction=H","UseDPDF=Y")</f>
        <v>105.59399999999999</v>
      </c>
      <c r="V7" s="13">
        <f>_xll.BDH("SRPT US Equity","IS_SH_FOR_DILUTED_EPS","FQ1 2024","FQ1 2024","Currency=USD","Period=FQ","BEST_FPERIOD_OVERRIDE=FQ","FILING_STATUS=MR","Sort=A","Dates=H","DateFormat=P","Fill=—","Direction=H","UseDPDF=Y")</f>
        <v>99.114000000000004</v>
      </c>
      <c r="W7" s="13">
        <f>_xll.BDH("SRPT US Equity","IS_SH_FOR_DILUTED_EPS","FQ2 2024","FQ2 2024","Currency=USD","Period=FQ","BEST_FPERIOD_OVERRIDE=FQ","FILING_STATUS=MR","Sort=A","Dates=H","DateFormat=P","Fill=—","Direction=H","UseDPDF=Y")</f>
        <v>99.144000000000005</v>
      </c>
      <c r="X7" s="13">
        <f>_xll.BDH("SRPT US Equity","IS_SH_FOR_DILUTED_EPS","FQ3 2024","FQ3 2024","Currency=USD","Period=FQ","BEST_FPERIOD_OVERRIDE=FQ","FILING_STATUS=MR","Sort=A","Dates=H","DateFormat=P","Fill=—","Direction=H","UseDPDF=Y")</f>
        <v>100.44799999999999</v>
      </c>
      <c r="Y7" s="13">
        <f>_xll.BDH("SRPT US Equity","IS_SH_FOR_DILUTED_EPS","FQ4 2024","FQ4 2024","Currency=USD","Period=FQ","BEST_FPERIOD_OVERRIDE=FQ","FILING_STATUS=MR","Sort=A","Dates=H","DateFormat=P","Fill=—","Direction=H","UseDPDF=Y")</f>
        <v>108.474</v>
      </c>
      <c r="Z7" s="13"/>
      <c r="AA7" s="13"/>
    </row>
    <row r="8" spans="1:27" x14ac:dyDescent="0.25">
      <c r="A8" s="10" t="s">
        <v>259</v>
      </c>
      <c r="B8" s="10" t="s">
        <v>106</v>
      </c>
      <c r="C8" s="13">
        <f>_xll.BDH("SRPT US Equity","IS_AVG_NUM_SH_FOR_EPS","FQ2 2019","FQ2 2019","Currency=USD","Period=FQ","BEST_FPERIOD_OVERRIDE=FQ","FILING_STATUS=MR","Sort=A","Dates=H","DateFormat=P","Fill=—","Direction=H","UseDPDF=Y")</f>
        <v>73.957999999999998</v>
      </c>
      <c r="D8" s="13">
        <f>_xll.BDH("SRPT US Equity","IS_AVG_NUM_SH_FOR_EPS","FQ3 2019","FQ3 2019","Currency=USD","Period=FQ","BEST_FPERIOD_OVERRIDE=FQ","FILING_STATUS=MR","Sort=A","Dates=H","DateFormat=P","Fill=—","Direction=H","UseDPDF=Y")</f>
        <v>74.177000000000007</v>
      </c>
      <c r="E8" s="13">
        <f>_xll.BDH("SRPT US Equity","IS_AVG_NUM_SH_FOR_EPS","FQ4 2019","FQ4 2019","Currency=USD","Period=FQ","BEST_FPERIOD_OVERRIDE=FQ","FILING_STATUS=MR","Sort=A","Dates=H","DateFormat=P","Fill=—","Direction=H","UseDPDF=Y")</f>
        <v>74.557000000000002</v>
      </c>
      <c r="F8" s="13">
        <f>_xll.BDH("SRPT US Equity","IS_AVG_NUM_SH_FOR_EPS","FQ1 2020","FQ1 2020","Currency=USD","Period=FQ","BEST_FPERIOD_OVERRIDE=FQ","FILING_STATUS=MR","Sort=A","Dates=H","DateFormat=P","Fill=—","Direction=H","UseDPDF=Y")</f>
        <v>76.432000000000002</v>
      </c>
      <c r="G8" s="13">
        <f>_xll.BDH("SRPT US Equity","IS_AVG_NUM_SH_FOR_EPS","FQ2 2020","FQ2 2020","Currency=USD","Period=FQ","BEST_FPERIOD_OVERRIDE=FQ","FILING_STATUS=MR","Sort=A","Dates=H","DateFormat=P","Fill=—","Direction=H","UseDPDF=Y")</f>
        <v>77.968000000000004</v>
      </c>
      <c r="H8" s="13">
        <f>_xll.BDH("SRPT US Equity","IS_AVG_NUM_SH_FOR_EPS","FQ3 2020","FQ3 2020","Currency=USD","Period=FQ","BEST_FPERIOD_OVERRIDE=FQ","FILING_STATUS=MR","Sort=A","Dates=H","DateFormat=P","Fill=—","Direction=H","UseDPDF=Y")</f>
        <v>78.501000000000005</v>
      </c>
      <c r="I8" s="13">
        <f>_xll.BDH("SRPT US Equity","IS_AVG_NUM_SH_FOR_EPS","FQ4 2020","FQ4 2020","Currency=USD","Period=FQ","BEST_FPERIOD_OVERRIDE=FQ","FILING_STATUS=MR","Sort=A","Dates=H","DateFormat=P","Fill=—","Direction=H","UseDPDF=Y")</f>
        <v>78.905000000000001</v>
      </c>
      <c r="J8" s="13">
        <f>_xll.BDH("SRPT US Equity","IS_AVG_NUM_SH_FOR_EPS","FQ1 2021","FQ1 2021","Currency=USD","Period=FQ","BEST_FPERIOD_OVERRIDE=FQ","FILING_STATUS=MR","Sort=A","Dates=H","DateFormat=P","Fill=—","Direction=H","UseDPDF=Y")</f>
        <v>79.453999999999994</v>
      </c>
      <c r="K8" s="13">
        <f>_xll.BDH("SRPT US Equity","IS_AVG_NUM_SH_FOR_EPS","FQ2 2021","FQ2 2021","Currency=USD","Period=FQ","BEST_FPERIOD_OVERRIDE=FQ","FILING_STATUS=MR","Sort=A","Dates=H","DateFormat=P","Fill=—","Direction=H","UseDPDF=Y")</f>
        <v>79.745999999999995</v>
      </c>
      <c r="L8" s="13">
        <f>_xll.BDH("SRPT US Equity","IS_AVG_NUM_SH_FOR_EPS","FQ3 2021","FQ3 2021","Currency=USD","Period=FQ","BEST_FPERIOD_OVERRIDE=FQ","FILING_STATUS=MR","Sort=A","Dates=H","DateFormat=P","Fill=—","Direction=H","UseDPDF=Y")</f>
        <v>79.88</v>
      </c>
      <c r="M8" s="13">
        <f>_xll.BDH("SRPT US Equity","IS_AVG_NUM_SH_FOR_EPS","FQ4 2021","FQ4 2021","Currency=USD","Period=FQ","BEST_FPERIOD_OVERRIDE=FQ","FILING_STATUS=MR","Sort=A","Dates=H","DateFormat=P","Fill=—","Direction=H","UseDPDF=Y")</f>
        <v>85.950999999999993</v>
      </c>
      <c r="N8" s="13">
        <f>_xll.BDH("SRPT US Equity","IS_AVG_NUM_SH_FOR_EPS","FQ1 2022","FQ1 2022","Currency=USD","Period=FQ","BEST_FPERIOD_OVERRIDE=FQ","FILING_STATUS=MR","Sort=A","Dates=H","DateFormat=P","Fill=—","Direction=H","UseDPDF=Y")</f>
        <v>87.253</v>
      </c>
      <c r="O8" s="13">
        <f>_xll.BDH("SRPT US Equity","IS_AVG_NUM_SH_FOR_EPS","FQ2 2022","FQ2 2022","Currency=USD","Period=FQ","BEST_FPERIOD_OVERRIDE=FQ","FILING_STATUS=MR","Sort=A","Dates=H","DateFormat=P","Fill=—","Direction=H","UseDPDF=Y")</f>
        <v>87.510999999999996</v>
      </c>
      <c r="P8" s="13">
        <f>_xll.BDH("SRPT US Equity","IS_AVG_NUM_SH_FOR_EPS","FQ3 2022","FQ3 2022","Currency=USD","Period=FQ","BEST_FPERIOD_OVERRIDE=FQ","FILING_STATUS=MR","Sort=A","Dates=H","DateFormat=P","Fill=—","Direction=H","UseDPDF=Y")</f>
        <v>87.628</v>
      </c>
      <c r="Q8" s="13">
        <f>_xll.BDH("SRPT US Equity","IS_AVG_NUM_SH_FOR_EPS","FQ4 2022","FQ4 2022","Currency=USD","Period=FQ","BEST_FPERIOD_OVERRIDE=FQ","FILING_STATUS=MR","Sort=A","Dates=H","DateFormat=P","Fill=—","Direction=H","UseDPDF=Y")</f>
        <v>87.837999999999994</v>
      </c>
      <c r="R8" s="13">
        <f>_xll.BDH("SRPT US Equity","IS_AVG_NUM_SH_FOR_EPS","FQ1 2023","FQ1 2023","Currency=USD","Period=FQ","BEST_FPERIOD_OVERRIDE=FQ","FILING_STATUS=MR","Sort=A","Dates=H","DateFormat=P","Fill=—","Direction=H","UseDPDF=Y")</f>
        <v>88.186000000000007</v>
      </c>
      <c r="S8" s="13">
        <f>_xll.BDH("SRPT US Equity","IS_AVG_NUM_SH_FOR_EPS","FQ2 2023","FQ2 2023","Currency=USD","Period=FQ","BEST_FPERIOD_OVERRIDE=FQ","FILING_STATUS=MR","Sort=A","Dates=H","DateFormat=P","Fill=—","Direction=H","UseDPDF=Y")</f>
        <v>88.742999999999995</v>
      </c>
      <c r="T8" s="13">
        <f>_xll.BDH("SRPT US Equity","IS_AVG_NUM_SH_FOR_EPS","FQ3 2023","FQ3 2023","Currency=USD","Period=FQ","BEST_FPERIOD_OVERRIDE=FQ","FILING_STATUS=MR","Sort=A","Dates=H","DateFormat=P","Fill=—","Direction=H","UseDPDF=Y")</f>
        <v>88.888999999999996</v>
      </c>
      <c r="U8" s="13">
        <f>_xll.BDH("SRPT US Equity","IS_AVG_NUM_SH_FOR_EPS","FQ4 2023","FQ4 2023","Currency=USD","Period=FQ","BEST_FPERIOD_OVERRIDE=FQ","FILING_STATUS=MR","Sort=A","Dates=H","DateFormat=P","Fill=—","Direction=H","UseDPDF=Y")</f>
        <v>93.617000000000004</v>
      </c>
      <c r="V8" s="13">
        <f>_xll.BDH("SRPT US Equity","IS_AVG_NUM_SH_FOR_EPS","FQ1 2024","FQ1 2024","Currency=USD","Period=FQ","BEST_FPERIOD_OVERRIDE=FQ","FILING_STATUS=MR","Sort=A","Dates=H","DateFormat=P","Fill=—","Direction=H","UseDPDF=Y")</f>
        <v>93.991</v>
      </c>
      <c r="W8" s="13">
        <f>_xll.BDH("SRPT US Equity","IS_AVG_NUM_SH_FOR_EPS","FQ2 2024","FQ2 2024","Currency=USD","Period=FQ","BEST_FPERIOD_OVERRIDE=FQ","FILING_STATUS=MR","Sort=A","Dates=H","DateFormat=P","Fill=—","Direction=H","UseDPDF=Y")</f>
        <v>94.617999999999995</v>
      </c>
      <c r="X8" s="13">
        <f>_xll.BDH("SRPT US Equity","IS_AVG_NUM_SH_FOR_EPS","FQ3 2024","FQ3 2024","Currency=USD","Period=FQ","BEST_FPERIOD_OVERRIDE=FQ","FILING_STATUS=MR","Sort=A","Dates=H","DateFormat=P","Fill=—","Direction=H","UseDPDF=Y")</f>
        <v>95.39</v>
      </c>
      <c r="Y8" s="13">
        <f>_xll.BDH("SRPT US Equity","IS_AVG_NUM_SH_FOR_EPS","FQ4 2024","FQ4 2024","Currency=USD","Period=FQ","BEST_FPERIOD_OVERRIDE=FQ","FILING_STATUS=MR","Sort=A","Dates=H","DateFormat=P","Fill=—","Direction=H","UseDPDF=Y")</f>
        <v>96.283000000000001</v>
      </c>
      <c r="Z8" s="13"/>
      <c r="AA8" s="13"/>
    </row>
    <row r="9" spans="1:27" x14ac:dyDescent="0.25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25">
      <c r="A10" s="6" t="s">
        <v>260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x14ac:dyDescent="0.25">
      <c r="A11" s="10" t="s">
        <v>0</v>
      </c>
      <c r="B11" s="10" t="s">
        <v>261</v>
      </c>
      <c r="C11" s="14">
        <f>_xll.BDH("SRPT US Equity","REVENUE_PER_SH","FQ2 2019","FQ2 2019","Currency=USD","Period=FQ","BEST_FPERIOD_OVERRIDE=FQ","FILING_STATUS=MR","FA_ADJUSTED=GAAP","Sort=A","Dates=H","DateFormat=P","Fill=—","Direction=H","UseDPDF=Y")</f>
        <v>1.28</v>
      </c>
      <c r="D11" s="14">
        <f>_xll.BDH("SRPT US Equity","REVENUE_PER_SH","FQ3 2019","FQ3 2019","Currency=USD","Period=FQ","BEST_FPERIOD_OVERRIDE=FQ","FILING_STATUS=MR","FA_ADJUSTED=GAAP","Sort=A","Dates=H","DateFormat=P","Fill=—","Direction=H","UseDPDF=Y")</f>
        <v>1.3351999999999999</v>
      </c>
      <c r="E11" s="14">
        <f>_xll.BDH("SRPT US Equity","REVENUE_PER_SH","FQ4 2019","FQ4 2019","Currency=USD","Period=FQ","BEST_FPERIOD_OVERRIDE=FQ","FILING_STATUS=MR","FA_ADJUSTED=GAAP","Sort=A","Dates=H","DateFormat=P","Fill=—","Direction=H","UseDPDF=Y")</f>
        <v>1.3428</v>
      </c>
      <c r="F11" s="14">
        <f>_xll.BDH("SRPT US Equity","REVENUE_PER_SH","FQ1 2020","FQ1 2020","Currency=USD","Period=FQ","BEST_FPERIOD_OVERRIDE=FQ","FILING_STATUS=MR","FA_ADJUSTED=GAAP","Sort=A","Dates=H","DateFormat=P","Fill=—","Direction=H","UseDPDF=Y")</f>
        <v>1.4873000000000001</v>
      </c>
      <c r="G11" s="14">
        <f>_xll.BDH("SRPT US Equity","REVENUE_PER_SH","FQ2 2020","FQ2 2020","Currency=USD","Period=FQ","BEST_FPERIOD_OVERRIDE=FQ","FILING_STATUS=MR","FA_ADJUSTED=GAAP","Sort=A","Dates=H","DateFormat=P","Fill=—","Direction=H","UseDPDF=Y")</f>
        <v>1.7618</v>
      </c>
      <c r="H11" s="14">
        <f>_xll.BDH("SRPT US Equity","REVENUE_PER_SH","FQ3 2020","FQ3 2020","Currency=USD","Period=FQ","BEST_FPERIOD_OVERRIDE=FQ","FILING_STATUS=MR","FA_ADJUSTED=GAAP","Sort=A","Dates=H","DateFormat=P","Fill=—","Direction=H","UseDPDF=Y")</f>
        <v>1.8333999999999999</v>
      </c>
      <c r="I11" s="14">
        <f>_xll.BDH("SRPT US Equity","REVENUE_PER_SH","FQ4 2020","FQ4 2020","Currency=USD","Period=FQ","BEST_FPERIOD_OVERRIDE=FQ","FILING_STATUS=MR","FA_ADJUSTED=GAAP","Sort=A","Dates=H","DateFormat=P","Fill=—","Direction=H","UseDPDF=Y")</f>
        <v>1.8393999999999999</v>
      </c>
      <c r="J11" s="14">
        <f>_xll.BDH("SRPT US Equity","REVENUE_PER_SH","FQ1 2021","FQ1 2021","Currency=USD","Period=FQ","BEST_FPERIOD_OVERRIDE=FQ","FILING_STATUS=MR","FA_ADJUSTED=GAAP","Sort=A","Dates=H","DateFormat=P","Fill=—","Direction=H","UseDPDF=Y")</f>
        <v>1.8492999999999999</v>
      </c>
      <c r="K11" s="14">
        <f>_xll.BDH("SRPT US Equity","REVENUE_PER_SH","FQ2 2021","FQ2 2021","Currency=USD","Period=FQ","BEST_FPERIOD_OVERRIDE=FQ","FILING_STATUS=MR","FA_ADJUSTED=GAAP","Sort=A","Dates=H","DateFormat=P","Fill=—","Direction=H","UseDPDF=Y")</f>
        <v>2.0575999999999999</v>
      </c>
      <c r="L11" s="14">
        <f>_xll.BDH("SRPT US Equity","REVENUE_PER_SH","FQ3 2021","FQ3 2021","Currency=USD","Period=FQ","BEST_FPERIOD_OVERRIDE=FQ","FILING_STATUS=MR","FA_ADJUSTED=GAAP","Sort=A","Dates=H","DateFormat=P","Fill=—","Direction=H","UseDPDF=Y")</f>
        <v>2.3711000000000002</v>
      </c>
      <c r="M11" s="14">
        <f>_xll.BDH("SRPT US Equity","REVENUE_PER_SH","FQ4 2021","FQ4 2021","Currency=USD","Period=FQ","BEST_FPERIOD_OVERRIDE=FQ","FILING_STATUS=MR","FA_ADJUSTED=GAAP","Sort=A","Dates=H","DateFormat=P","Fill=—","Direction=H","UseDPDF=Y")</f>
        <v>2.3439000000000001</v>
      </c>
      <c r="N11" s="14">
        <f>_xll.BDH("SRPT US Equity","REVENUE_PER_SH","FQ1 2022","FQ1 2022","Currency=USD","Period=FQ","BEST_FPERIOD_OVERRIDE=FQ","FILING_STATUS=MR","FA_ADJUSTED=GAAP","Sort=A","Dates=H","DateFormat=P","Fill=—","Direction=H","UseDPDF=Y")</f>
        <v>2.4163000000000001</v>
      </c>
      <c r="O11" s="14">
        <f>_xll.BDH("SRPT US Equity","REVENUE_PER_SH","FQ2 2022","FQ2 2022","Currency=USD","Period=FQ","BEST_FPERIOD_OVERRIDE=FQ","FILING_STATUS=MR","FA_ADJUSTED=GAAP","Sort=A","Dates=H","DateFormat=P","Fill=—","Direction=H","UseDPDF=Y")</f>
        <v>2.6680999999999999</v>
      </c>
      <c r="P11" s="14">
        <f>_xll.BDH("SRPT US Equity","REVENUE_PER_SH","FQ3 2022","FQ3 2022","Currency=USD","Period=FQ","BEST_FPERIOD_OVERRIDE=FQ","FILING_STATUS=MR","FA_ADJUSTED=GAAP","Sort=A","Dates=H","DateFormat=P","Fill=—","Direction=H","UseDPDF=Y")</f>
        <v>2.6278000000000001</v>
      </c>
      <c r="Q11" s="14">
        <f>_xll.BDH("SRPT US Equity","REVENUE_PER_SH","FQ4 2022","FQ4 2022","Currency=USD","Period=FQ","BEST_FPERIOD_OVERRIDE=FQ","FILING_STATUS=MR","FA_ADJUSTED=GAAP","Sort=A","Dates=H","DateFormat=P","Fill=—","Direction=H","UseDPDF=Y")</f>
        <v>2.9420999999999999</v>
      </c>
      <c r="R11" s="14">
        <f>_xll.BDH("SRPT US Equity","REVENUE_PER_SH","FQ1 2023","FQ1 2023","Currency=USD","Period=FQ","BEST_FPERIOD_OVERRIDE=FQ","FILING_STATUS=MR","FA_ADJUSTED=GAAP","Sort=A","Dates=H","DateFormat=P","Fill=—","Direction=H","UseDPDF=Y")</f>
        <v>2.8746</v>
      </c>
      <c r="S11" s="14">
        <f>_xll.BDH("SRPT US Equity","REVENUE_PER_SH","FQ2 2023","FQ2 2023","Currency=USD","Period=FQ","BEST_FPERIOD_OVERRIDE=FQ","FILING_STATUS=MR","FA_ADJUSTED=GAAP","Sort=A","Dates=H","DateFormat=P","Fill=—","Direction=H","UseDPDF=Y")</f>
        <v>2.9438</v>
      </c>
      <c r="T11" s="14">
        <f>_xll.BDH("SRPT US Equity","REVENUE_PER_SH","FQ3 2023","FQ3 2023","Currency=USD","Period=FQ","BEST_FPERIOD_OVERRIDE=FQ","FILING_STATUS=MR","FA_ADJUSTED=GAAP","Sort=A","Dates=H","DateFormat=P","Fill=—","Direction=H","UseDPDF=Y")</f>
        <v>3.7328999999999999</v>
      </c>
      <c r="U11" s="14">
        <f>_xll.BDH("SRPT US Equity","REVENUE_PER_SH","FQ4 2023","FQ4 2023","Currency=USD","Period=FQ","BEST_FPERIOD_OVERRIDE=FQ","FILING_STATUS=MR","FA_ADJUSTED=GAAP","Sort=A","Dates=H","DateFormat=P","Fill=—","Direction=H","UseDPDF=Y")</f>
        <v>4.2382999999999997</v>
      </c>
      <c r="V11" s="14">
        <f>_xll.BDH("SRPT US Equity","REVENUE_PER_SH","FQ1 2024","FQ1 2024","Currency=USD","Period=FQ","BEST_FPERIOD_OVERRIDE=FQ","FILING_STATUS=MR","FA_ADJUSTED=GAAP","Sort=A","Dates=H","DateFormat=P","Fill=—","Direction=H","UseDPDF=Y")</f>
        <v>4.399</v>
      </c>
      <c r="W11" s="14">
        <f>_xll.BDH("SRPT US Equity","REVENUE_PER_SH","FQ2 2024","FQ2 2024","Currency=USD","Period=FQ","BEST_FPERIOD_OVERRIDE=FQ","FILING_STATUS=MR","FA_ADJUSTED=GAAP","Sort=A","Dates=H","DateFormat=P","Fill=—","Direction=H","UseDPDF=Y")</f>
        <v>3.8357999999999999</v>
      </c>
      <c r="X11" s="14">
        <f>_xll.BDH("SRPT US Equity","REVENUE_PER_SH","FQ3 2024","FQ3 2024","Currency=USD","Period=FQ","BEST_FPERIOD_OVERRIDE=FQ","FILING_STATUS=MR","FA_ADJUSTED=GAAP","Sort=A","Dates=H","DateFormat=P","Fill=—","Direction=H","UseDPDF=Y")</f>
        <v>4.8975</v>
      </c>
      <c r="Y11" s="14">
        <f>_xll.BDH("SRPT US Equity","REVENUE_PER_SH","FQ4 2024","FQ4 2024","Currency=USD","Period=FQ","BEST_FPERIOD_OVERRIDE=FQ","FILING_STATUS=MR","FA_ADJUSTED=GAAP","Sort=A","Dates=H","DateFormat=P","Fill=—","Direction=H","UseDPDF=Y")</f>
        <v>6.8383000000000003</v>
      </c>
      <c r="Z11" s="14"/>
      <c r="AA11" s="14"/>
    </row>
    <row r="12" spans="1:27" x14ac:dyDescent="0.25">
      <c r="A12" s="10" t="s">
        <v>78</v>
      </c>
      <c r="B12" s="10" t="s">
        <v>262</v>
      </c>
      <c r="C12" s="14">
        <f>_xll.BDH("SRPT US Equity","EBITDA_PER_SH","FQ2 2019","FQ2 2019","Currency=USD","Period=FQ","BEST_FPERIOD_OVERRIDE=FQ","FILING_STATUS=MR","FA_ADJUSTED=GAAP","Sort=A","Dates=H","DateFormat=P","Fill=—","Direction=H","UseDPDF=Y")</f>
        <v>-3.585</v>
      </c>
      <c r="D12" s="14">
        <f>_xll.BDH("SRPT US Equity","EBITDA_PER_SH","FQ3 2019","FQ3 2019","Currency=USD","Period=FQ","BEST_FPERIOD_OVERRIDE=FQ","FILING_STATUS=MR","FA_ADJUSTED=GAAP","Sort=A","Dates=H","DateFormat=P","Fill=—","Direction=H","UseDPDF=Y")</f>
        <v>-1.5194000000000001</v>
      </c>
      <c r="E12" s="14">
        <f>_xll.BDH("SRPT US Equity","EBITDA_PER_SH","FQ4 2019","FQ4 2019","Currency=USD","Period=FQ","BEST_FPERIOD_OVERRIDE=FQ","FILING_STATUS=MR","FA_ADJUSTED=GAAP","Sort=A","Dates=H","DateFormat=P","Fill=—","Direction=H","UseDPDF=Y")</f>
        <v>-2.9428999999999998</v>
      </c>
      <c r="F12" s="14">
        <f>_xll.BDH("SRPT US Equity","EBITDA_PER_SH","FQ1 2020","FQ1 2020","Currency=USD","Period=FQ","BEST_FPERIOD_OVERRIDE=FQ","FILING_STATUS=MR","FA_ADJUSTED=GAAP","Sort=A","Dates=H","DateFormat=P","Fill=—","Direction=H","UseDPDF=Y")</f>
        <v>-1.4482999999999999</v>
      </c>
      <c r="G12" s="14">
        <f>_xll.BDH("SRPT US Equity","EBITDA_PER_SH","FQ2 2020","FQ2 2020","Currency=USD","Period=FQ","BEST_FPERIOD_OVERRIDE=FQ","FILING_STATUS=MR","FA_ADJUSTED=GAAP","Sort=A","Dates=H","DateFormat=P","Fill=—","Direction=H","UseDPDF=Y")</f>
        <v>-1.6657999999999999</v>
      </c>
      <c r="H12" s="14">
        <f>_xll.BDH("SRPT US Equity","EBITDA_PER_SH","FQ3 2020","FQ3 2020","Currency=USD","Period=FQ","BEST_FPERIOD_OVERRIDE=FQ","FILING_STATUS=MR","FA_ADJUSTED=GAAP","Sort=A","Dates=H","DateFormat=P","Fill=—","Direction=H","UseDPDF=Y")</f>
        <v>-1.6336999999999999</v>
      </c>
      <c r="I12" s="14">
        <f>_xll.BDH("SRPT US Equity","EBITDA_PER_SH","FQ4 2020","FQ4 2020","Currency=USD","Period=FQ","BEST_FPERIOD_OVERRIDE=FQ","FILING_STATUS=MR","FA_ADJUSTED=GAAP","Sort=A","Dates=H","DateFormat=P","Fill=—","Direction=H","UseDPDF=Y")</f>
        <v>-1.8939999999999999</v>
      </c>
      <c r="J12" s="14">
        <f>_xll.BDH("SRPT US Equity","EBITDA_PER_SH","FQ1 2021","FQ1 2021","Currency=USD","Period=FQ","BEST_FPERIOD_OVERRIDE=FQ","FILING_STATUS=MR","FA_ADJUSTED=GAAP","Sort=A","Dates=H","DateFormat=P","Fill=—","Direction=H","UseDPDF=Y")</f>
        <v>-1.7989999999999999</v>
      </c>
      <c r="K12" s="14">
        <f>_xll.BDH("SRPT US Equity","EBITDA_PER_SH","FQ2 2021","FQ2 2021","Currency=USD","Period=FQ","BEST_FPERIOD_OVERRIDE=FQ","FILING_STATUS=MR","FA_ADJUSTED=GAAP","Sort=A","Dates=H","DateFormat=P","Fill=—","Direction=H","UseDPDF=Y")</f>
        <v>-1.9954000000000001</v>
      </c>
      <c r="L12" s="14">
        <f>_xll.BDH("SRPT US Equity","EBITDA_PER_SH","FQ3 2021","FQ3 2021","Currency=USD","Period=FQ","BEST_FPERIOD_OVERRIDE=FQ","FILING_STATUS=MR","FA_ADJUSTED=GAAP","Sort=A","Dates=H","DateFormat=P","Fill=—","Direction=H","UseDPDF=Y")</f>
        <v>-0.3</v>
      </c>
      <c r="M12" s="14">
        <f>_xll.BDH("SRPT US Equity","EBITDA_PER_SH","FQ4 2021","FQ4 2021","Currency=USD","Period=FQ","BEST_FPERIOD_OVERRIDE=FQ","FILING_STATUS=MR","FA_ADJUSTED=GAAP","Sort=A","Dates=H","DateFormat=P","Fill=—","Direction=H","UseDPDF=Y")</f>
        <v>-1.1131</v>
      </c>
      <c r="N12" s="14">
        <f>_xll.BDH("SRPT US Equity","EBITDA_PER_SH","FQ1 2022","FQ1 2022","Currency=USD","Period=FQ","BEST_FPERIOD_OVERRIDE=FQ","FILING_STATUS=MR","FA_ADJUSTED=GAAP","Sort=A","Dates=H","DateFormat=P","Fill=—","Direction=H","UseDPDF=Y")</f>
        <v>-0.87290000000000001</v>
      </c>
      <c r="O12" s="14">
        <f>_xll.BDH("SRPT US Equity","EBITDA_PER_SH","FQ2 2022","FQ2 2022","Currency=USD","Period=FQ","BEST_FPERIOD_OVERRIDE=FQ","FILING_STATUS=MR","FA_ADJUSTED=GAAP","Sort=A","Dates=H","DateFormat=P","Fill=—","Direction=H","UseDPDF=Y")</f>
        <v>-2.2995999999999999</v>
      </c>
      <c r="P12" s="14">
        <f>_xll.BDH("SRPT US Equity","EBITDA_PER_SH","FQ3 2022","FQ3 2022","Currency=USD","Period=FQ","BEST_FPERIOD_OVERRIDE=FQ","FILING_STATUS=MR","FA_ADJUSTED=GAAP","Sort=A","Dates=H","DateFormat=P","Fill=—","Direction=H","UseDPDF=Y")</f>
        <v>-1.3769</v>
      </c>
      <c r="Q12" s="14">
        <f>_xll.BDH("SRPT US Equity","EBITDA_PER_SH","FQ4 2022","FQ4 2022","Currency=USD","Period=FQ","BEST_FPERIOD_OVERRIDE=FQ","FILING_STATUS=MR","FA_ADJUSTED=GAAP","Sort=A","Dates=H","DateFormat=P","Fill=—","Direction=H","UseDPDF=Y")</f>
        <v>-1.0961000000000001</v>
      </c>
      <c r="R12" s="14">
        <f>_xll.BDH("SRPT US Equity","EBITDA_PER_SH","FQ1 2023","FQ1 2023","Currency=USD","Period=FQ","BEST_FPERIOD_OVERRIDE=FQ","FILING_STATUS=MR","FA_ADJUSTED=GAAP","Sort=A","Dates=H","DateFormat=P","Fill=—","Direction=H","UseDPDF=Y")</f>
        <v>-1.4377</v>
      </c>
      <c r="S12" s="14">
        <f>_xll.BDH("SRPT US Equity","EBITDA_PER_SH","FQ2 2023","FQ2 2023","Currency=USD","Period=FQ","BEST_FPERIOD_OVERRIDE=FQ","FILING_STATUS=MR","FA_ADJUSTED=GAAP","Sort=A","Dates=H","DateFormat=P","Fill=—","Direction=H","UseDPDF=Y")</f>
        <v>-1.3829</v>
      </c>
      <c r="T12" s="14">
        <f>_xll.BDH("SRPT US Equity","EBITDA_PER_SH","FQ3 2023","FQ3 2023","Currency=USD","Period=FQ","BEST_FPERIOD_OVERRIDE=FQ","FILING_STATUS=MR","FA_ADJUSTED=GAAP","Sort=A","Dates=H","DateFormat=P","Fill=—","Direction=H","UseDPDF=Y")</f>
        <v>-0.1115</v>
      </c>
      <c r="U12" s="14">
        <f>_xll.BDH("SRPT US Equity","EBITDA_PER_SH","FQ4 2023","FQ4 2023","Currency=USD","Period=FQ","BEST_FPERIOD_OVERRIDE=FQ","FILING_STATUS=MR","FA_ADJUSTED=GAAP","Sort=A","Dates=H","DateFormat=P","Fill=—","Direction=H","UseDPDF=Y")</f>
        <v>0.38450000000000001</v>
      </c>
      <c r="V12" s="14">
        <f>_xll.BDH("SRPT US Equity","EBITDA_PER_SH","FQ1 2024","FQ1 2024","Currency=USD","Period=FQ","BEST_FPERIOD_OVERRIDE=FQ","FILING_STATUS=MR","FA_ADJUSTED=GAAP","Sort=A","Dates=H","DateFormat=P","Fill=—","Direction=H","UseDPDF=Y")</f>
        <v>0.46439999999999998</v>
      </c>
      <c r="W12" s="14">
        <f>_xll.BDH("SRPT US Equity","EBITDA_PER_SH","FQ2 2024","FQ2 2024","Currency=USD","Period=FQ","BEST_FPERIOD_OVERRIDE=FQ","FILING_STATUS=MR","FA_ADJUSTED=GAAP","Sort=A","Dates=H","DateFormat=P","Fill=—","Direction=H","UseDPDF=Y")</f>
        <v>8.4699999999999998E-2</v>
      </c>
      <c r="X12" s="14">
        <f>_xll.BDH("SRPT US Equity","EBITDA_PER_SH","FQ3 2024","FQ3 2024","Currency=USD","Period=FQ","BEST_FPERIOD_OVERRIDE=FQ","FILING_STATUS=MR","FA_ADJUSTED=GAAP","Sort=A","Dates=H","DateFormat=P","Fill=—","Direction=H","UseDPDF=Y")</f>
        <v>0.33550000000000002</v>
      </c>
      <c r="Y12" s="14">
        <f>_xll.BDH("SRPT US Equity","EBITDA_PER_SH","FQ4 2024","FQ4 2024","Currency=USD","Period=FQ","BEST_FPERIOD_OVERRIDE=FQ","FILING_STATUS=MR","FA_ADJUSTED=GAAP","Sort=A","Dates=H","DateFormat=P","Fill=—","Direction=H","UseDPDF=Y")</f>
        <v>1.7878000000000001</v>
      </c>
      <c r="Z12" s="14"/>
      <c r="AA12" s="14"/>
    </row>
    <row r="13" spans="1:27" x14ac:dyDescent="0.25">
      <c r="A13" s="10" t="s">
        <v>98</v>
      </c>
      <c r="B13" s="10" t="s">
        <v>263</v>
      </c>
      <c r="C13" s="14">
        <f>_xll.BDH("SRPT US Equity","OPER_INC_PER_SH","FQ2 2019","FQ2 2019","Currency=USD","Period=FQ","BEST_FPERIOD_OVERRIDE=FQ","FILING_STATUS=MR","FA_ADJUSTED=GAAP","Sort=A","Dates=H","DateFormat=P","Fill=—","Direction=H","UseDPDF=Y")</f>
        <v>-3.7233000000000001</v>
      </c>
      <c r="D13" s="14">
        <f>_xll.BDH("SRPT US Equity","OPER_INC_PER_SH","FQ3 2019","FQ3 2019","Currency=USD","Period=FQ","BEST_FPERIOD_OVERRIDE=FQ","FILING_STATUS=MR","FA_ADJUSTED=GAAP","Sort=A","Dates=H","DateFormat=P","Fill=—","Direction=H","UseDPDF=Y")</f>
        <v>-1.6660999999999999</v>
      </c>
      <c r="E13" s="14">
        <f>_xll.BDH("SRPT US Equity","OPER_INC_PER_SH","FQ4 2019","FQ4 2019","Currency=USD","Period=FQ","BEST_FPERIOD_OVERRIDE=FQ","FILING_STATUS=MR","FA_ADJUSTED=GAAP","Sort=A","Dates=H","DateFormat=P","Fill=—","Direction=H","UseDPDF=Y")</f>
        <v>-3.0878000000000001</v>
      </c>
      <c r="F13" s="14">
        <f>_xll.BDH("SRPT US Equity","OPER_INC_PER_SH","FQ1 2020","FQ1 2020","Currency=USD","Period=FQ","BEST_FPERIOD_OVERRIDE=FQ","FILING_STATUS=MR","FA_ADJUSTED=GAAP","Sort=A","Dates=H","DateFormat=P","Fill=—","Direction=H","UseDPDF=Y")</f>
        <v>-1.5442</v>
      </c>
      <c r="G13" s="14">
        <f>_xll.BDH("SRPT US Equity","OPER_INC_PER_SH","FQ2 2020","FQ2 2020","Currency=USD","Period=FQ","BEST_FPERIOD_OVERRIDE=FQ","FILING_STATUS=MR","FA_ADJUSTED=GAAP","Sort=A","Dates=H","DateFormat=P","Fill=—","Direction=H","UseDPDF=Y")</f>
        <v>-1.7745</v>
      </c>
      <c r="H13" s="14">
        <f>_xll.BDH("SRPT US Equity","OPER_INC_PER_SH","FQ3 2020","FQ3 2020","Currency=USD","Period=FQ","BEST_FPERIOD_OVERRIDE=FQ","FILING_STATUS=MR","FA_ADJUSTED=GAAP","Sort=A","Dates=H","DateFormat=P","Fill=—","Direction=H","UseDPDF=Y")</f>
        <v>-1.7461</v>
      </c>
      <c r="I13" s="14">
        <f>_xll.BDH("SRPT US Equity","OPER_INC_PER_SH","FQ4 2020","FQ4 2020","Currency=USD","Period=FQ","BEST_FPERIOD_OVERRIDE=FQ","FILING_STATUS=MR","FA_ADJUSTED=GAAP","Sort=A","Dates=H","DateFormat=P","Fill=—","Direction=H","UseDPDF=Y")</f>
        <v>-2.1636000000000002</v>
      </c>
      <c r="J13" s="14">
        <f>_xll.BDH("SRPT US Equity","OPER_INC_PER_SH","FQ1 2021","FQ1 2021","Currency=USD","Period=FQ","BEST_FPERIOD_OVERRIDE=FQ","FILING_STATUS=MR","FA_ADJUSTED=GAAP","Sort=A","Dates=H","DateFormat=P","Fill=—","Direction=H","UseDPDF=Y")</f>
        <v>-1.9114</v>
      </c>
      <c r="K13" s="14">
        <f>_xll.BDH("SRPT US Equity","OPER_INC_PER_SH","FQ2 2021","FQ2 2021","Currency=USD","Period=FQ","BEST_FPERIOD_OVERRIDE=FQ","FILING_STATUS=MR","FA_ADJUSTED=GAAP","Sort=A","Dates=H","DateFormat=P","Fill=—","Direction=H","UseDPDF=Y")</f>
        <v>-2.1013000000000002</v>
      </c>
      <c r="L13" s="14">
        <f>_xll.BDH("SRPT US Equity","OPER_INC_PER_SH","FQ3 2021","FQ3 2021","Currency=USD","Period=FQ","BEST_FPERIOD_OVERRIDE=FQ","FILING_STATUS=MR","FA_ADJUSTED=GAAP","Sort=A","Dates=H","DateFormat=P","Fill=—","Direction=H","UseDPDF=Y")</f>
        <v>-0.43140000000000001</v>
      </c>
      <c r="M13" s="14">
        <f>_xll.BDH("SRPT US Equity","OPER_INC_PER_SH","FQ4 2021","FQ4 2021","Currency=USD","Period=FQ","BEST_FPERIOD_OVERRIDE=FQ","FILING_STATUS=MR","FA_ADJUSTED=GAAP","Sort=A","Dates=H","DateFormat=P","Fill=—","Direction=H","UseDPDF=Y")</f>
        <v>-1.2311000000000001</v>
      </c>
      <c r="N13" s="14">
        <f>_xll.BDH("SRPT US Equity","OPER_INC_PER_SH","FQ1 2022","FQ1 2022","Currency=USD","Period=FQ","BEST_FPERIOD_OVERRIDE=FQ","FILING_STATUS=MR","FA_ADJUSTED=GAAP","Sort=A","Dates=H","DateFormat=P","Fill=—","Direction=H","UseDPDF=Y")</f>
        <v>-0.99570000000000003</v>
      </c>
      <c r="O13" s="14">
        <f>_xll.BDH("SRPT US Equity","OPER_INC_PER_SH","FQ2 2022","FQ2 2022","Currency=USD","Period=FQ","BEST_FPERIOD_OVERRIDE=FQ","FILING_STATUS=MR","FA_ADJUSTED=GAAP","Sort=A","Dates=H","DateFormat=P","Fill=—","Direction=H","UseDPDF=Y")</f>
        <v>-2.4125999999999999</v>
      </c>
      <c r="P13" s="14">
        <f>_xll.BDH("SRPT US Equity","OPER_INC_PER_SH","FQ3 2022","FQ3 2022","Currency=USD","Period=FQ","BEST_FPERIOD_OVERRIDE=FQ","FILING_STATUS=MR","FA_ADJUSTED=GAAP","Sort=A","Dates=H","DateFormat=P","Fill=—","Direction=H","UseDPDF=Y")</f>
        <v>-1.4990000000000001</v>
      </c>
      <c r="Q13" s="14">
        <f>_xll.BDH("SRPT US Equity","OPER_INC_PER_SH","FQ4 2022","FQ4 2022","Currency=USD","Period=FQ","BEST_FPERIOD_OVERRIDE=FQ","FILING_STATUS=MR","FA_ADJUSTED=GAAP","Sort=A","Dates=H","DateFormat=P","Fill=—","Direction=H","UseDPDF=Y")</f>
        <v>-1.2162999999999999</v>
      </c>
      <c r="R13" s="14">
        <f>_xll.BDH("SRPT US Equity","OPER_INC_PER_SH","FQ1 2023","FQ1 2023","Currency=USD","Period=FQ","BEST_FPERIOD_OVERRIDE=FQ","FILING_STATUS=MR","FA_ADJUSTED=GAAP","Sort=A","Dates=H","DateFormat=P","Fill=—","Direction=H","UseDPDF=Y")</f>
        <v>-1.5659000000000001</v>
      </c>
      <c r="S13" s="14">
        <f>_xll.BDH("SRPT US Equity","OPER_INC_PER_SH","FQ2 2023","FQ2 2023","Currency=USD","Period=FQ","BEST_FPERIOD_OVERRIDE=FQ","FILING_STATUS=MR","FA_ADJUSTED=GAAP","Sort=A","Dates=H","DateFormat=P","Fill=—","Direction=H","UseDPDF=Y")</f>
        <v>-1.5045999999999999</v>
      </c>
      <c r="T13" s="14">
        <f>_xll.BDH("SRPT US Equity","OPER_INC_PER_SH","FQ3 2023","FQ3 2023","Currency=USD","Period=FQ","BEST_FPERIOD_OVERRIDE=FQ","FILING_STATUS=MR","FA_ADJUSTED=GAAP","Sort=A","Dates=H","DateFormat=P","Fill=—","Direction=H","UseDPDF=Y")</f>
        <v>-0.23449999999999999</v>
      </c>
      <c r="U13" s="14">
        <f>_xll.BDH("SRPT US Equity","OPER_INC_PER_SH","FQ4 2023","FQ4 2023","Currency=USD","Period=FQ","BEST_FPERIOD_OVERRIDE=FQ","FILING_STATUS=MR","FA_ADJUSTED=GAAP","Sort=A","Dates=H","DateFormat=P","Fill=—","Direction=H","UseDPDF=Y")</f>
        <v>0.26300000000000001</v>
      </c>
      <c r="V13" s="14">
        <f>_xll.BDH("SRPT US Equity","OPER_INC_PER_SH","FQ1 2024","FQ1 2024","Currency=USD","Period=FQ","BEST_FPERIOD_OVERRIDE=FQ","FILING_STATUS=MR","FA_ADJUSTED=GAAP","Sort=A","Dates=H","DateFormat=P","Fill=—","Direction=H","UseDPDF=Y")</f>
        <v>0.37140000000000001</v>
      </c>
      <c r="W13" s="14">
        <f>_xll.BDH("SRPT US Equity","OPER_INC_PER_SH","FQ2 2024","FQ2 2024","Currency=USD","Period=FQ","BEST_FPERIOD_OVERRIDE=FQ","FILING_STATUS=MR","FA_ADJUSTED=GAAP","Sort=A","Dates=H","DateFormat=P","Fill=—","Direction=H","UseDPDF=Y")</f>
        <v>-7.4000000000000003E-3</v>
      </c>
      <c r="X13" s="14">
        <f>_xll.BDH("SRPT US Equity","OPER_INC_PER_SH","FQ3 2024","FQ3 2024","Currency=USD","Period=FQ","BEST_FPERIOD_OVERRIDE=FQ","FILING_STATUS=MR","FA_ADJUSTED=GAAP","Sort=A","Dates=H","DateFormat=P","Fill=—","Direction=H","UseDPDF=Y")</f>
        <v>0.23269999999999999</v>
      </c>
      <c r="Y13" s="14">
        <f>_xll.BDH("SRPT US Equity","OPER_INC_PER_SH","FQ4 2024","FQ4 2024","Currency=USD","Period=FQ","BEST_FPERIOD_OVERRIDE=FQ","FILING_STATUS=MR","FA_ADJUSTED=GAAP","Sort=A","Dates=H","DateFormat=P","Fill=—","Direction=H","UseDPDF=Y")</f>
        <v>1.6792</v>
      </c>
      <c r="Z13" s="14"/>
      <c r="AA13" s="14"/>
    </row>
    <row r="14" spans="1:27" x14ac:dyDescent="0.25">
      <c r="A14" s="10" t="s">
        <v>264</v>
      </c>
      <c r="B14" s="10" t="s">
        <v>102</v>
      </c>
      <c r="C14" s="14">
        <f>_xll.BDH("SRPT US Equity","IS_EPS","FQ2 2019","FQ2 2019","Currency=USD","Period=FQ","BEST_FPERIOD_OVERRIDE=FQ","FILING_STATUS=MR","FA_ADJUSTED=GAAP","Sort=A","Dates=H","DateFormat=P","Fill=—","Direction=H","UseDPDF=Y")</f>
        <v>-3.74</v>
      </c>
      <c r="D14" s="14">
        <f>_xll.BDH("SRPT US Equity","IS_EPS","FQ3 2019","FQ3 2019","Currency=USD","Period=FQ","BEST_FPERIOD_OVERRIDE=FQ","FILING_STATUS=MR","FA_ADJUSTED=GAAP","Sort=A","Dates=H","DateFormat=P","Fill=—","Direction=H","UseDPDF=Y")</f>
        <v>-1.7</v>
      </c>
      <c r="E14" s="14">
        <f>_xll.BDH("SRPT US Equity","IS_EPS","FQ4 2019","FQ4 2019","Currency=USD","Period=FQ","BEST_FPERIOD_OVERRIDE=FQ","FILING_STATUS=MR","FA_ADJUSTED=GAAP","Sort=A","Dates=H","DateFormat=P","Fill=—","Direction=H","UseDPDF=Y")</f>
        <v>-3.16</v>
      </c>
      <c r="F14" s="14">
        <f>_xll.BDH("SRPT US Equity","IS_EPS","FQ1 2020","FQ1 2020","Currency=USD","Period=FQ","BEST_FPERIOD_OVERRIDE=FQ","FILING_STATUS=MR","FA_ADJUSTED=GAAP","Sort=A","Dates=H","DateFormat=P","Fill=—","Direction=H","UseDPDF=Y")</f>
        <v>-0.23</v>
      </c>
      <c r="G14" s="14">
        <f>_xll.BDH("SRPT US Equity","IS_EPS","FQ2 2020","FQ2 2020","Currency=USD","Period=FQ","BEST_FPERIOD_OVERRIDE=FQ","FILING_STATUS=MR","FA_ADJUSTED=GAAP","Sort=A","Dates=H","DateFormat=P","Fill=—","Direction=H","UseDPDF=Y")</f>
        <v>-1.93</v>
      </c>
      <c r="H14" s="14">
        <f>_xll.BDH("SRPT US Equity","IS_EPS","FQ3 2020","FQ3 2020","Currency=USD","Period=FQ","BEST_FPERIOD_OVERRIDE=FQ","FILING_STATUS=MR","FA_ADJUSTED=GAAP","Sort=A","Dates=H","DateFormat=P","Fill=—","Direction=H","UseDPDF=Y")</f>
        <v>-2.5</v>
      </c>
      <c r="I14" s="14">
        <f>_xll.BDH("SRPT US Equity","IS_EPS","FQ4 2020","FQ4 2020","Currency=USD","Period=FQ","BEST_FPERIOD_OVERRIDE=FQ","FILING_STATUS=MR","FA_ADJUSTED=GAAP","Sort=A","Dates=H","DateFormat=P","Fill=—","Direction=H","UseDPDF=Y")</f>
        <v>-2.4</v>
      </c>
      <c r="J14" s="14">
        <f>_xll.BDH("SRPT US Equity","IS_EPS","FQ1 2021","FQ1 2021","Currency=USD","Period=FQ","BEST_FPERIOD_OVERRIDE=FQ","FILING_STATUS=MR","FA_ADJUSTED=GAAP","Sort=A","Dates=H","DateFormat=P","Fill=—","Direction=H","UseDPDF=Y")</f>
        <v>-2.1</v>
      </c>
      <c r="K14" s="14">
        <f>_xll.BDH("SRPT US Equity","IS_EPS","FQ2 2021","FQ2 2021","Currency=USD","Period=FQ","BEST_FPERIOD_OVERRIDE=FQ","FILING_STATUS=MR","FA_ADJUSTED=GAAP","Sort=A","Dates=H","DateFormat=P","Fill=—","Direction=H","UseDPDF=Y")</f>
        <v>-1.02</v>
      </c>
      <c r="L14" s="14">
        <f>_xll.BDH("SRPT US Equity","IS_EPS","FQ3 2021","FQ3 2021","Currency=USD","Period=FQ","BEST_FPERIOD_OVERRIDE=FQ","FILING_STATUS=MR","FA_ADJUSTED=GAAP","Sort=A","Dates=H","DateFormat=P","Fill=—","Direction=H","UseDPDF=Y")</f>
        <v>-0.6</v>
      </c>
      <c r="M14" s="14">
        <f>_xll.BDH("SRPT US Equity","IS_EPS","FQ4 2021","FQ4 2021","Currency=USD","Period=FQ","BEST_FPERIOD_OVERRIDE=FQ","FILING_STATUS=MR","FA_ADJUSTED=GAAP","Sort=A","Dates=H","DateFormat=P","Fill=—","Direction=H","UseDPDF=Y")</f>
        <v>-1.42</v>
      </c>
      <c r="N14" s="14">
        <f>_xll.BDH("SRPT US Equity","IS_EPS","FQ1 2022","FQ1 2022","Currency=USD","Period=FQ","BEST_FPERIOD_OVERRIDE=FQ","FILING_STATUS=MR","FA_ADJUSTED=GAAP","Sort=A","Dates=H","DateFormat=P","Fill=—","Direction=H","UseDPDF=Y")</f>
        <v>-1.2</v>
      </c>
      <c r="O14" s="14">
        <f>_xll.BDH("SRPT US Equity","IS_EPS","FQ2 2022","FQ2 2022","Currency=USD","Period=FQ","BEST_FPERIOD_OVERRIDE=FQ","FILING_STATUS=MR","FA_ADJUSTED=GAAP","Sort=A","Dates=H","DateFormat=P","Fill=—","Direction=H","UseDPDF=Y")</f>
        <v>-2.65</v>
      </c>
      <c r="P14" s="14">
        <f>_xll.BDH("SRPT US Equity","IS_EPS","FQ3 2022","FQ3 2022","Currency=USD","Period=FQ","BEST_FPERIOD_OVERRIDE=FQ","FILING_STATUS=MR","FA_ADJUSTED=GAAP","Sort=A","Dates=H","DateFormat=P","Fill=—","Direction=H","UseDPDF=Y")</f>
        <v>-2.94</v>
      </c>
      <c r="Q14" s="14">
        <f>_xll.BDH("SRPT US Equity","IS_EPS","FQ4 2022","FQ4 2022","Currency=USD","Period=FQ","BEST_FPERIOD_OVERRIDE=FQ","FILING_STATUS=MR","FA_ADJUSTED=GAAP","Sort=A","Dates=H","DateFormat=P","Fill=—","Direction=H","UseDPDF=Y")</f>
        <v>-1.24</v>
      </c>
      <c r="R14" s="14">
        <f>_xll.BDH("SRPT US Equity","IS_EPS","FQ1 2023","FQ1 2023","Currency=USD","Period=FQ","BEST_FPERIOD_OVERRIDE=FQ","FILING_STATUS=MR","FA_ADJUSTED=GAAP","Sort=A","Dates=H","DateFormat=P","Fill=—","Direction=H","UseDPDF=Y")</f>
        <v>-5.86</v>
      </c>
      <c r="S14" s="14">
        <f>_xll.BDH("SRPT US Equity","IS_EPS","FQ2 2023","FQ2 2023","Currency=USD","Period=FQ","BEST_FPERIOD_OVERRIDE=FQ","FILING_STATUS=MR","FA_ADJUSTED=GAAP","Sort=A","Dates=H","DateFormat=P","Fill=—","Direction=H","UseDPDF=Y")</f>
        <v>-0.27</v>
      </c>
      <c r="T14" s="14">
        <f>_xll.BDH("SRPT US Equity","IS_EPS","FQ3 2023","FQ3 2023","Currency=USD","Period=FQ","BEST_FPERIOD_OVERRIDE=FQ","FILING_STATUS=MR","FA_ADJUSTED=GAAP","Sort=A","Dates=H","DateFormat=P","Fill=—","Direction=H","UseDPDF=Y")</f>
        <v>-0.46</v>
      </c>
      <c r="U14" s="14">
        <f>_xll.BDH("SRPT US Equity","IS_EPS","FQ4 2023","FQ4 2023","Currency=USD","Period=FQ","BEST_FPERIOD_OVERRIDE=FQ","FILING_STATUS=MR","FA_ADJUSTED=GAAP","Sort=A","Dates=H","DateFormat=P","Fill=—","Direction=H","UseDPDF=Y")</f>
        <v>0.49</v>
      </c>
      <c r="V14" s="14">
        <f>_xll.BDH("SRPT US Equity","IS_EPS","FQ1 2024","FQ1 2024","Currency=USD","Period=FQ","BEST_FPERIOD_OVERRIDE=FQ","FILING_STATUS=MR","FA_ADJUSTED=GAAP","Sort=A","Dates=H","DateFormat=P","Fill=—","Direction=H","UseDPDF=Y")</f>
        <v>0.38</v>
      </c>
      <c r="W14" s="14">
        <f>_xll.BDH("SRPT US Equity","IS_EPS","FQ2 2024","FQ2 2024","Currency=USD","Period=FQ","BEST_FPERIOD_OVERRIDE=FQ","FILING_STATUS=MR","FA_ADJUSTED=GAAP","Sort=A","Dates=H","DateFormat=P","Fill=—","Direction=H","UseDPDF=Y")</f>
        <v>7.0000000000000007E-2</v>
      </c>
      <c r="X14" s="14">
        <f>_xll.BDH("SRPT US Equity","IS_EPS","FQ3 2024","FQ3 2024","Currency=USD","Period=FQ","BEST_FPERIOD_OVERRIDE=FQ","FILING_STATUS=MR","FA_ADJUSTED=GAAP","Sort=A","Dates=H","DateFormat=P","Fill=—","Direction=H","UseDPDF=Y")</f>
        <v>0.35</v>
      </c>
      <c r="Y14" s="14">
        <f>_xll.BDH("SRPT US Equity","IS_EPS","FQ4 2024","FQ4 2024","Currency=USD","Period=FQ","BEST_FPERIOD_OVERRIDE=FQ","FILING_STATUS=MR","FA_ADJUSTED=GAAP","Sort=A","Dates=H","DateFormat=P","Fill=—","Direction=H","UseDPDF=Y")</f>
        <v>1.65</v>
      </c>
      <c r="Z14" s="14">
        <v>0.59499999999999997</v>
      </c>
      <c r="AA14" s="14">
        <v>2.3820000000000001</v>
      </c>
    </row>
    <row r="15" spans="1:27" x14ac:dyDescent="0.25">
      <c r="A15" s="10" t="s">
        <v>265</v>
      </c>
      <c r="B15" s="10" t="s">
        <v>266</v>
      </c>
      <c r="C15" s="14">
        <f>_xll.BDH("SRPT US Equity","IS_EARN_BEF_XO_ITEMS_PER_SH","FQ2 2019","FQ2 2019","Currency=USD","Period=FQ","BEST_FPERIOD_OVERRIDE=FQ","FILING_STATUS=MR","Sort=A","Dates=H","DateFormat=P","Fill=—","Direction=H","UseDPDF=Y")</f>
        <v>-3.74</v>
      </c>
      <c r="D15" s="14">
        <f>_xll.BDH("SRPT US Equity","IS_EARN_BEF_XO_ITEMS_PER_SH","FQ3 2019","FQ3 2019","Currency=USD","Period=FQ","BEST_FPERIOD_OVERRIDE=FQ","FILING_STATUS=MR","Sort=A","Dates=H","DateFormat=P","Fill=—","Direction=H","UseDPDF=Y")</f>
        <v>-1.7</v>
      </c>
      <c r="E15" s="14">
        <f>_xll.BDH("SRPT US Equity","IS_EARN_BEF_XO_ITEMS_PER_SH","FQ4 2019","FQ4 2019","Currency=USD","Period=FQ","BEST_FPERIOD_OVERRIDE=FQ","FILING_STATUS=MR","Sort=A","Dates=H","DateFormat=P","Fill=—","Direction=H","UseDPDF=Y")</f>
        <v>-3.16</v>
      </c>
      <c r="F15" s="14">
        <f>_xll.BDH("SRPT US Equity","IS_EARN_BEF_XO_ITEMS_PER_SH","FQ1 2020","FQ1 2020","Currency=USD","Period=FQ","BEST_FPERIOD_OVERRIDE=FQ","FILING_STATUS=MR","Sort=A","Dates=H","DateFormat=P","Fill=—","Direction=H","UseDPDF=Y")</f>
        <v>-0.23</v>
      </c>
      <c r="G15" s="14">
        <f>_xll.BDH("SRPT US Equity","IS_EARN_BEF_XO_ITEMS_PER_SH","FQ2 2020","FQ2 2020","Currency=USD","Period=FQ","BEST_FPERIOD_OVERRIDE=FQ","FILING_STATUS=MR","Sort=A","Dates=H","DateFormat=P","Fill=—","Direction=H","UseDPDF=Y")</f>
        <v>-1.93</v>
      </c>
      <c r="H15" s="14">
        <f>_xll.BDH("SRPT US Equity","IS_EARN_BEF_XO_ITEMS_PER_SH","FQ3 2020","FQ3 2020","Currency=USD","Period=FQ","BEST_FPERIOD_OVERRIDE=FQ","FILING_STATUS=MR","Sort=A","Dates=H","DateFormat=P","Fill=—","Direction=H","UseDPDF=Y")</f>
        <v>-2.5</v>
      </c>
      <c r="I15" s="14">
        <f>_xll.BDH("SRPT US Equity","IS_EARN_BEF_XO_ITEMS_PER_SH","FQ4 2020","FQ4 2020","Currency=USD","Period=FQ","BEST_FPERIOD_OVERRIDE=FQ","FILING_STATUS=MR","Sort=A","Dates=H","DateFormat=P","Fill=—","Direction=H","UseDPDF=Y")</f>
        <v>-2.4</v>
      </c>
      <c r="J15" s="14">
        <f>_xll.BDH("SRPT US Equity","IS_EARN_BEF_XO_ITEMS_PER_SH","FQ1 2021","FQ1 2021","Currency=USD","Period=FQ","BEST_FPERIOD_OVERRIDE=FQ","FILING_STATUS=MR","Sort=A","Dates=H","DateFormat=P","Fill=—","Direction=H","UseDPDF=Y")</f>
        <v>-2.1</v>
      </c>
      <c r="K15" s="14">
        <f>_xll.BDH("SRPT US Equity","IS_EARN_BEF_XO_ITEMS_PER_SH","FQ2 2021","FQ2 2021","Currency=USD","Period=FQ","BEST_FPERIOD_OVERRIDE=FQ","FILING_STATUS=MR","Sort=A","Dates=H","DateFormat=P","Fill=—","Direction=H","UseDPDF=Y")</f>
        <v>-1.02</v>
      </c>
      <c r="L15" s="14">
        <f>_xll.BDH("SRPT US Equity","IS_EARN_BEF_XO_ITEMS_PER_SH","FQ3 2021","FQ3 2021","Currency=USD","Period=FQ","BEST_FPERIOD_OVERRIDE=FQ","FILING_STATUS=MR","Sort=A","Dates=H","DateFormat=P","Fill=—","Direction=H","UseDPDF=Y")</f>
        <v>-0.6</v>
      </c>
      <c r="M15" s="14">
        <f>_xll.BDH("SRPT US Equity","IS_EARN_BEF_XO_ITEMS_PER_SH","FQ4 2021","FQ4 2021","Currency=USD","Period=FQ","BEST_FPERIOD_OVERRIDE=FQ","FILING_STATUS=MR","Sort=A","Dates=H","DateFormat=P","Fill=—","Direction=H","UseDPDF=Y")</f>
        <v>-1.42</v>
      </c>
      <c r="N15" s="14">
        <f>_xll.BDH("SRPT US Equity","IS_EARN_BEF_XO_ITEMS_PER_SH","FQ1 2022","FQ1 2022","Currency=USD","Period=FQ","BEST_FPERIOD_OVERRIDE=FQ","FILING_STATUS=MR","Sort=A","Dates=H","DateFormat=P","Fill=—","Direction=H","UseDPDF=Y")</f>
        <v>-1.2</v>
      </c>
      <c r="O15" s="14">
        <f>_xll.BDH("SRPT US Equity","IS_EARN_BEF_XO_ITEMS_PER_SH","FQ2 2022","FQ2 2022","Currency=USD","Period=FQ","BEST_FPERIOD_OVERRIDE=FQ","FILING_STATUS=MR","Sort=A","Dates=H","DateFormat=P","Fill=—","Direction=H","UseDPDF=Y")</f>
        <v>-2.65</v>
      </c>
      <c r="P15" s="14">
        <f>_xll.BDH("SRPT US Equity","IS_EARN_BEF_XO_ITEMS_PER_SH","FQ3 2022","FQ3 2022","Currency=USD","Period=FQ","BEST_FPERIOD_OVERRIDE=FQ","FILING_STATUS=MR","Sort=A","Dates=H","DateFormat=P","Fill=—","Direction=H","UseDPDF=Y")</f>
        <v>-2.94</v>
      </c>
      <c r="Q15" s="14">
        <f>_xll.BDH("SRPT US Equity","IS_EARN_BEF_XO_ITEMS_PER_SH","FQ4 2022","FQ4 2022","Currency=USD","Period=FQ","BEST_FPERIOD_OVERRIDE=FQ","FILING_STATUS=MR","Sort=A","Dates=H","DateFormat=P","Fill=—","Direction=H","UseDPDF=Y")</f>
        <v>-1.24</v>
      </c>
      <c r="R15" s="14">
        <f>_xll.BDH("SRPT US Equity","IS_EARN_BEF_XO_ITEMS_PER_SH","FQ1 2023","FQ1 2023","Currency=USD","Period=FQ","BEST_FPERIOD_OVERRIDE=FQ","FILING_STATUS=MR","Sort=A","Dates=H","DateFormat=P","Fill=—","Direction=H","UseDPDF=Y")</f>
        <v>-5.86</v>
      </c>
      <c r="S15" s="14">
        <f>_xll.BDH("SRPT US Equity","IS_EARN_BEF_XO_ITEMS_PER_SH","FQ2 2023","FQ2 2023","Currency=USD","Period=FQ","BEST_FPERIOD_OVERRIDE=FQ","FILING_STATUS=MR","Sort=A","Dates=H","DateFormat=P","Fill=—","Direction=H","UseDPDF=Y")</f>
        <v>-0.27</v>
      </c>
      <c r="T15" s="14">
        <f>_xll.BDH("SRPT US Equity","IS_EARN_BEF_XO_ITEMS_PER_SH","FQ3 2023","FQ3 2023","Currency=USD","Period=FQ","BEST_FPERIOD_OVERRIDE=FQ","FILING_STATUS=MR","Sort=A","Dates=H","DateFormat=P","Fill=—","Direction=H","UseDPDF=Y")</f>
        <v>-0.46</v>
      </c>
      <c r="U15" s="14">
        <f>_xll.BDH("SRPT US Equity","IS_EARN_BEF_XO_ITEMS_PER_SH","FQ4 2023","FQ4 2023","Currency=USD","Period=FQ","BEST_FPERIOD_OVERRIDE=FQ","FILING_STATUS=MR","Sort=A","Dates=H","DateFormat=P","Fill=—","Direction=H","UseDPDF=Y")</f>
        <v>0.49</v>
      </c>
      <c r="V15" s="14">
        <f>_xll.BDH("SRPT US Equity","IS_EARN_BEF_XO_ITEMS_PER_SH","FQ1 2024","FQ1 2024","Currency=USD","Period=FQ","BEST_FPERIOD_OVERRIDE=FQ","FILING_STATUS=MR","Sort=A","Dates=H","DateFormat=P","Fill=—","Direction=H","UseDPDF=Y")</f>
        <v>0.38</v>
      </c>
      <c r="W15" s="14">
        <f>_xll.BDH("SRPT US Equity","IS_EARN_BEF_XO_ITEMS_PER_SH","FQ2 2024","FQ2 2024","Currency=USD","Period=FQ","BEST_FPERIOD_OVERRIDE=FQ","FILING_STATUS=MR","Sort=A","Dates=H","DateFormat=P","Fill=—","Direction=H","UseDPDF=Y")</f>
        <v>7.0000000000000007E-2</v>
      </c>
      <c r="X15" s="14">
        <f>_xll.BDH("SRPT US Equity","IS_EARN_BEF_XO_ITEMS_PER_SH","FQ3 2024","FQ3 2024","Currency=USD","Period=FQ","BEST_FPERIOD_OVERRIDE=FQ","FILING_STATUS=MR","Sort=A","Dates=H","DateFormat=P","Fill=—","Direction=H","UseDPDF=Y")</f>
        <v>0.35</v>
      </c>
      <c r="Y15" s="14">
        <f>_xll.BDH("SRPT US Equity","IS_EARN_BEF_XO_ITEMS_PER_SH","FQ4 2024","FQ4 2024","Currency=USD","Period=FQ","BEST_FPERIOD_OVERRIDE=FQ","FILING_STATUS=MR","Sort=A","Dates=H","DateFormat=P","Fill=—","Direction=H","UseDPDF=Y")</f>
        <v>1.65</v>
      </c>
      <c r="Z15" s="14">
        <v>0.59499999999999997</v>
      </c>
      <c r="AA15" s="14">
        <v>2.3820000000000001</v>
      </c>
    </row>
    <row r="16" spans="1:27" x14ac:dyDescent="0.25">
      <c r="A16" s="10" t="s">
        <v>267</v>
      </c>
      <c r="B16" s="10" t="s">
        <v>268</v>
      </c>
      <c r="C16" s="14">
        <f>_xll.BDH("SRPT US Equity","IS_BASIC_EPS_CONT_OPS","FQ2 2019","FQ2 2019","Currency=USD","Period=FQ","BEST_FPERIOD_OVERRIDE=FQ","FILING_STATUS=MR","Sort=A","Dates=H","DateFormat=P","Fill=—","Direction=H","UseDPDF=Y")</f>
        <v>-1.1910000000000001</v>
      </c>
      <c r="D16" s="14">
        <f>_xll.BDH("SRPT US Equity","IS_BASIC_EPS_CONT_OPS","FQ3 2019","FQ3 2019","Currency=USD","Period=FQ","BEST_FPERIOD_OVERRIDE=FQ","FILING_STATUS=MR","Sort=A","Dates=H","DateFormat=P","Fill=—","Direction=H","UseDPDF=Y")</f>
        <v>-1.5737000000000001</v>
      </c>
      <c r="E16" s="14">
        <f>_xll.BDH("SRPT US Equity","IS_BASIC_EPS_CONT_OPS","FQ4 2019","FQ4 2019","Currency=USD","Period=FQ","BEST_FPERIOD_OVERRIDE=FQ","FILING_STATUS=MR","Sort=A","Dates=H","DateFormat=P","Fill=—","Direction=H","UseDPDF=Y")</f>
        <v>-2.2627000000000002</v>
      </c>
      <c r="F16" s="14">
        <f>_xll.BDH("SRPT US Equity","IS_BASIC_EPS_CONT_OPS","FQ1 2020","FQ1 2020","Currency=USD","Period=FQ","BEST_FPERIOD_OVERRIDE=FQ","FILING_STATUS=MR","Sort=A","Dates=H","DateFormat=P","Fill=—","Direction=H","UseDPDF=Y")</f>
        <v>-1.4926999999999999</v>
      </c>
      <c r="G16" s="14">
        <f>_xll.BDH("SRPT US Equity","IS_BASIC_EPS_CONT_OPS","FQ2 2020","FQ2 2020","Currency=USD","Period=FQ","BEST_FPERIOD_OVERRIDE=FQ","FILING_STATUS=MR","Sort=A","Dates=H","DateFormat=P","Fill=—","Direction=H","UseDPDF=Y")</f>
        <v>-1.93</v>
      </c>
      <c r="H16" s="14">
        <f>_xll.BDH("SRPT US Equity","IS_BASIC_EPS_CONT_OPS","FQ3 2020","FQ3 2020","Currency=USD","Period=FQ","BEST_FPERIOD_OVERRIDE=FQ","FILING_STATUS=MR","Sort=A","Dates=H","DateFormat=P","Fill=—","Direction=H","UseDPDF=Y")</f>
        <v>-1.8956</v>
      </c>
      <c r="I16" s="14">
        <f>_xll.BDH("SRPT US Equity","IS_BASIC_EPS_CONT_OPS","FQ4 2020","FQ4 2020","Currency=USD","Period=FQ","BEST_FPERIOD_OVERRIDE=FQ","FILING_STATUS=MR","Sort=A","Dates=H","DateFormat=P","Fill=—","Direction=H","UseDPDF=Y")</f>
        <v>-2.2930000000000001</v>
      </c>
      <c r="J16" s="14">
        <f>_xll.BDH("SRPT US Equity","IS_BASIC_EPS_CONT_OPS","FQ1 2021","FQ1 2021","Currency=USD","Period=FQ","BEST_FPERIOD_OVERRIDE=FQ","FILING_STATUS=MR","Sort=A","Dates=H","DateFormat=P","Fill=—","Direction=H","UseDPDF=Y")</f>
        <v>-1.9294</v>
      </c>
      <c r="K16" s="14">
        <f>_xll.BDH("SRPT US Equity","IS_BASIC_EPS_CONT_OPS","FQ2 2021","FQ2 2021","Currency=USD","Period=FQ","BEST_FPERIOD_OVERRIDE=FQ","FILING_STATUS=MR","Sort=A","Dates=H","DateFormat=P","Fill=—","Direction=H","UseDPDF=Y")</f>
        <v>-1.9026000000000001</v>
      </c>
      <c r="L16" s="14">
        <f>_xll.BDH("SRPT US Equity","IS_BASIC_EPS_CONT_OPS","FQ3 2021","FQ3 2021","Currency=USD","Period=FQ","BEST_FPERIOD_OVERRIDE=FQ","FILING_STATUS=MR","Sort=A","Dates=H","DateFormat=P","Fill=—","Direction=H","UseDPDF=Y")</f>
        <v>-0.55830000000000002</v>
      </c>
      <c r="M16" s="14">
        <f>_xll.BDH("SRPT US Equity","IS_BASIC_EPS_CONT_OPS","FQ4 2021","FQ4 2021","Currency=USD","Period=FQ","BEST_FPERIOD_OVERRIDE=FQ","FILING_STATUS=MR","Sort=A","Dates=H","DateFormat=P","Fill=—","Direction=H","UseDPDF=Y")</f>
        <v>-1.42</v>
      </c>
      <c r="N16" s="14">
        <f>_xll.BDH("SRPT US Equity","IS_BASIC_EPS_CONT_OPS","FQ1 2022","FQ1 2022","Currency=USD","Period=FQ","BEST_FPERIOD_OVERRIDE=FQ","FILING_STATUS=MR","Sort=A","Dates=H","DateFormat=P","Fill=—","Direction=H","UseDPDF=Y")</f>
        <v>-1.2</v>
      </c>
      <c r="O16" s="14">
        <f>_xll.BDH("SRPT US Equity","IS_BASIC_EPS_CONT_OPS","FQ2 2022","FQ2 2022","Currency=USD","Period=FQ","BEST_FPERIOD_OVERRIDE=FQ","FILING_STATUS=MR","Sort=A","Dates=H","DateFormat=P","Fill=—","Direction=H","UseDPDF=Y")</f>
        <v>-2.65</v>
      </c>
      <c r="P16" s="14">
        <f>_xll.BDH("SRPT US Equity","IS_BASIC_EPS_CONT_OPS","FQ3 2022","FQ3 2022","Currency=USD","Period=FQ","BEST_FPERIOD_OVERRIDE=FQ","FILING_STATUS=MR","Sort=A","Dates=H","DateFormat=P","Fill=—","Direction=H","UseDPDF=Y")</f>
        <v>-1.8708</v>
      </c>
      <c r="Q16" s="14">
        <f>_xll.BDH("SRPT US Equity","IS_BASIC_EPS_CONT_OPS","FQ4 2022","FQ4 2022","Currency=USD","Period=FQ","BEST_FPERIOD_OVERRIDE=FQ","FILING_STATUS=MR","Sort=A","Dates=H","DateFormat=P","Fill=—","Direction=H","UseDPDF=Y")</f>
        <v>-1.2204999999999999</v>
      </c>
      <c r="R16" s="14">
        <f>_xll.BDH("SRPT US Equity","IS_BASIC_EPS_CONT_OPS","FQ1 2023","FQ1 2023","Currency=USD","Period=FQ","BEST_FPERIOD_OVERRIDE=FQ","FILING_STATUS=MR","Sort=A","Dates=H","DateFormat=P","Fill=—","Direction=H","UseDPDF=Y")</f>
        <v>-2.39</v>
      </c>
      <c r="S16" s="14">
        <f>_xll.BDH("SRPT US Equity","IS_BASIC_EPS_CONT_OPS","FQ2 2023","FQ2 2023","Currency=USD","Period=FQ","BEST_FPERIOD_OVERRIDE=FQ","FILING_STATUS=MR","Sort=A","Dates=H","DateFormat=P","Fill=—","Direction=H","UseDPDF=Y")</f>
        <v>-1.1849000000000001</v>
      </c>
      <c r="T16" s="14">
        <f>_xll.BDH("SRPT US Equity","IS_BASIC_EPS_CONT_OPS","FQ3 2023","FQ3 2023","Currency=USD","Period=FQ","BEST_FPERIOD_OVERRIDE=FQ","FILING_STATUS=MR","Sort=A","Dates=H","DateFormat=P","Fill=—","Direction=H","UseDPDF=Y")</f>
        <v>-0.44280000000000003</v>
      </c>
      <c r="U16" s="14">
        <f>_xll.BDH("SRPT US Equity","IS_BASIC_EPS_CONT_OPS","FQ4 2023","FQ4 2023","Currency=USD","Period=FQ","BEST_FPERIOD_OVERRIDE=FQ","FILING_STATUS=MR","Sort=A","Dates=H","DateFormat=P","Fill=—","Direction=H","UseDPDF=Y")</f>
        <v>0.49</v>
      </c>
      <c r="V16" s="14">
        <f>_xll.BDH("SRPT US Equity","IS_BASIC_EPS_CONT_OPS","FQ1 2024","FQ1 2024","Currency=USD","Period=FQ","BEST_FPERIOD_OVERRIDE=FQ","FILING_STATUS=MR","Sort=A","Dates=H","DateFormat=P","Fill=—","Direction=H","UseDPDF=Y")</f>
        <v>0.4884</v>
      </c>
      <c r="W16" s="14">
        <f>_xll.BDH("SRPT US Equity","IS_BASIC_EPS_CONT_OPS","FQ2 2024","FQ2 2024","Currency=USD","Period=FQ","BEST_FPERIOD_OVERRIDE=FQ","FILING_STATUS=MR","Sort=A","Dates=H","DateFormat=P","Fill=—","Direction=H","UseDPDF=Y")</f>
        <v>7.0000000000000007E-2</v>
      </c>
      <c r="X16" s="14">
        <f>_xll.BDH("SRPT US Equity","IS_BASIC_EPS_CONT_OPS","FQ3 2024","FQ3 2024","Currency=USD","Period=FQ","BEST_FPERIOD_OVERRIDE=FQ","FILING_STATUS=MR","Sort=A","Dates=H","DateFormat=P","Fill=—","Direction=H","UseDPDF=Y")</f>
        <v>0.33810000000000001</v>
      </c>
      <c r="Y16" s="14">
        <f>_xll.BDH("SRPT US Equity","IS_BASIC_EPS_CONT_OPS","FQ4 2024","FQ4 2024","Currency=USD","Period=FQ","BEST_FPERIOD_OVERRIDE=FQ","FILING_STATUS=MR","Sort=A","Dates=H","DateFormat=P","Fill=—","Direction=H","UseDPDF=Y")</f>
        <v>1.6445000000000001</v>
      </c>
      <c r="Z16" s="14">
        <v>1.4410000000000001</v>
      </c>
      <c r="AA16" s="14">
        <v>2.8010000000000002</v>
      </c>
    </row>
    <row r="17" spans="1:27" x14ac:dyDescent="0.25">
      <c r="A17" s="10" t="s">
        <v>269</v>
      </c>
      <c r="B17" s="10" t="s">
        <v>104</v>
      </c>
      <c r="C17" s="14">
        <f>_xll.BDH("SRPT US Equity","IS_DILUTED_EPS","FQ2 2019","FQ2 2019","Currency=USD","Period=FQ","BEST_FPERIOD_OVERRIDE=FQ","FILING_STATUS=MR","FA_ADJUSTED=GAAP","Sort=A","Dates=H","DateFormat=P","Fill=—","Direction=H","UseDPDF=Y")</f>
        <v>-3.74</v>
      </c>
      <c r="D17" s="14">
        <f>_xll.BDH("SRPT US Equity","IS_DILUTED_EPS","FQ3 2019","FQ3 2019","Currency=USD","Period=FQ","BEST_FPERIOD_OVERRIDE=FQ","FILING_STATUS=MR","FA_ADJUSTED=GAAP","Sort=A","Dates=H","DateFormat=P","Fill=—","Direction=H","UseDPDF=Y")</f>
        <v>-1.7</v>
      </c>
      <c r="E17" s="14">
        <f>_xll.BDH("SRPT US Equity","IS_DILUTED_EPS","FQ4 2019","FQ4 2019","Currency=USD","Period=FQ","BEST_FPERIOD_OVERRIDE=FQ","FILING_STATUS=MR","FA_ADJUSTED=GAAP","Sort=A","Dates=H","DateFormat=P","Fill=—","Direction=H","UseDPDF=Y")</f>
        <v>-3.16</v>
      </c>
      <c r="F17" s="14">
        <f>_xll.BDH("SRPT US Equity","IS_DILUTED_EPS","FQ1 2020","FQ1 2020","Currency=USD","Period=FQ","BEST_FPERIOD_OVERRIDE=FQ","FILING_STATUS=MR","FA_ADJUSTED=GAAP","Sort=A","Dates=H","DateFormat=P","Fill=—","Direction=H","UseDPDF=Y")</f>
        <v>-0.23</v>
      </c>
      <c r="G17" s="14">
        <f>_xll.BDH("SRPT US Equity","IS_DILUTED_EPS","FQ2 2020","FQ2 2020","Currency=USD","Period=FQ","BEST_FPERIOD_OVERRIDE=FQ","FILING_STATUS=MR","FA_ADJUSTED=GAAP","Sort=A","Dates=H","DateFormat=P","Fill=—","Direction=H","UseDPDF=Y")</f>
        <v>-1.93</v>
      </c>
      <c r="H17" s="14">
        <f>_xll.BDH("SRPT US Equity","IS_DILUTED_EPS","FQ3 2020","FQ3 2020","Currency=USD","Period=FQ","BEST_FPERIOD_OVERRIDE=FQ","FILING_STATUS=MR","FA_ADJUSTED=GAAP","Sort=A","Dates=H","DateFormat=P","Fill=—","Direction=H","UseDPDF=Y")</f>
        <v>-2.5</v>
      </c>
      <c r="I17" s="14">
        <f>_xll.BDH("SRPT US Equity","IS_DILUTED_EPS","FQ4 2020","FQ4 2020","Currency=USD","Period=FQ","BEST_FPERIOD_OVERRIDE=FQ","FILING_STATUS=MR","FA_ADJUSTED=GAAP","Sort=A","Dates=H","DateFormat=P","Fill=—","Direction=H","UseDPDF=Y")</f>
        <v>-2.4</v>
      </c>
      <c r="J17" s="14">
        <f>_xll.BDH("SRPT US Equity","IS_DILUTED_EPS","FQ1 2021","FQ1 2021","Currency=USD","Period=FQ","BEST_FPERIOD_OVERRIDE=FQ","FILING_STATUS=MR","FA_ADJUSTED=GAAP","Sort=A","Dates=H","DateFormat=P","Fill=—","Direction=H","UseDPDF=Y")</f>
        <v>-2.1</v>
      </c>
      <c r="K17" s="14">
        <f>_xll.BDH("SRPT US Equity","IS_DILUTED_EPS","FQ2 2021","FQ2 2021","Currency=USD","Period=FQ","BEST_FPERIOD_OVERRIDE=FQ","FILING_STATUS=MR","FA_ADJUSTED=GAAP","Sort=A","Dates=H","DateFormat=P","Fill=—","Direction=H","UseDPDF=Y")</f>
        <v>-1.02</v>
      </c>
      <c r="L17" s="14">
        <f>_xll.BDH("SRPT US Equity","IS_DILUTED_EPS","FQ3 2021","FQ3 2021","Currency=USD","Period=FQ","BEST_FPERIOD_OVERRIDE=FQ","FILING_STATUS=MR","FA_ADJUSTED=GAAP","Sort=A","Dates=H","DateFormat=P","Fill=—","Direction=H","UseDPDF=Y")</f>
        <v>-0.6</v>
      </c>
      <c r="M17" s="14">
        <f>_xll.BDH("SRPT US Equity","IS_DILUTED_EPS","FQ4 2021","FQ4 2021","Currency=USD","Period=FQ","BEST_FPERIOD_OVERRIDE=FQ","FILING_STATUS=MR","FA_ADJUSTED=GAAP","Sort=A","Dates=H","DateFormat=P","Fill=—","Direction=H","UseDPDF=Y")</f>
        <v>-1.42</v>
      </c>
      <c r="N17" s="14">
        <f>_xll.BDH("SRPT US Equity","IS_DILUTED_EPS","FQ1 2022","FQ1 2022","Currency=USD","Period=FQ","BEST_FPERIOD_OVERRIDE=FQ","FILING_STATUS=MR","FA_ADJUSTED=GAAP","Sort=A","Dates=H","DateFormat=P","Fill=—","Direction=H","UseDPDF=Y")</f>
        <v>-1.2</v>
      </c>
      <c r="O17" s="14">
        <f>_xll.BDH("SRPT US Equity","IS_DILUTED_EPS","FQ2 2022","FQ2 2022","Currency=USD","Period=FQ","BEST_FPERIOD_OVERRIDE=FQ","FILING_STATUS=MR","FA_ADJUSTED=GAAP","Sort=A","Dates=H","DateFormat=P","Fill=—","Direction=H","UseDPDF=Y")</f>
        <v>-2.65</v>
      </c>
      <c r="P17" s="14">
        <f>_xll.BDH("SRPT US Equity","IS_DILUTED_EPS","FQ3 2022","FQ3 2022","Currency=USD","Period=FQ","BEST_FPERIOD_OVERRIDE=FQ","FILING_STATUS=MR","FA_ADJUSTED=GAAP","Sort=A","Dates=H","DateFormat=P","Fill=—","Direction=H","UseDPDF=Y")</f>
        <v>-2.94</v>
      </c>
      <c r="Q17" s="14">
        <f>_xll.BDH("SRPT US Equity","IS_DILUTED_EPS","FQ4 2022","FQ4 2022","Currency=USD","Period=FQ","BEST_FPERIOD_OVERRIDE=FQ","FILING_STATUS=MR","FA_ADJUSTED=GAAP","Sort=A","Dates=H","DateFormat=P","Fill=—","Direction=H","UseDPDF=Y")</f>
        <v>-1.24</v>
      </c>
      <c r="R17" s="14">
        <f>_xll.BDH("SRPT US Equity","IS_DILUTED_EPS","FQ1 2023","FQ1 2023","Currency=USD","Period=FQ","BEST_FPERIOD_OVERRIDE=FQ","FILING_STATUS=MR","FA_ADJUSTED=GAAP","Sort=A","Dates=H","DateFormat=P","Fill=—","Direction=H","UseDPDF=Y")</f>
        <v>-5.86</v>
      </c>
      <c r="S17" s="14">
        <f>_xll.BDH("SRPT US Equity","IS_DILUTED_EPS","FQ2 2023","FQ2 2023","Currency=USD","Period=FQ","BEST_FPERIOD_OVERRIDE=FQ","FILING_STATUS=MR","FA_ADJUSTED=GAAP","Sort=A","Dates=H","DateFormat=P","Fill=—","Direction=H","UseDPDF=Y")</f>
        <v>-0.27</v>
      </c>
      <c r="T17" s="14">
        <f>_xll.BDH("SRPT US Equity","IS_DILUTED_EPS","FQ3 2023","FQ3 2023","Currency=USD","Period=FQ","BEST_FPERIOD_OVERRIDE=FQ","FILING_STATUS=MR","FA_ADJUSTED=GAAP","Sort=A","Dates=H","DateFormat=P","Fill=—","Direction=H","UseDPDF=Y")</f>
        <v>-0.46</v>
      </c>
      <c r="U17" s="14">
        <f>_xll.BDH("SRPT US Equity","IS_DILUTED_EPS","FQ4 2023","FQ4 2023","Currency=USD","Period=FQ","BEST_FPERIOD_OVERRIDE=FQ","FILING_STATUS=MR","FA_ADJUSTED=GAAP","Sort=A","Dates=H","DateFormat=P","Fill=—","Direction=H","UseDPDF=Y")</f>
        <v>0.47</v>
      </c>
      <c r="V17" s="14">
        <f>_xll.BDH("SRPT US Equity","IS_DILUTED_EPS","FQ1 2024","FQ1 2024","Currency=USD","Period=FQ","BEST_FPERIOD_OVERRIDE=FQ","FILING_STATUS=MR","FA_ADJUSTED=GAAP","Sort=A","Dates=H","DateFormat=P","Fill=—","Direction=H","UseDPDF=Y")</f>
        <v>0.37</v>
      </c>
      <c r="W17" s="14">
        <f>_xll.BDH("SRPT US Equity","IS_DILUTED_EPS","FQ2 2024","FQ2 2024","Currency=USD","Period=FQ","BEST_FPERIOD_OVERRIDE=FQ","FILING_STATUS=MR","FA_ADJUSTED=GAAP","Sort=A","Dates=H","DateFormat=P","Fill=—","Direction=H","UseDPDF=Y")</f>
        <v>7.0000000000000007E-2</v>
      </c>
      <c r="X17" s="14">
        <f>_xll.BDH("SRPT US Equity","IS_DILUTED_EPS","FQ3 2024","FQ3 2024","Currency=USD","Period=FQ","BEST_FPERIOD_OVERRIDE=FQ","FILING_STATUS=MR","FA_ADJUSTED=GAAP","Sort=A","Dates=H","DateFormat=P","Fill=—","Direction=H","UseDPDF=Y")</f>
        <v>0.34</v>
      </c>
      <c r="Y17" s="14">
        <f>_xll.BDH("SRPT US Equity","IS_DILUTED_EPS","FQ4 2024","FQ4 2024","Currency=USD","Period=FQ","BEST_FPERIOD_OVERRIDE=FQ","FILING_STATUS=MR","FA_ADJUSTED=GAAP","Sort=A","Dates=H","DateFormat=P","Fill=—","Direction=H","UseDPDF=Y")</f>
        <v>1.5</v>
      </c>
      <c r="Z17" s="14">
        <v>0.59499999999999997</v>
      </c>
      <c r="AA17" s="14">
        <v>2.3820000000000001</v>
      </c>
    </row>
    <row r="18" spans="1:27" x14ac:dyDescent="0.25">
      <c r="A18" s="10" t="s">
        <v>270</v>
      </c>
      <c r="B18" s="10" t="s">
        <v>271</v>
      </c>
      <c r="C18" s="14">
        <f>_xll.BDH("SRPT US Equity","IS_DIL_EPS_BEF_XO","FQ2 2019","FQ2 2019","Currency=USD","Period=FQ","BEST_FPERIOD_OVERRIDE=FQ","FILING_STATUS=MR","Sort=A","Dates=H","DateFormat=P","Fill=—","Direction=H","UseDPDF=Y")</f>
        <v>-3.74</v>
      </c>
      <c r="D18" s="14">
        <f>_xll.BDH("SRPT US Equity","IS_DIL_EPS_BEF_XO","FQ3 2019","FQ3 2019","Currency=USD","Period=FQ","BEST_FPERIOD_OVERRIDE=FQ","FILING_STATUS=MR","Sort=A","Dates=H","DateFormat=P","Fill=—","Direction=H","UseDPDF=Y")</f>
        <v>-1.7</v>
      </c>
      <c r="E18" s="14">
        <f>_xll.BDH("SRPT US Equity","IS_DIL_EPS_BEF_XO","FQ4 2019","FQ4 2019","Currency=USD","Period=FQ","BEST_FPERIOD_OVERRIDE=FQ","FILING_STATUS=MR","Sort=A","Dates=H","DateFormat=P","Fill=—","Direction=H","UseDPDF=Y")</f>
        <v>-3.16</v>
      </c>
      <c r="F18" s="14">
        <f>_xll.BDH("SRPT US Equity","IS_DIL_EPS_BEF_XO","FQ1 2020","FQ1 2020","Currency=USD","Period=FQ","BEST_FPERIOD_OVERRIDE=FQ","FILING_STATUS=MR","Sort=A","Dates=H","DateFormat=P","Fill=—","Direction=H","UseDPDF=Y")</f>
        <v>-0.23</v>
      </c>
      <c r="G18" s="14">
        <f>_xll.BDH("SRPT US Equity","IS_DIL_EPS_BEF_XO","FQ2 2020","FQ2 2020","Currency=USD","Period=FQ","BEST_FPERIOD_OVERRIDE=FQ","FILING_STATUS=MR","Sort=A","Dates=H","DateFormat=P","Fill=—","Direction=H","UseDPDF=Y")</f>
        <v>-1.93</v>
      </c>
      <c r="H18" s="14">
        <f>_xll.BDH("SRPT US Equity","IS_DIL_EPS_BEF_XO","FQ3 2020","FQ3 2020","Currency=USD","Period=FQ","BEST_FPERIOD_OVERRIDE=FQ","FILING_STATUS=MR","Sort=A","Dates=H","DateFormat=P","Fill=—","Direction=H","UseDPDF=Y")</f>
        <v>-2.5</v>
      </c>
      <c r="I18" s="14">
        <f>_xll.BDH("SRPT US Equity","IS_DIL_EPS_BEF_XO","FQ4 2020","FQ4 2020","Currency=USD","Period=FQ","BEST_FPERIOD_OVERRIDE=FQ","FILING_STATUS=MR","Sort=A","Dates=H","DateFormat=P","Fill=—","Direction=H","UseDPDF=Y")</f>
        <v>-2.4</v>
      </c>
      <c r="J18" s="14">
        <f>_xll.BDH("SRPT US Equity","IS_DIL_EPS_BEF_XO","FQ1 2021","FQ1 2021","Currency=USD","Period=FQ","BEST_FPERIOD_OVERRIDE=FQ","FILING_STATUS=MR","Sort=A","Dates=H","DateFormat=P","Fill=—","Direction=H","UseDPDF=Y")</f>
        <v>-2.1</v>
      </c>
      <c r="K18" s="14">
        <f>_xll.BDH("SRPT US Equity","IS_DIL_EPS_BEF_XO","FQ2 2021","FQ2 2021","Currency=USD","Period=FQ","BEST_FPERIOD_OVERRIDE=FQ","FILING_STATUS=MR","Sort=A","Dates=H","DateFormat=P","Fill=—","Direction=H","UseDPDF=Y")</f>
        <v>-1.02</v>
      </c>
      <c r="L18" s="14">
        <f>_xll.BDH("SRPT US Equity","IS_DIL_EPS_BEF_XO","FQ3 2021","FQ3 2021","Currency=USD","Period=FQ","BEST_FPERIOD_OVERRIDE=FQ","FILING_STATUS=MR","Sort=A","Dates=H","DateFormat=P","Fill=—","Direction=H","UseDPDF=Y")</f>
        <v>-0.6</v>
      </c>
      <c r="M18" s="14">
        <f>_xll.BDH("SRPT US Equity","IS_DIL_EPS_BEF_XO","FQ4 2021","FQ4 2021","Currency=USD","Period=FQ","BEST_FPERIOD_OVERRIDE=FQ","FILING_STATUS=MR","Sort=A","Dates=H","DateFormat=P","Fill=—","Direction=H","UseDPDF=Y")</f>
        <v>-1.42</v>
      </c>
      <c r="N18" s="14">
        <f>_xll.BDH("SRPT US Equity","IS_DIL_EPS_BEF_XO","FQ1 2022","FQ1 2022","Currency=USD","Period=FQ","BEST_FPERIOD_OVERRIDE=FQ","FILING_STATUS=MR","Sort=A","Dates=H","DateFormat=P","Fill=—","Direction=H","UseDPDF=Y")</f>
        <v>-1.2</v>
      </c>
      <c r="O18" s="14">
        <f>_xll.BDH("SRPT US Equity","IS_DIL_EPS_BEF_XO","FQ2 2022","FQ2 2022","Currency=USD","Period=FQ","BEST_FPERIOD_OVERRIDE=FQ","FILING_STATUS=MR","Sort=A","Dates=H","DateFormat=P","Fill=—","Direction=H","UseDPDF=Y")</f>
        <v>-2.65</v>
      </c>
      <c r="P18" s="14">
        <f>_xll.BDH("SRPT US Equity","IS_DIL_EPS_BEF_XO","FQ3 2022","FQ3 2022","Currency=USD","Period=FQ","BEST_FPERIOD_OVERRIDE=FQ","FILING_STATUS=MR","Sort=A","Dates=H","DateFormat=P","Fill=—","Direction=H","UseDPDF=Y")</f>
        <v>-2.94</v>
      </c>
      <c r="Q18" s="14">
        <f>_xll.BDH("SRPT US Equity","IS_DIL_EPS_BEF_XO","FQ4 2022","FQ4 2022","Currency=USD","Period=FQ","BEST_FPERIOD_OVERRIDE=FQ","FILING_STATUS=MR","Sort=A","Dates=H","DateFormat=P","Fill=—","Direction=H","UseDPDF=Y")</f>
        <v>-1.24</v>
      </c>
      <c r="R18" s="14">
        <f>_xll.BDH("SRPT US Equity","IS_DIL_EPS_BEF_XO","FQ1 2023","FQ1 2023","Currency=USD","Period=FQ","BEST_FPERIOD_OVERRIDE=FQ","FILING_STATUS=MR","Sort=A","Dates=H","DateFormat=P","Fill=—","Direction=H","UseDPDF=Y")</f>
        <v>-5.86</v>
      </c>
      <c r="S18" s="14">
        <f>_xll.BDH("SRPT US Equity","IS_DIL_EPS_BEF_XO","FQ2 2023","FQ2 2023","Currency=USD","Period=FQ","BEST_FPERIOD_OVERRIDE=FQ","FILING_STATUS=MR","Sort=A","Dates=H","DateFormat=P","Fill=—","Direction=H","UseDPDF=Y")</f>
        <v>-0.27</v>
      </c>
      <c r="T18" s="14">
        <f>_xll.BDH("SRPT US Equity","IS_DIL_EPS_BEF_XO","FQ3 2023","FQ3 2023","Currency=USD","Period=FQ","BEST_FPERIOD_OVERRIDE=FQ","FILING_STATUS=MR","Sort=A","Dates=H","DateFormat=P","Fill=—","Direction=H","UseDPDF=Y")</f>
        <v>-0.46</v>
      </c>
      <c r="U18" s="14">
        <f>_xll.BDH("SRPT US Equity","IS_DIL_EPS_BEF_XO","FQ4 2023","FQ4 2023","Currency=USD","Period=FQ","BEST_FPERIOD_OVERRIDE=FQ","FILING_STATUS=MR","Sort=A","Dates=H","DateFormat=P","Fill=—","Direction=H","UseDPDF=Y")</f>
        <v>0.47</v>
      </c>
      <c r="V18" s="14">
        <f>_xll.BDH("SRPT US Equity","IS_DIL_EPS_BEF_XO","FQ1 2024","FQ1 2024","Currency=USD","Period=FQ","BEST_FPERIOD_OVERRIDE=FQ","FILING_STATUS=MR","Sort=A","Dates=H","DateFormat=P","Fill=—","Direction=H","UseDPDF=Y")</f>
        <v>0.37</v>
      </c>
      <c r="W18" s="14">
        <f>_xll.BDH("SRPT US Equity","IS_DIL_EPS_BEF_XO","FQ2 2024","FQ2 2024","Currency=USD","Period=FQ","BEST_FPERIOD_OVERRIDE=FQ","FILING_STATUS=MR","Sort=A","Dates=H","DateFormat=P","Fill=—","Direction=H","UseDPDF=Y")</f>
        <v>7.0000000000000007E-2</v>
      </c>
      <c r="X18" s="14">
        <f>_xll.BDH("SRPT US Equity","IS_DIL_EPS_BEF_XO","FQ3 2024","FQ3 2024","Currency=USD","Period=FQ","BEST_FPERIOD_OVERRIDE=FQ","FILING_STATUS=MR","Sort=A","Dates=H","DateFormat=P","Fill=—","Direction=H","UseDPDF=Y")</f>
        <v>0.34</v>
      </c>
      <c r="Y18" s="14">
        <f>_xll.BDH("SRPT US Equity","IS_DIL_EPS_BEF_XO","FQ4 2024","FQ4 2024","Currency=USD","Period=FQ","BEST_FPERIOD_OVERRIDE=FQ","FILING_STATUS=MR","Sort=A","Dates=H","DateFormat=P","Fill=—","Direction=H","UseDPDF=Y")</f>
        <v>1.5</v>
      </c>
      <c r="Z18" s="14">
        <v>0.59499999999999997</v>
      </c>
      <c r="AA18" s="14">
        <v>2.3820000000000001</v>
      </c>
    </row>
    <row r="19" spans="1:27" x14ac:dyDescent="0.25">
      <c r="A19" s="10" t="s">
        <v>272</v>
      </c>
      <c r="B19" s="10" t="s">
        <v>82</v>
      </c>
      <c r="C19" s="14">
        <f>_xll.BDH("SRPT US Equity","IS_DIL_EPS_CONT_OPS","FQ2 2019","FQ2 2019","Currency=USD","Period=FQ","BEST_FPERIOD_OVERRIDE=FQ","FILING_STATUS=MR","Sort=A","Dates=H","DateFormat=P","Fill=—","Direction=H","UseDPDF=Y")</f>
        <v>-1.1937</v>
      </c>
      <c r="D19" s="14">
        <f>_xll.BDH("SRPT US Equity","IS_DIL_EPS_CONT_OPS","FQ3 2019","FQ3 2019","Currency=USD","Period=FQ","BEST_FPERIOD_OVERRIDE=FQ","FILING_STATUS=MR","Sort=A","Dates=H","DateFormat=P","Fill=—","Direction=H","UseDPDF=Y")</f>
        <v>-1.5737000000000001</v>
      </c>
      <c r="E19" s="14">
        <f>_xll.BDH("SRPT US Equity","IS_DIL_EPS_CONT_OPS","FQ4 2019","FQ4 2019","Currency=USD","Period=FQ","BEST_FPERIOD_OVERRIDE=FQ","FILING_STATUS=MR","Sort=A","Dates=H","DateFormat=P","Fill=—","Direction=H","UseDPDF=Y")</f>
        <v>-2.2627000000000002</v>
      </c>
      <c r="F19" s="14">
        <f>_xll.BDH("SRPT US Equity","IS_DIL_EPS_CONT_OPS","FQ1 2020","FQ1 2020","Currency=USD","Period=FQ","BEST_FPERIOD_OVERRIDE=FQ","FILING_STATUS=MR","Sort=A","Dates=H","DateFormat=P","Fill=—","Direction=H","UseDPDF=Y")</f>
        <v>-1.4939</v>
      </c>
      <c r="G19" s="14">
        <f>_xll.BDH("SRPT US Equity","IS_DIL_EPS_CONT_OPS","FQ2 2020","FQ2 2020","Currency=USD","Period=FQ","BEST_FPERIOD_OVERRIDE=FQ","FILING_STATUS=MR","Sort=A","Dates=H","DateFormat=P","Fill=—","Direction=H","UseDPDF=Y")</f>
        <v>-1.93</v>
      </c>
      <c r="H19" s="14">
        <f>_xll.BDH("SRPT US Equity","IS_DIL_EPS_CONT_OPS","FQ3 2020","FQ3 2020","Currency=USD","Period=FQ","BEST_FPERIOD_OVERRIDE=FQ","FILING_STATUS=MR","Sort=A","Dates=H","DateFormat=P","Fill=—","Direction=H","UseDPDF=Y")</f>
        <v>-1.8956</v>
      </c>
      <c r="I19" s="14">
        <f>_xll.BDH("SRPT US Equity","IS_DIL_EPS_CONT_OPS","FQ4 2020","FQ4 2020","Currency=USD","Period=FQ","BEST_FPERIOD_OVERRIDE=FQ","FILING_STATUS=MR","Sort=A","Dates=H","DateFormat=P","Fill=—","Direction=H","UseDPDF=Y")</f>
        <v>-2.2936999999999999</v>
      </c>
      <c r="J19" s="14">
        <f>_xll.BDH("SRPT US Equity","IS_DIL_EPS_CONT_OPS","FQ1 2021","FQ1 2021","Currency=USD","Period=FQ","BEST_FPERIOD_OVERRIDE=FQ","FILING_STATUS=MR","Sort=A","Dates=H","DateFormat=P","Fill=—","Direction=H","UseDPDF=Y")</f>
        <v>-1.9294</v>
      </c>
      <c r="K19" s="14">
        <f>_xll.BDH("SRPT US Equity","IS_DIL_EPS_CONT_OPS","FQ2 2021","FQ2 2021","Currency=USD","Period=FQ","BEST_FPERIOD_OVERRIDE=FQ","FILING_STATUS=MR","Sort=A","Dates=H","DateFormat=P","Fill=—","Direction=H","UseDPDF=Y")</f>
        <v>-1.9026000000000001</v>
      </c>
      <c r="L19" s="14">
        <f>_xll.BDH("SRPT US Equity","IS_DIL_EPS_CONT_OPS","FQ3 2021","FQ3 2021","Currency=USD","Period=FQ","BEST_FPERIOD_OVERRIDE=FQ","FILING_STATUS=MR","Sort=A","Dates=H","DateFormat=P","Fill=—","Direction=H","UseDPDF=Y")</f>
        <v>-0.55830000000000002</v>
      </c>
      <c r="M19" s="14">
        <f>_xll.BDH("SRPT US Equity","IS_DIL_EPS_CONT_OPS","FQ4 2021","FQ4 2021","Currency=USD","Period=FQ","BEST_FPERIOD_OVERRIDE=FQ","FILING_STATUS=MR","Sort=A","Dates=H","DateFormat=P","Fill=—","Direction=H","UseDPDF=Y")</f>
        <v>-1.42</v>
      </c>
      <c r="N19" s="14">
        <f>_xll.BDH("SRPT US Equity","IS_DIL_EPS_CONT_OPS","FQ1 2022","FQ1 2022","Currency=USD","Period=FQ","BEST_FPERIOD_OVERRIDE=FQ","FILING_STATUS=MR","Sort=A","Dates=H","DateFormat=P","Fill=—","Direction=H","UseDPDF=Y")</f>
        <v>-1.2</v>
      </c>
      <c r="O19" s="14">
        <f>_xll.BDH("SRPT US Equity","IS_DIL_EPS_CONT_OPS","FQ2 2022","FQ2 2022","Currency=USD","Period=FQ","BEST_FPERIOD_OVERRIDE=FQ","FILING_STATUS=MR","Sort=A","Dates=H","DateFormat=P","Fill=—","Direction=H","UseDPDF=Y")</f>
        <v>-2.65</v>
      </c>
      <c r="P19" s="14">
        <f>_xll.BDH("SRPT US Equity","IS_DIL_EPS_CONT_OPS","FQ3 2022","FQ3 2022","Currency=USD","Period=FQ","BEST_FPERIOD_OVERRIDE=FQ","FILING_STATUS=MR","Sort=A","Dates=H","DateFormat=P","Fill=—","Direction=H","UseDPDF=Y")</f>
        <v>-1.8708</v>
      </c>
      <c r="Q19" s="14">
        <f>_xll.BDH("SRPT US Equity","IS_DIL_EPS_CONT_OPS","FQ4 2022","FQ4 2022","Currency=USD","Period=FQ","BEST_FPERIOD_OVERRIDE=FQ","FILING_STATUS=MR","Sort=A","Dates=H","DateFormat=P","Fill=—","Direction=H","UseDPDF=Y")</f>
        <v>-1.2204999999999999</v>
      </c>
      <c r="R19" s="14">
        <f>_xll.BDH("SRPT US Equity","IS_DIL_EPS_CONT_OPS","FQ1 2023","FQ1 2023","Currency=USD","Period=FQ","BEST_FPERIOD_OVERRIDE=FQ","FILING_STATUS=MR","Sort=A","Dates=H","DateFormat=P","Fill=—","Direction=H","UseDPDF=Y")</f>
        <v>-2.3902000000000001</v>
      </c>
      <c r="S19" s="14">
        <f>_xll.BDH("SRPT US Equity","IS_DIL_EPS_CONT_OPS","FQ2 2023","FQ2 2023","Currency=USD","Period=FQ","BEST_FPERIOD_OVERRIDE=FQ","FILING_STATUS=MR","Sort=A","Dates=H","DateFormat=P","Fill=—","Direction=H","UseDPDF=Y")</f>
        <v>-1.1851</v>
      </c>
      <c r="T19" s="14">
        <f>_xll.BDH("SRPT US Equity","IS_DIL_EPS_CONT_OPS","FQ3 2023","FQ3 2023","Currency=USD","Period=FQ","BEST_FPERIOD_OVERRIDE=FQ","FILING_STATUS=MR","Sort=A","Dates=H","DateFormat=P","Fill=—","Direction=H","UseDPDF=Y")</f>
        <v>-0.44280000000000003</v>
      </c>
      <c r="U19" s="14">
        <f>_xll.BDH("SRPT US Equity","IS_DIL_EPS_CONT_OPS","FQ4 2023","FQ4 2023","Currency=USD","Period=FQ","BEST_FPERIOD_OVERRIDE=FQ","FILING_STATUS=MR","Sort=A","Dates=H","DateFormat=P","Fill=—","Direction=H","UseDPDF=Y")</f>
        <v>0.47</v>
      </c>
      <c r="V19" s="14">
        <f>_xll.BDH("SRPT US Equity","IS_DIL_EPS_CONT_OPS","FQ1 2024","FQ1 2024","Currency=USD","Period=FQ","BEST_FPERIOD_OVERRIDE=FQ","FILING_STATUS=MR","Sort=A","Dates=H","DateFormat=P","Fill=—","Direction=H","UseDPDF=Y")</f>
        <v>0.46879999999999999</v>
      </c>
      <c r="W19" s="14">
        <f>_xll.BDH("SRPT US Equity","IS_DIL_EPS_CONT_OPS","FQ2 2024","FQ2 2024","Currency=USD","Period=FQ","BEST_FPERIOD_OVERRIDE=FQ","FILING_STATUS=MR","Sort=A","Dates=H","DateFormat=P","Fill=—","Direction=H","UseDPDF=Y")</f>
        <v>7.0000000000000007E-2</v>
      </c>
      <c r="X19" s="14">
        <f>_xll.BDH("SRPT US Equity","IS_DIL_EPS_CONT_OPS","FQ3 2024","FQ3 2024","Currency=USD","Period=FQ","BEST_FPERIOD_OVERRIDE=FQ","FILING_STATUS=MR","Sort=A","Dates=H","DateFormat=P","Fill=—","Direction=H","UseDPDF=Y")</f>
        <v>0.32650000000000001</v>
      </c>
      <c r="Y19" s="14">
        <f>_xll.BDH("SRPT US Equity","IS_DIL_EPS_CONT_OPS","FQ4 2024","FQ4 2024","Currency=USD","Period=FQ","BEST_FPERIOD_OVERRIDE=FQ","FILING_STATUS=MR","Sort=A","Dates=H","DateFormat=P","Fill=—","Direction=H","UseDPDF=Y")</f>
        <v>1.4935</v>
      </c>
      <c r="Z19" s="14">
        <v>1.4410000000000001</v>
      </c>
      <c r="AA19" s="14">
        <v>2.8010000000000002</v>
      </c>
    </row>
    <row r="20" spans="1:27" x14ac:dyDescent="0.25">
      <c r="A20" s="10" t="s">
        <v>273</v>
      </c>
      <c r="B20" s="10" t="s">
        <v>274</v>
      </c>
      <c r="C20" s="14">
        <f>_xll.BDH("SRPT US Equity","EQY_DPS","FQ2 2019","FQ2 2019","Currency=USD","Period=FQ","BEST_FPERIOD_OVERRIDE=FQ","FILING_STATUS=MR","Sort=A","Dates=H","DateFormat=P","Fill=—","Direction=H","UseDPDF=Y")</f>
        <v>0</v>
      </c>
      <c r="D20" s="14">
        <f>_xll.BDH("SRPT US Equity","EQY_DPS","FQ3 2019","FQ3 2019","Currency=USD","Period=FQ","BEST_FPERIOD_OVERRIDE=FQ","FILING_STATUS=MR","Sort=A","Dates=H","DateFormat=P","Fill=—","Direction=H","UseDPDF=Y")</f>
        <v>0</v>
      </c>
      <c r="E20" s="14">
        <f>_xll.BDH("SRPT US Equity","EQY_DPS","FQ4 2019","FQ4 2019","Currency=USD","Period=FQ","BEST_FPERIOD_OVERRIDE=FQ","FILING_STATUS=MR","Sort=A","Dates=H","DateFormat=P","Fill=—","Direction=H","UseDPDF=Y")</f>
        <v>0</v>
      </c>
      <c r="F20" s="14">
        <f>_xll.BDH("SRPT US Equity","EQY_DPS","FQ1 2020","FQ1 2020","Currency=USD","Period=FQ","BEST_FPERIOD_OVERRIDE=FQ","FILING_STATUS=MR","Sort=A","Dates=H","DateFormat=P","Fill=—","Direction=H","UseDPDF=Y")</f>
        <v>0</v>
      </c>
      <c r="G20" s="14">
        <f>_xll.BDH("SRPT US Equity","EQY_DPS","FQ2 2020","FQ2 2020","Currency=USD","Period=FQ","BEST_FPERIOD_OVERRIDE=FQ","FILING_STATUS=MR","Sort=A","Dates=H","DateFormat=P","Fill=—","Direction=H","UseDPDF=Y")</f>
        <v>0</v>
      </c>
      <c r="H20" s="14">
        <f>_xll.BDH("SRPT US Equity","EQY_DPS","FQ3 2020","FQ3 2020","Currency=USD","Period=FQ","BEST_FPERIOD_OVERRIDE=FQ","FILING_STATUS=MR","Sort=A","Dates=H","DateFormat=P","Fill=—","Direction=H","UseDPDF=Y")</f>
        <v>0</v>
      </c>
      <c r="I20" s="14">
        <f>_xll.BDH("SRPT US Equity","EQY_DPS","FQ4 2020","FQ4 2020","Currency=USD","Period=FQ","BEST_FPERIOD_OVERRIDE=FQ","FILING_STATUS=MR","Sort=A","Dates=H","DateFormat=P","Fill=—","Direction=H","UseDPDF=Y")</f>
        <v>0</v>
      </c>
      <c r="J20" s="14">
        <f>_xll.BDH("SRPT US Equity","EQY_DPS","FQ1 2021","FQ1 2021","Currency=USD","Period=FQ","BEST_FPERIOD_OVERRIDE=FQ","FILING_STATUS=MR","Sort=A","Dates=H","DateFormat=P","Fill=—","Direction=H","UseDPDF=Y")</f>
        <v>0</v>
      </c>
      <c r="K20" s="14">
        <f>_xll.BDH("SRPT US Equity","EQY_DPS","FQ2 2021","FQ2 2021","Currency=USD","Period=FQ","BEST_FPERIOD_OVERRIDE=FQ","FILING_STATUS=MR","Sort=A","Dates=H","DateFormat=P","Fill=—","Direction=H","UseDPDF=Y")</f>
        <v>0</v>
      </c>
      <c r="L20" s="14">
        <f>_xll.BDH("SRPT US Equity","EQY_DPS","FQ3 2021","FQ3 2021","Currency=USD","Period=FQ","BEST_FPERIOD_OVERRIDE=FQ","FILING_STATUS=MR","Sort=A","Dates=H","DateFormat=P","Fill=—","Direction=H","UseDPDF=Y")</f>
        <v>0</v>
      </c>
      <c r="M20" s="14">
        <f>_xll.BDH("SRPT US Equity","EQY_DPS","FQ4 2021","FQ4 2021","Currency=USD","Period=FQ","BEST_FPERIOD_OVERRIDE=FQ","FILING_STATUS=MR","Sort=A","Dates=H","DateFormat=P","Fill=—","Direction=H","UseDPDF=Y")</f>
        <v>0</v>
      </c>
      <c r="N20" s="14">
        <f>_xll.BDH("SRPT US Equity","EQY_DPS","FQ1 2022","FQ1 2022","Currency=USD","Period=FQ","BEST_FPERIOD_OVERRIDE=FQ","FILING_STATUS=MR","Sort=A","Dates=H","DateFormat=P","Fill=—","Direction=H","UseDPDF=Y")</f>
        <v>0</v>
      </c>
      <c r="O20" s="14">
        <f>_xll.BDH("SRPT US Equity","EQY_DPS","FQ2 2022","FQ2 2022","Currency=USD","Period=FQ","BEST_FPERIOD_OVERRIDE=FQ","FILING_STATUS=MR","Sort=A","Dates=H","DateFormat=P","Fill=—","Direction=H","UseDPDF=Y")</f>
        <v>0</v>
      </c>
      <c r="P20" s="14">
        <f>_xll.BDH("SRPT US Equity","EQY_DPS","FQ3 2022","FQ3 2022","Currency=USD","Period=FQ","BEST_FPERIOD_OVERRIDE=FQ","FILING_STATUS=MR","Sort=A","Dates=H","DateFormat=P","Fill=—","Direction=H","UseDPDF=Y")</f>
        <v>0</v>
      </c>
      <c r="Q20" s="14">
        <f>_xll.BDH("SRPT US Equity","EQY_DPS","FQ4 2022","FQ4 2022","Currency=USD","Period=FQ","BEST_FPERIOD_OVERRIDE=FQ","FILING_STATUS=MR","Sort=A","Dates=H","DateFormat=P","Fill=—","Direction=H","UseDPDF=Y")</f>
        <v>0</v>
      </c>
      <c r="R20" s="14">
        <f>_xll.BDH("SRPT US Equity","EQY_DPS","FQ1 2023","FQ1 2023","Currency=USD","Period=FQ","BEST_FPERIOD_OVERRIDE=FQ","FILING_STATUS=MR","Sort=A","Dates=H","DateFormat=P","Fill=—","Direction=H","UseDPDF=Y")</f>
        <v>0</v>
      </c>
      <c r="S20" s="14">
        <f>_xll.BDH("SRPT US Equity","EQY_DPS","FQ2 2023","FQ2 2023","Currency=USD","Period=FQ","BEST_FPERIOD_OVERRIDE=FQ","FILING_STATUS=MR","Sort=A","Dates=H","DateFormat=P","Fill=—","Direction=H","UseDPDF=Y")</f>
        <v>0</v>
      </c>
      <c r="T20" s="14">
        <f>_xll.BDH("SRPT US Equity","EQY_DPS","FQ3 2023","FQ3 2023","Currency=USD","Period=FQ","BEST_FPERIOD_OVERRIDE=FQ","FILING_STATUS=MR","Sort=A","Dates=H","DateFormat=P","Fill=—","Direction=H","UseDPDF=Y")</f>
        <v>0</v>
      </c>
      <c r="U20" s="14">
        <f>_xll.BDH("SRPT US Equity","EQY_DPS","FQ4 2023","FQ4 2023","Currency=USD","Period=FQ","BEST_FPERIOD_OVERRIDE=FQ","FILING_STATUS=MR","Sort=A","Dates=H","DateFormat=P","Fill=—","Direction=H","UseDPDF=Y")</f>
        <v>0</v>
      </c>
      <c r="V20" s="14">
        <f>_xll.BDH("SRPT US Equity","EQY_DPS","FQ1 2024","FQ1 2024","Currency=USD","Period=FQ","BEST_FPERIOD_OVERRIDE=FQ","FILING_STATUS=MR","Sort=A","Dates=H","DateFormat=P","Fill=—","Direction=H","UseDPDF=Y")</f>
        <v>0</v>
      </c>
      <c r="W20" s="14">
        <f>_xll.BDH("SRPT US Equity","EQY_DPS","FQ2 2024","FQ2 2024","Currency=USD","Period=FQ","BEST_FPERIOD_OVERRIDE=FQ","FILING_STATUS=MR","Sort=A","Dates=H","DateFormat=P","Fill=—","Direction=H","UseDPDF=Y")</f>
        <v>0</v>
      </c>
      <c r="X20" s="14">
        <f>_xll.BDH("SRPT US Equity","EQY_DPS","FQ3 2024","FQ3 2024","Currency=USD","Period=FQ","BEST_FPERIOD_OVERRIDE=FQ","FILING_STATUS=MR","Sort=A","Dates=H","DateFormat=P","Fill=—","Direction=H","UseDPDF=Y")</f>
        <v>0</v>
      </c>
      <c r="Y20" s="14">
        <f>_xll.BDH("SRPT US Equity","EQY_DPS","FQ4 2024","FQ4 2024","Currency=USD","Period=FQ","BEST_FPERIOD_OVERRIDE=FQ","FILING_STATUS=MR","Sort=A","Dates=H","DateFormat=P","Fill=—","Direction=H","UseDPDF=Y")</f>
        <v>0</v>
      </c>
      <c r="Z20" s="14"/>
      <c r="AA20" s="14"/>
    </row>
    <row r="21" spans="1:27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10" t="s">
        <v>275</v>
      </c>
      <c r="B22" s="10" t="s">
        <v>276</v>
      </c>
      <c r="C22" s="14">
        <f>_xll.BDH("SRPT US Equity","CASH_FLOW_PER_SH","FQ2 2019","FQ2 2019","Currency=USD","Period=FQ","BEST_FPERIOD_OVERRIDE=FQ","FILING_STATUS=MR","Sort=A","Dates=H","DateFormat=P","Fill=—","Direction=H","UseDPDF=Y")</f>
        <v>-1.0682</v>
      </c>
      <c r="D22" s="14">
        <f>_xll.BDH("SRPT US Equity","CASH_FLOW_PER_SH","FQ3 2019","FQ3 2019","Currency=USD","Period=FQ","BEST_FPERIOD_OVERRIDE=FQ","FILING_STATUS=MR","Sort=A","Dates=H","DateFormat=P","Fill=—","Direction=H","UseDPDF=Y")</f>
        <v>-0.90910000000000002</v>
      </c>
      <c r="E22" s="14">
        <f>_xll.BDH("SRPT US Equity","CASH_FLOW_PER_SH","FQ4 2019","FQ4 2019","Currency=USD","Period=FQ","BEST_FPERIOD_OVERRIDE=FQ","FILING_STATUS=MR","Sort=A","Dates=H","DateFormat=P","Fill=—","Direction=H","UseDPDF=Y")</f>
        <v>-2.1968999999999999</v>
      </c>
      <c r="F22" s="14">
        <f>_xll.BDH("SRPT US Equity","CASH_FLOW_PER_SH","FQ1 2020","FQ1 2020","Currency=USD","Period=FQ","BEST_FPERIOD_OVERRIDE=FQ","FILING_STATUS=MR","Sort=A","Dates=H","DateFormat=P","Fill=—","Direction=H","UseDPDF=Y")</f>
        <v>8.2136999999999993</v>
      </c>
      <c r="G22" s="14">
        <f>_xll.BDH("SRPT US Equity","CASH_FLOW_PER_SH","FQ2 2020","FQ2 2020","Currency=USD","Period=FQ","BEST_FPERIOD_OVERRIDE=FQ","FILING_STATUS=MR","Sort=A","Dates=H","DateFormat=P","Fill=—","Direction=H","UseDPDF=Y")</f>
        <v>-1.3801000000000001</v>
      </c>
      <c r="H22" s="14">
        <f>_xll.BDH("SRPT US Equity","CASH_FLOW_PER_SH","FQ3 2020","FQ3 2020","Currency=USD","Period=FQ","BEST_FPERIOD_OVERRIDE=FQ","FILING_STATUS=MR","Sort=A","Dates=H","DateFormat=P","Fill=—","Direction=H","UseDPDF=Y")</f>
        <v>-3.0341999999999998</v>
      </c>
      <c r="I22" s="14">
        <f>_xll.BDH("SRPT US Equity","CASH_FLOW_PER_SH","FQ4 2020","FQ4 2020","Currency=USD","Period=FQ","BEST_FPERIOD_OVERRIDE=FQ","FILING_STATUS=MR","Sort=A","Dates=H","DateFormat=P","Fill=—","Direction=H","UseDPDF=Y")</f>
        <v>-2.2120000000000002</v>
      </c>
      <c r="J22" s="14">
        <f>_xll.BDH("SRPT US Equity","CASH_FLOW_PER_SH","FQ1 2021","FQ1 2021","Currency=USD","Period=FQ","BEST_FPERIOD_OVERRIDE=FQ","FILING_STATUS=MR","Sort=A","Dates=H","DateFormat=P","Fill=—","Direction=H","UseDPDF=Y")</f>
        <v>-2.2700999999999998</v>
      </c>
      <c r="K22" s="14">
        <f>_xll.BDH("SRPT US Equity","CASH_FLOW_PER_SH","FQ2 2021","FQ2 2021","Currency=USD","Period=FQ","BEST_FPERIOD_OVERRIDE=FQ","FILING_STATUS=MR","Sort=A","Dates=H","DateFormat=P","Fill=—","Direction=H","UseDPDF=Y")</f>
        <v>-1.3687</v>
      </c>
      <c r="L22" s="14">
        <f>_xll.BDH("SRPT US Equity","CASH_FLOW_PER_SH","FQ3 2021","FQ3 2021","Currency=USD","Period=FQ","BEST_FPERIOD_OVERRIDE=FQ","FILING_STATUS=MR","Sort=A","Dates=H","DateFormat=P","Fill=—","Direction=H","UseDPDF=Y")</f>
        <v>-1.5564</v>
      </c>
      <c r="M22" s="14">
        <f>_xll.BDH("SRPT US Equity","CASH_FLOW_PER_SH","FQ4 2021","FQ4 2021","Currency=USD","Period=FQ","BEST_FPERIOD_OVERRIDE=FQ","FILING_STATUS=MR","Sort=A","Dates=H","DateFormat=P","Fill=—","Direction=H","UseDPDF=Y")</f>
        <v>-0.3412</v>
      </c>
      <c r="N22" s="14">
        <f>_xll.BDH("SRPT US Equity","CASH_FLOW_PER_SH","FQ1 2022","FQ1 2022","Currency=USD","Period=FQ","BEST_FPERIOD_OVERRIDE=FQ","FILING_STATUS=MR","Sort=A","Dates=H","DateFormat=P","Fill=—","Direction=H","UseDPDF=Y")</f>
        <v>-1.1596</v>
      </c>
      <c r="O22" s="14">
        <f>_xll.BDH("SRPT US Equity","CASH_FLOW_PER_SH","FQ2 2022","FQ2 2022","Currency=USD","Period=FQ","BEST_FPERIOD_OVERRIDE=FQ","FILING_STATUS=MR","Sort=A","Dates=H","DateFormat=P","Fill=—","Direction=H","UseDPDF=Y")</f>
        <v>-0.76349999999999996</v>
      </c>
      <c r="P22" s="14">
        <f>_xll.BDH("SRPT US Equity","CASH_FLOW_PER_SH","FQ3 2022","FQ3 2022","Currency=USD","Period=FQ","BEST_FPERIOD_OVERRIDE=FQ","FILING_STATUS=MR","Sort=A","Dates=H","DateFormat=P","Fill=—","Direction=H","UseDPDF=Y")</f>
        <v>-0.74139999999999995</v>
      </c>
      <c r="Q22" s="14">
        <f>_xll.BDH("SRPT US Equity","CASH_FLOW_PER_SH","FQ4 2022","FQ4 2022","Currency=USD","Period=FQ","BEST_FPERIOD_OVERRIDE=FQ","FILING_STATUS=MR","Sort=A","Dates=H","DateFormat=P","Fill=—","Direction=H","UseDPDF=Y")</f>
        <v>-1.0518000000000001</v>
      </c>
      <c r="R22" s="14">
        <f>_xll.BDH("SRPT US Equity","CASH_FLOW_PER_SH","FQ1 2023","FQ1 2023","Currency=USD","Period=FQ","BEST_FPERIOD_OVERRIDE=FQ","FILING_STATUS=MR","Sort=A","Dates=H","DateFormat=P","Fill=—","Direction=H","UseDPDF=Y")</f>
        <v>-2.3744999999999998</v>
      </c>
      <c r="S22" s="14">
        <f>_xll.BDH("SRPT US Equity","CASH_FLOW_PER_SH","FQ2 2023","FQ2 2023","Currency=USD","Period=FQ","BEST_FPERIOD_OVERRIDE=FQ","FILING_STATUS=MR","Sort=A","Dates=H","DateFormat=P","Fill=—","Direction=H","UseDPDF=Y")</f>
        <v>-1.3774</v>
      </c>
      <c r="T22" s="14">
        <f>_xll.BDH("SRPT US Equity","CASH_FLOW_PER_SH","FQ3 2023","FQ3 2023","Currency=USD","Period=FQ","BEST_FPERIOD_OVERRIDE=FQ","FILING_STATUS=MR","Sort=A","Dates=H","DateFormat=P","Fill=—","Direction=H","UseDPDF=Y")</f>
        <v>-1.2904</v>
      </c>
      <c r="U22" s="14">
        <f>_xll.BDH("SRPT US Equity","CASH_FLOW_PER_SH","FQ4 2023","FQ4 2023","Currency=USD","Period=FQ","BEST_FPERIOD_OVERRIDE=FQ","FILING_STATUS=MR","Sort=A","Dates=H","DateFormat=P","Fill=—","Direction=H","UseDPDF=Y")</f>
        <v>-0.58379999999999999</v>
      </c>
      <c r="V22" s="14">
        <f>_xll.BDH("SRPT US Equity","CASH_FLOW_PER_SH","FQ1 2024","FQ1 2024","Currency=USD","Period=FQ","BEST_FPERIOD_OVERRIDE=FQ","FILING_STATUS=MR","Sort=A","Dates=H","DateFormat=P","Fill=—","Direction=H","UseDPDF=Y")</f>
        <v>-2.5754999999999999</v>
      </c>
      <c r="W22" s="14">
        <f>_xll.BDH("SRPT US Equity","CASH_FLOW_PER_SH","FQ2 2024","FQ2 2024","Currency=USD","Period=FQ","BEST_FPERIOD_OVERRIDE=FQ","FILING_STATUS=MR","Sort=A","Dates=H","DateFormat=P","Fill=—","Direction=H","UseDPDF=Y")</f>
        <v>0.15790000000000001</v>
      </c>
      <c r="X22" s="14">
        <f>_xll.BDH("SRPT US Equity","CASH_FLOW_PER_SH","FQ3 2024","FQ3 2024","Currency=USD","Period=FQ","BEST_FPERIOD_OVERRIDE=FQ","FILING_STATUS=MR","Sort=A","Dates=H","DateFormat=P","Fill=—","Direction=H","UseDPDF=Y")</f>
        <v>-0.74119999999999997</v>
      </c>
      <c r="Y22" s="14">
        <f>_xll.BDH("SRPT US Equity","CASH_FLOW_PER_SH","FQ4 2024","FQ4 2024","Currency=USD","Period=FQ","BEST_FPERIOD_OVERRIDE=FQ","FILING_STATUS=MR","Sort=A","Dates=H","DateFormat=P","Fill=—","Direction=H","UseDPDF=Y")</f>
        <v>0.95599999999999996</v>
      </c>
      <c r="Z22" s="14">
        <v>2.76</v>
      </c>
      <c r="AA22" s="14">
        <v>3.93</v>
      </c>
    </row>
    <row r="23" spans="1:27" x14ac:dyDescent="0.25">
      <c r="A23" s="10" t="s">
        <v>88</v>
      </c>
      <c r="B23" s="10" t="s">
        <v>277</v>
      </c>
      <c r="C23" s="14">
        <f>_xll.BDH("SRPT US Equity","FREE_CASH_FLOW_PER_SH","FQ2 2019","FQ2 2019","Currency=USD","Period=FQ","BEST_FPERIOD_OVERRIDE=FQ","FILING_STATUS=MR","Sort=A","Dates=H","DateFormat=P","Fill=—","Direction=H","UseDPDF=Y")</f>
        <v>-1.2938000000000001</v>
      </c>
      <c r="D23" s="14">
        <f>_xll.BDH("SRPT US Equity","FREE_CASH_FLOW_PER_SH","FQ3 2019","FQ3 2019","Currency=USD","Period=FQ","BEST_FPERIOD_OVERRIDE=FQ","FILING_STATUS=MR","Sort=A","Dates=H","DateFormat=P","Fill=—","Direction=H","UseDPDF=Y")</f>
        <v>-1.0362</v>
      </c>
      <c r="E23" s="14">
        <f>_xll.BDH("SRPT US Equity","FREE_CASH_FLOW_PER_SH","FQ4 2019","FQ4 2019","Currency=USD","Period=FQ","BEST_FPERIOD_OVERRIDE=FQ","FILING_STATUS=MR","Sort=A","Dates=H","DateFormat=P","Fill=—","Direction=H","UseDPDF=Y")</f>
        <v>-2.4283999999999999</v>
      </c>
      <c r="F23" s="14">
        <f>_xll.BDH("SRPT US Equity","FREE_CASH_FLOW_PER_SH","FQ1 2020","FQ1 2020","Currency=USD","Period=FQ","BEST_FPERIOD_OVERRIDE=FQ","FILING_STATUS=MR","Sort=A","Dates=H","DateFormat=P","Fill=—","Direction=H","UseDPDF=Y")</f>
        <v>8.0944000000000003</v>
      </c>
      <c r="G23" s="14">
        <f>_xll.BDH("SRPT US Equity","FREE_CASH_FLOW_PER_SH","FQ2 2020","FQ2 2020","Currency=USD","Period=FQ","BEST_FPERIOD_OVERRIDE=FQ","FILING_STATUS=MR","Sort=A","Dates=H","DateFormat=P","Fill=—","Direction=H","UseDPDF=Y")</f>
        <v>-1.6258999999999999</v>
      </c>
      <c r="H23" s="14">
        <f>_xll.BDH("SRPT US Equity","FREE_CASH_FLOW_PER_SH","FQ3 2020","FQ3 2020","Currency=USD","Period=FQ","BEST_FPERIOD_OVERRIDE=FQ","FILING_STATUS=MR","Sort=A","Dates=H","DateFormat=P","Fill=—","Direction=H","UseDPDF=Y")</f>
        <v>-3.3565</v>
      </c>
      <c r="I23" s="14">
        <f>_xll.BDH("SRPT US Equity","FREE_CASH_FLOW_PER_SH","FQ4 2020","FQ4 2020","Currency=USD","Period=FQ","BEST_FPERIOD_OVERRIDE=FQ","FILING_STATUS=MR","Sort=A","Dates=H","DateFormat=P","Fill=—","Direction=H","UseDPDF=Y")</f>
        <v>-2.5417000000000001</v>
      </c>
      <c r="J23" s="14">
        <f>_xll.BDH("SRPT US Equity","FREE_CASH_FLOW_PER_SH","FQ1 2021","FQ1 2021","Currency=USD","Period=FQ","BEST_FPERIOD_OVERRIDE=FQ","FILING_STATUS=MR","Sort=A","Dates=H","DateFormat=P","Fill=—","Direction=H","UseDPDF=Y")</f>
        <v>-2.5363000000000002</v>
      </c>
      <c r="K23" s="14">
        <f>_xll.BDH("SRPT US Equity","FREE_CASH_FLOW_PER_SH","FQ2 2021","FQ2 2021","Currency=USD","Period=FQ","BEST_FPERIOD_OVERRIDE=FQ","FILING_STATUS=MR","Sort=A","Dates=H","DateFormat=P","Fill=—","Direction=H","UseDPDF=Y")</f>
        <v>-1.4426000000000001</v>
      </c>
      <c r="L23" s="14">
        <f>_xll.BDH("SRPT US Equity","FREE_CASH_FLOW_PER_SH","FQ3 2021","FQ3 2021","Currency=USD","Period=FQ","BEST_FPERIOD_OVERRIDE=FQ","FILING_STATUS=MR","Sort=A","Dates=H","DateFormat=P","Fill=—","Direction=H","UseDPDF=Y")</f>
        <v>-1.6720999999999999</v>
      </c>
      <c r="M23" s="14">
        <f>_xll.BDH("SRPT US Equity","FREE_CASH_FLOW_PER_SH","FQ4 2021","FQ4 2021","Currency=USD","Period=FQ","BEST_FPERIOD_OVERRIDE=FQ","FILING_STATUS=MR","Sort=A","Dates=H","DateFormat=P","Fill=—","Direction=H","UseDPDF=Y")</f>
        <v>-0.3669</v>
      </c>
      <c r="N23" s="14">
        <f>_xll.BDH("SRPT US Equity","FREE_CASH_FLOW_PER_SH","FQ1 2022","FQ1 2022","Currency=USD","Period=FQ","BEST_FPERIOD_OVERRIDE=FQ","FILING_STATUS=MR","Sort=A","Dates=H","DateFormat=P","Fill=—","Direction=H","UseDPDF=Y")</f>
        <v>-1.2232000000000001</v>
      </c>
      <c r="O23" s="14">
        <f>_xll.BDH("SRPT US Equity","FREE_CASH_FLOW_PER_SH","FQ2 2022","FQ2 2022","Currency=USD","Period=FQ","BEST_FPERIOD_OVERRIDE=FQ","FILING_STATUS=MR","Sort=A","Dates=H","DateFormat=P","Fill=—","Direction=H","UseDPDF=Y")</f>
        <v>-0.86719999999999997</v>
      </c>
      <c r="P23" s="14">
        <f>_xll.BDH("SRPT US Equity","FREE_CASH_FLOW_PER_SH","FQ3 2022","FQ3 2022","Currency=USD","Period=FQ","BEST_FPERIOD_OVERRIDE=FQ","FILING_STATUS=MR","Sort=A","Dates=H","DateFormat=P","Fill=—","Direction=H","UseDPDF=Y")</f>
        <v>-0.83530000000000004</v>
      </c>
      <c r="Q23" s="14">
        <f>_xll.BDH("SRPT US Equity","FREE_CASH_FLOW_PER_SH","FQ4 2022","FQ4 2022","Currency=USD","Period=FQ","BEST_FPERIOD_OVERRIDE=FQ","FILING_STATUS=MR","Sort=A","Dates=H","DateFormat=P","Fill=—","Direction=H","UseDPDF=Y")</f>
        <v>-1.1286</v>
      </c>
      <c r="R23" s="14">
        <f>_xll.BDH("SRPT US Equity","FREE_CASH_FLOW_PER_SH","FQ1 2023","FQ1 2023","Currency=USD","Period=FQ","BEST_FPERIOD_OVERRIDE=FQ","FILING_STATUS=MR","Sort=A","Dates=H","DateFormat=P","Fill=—","Direction=H","UseDPDF=Y")</f>
        <v>-2.4820000000000002</v>
      </c>
      <c r="S23" s="14">
        <f>_xll.BDH("SRPT US Equity","FREE_CASH_FLOW_PER_SH","FQ2 2023","FQ2 2023","Currency=USD","Period=FQ","BEST_FPERIOD_OVERRIDE=FQ","FILING_STATUS=MR","Sort=A","Dates=H","DateFormat=P","Fill=—","Direction=H","UseDPDF=Y")</f>
        <v>-1.5791999999999999</v>
      </c>
      <c r="T23" s="14">
        <f>_xll.BDH("SRPT US Equity","FREE_CASH_FLOW_PER_SH","FQ3 2023","FQ3 2023","Currency=USD","Period=FQ","BEST_FPERIOD_OVERRIDE=FQ","FILING_STATUS=MR","Sort=A","Dates=H","DateFormat=P","Fill=—","Direction=H","UseDPDF=Y")</f>
        <v>-1.6243000000000001</v>
      </c>
      <c r="U23" s="14">
        <f>_xll.BDH("SRPT US Equity","FREE_CASH_FLOW_PER_SH","FQ4 2023","FQ4 2023","Currency=USD","Period=FQ","BEST_FPERIOD_OVERRIDE=FQ","FILING_STATUS=MR","Sort=A","Dates=H","DateFormat=P","Fill=—","Direction=H","UseDPDF=Y")</f>
        <v>-0.78720000000000001</v>
      </c>
      <c r="V23" s="14">
        <f>_xll.BDH("SRPT US Equity","FREE_CASH_FLOW_PER_SH","FQ1 2024","FQ1 2024","Currency=USD","Period=FQ","BEST_FPERIOD_OVERRIDE=FQ","FILING_STATUS=MR","Sort=A","Dates=H","DateFormat=P","Fill=—","Direction=H","UseDPDF=Y")</f>
        <v>-2.9207000000000001</v>
      </c>
      <c r="W23" s="14">
        <f>_xll.BDH("SRPT US Equity","FREE_CASH_FLOW_PER_SH","FQ2 2024","FQ2 2024","Currency=USD","Period=FQ","BEST_FPERIOD_OVERRIDE=FQ","FILING_STATUS=MR","Sort=A","Dates=H","DateFormat=P","Fill=—","Direction=H","UseDPDF=Y")</f>
        <v>-0.15029999999999999</v>
      </c>
      <c r="X23" s="14">
        <f>_xll.BDH("SRPT US Equity","FREE_CASH_FLOW_PER_SH","FQ3 2024","FQ3 2024","Currency=USD","Period=FQ","BEST_FPERIOD_OVERRIDE=FQ","FILING_STATUS=MR","Sort=A","Dates=H","DateFormat=P","Fill=—","Direction=H","UseDPDF=Y")</f>
        <v>-1.1317999999999999</v>
      </c>
      <c r="Y23" s="14">
        <f>_xll.BDH("SRPT US Equity","FREE_CASH_FLOW_PER_SH","FQ4 2024","FQ4 2024","Currency=USD","Period=FQ","BEST_FPERIOD_OVERRIDE=FQ","FILING_STATUS=MR","Sort=A","Dates=H","DateFormat=P","Fill=—","Direction=H","UseDPDF=Y")</f>
        <v>0.5605</v>
      </c>
      <c r="Z23" s="14"/>
      <c r="AA23" s="14"/>
    </row>
    <row r="24" spans="1:27" x14ac:dyDescent="0.25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5">
      <c r="A25" s="10" t="s">
        <v>3</v>
      </c>
      <c r="B25" s="10" t="s">
        <v>278</v>
      </c>
      <c r="C25" s="14">
        <f>_xll.BDH("SRPT US Equity","CASH_ST_INVESTMENTS_PER_SH","FQ2 2019","FQ2 2019","Currency=USD","Period=FQ","BEST_FPERIOD_OVERRIDE=FQ","FILING_STATUS=MR","Sort=A","Dates=H","DateFormat=P","Fill=—","Direction=H","UseDPDF=Y")</f>
        <v>14.8406</v>
      </c>
      <c r="D25" s="14">
        <f>_xll.BDH("SRPT US Equity","CASH_ST_INVESTMENTS_PER_SH","FQ3 2019","FQ3 2019","Currency=USD","Period=FQ","BEST_FPERIOD_OVERRIDE=FQ","FILING_STATUS=MR","Sort=A","Dates=H","DateFormat=P","Fill=—","Direction=H","UseDPDF=Y")</f>
        <v>14.078200000000001</v>
      </c>
      <c r="E25" s="14">
        <f>_xll.BDH("SRPT US Equity","CASH_ST_INVESTMENTS_PER_SH","FQ4 2019","FQ4 2019","Currency=USD","Period=FQ","BEST_FPERIOD_OVERRIDE=FQ","FILING_STATUS=MR","Sort=A","Dates=H","DateFormat=P","Fill=—","Direction=H","UseDPDF=Y")</f>
        <v>14.9598</v>
      </c>
      <c r="F25" s="14">
        <f>_xll.BDH("SRPT US Equity","CASH_ST_INVESTMENTS_PER_SH","FQ1 2020","FQ1 2020","Currency=USD","Period=FQ","BEST_FPERIOD_OVERRIDE=FQ","FILING_STATUS=MR","Sort=A","Dates=H","DateFormat=P","Fill=—","Direction=H","UseDPDF=Y")</f>
        <v>27.8504</v>
      </c>
      <c r="G25" s="14">
        <f>_xll.BDH("SRPT US Equity","CASH_ST_INVESTMENTS_PER_SH","FQ2 2020","FQ2 2020","Currency=USD","Period=FQ","BEST_FPERIOD_OVERRIDE=FQ","FILING_STATUS=MR","Sort=A","Dates=H","DateFormat=P","Fill=—","Direction=H","UseDPDF=Y")</f>
        <v>26.281400000000001</v>
      </c>
      <c r="H25" s="14">
        <f>_xll.BDH("SRPT US Equity","CASH_ST_INVESTMENTS_PER_SH","FQ3 2020","FQ3 2020","Currency=USD","Period=FQ","BEST_FPERIOD_OVERRIDE=FQ","FILING_STATUS=MR","Sort=A","Dates=H","DateFormat=P","Fill=—","Direction=H","UseDPDF=Y")</f>
        <v>23.05</v>
      </c>
      <c r="I25" s="14">
        <f>_xll.BDH("SRPT US Equity","CASH_ST_INVESTMENTS_PER_SH","FQ4 2020","FQ4 2020","Currency=USD","Period=FQ","BEST_FPERIOD_OVERRIDE=FQ","FILING_STATUS=MR","Sort=A","Dates=H","DateFormat=P","Fill=—","Direction=H","UseDPDF=Y")</f>
        <v>24.423200000000001</v>
      </c>
      <c r="J25" s="14">
        <f>_xll.BDH("SRPT US Equity","CASH_ST_INVESTMENTS_PER_SH","FQ1 2021","FQ1 2021","Currency=USD","Period=FQ","BEST_FPERIOD_OVERRIDE=FQ","FILING_STATUS=MR","Sort=A","Dates=H","DateFormat=P","Fill=—","Direction=H","UseDPDF=Y")</f>
        <v>21.791499999999999</v>
      </c>
      <c r="K25" s="14">
        <f>_xll.BDH("SRPT US Equity","CASH_ST_INVESTMENTS_PER_SH","FQ2 2021","FQ2 2021","Currency=USD","Period=FQ","BEST_FPERIOD_OVERRIDE=FQ","FILING_STATUS=MR","Sort=A","Dates=H","DateFormat=P","Fill=—","Direction=H","UseDPDF=Y")</f>
        <v>21.636800000000001</v>
      </c>
      <c r="L25" s="14">
        <f>_xll.BDH("SRPT US Equity","CASH_ST_INVESTMENTS_PER_SH","FQ3 2021","FQ3 2021","Currency=USD","Period=FQ","BEST_FPERIOD_OVERRIDE=FQ","FILING_STATUS=MR","Sort=A","Dates=H","DateFormat=P","Fill=—","Direction=H","UseDPDF=Y")</f>
        <v>19.999300000000002</v>
      </c>
      <c r="M25" s="14">
        <f>_xll.BDH("SRPT US Equity","CASH_ST_INVESTMENTS_PER_SH","FQ4 2021","FQ4 2021","Currency=USD","Period=FQ","BEST_FPERIOD_OVERRIDE=FQ","FILING_STATUS=MR","Sort=A","Dates=H","DateFormat=P","Fill=—","Direction=H","UseDPDF=Y")</f>
        <v>24.2849</v>
      </c>
      <c r="N25" s="14">
        <f>_xll.BDH("SRPT US Equity","CASH_ST_INVESTMENTS_PER_SH","FQ1 2022","FQ1 2022","Currency=USD","Period=FQ","BEST_FPERIOD_OVERRIDE=FQ","FILING_STATUS=MR","Sort=A","Dates=H","DateFormat=P","Fill=—","Direction=H","UseDPDF=Y")</f>
        <v>23.011700000000001</v>
      </c>
      <c r="O25" s="14">
        <f>_xll.BDH("SRPT US Equity","CASH_ST_INVESTMENTS_PER_SH","FQ2 2022","FQ2 2022","Currency=USD","Period=FQ","BEST_FPERIOD_OVERRIDE=FQ","FILING_STATUS=MR","Sort=A","Dates=H","DateFormat=P","Fill=—","Direction=H","UseDPDF=Y")</f>
        <v>22.025600000000001</v>
      </c>
      <c r="P25" s="14">
        <f>_xll.BDH("SRPT US Equity","CASH_ST_INVESTMENTS_PER_SH","FQ3 2022","FQ3 2022","Currency=USD","Period=FQ","BEST_FPERIOD_OVERRIDE=FQ","FILING_STATUS=MR","Sort=A","Dates=H","DateFormat=P","Fill=—","Direction=H","UseDPDF=Y")</f>
        <v>23.613700000000001</v>
      </c>
      <c r="Q25" s="14">
        <f>_xll.BDH("SRPT US Equity","CASH_ST_INVESTMENTS_PER_SH","FQ4 2022","FQ4 2022","Currency=USD","Period=FQ","BEST_FPERIOD_OVERRIDE=FQ","FILING_STATUS=MR","Sort=A","Dates=H","DateFormat=P","Fill=—","Direction=H","UseDPDF=Y")</f>
        <v>22.619299999999999</v>
      </c>
      <c r="R25" s="14">
        <f>_xll.BDH("SRPT US Equity","CASH_ST_INVESTMENTS_PER_SH","FQ1 2023","FQ1 2023","Currency=USD","Period=FQ","BEST_FPERIOD_OVERRIDE=FQ","FILING_STATUS=MR","Sort=A","Dates=H","DateFormat=P","Fill=—","Direction=H","UseDPDF=Y")</f>
        <v>20.2072</v>
      </c>
      <c r="S25" s="14">
        <f>_xll.BDH("SRPT US Equity","CASH_ST_INVESTMENTS_PER_SH","FQ2 2023","FQ2 2023","Currency=USD","Period=FQ","BEST_FPERIOD_OVERRIDE=FQ","FILING_STATUS=MR","Sort=A","Dates=H","DateFormat=P","Fill=—","Direction=H","UseDPDF=Y")</f>
        <v>19.949000000000002</v>
      </c>
      <c r="T25" s="14">
        <f>_xll.BDH("SRPT US Equity","CASH_ST_INVESTMENTS_PER_SH","FQ3 2023","FQ3 2023","Currency=USD","Period=FQ","BEST_FPERIOD_OVERRIDE=FQ","FILING_STATUS=MR","Sort=A","Dates=H","DateFormat=P","Fill=—","Direction=H","UseDPDF=Y")</f>
        <v>18.533200000000001</v>
      </c>
      <c r="U25" s="14">
        <f>_xll.BDH("SRPT US Equity","CASH_ST_INVESTMENTS_PER_SH","FQ4 2023","FQ4 2023","Currency=USD","Period=FQ","BEST_FPERIOD_OVERRIDE=FQ","FILING_STATUS=MR","Sort=A","Dates=H","DateFormat=P","Fill=—","Direction=H","UseDPDF=Y")</f>
        <v>17.883500000000002</v>
      </c>
      <c r="V25" s="14">
        <f>_xll.BDH("SRPT US Equity","CASH_ST_INVESTMENTS_PER_SH","FQ1 2024","FQ1 2024","Currency=USD","Period=FQ","BEST_FPERIOD_OVERRIDE=FQ","FILING_STATUS=MR","Sort=A","Dates=H","DateFormat=P","Fill=—","Direction=H","UseDPDF=Y")</f>
        <v>14.718400000000001</v>
      </c>
      <c r="W25" s="14">
        <f>_xll.BDH("SRPT US Equity","CASH_ST_INVESTMENTS_PER_SH","FQ2 2024","FQ2 2024","Currency=USD","Period=FQ","BEST_FPERIOD_OVERRIDE=FQ","FILING_STATUS=MR","Sort=A","Dates=H","DateFormat=P","Fill=—","Direction=H","UseDPDF=Y")</f>
        <v>15.3278</v>
      </c>
      <c r="X25" s="14">
        <f>_xll.BDH("SRPT US Equity","CASH_ST_INVESTMENTS_PER_SH","FQ3 2024","FQ3 2024","Currency=USD","Period=FQ","BEST_FPERIOD_OVERRIDE=FQ","FILING_STATUS=MR","Sort=A","Dates=H","DateFormat=P","Fill=—","Direction=H","UseDPDF=Y")</f>
        <v>12.5495</v>
      </c>
      <c r="Y25" s="14">
        <f>_xll.BDH("SRPT US Equity","CASH_ST_INVESTMENTS_PER_SH","FQ4 2024","FQ4 2024","Currency=USD","Period=FQ","BEST_FPERIOD_OVERRIDE=FQ","FILING_STATUS=MR","Sort=A","Dates=H","DateFormat=P","Fill=—","Direction=H","UseDPDF=Y")</f>
        <v>13.981299999999999</v>
      </c>
      <c r="Z25" s="14"/>
      <c r="AA25" s="14"/>
    </row>
    <row r="26" spans="1:27" x14ac:dyDescent="0.25">
      <c r="A26" s="10" t="s">
        <v>279</v>
      </c>
      <c r="B26" s="10" t="s">
        <v>280</v>
      </c>
      <c r="C26" s="14">
        <f>_xll.BDH("SRPT US Equity","BOOK_VAL_PER_SH","FQ2 2019","FQ2 2019","Currency=USD","Period=FQ","BEST_FPERIOD_OVERRIDE=FQ","FILING_STATUS=MR","Sort=A","Dates=H","DateFormat=P","Fill=—","Direction=H","UseDPDF=Y")</f>
        <v>14.7881</v>
      </c>
      <c r="D26" s="14">
        <f>_xll.BDH("SRPT US Equity","BOOK_VAL_PER_SH","FQ3 2019","FQ3 2019","Currency=USD","Period=FQ","BEST_FPERIOD_OVERRIDE=FQ","FILING_STATUS=MR","Sort=A","Dates=H","DateFormat=P","Fill=—","Direction=H","UseDPDF=Y")</f>
        <v>13.3576</v>
      </c>
      <c r="E26" s="14">
        <f>_xll.BDH("SRPT US Equity","BOOK_VAL_PER_SH","FQ4 2019","FQ4 2019","Currency=USD","Period=FQ","BEST_FPERIOD_OVERRIDE=FQ","FILING_STATUS=MR","Sort=A","Dates=H","DateFormat=P","Fill=—","Direction=H","UseDPDF=Y")</f>
        <v>10.882300000000001</v>
      </c>
      <c r="F26" s="14">
        <f>_xll.BDH("SRPT US Equity","BOOK_VAL_PER_SH","FQ1 2020","FQ1 2020","Currency=USD","Period=FQ","BEST_FPERIOD_OVERRIDE=FQ","FILING_STATUS=MR","Sort=A","Dates=H","DateFormat=P","Fill=—","Direction=H","UseDPDF=Y")</f>
        <v>14.6852</v>
      </c>
      <c r="G26" s="14">
        <f>_xll.BDH("SRPT US Equity","BOOK_VAL_PER_SH","FQ2 2020","FQ2 2020","Currency=USD","Period=FQ","BEST_FPERIOD_OVERRIDE=FQ","FILING_STATUS=MR","Sort=A","Dates=H","DateFormat=P","Fill=—","Direction=H","UseDPDF=Y")</f>
        <v>13.2964</v>
      </c>
      <c r="H26" s="14">
        <f>_xll.BDH("SRPT US Equity","BOOK_VAL_PER_SH","FQ3 2020","FQ3 2020","Currency=USD","Period=FQ","BEST_FPERIOD_OVERRIDE=FQ","FILING_STATUS=MR","Sort=A","Dates=H","DateFormat=P","Fill=—","Direction=H","UseDPDF=Y")</f>
        <v>11.321899999999999</v>
      </c>
      <c r="I26" s="14">
        <f>_xll.BDH("SRPT US Equity","BOOK_VAL_PER_SH","FQ4 2020","FQ4 2020","Currency=USD","Period=FQ","BEST_FPERIOD_OVERRIDE=FQ","FILING_STATUS=MR","Sort=A","Dates=H","DateFormat=P","Fill=—","Direction=H","UseDPDF=Y")</f>
        <v>9.5970999999999993</v>
      </c>
      <c r="J26" s="14">
        <f>_xll.BDH("SRPT US Equity","BOOK_VAL_PER_SH","FQ1 2021","FQ1 2021","Currency=USD","Period=FQ","BEST_FPERIOD_OVERRIDE=FQ","FILING_STATUS=MR","Sort=A","Dates=H","DateFormat=P","Fill=—","Direction=H","UseDPDF=Y")</f>
        <v>6.7141999999999999</v>
      </c>
      <c r="K26" s="14">
        <f>_xll.BDH("SRPT US Equity","BOOK_VAL_PER_SH","FQ2 2021","FQ2 2021","Currency=USD","Period=FQ","BEST_FPERIOD_OVERRIDE=FQ","FILING_STATUS=MR","Sort=A","Dates=H","DateFormat=P","Fill=—","Direction=H","UseDPDF=Y")</f>
        <v>6.0766999999999998</v>
      </c>
      <c r="L26" s="14">
        <f>_xll.BDH("SRPT US Equity","BOOK_VAL_PER_SH","FQ3 2021","FQ3 2021","Currency=USD","Period=FQ","BEST_FPERIOD_OVERRIDE=FQ","FILING_STATUS=MR","Sort=A","Dates=H","DateFormat=P","Fill=—","Direction=H","UseDPDF=Y")</f>
        <v>5.8720999999999997</v>
      </c>
      <c r="M26" s="14">
        <f>_xll.BDH("SRPT US Equity","BOOK_VAL_PER_SH","FQ4 2021","FQ4 2021","Currency=USD","Period=FQ","BEST_FPERIOD_OVERRIDE=FQ","FILING_STATUS=MR","Sort=A","Dates=H","DateFormat=P","Fill=—","Direction=H","UseDPDF=Y")</f>
        <v>10.651199999999999</v>
      </c>
      <c r="N26" s="14">
        <f>_xll.BDH("SRPT US Equity","BOOK_VAL_PER_SH","FQ1 2022","FQ1 2022","Currency=USD","Period=FQ","BEST_FPERIOD_OVERRIDE=FQ","FILING_STATUS=MR","Sort=A","Dates=H","DateFormat=P","Fill=—","Direction=H","UseDPDF=Y")</f>
        <v>9.7934999999999999</v>
      </c>
      <c r="O26" s="14">
        <f>_xll.BDH("SRPT US Equity","BOOK_VAL_PER_SH","FQ2 2022","FQ2 2022","Currency=USD","Period=FQ","BEST_FPERIOD_OVERRIDE=FQ","FILING_STATUS=MR","Sort=A","Dates=H","DateFormat=P","Fill=—","Direction=H","UseDPDF=Y")</f>
        <v>8.2989999999999995</v>
      </c>
      <c r="P26" s="14">
        <f>_xll.BDH("SRPT US Equity","BOOK_VAL_PER_SH","FQ3 2022","FQ3 2022","Currency=USD","Period=FQ","BEST_FPERIOD_OVERRIDE=FQ","FILING_STATUS=MR","Sort=A","Dates=H","DateFormat=P","Fill=—","Direction=H","UseDPDF=Y")</f>
        <v>4.9089999999999998</v>
      </c>
      <c r="Q26" s="14">
        <f>_xll.BDH("SRPT US Equity","BOOK_VAL_PER_SH","FQ4 2022","FQ4 2022","Currency=USD","Period=FQ","BEST_FPERIOD_OVERRIDE=FQ","FILING_STATUS=MR","Sort=A","Dates=H","DateFormat=P","Fill=—","Direction=H","UseDPDF=Y")</f>
        <v>4.3769</v>
      </c>
      <c r="R26" s="14">
        <f>_xll.BDH("SRPT US Equity","BOOK_VAL_PER_SH","FQ1 2023","FQ1 2023","Currency=USD","Period=FQ","BEST_FPERIOD_OVERRIDE=FQ","FILING_STATUS=MR","Sort=A","Dates=H","DateFormat=P","Fill=—","Direction=H","UseDPDF=Y")</f>
        <v>7.6524000000000001</v>
      </c>
      <c r="S26" s="14">
        <f>_xll.BDH("SRPT US Equity","BOOK_VAL_PER_SH","FQ2 2023","FQ2 2023","Currency=USD","Period=FQ","BEST_FPERIOD_OVERRIDE=FQ","FILING_STATUS=MR","Sort=A","Dates=H","DateFormat=P","Fill=—","Direction=H","UseDPDF=Y")</f>
        <v>7.9488000000000003</v>
      </c>
      <c r="T26" s="14">
        <f>_xll.BDH("SRPT US Equity","BOOK_VAL_PER_SH","FQ3 2023","FQ3 2023","Currency=USD","Period=FQ","BEST_FPERIOD_OVERRIDE=FQ","FILING_STATUS=MR","Sort=A","Dates=H","DateFormat=P","Fill=—","Direction=H","UseDPDF=Y")</f>
        <v>8.1716999999999995</v>
      </c>
      <c r="U26" s="14">
        <f>_xll.BDH("SRPT US Equity","BOOK_VAL_PER_SH","FQ4 2023","FQ4 2023","Currency=USD","Period=FQ","BEST_FPERIOD_OVERRIDE=FQ","FILING_STATUS=MR","Sort=A","Dates=H","DateFormat=P","Fill=—","Direction=H","UseDPDF=Y")</f>
        <v>9.1679999999999993</v>
      </c>
      <c r="V26" s="14">
        <f>_xll.BDH("SRPT US Equity","BOOK_VAL_PER_SH","FQ1 2024","FQ1 2024","Currency=USD","Period=FQ","BEST_FPERIOD_OVERRIDE=FQ","FILING_STATUS=MR","Sort=A","Dates=H","DateFormat=P","Fill=—","Direction=H","UseDPDF=Y")</f>
        <v>10.1724</v>
      </c>
      <c r="W26" s="14">
        <f>_xll.BDH("SRPT US Equity","BOOK_VAL_PER_SH","FQ2 2024","FQ2 2024","Currency=USD","Period=FQ","BEST_FPERIOD_OVERRIDE=FQ","FILING_STATUS=MR","Sort=A","Dates=H","DateFormat=P","Fill=—","Direction=H","UseDPDF=Y")</f>
        <v>11.303900000000001</v>
      </c>
      <c r="X26" s="14">
        <f>_xll.BDH("SRPT US Equity","BOOK_VAL_PER_SH","FQ3 2024","FQ3 2024","Currency=USD","Period=FQ","BEST_FPERIOD_OVERRIDE=FQ","FILING_STATUS=MR","Sort=A","Dates=H","DateFormat=P","Fill=—","Direction=H","UseDPDF=Y")</f>
        <v>12.787000000000001</v>
      </c>
      <c r="Y26" s="14">
        <f>_xll.BDH("SRPT US Equity","BOOK_VAL_PER_SH","FQ4 2024","FQ4 2024","Currency=USD","Period=FQ","BEST_FPERIOD_OVERRIDE=FQ","FILING_STATUS=MR","Sort=A","Dates=H","DateFormat=P","Fill=—","Direction=H","UseDPDF=Y")</f>
        <v>15.7661</v>
      </c>
      <c r="Z26" s="14">
        <v>18.829999999999998</v>
      </c>
      <c r="AA26" s="14">
        <v>22.13</v>
      </c>
    </row>
    <row r="27" spans="1:27" x14ac:dyDescent="0.25">
      <c r="A27" s="10" t="s">
        <v>281</v>
      </c>
      <c r="B27" s="10" t="s">
        <v>282</v>
      </c>
      <c r="C27" s="14">
        <f>_xll.BDH("SRPT US Equity","TANG_BOOK_VAL_PER_SH","FQ2 2019","FQ2 2019","Currency=USD","Period=FQ","BEST_FPERIOD_OVERRIDE=FQ","FILING_STATUS=MR","Sort=A","Dates=H","DateFormat=P","Fill=—","Direction=H","UseDPDF=Y")</f>
        <v>14.629</v>
      </c>
      <c r="D27" s="14">
        <f>_xll.BDH("SRPT US Equity","TANG_BOOK_VAL_PER_SH","FQ3 2019","FQ3 2019","Currency=USD","Period=FQ","BEST_FPERIOD_OVERRIDE=FQ","FILING_STATUS=MR","Sort=A","Dates=H","DateFormat=P","Fill=—","Direction=H","UseDPDF=Y")</f>
        <v>13.1968</v>
      </c>
      <c r="E27" s="14">
        <f>_xll.BDH("SRPT US Equity","TANG_BOOK_VAL_PER_SH","FQ4 2019","FQ4 2019","Currency=USD","Period=FQ","BEST_FPERIOD_OVERRIDE=FQ","FILING_STATUS=MR","Sort=A","Dates=H","DateFormat=P","Fill=—","Direction=H","UseDPDF=Y")</f>
        <v>10.716100000000001</v>
      </c>
      <c r="F27" s="14">
        <f>_xll.BDH("SRPT US Equity","TANG_BOOK_VAL_PER_SH","FQ1 2020","FQ1 2020","Currency=USD","Period=FQ","BEST_FPERIOD_OVERRIDE=FQ","FILING_STATUS=MR","Sort=A","Dates=H","DateFormat=P","Fill=—","Direction=H","UseDPDF=Y")</f>
        <v>14.520899999999999</v>
      </c>
      <c r="G27" s="14">
        <f>_xll.BDH("SRPT US Equity","TANG_BOOK_VAL_PER_SH","FQ2 2020","FQ2 2020","Currency=USD","Period=FQ","BEST_FPERIOD_OVERRIDE=FQ","FILING_STATUS=MR","Sort=A","Dates=H","DateFormat=P","Fill=—","Direction=H","UseDPDF=Y")</f>
        <v>13.129300000000001</v>
      </c>
      <c r="H27" s="14">
        <f>_xll.BDH("SRPT US Equity","TANG_BOOK_VAL_PER_SH","FQ3 2020","FQ3 2020","Currency=USD","Period=FQ","BEST_FPERIOD_OVERRIDE=FQ","FILING_STATUS=MR","Sort=A","Dates=H","DateFormat=P","Fill=—","Direction=H","UseDPDF=Y")</f>
        <v>11.1525</v>
      </c>
      <c r="I27" s="14">
        <f>_xll.BDH("SRPT US Equity","TANG_BOOK_VAL_PER_SH","FQ4 2020","FQ4 2020","Currency=USD","Period=FQ","BEST_FPERIOD_OVERRIDE=FQ","FILING_STATUS=MR","Sort=A","Dates=H","DateFormat=P","Fill=—","Direction=H","UseDPDF=Y")</f>
        <v>9.4253999999999998</v>
      </c>
      <c r="J27" s="14">
        <f>_xll.BDH("SRPT US Equity","TANG_BOOK_VAL_PER_SH","FQ1 2021","FQ1 2021","Currency=USD","Period=FQ","BEST_FPERIOD_OVERRIDE=FQ","FILING_STATUS=MR","Sort=A","Dates=H","DateFormat=P","Fill=—","Direction=H","UseDPDF=Y")</f>
        <v>6.5370999999999997</v>
      </c>
      <c r="K27" s="14">
        <f>_xll.BDH("SRPT US Equity","TANG_BOOK_VAL_PER_SH","FQ2 2021","FQ2 2021","Currency=USD","Period=FQ","BEST_FPERIOD_OVERRIDE=FQ","FILING_STATUS=MR","Sort=A","Dates=H","DateFormat=P","Fill=—","Direction=H","UseDPDF=Y")</f>
        <v>5.9</v>
      </c>
      <c r="L27" s="14">
        <f>_xll.BDH("SRPT US Equity","TANG_BOOK_VAL_PER_SH","FQ3 2021","FQ3 2021","Currency=USD","Period=FQ","BEST_FPERIOD_OVERRIDE=FQ","FILING_STATUS=MR","Sort=A","Dates=H","DateFormat=P","Fill=—","Direction=H","UseDPDF=Y")</f>
        <v>5.6944999999999997</v>
      </c>
      <c r="M27" s="14">
        <f>_xll.BDH("SRPT US Equity","TANG_BOOK_VAL_PER_SH","FQ4 2021","FQ4 2021","Currency=USD","Period=FQ","BEST_FPERIOD_OVERRIDE=FQ","FILING_STATUS=MR","Sort=A","Dates=H","DateFormat=P","Fill=—","Direction=H","UseDPDF=Y")</f>
        <v>10.4878</v>
      </c>
      <c r="N27" s="14">
        <f>_xll.BDH("SRPT US Equity","TANG_BOOK_VAL_PER_SH","FQ1 2022","FQ1 2022","Currency=USD","Period=FQ","BEST_FPERIOD_OVERRIDE=FQ","FILING_STATUS=MR","Sort=A","Dates=H","DateFormat=P","Fill=—","Direction=H","UseDPDF=Y")</f>
        <v>9.6410999999999998</v>
      </c>
      <c r="O27" s="14">
        <f>_xll.BDH("SRPT US Equity","TANG_BOOK_VAL_PER_SH","FQ2 2022","FQ2 2022","Currency=USD","Period=FQ","BEST_FPERIOD_OVERRIDE=FQ","FILING_STATUS=MR","Sort=A","Dates=H","DateFormat=P","Fill=—","Direction=H","UseDPDF=Y")</f>
        <v>8.1498000000000008</v>
      </c>
      <c r="P27" s="14">
        <f>_xll.BDH("SRPT US Equity","TANG_BOOK_VAL_PER_SH","FQ3 2022","FQ3 2022","Currency=USD","Period=FQ","BEST_FPERIOD_OVERRIDE=FQ","FILING_STATUS=MR","Sort=A","Dates=H","DateFormat=P","Fill=—","Direction=H","UseDPDF=Y")</f>
        <v>4.7602000000000002</v>
      </c>
      <c r="Q27" s="14">
        <f>_xll.BDH("SRPT US Equity","TANG_BOOK_VAL_PER_SH","FQ4 2022","FQ4 2022","Currency=USD","Period=FQ","BEST_FPERIOD_OVERRIDE=FQ","FILING_STATUS=MR","Sort=A","Dates=H","DateFormat=P","Fill=—","Direction=H","UseDPDF=Y")</f>
        <v>4.2179000000000002</v>
      </c>
      <c r="R27" s="14">
        <f>_xll.BDH("SRPT US Equity","TANG_BOOK_VAL_PER_SH","FQ1 2023","FQ1 2023","Currency=USD","Period=FQ","BEST_FPERIOD_OVERRIDE=FQ","FILING_STATUS=MR","Sort=A","Dates=H","DateFormat=P","Fill=—","Direction=H","UseDPDF=Y")</f>
        <v>7.5750999999999999</v>
      </c>
      <c r="S27" s="14">
        <f>_xll.BDH("SRPT US Equity","TANG_BOOK_VAL_PER_SH","FQ2 2023","FQ2 2023","Currency=USD","Period=FQ","BEST_FPERIOD_OVERRIDE=FQ","FILING_STATUS=MR","Sort=A","Dates=H","DateFormat=P","Fill=—","Direction=H","UseDPDF=Y")</f>
        <v>7.7556000000000003</v>
      </c>
      <c r="T27" s="14">
        <f>_xll.BDH("SRPT US Equity","TANG_BOOK_VAL_PER_SH","FQ3 2023","FQ3 2023","Currency=USD","Period=FQ","BEST_FPERIOD_OVERRIDE=FQ","FILING_STATUS=MR","Sort=A","Dates=H","DateFormat=P","Fill=—","Direction=H","UseDPDF=Y")</f>
        <v>7.9631999999999996</v>
      </c>
      <c r="U27" s="14">
        <f>_xll.BDH("SRPT US Equity","TANG_BOOK_VAL_PER_SH","FQ4 2023","FQ4 2023","Currency=USD","Period=FQ","BEST_FPERIOD_OVERRIDE=FQ","FILING_STATUS=MR","Sort=A","Dates=H","DateFormat=P","Fill=—","Direction=H","UseDPDF=Y")</f>
        <v>8.7640999999999991</v>
      </c>
      <c r="V27" s="14">
        <f>_xll.BDH("SRPT US Equity","TANG_BOOK_VAL_PER_SH","FQ1 2024","FQ1 2024","Currency=USD","Period=FQ","BEST_FPERIOD_OVERRIDE=FQ","FILING_STATUS=MR","Sort=A","Dates=H","DateFormat=P","Fill=—","Direction=H","UseDPDF=Y")</f>
        <v>9.8661999999999992</v>
      </c>
      <c r="W27" s="14">
        <f>_xll.BDH("SRPT US Equity","TANG_BOOK_VAL_PER_SH","FQ2 2024","FQ2 2024","Currency=USD","Period=FQ","BEST_FPERIOD_OVERRIDE=FQ","FILING_STATUS=MR","Sort=A","Dates=H","DateFormat=P","Fill=—","Direction=H","UseDPDF=Y")</f>
        <v>11.007400000000001</v>
      </c>
      <c r="X27" s="14">
        <f>_xll.BDH("SRPT US Equity","TANG_BOOK_VAL_PER_SH","FQ3 2024","FQ3 2024","Currency=USD","Period=FQ","BEST_FPERIOD_OVERRIDE=FQ","FILING_STATUS=MR","Sort=A","Dates=H","DateFormat=P","Fill=—","Direction=H","UseDPDF=Y")</f>
        <v>12.4983</v>
      </c>
      <c r="Y27" s="14">
        <f>_xll.BDH("SRPT US Equity","TANG_BOOK_VAL_PER_SH","FQ4 2024","FQ4 2024","Currency=USD","Period=FQ","BEST_FPERIOD_OVERRIDE=FQ","FILING_STATUS=MR","Sort=A","Dates=H","DateFormat=P","Fill=—","Direction=H","UseDPDF=Y")</f>
        <v>15.3757</v>
      </c>
      <c r="Z27" s="14"/>
      <c r="AA27" s="14"/>
    </row>
    <row r="28" spans="1:27" x14ac:dyDescent="0.25">
      <c r="A28" s="7" t="s">
        <v>90</v>
      </c>
      <c r="B28" s="7"/>
      <c r="C28" s="7" t="s">
        <v>5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5"/>
  <sheetViews>
    <sheetView topLeftCell="F1"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283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94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31</v>
      </c>
      <c r="AA4" s="4" t="s">
        <v>164</v>
      </c>
    </row>
    <row r="5" spans="1:27" x14ac:dyDescent="0.25">
      <c r="A5" s="9" t="s">
        <v>34</v>
      </c>
      <c r="B5" s="9"/>
      <c r="C5" s="5" t="s">
        <v>96</v>
      </c>
      <c r="D5" s="5" t="s">
        <v>35</v>
      </c>
      <c r="E5" s="5" t="s">
        <v>36</v>
      </c>
      <c r="F5" s="5" t="s">
        <v>37</v>
      </c>
      <c r="G5" s="5" t="s">
        <v>38</v>
      </c>
      <c r="H5" s="5" t="s">
        <v>39</v>
      </c>
      <c r="I5" s="5" t="s">
        <v>40</v>
      </c>
      <c r="J5" s="5" t="s">
        <v>41</v>
      </c>
      <c r="K5" s="5" t="s">
        <v>42</v>
      </c>
      <c r="L5" s="5" t="s">
        <v>43</v>
      </c>
      <c r="M5" s="5" t="s">
        <v>44</v>
      </c>
      <c r="N5" s="5" t="s">
        <v>45</v>
      </c>
      <c r="O5" s="5" t="s">
        <v>46</v>
      </c>
      <c r="P5" s="5" t="s">
        <v>47</v>
      </c>
      <c r="Q5" s="5" t="s">
        <v>48</v>
      </c>
      <c r="R5" s="5" t="s">
        <v>49</v>
      </c>
      <c r="S5" s="5" t="s">
        <v>50</v>
      </c>
      <c r="T5" s="5" t="s">
        <v>51</v>
      </c>
      <c r="U5" s="5" t="s">
        <v>52</v>
      </c>
      <c r="V5" s="5" t="s">
        <v>53</v>
      </c>
      <c r="W5" s="5" t="s">
        <v>54</v>
      </c>
      <c r="X5" s="5" t="s">
        <v>55</v>
      </c>
      <c r="Y5" s="5" t="s">
        <v>56</v>
      </c>
      <c r="Z5" s="5" t="s">
        <v>57</v>
      </c>
      <c r="AA5" s="5" t="s">
        <v>165</v>
      </c>
    </row>
    <row r="6" spans="1:27" x14ac:dyDescent="0.25">
      <c r="A6" s="6" t="s">
        <v>284</v>
      </c>
      <c r="B6" s="6" t="s">
        <v>250</v>
      </c>
      <c r="C6" s="20">
        <f>_xll.BDH("SRPT US Equity","PX_LAST","FQ1 2019","FQ1 2019","Currency=USD","Period=FQ","BEST_FPERIOD_OVERRIDE=FQ","FILING_STATUS=MR","Sort=A","Dates=H","DateFormat=P","Fill=—","Direction=H","UseDPDF=Y")</f>
        <v>119.19</v>
      </c>
      <c r="D6" s="20">
        <f>_xll.BDH("SRPT US Equity","PX_LAST","FQ2 2019","FQ2 2019","Currency=USD","Period=FQ","BEST_FPERIOD_OVERRIDE=FQ","FILING_STATUS=MR","Sort=A","Dates=H","DateFormat=P","Fill=—","Direction=H","UseDPDF=Y")</f>
        <v>151.94999999999999</v>
      </c>
      <c r="E6" s="20">
        <f>_xll.BDH("SRPT US Equity","PX_LAST","FQ3 2019","FQ3 2019","Currency=USD","Period=FQ","BEST_FPERIOD_OVERRIDE=FQ","FILING_STATUS=MR","Sort=A","Dates=H","DateFormat=P","Fill=—","Direction=H","UseDPDF=Y")</f>
        <v>75.319999999999993</v>
      </c>
      <c r="F6" s="20">
        <f>_xll.BDH("SRPT US Equity","PX_LAST","FQ4 2019","FQ4 2019","Currency=USD","Period=FQ","BEST_FPERIOD_OVERRIDE=FQ","FILING_STATUS=MR","Sort=A","Dates=H","DateFormat=P","Fill=—","Direction=H","UseDPDF=Y")</f>
        <v>129.04</v>
      </c>
      <c r="G6" s="20">
        <f>_xll.BDH("SRPT US Equity","PX_LAST","FQ1 2020","FQ1 2020","Currency=USD","Period=FQ","BEST_FPERIOD_OVERRIDE=FQ","FILING_STATUS=MR","Sort=A","Dates=H","DateFormat=P","Fill=—","Direction=H","UseDPDF=Y")</f>
        <v>97.82</v>
      </c>
      <c r="H6" s="20">
        <f>_xll.BDH("SRPT US Equity","PX_LAST","FQ2 2020","FQ2 2020","Currency=USD","Period=FQ","BEST_FPERIOD_OVERRIDE=FQ","FILING_STATUS=MR","Sort=A","Dates=H","DateFormat=P","Fill=—","Direction=H","UseDPDF=Y")</f>
        <v>160.34</v>
      </c>
      <c r="I6" s="20">
        <f>_xll.BDH("SRPT US Equity","PX_LAST","FQ3 2020","FQ3 2020","Currency=USD","Period=FQ","BEST_FPERIOD_OVERRIDE=FQ","FILING_STATUS=MR","Sort=A","Dates=H","DateFormat=P","Fill=—","Direction=H","UseDPDF=Y")</f>
        <v>140.43</v>
      </c>
      <c r="J6" s="20">
        <f>_xll.BDH("SRPT US Equity","PX_LAST","FQ4 2020","FQ4 2020","Currency=USD","Period=FQ","BEST_FPERIOD_OVERRIDE=FQ","FILING_STATUS=MR","Sort=A","Dates=H","DateFormat=P","Fill=—","Direction=H","UseDPDF=Y")</f>
        <v>170.49</v>
      </c>
      <c r="K6" s="20">
        <f>_xll.BDH("SRPT US Equity","PX_LAST","FQ1 2021","FQ1 2021","Currency=USD","Period=FQ","BEST_FPERIOD_OVERRIDE=FQ","FILING_STATUS=MR","Sort=A","Dates=H","DateFormat=P","Fill=—","Direction=H","UseDPDF=Y")</f>
        <v>74.53</v>
      </c>
      <c r="L6" s="20">
        <f>_xll.BDH("SRPT US Equity","PX_LAST","FQ2 2021","FQ2 2021","Currency=USD","Period=FQ","BEST_FPERIOD_OVERRIDE=FQ","FILING_STATUS=MR","Sort=A","Dates=H","DateFormat=P","Fill=—","Direction=H","UseDPDF=Y")</f>
        <v>77.739999999999995</v>
      </c>
      <c r="M6" s="20">
        <f>_xll.BDH("SRPT US Equity","PX_LAST","FQ3 2021","FQ3 2021","Currency=USD","Period=FQ","BEST_FPERIOD_OVERRIDE=FQ","FILING_STATUS=MR","Sort=A","Dates=H","DateFormat=P","Fill=—","Direction=H","UseDPDF=Y")</f>
        <v>92.48</v>
      </c>
      <c r="N6" s="20">
        <f>_xll.BDH("SRPT US Equity","PX_LAST","FQ4 2021","FQ4 2021","Currency=USD","Period=FQ","BEST_FPERIOD_OVERRIDE=FQ","FILING_STATUS=MR","Sort=A","Dates=H","DateFormat=P","Fill=—","Direction=H","UseDPDF=Y")</f>
        <v>90.05</v>
      </c>
      <c r="O6" s="20">
        <f>_xll.BDH("SRPT US Equity","PX_LAST","FQ1 2022","FQ1 2022","Currency=USD","Period=FQ","BEST_FPERIOD_OVERRIDE=FQ","FILING_STATUS=MR","Sort=A","Dates=H","DateFormat=P","Fill=—","Direction=H","UseDPDF=Y")</f>
        <v>78.12</v>
      </c>
      <c r="P6" s="20">
        <f>_xll.BDH("SRPT US Equity","PX_LAST","FQ2 2022","FQ2 2022","Currency=USD","Period=FQ","BEST_FPERIOD_OVERRIDE=FQ","FILING_STATUS=MR","Sort=A","Dates=H","DateFormat=P","Fill=—","Direction=H","UseDPDF=Y")</f>
        <v>74.959999999999994</v>
      </c>
      <c r="Q6" s="20">
        <f>_xll.BDH("SRPT US Equity","PX_LAST","FQ3 2022","FQ3 2022","Currency=USD","Period=FQ","BEST_FPERIOD_OVERRIDE=FQ","FILING_STATUS=MR","Sort=A","Dates=H","DateFormat=P","Fill=—","Direction=H","UseDPDF=Y")</f>
        <v>110.54</v>
      </c>
      <c r="R6" s="20">
        <f>_xll.BDH("SRPT US Equity","PX_LAST","FQ4 2022","FQ4 2022","Currency=USD","Period=FQ","BEST_FPERIOD_OVERRIDE=FQ","FILING_STATUS=MR","Sort=A","Dates=H","DateFormat=P","Fill=—","Direction=H","UseDPDF=Y")</f>
        <v>129.58000000000001</v>
      </c>
      <c r="S6" s="20">
        <f>_xll.BDH("SRPT US Equity","PX_LAST","FQ1 2023","FQ1 2023","Currency=USD","Period=FQ","BEST_FPERIOD_OVERRIDE=FQ","FILING_STATUS=MR","Sort=A","Dates=H","DateFormat=P","Fill=—","Direction=H","UseDPDF=Y")</f>
        <v>137.83000000000001</v>
      </c>
      <c r="T6" s="20">
        <f>_xll.BDH("SRPT US Equity","PX_LAST","FQ2 2023","FQ2 2023","Currency=USD","Period=FQ","BEST_FPERIOD_OVERRIDE=FQ","FILING_STATUS=MR","Sort=A","Dates=H","DateFormat=P","Fill=—","Direction=H","UseDPDF=Y")</f>
        <v>114.52</v>
      </c>
      <c r="U6" s="20">
        <f>_xll.BDH("SRPT US Equity","PX_LAST","FQ3 2023","FQ3 2023","Currency=USD","Period=FQ","BEST_FPERIOD_OVERRIDE=FQ","FILING_STATUS=MR","Sort=A","Dates=H","DateFormat=P","Fill=—","Direction=H","UseDPDF=Y")</f>
        <v>121.22</v>
      </c>
      <c r="V6" s="20">
        <f>_xll.BDH("SRPT US Equity","PX_LAST","FQ4 2023","FQ4 2023","Currency=USD","Period=FQ","BEST_FPERIOD_OVERRIDE=FQ","FILING_STATUS=MR","Sort=A","Dates=H","DateFormat=P","Fill=—","Direction=H","UseDPDF=Y")</f>
        <v>96.43</v>
      </c>
      <c r="W6" s="20">
        <f>_xll.BDH("SRPT US Equity","PX_LAST","FQ1 2024","FQ1 2024","Currency=USD","Period=FQ","BEST_FPERIOD_OVERRIDE=FQ","FILING_STATUS=MR","Sort=A","Dates=H","DateFormat=P","Fill=—","Direction=H","UseDPDF=Y")</f>
        <v>129.46</v>
      </c>
      <c r="X6" s="20">
        <f>_xll.BDH("SRPT US Equity","PX_LAST","FQ2 2024","FQ2 2024","Currency=USD","Period=FQ","BEST_FPERIOD_OVERRIDE=FQ","FILING_STATUS=MR","Sort=A","Dates=H","DateFormat=P","Fill=—","Direction=H","UseDPDF=Y")</f>
        <v>158</v>
      </c>
      <c r="Y6" s="20">
        <f>_xll.BDH("SRPT US Equity","PX_LAST","FQ3 2024","FQ3 2024","Currency=USD","Period=FQ","BEST_FPERIOD_OVERRIDE=FQ","FILING_STATUS=MR","Sort=A","Dates=H","DateFormat=P","Fill=—","Direction=H","UseDPDF=Y")</f>
        <v>124.89</v>
      </c>
      <c r="Z6" s="20">
        <f>_xll.BDH("SRPT US Equity","PX_LAST","FQ4 2024","FQ4 2024","Currency=USD","Period=FQ","BEST_FPERIOD_OVERRIDE=FQ","FILING_STATUS=MR","Sort=A","Dates=H","DateFormat=P","Fill=—","Direction=H","UseDPDF=Y")</f>
        <v>121.59</v>
      </c>
      <c r="AA6" s="23">
        <v>70.387496948242202</v>
      </c>
    </row>
    <row r="7" spans="1:27" x14ac:dyDescent="0.25">
      <c r="A7" s="11" t="s">
        <v>285</v>
      </c>
      <c r="B7" s="11" t="s">
        <v>286</v>
      </c>
      <c r="C7" s="26">
        <f>_xll.BDH("SRPT US Equity","CHG_PCT_PERIOD","FQ1 2019","FQ1 2019","Currency=USD","Period=FQ","BEST_FPERIOD_OVERRIDE=FQ","FILING_STATUS=MR","Sort=A","Dates=H","DateFormat=P","Fill=—","Direction=H","UseDPDF=Y")</f>
        <v>9.2184000000000008</v>
      </c>
      <c r="D7" s="26">
        <f>_xll.BDH("SRPT US Equity","CHG_PCT_PERIOD","FQ2 2019","FQ2 2019","Currency=USD","Period=FQ","BEST_FPERIOD_OVERRIDE=FQ","FILING_STATUS=MR","Sort=A","Dates=H","DateFormat=P","Fill=—","Direction=H","UseDPDF=Y")</f>
        <v>27.485499999999998</v>
      </c>
      <c r="E7" s="26" t="str">
        <f>_xll.BDH("SRPT US Equity","CHG_PCT_PERIOD","FQ3 2019","FQ3 2019","Currency=USD","Period=FQ","BEST_FPERIOD_OVERRIDE=FQ","FILING_STATUS=MR","Sort=A","Dates=H","DateFormat=P","Fill=—","Direction=H","UseDPDF=Y")</f>
        <v>—</v>
      </c>
      <c r="F7" s="26">
        <f>_xll.BDH("SRPT US Equity","CHG_PCT_PERIOD","FQ4 2019","FQ4 2019","Currency=USD","Period=FQ","BEST_FPERIOD_OVERRIDE=FQ","FILING_STATUS=MR","Sort=A","Dates=H","DateFormat=P","Fill=—","Direction=H","UseDPDF=Y")</f>
        <v>71.322400000000002</v>
      </c>
      <c r="G7" s="26">
        <f>_xll.BDH("SRPT US Equity","CHG_PCT_PERIOD","FQ1 2020","FQ1 2020","Currency=USD","Period=FQ","BEST_FPERIOD_OVERRIDE=FQ","FILING_STATUS=MR","Sort=A","Dates=H","DateFormat=P","Fill=—","Direction=H","UseDPDF=Y")</f>
        <v>-24.193999999999999</v>
      </c>
      <c r="H7" s="26">
        <f>_xll.BDH("SRPT US Equity","CHG_PCT_PERIOD","FQ2 2020","FQ2 2020","Currency=USD","Period=FQ","BEST_FPERIOD_OVERRIDE=FQ","FILING_STATUS=MR","Sort=A","Dates=H","DateFormat=P","Fill=—","Direction=H","UseDPDF=Y")</f>
        <v>63.9133</v>
      </c>
      <c r="I7" s="26">
        <f>_xll.BDH("SRPT US Equity","CHG_PCT_PERIOD","FQ3 2020","FQ3 2020","Currency=USD","Period=FQ","BEST_FPERIOD_OVERRIDE=FQ","FILING_STATUS=MR","Sort=A","Dates=H","DateFormat=P","Fill=—","Direction=H","UseDPDF=Y")</f>
        <v>-12.417400000000001</v>
      </c>
      <c r="J7" s="26">
        <f>_xll.BDH("SRPT US Equity","CHG_PCT_PERIOD","FQ4 2020","FQ4 2020","Currency=USD","Period=FQ","BEST_FPERIOD_OVERRIDE=FQ","FILING_STATUS=MR","Sort=A","Dates=H","DateFormat=P","Fill=—","Direction=H","UseDPDF=Y")</f>
        <v>21.4057</v>
      </c>
      <c r="K7" s="26">
        <f>_xll.BDH("SRPT US Equity","CHG_PCT_PERIOD","FQ1 2021","FQ1 2021","Currency=USD","Period=FQ","BEST_FPERIOD_OVERRIDE=FQ","FILING_STATUS=MR","Sort=A","Dates=H","DateFormat=P","Fill=—","Direction=H","UseDPDF=Y")</f>
        <v>-56.284799999999997</v>
      </c>
      <c r="L7" s="26">
        <f>_xll.BDH("SRPT US Equity","CHG_PCT_PERIOD","FQ2 2021","FQ2 2021","Currency=USD","Period=FQ","BEST_FPERIOD_OVERRIDE=FQ","FILING_STATUS=MR","Sort=A","Dates=H","DateFormat=P","Fill=—","Direction=H","UseDPDF=Y")</f>
        <v>4.3070000000000004</v>
      </c>
      <c r="M7" s="26">
        <f>_xll.BDH("SRPT US Equity","CHG_PCT_PERIOD","FQ3 2021","FQ3 2021","Currency=USD","Period=FQ","BEST_FPERIOD_OVERRIDE=FQ","FILING_STATUS=MR","Sort=A","Dates=H","DateFormat=P","Fill=—","Direction=H","UseDPDF=Y")</f>
        <v>18.960599999999999</v>
      </c>
      <c r="N7" s="26">
        <f>_xll.BDH("SRPT US Equity","CHG_PCT_PERIOD","FQ4 2021","FQ4 2021","Currency=USD","Period=FQ","BEST_FPERIOD_OVERRIDE=FQ","FILING_STATUS=MR","Sort=A","Dates=H","DateFormat=P","Fill=—","Direction=H","UseDPDF=Y")</f>
        <v>-2.6276000000000002</v>
      </c>
      <c r="O7" s="26">
        <f>_xll.BDH("SRPT US Equity","CHG_PCT_PERIOD","FQ1 2022","FQ1 2022","Currency=USD","Period=FQ","BEST_FPERIOD_OVERRIDE=FQ","FILING_STATUS=MR","Sort=A","Dates=H","DateFormat=P","Fill=—","Direction=H","UseDPDF=Y")</f>
        <v>-13.248200000000001</v>
      </c>
      <c r="P7" s="26">
        <f>_xll.BDH("SRPT US Equity","CHG_PCT_PERIOD","FQ2 2022","FQ2 2022","Currency=USD","Period=FQ","BEST_FPERIOD_OVERRIDE=FQ","FILING_STATUS=MR","Sort=A","Dates=H","DateFormat=P","Fill=—","Direction=H","UseDPDF=Y")</f>
        <v>-4.0450999999999997</v>
      </c>
      <c r="Q7" s="26">
        <f>_xll.BDH("SRPT US Equity","CHG_PCT_PERIOD","FQ3 2022","FQ3 2022","Currency=USD","Period=FQ","BEST_FPERIOD_OVERRIDE=FQ","FILING_STATUS=MR","Sort=A","Dates=H","DateFormat=P","Fill=—","Direction=H","UseDPDF=Y")</f>
        <v>47.465299999999999</v>
      </c>
      <c r="R7" s="26">
        <f>_xll.BDH("SRPT US Equity","CHG_PCT_PERIOD","FQ4 2022","FQ4 2022","Currency=USD","Period=FQ","BEST_FPERIOD_OVERRIDE=FQ","FILING_STATUS=MR","Sort=A","Dates=H","DateFormat=P","Fill=—","Direction=H","UseDPDF=Y")</f>
        <v>17.224499999999999</v>
      </c>
      <c r="S7" s="26">
        <f>_xll.BDH("SRPT US Equity","CHG_PCT_PERIOD","FQ1 2023","FQ1 2023","Currency=USD","Period=FQ","BEST_FPERIOD_OVERRIDE=FQ","FILING_STATUS=MR","Sort=A","Dates=H","DateFormat=P","Fill=—","Direction=H","UseDPDF=Y")</f>
        <v>6.3666999999999998</v>
      </c>
      <c r="T7" s="26">
        <f>_xll.BDH("SRPT US Equity","CHG_PCT_PERIOD","FQ2 2023","FQ2 2023","Currency=USD","Period=FQ","BEST_FPERIOD_OVERRIDE=FQ","FILING_STATUS=MR","Sort=A","Dates=H","DateFormat=P","Fill=—","Direction=H","UseDPDF=Y")</f>
        <v>-16.912099999999999</v>
      </c>
      <c r="U7" s="26">
        <f>_xll.BDH("SRPT US Equity","CHG_PCT_PERIOD","FQ3 2023","FQ3 2023","Currency=USD","Period=FQ","BEST_FPERIOD_OVERRIDE=FQ","FILING_STATUS=MR","Sort=A","Dates=H","DateFormat=P","Fill=—","Direction=H","UseDPDF=Y")</f>
        <v>5.8505000000000003</v>
      </c>
      <c r="V7" s="26">
        <f>_xll.BDH("SRPT US Equity","CHG_PCT_PERIOD","FQ4 2023","FQ4 2023","Currency=USD","Period=FQ","BEST_FPERIOD_OVERRIDE=FQ","FILING_STATUS=MR","Sort=A","Dates=H","DateFormat=P","Fill=—","Direction=H","UseDPDF=Y")</f>
        <v>-20.450399999999998</v>
      </c>
      <c r="W7" s="26">
        <f>_xll.BDH("SRPT US Equity","CHG_PCT_PERIOD","FQ1 2024","FQ1 2024","Currency=USD","Period=FQ","BEST_FPERIOD_OVERRIDE=FQ","FILING_STATUS=MR","Sort=A","Dates=H","DateFormat=P","Fill=—","Direction=H","UseDPDF=Y")</f>
        <v>34.252800000000001</v>
      </c>
      <c r="X7" s="26" t="str">
        <f>_xll.BDH("SRPT US Equity","CHG_PCT_PERIOD","FQ2 2024","FQ2 2024","Currency=USD","Period=FQ","BEST_FPERIOD_OVERRIDE=FQ","FILING_STATUS=MR","Sort=A","Dates=H","DateFormat=P","Fill=—","Direction=H","UseDPDF=Y")</f>
        <v>—</v>
      </c>
      <c r="Y7" s="26" t="str">
        <f>_xll.BDH("SRPT US Equity","CHG_PCT_PERIOD","FQ3 2024","FQ3 2024","Currency=USD","Period=FQ","BEST_FPERIOD_OVERRIDE=FQ","FILING_STATUS=MR","Sort=A","Dates=H","DateFormat=P","Fill=—","Direction=H","UseDPDF=Y")</f>
        <v>—</v>
      </c>
      <c r="Z7" s="26">
        <f>_xll.BDH("SRPT US Equity","CHG_PCT_PERIOD","FQ4 2024","FQ4 2024","Currency=USD","Period=FQ","BEST_FPERIOD_OVERRIDE=FQ","FILING_STATUS=MR","Sort=A","Dates=H","DateFormat=P","Fill=—","Direction=H","UseDPDF=Y")</f>
        <v>-2.6423000000000001</v>
      </c>
      <c r="AA7" s="29"/>
    </row>
    <row r="8" spans="1:27" x14ac:dyDescent="0.25">
      <c r="A8" s="10" t="s">
        <v>287</v>
      </c>
      <c r="B8" s="10" t="s">
        <v>288</v>
      </c>
      <c r="C8" s="14">
        <f>_xll.BDH("SRPT US Equity","PX_OPEN","FQ1 2019","FQ1 2019","Currency=USD","Period=FQ","BEST_FPERIOD_OVERRIDE=FQ","FILING_STATUS=MR","Sort=A","Dates=H","DateFormat=P","Fill=—","Direction=H","UseDPDF=Y")</f>
        <v>107.9</v>
      </c>
      <c r="D8" s="14">
        <f>_xll.BDH("SRPT US Equity","PX_OPEN","FQ2 2019","FQ2 2019","Currency=USD","Period=FQ","BEST_FPERIOD_OVERRIDE=FQ","FILING_STATUS=MR","Sort=A","Dates=H","DateFormat=P","Fill=—","Direction=H","UseDPDF=Y")</f>
        <v>120.18</v>
      </c>
      <c r="E8" s="14">
        <f>_xll.BDH("SRPT US Equity","PX_OPEN","FQ3 2019","FQ3 2019","Currency=USD","Period=FQ","BEST_FPERIOD_OVERRIDE=FQ","FILING_STATUS=MR","Sort=A","Dates=H","DateFormat=P","Fill=—","Direction=H","UseDPDF=Y")</f>
        <v>154.5</v>
      </c>
      <c r="F8" s="14">
        <f>_xll.BDH("SRPT US Equity","PX_OPEN","FQ4 2019","FQ4 2019","Currency=USD","Period=FQ","BEST_FPERIOD_OVERRIDE=FQ","FILING_STATUS=MR","Sort=A","Dates=H","DateFormat=P","Fill=—","Direction=H","UseDPDF=Y")</f>
        <v>75.2</v>
      </c>
      <c r="G8" s="14">
        <f>_xll.BDH("SRPT US Equity","PX_OPEN","FQ1 2020","FQ1 2020","Currency=USD","Period=FQ","BEST_FPERIOD_OVERRIDE=FQ","FILING_STATUS=MR","Sort=A","Dates=H","DateFormat=P","Fill=—","Direction=H","UseDPDF=Y")</f>
        <v>129.63</v>
      </c>
      <c r="H8" s="14">
        <f>_xll.BDH("SRPT US Equity","PX_OPEN","FQ2 2020","FQ2 2020","Currency=USD","Period=FQ","BEST_FPERIOD_OVERRIDE=FQ","FILING_STATUS=MR","Sort=A","Dates=H","DateFormat=P","Fill=—","Direction=H","UseDPDF=Y")</f>
        <v>95.69</v>
      </c>
      <c r="I8" s="14">
        <f>_xll.BDH("SRPT US Equity","PX_OPEN","FQ3 2020","FQ3 2020","Currency=USD","Period=FQ","BEST_FPERIOD_OVERRIDE=FQ","FILING_STATUS=MR","Sort=A","Dates=H","DateFormat=P","Fill=—","Direction=H","UseDPDF=Y")</f>
        <v>160.30000000000001</v>
      </c>
      <c r="J8" s="14">
        <f>_xll.BDH("SRPT US Equity","PX_OPEN","FQ4 2020","FQ4 2020","Currency=USD","Period=FQ","BEST_FPERIOD_OVERRIDE=FQ","FILING_STATUS=MR","Sort=A","Dates=H","DateFormat=P","Fill=—","Direction=H","UseDPDF=Y")</f>
        <v>140.38</v>
      </c>
      <c r="K8" s="14">
        <f>_xll.BDH("SRPT US Equity","PX_OPEN","FQ1 2021","FQ1 2021","Currency=USD","Period=FQ","BEST_FPERIOD_OVERRIDE=FQ","FILING_STATUS=MR","Sort=A","Dates=H","DateFormat=P","Fill=—","Direction=H","UseDPDF=Y")</f>
        <v>171</v>
      </c>
      <c r="L8" s="14">
        <f>_xll.BDH("SRPT US Equity","PX_OPEN","FQ2 2021","FQ2 2021","Currency=USD","Period=FQ","BEST_FPERIOD_OVERRIDE=FQ","FILING_STATUS=MR","Sort=A","Dates=H","DateFormat=P","Fill=—","Direction=H","UseDPDF=Y")</f>
        <v>75.7</v>
      </c>
      <c r="M8" s="14">
        <f>_xll.BDH("SRPT US Equity","PX_OPEN","FQ3 2021","FQ3 2021","Currency=USD","Period=FQ","BEST_FPERIOD_OVERRIDE=FQ","FILING_STATUS=MR","Sort=A","Dates=H","DateFormat=P","Fill=—","Direction=H","UseDPDF=Y")</f>
        <v>77.63</v>
      </c>
      <c r="N8" s="14">
        <f>_xll.BDH("SRPT US Equity","PX_OPEN","FQ4 2021","FQ4 2021","Currency=USD","Period=FQ","BEST_FPERIOD_OVERRIDE=FQ","FILING_STATUS=MR","Sort=A","Dates=H","DateFormat=P","Fill=—","Direction=H","UseDPDF=Y")</f>
        <v>91.72</v>
      </c>
      <c r="O8" s="14">
        <f>_xll.BDH("SRPT US Equity","PX_OPEN","FQ1 2022","FQ1 2022","Currency=USD","Period=FQ","BEST_FPERIOD_OVERRIDE=FQ","FILING_STATUS=MR","Sort=A","Dates=H","DateFormat=P","Fill=—","Direction=H","UseDPDF=Y")</f>
        <v>90.1</v>
      </c>
      <c r="P8" s="14">
        <f>_xll.BDH("SRPT US Equity","PX_OPEN","FQ2 2022","FQ2 2022","Currency=USD","Period=FQ","BEST_FPERIOD_OVERRIDE=FQ","FILING_STATUS=MR","Sort=A","Dates=H","DateFormat=P","Fill=—","Direction=H","UseDPDF=Y")</f>
        <v>78.42</v>
      </c>
      <c r="Q8" s="14">
        <f>_xll.BDH("SRPT US Equity","PX_OPEN","FQ3 2022","FQ3 2022","Currency=USD","Period=FQ","BEST_FPERIOD_OVERRIDE=FQ","FILING_STATUS=MR","Sort=A","Dates=H","DateFormat=P","Fill=—","Direction=H","UseDPDF=Y")</f>
        <v>74.569999999999993</v>
      </c>
      <c r="R8" s="14">
        <f>_xll.BDH("SRPT US Equity","PX_OPEN","FQ4 2022","FQ4 2022","Currency=USD","Period=FQ","BEST_FPERIOD_OVERRIDE=FQ","FILING_STATUS=MR","Sort=A","Dates=H","DateFormat=P","Fill=—","Direction=H","UseDPDF=Y")</f>
        <v>110.47</v>
      </c>
      <c r="S8" s="14">
        <f>_xll.BDH("SRPT US Equity","PX_OPEN","FQ1 2023","FQ1 2023","Currency=USD","Period=FQ","BEST_FPERIOD_OVERRIDE=FQ","FILING_STATUS=MR","Sort=A","Dates=H","DateFormat=P","Fill=—","Direction=H","UseDPDF=Y")</f>
        <v>128.69</v>
      </c>
      <c r="T8" s="14">
        <f>_xll.BDH("SRPT US Equity","PX_OPEN","FQ2 2023","FQ2 2023","Currency=USD","Period=FQ","BEST_FPERIOD_OVERRIDE=FQ","FILING_STATUS=MR","Sort=A","Dates=H","DateFormat=P","Fill=—","Direction=H","UseDPDF=Y")</f>
        <v>137.24</v>
      </c>
      <c r="U8" s="14">
        <f>_xll.BDH("SRPT US Equity","PX_OPEN","FQ3 2023","FQ3 2023","Currency=USD","Period=FQ","BEST_FPERIOD_OVERRIDE=FQ","FILING_STATUS=MR","Sort=A","Dates=H","DateFormat=P","Fill=—","Direction=H","UseDPDF=Y")</f>
        <v>114.06</v>
      </c>
      <c r="V8" s="14">
        <f>_xll.BDH("SRPT US Equity","PX_OPEN","FQ4 2023","FQ4 2023","Currency=USD","Period=FQ","BEST_FPERIOD_OVERRIDE=FQ","FILING_STATUS=MR","Sort=A","Dates=H","DateFormat=P","Fill=—","Direction=H","UseDPDF=Y")</f>
        <v>120.4</v>
      </c>
      <c r="W8" s="14">
        <f>_xll.BDH("SRPT US Equity","PX_OPEN","FQ1 2024","FQ1 2024","Currency=USD","Period=FQ","BEST_FPERIOD_OVERRIDE=FQ","FILING_STATUS=MR","Sort=A","Dates=H","DateFormat=P","Fill=—","Direction=H","UseDPDF=Y")</f>
        <v>95.5</v>
      </c>
      <c r="X8" s="14">
        <f>_xll.BDH("SRPT US Equity","PX_OPEN","FQ2 2024","FQ2 2024","Currency=USD","Period=FQ","BEST_FPERIOD_OVERRIDE=FQ","FILING_STATUS=MR","Sort=A","Dates=H","DateFormat=P","Fill=—","Direction=H","UseDPDF=Y")</f>
        <v>129.38</v>
      </c>
      <c r="Y8" s="14">
        <f>_xll.BDH("SRPT US Equity","PX_OPEN","FQ3 2024","FQ3 2024","Currency=USD","Period=FQ","BEST_FPERIOD_OVERRIDE=FQ","FILING_STATUS=MR","Sort=A","Dates=H","DateFormat=P","Fill=—","Direction=H","UseDPDF=Y")</f>
        <v>158</v>
      </c>
      <c r="Z8" s="14">
        <f>_xll.BDH("SRPT US Equity","PX_OPEN","FQ4 2024","FQ4 2024","Currency=USD","Period=FQ","BEST_FPERIOD_OVERRIDE=FQ","FILING_STATUS=MR","Sort=A","Dates=H","DateFormat=P","Fill=—","Direction=H","UseDPDF=Y")</f>
        <v>125</v>
      </c>
      <c r="AA8" s="17">
        <v>71.879997253417997</v>
      </c>
    </row>
    <row r="9" spans="1:27" x14ac:dyDescent="0.25">
      <c r="A9" s="10" t="s">
        <v>289</v>
      </c>
      <c r="B9" s="10" t="s">
        <v>251</v>
      </c>
      <c r="C9" s="14">
        <f>_xll.BDH("SRPT US Equity","PX_HIGH","FQ1 2019","FQ1 2019","Currency=USD","Period=FQ","BEST_FPERIOD_OVERRIDE=FQ","FILING_STATUS=MR","Sort=A","Dates=H","DateFormat=P","Fill=—","Direction=H","UseDPDF=Y")</f>
        <v>155.22499999999999</v>
      </c>
      <c r="D9" s="14">
        <f>_xll.BDH("SRPT US Equity","PX_HIGH","FQ2 2019","FQ2 2019","Currency=USD","Period=FQ","BEST_FPERIOD_OVERRIDE=FQ","FILING_STATUS=MR","Sort=A","Dates=H","DateFormat=P","Fill=—","Direction=H","UseDPDF=Y")</f>
        <v>155.75</v>
      </c>
      <c r="E9" s="14">
        <f>_xll.BDH("SRPT US Equity","PX_HIGH","FQ3 2019","FQ3 2019","Currency=USD","Period=FQ","BEST_FPERIOD_OVERRIDE=FQ","FILING_STATUS=MR","Sort=A","Dates=H","DateFormat=P","Fill=—","Direction=H","UseDPDF=Y")</f>
        <v>158.80000000000001</v>
      </c>
      <c r="F9" s="14">
        <f>_xll.BDH("SRPT US Equity","PX_HIGH","FQ4 2019","FQ4 2019","Currency=USD","Period=FQ","BEST_FPERIOD_OVERRIDE=FQ","FILING_STATUS=MR","Sort=A","Dates=H","DateFormat=P","Fill=—","Direction=H","UseDPDF=Y")</f>
        <v>138.79</v>
      </c>
      <c r="G9" s="14">
        <f>_xll.BDH("SRPT US Equity","PX_HIGH","FQ1 2020","FQ1 2020","Currency=USD","Period=FQ","BEST_FPERIOD_OVERRIDE=FQ","FILING_STATUS=MR","Sort=A","Dates=H","DateFormat=P","Fill=—","Direction=H","UseDPDF=Y")</f>
        <v>134.57079999999999</v>
      </c>
      <c r="H9" s="14">
        <f>_xll.BDH("SRPT US Equity","PX_HIGH","FQ2 2020","FQ2 2020","Currency=USD","Period=FQ","BEST_FPERIOD_OVERRIDE=FQ","FILING_STATUS=MR","Sort=A","Dates=H","DateFormat=P","Fill=—","Direction=H","UseDPDF=Y")</f>
        <v>172.7</v>
      </c>
      <c r="I9" s="14">
        <f>_xll.BDH("SRPT US Equity","PX_HIGH","FQ3 2020","FQ3 2020","Currency=USD","Period=FQ","BEST_FPERIOD_OVERRIDE=FQ","FILING_STATUS=MR","Sort=A","Dates=H","DateFormat=P","Fill=—","Direction=H","UseDPDF=Y")</f>
        <v>175</v>
      </c>
      <c r="J9" s="14">
        <f>_xll.BDH("SRPT US Equity","PX_HIGH","FQ4 2020","FQ4 2020","Currency=USD","Period=FQ","BEST_FPERIOD_OVERRIDE=FQ","FILING_STATUS=MR","Sort=A","Dates=H","DateFormat=P","Fill=—","Direction=H","UseDPDF=Y")</f>
        <v>181.83</v>
      </c>
      <c r="K9" s="14">
        <f>_xll.BDH("SRPT US Equity","PX_HIGH","FQ1 2021","FQ1 2021","Currency=USD","Period=FQ","BEST_FPERIOD_OVERRIDE=FQ","FILING_STATUS=MR","Sort=A","Dates=H","DateFormat=P","Fill=—","Direction=H","UseDPDF=Y")</f>
        <v>174.49</v>
      </c>
      <c r="L9" s="14">
        <f>_xll.BDH("SRPT US Equity","PX_HIGH","FQ2 2021","FQ2 2021","Currency=USD","Period=FQ","BEST_FPERIOD_OVERRIDE=FQ","FILING_STATUS=MR","Sort=A","Dates=H","DateFormat=P","Fill=—","Direction=H","UseDPDF=Y")</f>
        <v>90</v>
      </c>
      <c r="M9" s="14">
        <f>_xll.BDH("SRPT US Equity","PX_HIGH","FQ3 2021","FQ3 2021","Currency=USD","Period=FQ","BEST_FPERIOD_OVERRIDE=FQ","FILING_STATUS=MR","Sort=A","Dates=H","DateFormat=P","Fill=—","Direction=H","UseDPDF=Y")</f>
        <v>93.5</v>
      </c>
      <c r="N9" s="14">
        <f>_xll.BDH("SRPT US Equity","PX_HIGH","FQ4 2021","FQ4 2021","Currency=USD","Period=FQ","BEST_FPERIOD_OVERRIDE=FQ","FILING_STATUS=MR","Sort=A","Dates=H","DateFormat=P","Fill=—","Direction=H","UseDPDF=Y")</f>
        <v>101.24</v>
      </c>
      <c r="O9" s="14">
        <f>_xll.BDH("SRPT US Equity","PX_HIGH","FQ1 2022","FQ1 2022","Currency=USD","Period=FQ","BEST_FPERIOD_OVERRIDE=FQ","FILING_STATUS=MR","Sort=A","Dates=H","DateFormat=P","Fill=—","Direction=H","UseDPDF=Y")</f>
        <v>92</v>
      </c>
      <c r="P9" s="14">
        <f>_xll.BDH("SRPT US Equity","PX_HIGH","FQ2 2022","FQ2 2022","Currency=USD","Period=FQ","BEST_FPERIOD_OVERRIDE=FQ","FILING_STATUS=MR","Sort=A","Dates=H","DateFormat=P","Fill=—","Direction=H","UseDPDF=Y")</f>
        <v>89.55</v>
      </c>
      <c r="Q9" s="14">
        <f>_xll.BDH("SRPT US Equity","PX_HIGH","FQ3 2022","FQ3 2022","Currency=USD","Period=FQ","BEST_FPERIOD_OVERRIDE=FQ","FILING_STATUS=MR","Sort=A","Dates=H","DateFormat=P","Fill=—","Direction=H","UseDPDF=Y")</f>
        <v>120.23</v>
      </c>
      <c r="R9" s="14">
        <f>_xll.BDH("SRPT US Equity","PX_HIGH","FQ4 2022","FQ4 2022","Currency=USD","Period=FQ","BEST_FPERIOD_OVERRIDE=FQ","FILING_STATUS=MR","Sort=A","Dates=H","DateFormat=P","Fill=—","Direction=H","UseDPDF=Y")</f>
        <v>134.08000000000001</v>
      </c>
      <c r="S9" s="14">
        <f>_xll.BDH("SRPT US Equity","PX_HIGH","FQ1 2023","FQ1 2023","Currency=USD","Period=FQ","BEST_FPERIOD_OVERRIDE=FQ","FILING_STATUS=MR","Sort=A","Dates=H","DateFormat=P","Fill=—","Direction=H","UseDPDF=Y")</f>
        <v>159.83500000000001</v>
      </c>
      <c r="T9" s="14">
        <f>_xll.BDH("SRPT US Equity","PX_HIGH","FQ2 2023","FQ2 2023","Currency=USD","Period=FQ","BEST_FPERIOD_OVERRIDE=FQ","FILING_STATUS=MR","Sort=A","Dates=H","DateFormat=P","Fill=—","Direction=H","UseDPDF=Y")</f>
        <v>159.88999999999999</v>
      </c>
      <c r="U9" s="14">
        <f>_xll.BDH("SRPT US Equity","PX_HIGH","FQ3 2023","FQ3 2023","Currency=USD","Period=FQ","BEST_FPERIOD_OVERRIDE=FQ","FILING_STATUS=MR","Sort=A","Dates=H","DateFormat=P","Fill=—","Direction=H","UseDPDF=Y")</f>
        <v>124.51</v>
      </c>
      <c r="V9" s="14">
        <f>_xll.BDH("SRPT US Equity","PX_HIGH","FQ4 2023","FQ4 2023","Currency=USD","Period=FQ","BEST_FPERIOD_OVERRIDE=FQ","FILING_STATUS=MR","Sort=A","Dates=H","DateFormat=P","Fill=—","Direction=H","UseDPDF=Y")</f>
        <v>125</v>
      </c>
      <c r="W9" s="14">
        <f>_xll.BDH("SRPT US Equity","PX_HIGH","FQ1 2024","FQ1 2024","Currency=USD","Period=FQ","BEST_FPERIOD_OVERRIDE=FQ","FILING_STATUS=MR","Sort=A","Dates=H","DateFormat=P","Fill=—","Direction=H","UseDPDF=Y")</f>
        <v>143</v>
      </c>
      <c r="X9" s="14">
        <f>_xll.BDH("SRPT US Equity","PX_HIGH","FQ2 2024","FQ2 2024","Currency=USD","Period=FQ","BEST_FPERIOD_OVERRIDE=FQ","FILING_STATUS=MR","Sort=A","Dates=H","DateFormat=P","Fill=—","Direction=H","UseDPDF=Y")</f>
        <v>173.25</v>
      </c>
      <c r="Y9" s="14">
        <f>_xll.BDH("SRPT US Equity","PX_HIGH","FQ3 2024","FQ3 2024","Currency=USD","Period=FQ","BEST_FPERIOD_OVERRIDE=FQ","FILING_STATUS=MR","Sort=A","Dates=H","DateFormat=P","Fill=—","Direction=H","UseDPDF=Y")</f>
        <v>162.94999999999999</v>
      </c>
      <c r="Z9" s="14">
        <f>_xll.BDH("SRPT US Equity","PX_HIGH","FQ4 2024","FQ4 2024","Currency=USD","Period=FQ","BEST_FPERIOD_OVERRIDE=FQ","FILING_STATUS=MR","Sort=A","Dates=H","DateFormat=P","Fill=—","Direction=H","UseDPDF=Y")</f>
        <v>138.81</v>
      </c>
      <c r="AA9" s="17">
        <v>72.050003051757798</v>
      </c>
    </row>
    <row r="10" spans="1:27" x14ac:dyDescent="0.25">
      <c r="A10" s="10" t="s">
        <v>290</v>
      </c>
      <c r="B10" s="10" t="s">
        <v>252</v>
      </c>
      <c r="C10" s="14">
        <f>_xll.BDH("SRPT US Equity","PX_LOW","FQ1 2019","FQ1 2019","Currency=USD","Period=FQ","BEST_FPERIOD_OVERRIDE=FQ","FILING_STATUS=MR","Sort=A","Dates=H","DateFormat=P","Fill=—","Direction=H","UseDPDF=Y")</f>
        <v>103.68</v>
      </c>
      <c r="D10" s="14">
        <f>_xll.BDH("SRPT US Equity","PX_LOW","FQ2 2019","FQ2 2019","Currency=USD","Period=FQ","BEST_FPERIOD_OVERRIDE=FQ","FILING_STATUS=MR","Sort=A","Dates=H","DateFormat=P","Fill=—","Direction=H","UseDPDF=Y")</f>
        <v>111.09</v>
      </c>
      <c r="E10" s="14">
        <f>_xll.BDH("SRPT US Equity","PX_LOW","FQ3 2019","FQ3 2019","Currency=USD","Period=FQ","BEST_FPERIOD_OVERRIDE=FQ","FILING_STATUS=MR","Sort=A","Dates=H","DateFormat=P","Fill=—","Direction=H","UseDPDF=Y")</f>
        <v>72.05</v>
      </c>
      <c r="F10" s="14">
        <f>_xll.BDH("SRPT US Equity","PX_LOW","FQ4 2019","FQ4 2019","Currency=USD","Period=FQ","BEST_FPERIOD_OVERRIDE=FQ","FILING_STATUS=MR","Sort=A","Dates=H","DateFormat=P","Fill=—","Direction=H","UseDPDF=Y")</f>
        <v>73.72</v>
      </c>
      <c r="G10" s="14">
        <f>_xll.BDH("SRPT US Equity","PX_LOW","FQ1 2020","FQ1 2020","Currency=USD","Period=FQ","BEST_FPERIOD_OVERRIDE=FQ","FILING_STATUS=MR","Sort=A","Dates=H","DateFormat=P","Fill=—","Direction=H","UseDPDF=Y")</f>
        <v>78.06</v>
      </c>
      <c r="H10" s="14">
        <f>_xll.BDH("SRPT US Equity","PX_LOW","FQ2 2020","FQ2 2020","Currency=USD","Period=FQ","BEST_FPERIOD_OVERRIDE=FQ","FILING_STATUS=MR","Sort=A","Dates=H","DateFormat=P","Fill=—","Direction=H","UseDPDF=Y")</f>
        <v>91.53</v>
      </c>
      <c r="I10" s="14">
        <f>_xll.BDH("SRPT US Equity","PX_LOW","FQ3 2020","FQ3 2020","Currency=USD","Period=FQ","BEST_FPERIOD_OVERRIDE=FQ","FILING_STATUS=MR","Sort=A","Dates=H","DateFormat=P","Fill=—","Direction=H","UseDPDF=Y")</f>
        <v>125.5</v>
      </c>
      <c r="J10" s="14">
        <f>_xll.BDH("SRPT US Equity","PX_LOW","FQ4 2020","FQ4 2020","Currency=USD","Period=FQ","BEST_FPERIOD_OVERRIDE=FQ","FILING_STATUS=MR","Sort=A","Dates=H","DateFormat=P","Fill=—","Direction=H","UseDPDF=Y")</f>
        <v>122.38</v>
      </c>
      <c r="K10" s="14">
        <f>_xll.BDH("SRPT US Equity","PX_LOW","FQ1 2021","FQ1 2021","Currency=USD","Period=FQ","BEST_FPERIOD_OVERRIDE=FQ","FILING_STATUS=MR","Sort=A","Dates=H","DateFormat=P","Fill=—","Direction=H","UseDPDF=Y")</f>
        <v>69.555000000000007</v>
      </c>
      <c r="L10" s="14">
        <f>_xll.BDH("SRPT US Equity","PX_LOW","FQ2 2021","FQ2 2021","Currency=USD","Period=FQ","BEST_FPERIOD_OVERRIDE=FQ","FILING_STATUS=MR","Sort=A","Dates=H","DateFormat=P","Fill=—","Direction=H","UseDPDF=Y")</f>
        <v>67.680000000000007</v>
      </c>
      <c r="M10" s="14">
        <f>_xll.BDH("SRPT US Equity","PX_LOW","FQ3 2021","FQ3 2021","Currency=USD","Period=FQ","BEST_FPERIOD_OVERRIDE=FQ","FILING_STATUS=MR","Sort=A","Dates=H","DateFormat=P","Fill=—","Direction=H","UseDPDF=Y")</f>
        <v>65.3</v>
      </c>
      <c r="N10" s="14">
        <f>_xll.BDH("SRPT US Equity","PX_LOW","FQ4 2021","FQ4 2021","Currency=USD","Period=FQ","BEST_FPERIOD_OVERRIDE=FQ","FILING_STATUS=MR","Sort=A","Dates=H","DateFormat=P","Fill=—","Direction=H","UseDPDF=Y")</f>
        <v>75.8</v>
      </c>
      <c r="O10" s="14">
        <f>_xll.BDH("SRPT US Equity","PX_LOW","FQ1 2022","FQ1 2022","Currency=USD","Period=FQ","BEST_FPERIOD_OVERRIDE=FQ","FILING_STATUS=MR","Sort=A","Dates=H","DateFormat=P","Fill=—","Direction=H","UseDPDF=Y")</f>
        <v>61.31</v>
      </c>
      <c r="P10" s="14">
        <f>_xll.BDH("SRPT US Equity","PX_LOW","FQ2 2022","FQ2 2022","Currency=USD","Period=FQ","BEST_FPERIOD_OVERRIDE=FQ","FILING_STATUS=MR","Sort=A","Dates=H","DateFormat=P","Fill=—","Direction=H","UseDPDF=Y")</f>
        <v>61.28</v>
      </c>
      <c r="Q10" s="14">
        <f>_xll.BDH("SRPT US Equity","PX_LOW","FQ3 2022","FQ3 2022","Currency=USD","Period=FQ","BEST_FPERIOD_OVERRIDE=FQ","FILING_STATUS=MR","Sort=A","Dates=H","DateFormat=P","Fill=—","Direction=H","UseDPDF=Y")</f>
        <v>72.02</v>
      </c>
      <c r="R10" s="14">
        <f>_xll.BDH("SRPT US Equity","PX_LOW","FQ4 2022","FQ4 2022","Currency=USD","Period=FQ","BEST_FPERIOD_OVERRIDE=FQ","FILING_STATUS=MR","Sort=A","Dates=H","DateFormat=P","Fill=—","Direction=H","UseDPDF=Y")</f>
        <v>100.15</v>
      </c>
      <c r="S10" s="14">
        <f>_xll.BDH("SRPT US Equity","PX_LOW","FQ1 2023","FQ1 2023","Currency=USD","Period=FQ","BEST_FPERIOD_OVERRIDE=FQ","FILING_STATUS=MR","Sort=A","Dates=H","DateFormat=P","Fill=—","Direction=H","UseDPDF=Y")</f>
        <v>116.1</v>
      </c>
      <c r="T10" s="14">
        <f>_xll.BDH("SRPT US Equity","PX_LOW","FQ2 2023","FQ2 2023","Currency=USD","Period=FQ","BEST_FPERIOD_OVERRIDE=FQ","FILING_STATUS=MR","Sort=A","Dates=H","DateFormat=P","Fill=—","Direction=H","UseDPDF=Y")</f>
        <v>105.04</v>
      </c>
      <c r="U10" s="14">
        <f>_xll.BDH("SRPT US Equity","PX_LOW","FQ3 2023","FQ3 2023","Currency=USD","Period=FQ","BEST_FPERIOD_OVERRIDE=FQ","FILING_STATUS=MR","Sort=A","Dates=H","DateFormat=P","Fill=—","Direction=H","UseDPDF=Y")</f>
        <v>100.72499999999999</v>
      </c>
      <c r="V10" s="14">
        <f>_xll.BDH("SRPT US Equity","PX_LOW","FQ4 2023","FQ4 2023","Currency=USD","Period=FQ","BEST_FPERIOD_OVERRIDE=FQ","FILING_STATUS=MR","Sort=A","Dates=H","DateFormat=P","Fill=—","Direction=H","UseDPDF=Y")</f>
        <v>55.25</v>
      </c>
      <c r="W10" s="14">
        <f>_xll.BDH("SRPT US Equity","PX_LOW","FQ1 2024","FQ1 2024","Currency=USD","Period=FQ","BEST_FPERIOD_OVERRIDE=FQ","FILING_STATUS=MR","Sort=A","Dates=H","DateFormat=P","Fill=—","Direction=H","UseDPDF=Y")</f>
        <v>91.343900000000005</v>
      </c>
      <c r="X10" s="14">
        <f>_xll.BDH("SRPT US Equity","PX_LOW","FQ2 2024","FQ2 2024","Currency=USD","Period=FQ","BEST_FPERIOD_OVERRIDE=FQ","FILING_STATUS=MR","Sort=A","Dates=H","DateFormat=P","Fill=—","Direction=H","UseDPDF=Y")</f>
        <v>109.91</v>
      </c>
      <c r="Y10" s="14">
        <f>_xll.BDH("SRPT US Equity","PX_LOW","FQ3 2024","FQ3 2024","Currency=USD","Period=FQ","BEST_FPERIOD_OVERRIDE=FQ","FILING_STATUS=MR","Sort=A","Dates=H","DateFormat=P","Fill=—","Direction=H","UseDPDF=Y")</f>
        <v>120.42</v>
      </c>
      <c r="Z10" s="14">
        <f>_xll.BDH("SRPT US Equity","PX_LOW","FQ4 2024","FQ4 2024","Currency=USD","Period=FQ","BEST_FPERIOD_OVERRIDE=FQ","FILING_STATUS=MR","Sort=A","Dates=H","DateFormat=P","Fill=—","Direction=H","UseDPDF=Y")</f>
        <v>102.155</v>
      </c>
      <c r="AA10" s="17">
        <v>70.330001831054702</v>
      </c>
    </row>
    <row r="11" spans="1:27" x14ac:dyDescent="0.25">
      <c r="A11" s="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21"/>
    </row>
    <row r="12" spans="1:27" x14ac:dyDescent="0.25">
      <c r="A12" s="6" t="s">
        <v>60</v>
      </c>
      <c r="B12" s="6" t="s">
        <v>61</v>
      </c>
      <c r="C12" s="19">
        <f>_xll.BDH("SRPT US Equity","HISTORICAL_MARKET_CAP","FQ1 2019","FQ1 2019","Currency=USD","Period=FQ","BEST_FPERIOD_OVERRIDE=FQ","FILING_STATUS=MR","SCALING_FORMAT=MLN","Sort=A","Dates=H","DateFormat=P","Fill=—","Direction=H","UseDPDF=Y")</f>
        <v>8835.9743999999992</v>
      </c>
      <c r="D12" s="19">
        <f>_xll.BDH("SRPT US Equity","HISTORICAL_MARKET_CAP","FQ2 2019","FQ2 2019","Currency=USD","Period=FQ","BEST_FPERIOD_OVERRIDE=FQ","FILING_STATUS=MR","SCALING_FORMAT=MLN","Sort=A","Dates=H","DateFormat=P","Fill=—","Direction=H","UseDPDF=Y")</f>
        <v>11294.1042</v>
      </c>
      <c r="E12" s="19">
        <f>_xll.BDH("SRPT US Equity","HISTORICAL_MARKET_CAP","FQ3 2019","FQ3 2019","Currency=USD","Period=FQ","BEST_FPERIOD_OVERRIDE=FQ","FILING_STATUS=MR","SCALING_FORMAT=MLN","Sort=A","Dates=H","DateFormat=P","Fill=—","Direction=H","UseDPDF=Y")</f>
        <v>5611.7042000000001</v>
      </c>
      <c r="F12" s="19">
        <f>_xll.BDH("SRPT US Equity","HISTORICAL_MARKET_CAP","FQ4 2019","FQ4 2019","Currency=USD","Period=FQ","BEST_FPERIOD_OVERRIDE=FQ","FILING_STATUS=MR","SCALING_FORMAT=MLN","Sort=A","Dates=H","DateFormat=P","Fill=—","Direction=H","UseDPDF=Y")</f>
        <v>9701.8546999999999</v>
      </c>
      <c r="G12" s="19">
        <f>_xll.BDH("SRPT US Equity","HISTORICAL_MARKET_CAP","FQ1 2020","FQ1 2020","Currency=USD","Period=FQ","BEST_FPERIOD_OVERRIDE=FQ","FILING_STATUS=MR","SCALING_FORMAT=MLN","Sort=A","Dates=H","DateFormat=P","Fill=—","Direction=H","UseDPDF=Y")</f>
        <v>7625.8310000000001</v>
      </c>
      <c r="H12" s="19">
        <f>_xll.BDH("SRPT US Equity","HISTORICAL_MARKET_CAP","FQ2 2020","FQ2 2020","Currency=USD","Period=FQ","BEST_FPERIOD_OVERRIDE=FQ","FILING_STATUS=MR","SCALING_FORMAT=MLN","Sort=A","Dates=H","DateFormat=P","Fill=—","Direction=H","UseDPDF=Y")</f>
        <v>12575.826300000001</v>
      </c>
      <c r="I12" s="19">
        <f>_xll.BDH("SRPT US Equity","HISTORICAL_MARKET_CAP","FQ3 2020","FQ3 2020","Currency=USD","Period=FQ","BEST_FPERIOD_OVERRIDE=FQ","FILING_STATUS=MR","SCALING_FORMAT=MLN","Sort=A","Dates=H","DateFormat=P","Fill=—","Direction=H","UseDPDF=Y")</f>
        <v>11064.446</v>
      </c>
      <c r="J12" s="19">
        <f>_xll.BDH("SRPT US Equity","HISTORICAL_MARKET_CAP","FQ4 2020","FQ4 2020","Currency=USD","Period=FQ","BEST_FPERIOD_OVERRIDE=FQ","FILING_STATUS=MR","SCALING_FORMAT=MLN","Sort=A","Dates=H","DateFormat=P","Fill=—","Direction=H","UseDPDF=Y")</f>
        <v>13532.5154</v>
      </c>
      <c r="K12" s="19">
        <f>_xll.BDH("SRPT US Equity","HISTORICAL_MARKET_CAP","FQ1 2021","FQ1 2021","Currency=USD","Period=FQ","BEST_FPERIOD_OVERRIDE=FQ","FILING_STATUS=MR","SCALING_FORMAT=MLN","Sort=A","Dates=H","DateFormat=P","Fill=—","Direction=H","UseDPDF=Y")</f>
        <v>5943.6265999999996</v>
      </c>
      <c r="L12" s="19">
        <f>_xll.BDH("SRPT US Equity","HISTORICAL_MARKET_CAP","FQ2 2021","FQ2 2021","Currency=USD","Period=FQ","BEST_FPERIOD_OVERRIDE=FQ","FILING_STATUS=MR","SCALING_FORMAT=MLN","Sort=A","Dates=H","DateFormat=P","Fill=—","Direction=H","UseDPDF=Y")</f>
        <v>6206.0162</v>
      </c>
      <c r="M12" s="19">
        <f>_xll.BDH("SRPT US Equity","HISTORICAL_MARKET_CAP","FQ3 2021","FQ3 2021","Currency=USD","Period=FQ","BEST_FPERIOD_OVERRIDE=FQ","FILING_STATUS=MR","SCALING_FORMAT=MLN","Sort=A","Dates=H","DateFormat=P","Fill=—","Direction=H","UseDPDF=Y")</f>
        <v>7394.5645999999997</v>
      </c>
      <c r="N12" s="19">
        <f>_xll.BDH("SRPT US Equity","HISTORICAL_MARKET_CAP","FQ4 2021","FQ4 2021","Currency=USD","Period=FQ","BEST_FPERIOD_OVERRIDE=FQ","FILING_STATUS=MR","SCALING_FORMAT=MLN","Sort=A","Dates=H","DateFormat=P","Fill=—","Direction=H","UseDPDF=Y")</f>
        <v>7845.7839999999997</v>
      </c>
      <c r="O12" s="19">
        <f>_xll.BDH("SRPT US Equity","HISTORICAL_MARKET_CAP","FQ1 2022","FQ1 2022","Currency=USD","Period=FQ","BEST_FPERIOD_OVERRIDE=FQ","FILING_STATUS=MR","SCALING_FORMAT=MLN","Sort=A","Dates=H","DateFormat=P","Fill=—","Direction=H","UseDPDF=Y")</f>
        <v>6835.1567999999997</v>
      </c>
      <c r="P12" s="19">
        <f>_xll.BDH("SRPT US Equity","HISTORICAL_MARKET_CAP","FQ2 2022","FQ2 2022","Currency=USD","Period=FQ","BEST_FPERIOD_OVERRIDE=FQ","FILING_STATUS=MR","SCALING_FORMAT=MLN","Sort=A","Dates=H","DateFormat=P","Fill=—","Direction=H","UseDPDF=Y")</f>
        <v>6561.6459999999997</v>
      </c>
      <c r="Q12" s="19">
        <f>_xll.BDH("SRPT US Equity","HISTORICAL_MARKET_CAP","FQ3 2022","FQ3 2022","Currency=USD","Period=FQ","BEST_FPERIOD_OVERRIDE=FQ","FILING_STATUS=MR","SCALING_FORMAT=MLN","Sort=A","Dates=H","DateFormat=P","Fill=—","Direction=H","UseDPDF=Y")</f>
        <v>9701.6756000000005</v>
      </c>
      <c r="R12" s="19">
        <f>_xll.BDH("SRPT US Equity","HISTORICAL_MARKET_CAP","FQ4 2022","FQ4 2022","Currency=USD","Period=FQ","BEST_FPERIOD_OVERRIDE=FQ","FILING_STATUS=MR","SCALING_FORMAT=MLN","Sort=A","Dates=H","DateFormat=P","Fill=—","Direction=H","UseDPDF=Y")</f>
        <v>11396.5762</v>
      </c>
      <c r="S12" s="19">
        <f>_xll.BDH("SRPT US Equity","HISTORICAL_MARKET_CAP","FQ1 2023","FQ1 2023","Currency=USD","Period=FQ","BEST_FPERIOD_OVERRIDE=FQ","FILING_STATUS=MR","SCALING_FORMAT=MLN","Sort=A","Dates=H","DateFormat=P","Fill=—","Direction=H","UseDPDF=Y")</f>
        <v>12837.504800000001</v>
      </c>
      <c r="T12" s="19">
        <f>_xll.BDH("SRPT US Equity","HISTORICAL_MARKET_CAP","FQ2 2023","FQ2 2023","Currency=USD","Period=FQ","BEST_FPERIOD_OVERRIDE=FQ","FILING_STATUS=MR","SCALING_FORMAT=MLN","Sort=A","Dates=H","DateFormat=P","Fill=—","Direction=H","UseDPDF=Y")</f>
        <v>10681.6859</v>
      </c>
      <c r="U12" s="19">
        <f>_xll.BDH("SRPT US Equity","HISTORICAL_MARKET_CAP","FQ3 2023","FQ3 2023","Currency=USD","Period=FQ","BEST_FPERIOD_OVERRIDE=FQ","FILING_STATUS=MR","SCALING_FORMAT=MLN","Sort=A","Dates=H","DateFormat=P","Fill=—","Direction=H","UseDPDF=Y")</f>
        <v>11338.5982</v>
      </c>
      <c r="V12" s="19">
        <f>_xll.BDH("SRPT US Equity","HISTORICAL_MARKET_CAP","FQ4 2023","FQ4 2023","Currency=USD","Period=FQ","BEST_FPERIOD_OVERRIDE=FQ","FILING_STATUS=MR","SCALING_FORMAT=MLN","Sort=A","Dates=H","DateFormat=P","Fill=—","Direction=H","UseDPDF=Y")</f>
        <v>9038.5604999999996</v>
      </c>
      <c r="W12" s="19">
        <f>_xll.BDH("SRPT US Equity","HISTORICAL_MARKET_CAP","FQ1 2024","FQ1 2024","Currency=USD","Period=FQ","BEST_FPERIOD_OVERRIDE=FQ","FILING_STATUS=MR","SCALING_FORMAT=MLN","Sort=A","Dates=H","DateFormat=P","Fill=—","Direction=H","UseDPDF=Y")</f>
        <v>12232.6957</v>
      </c>
      <c r="X12" s="19">
        <f>_xll.BDH("SRPT US Equity","HISTORICAL_MARKET_CAP","FQ2 2024","FQ2 2024","Currency=USD","Period=FQ","BEST_FPERIOD_OVERRIDE=FQ","FILING_STATUS=MR","SCALING_FORMAT=MLN","Sort=A","Dates=H","DateFormat=P","Fill=—","Direction=H","UseDPDF=Y")</f>
        <v>15054.650799999999</v>
      </c>
      <c r="Y12" s="19">
        <f>_xll.BDH("SRPT US Equity","HISTORICAL_MARKET_CAP","FQ3 2024","FQ3 2024","Currency=USD","Period=FQ","BEST_FPERIOD_OVERRIDE=FQ","FILING_STATUS=MR","SCALING_FORMAT=MLN","Sort=A","Dates=H","DateFormat=P","Fill=—","Direction=H","UseDPDF=Y")</f>
        <v>11926.1214</v>
      </c>
      <c r="Z12" s="19">
        <f>_xll.BDH("SRPT US Equity","HISTORICAL_MARKET_CAP","FQ4 2024","FQ4 2024","Currency=USD","Period=FQ","BEST_FPERIOD_OVERRIDE=FQ","FILING_STATUS=MR","SCALING_FORMAT=MLN","Sort=A","Dates=H","DateFormat=P","Fill=—","Direction=H","UseDPDF=Y")</f>
        <v>11782.131299999999</v>
      </c>
      <c r="AA12" s="22">
        <v>6829.8450382874998</v>
      </c>
    </row>
    <row r="13" spans="1:27" x14ac:dyDescent="0.25">
      <c r="A13" s="10" t="s">
        <v>291</v>
      </c>
      <c r="B13" s="10" t="s">
        <v>292</v>
      </c>
      <c r="C13" s="14">
        <f>_xll.BDH("SRPT US Equity","EQY_SH_OUT","FQ1 2019","FQ1 2019","Currency=USD","Period=FQ","BEST_FPERIOD_OVERRIDE=FQ","FILING_STATUS=MR","Sort=A","Dates=H","DateFormat=P","Fill=—","Direction=H","UseDPDF=Y")</f>
        <v>73.896299999999997</v>
      </c>
      <c r="D13" s="14">
        <f>_xll.BDH("SRPT US Equity","EQY_SH_OUT","FQ2 2019","FQ2 2019","Currency=USD","Period=FQ","BEST_FPERIOD_OVERRIDE=FQ","FILING_STATUS=MR","Sort=A","Dates=H","DateFormat=P","Fill=—","Direction=H","UseDPDF=Y")</f>
        <v>74.153869999999998</v>
      </c>
      <c r="E13" s="14">
        <f>_xll.BDH("SRPT US Equity","EQY_SH_OUT","FQ3 2019","FQ3 2019","Currency=USD","Period=FQ","BEST_FPERIOD_OVERRIDE=FQ","FILING_STATUS=MR","Sort=A","Dates=H","DateFormat=P","Fill=—","Direction=H","UseDPDF=Y")</f>
        <v>74.340419999999995</v>
      </c>
      <c r="F13" s="14">
        <f>_xll.BDH("SRPT US Equity","EQY_SH_OUT","FQ4 2019","FQ4 2019","Currency=USD","Period=FQ","BEST_FPERIOD_OVERRIDE=FQ","FILING_STATUS=MR","Sort=A","Dates=H","DateFormat=P","Fill=—","Direction=H","UseDPDF=Y")</f>
        <v>74.543120000000002</v>
      </c>
      <c r="G13" s="14">
        <f>_xll.BDH("SRPT US Equity","EQY_SH_OUT","FQ1 2020","FQ1 2020","Currency=USD","Period=FQ","BEST_FPERIOD_OVERRIDE=FQ","FILING_STATUS=MR","Sort=A","Dates=H","DateFormat=P","Fill=—","Direction=H","UseDPDF=Y")</f>
        <v>77.776780000000002</v>
      </c>
      <c r="H13" s="14">
        <f>_xll.BDH("SRPT US Equity","EQY_SH_OUT","FQ2 2020","FQ2 2020","Currency=USD","Period=FQ","BEST_FPERIOD_OVERRIDE=FQ","FILING_STATUS=MR","Sort=A","Dates=H","DateFormat=P","Fill=—","Direction=H","UseDPDF=Y")</f>
        <v>77.988740000000007</v>
      </c>
      <c r="I13" s="14">
        <f>_xll.BDH("SRPT US Equity","EQY_SH_OUT","FQ3 2020","FQ3 2020","Currency=USD","Period=FQ","BEST_FPERIOD_OVERRIDE=FQ","FILING_STATUS=MR","Sort=A","Dates=H","DateFormat=P","Fill=—","Direction=H","UseDPDF=Y")</f>
        <v>78.505420000000001</v>
      </c>
      <c r="J13" s="14">
        <f>_xll.BDH("SRPT US Equity","EQY_SH_OUT","FQ4 2020","FQ4 2020","Currency=USD","Period=FQ","BEST_FPERIOD_OVERRIDE=FQ","FILING_STATUS=MR","Sort=A","Dates=H","DateFormat=P","Fill=—","Direction=H","UseDPDF=Y")</f>
        <v>78.913049999999998</v>
      </c>
      <c r="K13" s="14">
        <f>_xll.BDH("SRPT US Equity","EQY_SH_OUT","FQ1 2021","FQ1 2021","Currency=USD","Period=FQ","BEST_FPERIOD_OVERRIDE=FQ","FILING_STATUS=MR","Sort=A","Dates=H","DateFormat=P","Fill=—","Direction=H","UseDPDF=Y")</f>
        <v>79.420640000000006</v>
      </c>
      <c r="L13" s="14">
        <f>_xll.BDH("SRPT US Equity","EQY_SH_OUT","FQ2 2021","FQ2 2021","Currency=USD","Period=FQ","BEST_FPERIOD_OVERRIDE=FQ","FILING_STATUS=MR","Sort=A","Dates=H","DateFormat=P","Fill=—","Direction=H","UseDPDF=Y")</f>
        <v>79.77458</v>
      </c>
      <c r="M13" s="14">
        <f>_xll.BDH("SRPT US Equity","EQY_SH_OUT","FQ3 2021","FQ3 2021","Currency=USD","Period=FQ","BEST_FPERIOD_OVERRIDE=FQ","FILING_STATUS=MR","Sort=A","Dates=H","DateFormat=P","Fill=—","Direction=H","UseDPDF=Y")</f>
        <v>79.844650000000001</v>
      </c>
      <c r="N13" s="14">
        <f>_xll.BDH("SRPT US Equity","EQY_SH_OUT","FQ4 2021","FQ4 2021","Currency=USD","Period=FQ","BEST_FPERIOD_OVERRIDE=FQ","FILING_STATUS=MR","Sort=A","Dates=H","DateFormat=P","Fill=—","Direction=H","UseDPDF=Y")</f>
        <v>87.076920000000001</v>
      </c>
      <c r="O13" s="14">
        <f>_xll.BDH("SRPT US Equity","EQY_SH_OUT","FQ1 2022","FQ1 2022","Currency=USD","Period=FQ","BEST_FPERIOD_OVERRIDE=FQ","FILING_STATUS=MR","Sort=A","Dates=H","DateFormat=P","Fill=—","Direction=H","UseDPDF=Y")</f>
        <v>87.149590000000003</v>
      </c>
      <c r="P13" s="14">
        <f>_xll.BDH("SRPT US Equity","EQY_SH_OUT","FQ2 2022","FQ2 2022","Currency=USD","Period=FQ","BEST_FPERIOD_OVERRIDE=FQ","FILING_STATUS=MR","Sort=A","Dates=H","DateFormat=P","Fill=—","Direction=H","UseDPDF=Y")</f>
        <v>87.500960000000006</v>
      </c>
      <c r="Q13" s="14">
        <f>_xll.BDH("SRPT US Equity","EQY_SH_OUT","FQ3 2022","FQ3 2022","Currency=USD","Period=FQ","BEST_FPERIOD_OVERRIDE=FQ","FILING_STATUS=MR","Sort=A","Dates=H","DateFormat=P","Fill=—","Direction=H","UseDPDF=Y")</f>
        <v>87.567859999999996</v>
      </c>
      <c r="R13" s="14">
        <f>_xll.BDH("SRPT US Equity","EQY_SH_OUT","FQ4 2022","FQ4 2022","Currency=USD","Period=FQ","BEST_FPERIOD_OVERRIDE=FQ","FILING_STATUS=MR","Sort=A","Dates=H","DateFormat=P","Fill=—","Direction=H","UseDPDF=Y")</f>
        <v>87.782579999999996</v>
      </c>
      <c r="S13" s="14">
        <f>_xll.BDH("SRPT US Equity","EQY_SH_OUT","FQ1 2023","FQ1 2023","Currency=USD","Period=FQ","BEST_FPERIOD_OVERRIDE=FQ","FILING_STATUS=MR","Sort=A","Dates=H","DateFormat=P","Fill=—","Direction=H","UseDPDF=Y")</f>
        <v>87.981890000000007</v>
      </c>
      <c r="T13" s="14">
        <f>_xll.BDH("SRPT US Equity","EQY_SH_OUT","FQ2 2023","FQ2 2023","Currency=USD","Period=FQ","BEST_FPERIOD_OVERRIDE=FQ","FILING_STATUS=MR","Sort=A","Dates=H","DateFormat=P","Fill=—","Direction=H","UseDPDF=Y")</f>
        <v>93.148650000000004</v>
      </c>
      <c r="U13" s="14">
        <f>_xll.BDH("SRPT US Equity","EQY_SH_OUT","FQ3 2023","FQ3 2023","Currency=USD","Period=FQ","BEST_FPERIOD_OVERRIDE=FQ","FILING_STATUS=MR","Sort=A","Dates=H","DateFormat=P","Fill=—","Direction=H","UseDPDF=Y")</f>
        <v>93.278899999999993</v>
      </c>
      <c r="V13" s="14">
        <f>_xll.BDH("SRPT US Equity","EQY_SH_OUT","FQ4 2023","FQ4 2023","Currency=USD","Period=FQ","BEST_FPERIOD_OVERRIDE=FQ","FILING_STATUS=MR","Sort=A","Dates=H","DateFormat=P","Fill=—","Direction=H","UseDPDF=Y")</f>
        <v>93.546679999999995</v>
      </c>
      <c r="W13" s="14">
        <f>_xll.BDH("SRPT US Equity","EQY_SH_OUT","FQ1 2024","FQ1 2024","Currency=USD","Period=FQ","BEST_FPERIOD_OVERRIDE=FQ","FILING_STATUS=MR","Sort=A","Dates=H","DateFormat=P","Fill=—","Direction=H","UseDPDF=Y")</f>
        <v>93.855410000000006</v>
      </c>
      <c r="X13" s="14">
        <f>_xll.BDH("SRPT US Equity","EQY_SH_OUT","FQ2 2024","FQ2 2024","Currency=USD","Period=FQ","BEST_FPERIOD_OVERRIDE=FQ","FILING_STATUS=MR","Sort=A","Dates=H","DateFormat=P","Fill=—","Direction=H","UseDPDF=Y")</f>
        <v>94.523769999999999</v>
      </c>
      <c r="Y13" s="14">
        <f>_xll.BDH("SRPT US Equity","EQY_SH_OUT","FQ3 2024","FQ3 2024","Currency=USD","Period=FQ","BEST_FPERIOD_OVERRIDE=FQ","FILING_STATUS=MR","Sort=A","Dates=H","DateFormat=P","Fill=—","Direction=H","UseDPDF=Y")</f>
        <v>95.366330000000005</v>
      </c>
      <c r="Z13" s="14">
        <f>_xll.BDH("SRPT US Equity","EQY_SH_OUT","FQ4 2024","FQ4 2024","Currency=USD","Period=FQ","BEST_FPERIOD_OVERRIDE=FQ","FILING_STATUS=MR","Sort=A","Dates=H","DateFormat=P","Fill=—","Direction=H","UseDPDF=Y")</f>
        <v>95.519649999999999</v>
      </c>
      <c r="AA13" s="17">
        <v>97.032070000000004</v>
      </c>
    </row>
    <row r="14" spans="1:27" x14ac:dyDescent="0.25">
      <c r="A14" s="10" t="s">
        <v>293</v>
      </c>
      <c r="B14" s="10" t="s">
        <v>294</v>
      </c>
      <c r="C14" s="14">
        <f>_xll.BDH("SRPT US Equity","EQY_FLOAT","FQ1 2019","FQ1 2019","Currency=USD","Period=FQ","BEST_FPERIOD_OVERRIDE=FQ","FILING_STATUS=MR","Sort=A","Dates=H","DateFormat=P","Fill=—","Direction=H","UseDPDF=Y")</f>
        <v>69.965000000000003</v>
      </c>
      <c r="D14" s="14">
        <f>_xll.BDH("SRPT US Equity","EQY_FLOAT","FQ2 2019","FQ2 2019","Currency=USD","Period=FQ","BEST_FPERIOD_OVERRIDE=FQ","FILING_STATUS=MR","Sort=A","Dates=H","DateFormat=P","Fill=—","Direction=H","UseDPDF=Y")</f>
        <v>70.295000000000002</v>
      </c>
      <c r="E14" s="14">
        <f>_xll.BDH("SRPT US Equity","EQY_FLOAT","FQ3 2019","FQ3 2019","Currency=USD","Period=FQ","BEST_FPERIOD_OVERRIDE=FQ","FILING_STATUS=MR","Sort=A","Dates=H","DateFormat=P","Fill=—","Direction=H","UseDPDF=Y")</f>
        <v>70.442999999999998</v>
      </c>
      <c r="F14" s="14">
        <f>_xll.BDH("SRPT US Equity","EQY_FLOAT","FQ4 2019","FQ4 2019","Currency=USD","Period=FQ","BEST_FPERIOD_OVERRIDE=FQ","FILING_STATUS=MR","Sort=A","Dates=H","DateFormat=P","Fill=—","Direction=H","UseDPDF=Y")</f>
        <v>70.647999999999996</v>
      </c>
      <c r="G14" s="14">
        <f>_xll.BDH("SRPT US Equity","EQY_FLOAT","FQ1 2020","FQ1 2020","Currency=USD","Period=FQ","BEST_FPERIOD_OVERRIDE=FQ","FILING_STATUS=MR","Sort=A","Dates=H","DateFormat=P","Fill=—","Direction=H","UseDPDF=Y")</f>
        <v>73.873999999999995</v>
      </c>
      <c r="H14" s="14">
        <f>_xll.BDH("SRPT US Equity","EQY_FLOAT","FQ2 2020","FQ2 2020","Currency=USD","Period=FQ","BEST_FPERIOD_OVERRIDE=FQ","FILING_STATUS=MR","Sort=A","Dates=H","DateFormat=P","Fill=—","Direction=H","UseDPDF=Y")</f>
        <v>74.147999999999996</v>
      </c>
      <c r="I14" s="14">
        <f>_xll.BDH("SRPT US Equity","EQY_FLOAT","FQ3 2020","FQ3 2020","Currency=USD","Period=FQ","BEST_FPERIOD_OVERRIDE=FQ","FILING_STATUS=MR","Sort=A","Dates=H","DateFormat=P","Fill=—","Direction=H","UseDPDF=Y")</f>
        <v>74.703000000000003</v>
      </c>
      <c r="J14" s="14">
        <f>_xll.BDH("SRPT US Equity","EQY_FLOAT","FQ4 2020","FQ4 2020","Currency=USD","Period=FQ","BEST_FPERIOD_OVERRIDE=FQ","FILING_STATUS=MR","Sort=A","Dates=H","DateFormat=P","Fill=—","Direction=H","UseDPDF=Y")</f>
        <v>75.088999999999999</v>
      </c>
      <c r="K14" s="14">
        <f>_xll.BDH("SRPT US Equity","EQY_FLOAT","FQ1 2021","FQ1 2021","Currency=USD","Period=FQ","BEST_FPERIOD_OVERRIDE=FQ","FILING_STATUS=MR","Sort=A","Dates=H","DateFormat=P","Fill=—","Direction=H","UseDPDF=Y")</f>
        <v>75.546000000000006</v>
      </c>
      <c r="L14" s="14">
        <f>_xll.BDH("SRPT US Equity","EQY_FLOAT","FQ2 2021","FQ2 2021","Currency=USD","Period=FQ","BEST_FPERIOD_OVERRIDE=FQ","FILING_STATUS=MR","Sort=A","Dates=H","DateFormat=P","Fill=—","Direction=H","UseDPDF=Y")</f>
        <v>75.917000000000002</v>
      </c>
      <c r="M14" s="14">
        <f>_xll.BDH("SRPT US Equity","EQY_FLOAT","FQ3 2021","FQ3 2021","Currency=USD","Period=FQ","BEST_FPERIOD_OVERRIDE=FQ","FILING_STATUS=MR","Sort=A","Dates=H","DateFormat=P","Fill=—","Direction=H","UseDPDF=Y")</f>
        <v>75.989000000000004</v>
      </c>
      <c r="N14" s="14">
        <f>_xll.BDH("SRPT US Equity","EQY_FLOAT","FQ4 2021","FQ4 2021","Currency=USD","Period=FQ","BEST_FPERIOD_OVERRIDE=FQ","FILING_STATUS=MR","Sort=A","Dates=H","DateFormat=P","Fill=—","Direction=H","UseDPDF=Y")</f>
        <v>83.141999999999996</v>
      </c>
      <c r="O14" s="14">
        <f>_xll.BDH("SRPT US Equity","EQY_FLOAT","FQ1 2022","FQ1 2022","Currency=USD","Period=FQ","BEST_FPERIOD_OVERRIDE=FQ","FILING_STATUS=MR","Sort=A","Dates=H","DateFormat=P","Fill=—","Direction=H","UseDPDF=Y")</f>
        <v>83.171000000000006</v>
      </c>
      <c r="P14" s="14">
        <f>_xll.BDH("SRPT US Equity","EQY_FLOAT","FQ2 2022","FQ2 2022","Currency=USD","Period=FQ","BEST_FPERIOD_OVERRIDE=FQ","FILING_STATUS=MR","Sort=A","Dates=H","DateFormat=P","Fill=—","Direction=H","UseDPDF=Y")</f>
        <v>83.438000000000002</v>
      </c>
      <c r="Q14" s="14">
        <f>_xll.BDH("SRPT US Equity","EQY_FLOAT","FQ3 2022","FQ3 2022","Currency=USD","Period=FQ","BEST_FPERIOD_OVERRIDE=FQ","FILING_STATUS=MR","Sort=A","Dates=H","DateFormat=P","Fill=—","Direction=H","UseDPDF=Y")</f>
        <v>83.489000000000004</v>
      </c>
      <c r="R14" s="14">
        <f>_xll.BDH("SRPT US Equity","EQY_FLOAT","FQ4 2022","FQ4 2022","Currency=USD","Period=FQ","BEST_FPERIOD_OVERRIDE=FQ","FILING_STATUS=MR","Sort=A","Dates=H","DateFormat=P","Fill=—","Direction=H","UseDPDF=Y")</f>
        <v>83.688999999999993</v>
      </c>
      <c r="S14" s="14">
        <f>_xll.BDH("SRPT US Equity","EQY_FLOAT","FQ1 2023","FQ1 2023","Currency=USD","Period=FQ","BEST_FPERIOD_OVERRIDE=FQ","FILING_STATUS=MR","Sort=A","Dates=H","DateFormat=P","Fill=—","Direction=H","UseDPDF=Y")</f>
        <v>83.843999999999994</v>
      </c>
      <c r="T14" s="14">
        <f>_xll.BDH("SRPT US Equity","EQY_FLOAT","FQ2 2023","FQ2 2023","Currency=USD","Period=FQ","BEST_FPERIOD_OVERRIDE=FQ","FILING_STATUS=MR","Sort=A","Dates=H","DateFormat=P","Fill=—","Direction=H","UseDPDF=Y")</f>
        <v>89.066999999999993</v>
      </c>
      <c r="U14" s="14">
        <f>_xll.BDH("SRPT US Equity","EQY_FLOAT","FQ3 2023","FQ3 2023","Currency=USD","Period=FQ","BEST_FPERIOD_OVERRIDE=FQ","FILING_STATUS=MR","Sort=A","Dates=H","DateFormat=P","Fill=—","Direction=H","UseDPDF=Y")</f>
        <v>89.129000000000005</v>
      </c>
      <c r="V14" s="14">
        <f>_xll.BDH("SRPT US Equity","EQY_FLOAT","FQ4 2023","FQ4 2023","Currency=USD","Period=FQ","BEST_FPERIOD_OVERRIDE=FQ","FILING_STATUS=MR","Sort=A","Dates=H","DateFormat=P","Fill=—","Direction=H","UseDPDF=Y")</f>
        <v>89.427000000000007</v>
      </c>
      <c r="W14" s="14">
        <f>_xll.BDH("SRPT US Equity","EQY_FLOAT","FQ1 2024","FQ1 2024","Currency=USD","Period=FQ","BEST_FPERIOD_OVERRIDE=FQ","FILING_STATUS=MR","Sort=A","Dates=H","DateFormat=P","Fill=—","Direction=H","UseDPDF=Y")</f>
        <v>89.468999999999994</v>
      </c>
      <c r="X14" s="14">
        <f>_xll.BDH("SRPT US Equity","EQY_FLOAT","FQ2 2024","FQ2 2024","Currency=USD","Period=FQ","BEST_FPERIOD_OVERRIDE=FQ","FILING_STATUS=MR","Sort=A","Dates=H","DateFormat=P","Fill=—","Direction=H","UseDPDF=Y")</f>
        <v>90.126999999999995</v>
      </c>
      <c r="Y14" s="14">
        <f>_xll.BDH("SRPT US Equity","EQY_FLOAT","FQ3 2024","FQ3 2024","Currency=USD","Period=FQ","BEST_FPERIOD_OVERRIDE=FQ","FILING_STATUS=MR","Sort=A","Dates=H","DateFormat=P","Fill=—","Direction=H","UseDPDF=Y")</f>
        <v>90.921999999999997</v>
      </c>
      <c r="Z14" s="14">
        <f>_xll.BDH("SRPT US Equity","EQY_FLOAT","FQ4 2024","FQ4 2024","Currency=USD","Period=FQ","BEST_FPERIOD_OVERRIDE=FQ","FILING_STATUS=MR","Sort=A","Dates=H","DateFormat=P","Fill=—","Direction=H","UseDPDF=Y")</f>
        <v>91.067999999999998</v>
      </c>
      <c r="AA14" s="17">
        <v>92.619309999999999</v>
      </c>
    </row>
    <row r="15" spans="1:27" x14ac:dyDescent="0.25">
      <c r="A15" s="7" t="s">
        <v>90</v>
      </c>
      <c r="B15" s="7"/>
      <c r="C15" s="7" t="s">
        <v>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3"/>
  <sheetViews>
    <sheetView topLeftCell="F1"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295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4" t="s">
        <v>19</v>
      </c>
      <c r="M4" s="4" t="s">
        <v>20</v>
      </c>
      <c r="N4" s="4" t="s">
        <v>21</v>
      </c>
      <c r="O4" s="4" t="s">
        <v>22</v>
      </c>
      <c r="P4" s="4" t="s">
        <v>23</v>
      </c>
      <c r="Q4" s="4" t="s">
        <v>24</v>
      </c>
      <c r="R4" s="4" t="s">
        <v>25</v>
      </c>
      <c r="S4" s="4" t="s">
        <v>26</v>
      </c>
      <c r="T4" s="4" t="s">
        <v>27</v>
      </c>
      <c r="U4" s="4" t="s">
        <v>28</v>
      </c>
      <c r="V4" s="4" t="s">
        <v>29</v>
      </c>
      <c r="W4" s="4" t="s">
        <v>30</v>
      </c>
      <c r="X4" s="4" t="s">
        <v>31</v>
      </c>
      <c r="Y4" s="4" t="s">
        <v>164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36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41</v>
      </c>
      <c r="I5" s="5" t="s">
        <v>42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5" t="s">
        <v>48</v>
      </c>
      <c r="P5" s="5" t="s">
        <v>49</v>
      </c>
      <c r="Q5" s="5" t="s">
        <v>50</v>
      </c>
      <c r="R5" s="5" t="s">
        <v>51</v>
      </c>
      <c r="S5" s="5" t="s">
        <v>52</v>
      </c>
      <c r="T5" s="5" t="s">
        <v>53</v>
      </c>
      <c r="U5" s="5" t="s">
        <v>54</v>
      </c>
      <c r="V5" s="5" t="s">
        <v>55</v>
      </c>
      <c r="W5" s="5" t="s">
        <v>56</v>
      </c>
      <c r="X5" s="5" t="s">
        <v>57</v>
      </c>
      <c r="Y5" s="5" t="s">
        <v>165</v>
      </c>
      <c r="Z5" s="5" t="s">
        <v>58</v>
      </c>
      <c r="AA5" s="5" t="s">
        <v>59</v>
      </c>
    </row>
    <row r="6" spans="1:27" x14ac:dyDescent="0.25">
      <c r="A6" s="10" t="s">
        <v>60</v>
      </c>
      <c r="B6" s="10" t="s">
        <v>61</v>
      </c>
      <c r="C6" s="13">
        <f>_xll.BDH("SRPT US Equity","HISTORICAL_MARKET_CAP","FQ3 2019","FQ3 2019","Currency=USD","Period=FQ","BEST_FPERIOD_OVERRIDE=FQ","FILING_STATUS=MR","SCALING_FORMAT=MLN","Sort=A","Dates=H","DateFormat=P","Fill=—","Direction=H","UseDPDF=Y")</f>
        <v>5611.7042000000001</v>
      </c>
      <c r="D6" s="13">
        <f>_xll.BDH("SRPT US Equity","HISTORICAL_MARKET_CAP","FQ4 2019","FQ4 2019","Currency=USD","Period=FQ","BEST_FPERIOD_OVERRIDE=FQ","FILING_STATUS=MR","SCALING_FORMAT=MLN","Sort=A","Dates=H","DateFormat=P","Fill=—","Direction=H","UseDPDF=Y")</f>
        <v>9701.8546999999999</v>
      </c>
      <c r="E6" s="13">
        <f>_xll.BDH("SRPT US Equity","HISTORICAL_MARKET_CAP","FQ1 2020","FQ1 2020","Currency=USD","Period=FQ","BEST_FPERIOD_OVERRIDE=FQ","FILING_STATUS=MR","SCALING_FORMAT=MLN","Sort=A","Dates=H","DateFormat=P","Fill=—","Direction=H","UseDPDF=Y")</f>
        <v>7625.8310000000001</v>
      </c>
      <c r="F6" s="13">
        <f>_xll.BDH("SRPT US Equity","HISTORICAL_MARKET_CAP","FQ2 2020","FQ2 2020","Currency=USD","Period=FQ","BEST_FPERIOD_OVERRIDE=FQ","FILING_STATUS=MR","SCALING_FORMAT=MLN","Sort=A","Dates=H","DateFormat=P","Fill=—","Direction=H","UseDPDF=Y")</f>
        <v>12575.826300000001</v>
      </c>
      <c r="G6" s="13">
        <f>_xll.BDH("SRPT US Equity","HISTORICAL_MARKET_CAP","FQ3 2020","FQ3 2020","Currency=USD","Period=FQ","BEST_FPERIOD_OVERRIDE=FQ","FILING_STATUS=MR","SCALING_FORMAT=MLN","Sort=A","Dates=H","DateFormat=P","Fill=—","Direction=H","UseDPDF=Y")</f>
        <v>11064.446</v>
      </c>
      <c r="H6" s="13">
        <f>_xll.BDH("SRPT US Equity","HISTORICAL_MARKET_CAP","FQ4 2020","FQ4 2020","Currency=USD","Period=FQ","BEST_FPERIOD_OVERRIDE=FQ","FILING_STATUS=MR","SCALING_FORMAT=MLN","Sort=A","Dates=H","DateFormat=P","Fill=—","Direction=H","UseDPDF=Y")</f>
        <v>13532.5154</v>
      </c>
      <c r="I6" s="13">
        <f>_xll.BDH("SRPT US Equity","HISTORICAL_MARKET_CAP","FQ1 2021","FQ1 2021","Currency=USD","Period=FQ","BEST_FPERIOD_OVERRIDE=FQ","FILING_STATUS=MR","SCALING_FORMAT=MLN","Sort=A","Dates=H","DateFormat=P","Fill=—","Direction=H","UseDPDF=Y")</f>
        <v>5943.6265999999996</v>
      </c>
      <c r="J6" s="13">
        <f>_xll.BDH("SRPT US Equity","HISTORICAL_MARKET_CAP","FQ2 2021","FQ2 2021","Currency=USD","Period=FQ","BEST_FPERIOD_OVERRIDE=FQ","FILING_STATUS=MR","SCALING_FORMAT=MLN","Sort=A","Dates=H","DateFormat=P","Fill=—","Direction=H","UseDPDF=Y")</f>
        <v>6206.0162</v>
      </c>
      <c r="K6" s="13">
        <f>_xll.BDH("SRPT US Equity","HISTORICAL_MARKET_CAP","FQ3 2021","FQ3 2021","Currency=USD","Period=FQ","BEST_FPERIOD_OVERRIDE=FQ","FILING_STATUS=MR","SCALING_FORMAT=MLN","Sort=A","Dates=H","DateFormat=P","Fill=—","Direction=H","UseDPDF=Y")</f>
        <v>7394.5645999999997</v>
      </c>
      <c r="L6" s="13">
        <f>_xll.BDH("SRPT US Equity","HISTORICAL_MARKET_CAP","FQ4 2021","FQ4 2021","Currency=USD","Period=FQ","BEST_FPERIOD_OVERRIDE=FQ","FILING_STATUS=MR","SCALING_FORMAT=MLN","Sort=A","Dates=H","DateFormat=P","Fill=—","Direction=H","UseDPDF=Y")</f>
        <v>7845.7839999999997</v>
      </c>
      <c r="M6" s="13">
        <f>_xll.BDH("SRPT US Equity","HISTORICAL_MARKET_CAP","FQ1 2022","FQ1 2022","Currency=USD","Period=FQ","BEST_FPERIOD_OVERRIDE=FQ","FILING_STATUS=MR","SCALING_FORMAT=MLN","Sort=A","Dates=H","DateFormat=P","Fill=—","Direction=H","UseDPDF=Y")</f>
        <v>6835.1567999999997</v>
      </c>
      <c r="N6" s="13">
        <f>_xll.BDH("SRPT US Equity","HISTORICAL_MARKET_CAP","FQ2 2022","FQ2 2022","Currency=USD","Period=FQ","BEST_FPERIOD_OVERRIDE=FQ","FILING_STATUS=MR","SCALING_FORMAT=MLN","Sort=A","Dates=H","DateFormat=P","Fill=—","Direction=H","UseDPDF=Y")</f>
        <v>6561.6459999999997</v>
      </c>
      <c r="O6" s="13">
        <f>_xll.BDH("SRPT US Equity","HISTORICAL_MARKET_CAP","FQ3 2022","FQ3 2022","Currency=USD","Period=FQ","BEST_FPERIOD_OVERRIDE=FQ","FILING_STATUS=MR","SCALING_FORMAT=MLN","Sort=A","Dates=H","DateFormat=P","Fill=—","Direction=H","UseDPDF=Y")</f>
        <v>9701.6756000000005</v>
      </c>
      <c r="P6" s="13">
        <f>_xll.BDH("SRPT US Equity","HISTORICAL_MARKET_CAP","FQ4 2022","FQ4 2022","Currency=USD","Period=FQ","BEST_FPERIOD_OVERRIDE=FQ","FILING_STATUS=MR","SCALING_FORMAT=MLN","Sort=A","Dates=H","DateFormat=P","Fill=—","Direction=H","UseDPDF=Y")</f>
        <v>11396.5762</v>
      </c>
      <c r="Q6" s="13">
        <f>_xll.BDH("SRPT US Equity","HISTORICAL_MARKET_CAP","FQ1 2023","FQ1 2023","Currency=USD","Period=FQ","BEST_FPERIOD_OVERRIDE=FQ","FILING_STATUS=MR","SCALING_FORMAT=MLN","Sort=A","Dates=H","DateFormat=P","Fill=—","Direction=H","UseDPDF=Y")</f>
        <v>12837.504800000001</v>
      </c>
      <c r="R6" s="13">
        <f>_xll.BDH("SRPT US Equity","HISTORICAL_MARKET_CAP","FQ2 2023","FQ2 2023","Currency=USD","Period=FQ","BEST_FPERIOD_OVERRIDE=FQ","FILING_STATUS=MR","SCALING_FORMAT=MLN","Sort=A","Dates=H","DateFormat=P","Fill=—","Direction=H","UseDPDF=Y")</f>
        <v>10681.6859</v>
      </c>
      <c r="S6" s="13">
        <f>_xll.BDH("SRPT US Equity","HISTORICAL_MARKET_CAP","FQ3 2023","FQ3 2023","Currency=USD","Period=FQ","BEST_FPERIOD_OVERRIDE=FQ","FILING_STATUS=MR","SCALING_FORMAT=MLN","Sort=A","Dates=H","DateFormat=P","Fill=—","Direction=H","UseDPDF=Y")</f>
        <v>11338.5982</v>
      </c>
      <c r="T6" s="13">
        <f>_xll.BDH("SRPT US Equity","HISTORICAL_MARKET_CAP","FQ4 2023","FQ4 2023","Currency=USD","Period=FQ","BEST_FPERIOD_OVERRIDE=FQ","FILING_STATUS=MR","SCALING_FORMAT=MLN","Sort=A","Dates=H","DateFormat=P","Fill=—","Direction=H","UseDPDF=Y")</f>
        <v>9038.5604999999996</v>
      </c>
      <c r="U6" s="13">
        <f>_xll.BDH("SRPT US Equity","HISTORICAL_MARKET_CAP","FQ1 2024","FQ1 2024","Currency=USD","Period=FQ","BEST_FPERIOD_OVERRIDE=FQ","FILING_STATUS=MR","SCALING_FORMAT=MLN","Sort=A","Dates=H","DateFormat=P","Fill=—","Direction=H","UseDPDF=Y")</f>
        <v>12232.6957</v>
      </c>
      <c r="V6" s="13">
        <f>_xll.BDH("SRPT US Equity","HISTORICAL_MARKET_CAP","FQ2 2024","FQ2 2024","Currency=USD","Period=FQ","BEST_FPERIOD_OVERRIDE=FQ","FILING_STATUS=MR","SCALING_FORMAT=MLN","Sort=A","Dates=H","DateFormat=P","Fill=—","Direction=H","UseDPDF=Y")</f>
        <v>15054.650799999999</v>
      </c>
      <c r="W6" s="13">
        <f>_xll.BDH("SRPT US Equity","HISTORICAL_MARKET_CAP","FQ3 2024","FQ3 2024","Currency=USD","Period=FQ","BEST_FPERIOD_OVERRIDE=FQ","FILING_STATUS=MR","SCALING_FORMAT=MLN","Sort=A","Dates=H","DateFormat=P","Fill=—","Direction=H","UseDPDF=Y")</f>
        <v>11926.1214</v>
      </c>
      <c r="X6" s="13">
        <f>_xll.BDH("SRPT US Equity","HISTORICAL_MARKET_CAP","FQ4 2024","FQ4 2024","Currency=USD","Period=FQ","BEST_FPERIOD_OVERRIDE=FQ","FILING_STATUS=MR","SCALING_FORMAT=MLN","Sort=A","Dates=H","DateFormat=P","Fill=—","Direction=H","UseDPDF=Y")</f>
        <v>11782.131299999999</v>
      </c>
      <c r="Y6" s="16">
        <v>6829.8450382874998</v>
      </c>
      <c r="Z6" s="13"/>
      <c r="AA6" s="13"/>
    </row>
    <row r="7" spans="1:27" x14ac:dyDescent="0.25">
      <c r="A7" s="10" t="s">
        <v>166</v>
      </c>
      <c r="B7" s="10" t="s">
        <v>63</v>
      </c>
      <c r="C7" s="13">
        <f>_xll.BDH("SRPT US Equity","CASH_AND_MARKETABLE_SECURITIES","FQ3 2019","FQ3 2019","Currency=USD","Period=FQ","BEST_FPERIOD_OVERRIDE=FQ","FILING_STATUS=MR","SCALING_FORMAT=MLN","Sort=A","Dates=H","DateFormat=P","Fill=—","Direction=H","UseDPDF=Y")</f>
        <v>1048.8920000000001</v>
      </c>
      <c r="D7" s="13">
        <f>_xll.BDH("SRPT US Equity","CASH_AND_MARKETABLE_SECURITIES","FQ4 2019","FQ4 2019","Currency=USD","Period=FQ","BEST_FPERIOD_OVERRIDE=FQ","FILING_STATUS=MR","SCALING_FORMAT=MLN","Sort=A","Dates=H","DateFormat=P","Fill=—","Direction=H","UseDPDF=Y")</f>
        <v>1124.748</v>
      </c>
      <c r="E7" s="13">
        <f>_xll.BDH("SRPT US Equity","CASH_AND_MARKETABLE_SECURITIES","FQ1 2020","FQ1 2020","Currency=USD","Period=FQ","BEST_FPERIOD_OVERRIDE=FQ","FILING_STATUS=MR","SCALING_FORMAT=MLN","Sort=A","Dates=H","DateFormat=P","Fill=—","Direction=H","UseDPDF=Y")</f>
        <v>2180.7179999999998</v>
      </c>
      <c r="F7" s="13">
        <f>_xll.BDH("SRPT US Equity","CASH_AND_MARKETABLE_SECURITIES","FQ2 2020","FQ2 2020","Currency=USD","Period=FQ","BEST_FPERIOD_OVERRIDE=FQ","FILING_STATUS=MR","SCALING_FORMAT=MLN","Sort=A","Dates=H","DateFormat=P","Fill=—","Direction=H","UseDPDF=Y")</f>
        <v>2070.8739999999998</v>
      </c>
      <c r="G7" s="13">
        <f>_xll.BDH("SRPT US Equity","CASH_AND_MARKETABLE_SECURITIES","FQ3 2020","FQ3 2020","Currency=USD","Period=FQ","BEST_FPERIOD_OVERRIDE=FQ","FILING_STATUS=MR","SCALING_FORMAT=MLN","Sort=A","Dates=H","DateFormat=P","Fill=—","Direction=H","UseDPDF=Y")</f>
        <v>1825.67</v>
      </c>
      <c r="H7" s="13">
        <f>_xll.BDH("SRPT US Equity","CASH_AND_MARKETABLE_SECURITIES","FQ4 2020","FQ4 2020","Currency=USD","Period=FQ","BEST_FPERIOD_OVERRIDE=FQ","FILING_STATUS=MR","SCALING_FORMAT=MLN","Sort=A","Dates=H","DateFormat=P","Fill=—","Direction=H","UseDPDF=Y")</f>
        <v>1947.886</v>
      </c>
      <c r="I7" s="13">
        <f>_xll.BDH("SRPT US Equity","CASH_AND_MARKETABLE_SECURITIES","FQ1 2021","FQ1 2021","Currency=USD","Period=FQ","BEST_FPERIOD_OVERRIDE=FQ","FILING_STATUS=MR","SCALING_FORMAT=MLN","Sort=A","Dates=H","DateFormat=P","Fill=—","Direction=H","UseDPDF=Y")</f>
        <v>1747.1479999999999</v>
      </c>
      <c r="J7" s="13">
        <f>_xll.BDH("SRPT US Equity","CASH_AND_MARKETABLE_SECURITIES","FQ2 2021","FQ2 2021","Currency=USD","Period=FQ","BEST_FPERIOD_OVERRIDE=FQ","FILING_STATUS=MR","SCALING_FORMAT=MLN","Sort=A","Dates=H","DateFormat=P","Fill=—","Direction=H","UseDPDF=Y")</f>
        <v>1736.59</v>
      </c>
      <c r="K7" s="13">
        <f>_xll.BDH("SRPT US Equity","CASH_AND_MARKETABLE_SECURITIES","FQ3 2021","FQ3 2021","Currency=USD","Period=FQ","BEST_FPERIOD_OVERRIDE=FQ","FILING_STATUS=MR","SCALING_FORMAT=MLN","Sort=A","Dates=H","DateFormat=P","Fill=—","Direction=H","UseDPDF=Y")</f>
        <v>1608.4280000000001</v>
      </c>
      <c r="L7" s="13">
        <f>_xll.BDH("SRPT US Equity","CASH_AND_MARKETABLE_SECURITIES","FQ4 2021","FQ4 2021","Currency=USD","Period=FQ","BEST_FPERIOD_OVERRIDE=FQ","FILING_STATUS=MR","SCALING_FORMAT=MLN","Sort=A","Dates=H","DateFormat=P","Fill=—","Direction=H","UseDPDF=Y")</f>
        <v>2125.7730000000001</v>
      </c>
      <c r="M7" s="13">
        <f>_xll.BDH("SRPT US Equity","CASH_AND_MARKETABLE_SECURITIES","FQ1 2022","FQ1 2022","Currency=USD","Period=FQ","BEST_FPERIOD_OVERRIDE=FQ","FILING_STATUS=MR","SCALING_FORMAT=MLN","Sort=A","Dates=H","DateFormat=P","Fill=—","Direction=H","UseDPDF=Y")</f>
        <v>2023.079</v>
      </c>
      <c r="N7" s="13">
        <f>_xll.BDH("SRPT US Equity","CASH_AND_MARKETABLE_SECURITIES","FQ2 2022","FQ2 2022","Currency=USD","Period=FQ","BEST_FPERIOD_OVERRIDE=FQ","FILING_STATUS=MR","SCALING_FORMAT=MLN","Sort=A","Dates=H","DateFormat=P","Fill=—","Direction=H","UseDPDF=Y")</f>
        <v>1946.518</v>
      </c>
      <c r="O7" s="13">
        <f>_xll.BDH("SRPT US Equity","CASH_AND_MARKETABLE_SECURITIES","FQ3 2022","FQ3 2022","Currency=USD","Period=FQ","BEST_FPERIOD_OVERRIDE=FQ","FILING_STATUS=MR","SCALING_FORMAT=MLN","Sort=A","Dates=H","DateFormat=P","Fill=—","Direction=H","UseDPDF=Y")</f>
        <v>2091.5079999999998</v>
      </c>
      <c r="P7" s="13">
        <f>_xll.BDH("SRPT US Equity","CASH_AND_MARKETABLE_SECURITIES","FQ4 2022","FQ4 2022","Currency=USD","Period=FQ","BEST_FPERIOD_OVERRIDE=FQ","FILING_STATUS=MR","SCALING_FORMAT=MLN","Sort=A","Dates=H","DateFormat=P","Fill=—","Direction=H","UseDPDF=Y")</f>
        <v>2008.3979999999999</v>
      </c>
      <c r="Q7" s="13">
        <f>_xll.BDH("SRPT US Equity","CASH_AND_MARKETABLE_SECURITIES","FQ1 2023","FQ1 2023","Currency=USD","Period=FQ","BEST_FPERIOD_OVERRIDE=FQ","FILING_STATUS=MR","SCALING_FORMAT=MLN","Sort=A","Dates=H","DateFormat=P","Fill=—","Direction=H","UseDPDF=Y")</f>
        <v>1901.1210000000001</v>
      </c>
      <c r="R7" s="13">
        <f>_xll.BDH("SRPT US Equity","CASH_AND_MARKETABLE_SECURITIES","FQ2 2023","FQ2 2023","Currency=USD","Period=FQ","BEST_FPERIOD_OVERRIDE=FQ","FILING_STATUS=MR","SCALING_FORMAT=MLN","Sort=A","Dates=H","DateFormat=P","Fill=—","Direction=H","UseDPDF=Y")</f>
        <v>1879.739</v>
      </c>
      <c r="S7" s="13">
        <f>_xll.BDH("SRPT US Equity","CASH_AND_MARKETABLE_SECURITIES","FQ3 2023","FQ3 2023","Currency=USD","Period=FQ","BEST_FPERIOD_OVERRIDE=FQ","FILING_STATUS=MR","SCALING_FORMAT=MLN","Sort=A","Dates=H","DateFormat=P","Fill=—","Direction=H","UseDPDF=Y")</f>
        <v>1741.0419999999999</v>
      </c>
      <c r="T7" s="13">
        <f>_xll.BDH("SRPT US Equity","CASH_AND_MARKETABLE_SECURITIES","FQ4 2023","FQ4 2023","Currency=USD","Period=FQ","BEST_FPERIOD_OVERRIDE=FQ","FILING_STATUS=MR","SCALING_FORMAT=MLN","Sort=A","Dates=H","DateFormat=P","Fill=—","Direction=H","UseDPDF=Y")</f>
        <v>1682.777</v>
      </c>
      <c r="U7" s="13">
        <f>_xll.BDH("SRPT US Equity","CASH_AND_MARKETABLE_SECURITIES","FQ1 2024","FQ1 2024","Currency=USD","Period=FQ","BEST_FPERIOD_OVERRIDE=FQ","FILING_STATUS=MR","SCALING_FORMAT=MLN","Sort=A","Dates=H","DateFormat=P","Fill=—","Direction=H","UseDPDF=Y")</f>
        <v>1406.3219999999999</v>
      </c>
      <c r="V7" s="13">
        <f>_xll.BDH("SRPT US Equity","CASH_AND_MARKETABLE_SECURITIES","FQ2 2024","FQ2 2024","Currency=USD","Period=FQ","BEST_FPERIOD_OVERRIDE=FQ","FILING_STATUS=MR","SCALING_FORMAT=MLN","Sort=A","Dates=H","DateFormat=P","Fill=—","Direction=H","UseDPDF=Y")</f>
        <v>1476.0530000000001</v>
      </c>
      <c r="W7" s="13">
        <f>_xll.BDH("SRPT US Equity","CASH_AND_MARKETABLE_SECURITIES","FQ3 2024","FQ3 2024","Currency=USD","Period=FQ","BEST_FPERIOD_OVERRIDE=FQ","FILING_STATUS=MR","SCALING_FORMAT=MLN","Sort=A","Dates=H","DateFormat=P","Fill=—","Direction=H","UseDPDF=Y")</f>
        <v>1203.1120000000001</v>
      </c>
      <c r="X7" s="13">
        <f>_xll.BDH("SRPT US Equity","CASH_AND_MARKETABLE_SECURITIES","FQ4 2024","FQ4 2024","Currency=USD","Period=FQ","BEST_FPERIOD_OVERRIDE=FQ","FILING_STATUS=MR","SCALING_FORMAT=MLN","Sort=A","Dates=H","DateFormat=P","Fill=—","Direction=H","UseDPDF=Y")</f>
        <v>1358.502</v>
      </c>
      <c r="Y7" s="16">
        <v>1358.502</v>
      </c>
      <c r="Z7" s="13"/>
      <c r="AA7" s="13"/>
    </row>
    <row r="8" spans="1:27" x14ac:dyDescent="0.25">
      <c r="A8" s="10" t="s">
        <v>167</v>
      </c>
      <c r="B8" s="10" t="s">
        <v>168</v>
      </c>
      <c r="C8" s="13">
        <f>_xll.BDH("SRPT US Equity","PFD_EQTY_HYBRID_CAPITAL","FQ3 2019","FQ3 2019","Currency=USD","Period=FQ","BEST_FPERIOD_OVERRIDE=FQ","FILING_STATUS=MR","SCALING_FORMAT=MLN","Sort=A","Dates=H","DateFormat=P","Fill=—","Direction=H","UseDPDF=Y")</f>
        <v>0</v>
      </c>
      <c r="D8" s="13">
        <f>_xll.BDH("SRPT US Equity","PFD_EQTY_HYBRID_CAPITAL","FQ4 2019","FQ4 2019","Currency=USD","Period=FQ","BEST_FPERIOD_OVERRIDE=FQ","FILING_STATUS=MR","SCALING_FORMAT=MLN","Sort=A","Dates=H","DateFormat=P","Fill=—","Direction=H","UseDPDF=Y")</f>
        <v>0</v>
      </c>
      <c r="E8" s="13">
        <f>_xll.BDH("SRPT US Equity","PFD_EQTY_HYBRID_CAPITAL","FQ1 2020","FQ1 2020","Currency=USD","Period=FQ","BEST_FPERIOD_OVERRIDE=FQ","FILING_STATUS=MR","SCALING_FORMAT=MLN","Sort=A","Dates=H","DateFormat=P","Fill=—","Direction=H","UseDPDF=Y")</f>
        <v>0</v>
      </c>
      <c r="F8" s="13">
        <f>_xll.BDH("SRPT US Equity","PFD_EQTY_HYBRID_CAPITAL","FQ2 2020","FQ2 2020","Currency=USD","Period=FQ","BEST_FPERIOD_OVERRIDE=FQ","FILING_STATUS=MR","SCALING_FORMAT=MLN","Sort=A","Dates=H","DateFormat=P","Fill=—","Direction=H","UseDPDF=Y")</f>
        <v>0</v>
      </c>
      <c r="G8" s="13">
        <f>_xll.BDH("SRPT US Equity","PFD_EQTY_HYBRID_CAPITAL","FQ3 2020","FQ3 2020","Currency=USD","Period=FQ","BEST_FPERIOD_OVERRIDE=FQ","FILING_STATUS=MR","SCALING_FORMAT=MLN","Sort=A","Dates=H","DateFormat=P","Fill=—","Direction=H","UseDPDF=Y")</f>
        <v>0</v>
      </c>
      <c r="H8" s="13">
        <f>_xll.BDH("SRPT US Equity","PFD_EQTY_HYBRID_CAPITAL","FQ4 2020","FQ4 2020","Currency=USD","Period=FQ","BEST_FPERIOD_OVERRIDE=FQ","FILING_STATUS=MR","SCALING_FORMAT=MLN","Sort=A","Dates=H","DateFormat=P","Fill=—","Direction=H","UseDPDF=Y")</f>
        <v>0</v>
      </c>
      <c r="I8" s="13">
        <f>_xll.BDH("SRPT US Equity","PFD_EQTY_HYBRID_CAPITAL","FQ1 2021","FQ1 2021","Currency=USD","Period=FQ","BEST_FPERIOD_OVERRIDE=FQ","FILING_STATUS=MR","SCALING_FORMAT=MLN","Sort=A","Dates=H","DateFormat=P","Fill=—","Direction=H","UseDPDF=Y")</f>
        <v>0</v>
      </c>
      <c r="J8" s="13">
        <f>_xll.BDH("SRPT US Equity","PFD_EQTY_HYBRID_CAPITAL","FQ2 2021","FQ2 2021","Currency=USD","Period=FQ","BEST_FPERIOD_OVERRIDE=FQ","FILING_STATUS=MR","SCALING_FORMAT=MLN","Sort=A","Dates=H","DateFormat=P","Fill=—","Direction=H","UseDPDF=Y")</f>
        <v>0</v>
      </c>
      <c r="K8" s="13">
        <f>_xll.BDH("SRPT US Equity","PFD_EQTY_HYBRID_CAPITAL","FQ3 2021","FQ3 2021","Currency=USD","Period=FQ","BEST_FPERIOD_OVERRIDE=FQ","FILING_STATUS=MR","SCALING_FORMAT=MLN","Sort=A","Dates=H","DateFormat=P","Fill=—","Direction=H","UseDPDF=Y")</f>
        <v>0</v>
      </c>
      <c r="L8" s="13">
        <f>_xll.BDH("SRPT US Equity","PFD_EQTY_HYBRID_CAPITAL","FQ4 2021","FQ4 2021","Currency=USD","Period=FQ","BEST_FPERIOD_OVERRIDE=FQ","FILING_STATUS=MR","SCALING_FORMAT=MLN","Sort=A","Dates=H","DateFormat=P","Fill=—","Direction=H","UseDPDF=Y")</f>
        <v>0</v>
      </c>
      <c r="M8" s="13">
        <f>_xll.BDH("SRPT US Equity","PFD_EQTY_HYBRID_CAPITAL","FQ1 2022","FQ1 2022","Currency=USD","Period=FQ","BEST_FPERIOD_OVERRIDE=FQ","FILING_STATUS=MR","SCALING_FORMAT=MLN","Sort=A","Dates=H","DateFormat=P","Fill=—","Direction=H","UseDPDF=Y")</f>
        <v>0</v>
      </c>
      <c r="N8" s="13">
        <f>_xll.BDH("SRPT US Equity","PFD_EQTY_HYBRID_CAPITAL","FQ2 2022","FQ2 2022","Currency=USD","Period=FQ","BEST_FPERIOD_OVERRIDE=FQ","FILING_STATUS=MR","SCALING_FORMAT=MLN","Sort=A","Dates=H","DateFormat=P","Fill=—","Direction=H","UseDPDF=Y")</f>
        <v>0</v>
      </c>
      <c r="O8" s="13">
        <f>_xll.BDH("SRPT US Equity","PFD_EQTY_HYBRID_CAPITAL","FQ3 2022","FQ3 2022","Currency=USD","Period=FQ","BEST_FPERIOD_OVERRIDE=FQ","FILING_STATUS=MR","SCALING_FORMAT=MLN","Sort=A","Dates=H","DateFormat=P","Fill=—","Direction=H","UseDPDF=Y")</f>
        <v>0</v>
      </c>
      <c r="P8" s="13">
        <f>_xll.BDH("SRPT US Equity","PFD_EQTY_HYBRID_CAPITAL","FQ4 2022","FQ4 2022","Currency=USD","Period=FQ","BEST_FPERIOD_OVERRIDE=FQ","FILING_STATUS=MR","SCALING_FORMAT=MLN","Sort=A","Dates=H","DateFormat=P","Fill=—","Direction=H","UseDPDF=Y")</f>
        <v>0</v>
      </c>
      <c r="Q8" s="13">
        <f>_xll.BDH("SRPT US Equity","PFD_EQTY_HYBRID_CAPITAL","FQ1 2023","FQ1 2023","Currency=USD","Period=FQ","BEST_FPERIOD_OVERRIDE=FQ","FILING_STATUS=MR","SCALING_FORMAT=MLN","Sort=A","Dates=H","DateFormat=P","Fill=—","Direction=H","UseDPDF=Y")</f>
        <v>0</v>
      </c>
      <c r="R8" s="13">
        <f>_xll.BDH("SRPT US Equity","PFD_EQTY_HYBRID_CAPITAL","FQ2 2023","FQ2 2023","Currency=USD","Period=FQ","BEST_FPERIOD_OVERRIDE=FQ","FILING_STATUS=MR","SCALING_FORMAT=MLN","Sort=A","Dates=H","DateFormat=P","Fill=—","Direction=H","UseDPDF=Y")</f>
        <v>0</v>
      </c>
      <c r="S8" s="13">
        <f>_xll.BDH("SRPT US Equity","PFD_EQTY_HYBRID_CAPITAL","FQ3 2023","FQ3 2023","Currency=USD","Period=FQ","BEST_FPERIOD_OVERRIDE=FQ","FILING_STATUS=MR","SCALING_FORMAT=MLN","Sort=A","Dates=H","DateFormat=P","Fill=—","Direction=H","UseDPDF=Y")</f>
        <v>0</v>
      </c>
      <c r="T8" s="13">
        <f>_xll.BDH("SRPT US Equity","PFD_EQTY_HYBRID_CAPITAL","FQ4 2023","FQ4 2023","Currency=USD","Period=FQ","BEST_FPERIOD_OVERRIDE=FQ","FILING_STATUS=MR","SCALING_FORMAT=MLN","Sort=A","Dates=H","DateFormat=P","Fill=—","Direction=H","UseDPDF=Y")</f>
        <v>0</v>
      </c>
      <c r="U8" s="13">
        <f>_xll.BDH("SRPT US Equity","PFD_EQTY_HYBRID_CAPITAL","FQ1 2024","FQ1 2024","Currency=USD","Period=FQ","BEST_FPERIOD_OVERRIDE=FQ","FILING_STATUS=MR","SCALING_FORMAT=MLN","Sort=A","Dates=H","DateFormat=P","Fill=—","Direction=H","UseDPDF=Y")</f>
        <v>0</v>
      </c>
      <c r="V8" s="13">
        <f>_xll.BDH("SRPT US Equity","PFD_EQTY_HYBRID_CAPITAL","FQ2 2024","FQ2 2024","Currency=USD","Period=FQ","BEST_FPERIOD_OVERRIDE=FQ","FILING_STATUS=MR","SCALING_FORMAT=MLN","Sort=A","Dates=H","DateFormat=P","Fill=—","Direction=H","UseDPDF=Y")</f>
        <v>0</v>
      </c>
      <c r="W8" s="13">
        <f>_xll.BDH("SRPT US Equity","PFD_EQTY_HYBRID_CAPITAL","FQ3 2024","FQ3 2024","Currency=USD","Period=FQ","BEST_FPERIOD_OVERRIDE=FQ","FILING_STATUS=MR","SCALING_FORMAT=MLN","Sort=A","Dates=H","DateFormat=P","Fill=—","Direction=H","UseDPDF=Y")</f>
        <v>0</v>
      </c>
      <c r="X8" s="13">
        <f>_xll.BDH("SRPT US Equity","PFD_EQTY_HYBRID_CAPITAL","FQ4 2024","FQ4 2024","Currency=USD","Period=FQ","BEST_FPERIOD_OVERRIDE=FQ","FILING_STATUS=MR","SCALING_FORMAT=MLN","Sort=A","Dates=H","DateFormat=P","Fill=—","Direction=H","UseDPDF=Y")</f>
        <v>0</v>
      </c>
      <c r="Y8" s="16">
        <v>0</v>
      </c>
      <c r="Z8" s="13"/>
      <c r="AA8" s="13"/>
    </row>
    <row r="9" spans="1:27" x14ac:dyDescent="0.25">
      <c r="A9" s="10" t="s">
        <v>169</v>
      </c>
      <c r="B9" s="10" t="s">
        <v>170</v>
      </c>
      <c r="C9" s="13">
        <f>_xll.BDH("SRPT US Equity","MINORITY_NONCONTROLLING_INTEREST","FQ3 2019","FQ3 2019","Currency=USD","Period=FQ","BEST_FPERIOD_OVERRIDE=FQ","FILING_STATUS=MR","SCALING_FORMAT=MLN","Sort=A","Dates=H","DateFormat=P","Fill=—","Direction=H","UseDPDF=Y")</f>
        <v>0</v>
      </c>
      <c r="D9" s="13">
        <f>_xll.BDH("SRPT US Equity","MINORITY_NONCONTROLLING_INTEREST","FQ4 2019","FQ4 2019","Currency=USD","Period=FQ","BEST_FPERIOD_OVERRIDE=FQ","FILING_STATUS=MR","SCALING_FORMAT=MLN","Sort=A","Dates=H","DateFormat=P","Fill=—","Direction=H","UseDPDF=Y")</f>
        <v>0</v>
      </c>
      <c r="E9" s="13">
        <f>_xll.BDH("SRPT US Equity","MINORITY_NONCONTROLLING_INTEREST","FQ1 2020","FQ1 2020","Currency=USD","Period=FQ","BEST_FPERIOD_OVERRIDE=FQ","FILING_STATUS=MR","SCALING_FORMAT=MLN","Sort=A","Dates=H","DateFormat=P","Fill=—","Direction=H","UseDPDF=Y")</f>
        <v>0</v>
      </c>
      <c r="F9" s="13">
        <f>_xll.BDH("SRPT US Equity","MINORITY_NONCONTROLLING_INTEREST","FQ2 2020","FQ2 2020","Currency=USD","Period=FQ","BEST_FPERIOD_OVERRIDE=FQ","FILING_STATUS=MR","SCALING_FORMAT=MLN","Sort=A","Dates=H","DateFormat=P","Fill=—","Direction=H","UseDPDF=Y")</f>
        <v>0</v>
      </c>
      <c r="G9" s="13">
        <f>_xll.BDH("SRPT US Equity","MINORITY_NONCONTROLLING_INTEREST","FQ3 2020","FQ3 2020","Currency=USD","Period=FQ","BEST_FPERIOD_OVERRIDE=FQ","FILING_STATUS=MR","SCALING_FORMAT=MLN","Sort=A","Dates=H","DateFormat=P","Fill=—","Direction=H","UseDPDF=Y")</f>
        <v>0</v>
      </c>
      <c r="H9" s="13">
        <f>_xll.BDH("SRPT US Equity","MINORITY_NONCONTROLLING_INTEREST","FQ4 2020","FQ4 2020","Currency=USD","Period=FQ","BEST_FPERIOD_OVERRIDE=FQ","FILING_STATUS=MR","SCALING_FORMAT=MLN","Sort=A","Dates=H","DateFormat=P","Fill=—","Direction=H","UseDPDF=Y")</f>
        <v>0</v>
      </c>
      <c r="I9" s="13">
        <f>_xll.BDH("SRPT US Equity","MINORITY_NONCONTROLLING_INTEREST","FQ1 2021","FQ1 2021","Currency=USD","Period=FQ","BEST_FPERIOD_OVERRIDE=FQ","FILING_STATUS=MR","SCALING_FORMAT=MLN","Sort=A","Dates=H","DateFormat=P","Fill=—","Direction=H","UseDPDF=Y")</f>
        <v>0</v>
      </c>
      <c r="J9" s="13">
        <f>_xll.BDH("SRPT US Equity","MINORITY_NONCONTROLLING_INTEREST","FQ2 2021","FQ2 2021","Currency=USD","Period=FQ","BEST_FPERIOD_OVERRIDE=FQ","FILING_STATUS=MR","SCALING_FORMAT=MLN","Sort=A","Dates=H","DateFormat=P","Fill=—","Direction=H","UseDPDF=Y")</f>
        <v>0</v>
      </c>
      <c r="K9" s="13">
        <f>_xll.BDH("SRPT US Equity","MINORITY_NONCONTROLLING_INTEREST","FQ3 2021","FQ3 2021","Currency=USD","Period=FQ","BEST_FPERIOD_OVERRIDE=FQ","FILING_STATUS=MR","SCALING_FORMAT=MLN","Sort=A","Dates=H","DateFormat=P","Fill=—","Direction=H","UseDPDF=Y")</f>
        <v>0</v>
      </c>
      <c r="L9" s="13">
        <f>_xll.BDH("SRPT US Equity","MINORITY_NONCONTROLLING_INTEREST","FQ4 2021","FQ4 2021","Currency=USD","Period=FQ","BEST_FPERIOD_OVERRIDE=FQ","FILING_STATUS=MR","SCALING_FORMAT=MLN","Sort=A","Dates=H","DateFormat=P","Fill=—","Direction=H","UseDPDF=Y")</f>
        <v>0</v>
      </c>
      <c r="M9" s="13">
        <f>_xll.BDH("SRPT US Equity","MINORITY_NONCONTROLLING_INTEREST","FQ1 2022","FQ1 2022","Currency=USD","Period=FQ","BEST_FPERIOD_OVERRIDE=FQ","FILING_STATUS=MR","SCALING_FORMAT=MLN","Sort=A","Dates=H","DateFormat=P","Fill=—","Direction=H","UseDPDF=Y")</f>
        <v>0</v>
      </c>
      <c r="N9" s="13">
        <f>_xll.BDH("SRPT US Equity","MINORITY_NONCONTROLLING_INTEREST","FQ2 2022","FQ2 2022","Currency=USD","Period=FQ","BEST_FPERIOD_OVERRIDE=FQ","FILING_STATUS=MR","SCALING_FORMAT=MLN","Sort=A","Dates=H","DateFormat=P","Fill=—","Direction=H","UseDPDF=Y")</f>
        <v>0</v>
      </c>
      <c r="O9" s="13">
        <f>_xll.BDH("SRPT US Equity","MINORITY_NONCONTROLLING_INTEREST","FQ3 2022","FQ3 2022","Currency=USD","Period=FQ","BEST_FPERIOD_OVERRIDE=FQ","FILING_STATUS=MR","SCALING_FORMAT=MLN","Sort=A","Dates=H","DateFormat=P","Fill=—","Direction=H","UseDPDF=Y")</f>
        <v>0</v>
      </c>
      <c r="P9" s="13">
        <f>_xll.BDH("SRPT US Equity","MINORITY_NONCONTROLLING_INTEREST","FQ4 2022","FQ4 2022","Currency=USD","Period=FQ","BEST_FPERIOD_OVERRIDE=FQ","FILING_STATUS=MR","SCALING_FORMAT=MLN","Sort=A","Dates=H","DateFormat=P","Fill=—","Direction=H","UseDPDF=Y")</f>
        <v>0</v>
      </c>
      <c r="Q9" s="13">
        <f>_xll.BDH("SRPT US Equity","MINORITY_NONCONTROLLING_INTEREST","FQ1 2023","FQ1 2023","Currency=USD","Period=FQ","BEST_FPERIOD_OVERRIDE=FQ","FILING_STATUS=MR","SCALING_FORMAT=MLN","Sort=A","Dates=H","DateFormat=P","Fill=—","Direction=H","UseDPDF=Y")</f>
        <v>0</v>
      </c>
      <c r="R9" s="13">
        <f>_xll.BDH("SRPT US Equity","MINORITY_NONCONTROLLING_INTEREST","FQ2 2023","FQ2 2023","Currency=USD","Period=FQ","BEST_FPERIOD_OVERRIDE=FQ","FILING_STATUS=MR","SCALING_FORMAT=MLN","Sort=A","Dates=H","DateFormat=P","Fill=—","Direction=H","UseDPDF=Y")</f>
        <v>0</v>
      </c>
      <c r="S9" s="13">
        <f>_xll.BDH("SRPT US Equity","MINORITY_NONCONTROLLING_INTEREST","FQ3 2023","FQ3 2023","Currency=USD","Period=FQ","BEST_FPERIOD_OVERRIDE=FQ","FILING_STATUS=MR","SCALING_FORMAT=MLN","Sort=A","Dates=H","DateFormat=P","Fill=—","Direction=H","UseDPDF=Y")</f>
        <v>0</v>
      </c>
      <c r="T9" s="13">
        <f>_xll.BDH("SRPT US Equity","MINORITY_NONCONTROLLING_INTEREST","FQ4 2023","FQ4 2023","Currency=USD","Period=FQ","BEST_FPERIOD_OVERRIDE=FQ","FILING_STATUS=MR","SCALING_FORMAT=MLN","Sort=A","Dates=H","DateFormat=P","Fill=—","Direction=H","UseDPDF=Y")</f>
        <v>0</v>
      </c>
      <c r="U9" s="13">
        <f>_xll.BDH("SRPT US Equity","MINORITY_NONCONTROLLING_INTEREST","FQ1 2024","FQ1 2024","Currency=USD","Period=FQ","BEST_FPERIOD_OVERRIDE=FQ","FILING_STATUS=MR","SCALING_FORMAT=MLN","Sort=A","Dates=H","DateFormat=P","Fill=—","Direction=H","UseDPDF=Y")</f>
        <v>0</v>
      </c>
      <c r="V9" s="13">
        <f>_xll.BDH("SRPT US Equity","MINORITY_NONCONTROLLING_INTEREST","FQ2 2024","FQ2 2024","Currency=USD","Period=FQ","BEST_FPERIOD_OVERRIDE=FQ","FILING_STATUS=MR","SCALING_FORMAT=MLN","Sort=A","Dates=H","DateFormat=P","Fill=—","Direction=H","UseDPDF=Y")</f>
        <v>0</v>
      </c>
      <c r="W9" s="13">
        <f>_xll.BDH("SRPT US Equity","MINORITY_NONCONTROLLING_INTEREST","FQ3 2024","FQ3 2024","Currency=USD","Period=FQ","BEST_FPERIOD_OVERRIDE=FQ","FILING_STATUS=MR","SCALING_FORMAT=MLN","Sort=A","Dates=H","DateFormat=P","Fill=—","Direction=H","UseDPDF=Y")</f>
        <v>0</v>
      </c>
      <c r="X9" s="13">
        <f>_xll.BDH("SRPT US Equity","MINORITY_NONCONTROLLING_INTEREST","FQ4 2024","FQ4 2024","Currency=USD","Period=FQ","BEST_FPERIOD_OVERRIDE=FQ","FILING_STATUS=MR","SCALING_FORMAT=MLN","Sort=A","Dates=H","DateFormat=P","Fill=—","Direction=H","UseDPDF=Y")</f>
        <v>0</v>
      </c>
      <c r="Y9" s="16">
        <v>0</v>
      </c>
      <c r="Z9" s="13"/>
      <c r="AA9" s="13"/>
    </row>
    <row r="10" spans="1:27" x14ac:dyDescent="0.25">
      <c r="A10" s="10" t="s">
        <v>171</v>
      </c>
      <c r="B10" s="10" t="s">
        <v>296</v>
      </c>
      <c r="C10" s="13">
        <f>_xll.BDH("SRPT US Equity","TOT_DEBT_EX_OPERATING_LEA_LIABS","FQ3 2019","FQ3 2019","Currency=USD","Period=FQ","BEST_FPERIOD_OVERRIDE=FQ","FILING_STATUS=MR","SCALING_FORMAT=MLN","Sort=A","Dates=H","DateFormat=P","Fill=—","Direction=H","UseDPDF=Y")</f>
        <v>436.42099999999999</v>
      </c>
      <c r="D10" s="13">
        <f>_xll.BDH("SRPT US Equity","TOT_DEBT_EX_OPERATING_LEA_LIABS","FQ4 2019","FQ4 2019","Currency=USD","Period=FQ","BEST_FPERIOD_OVERRIDE=FQ","FILING_STATUS=MR","SCALING_FORMAT=MLN","Sort=A","Dates=H","DateFormat=P","Fill=—","Direction=H","UseDPDF=Y")</f>
        <v>681.9</v>
      </c>
      <c r="E10" s="13">
        <f>_xll.BDH("SRPT US Equity","TOT_DEBT_EX_OPERATING_LEA_LIABS","FQ1 2020","FQ1 2020","Currency=USD","Period=FQ","BEST_FPERIOD_OVERRIDE=FQ","FILING_STATUS=MR","SCALING_FORMAT=MLN","Sort=A","Dates=H","DateFormat=P","Fill=—","Direction=H","UseDPDF=Y")</f>
        <v>687.95299999999997</v>
      </c>
      <c r="F10" s="13">
        <f>_xll.BDH("SRPT US Equity","TOT_DEBT_EX_OPERATING_LEA_LIABS","FQ2 2020","FQ2 2020","Currency=USD","Period=FQ","BEST_FPERIOD_OVERRIDE=FQ","FILING_STATUS=MR","SCALING_FORMAT=MLN","Sort=A","Dates=H","DateFormat=P","Fill=—","Direction=H","UseDPDF=Y")</f>
        <v>694.15599999999995</v>
      </c>
      <c r="G10" s="13">
        <f>_xll.BDH("SRPT US Equity","TOT_DEBT_EX_OPERATING_LEA_LIABS","FQ3 2020","FQ3 2020","Currency=USD","Period=FQ","BEST_FPERIOD_OVERRIDE=FQ","FILING_STATUS=MR","SCALING_FORMAT=MLN","Sort=A","Dates=H","DateFormat=P","Fill=—","Direction=H","UseDPDF=Y")</f>
        <v>700.47</v>
      </c>
      <c r="H10" s="13">
        <f>_xll.BDH("SRPT US Equity","TOT_DEBT_EX_OPERATING_LEA_LIABS","FQ4 2020","FQ4 2020","Currency=USD","Period=FQ","BEST_FPERIOD_OVERRIDE=FQ","FILING_STATUS=MR","SCALING_FORMAT=MLN","Sort=A","Dates=H","DateFormat=P","Fill=—","Direction=H","UseDPDF=Y")</f>
        <v>992.49300000000005</v>
      </c>
      <c r="I10" s="13">
        <f>_xll.BDH("SRPT US Equity","TOT_DEBT_EX_OPERATING_LEA_LIABS","FQ1 2021","FQ1 2021","Currency=USD","Period=FQ","BEST_FPERIOD_OVERRIDE=FQ","FILING_STATUS=MR","SCALING_FORMAT=MLN","Sort=A","Dates=H","DateFormat=P","Fill=—","Direction=H","UseDPDF=Y")</f>
        <v>1091.1099999999999</v>
      </c>
      <c r="J10" s="13">
        <f>_xll.BDH("SRPT US Equity","TOT_DEBT_EX_OPERATING_LEA_LIABS","FQ2 2021","FQ2 2021","Currency=USD","Period=FQ","BEST_FPERIOD_OVERRIDE=FQ","FILING_STATUS=MR","SCALING_FORMAT=MLN","Sort=A","Dates=H","DateFormat=P","Fill=—","Direction=H","UseDPDF=Y")</f>
        <v>1092.9849999999999</v>
      </c>
      <c r="K10" s="13">
        <f>_xll.BDH("SRPT US Equity","TOT_DEBT_EX_OPERATING_LEA_LIABS","FQ3 2021","FQ3 2021","Currency=USD","Period=FQ","BEST_FPERIOD_OVERRIDE=FQ","FILING_STATUS=MR","SCALING_FORMAT=MLN","Sort=A","Dates=H","DateFormat=P","Fill=—","Direction=H","UseDPDF=Y")</f>
        <v>1094.912</v>
      </c>
      <c r="L10" s="13">
        <f>_xll.BDH("SRPT US Equity","TOT_DEBT_EX_OPERATING_LEA_LIABS","FQ4 2021","FQ4 2021","Currency=USD","Period=FQ","BEST_FPERIOD_OVERRIDE=FQ","FILING_STATUS=MR","SCALING_FORMAT=MLN","Sort=A","Dates=H","DateFormat=P","Fill=—","Direction=H","UseDPDF=Y")</f>
        <v>1096.876</v>
      </c>
      <c r="M10" s="13">
        <f>_xll.BDH("SRPT US Equity","TOT_DEBT_EX_OPERATING_LEA_LIABS","FQ1 2022","FQ1 2022","Currency=USD","Period=FQ","BEST_FPERIOD_OVERRIDE=FQ","FILING_STATUS=MR","SCALING_FORMAT=MLN","Sort=A","Dates=H","DateFormat=P","Fill=—","Direction=H","UseDPDF=Y")</f>
        <v>1098.847</v>
      </c>
      <c r="N10" s="13">
        <f>_xll.BDH("SRPT US Equity","TOT_DEBT_EX_OPERATING_LEA_LIABS","FQ2 2022","FQ2 2022","Currency=USD","Period=FQ","BEST_FPERIOD_OVERRIDE=FQ","FILING_STATUS=MR","SCALING_FORMAT=MLN","Sort=A","Dates=H","DateFormat=P","Fill=—","Direction=H","UseDPDF=Y")</f>
        <v>1100.873</v>
      </c>
      <c r="O10" s="13">
        <f>_xll.BDH("SRPT US Equity","TOT_DEBT_EX_OPERATING_LEA_LIABS","FQ3 2022","FQ3 2022","Currency=USD","Period=FQ","BEST_FPERIOD_OVERRIDE=FQ","FILING_STATUS=MR","SCALING_FORMAT=MLN","Sort=A","Dates=H","DateFormat=P","Fill=—","Direction=H","UseDPDF=Y")</f>
        <v>1542.77</v>
      </c>
      <c r="P10" s="13">
        <f>_xll.BDH("SRPT US Equity","TOT_DEBT_EX_OPERATING_LEA_LIABS","FQ4 2022","FQ4 2022","Currency=USD","Period=FQ","BEST_FPERIOD_OVERRIDE=FQ","FILING_STATUS=MR","SCALING_FORMAT=MLN","Sort=A","Dates=H","DateFormat=P","Fill=—","Direction=H","UseDPDF=Y")</f>
        <v>1544.2919999999999</v>
      </c>
      <c r="Q10" s="13">
        <f>_xll.BDH("SRPT US Equity","TOT_DEBT_EX_OPERATING_LEA_LIABS","FQ1 2023","FQ1 2023","Currency=USD","Period=FQ","BEST_FPERIOD_OVERRIDE=FQ","FILING_STATUS=MR","SCALING_FORMAT=MLN","Sort=A","Dates=H","DateFormat=P","Fill=—","Direction=H","UseDPDF=Y")</f>
        <v>1234.2840000000001</v>
      </c>
      <c r="R10" s="13">
        <f>_xll.BDH("SRPT US Equity","TOT_DEBT_EX_OPERATING_LEA_LIABS","FQ2 2023","FQ2 2023","Currency=USD","Period=FQ","BEST_FPERIOD_OVERRIDE=FQ","FILING_STATUS=MR","SCALING_FORMAT=MLN","Sort=A","Dates=H","DateFormat=P","Fill=—","Direction=H","UseDPDF=Y")</f>
        <v>1235.5170000000001</v>
      </c>
      <c r="S10" s="13">
        <f>_xll.BDH("SRPT US Equity","TOT_DEBT_EX_OPERATING_LEA_LIABS","FQ3 2023","FQ3 2023","Currency=USD","Period=FQ","BEST_FPERIOD_OVERRIDE=FQ","FILING_STATUS=MR","SCALING_FORMAT=MLN","Sort=A","Dates=H","DateFormat=P","Fill=—","Direction=H","UseDPDF=Y")</f>
        <v>1236.7550000000001</v>
      </c>
      <c r="T10" s="13">
        <f>_xll.BDH("SRPT US Equity","TOT_DEBT_EX_OPERATING_LEA_LIABS","FQ4 2023","FQ4 2023","Currency=USD","Period=FQ","BEST_FPERIOD_OVERRIDE=FQ","FILING_STATUS=MR","SCALING_FORMAT=MLN","Sort=A","Dates=H","DateFormat=P","Fill=—","Direction=H","UseDPDF=Y")</f>
        <v>1237.998</v>
      </c>
      <c r="U10" s="13">
        <f>_xll.BDH("SRPT US Equity","TOT_DEBT_EX_OPERATING_LEA_LIABS","FQ1 2024","FQ1 2024","Currency=USD","Period=FQ","BEST_FPERIOD_OVERRIDE=FQ","FILING_STATUS=MR","SCALING_FORMAT=MLN","Sort=A","Dates=H","DateFormat=P","Fill=—","Direction=H","UseDPDF=Y")</f>
        <v>1239.2460000000001</v>
      </c>
      <c r="V10" s="13">
        <f>_xll.BDH("SRPT US Equity","TOT_DEBT_EX_OPERATING_LEA_LIABS","FQ2 2024","FQ2 2024","Currency=USD","Period=FQ","BEST_FPERIOD_OVERRIDE=FQ","FILING_STATUS=MR","SCALING_FORMAT=MLN","Sort=A","Dates=H","DateFormat=P","Fill=—","Direction=H","UseDPDF=Y")</f>
        <v>1226.3150000000001</v>
      </c>
      <c r="W10" s="13">
        <f>_xll.BDH("SRPT US Equity","TOT_DEBT_EX_OPERATING_LEA_LIABS","FQ3 2024","FQ3 2024","Currency=USD","Period=FQ","BEST_FPERIOD_OVERRIDE=FQ","FILING_STATUS=MR","SCALING_FORMAT=MLN","Sort=A","Dates=H","DateFormat=P","Fill=—","Direction=H","UseDPDF=Y")</f>
        <v>1227.56</v>
      </c>
      <c r="X10" s="13">
        <f>_xll.BDH("SRPT US Equity","TOT_DEBT_EX_OPERATING_LEA_LIABS","FQ4 2024","FQ4 2024","Currency=USD","Period=FQ","BEST_FPERIOD_OVERRIDE=FQ","FILING_STATUS=MR","SCALING_FORMAT=MLN","Sort=A","Dates=H","DateFormat=P","Fill=—","Direction=H","UseDPDF=Y")</f>
        <v>1137.124</v>
      </c>
      <c r="Y10" s="16">
        <v>1137.124</v>
      </c>
      <c r="Z10" s="13"/>
      <c r="AA10" s="13"/>
    </row>
    <row r="11" spans="1:27" x14ac:dyDescent="0.25">
      <c r="A11" s="10" t="s">
        <v>68</v>
      </c>
      <c r="B11" s="10" t="s">
        <v>297</v>
      </c>
      <c r="C11" s="13">
        <f>_xll.BDH("SRPT US Equity","EV_EX_OPERATING_LEASE_LIABS","FQ3 2019","FQ3 2019","Currency=USD","Period=FQ","BEST_FPERIOD_OVERRIDE=FQ","FILING_STATUS=MR","SCALING_FORMAT=MLN","Sort=A","Dates=H","DateFormat=P","Fill=—","Direction=H","UseDPDF=Y")</f>
        <v>4999.2331999999997</v>
      </c>
      <c r="D11" s="13">
        <f>_xll.BDH("SRPT US Equity","EV_EX_OPERATING_LEASE_LIABS","FQ4 2019","FQ4 2019","Currency=USD","Period=FQ","BEST_FPERIOD_OVERRIDE=FQ","FILING_STATUS=MR","SCALING_FORMAT=MLN","Sort=A","Dates=H","DateFormat=P","Fill=—","Direction=H","UseDPDF=Y")</f>
        <v>9259.0066999999999</v>
      </c>
      <c r="E11" s="13">
        <f>_xll.BDH("SRPT US Equity","EV_EX_OPERATING_LEASE_LIABS","FQ1 2020","FQ1 2020","Currency=USD","Period=FQ","BEST_FPERIOD_OVERRIDE=FQ","FILING_STATUS=MR","SCALING_FORMAT=MLN","Sort=A","Dates=H","DateFormat=P","Fill=—","Direction=H","UseDPDF=Y")</f>
        <v>6133.0659999999998</v>
      </c>
      <c r="F11" s="13">
        <f>_xll.BDH("SRPT US Equity","EV_EX_OPERATING_LEASE_LIABS","FQ2 2020","FQ2 2020","Currency=USD","Period=FQ","BEST_FPERIOD_OVERRIDE=FQ","FILING_STATUS=MR","SCALING_FORMAT=MLN","Sort=A","Dates=H","DateFormat=P","Fill=—","Direction=H","UseDPDF=Y")</f>
        <v>11199.1083</v>
      </c>
      <c r="G11" s="13">
        <f>_xll.BDH("SRPT US Equity","EV_EX_OPERATING_LEASE_LIABS","FQ3 2020","FQ3 2020","Currency=USD","Period=FQ","BEST_FPERIOD_OVERRIDE=FQ","FILING_STATUS=MR","SCALING_FORMAT=MLN","Sort=A","Dates=H","DateFormat=P","Fill=—","Direction=H","UseDPDF=Y")</f>
        <v>9939.2459999999992</v>
      </c>
      <c r="H11" s="13">
        <f>_xll.BDH("SRPT US Equity","EV_EX_OPERATING_LEASE_LIABS","FQ4 2020","FQ4 2020","Currency=USD","Period=FQ","BEST_FPERIOD_OVERRIDE=FQ","FILING_STATUS=MR","SCALING_FORMAT=MLN","Sort=A","Dates=H","DateFormat=P","Fill=—","Direction=H","UseDPDF=Y")</f>
        <v>12577.1224</v>
      </c>
      <c r="I11" s="13">
        <f>_xll.BDH("SRPT US Equity","EV_EX_OPERATING_LEASE_LIABS","FQ1 2021","FQ1 2021","Currency=USD","Period=FQ","BEST_FPERIOD_OVERRIDE=FQ","FILING_STATUS=MR","SCALING_FORMAT=MLN","Sort=A","Dates=H","DateFormat=P","Fill=—","Direction=H","UseDPDF=Y")</f>
        <v>5287.5886</v>
      </c>
      <c r="J11" s="13">
        <f>_xll.BDH("SRPT US Equity","EV_EX_OPERATING_LEASE_LIABS","FQ2 2021","FQ2 2021","Currency=USD","Period=FQ","BEST_FPERIOD_OVERRIDE=FQ","FILING_STATUS=MR","SCALING_FORMAT=MLN","Sort=A","Dates=H","DateFormat=P","Fill=—","Direction=H","UseDPDF=Y")</f>
        <v>5562.4111999999996</v>
      </c>
      <c r="K11" s="13">
        <f>_xll.BDH("SRPT US Equity","EV_EX_OPERATING_LEASE_LIABS","FQ3 2021","FQ3 2021","Currency=USD","Period=FQ","BEST_FPERIOD_OVERRIDE=FQ","FILING_STATUS=MR","SCALING_FORMAT=MLN","Sort=A","Dates=H","DateFormat=P","Fill=—","Direction=H","UseDPDF=Y")</f>
        <v>6881.0486000000001</v>
      </c>
      <c r="L11" s="13">
        <f>_xll.BDH("SRPT US Equity","EV_EX_OPERATING_LEASE_LIABS","FQ4 2021","FQ4 2021","Currency=USD","Period=FQ","BEST_FPERIOD_OVERRIDE=FQ","FILING_STATUS=MR","SCALING_FORMAT=MLN","Sort=A","Dates=H","DateFormat=P","Fill=—","Direction=H","UseDPDF=Y")</f>
        <v>6816.8869999999997</v>
      </c>
      <c r="M11" s="13">
        <f>_xll.BDH("SRPT US Equity","EV_EX_OPERATING_LEASE_LIABS","FQ1 2022","FQ1 2022","Currency=USD","Period=FQ","BEST_FPERIOD_OVERRIDE=FQ","FILING_STATUS=MR","SCALING_FORMAT=MLN","Sort=A","Dates=H","DateFormat=P","Fill=—","Direction=H","UseDPDF=Y")</f>
        <v>5910.9247999999998</v>
      </c>
      <c r="N11" s="13">
        <f>_xll.BDH("SRPT US Equity","EV_EX_OPERATING_LEASE_LIABS","FQ2 2022","FQ2 2022","Currency=USD","Period=FQ","BEST_FPERIOD_OVERRIDE=FQ","FILING_STATUS=MR","SCALING_FORMAT=MLN","Sort=A","Dates=H","DateFormat=P","Fill=—","Direction=H","UseDPDF=Y")</f>
        <v>5716.0010000000002</v>
      </c>
      <c r="O11" s="13">
        <f>_xll.BDH("SRPT US Equity","EV_EX_OPERATING_LEASE_LIABS","FQ3 2022","FQ3 2022","Currency=USD","Period=FQ","BEST_FPERIOD_OVERRIDE=FQ","FILING_STATUS=MR","SCALING_FORMAT=MLN","Sort=A","Dates=H","DateFormat=P","Fill=—","Direction=H","UseDPDF=Y")</f>
        <v>9152.9375999999993</v>
      </c>
      <c r="P11" s="13">
        <f>_xll.BDH("SRPT US Equity","EV_EX_OPERATING_LEASE_LIABS","FQ4 2022","FQ4 2022","Currency=USD","Period=FQ","BEST_FPERIOD_OVERRIDE=FQ","FILING_STATUS=MR","SCALING_FORMAT=MLN","Sort=A","Dates=H","DateFormat=P","Fill=—","Direction=H","UseDPDF=Y")</f>
        <v>10932.4702</v>
      </c>
      <c r="Q11" s="13">
        <f>_xll.BDH("SRPT US Equity","EV_EX_OPERATING_LEASE_LIABS","FQ1 2023","FQ1 2023","Currency=USD","Period=FQ","BEST_FPERIOD_OVERRIDE=FQ","FILING_STATUS=MR","SCALING_FORMAT=MLN","Sort=A","Dates=H","DateFormat=P","Fill=—","Direction=H","UseDPDF=Y")</f>
        <v>12170.667799999999</v>
      </c>
      <c r="R11" s="13">
        <f>_xll.BDH("SRPT US Equity","EV_EX_OPERATING_LEASE_LIABS","FQ2 2023","FQ2 2023","Currency=USD","Period=FQ","BEST_FPERIOD_OVERRIDE=FQ","FILING_STATUS=MR","SCALING_FORMAT=MLN","Sort=A","Dates=H","DateFormat=P","Fill=—","Direction=H","UseDPDF=Y")</f>
        <v>10037.463900000001</v>
      </c>
      <c r="S11" s="13">
        <f>_xll.BDH("SRPT US Equity","EV_EX_OPERATING_LEASE_LIABS","FQ3 2023","FQ3 2023","Currency=USD","Period=FQ","BEST_FPERIOD_OVERRIDE=FQ","FILING_STATUS=MR","SCALING_FORMAT=MLN","Sort=A","Dates=H","DateFormat=P","Fill=—","Direction=H","UseDPDF=Y")</f>
        <v>10834.3112</v>
      </c>
      <c r="T11" s="13">
        <f>_xll.BDH("SRPT US Equity","EV_EX_OPERATING_LEASE_LIABS","FQ4 2023","FQ4 2023","Currency=USD","Period=FQ","BEST_FPERIOD_OVERRIDE=FQ","FILING_STATUS=MR","SCALING_FORMAT=MLN","Sort=A","Dates=H","DateFormat=P","Fill=—","Direction=H","UseDPDF=Y")</f>
        <v>8593.7814999999991</v>
      </c>
      <c r="U11" s="13">
        <f>_xll.BDH("SRPT US Equity","EV_EX_OPERATING_LEASE_LIABS","FQ1 2024","FQ1 2024","Currency=USD","Period=FQ","BEST_FPERIOD_OVERRIDE=FQ","FILING_STATUS=MR","SCALING_FORMAT=MLN","Sort=A","Dates=H","DateFormat=P","Fill=—","Direction=H","UseDPDF=Y")</f>
        <v>12065.619699999999</v>
      </c>
      <c r="V11" s="13">
        <f>_xll.BDH("SRPT US Equity","EV_EX_OPERATING_LEASE_LIABS","FQ2 2024","FQ2 2024","Currency=USD","Period=FQ","BEST_FPERIOD_OVERRIDE=FQ","FILING_STATUS=MR","SCALING_FORMAT=MLN","Sort=A","Dates=H","DateFormat=P","Fill=—","Direction=H","UseDPDF=Y")</f>
        <v>14804.9128</v>
      </c>
      <c r="W11" s="13">
        <f>_xll.BDH("SRPT US Equity","EV_EX_OPERATING_LEASE_LIABS","FQ3 2024","FQ3 2024","Currency=USD","Period=FQ","BEST_FPERIOD_OVERRIDE=FQ","FILING_STATUS=MR","SCALING_FORMAT=MLN","Sort=A","Dates=H","DateFormat=P","Fill=—","Direction=H","UseDPDF=Y")</f>
        <v>11950.5694</v>
      </c>
      <c r="X11" s="13">
        <f>_xll.BDH("SRPT US Equity","EV_EX_OPERATING_LEASE_LIABS","FQ4 2024","FQ4 2024","Currency=USD","Period=FQ","BEST_FPERIOD_OVERRIDE=FQ","FILING_STATUS=MR","SCALING_FORMAT=MLN","Sort=A","Dates=H","DateFormat=P","Fill=—","Direction=H","UseDPDF=Y")</f>
        <v>11560.7533</v>
      </c>
      <c r="Y11" s="16">
        <v>6608.4670382875001</v>
      </c>
      <c r="Z11" s="13"/>
      <c r="AA11" s="13"/>
    </row>
    <row r="12" spans="1:27" x14ac:dyDescent="0.25">
      <c r="A12" s="1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5"/>
      <c r="Z12" s="12"/>
      <c r="AA12" s="12"/>
    </row>
    <row r="13" spans="1:27" x14ac:dyDescent="0.25">
      <c r="A13" s="10" t="s">
        <v>172</v>
      </c>
      <c r="B13" s="10" t="s">
        <v>298</v>
      </c>
      <c r="C13" s="13">
        <f>_xll.BDH("SRPT US Equity","TOT_CPTL_EX_OPERATING_LEA_LIABS","FQ3 2019","FQ3 2019","Currency=USD","Period=FQ","BEST_FPERIOD_OVERRIDE=FQ","FILING_STATUS=MR","SCALING_FORMAT=MLN","Sort=A","Dates=H","DateFormat=P","Fill=—","Direction=H","UseDPDF=Y")</f>
        <v>1431.625</v>
      </c>
      <c r="D13" s="13">
        <f>_xll.BDH("SRPT US Equity","TOT_CPTL_EX_OPERATING_LEA_LIABS","FQ4 2019","FQ4 2019","Currency=USD","Period=FQ","BEST_FPERIOD_OVERRIDE=FQ","FILING_STATUS=MR","SCALING_FORMAT=MLN","Sort=A","Dates=H","DateFormat=P","Fill=—","Direction=H","UseDPDF=Y")</f>
        <v>1500.087</v>
      </c>
      <c r="E13" s="13">
        <f>_xll.BDH("SRPT US Equity","TOT_CPTL_EX_OPERATING_LEA_LIABS","FQ1 2020","FQ1 2020","Currency=USD","Period=FQ","BEST_FPERIOD_OVERRIDE=FQ","FILING_STATUS=MR","SCALING_FORMAT=MLN","Sort=A","Dates=H","DateFormat=P","Fill=—","Direction=H","UseDPDF=Y")</f>
        <v>1832.7809999999999</v>
      </c>
      <c r="F13" s="13">
        <f>_xll.BDH("SRPT US Equity","TOT_CPTL_EX_OPERATING_LEA_LIABS","FQ2 2020","FQ2 2020","Currency=USD","Period=FQ","BEST_FPERIOD_OVERRIDE=FQ","FILING_STATUS=MR","SCALING_FORMAT=MLN","Sort=A","Dates=H","DateFormat=P","Fill=—","Direction=H","UseDPDF=Y")</f>
        <v>1737.0219999999999</v>
      </c>
      <c r="G13" s="13">
        <f>_xll.BDH("SRPT US Equity","TOT_CPTL_EX_OPERATING_LEA_LIABS","FQ3 2020","FQ3 2020","Currency=USD","Period=FQ","BEST_FPERIOD_OVERRIDE=FQ","FILING_STATUS=MR","SCALING_FORMAT=MLN","Sort=A","Dates=H","DateFormat=P","Fill=—","Direction=H","UseDPDF=Y")</f>
        <v>1592.5170000000001</v>
      </c>
      <c r="H13" s="13">
        <f>_xll.BDH("SRPT US Equity","TOT_CPTL_EX_OPERATING_LEA_LIABS","FQ4 2020","FQ4 2020","Currency=USD","Period=FQ","BEST_FPERIOD_OVERRIDE=FQ","FILING_STATUS=MR","SCALING_FORMAT=MLN","Sort=A","Dates=H","DateFormat=P","Fill=—","Direction=H","UseDPDF=Y")</f>
        <v>1754.252</v>
      </c>
      <c r="I13" s="13">
        <f>_xll.BDH("SRPT US Equity","TOT_CPTL_EX_OPERATING_LEA_LIABS","FQ1 2021","FQ1 2021","Currency=USD","Period=FQ","BEST_FPERIOD_OVERRIDE=FQ","FILING_STATUS=MR","SCALING_FORMAT=MLN","Sort=A","Dates=H","DateFormat=P","Fill=—","Direction=H","UseDPDF=Y")</f>
        <v>1626.5550000000001</v>
      </c>
      <c r="J13" s="13">
        <f>_xll.BDH("SRPT US Equity","TOT_CPTL_EX_OPERATING_LEA_LIABS","FQ2 2021","FQ2 2021","Currency=USD","Period=FQ","BEST_FPERIOD_OVERRIDE=FQ","FILING_STATUS=MR","SCALING_FORMAT=MLN","Sort=A","Dates=H","DateFormat=P","Fill=—","Direction=H","UseDPDF=Y")</f>
        <v>1578.0930000000001</v>
      </c>
      <c r="K13" s="13">
        <f>_xll.BDH("SRPT US Equity","TOT_CPTL_EX_OPERATING_LEA_LIABS","FQ3 2021","FQ3 2021","Currency=USD","Period=FQ","BEST_FPERIOD_OVERRIDE=FQ","FILING_STATUS=MR","SCALING_FORMAT=MLN","Sort=A","Dates=H","DateFormat=P","Fill=—","Direction=H","UseDPDF=Y")</f>
        <v>1564.44</v>
      </c>
      <c r="L13" s="13">
        <f>_xll.BDH("SRPT US Equity","TOT_CPTL_EX_OPERATING_LEA_LIABS","FQ4 2021","FQ4 2021","Currency=USD","Period=FQ","BEST_FPERIOD_OVERRIDE=FQ","FILING_STATUS=MR","SCALING_FORMAT=MLN","Sort=A","Dates=H","DateFormat=P","Fill=—","Direction=H","UseDPDF=Y")</f>
        <v>2024.885</v>
      </c>
      <c r="M13" s="13">
        <f>_xll.BDH("SRPT US Equity","TOT_CPTL_EX_OPERATING_LEA_LIABS","FQ1 2022","FQ1 2022","Currency=USD","Period=FQ","BEST_FPERIOD_OVERRIDE=FQ","FILING_STATUS=MR","SCALING_FORMAT=MLN","Sort=A","Dates=H","DateFormat=P","Fill=—","Direction=H","UseDPDF=Y")</f>
        <v>1955.7329999999999</v>
      </c>
      <c r="N13" s="13">
        <f>_xll.BDH("SRPT US Equity","TOT_CPTL_EX_OPERATING_LEA_LIABS","FQ2 2022","FQ2 2022","Currency=USD","Period=FQ","BEST_FPERIOD_OVERRIDE=FQ","FILING_STATUS=MR","SCALING_FORMAT=MLN","Sort=A","Dates=H","DateFormat=P","Fill=—","Direction=H","UseDPDF=Y")</f>
        <v>1827.33</v>
      </c>
      <c r="O13" s="13">
        <f>_xll.BDH("SRPT US Equity","TOT_CPTL_EX_OPERATING_LEA_LIABS","FQ3 2022","FQ3 2022","Currency=USD","Period=FQ","BEST_FPERIOD_OVERRIDE=FQ","FILING_STATUS=MR","SCALING_FORMAT=MLN","Sort=A","Dates=H","DateFormat=P","Fill=—","Direction=H","UseDPDF=Y")</f>
        <v>1973.61</v>
      </c>
      <c r="P13" s="13">
        <f>_xll.BDH("SRPT US Equity","TOT_CPTL_EX_OPERATING_LEA_LIABS","FQ4 2022","FQ4 2022","Currency=USD","Period=FQ","BEST_FPERIOD_OVERRIDE=FQ","FILING_STATUS=MR","SCALING_FORMAT=MLN","Sort=A","Dates=H","DateFormat=P","Fill=—","Direction=H","UseDPDF=Y")</f>
        <v>1929.242</v>
      </c>
      <c r="Q13" s="13">
        <f>_xll.BDH("SRPT US Equity","TOT_CPTL_EX_OPERATING_LEA_LIABS","FQ1 2023","FQ1 2023","Currency=USD","Period=FQ","BEST_FPERIOD_OVERRIDE=FQ","FILING_STATUS=MR","SCALING_FORMAT=MLN","Sort=A","Dates=H","DateFormat=P","Fill=—","Direction=H","UseDPDF=Y")</f>
        <v>1947.0329999999999</v>
      </c>
      <c r="R13" s="13">
        <f>_xll.BDH("SRPT US Equity","TOT_CPTL_EX_OPERATING_LEA_LIABS","FQ2 2023","FQ2 2023","Currency=USD","Period=FQ","BEST_FPERIOD_OVERRIDE=FQ","FILING_STATUS=MR","SCALING_FORMAT=MLN","Sort=A","Dates=H","DateFormat=P","Fill=—","Direction=H","UseDPDF=Y")</f>
        <v>1976.9280000000001</v>
      </c>
      <c r="S13" s="13">
        <f>_xll.BDH("SRPT US Equity","TOT_CPTL_EX_OPERATING_LEA_LIABS","FQ3 2023","FQ3 2023","Currency=USD","Period=FQ","BEST_FPERIOD_OVERRIDE=FQ","FILING_STATUS=MR","SCALING_FORMAT=MLN","Sort=A","Dates=H","DateFormat=P","Fill=—","Direction=H","UseDPDF=Y")</f>
        <v>2001.1120000000001</v>
      </c>
      <c r="T13" s="13">
        <f>_xll.BDH("SRPT US Equity","TOT_CPTL_EX_OPERATING_LEA_LIABS","FQ4 2023","FQ4 2023","Currency=USD","Period=FQ","BEST_FPERIOD_OVERRIDE=FQ","FILING_STATUS=MR","SCALING_FORMAT=MLN","Sort=A","Dates=H","DateFormat=P","Fill=—","Direction=H","UseDPDF=Y")</f>
        <v>2097.335</v>
      </c>
      <c r="U13" s="13">
        <f>_xll.BDH("SRPT US Equity","TOT_CPTL_EX_OPERATING_LEA_LIABS","FQ1 2024","FQ1 2024","Currency=USD","Period=FQ","BEST_FPERIOD_OVERRIDE=FQ","FILING_STATUS=MR","SCALING_FORMAT=MLN","Sort=A","Dates=H","DateFormat=P","Fill=—","Direction=H","UseDPDF=Y")</f>
        <v>2200.4380000000001</v>
      </c>
      <c r="V13" s="13">
        <f>_xll.BDH("SRPT US Equity","TOT_CPTL_EX_OPERATING_LEA_LIABS","FQ2 2024","FQ2 2024","Currency=USD","Period=FQ","BEST_FPERIOD_OVERRIDE=FQ","FILING_STATUS=MR","SCALING_FORMAT=MLN","Sort=A","Dates=H","DateFormat=P","Fill=—","Direction=H","UseDPDF=Y")</f>
        <v>2303.384</v>
      </c>
      <c r="W13" s="13">
        <f>_xll.BDH("SRPT US Equity","TOT_CPTL_EX_OPERATING_LEA_LIABS","FQ3 2024","FQ3 2024","Currency=USD","Period=FQ","BEST_FPERIOD_OVERRIDE=FQ","FILING_STATUS=MR","SCALING_FORMAT=MLN","Sort=A","Dates=H","DateFormat=P","Fill=—","Direction=H","UseDPDF=Y")</f>
        <v>2448.6309999999999</v>
      </c>
      <c r="X13" s="13">
        <f>_xll.BDH("SRPT US Equity","TOT_CPTL_EX_OPERATING_LEA_LIABS","FQ4 2024","FQ4 2024","Currency=USD","Period=FQ","BEST_FPERIOD_OVERRIDE=FQ","FILING_STATUS=MR","SCALING_FORMAT=MLN","Sort=A","Dates=H","DateFormat=P","Fill=—","Direction=H","UseDPDF=Y")</f>
        <v>2664.866</v>
      </c>
      <c r="Y13" s="16">
        <v>2664.866</v>
      </c>
      <c r="Z13" s="13"/>
      <c r="AA13" s="13"/>
    </row>
    <row r="14" spans="1:27" x14ac:dyDescent="0.25">
      <c r="A14" s="10" t="s">
        <v>174</v>
      </c>
      <c r="B14" s="10" t="s">
        <v>299</v>
      </c>
      <c r="C14" s="14">
        <f>_xll.BDH("SRPT US Equity","TOT_DBT_TO_CPTL_EX_OP_LEA_LIABS","FQ3 2019","FQ3 2019","Currency=USD","Period=FQ","BEST_FPERIOD_OVERRIDE=FQ","FILING_STATUS=MR","Sort=A","Dates=H","DateFormat=P","Fill=—","Direction=H","UseDPDF=Y")</f>
        <v>30.484300000000001</v>
      </c>
      <c r="D14" s="14">
        <f>_xll.BDH("SRPT US Equity","TOT_DBT_TO_CPTL_EX_OP_LEA_LIABS","FQ4 2019","FQ4 2019","Currency=USD","Period=FQ","BEST_FPERIOD_OVERRIDE=FQ","FILING_STATUS=MR","Sort=A","Dates=H","DateFormat=P","Fill=—","Direction=H","UseDPDF=Y")</f>
        <v>45.4574</v>
      </c>
      <c r="E14" s="14">
        <f>_xll.BDH("SRPT US Equity","TOT_DBT_TO_CPTL_EX_OP_LEA_LIABS","FQ1 2020","FQ1 2020","Currency=USD","Period=FQ","BEST_FPERIOD_OVERRIDE=FQ","FILING_STATUS=MR","Sort=A","Dates=H","DateFormat=P","Fill=—","Direction=H","UseDPDF=Y")</f>
        <v>37.536000000000001</v>
      </c>
      <c r="F14" s="14">
        <f>_xll.BDH("SRPT US Equity","TOT_DBT_TO_CPTL_EX_OP_LEA_LIABS","FQ2 2020","FQ2 2020","Currency=USD","Period=FQ","BEST_FPERIOD_OVERRIDE=FQ","FILING_STATUS=MR","Sort=A","Dates=H","DateFormat=P","Fill=—","Direction=H","UseDPDF=Y")</f>
        <v>39.962400000000002</v>
      </c>
      <c r="G14" s="14">
        <f>_xll.BDH("SRPT US Equity","TOT_DBT_TO_CPTL_EX_OP_LEA_LIABS","FQ3 2020","FQ3 2020","Currency=USD","Period=FQ","BEST_FPERIOD_OVERRIDE=FQ","FILING_STATUS=MR","Sort=A","Dates=H","DateFormat=P","Fill=—","Direction=H","UseDPDF=Y")</f>
        <v>43.985100000000003</v>
      </c>
      <c r="H14" s="14">
        <f>_xll.BDH("SRPT US Equity","TOT_DBT_TO_CPTL_EX_OP_LEA_LIABS","FQ4 2020","FQ4 2020","Currency=USD","Period=FQ","BEST_FPERIOD_OVERRIDE=FQ","FILING_STATUS=MR","Sort=A","Dates=H","DateFormat=P","Fill=—","Direction=H","UseDPDF=Y")</f>
        <v>56.5764</v>
      </c>
      <c r="I14" s="14">
        <f>_xll.BDH("SRPT US Equity","TOT_DBT_TO_CPTL_EX_OP_LEA_LIABS","FQ1 2021","FQ1 2021","Currency=USD","Period=FQ","BEST_FPERIOD_OVERRIDE=FQ","FILING_STATUS=MR","Sort=A","Dates=H","DateFormat=P","Fill=—","Direction=H","UseDPDF=Y")</f>
        <v>67.081000000000003</v>
      </c>
      <c r="J14" s="14">
        <f>_xll.BDH("SRPT US Equity","TOT_DBT_TO_CPTL_EX_OP_LEA_LIABS","FQ2 2021","FQ2 2021","Currency=USD","Period=FQ","BEST_FPERIOD_OVERRIDE=FQ","FILING_STATUS=MR","Sort=A","Dates=H","DateFormat=P","Fill=—","Direction=H","UseDPDF=Y")</f>
        <v>69.259900000000002</v>
      </c>
      <c r="K14" s="14">
        <f>_xll.BDH("SRPT US Equity","TOT_DBT_TO_CPTL_EX_OP_LEA_LIABS","FQ3 2021","FQ3 2021","Currency=USD","Period=FQ","BEST_FPERIOD_OVERRIDE=FQ","FILING_STATUS=MR","Sort=A","Dates=H","DateFormat=P","Fill=—","Direction=H","UseDPDF=Y")</f>
        <v>69.987499999999997</v>
      </c>
      <c r="L14" s="14">
        <f>_xll.BDH("SRPT US Equity","TOT_DBT_TO_CPTL_EX_OP_LEA_LIABS","FQ4 2021","FQ4 2021","Currency=USD","Period=FQ","BEST_FPERIOD_OVERRIDE=FQ","FILING_STATUS=MR","Sort=A","Dates=H","DateFormat=P","Fill=—","Direction=H","UseDPDF=Y")</f>
        <v>54.169800000000002</v>
      </c>
      <c r="M14" s="14">
        <f>_xll.BDH("SRPT US Equity","TOT_DBT_TO_CPTL_EX_OP_LEA_LIABS","FQ1 2022","FQ1 2022","Currency=USD","Period=FQ","BEST_FPERIOD_OVERRIDE=FQ","FILING_STATUS=MR","Sort=A","Dates=H","DateFormat=P","Fill=—","Direction=H","UseDPDF=Y")</f>
        <v>56.185899999999997</v>
      </c>
      <c r="N14" s="14">
        <f>_xll.BDH("SRPT US Equity","TOT_DBT_TO_CPTL_EX_OP_LEA_LIABS","FQ2 2022","FQ2 2022","Currency=USD","Period=FQ","BEST_FPERIOD_OVERRIDE=FQ","FILING_STATUS=MR","Sort=A","Dates=H","DateFormat=P","Fill=—","Direction=H","UseDPDF=Y")</f>
        <v>60.244900000000001</v>
      </c>
      <c r="O14" s="14">
        <f>_xll.BDH("SRPT US Equity","TOT_DBT_TO_CPTL_EX_OP_LEA_LIABS","FQ3 2022","FQ3 2022","Currency=USD","Period=FQ","BEST_FPERIOD_OVERRIDE=FQ","FILING_STATUS=MR","Sort=A","Dates=H","DateFormat=P","Fill=—","Direction=H","UseDPDF=Y")</f>
        <v>78.17</v>
      </c>
      <c r="P14" s="14">
        <f>_xll.BDH("SRPT US Equity","TOT_DBT_TO_CPTL_EX_OP_LEA_LIABS","FQ4 2022","FQ4 2022","Currency=USD","Period=FQ","BEST_FPERIOD_OVERRIDE=FQ","FILING_STATUS=MR","Sort=A","Dates=H","DateFormat=P","Fill=—","Direction=H","UseDPDF=Y")</f>
        <v>80.046599999999998</v>
      </c>
      <c r="Q14" s="14">
        <f>_xll.BDH("SRPT US Equity","TOT_DBT_TO_CPTL_EX_OP_LEA_LIABS","FQ1 2023","FQ1 2023","Currency=USD","Period=FQ","BEST_FPERIOD_OVERRIDE=FQ","FILING_STATUS=MR","Sort=A","Dates=H","DateFormat=P","Fill=—","Direction=H","UseDPDF=Y")</f>
        <v>63.393099999999997</v>
      </c>
      <c r="R14" s="14">
        <f>_xll.BDH("SRPT US Equity","TOT_DBT_TO_CPTL_EX_OP_LEA_LIABS","FQ2 2023","FQ2 2023","Currency=USD","Period=FQ","BEST_FPERIOD_OVERRIDE=FQ","FILING_STATUS=MR","Sort=A","Dates=H","DateFormat=P","Fill=—","Direction=H","UseDPDF=Y")</f>
        <v>62.4968</v>
      </c>
      <c r="S14" s="14">
        <f>_xll.BDH("SRPT US Equity","TOT_DBT_TO_CPTL_EX_OP_LEA_LIABS","FQ3 2023","FQ3 2023","Currency=USD","Period=FQ","BEST_FPERIOD_OVERRIDE=FQ","FILING_STATUS=MR","Sort=A","Dates=H","DateFormat=P","Fill=—","Direction=H","UseDPDF=Y")</f>
        <v>61.803400000000003</v>
      </c>
      <c r="T14" s="14">
        <f>_xll.BDH("SRPT US Equity","TOT_DBT_TO_CPTL_EX_OP_LEA_LIABS","FQ4 2023","FQ4 2023","Currency=USD","Period=FQ","BEST_FPERIOD_OVERRIDE=FQ","FILING_STATUS=MR","Sort=A","Dates=H","DateFormat=P","Fill=—","Direction=H","UseDPDF=Y")</f>
        <v>59.027200000000001</v>
      </c>
      <c r="U14" s="14">
        <f>_xll.BDH("SRPT US Equity","TOT_DBT_TO_CPTL_EX_OP_LEA_LIABS","FQ1 2024","FQ1 2024","Currency=USD","Period=FQ","BEST_FPERIOD_OVERRIDE=FQ","FILING_STATUS=MR","Sort=A","Dates=H","DateFormat=P","Fill=—","Direction=H","UseDPDF=Y")</f>
        <v>56.318199999999997</v>
      </c>
      <c r="V14" s="14">
        <f>_xll.BDH("SRPT US Equity","TOT_DBT_TO_CPTL_EX_OP_LEA_LIABS","FQ2 2024","FQ2 2024","Currency=USD","Period=FQ","BEST_FPERIOD_OVERRIDE=FQ","FILING_STATUS=MR","Sort=A","Dates=H","DateFormat=P","Fill=—","Direction=H","UseDPDF=Y")</f>
        <v>53.239699999999999</v>
      </c>
      <c r="W14" s="14">
        <f>_xll.BDH("SRPT US Equity","TOT_DBT_TO_CPTL_EX_OP_LEA_LIABS","FQ3 2024","FQ3 2024","Currency=USD","Period=FQ","BEST_FPERIOD_OVERRIDE=FQ","FILING_STATUS=MR","Sort=A","Dates=H","DateFormat=P","Fill=—","Direction=H","UseDPDF=Y")</f>
        <v>50.1325</v>
      </c>
      <c r="X14" s="14">
        <f>_xll.BDH("SRPT US Equity","TOT_DBT_TO_CPTL_EX_OP_LEA_LIABS","FQ4 2024","FQ4 2024","Currency=USD","Period=FQ","BEST_FPERIOD_OVERRIDE=FQ","FILING_STATUS=MR","Sort=A","Dates=H","DateFormat=P","Fill=—","Direction=H","UseDPDF=Y")</f>
        <v>42.670999999999999</v>
      </c>
      <c r="Y14" s="17">
        <v>42.670963568149403</v>
      </c>
      <c r="Z14" s="14"/>
      <c r="AA14" s="14"/>
    </row>
    <row r="15" spans="1:27" x14ac:dyDescent="0.25">
      <c r="A15" s="10" t="s">
        <v>176</v>
      </c>
      <c r="B15" s="10" t="s">
        <v>300</v>
      </c>
      <c r="C15" s="14">
        <f>_xll.BDH("SRPT US Equity","TOT_DEBT_TO_EV_EX_OPER_LEA_LIABS","FQ3 2019","FQ3 2019","Currency=USD","Period=FQ","BEST_FPERIOD_OVERRIDE=FQ","FILING_STATUS=MR","Sort=A","Dates=H","DateFormat=P","Fill=—","Direction=H","UseDPDF=Y")</f>
        <v>8.7300000000000003E-2</v>
      </c>
      <c r="D15" s="14">
        <f>_xll.BDH("SRPT US Equity","TOT_DEBT_TO_EV_EX_OPER_LEA_LIABS","FQ4 2019","FQ4 2019","Currency=USD","Period=FQ","BEST_FPERIOD_OVERRIDE=FQ","FILING_STATUS=MR","Sort=A","Dates=H","DateFormat=P","Fill=—","Direction=H","UseDPDF=Y")</f>
        <v>7.3599999999999999E-2</v>
      </c>
      <c r="E15" s="14">
        <f>_xll.BDH("SRPT US Equity","TOT_DEBT_TO_EV_EX_OPER_LEA_LIABS","FQ1 2020","FQ1 2020","Currency=USD","Period=FQ","BEST_FPERIOD_OVERRIDE=FQ","FILING_STATUS=MR","Sort=A","Dates=H","DateFormat=P","Fill=—","Direction=H","UseDPDF=Y")</f>
        <v>0.11219999999999999</v>
      </c>
      <c r="F15" s="14">
        <f>_xll.BDH("SRPT US Equity","TOT_DEBT_TO_EV_EX_OPER_LEA_LIABS","FQ2 2020","FQ2 2020","Currency=USD","Period=FQ","BEST_FPERIOD_OVERRIDE=FQ","FILING_STATUS=MR","Sort=A","Dates=H","DateFormat=P","Fill=—","Direction=H","UseDPDF=Y")</f>
        <v>6.2E-2</v>
      </c>
      <c r="G15" s="14">
        <f>_xll.BDH("SRPT US Equity","TOT_DEBT_TO_EV_EX_OPER_LEA_LIABS","FQ3 2020","FQ3 2020","Currency=USD","Period=FQ","BEST_FPERIOD_OVERRIDE=FQ","FILING_STATUS=MR","Sort=A","Dates=H","DateFormat=P","Fill=—","Direction=H","UseDPDF=Y")</f>
        <v>7.0499999999999993E-2</v>
      </c>
      <c r="H15" s="14">
        <f>_xll.BDH("SRPT US Equity","TOT_DEBT_TO_EV_EX_OPER_LEA_LIABS","FQ4 2020","FQ4 2020","Currency=USD","Period=FQ","BEST_FPERIOD_OVERRIDE=FQ","FILING_STATUS=MR","Sort=A","Dates=H","DateFormat=P","Fill=—","Direction=H","UseDPDF=Y")</f>
        <v>7.8899999999999998E-2</v>
      </c>
      <c r="I15" s="14">
        <f>_xll.BDH("SRPT US Equity","TOT_DEBT_TO_EV_EX_OPER_LEA_LIABS","FQ1 2021","FQ1 2021","Currency=USD","Period=FQ","BEST_FPERIOD_OVERRIDE=FQ","FILING_STATUS=MR","Sort=A","Dates=H","DateFormat=P","Fill=—","Direction=H","UseDPDF=Y")</f>
        <v>0.2064</v>
      </c>
      <c r="J15" s="14">
        <f>_xll.BDH("SRPT US Equity","TOT_DEBT_TO_EV_EX_OPER_LEA_LIABS","FQ2 2021","FQ2 2021","Currency=USD","Period=FQ","BEST_FPERIOD_OVERRIDE=FQ","FILING_STATUS=MR","Sort=A","Dates=H","DateFormat=P","Fill=—","Direction=H","UseDPDF=Y")</f>
        <v>0.19650000000000001</v>
      </c>
      <c r="K15" s="14">
        <f>_xll.BDH("SRPT US Equity","TOT_DEBT_TO_EV_EX_OPER_LEA_LIABS","FQ3 2021","FQ3 2021","Currency=USD","Period=FQ","BEST_FPERIOD_OVERRIDE=FQ","FILING_STATUS=MR","Sort=A","Dates=H","DateFormat=P","Fill=—","Direction=H","UseDPDF=Y")</f>
        <v>0.15909999999999999</v>
      </c>
      <c r="L15" s="14">
        <f>_xll.BDH("SRPT US Equity","TOT_DEBT_TO_EV_EX_OPER_LEA_LIABS","FQ4 2021","FQ4 2021","Currency=USD","Period=FQ","BEST_FPERIOD_OVERRIDE=FQ","FILING_STATUS=MR","Sort=A","Dates=H","DateFormat=P","Fill=—","Direction=H","UseDPDF=Y")</f>
        <v>0.16089999999999999</v>
      </c>
      <c r="M15" s="14">
        <f>_xll.BDH("SRPT US Equity","TOT_DEBT_TO_EV_EX_OPER_LEA_LIABS","FQ1 2022","FQ1 2022","Currency=USD","Period=FQ","BEST_FPERIOD_OVERRIDE=FQ","FILING_STATUS=MR","Sort=A","Dates=H","DateFormat=P","Fill=—","Direction=H","UseDPDF=Y")</f>
        <v>0.18590000000000001</v>
      </c>
      <c r="N15" s="14">
        <f>_xll.BDH("SRPT US Equity","TOT_DEBT_TO_EV_EX_OPER_LEA_LIABS","FQ2 2022","FQ2 2022","Currency=USD","Period=FQ","BEST_FPERIOD_OVERRIDE=FQ","FILING_STATUS=MR","Sort=A","Dates=H","DateFormat=P","Fill=—","Direction=H","UseDPDF=Y")</f>
        <v>0.19259999999999999</v>
      </c>
      <c r="O15" s="14">
        <f>_xll.BDH("SRPT US Equity","TOT_DEBT_TO_EV_EX_OPER_LEA_LIABS","FQ3 2022","FQ3 2022","Currency=USD","Period=FQ","BEST_FPERIOD_OVERRIDE=FQ","FILING_STATUS=MR","Sort=A","Dates=H","DateFormat=P","Fill=—","Direction=H","UseDPDF=Y")</f>
        <v>0.1686</v>
      </c>
      <c r="P15" s="14">
        <f>_xll.BDH("SRPT US Equity","TOT_DEBT_TO_EV_EX_OPER_LEA_LIABS","FQ4 2022","FQ4 2022","Currency=USD","Period=FQ","BEST_FPERIOD_OVERRIDE=FQ","FILING_STATUS=MR","Sort=A","Dates=H","DateFormat=P","Fill=—","Direction=H","UseDPDF=Y")</f>
        <v>0.14130000000000001</v>
      </c>
      <c r="Q15" s="14">
        <f>_xll.BDH("SRPT US Equity","TOT_DEBT_TO_EV_EX_OPER_LEA_LIABS","FQ1 2023","FQ1 2023","Currency=USD","Period=FQ","BEST_FPERIOD_OVERRIDE=FQ","FILING_STATUS=MR","Sort=A","Dates=H","DateFormat=P","Fill=—","Direction=H","UseDPDF=Y")</f>
        <v>0.1014</v>
      </c>
      <c r="R15" s="14">
        <f>_xll.BDH("SRPT US Equity","TOT_DEBT_TO_EV_EX_OPER_LEA_LIABS","FQ2 2023","FQ2 2023","Currency=USD","Period=FQ","BEST_FPERIOD_OVERRIDE=FQ","FILING_STATUS=MR","Sort=A","Dates=H","DateFormat=P","Fill=—","Direction=H","UseDPDF=Y")</f>
        <v>0.1231</v>
      </c>
      <c r="S15" s="14">
        <f>_xll.BDH("SRPT US Equity","TOT_DEBT_TO_EV_EX_OPER_LEA_LIABS","FQ3 2023","FQ3 2023","Currency=USD","Period=FQ","BEST_FPERIOD_OVERRIDE=FQ","FILING_STATUS=MR","Sort=A","Dates=H","DateFormat=P","Fill=—","Direction=H","UseDPDF=Y")</f>
        <v>0.1142</v>
      </c>
      <c r="T15" s="14">
        <f>_xll.BDH("SRPT US Equity","TOT_DEBT_TO_EV_EX_OPER_LEA_LIABS","FQ4 2023","FQ4 2023","Currency=USD","Period=FQ","BEST_FPERIOD_OVERRIDE=FQ","FILING_STATUS=MR","Sort=A","Dates=H","DateFormat=P","Fill=—","Direction=H","UseDPDF=Y")</f>
        <v>0.14410000000000001</v>
      </c>
      <c r="U15" s="14">
        <f>_xll.BDH("SRPT US Equity","TOT_DEBT_TO_EV_EX_OPER_LEA_LIABS","FQ1 2024","FQ1 2024","Currency=USD","Period=FQ","BEST_FPERIOD_OVERRIDE=FQ","FILING_STATUS=MR","Sort=A","Dates=H","DateFormat=P","Fill=—","Direction=H","UseDPDF=Y")</f>
        <v>0.1027</v>
      </c>
      <c r="V15" s="14">
        <f>_xll.BDH("SRPT US Equity","TOT_DEBT_TO_EV_EX_OPER_LEA_LIABS","FQ2 2024","FQ2 2024","Currency=USD","Period=FQ","BEST_FPERIOD_OVERRIDE=FQ","FILING_STATUS=MR","Sort=A","Dates=H","DateFormat=P","Fill=—","Direction=H","UseDPDF=Y")</f>
        <v>8.2799999999999999E-2</v>
      </c>
      <c r="W15" s="14">
        <f>_xll.BDH("SRPT US Equity","TOT_DEBT_TO_EV_EX_OPER_LEA_LIABS","FQ3 2024","FQ3 2024","Currency=USD","Period=FQ","BEST_FPERIOD_OVERRIDE=FQ","FILING_STATUS=MR","Sort=A","Dates=H","DateFormat=P","Fill=—","Direction=H","UseDPDF=Y")</f>
        <v>0.1027</v>
      </c>
      <c r="X15" s="14">
        <f>_xll.BDH("SRPT US Equity","TOT_DEBT_TO_EV_EX_OPER_LEA_LIABS","FQ4 2024","FQ4 2024","Currency=USD","Period=FQ","BEST_FPERIOD_OVERRIDE=FQ","FILING_STATUS=MR","Sort=A","Dates=H","DateFormat=P","Fill=—","Direction=H","UseDPDF=Y")</f>
        <v>9.8400000000000001E-2</v>
      </c>
      <c r="Y15" s="17">
        <v>0.17207076821475201</v>
      </c>
      <c r="Z15" s="14"/>
      <c r="AA15" s="14"/>
    </row>
    <row r="16" spans="1:27" x14ac:dyDescent="0.25">
      <c r="A16" s="10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5"/>
      <c r="Z16" s="12"/>
      <c r="AA16" s="12"/>
    </row>
    <row r="17" spans="1:27" x14ac:dyDescent="0.25">
      <c r="A17" s="10" t="s">
        <v>178</v>
      </c>
      <c r="B17" s="10" t="s">
        <v>301</v>
      </c>
      <c r="C17" s="14">
        <f>_xll.BDH("SRPT US Equity","EV_EX_OPER_LEA_LIABS_TO_SALES","FQ3 2019","FQ3 2019","Currency=USD","Period=FQ","BEST_FPERIOD_OVERRIDE=FQ","FILING_STATUS=MR","FA_ADJUSTED=GAAP","Sort=A","Dates=H","DateFormat=P","Fill=—","Direction=H","UseDPDF=Y")</f>
        <v>13.6915</v>
      </c>
      <c r="D17" s="14">
        <f>_xll.BDH("SRPT US Equity","EV_EX_OPER_LEA_LIABS_TO_SALES","FQ4 2019","FQ4 2019","Currency=USD","Period=FQ","BEST_FPERIOD_OVERRIDE=FQ","FILING_STATUS=MR","FA_ADJUSTED=GAAP","Sort=A","Dates=H","DateFormat=P","Fill=—","Direction=H","UseDPDF=Y")</f>
        <v>24.3125</v>
      </c>
      <c r="E17" s="14">
        <f>_xll.BDH("SRPT US Equity","EV_EX_OPER_LEA_LIABS_TO_SALES","FQ1 2020","FQ1 2020","Currency=USD","Period=FQ","BEST_FPERIOD_OVERRIDE=FQ","FILING_STATUS=MR","FA_ADJUSTED=GAAP","Sort=A","Dates=H","DateFormat=P","Fill=—","Direction=H","UseDPDF=Y")</f>
        <v>15.050599999999999</v>
      </c>
      <c r="F17" s="14">
        <f>_xll.BDH("SRPT US Equity","EV_EX_OPER_LEA_LIABS_TO_SALES","FQ2 2020","FQ2 2020","Currency=USD","Period=FQ","BEST_FPERIOD_OVERRIDE=FQ","FILING_STATUS=MR","FA_ADJUSTED=GAAP","Sort=A","Dates=H","DateFormat=P","Fill=—","Direction=H","UseDPDF=Y")</f>
        <v>24.876300000000001</v>
      </c>
      <c r="G17" s="14">
        <f>_xll.BDH("SRPT US Equity","EV_EX_OPER_LEA_LIABS_TO_SALES","FQ3 2020","FQ3 2020","Currency=USD","Period=FQ","BEST_FPERIOD_OVERRIDE=FQ","FILING_STATUS=MR","FA_ADJUSTED=GAAP","Sort=A","Dates=H","DateFormat=P","Fill=—","Direction=H","UseDPDF=Y")</f>
        <v>20.0763</v>
      </c>
      <c r="H17" s="14">
        <f>_xll.BDH("SRPT US Equity","EV_EX_OPER_LEA_LIABS_TO_SALES","FQ4 2020","FQ4 2020","Currency=USD","Period=FQ","BEST_FPERIOD_OVERRIDE=FQ","FILING_STATUS=MR","FA_ADJUSTED=GAAP","Sort=A","Dates=H","DateFormat=P","Fill=—","Direction=H","UseDPDF=Y")</f>
        <v>23.2867</v>
      </c>
      <c r="I17" s="14">
        <f>_xll.BDH("SRPT US Equity","EV_EX_OPER_LEA_LIABS_TO_SALES","FQ1 2021","FQ1 2021","Currency=USD","Period=FQ","BEST_FPERIOD_OVERRIDE=FQ","FILING_STATUS=MR","FA_ADJUSTED=GAAP","Sort=A","Dates=H","DateFormat=P","Fill=—","Direction=H","UseDPDF=Y")</f>
        <v>9.2222000000000008</v>
      </c>
      <c r="J17" s="14">
        <f>_xll.BDH("SRPT US Equity","EV_EX_OPER_LEA_LIABS_TO_SALES","FQ2 2021","FQ2 2021","Currency=USD","Period=FQ","BEST_FPERIOD_OVERRIDE=FQ","FILING_STATUS=MR","FA_ADJUSTED=GAAP","Sort=A","Dates=H","DateFormat=P","Fill=—","Direction=H","UseDPDF=Y")</f>
        <v>9.2693999999999992</v>
      </c>
      <c r="K17" s="14">
        <f>_xll.BDH("SRPT US Equity","EV_EX_OPER_LEA_LIABS_TO_SALES","FQ3 2021","FQ3 2021","Currency=USD","Period=FQ","BEST_FPERIOD_OVERRIDE=FQ","FILING_STATUS=MR","FA_ADJUSTED=GAAP","Sort=A","Dates=H","DateFormat=P","Fill=—","Direction=H","UseDPDF=Y")</f>
        <v>10.659000000000001</v>
      </c>
      <c r="L17" s="14">
        <f>_xll.BDH("SRPT US Equity","EV_EX_OPER_LEA_LIABS_TO_SALES","FQ4 2021","FQ4 2021","Currency=USD","Period=FQ","BEST_FPERIOD_OVERRIDE=FQ","FILING_STATUS=MR","FA_ADJUSTED=GAAP","Sort=A","Dates=H","DateFormat=P","Fill=—","Direction=H","UseDPDF=Y")</f>
        <v>9.7121999999999993</v>
      </c>
      <c r="M17" s="14">
        <f>_xll.BDH("SRPT US Equity","EV_EX_OPER_LEA_LIABS_TO_SALES","FQ1 2022","FQ1 2022","Currency=USD","Period=FQ","BEST_FPERIOD_OVERRIDE=FQ","FILING_STATUS=MR","FA_ADJUSTED=GAAP","Sort=A","Dates=H","DateFormat=P","Fill=—","Direction=H","UseDPDF=Y")</f>
        <v>7.7187999999999999</v>
      </c>
      <c r="N17" s="14">
        <f>_xll.BDH("SRPT US Equity","EV_EX_OPER_LEA_LIABS_TO_SALES","FQ2 2022","FQ2 2022","Currency=USD","Period=FQ","BEST_FPERIOD_OVERRIDE=FQ","FILING_STATUS=MR","FA_ADJUSTED=GAAP","Sort=A","Dates=H","DateFormat=P","Fill=—","Direction=H","UseDPDF=Y")</f>
        <v>6.8440000000000003</v>
      </c>
      <c r="O17" s="14">
        <f>_xll.BDH("SRPT US Equity","EV_EX_OPER_LEA_LIABS_TO_SALES","FQ3 2022","FQ3 2022","Currency=USD","Period=FQ","BEST_FPERIOD_OVERRIDE=FQ","FILING_STATUS=MR","FA_ADJUSTED=GAAP","Sort=A","Dates=H","DateFormat=P","Fill=—","Direction=H","UseDPDF=Y")</f>
        <v>10.448</v>
      </c>
      <c r="P17" s="14">
        <f>_xll.BDH("SRPT US Equity","EV_EX_OPER_LEA_LIABS_TO_SALES","FQ4 2022","FQ4 2022","Currency=USD","Period=FQ","BEST_FPERIOD_OVERRIDE=FQ","FILING_STATUS=MR","FA_ADJUSTED=GAAP","Sort=A","Dates=H","DateFormat=P","Fill=—","Direction=H","UseDPDF=Y")</f>
        <v>11.7174</v>
      </c>
      <c r="Q17" s="14">
        <f>_xll.BDH("SRPT US Equity","EV_EX_OPER_LEA_LIABS_TO_SALES","FQ1 2023","FQ1 2023","Currency=USD","Period=FQ","BEST_FPERIOD_OVERRIDE=FQ","FILING_STATUS=MR","FA_ADJUSTED=GAAP","Sort=A","Dates=H","DateFormat=P","Fill=—","Direction=H","UseDPDF=Y")</f>
        <v>12.474</v>
      </c>
      <c r="R17" s="14">
        <f>_xll.BDH("SRPT US Equity","EV_EX_OPER_LEA_LIABS_TO_SALES","FQ2 2023","FQ2 2023","Currency=USD","Period=FQ","BEST_FPERIOD_OVERRIDE=FQ","FILING_STATUS=MR","FA_ADJUSTED=GAAP","Sort=A","Dates=H","DateFormat=P","Fill=—","Direction=H","UseDPDF=Y")</f>
        <v>10.0031</v>
      </c>
      <c r="S17" s="14">
        <f>_xll.BDH("SRPT US Equity","EV_EX_OPER_LEA_LIABS_TO_SALES","FQ3 2023","FQ3 2023","Currency=USD","Period=FQ","BEST_FPERIOD_OVERRIDE=FQ","FILING_STATUS=MR","FA_ADJUSTED=GAAP","Sort=A","Dates=H","DateFormat=P","Fill=—","Direction=H","UseDPDF=Y")</f>
        <v>9.8049999999999997</v>
      </c>
      <c r="T17" s="14">
        <f>_xll.BDH("SRPT US Equity","EV_EX_OPER_LEA_LIABS_TO_SALES","FQ4 2023","FQ4 2023","Currency=USD","Period=FQ","BEST_FPERIOD_OVERRIDE=FQ","FILING_STATUS=MR","FA_ADJUSTED=GAAP","Sort=A","Dates=H","DateFormat=P","Fill=—","Direction=H","UseDPDF=Y")</f>
        <v>6.9119000000000002</v>
      </c>
      <c r="U17" s="14">
        <f>_xll.BDH("SRPT US Equity","EV_EX_OPER_LEA_LIABS_TO_SALES","FQ1 2024","FQ1 2024","Currency=USD","Period=FQ","BEST_FPERIOD_OVERRIDE=FQ","FILING_STATUS=MR","FA_ADJUSTED=GAAP","Sort=A","Dates=H","DateFormat=P","Fill=—","Direction=H","UseDPDF=Y")</f>
        <v>8.5980000000000008</v>
      </c>
      <c r="V17" s="14">
        <f>_xll.BDH("SRPT US Equity","EV_EX_OPER_LEA_LIABS_TO_SALES","FQ2 2024","FQ2 2024","Currency=USD","Period=FQ","BEST_FPERIOD_OVERRIDE=FQ","FILING_STATUS=MR","FA_ADJUSTED=GAAP","Sort=A","Dates=H","DateFormat=P","Fill=—","Direction=H","UseDPDF=Y")</f>
        <v>9.8371999999999993</v>
      </c>
      <c r="W17" s="14">
        <f>_xll.BDH("SRPT US Equity","EV_EX_OPER_LEA_LIABS_TO_SALES","FQ3 2024","FQ3 2024","Currency=USD","Period=FQ","BEST_FPERIOD_OVERRIDE=FQ","FILING_STATUS=MR","FA_ADJUSTED=GAAP","Sort=A","Dates=H","DateFormat=P","Fill=—","Direction=H","UseDPDF=Y")</f>
        <v>7.2854000000000001</v>
      </c>
      <c r="X17" s="14">
        <f>_xll.BDH("SRPT US Equity","EV_EX_OPER_LEA_LIABS_TO_SALES","FQ4 2024","FQ4 2024","Currency=USD","Period=FQ","BEST_FPERIOD_OVERRIDE=FQ","FILING_STATUS=MR","FA_ADJUSTED=GAAP","Sort=A","Dates=H","DateFormat=P","Fill=—","Direction=H","UseDPDF=Y")</f>
        <v>6.0782999999999996</v>
      </c>
      <c r="Y17" s="17">
        <v>3.47452155796016</v>
      </c>
      <c r="Z17" s="14">
        <v>2.0899312276173698</v>
      </c>
      <c r="AA17" s="14">
        <v>1.9999294984754901</v>
      </c>
    </row>
    <row r="18" spans="1:27" x14ac:dyDescent="0.25">
      <c r="A18" s="10" t="s">
        <v>180</v>
      </c>
      <c r="B18" s="10" t="s">
        <v>302</v>
      </c>
      <c r="C18" s="14" t="str">
        <f>_xll.BDH("SRPT US Equity","EV_TO_EBITDA_EX_OPERATING_LEASE","FQ3 2019","FQ3 2019","Currency=USD","Period=FQ","BEST_FPERIOD_OVERRIDE=FQ","FILING_STATUS=MR","FA_ADJUSTED=GAAP","Sort=A","Dates=H","DateFormat=P","Fill=—","Direction=H","UseDPDF=Y")</f>
        <v>—</v>
      </c>
      <c r="D18" s="14" t="str">
        <f>_xll.BDH("SRPT US Equity","EV_TO_EBITDA_EX_OPERATING_LEASE","FQ4 2019","FQ4 2019","Currency=USD","Period=FQ","BEST_FPERIOD_OVERRIDE=FQ","FILING_STATUS=MR","FA_ADJUSTED=GAAP","Sort=A","Dates=H","DateFormat=P","Fill=—","Direction=H","UseDPDF=Y")</f>
        <v>—</v>
      </c>
      <c r="E18" s="14" t="str">
        <f>_xll.BDH("SRPT US Equity","EV_TO_EBITDA_EX_OPERATING_LEASE","FQ1 2020","FQ1 2020","Currency=USD","Period=FQ","BEST_FPERIOD_OVERRIDE=FQ","FILING_STATUS=MR","FA_ADJUSTED=GAAP","Sort=A","Dates=H","DateFormat=P","Fill=—","Direction=H","UseDPDF=Y")</f>
        <v>—</v>
      </c>
      <c r="F18" s="14" t="str">
        <f>_xll.BDH("SRPT US Equity","EV_TO_EBITDA_EX_OPERATING_LEASE","FQ2 2020","FQ2 2020","Currency=USD","Period=FQ","BEST_FPERIOD_OVERRIDE=FQ","FILING_STATUS=MR","FA_ADJUSTED=GAAP","Sort=A","Dates=H","DateFormat=P","Fill=—","Direction=H","UseDPDF=Y")</f>
        <v>—</v>
      </c>
      <c r="G18" s="14" t="str">
        <f>_xll.BDH("SRPT US Equity","EV_TO_EBITDA_EX_OPERATING_LEASE","FQ3 2020","FQ3 2020","Currency=USD","Period=FQ","BEST_FPERIOD_OVERRIDE=FQ","FILING_STATUS=MR","FA_ADJUSTED=GAAP","Sort=A","Dates=H","DateFormat=P","Fill=—","Direction=H","UseDPDF=Y")</f>
        <v>—</v>
      </c>
      <c r="H18" s="14" t="str">
        <f>_xll.BDH("SRPT US Equity","EV_TO_EBITDA_EX_OPERATING_LEASE","FQ4 2020","FQ4 2020","Currency=USD","Period=FQ","BEST_FPERIOD_OVERRIDE=FQ","FILING_STATUS=MR","FA_ADJUSTED=GAAP","Sort=A","Dates=H","DateFormat=P","Fill=—","Direction=H","UseDPDF=Y")</f>
        <v>—</v>
      </c>
      <c r="I18" s="14" t="str">
        <f>_xll.BDH("SRPT US Equity","EV_TO_EBITDA_EX_OPERATING_LEASE","FQ1 2021","FQ1 2021","Currency=USD","Period=FQ","BEST_FPERIOD_OVERRIDE=FQ","FILING_STATUS=MR","FA_ADJUSTED=GAAP","Sort=A","Dates=H","DateFormat=P","Fill=—","Direction=H","UseDPDF=Y")</f>
        <v>—</v>
      </c>
      <c r="J18" s="14" t="str">
        <f>_xll.BDH("SRPT US Equity","EV_TO_EBITDA_EX_OPERATING_LEASE","FQ2 2021","FQ2 2021","Currency=USD","Period=FQ","BEST_FPERIOD_OVERRIDE=FQ","FILING_STATUS=MR","FA_ADJUSTED=GAAP","Sort=A","Dates=H","DateFormat=P","Fill=—","Direction=H","UseDPDF=Y")</f>
        <v>—</v>
      </c>
      <c r="K18" s="14" t="str">
        <f>_xll.BDH("SRPT US Equity","EV_TO_EBITDA_EX_OPERATING_LEASE","FQ3 2021","FQ3 2021","Currency=USD","Period=FQ","BEST_FPERIOD_OVERRIDE=FQ","FILING_STATUS=MR","FA_ADJUSTED=GAAP","Sort=A","Dates=H","DateFormat=P","Fill=—","Direction=H","UseDPDF=Y")</f>
        <v>—</v>
      </c>
      <c r="L18" s="14" t="str">
        <f>_xll.BDH("SRPT US Equity","EV_TO_EBITDA_EX_OPERATING_LEASE","FQ4 2021","FQ4 2021","Currency=USD","Period=FQ","BEST_FPERIOD_OVERRIDE=FQ","FILING_STATUS=MR","FA_ADJUSTED=GAAP","Sort=A","Dates=H","DateFormat=P","Fill=—","Direction=H","UseDPDF=Y")</f>
        <v>—</v>
      </c>
      <c r="M18" s="14" t="str">
        <f>_xll.BDH("SRPT US Equity","EV_TO_EBITDA_EX_OPERATING_LEASE","FQ1 2022","FQ1 2022","Currency=USD","Period=FQ","BEST_FPERIOD_OVERRIDE=FQ","FILING_STATUS=MR","FA_ADJUSTED=GAAP","Sort=A","Dates=H","DateFormat=P","Fill=—","Direction=H","UseDPDF=Y")</f>
        <v>—</v>
      </c>
      <c r="N18" s="14" t="str">
        <f>_xll.BDH("SRPT US Equity","EV_TO_EBITDA_EX_OPERATING_LEASE","FQ2 2022","FQ2 2022","Currency=USD","Period=FQ","BEST_FPERIOD_OVERRIDE=FQ","FILING_STATUS=MR","FA_ADJUSTED=GAAP","Sort=A","Dates=H","DateFormat=P","Fill=—","Direction=H","UseDPDF=Y")</f>
        <v>—</v>
      </c>
      <c r="O18" s="14" t="str">
        <f>_xll.BDH("SRPT US Equity","EV_TO_EBITDA_EX_OPERATING_LEASE","FQ3 2022","FQ3 2022","Currency=USD","Period=FQ","BEST_FPERIOD_OVERRIDE=FQ","FILING_STATUS=MR","FA_ADJUSTED=GAAP","Sort=A","Dates=H","DateFormat=P","Fill=—","Direction=H","UseDPDF=Y")</f>
        <v>—</v>
      </c>
      <c r="P18" s="14" t="str">
        <f>_xll.BDH("SRPT US Equity","EV_TO_EBITDA_EX_OPERATING_LEASE","FQ4 2022","FQ4 2022","Currency=USD","Period=FQ","BEST_FPERIOD_OVERRIDE=FQ","FILING_STATUS=MR","FA_ADJUSTED=GAAP","Sort=A","Dates=H","DateFormat=P","Fill=—","Direction=H","UseDPDF=Y")</f>
        <v>—</v>
      </c>
      <c r="Q18" s="14" t="str">
        <f>_xll.BDH("SRPT US Equity","EV_TO_EBITDA_EX_OPERATING_LEASE","FQ1 2023","FQ1 2023","Currency=USD","Period=FQ","BEST_FPERIOD_OVERRIDE=FQ","FILING_STATUS=MR","FA_ADJUSTED=GAAP","Sort=A","Dates=H","DateFormat=P","Fill=—","Direction=H","UseDPDF=Y")</f>
        <v>—</v>
      </c>
      <c r="R18" s="14" t="str">
        <f>_xll.BDH("SRPT US Equity","EV_TO_EBITDA_EX_OPERATING_LEASE","FQ2 2023","FQ2 2023","Currency=USD","Period=FQ","BEST_FPERIOD_OVERRIDE=FQ","FILING_STATUS=MR","FA_ADJUSTED=GAAP","Sort=A","Dates=H","DateFormat=P","Fill=—","Direction=H","UseDPDF=Y")</f>
        <v>—</v>
      </c>
      <c r="S18" s="14" t="str">
        <f>_xll.BDH("SRPT US Equity","EV_TO_EBITDA_EX_OPERATING_LEASE","FQ3 2023","FQ3 2023","Currency=USD","Period=FQ","BEST_FPERIOD_OVERRIDE=FQ","FILING_STATUS=MR","FA_ADJUSTED=GAAP","Sort=A","Dates=H","DateFormat=P","Fill=—","Direction=H","UseDPDF=Y")</f>
        <v>—</v>
      </c>
      <c r="T18" s="14" t="str">
        <f>_xll.BDH("SRPT US Equity","EV_TO_EBITDA_EX_OPERATING_LEASE","FQ4 2023","FQ4 2023","Currency=USD","Period=FQ","BEST_FPERIOD_OVERRIDE=FQ","FILING_STATUS=MR","FA_ADJUSTED=GAAP","Sort=A","Dates=H","DateFormat=P","Fill=—","Direction=H","UseDPDF=Y")</f>
        <v>—</v>
      </c>
      <c r="U18" s="14" t="str">
        <f>_xll.BDH("SRPT US Equity","EV_TO_EBITDA_EX_OPERATING_LEASE","FQ1 2024","FQ1 2024","Currency=USD","Period=FQ","BEST_FPERIOD_OVERRIDE=FQ","FILING_STATUS=MR","FA_ADJUSTED=GAAP","Sort=A","Dates=H","DateFormat=P","Fill=—","Direction=H","UseDPDF=Y")</f>
        <v>—</v>
      </c>
      <c r="V18" s="14">
        <f>_xll.BDH("SRPT US Equity","EV_TO_EBITDA_EX_OPERATING_LEASE","FQ2 2024","FQ2 2024","Currency=USD","Period=FQ","BEST_FPERIOD_OVERRIDE=FQ","FILING_STATUS=MR","FA_ADJUSTED=GAAP","Sort=A","Dates=H","DateFormat=P","Fill=—","Direction=H","UseDPDF=Y")</f>
        <v>190.4169</v>
      </c>
      <c r="W18" s="14">
        <f>_xll.BDH("SRPT US Equity","EV_TO_EBITDA_EX_OPERATING_LEASE","FQ3 2024","FQ3 2024","Currency=USD","Period=FQ","BEST_FPERIOD_OVERRIDE=FQ","FILING_STATUS=MR","FA_ADJUSTED=GAAP","Sort=A","Dates=H","DateFormat=P","Fill=—","Direction=H","UseDPDF=Y")</f>
        <v>99.866</v>
      </c>
      <c r="X18" s="14">
        <f>_xll.BDH("SRPT US Equity","EV_TO_EBITDA_EX_OPERATING_LEASE","FQ4 2024","FQ4 2024","Currency=USD","Period=FQ","BEST_FPERIOD_OVERRIDE=FQ","FILING_STATUS=MR","FA_ADJUSTED=GAAP","Sort=A","Dates=H","DateFormat=P","Fill=—","Direction=H","UseDPDF=Y")</f>
        <v>45.193600000000004</v>
      </c>
      <c r="Y18" s="17">
        <v>25.834002612488</v>
      </c>
      <c r="Z18" s="14">
        <v>7.2286885126750198</v>
      </c>
      <c r="AA18" s="14"/>
    </row>
    <row r="19" spans="1:27" x14ac:dyDescent="0.25">
      <c r="A19" s="10" t="s">
        <v>182</v>
      </c>
      <c r="B19" s="10" t="s">
        <v>303</v>
      </c>
      <c r="C19" s="14" t="str">
        <f>_xll.BDH("SRPT US Equity","EV_TO_EBIT_EX_OPERATING_LEASE","FQ3 2019","FQ3 2019","Currency=USD","Period=FQ","BEST_FPERIOD_OVERRIDE=FQ","FILING_STATUS=MR","FA_ADJUSTED=GAAP","Sort=A","Dates=H","DateFormat=P","Fill=—","Direction=H","UseDPDF=Y")</f>
        <v>—</v>
      </c>
      <c r="D19" s="14" t="str">
        <f>_xll.BDH("SRPT US Equity","EV_TO_EBIT_EX_OPERATING_LEASE","FQ4 2019","FQ4 2019","Currency=USD","Period=FQ","BEST_FPERIOD_OVERRIDE=FQ","FILING_STATUS=MR","FA_ADJUSTED=GAAP","Sort=A","Dates=H","DateFormat=P","Fill=—","Direction=H","UseDPDF=Y")</f>
        <v>—</v>
      </c>
      <c r="E19" s="14" t="str">
        <f>_xll.BDH("SRPT US Equity","EV_TO_EBIT_EX_OPERATING_LEASE","FQ1 2020","FQ1 2020","Currency=USD","Period=FQ","BEST_FPERIOD_OVERRIDE=FQ","FILING_STATUS=MR","FA_ADJUSTED=GAAP","Sort=A","Dates=H","DateFormat=P","Fill=—","Direction=H","UseDPDF=Y")</f>
        <v>—</v>
      </c>
      <c r="F19" s="14" t="str">
        <f>_xll.BDH("SRPT US Equity","EV_TO_EBIT_EX_OPERATING_LEASE","FQ2 2020","FQ2 2020","Currency=USD","Period=FQ","BEST_FPERIOD_OVERRIDE=FQ","FILING_STATUS=MR","FA_ADJUSTED=GAAP","Sort=A","Dates=H","DateFormat=P","Fill=—","Direction=H","UseDPDF=Y")</f>
        <v>—</v>
      </c>
      <c r="G19" s="14" t="str">
        <f>_xll.BDH("SRPT US Equity","EV_TO_EBIT_EX_OPERATING_LEASE","FQ3 2020","FQ3 2020","Currency=USD","Period=FQ","BEST_FPERIOD_OVERRIDE=FQ","FILING_STATUS=MR","FA_ADJUSTED=GAAP","Sort=A","Dates=H","DateFormat=P","Fill=—","Direction=H","UseDPDF=Y")</f>
        <v>—</v>
      </c>
      <c r="H19" s="14" t="str">
        <f>_xll.BDH("SRPT US Equity","EV_TO_EBIT_EX_OPERATING_LEASE","FQ4 2020","FQ4 2020","Currency=USD","Period=FQ","BEST_FPERIOD_OVERRIDE=FQ","FILING_STATUS=MR","FA_ADJUSTED=GAAP","Sort=A","Dates=H","DateFormat=P","Fill=—","Direction=H","UseDPDF=Y")</f>
        <v>—</v>
      </c>
      <c r="I19" s="14" t="str">
        <f>_xll.BDH("SRPT US Equity","EV_TO_EBIT_EX_OPERATING_LEASE","FQ1 2021","FQ1 2021","Currency=USD","Period=FQ","BEST_FPERIOD_OVERRIDE=FQ","FILING_STATUS=MR","FA_ADJUSTED=GAAP","Sort=A","Dates=H","DateFormat=P","Fill=—","Direction=H","UseDPDF=Y")</f>
        <v>—</v>
      </c>
      <c r="J19" s="14" t="str">
        <f>_xll.BDH("SRPT US Equity","EV_TO_EBIT_EX_OPERATING_LEASE","FQ2 2021","FQ2 2021","Currency=USD","Period=FQ","BEST_FPERIOD_OVERRIDE=FQ","FILING_STATUS=MR","FA_ADJUSTED=GAAP","Sort=A","Dates=H","DateFormat=P","Fill=—","Direction=H","UseDPDF=Y")</f>
        <v>—</v>
      </c>
      <c r="K19" s="14" t="str">
        <f>_xll.BDH("SRPT US Equity","EV_TO_EBIT_EX_OPERATING_LEASE","FQ3 2021","FQ3 2021","Currency=USD","Period=FQ","BEST_FPERIOD_OVERRIDE=FQ","FILING_STATUS=MR","FA_ADJUSTED=GAAP","Sort=A","Dates=H","DateFormat=P","Fill=—","Direction=H","UseDPDF=Y")</f>
        <v>—</v>
      </c>
      <c r="L19" s="14" t="str">
        <f>_xll.BDH("SRPT US Equity","EV_TO_EBIT_EX_OPERATING_LEASE","FQ4 2021","FQ4 2021","Currency=USD","Period=FQ","BEST_FPERIOD_OVERRIDE=FQ","FILING_STATUS=MR","FA_ADJUSTED=GAAP","Sort=A","Dates=H","DateFormat=P","Fill=—","Direction=H","UseDPDF=Y")</f>
        <v>—</v>
      </c>
      <c r="M19" s="14" t="str">
        <f>_xll.BDH("SRPT US Equity","EV_TO_EBIT_EX_OPERATING_LEASE","FQ1 2022","FQ1 2022","Currency=USD","Period=FQ","BEST_FPERIOD_OVERRIDE=FQ","FILING_STATUS=MR","FA_ADJUSTED=GAAP","Sort=A","Dates=H","DateFormat=P","Fill=—","Direction=H","UseDPDF=Y")</f>
        <v>—</v>
      </c>
      <c r="N19" s="14" t="str">
        <f>_xll.BDH("SRPT US Equity","EV_TO_EBIT_EX_OPERATING_LEASE","FQ2 2022","FQ2 2022","Currency=USD","Period=FQ","BEST_FPERIOD_OVERRIDE=FQ","FILING_STATUS=MR","FA_ADJUSTED=GAAP","Sort=A","Dates=H","DateFormat=P","Fill=—","Direction=H","UseDPDF=Y")</f>
        <v>—</v>
      </c>
      <c r="O19" s="14" t="str">
        <f>_xll.BDH("SRPT US Equity","EV_TO_EBIT_EX_OPERATING_LEASE","FQ3 2022","FQ3 2022","Currency=USD","Period=FQ","BEST_FPERIOD_OVERRIDE=FQ","FILING_STATUS=MR","FA_ADJUSTED=GAAP","Sort=A","Dates=H","DateFormat=P","Fill=—","Direction=H","UseDPDF=Y")</f>
        <v>—</v>
      </c>
      <c r="P19" s="14" t="str">
        <f>_xll.BDH("SRPT US Equity","EV_TO_EBIT_EX_OPERATING_LEASE","FQ4 2022","FQ4 2022","Currency=USD","Period=FQ","BEST_FPERIOD_OVERRIDE=FQ","FILING_STATUS=MR","FA_ADJUSTED=GAAP","Sort=A","Dates=H","DateFormat=P","Fill=—","Direction=H","UseDPDF=Y")</f>
        <v>—</v>
      </c>
      <c r="Q19" s="14" t="str">
        <f>_xll.BDH("SRPT US Equity","EV_TO_EBIT_EX_OPERATING_LEASE","FQ1 2023","FQ1 2023","Currency=USD","Period=FQ","BEST_FPERIOD_OVERRIDE=FQ","FILING_STATUS=MR","FA_ADJUSTED=GAAP","Sort=A","Dates=H","DateFormat=P","Fill=—","Direction=H","UseDPDF=Y")</f>
        <v>—</v>
      </c>
      <c r="R19" s="14" t="str">
        <f>_xll.BDH("SRPT US Equity","EV_TO_EBIT_EX_OPERATING_LEASE","FQ2 2023","FQ2 2023","Currency=USD","Period=FQ","BEST_FPERIOD_OVERRIDE=FQ","FILING_STATUS=MR","FA_ADJUSTED=GAAP","Sort=A","Dates=H","DateFormat=P","Fill=—","Direction=H","UseDPDF=Y")</f>
        <v>—</v>
      </c>
      <c r="S19" s="14" t="str">
        <f>_xll.BDH("SRPT US Equity","EV_TO_EBIT_EX_OPERATING_LEASE","FQ3 2023","FQ3 2023","Currency=USD","Period=FQ","BEST_FPERIOD_OVERRIDE=FQ","FILING_STATUS=MR","FA_ADJUSTED=GAAP","Sort=A","Dates=H","DateFormat=P","Fill=—","Direction=H","UseDPDF=Y")</f>
        <v>—</v>
      </c>
      <c r="T19" s="14" t="str">
        <f>_xll.BDH("SRPT US Equity","EV_TO_EBIT_EX_OPERATING_LEASE","FQ4 2023","FQ4 2023","Currency=USD","Period=FQ","BEST_FPERIOD_OVERRIDE=FQ","FILING_STATUS=MR","FA_ADJUSTED=GAAP","Sort=A","Dates=H","DateFormat=P","Fill=—","Direction=H","UseDPDF=Y")</f>
        <v>—</v>
      </c>
      <c r="U19" s="14" t="str">
        <f>_xll.BDH("SRPT US Equity","EV_TO_EBIT_EX_OPERATING_LEASE","FQ1 2024","FQ1 2024","Currency=USD","Period=FQ","BEST_FPERIOD_OVERRIDE=FQ","FILING_STATUS=MR","FA_ADJUSTED=GAAP","Sort=A","Dates=H","DateFormat=P","Fill=—","Direction=H","UseDPDF=Y")</f>
        <v>—</v>
      </c>
      <c r="V19" s="14">
        <f>_xll.BDH("SRPT US Equity","EV_TO_EBIT_EX_OPERATING_LEASE","FQ2 2024","FQ2 2024","Currency=USD","Period=FQ","BEST_FPERIOD_OVERRIDE=FQ","FILING_STATUS=MR","FA_ADJUSTED=GAAP","Sort=A","Dates=H","DateFormat=P","Fill=—","Direction=H","UseDPDF=Y")</f>
        <v>389.73630000000003</v>
      </c>
      <c r="W19" s="14">
        <f>_xll.BDH("SRPT US Equity","EV_TO_EBIT_EX_OPERATING_LEASE","FQ3 2024","FQ3 2024","Currency=USD","Period=FQ","BEST_FPERIOD_OVERRIDE=FQ","FILING_STATUS=MR","FA_ADJUSTED=GAAP","Sort=A","Dates=H","DateFormat=P","Fill=—","Direction=H","UseDPDF=Y")</f>
        <v>147.4924</v>
      </c>
      <c r="X19" s="14">
        <f>_xll.BDH("SRPT US Equity","EV_TO_EBIT_EX_OPERATING_LEASE","FQ4 2024","FQ4 2024","Currency=USD","Period=FQ","BEST_FPERIOD_OVERRIDE=FQ","FILING_STATUS=MR","FA_ADJUSTED=GAAP","Sort=A","Dates=H","DateFormat=P","Fill=—","Direction=H","UseDPDF=Y")</f>
        <v>53.011299999999999</v>
      </c>
      <c r="Y19" s="17">
        <v>30.302809682125002</v>
      </c>
      <c r="Z19" s="14">
        <v>6.4532344828036603</v>
      </c>
      <c r="AA19" s="14">
        <v>5.2494854853305997</v>
      </c>
    </row>
    <row r="20" spans="1:27" x14ac:dyDescent="0.25">
      <c r="A20" s="1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5"/>
      <c r="Z20" s="12"/>
      <c r="AA20" s="12"/>
    </row>
    <row r="21" spans="1:27" x14ac:dyDescent="0.25">
      <c r="A21" s="10" t="s">
        <v>188</v>
      </c>
      <c r="B21" s="10" t="s">
        <v>189</v>
      </c>
      <c r="C21" s="13">
        <f>_xll.BDH("SRPT US Equity","DILUTED_MKT_CAP","FQ3 2019","FQ3 2019","Currency=USD","Period=FQ","BEST_FPERIOD_OVERRIDE=FQ","FILING_STATUS=MR","SCALING_FORMAT=MLN","Sort=A","Dates=H","DateFormat=P","Fill=—","Direction=H","UseDPDF=Y")</f>
        <v>5587.0115999999998</v>
      </c>
      <c r="D21" s="13">
        <f>_xll.BDH("SRPT US Equity","DILUTED_MKT_CAP","FQ4 2019","FQ4 2019","Currency=USD","Period=FQ","BEST_FPERIOD_OVERRIDE=FQ","FILING_STATUS=MR","SCALING_FORMAT=MLN","Sort=A","Dates=H","DateFormat=P","Fill=—","Direction=H","UseDPDF=Y")</f>
        <v>9620.8353000000006</v>
      </c>
      <c r="E21" s="13">
        <f>_xll.BDH("SRPT US Equity","DILUTED_MKT_CAP","FQ1 2020","FQ1 2020","Currency=USD","Period=FQ","BEST_FPERIOD_OVERRIDE=FQ","FILING_STATUS=MR","SCALING_FORMAT=MLN","Sort=A","Dates=H","DateFormat=P","Fill=—","Direction=H","UseDPDF=Y")</f>
        <v>7476.5781999999999</v>
      </c>
      <c r="F21" s="13">
        <f>_xll.BDH("SRPT US Equity","DILUTED_MKT_CAP","FQ2 2020","FQ2 2020","Currency=USD","Period=FQ","BEST_FPERIOD_OVERRIDE=FQ","FILING_STATUS=MR","SCALING_FORMAT=MLN","Sort=A","Dates=H","DateFormat=P","Fill=—","Direction=H","UseDPDF=Y")</f>
        <v>12501.3891</v>
      </c>
      <c r="G21" s="13">
        <f>_xll.BDH("SRPT US Equity","DILUTED_MKT_CAP","FQ3 2020","FQ3 2020","Currency=USD","Period=FQ","BEST_FPERIOD_OVERRIDE=FQ","FILING_STATUS=MR","SCALING_FORMAT=MLN","Sort=A","Dates=H","DateFormat=P","Fill=—","Direction=H","UseDPDF=Y")</f>
        <v>11023.895399999999</v>
      </c>
      <c r="H21" s="13">
        <f>_xll.BDH("SRPT US Equity","DILUTED_MKT_CAP","FQ4 2020","FQ4 2020","Currency=USD","Period=FQ","BEST_FPERIOD_OVERRIDE=FQ","FILING_STATUS=MR","SCALING_FORMAT=MLN","Sort=A","Dates=H","DateFormat=P","Fill=—","Direction=H","UseDPDF=Y")</f>
        <v>13452.513499999999</v>
      </c>
      <c r="I21" s="13">
        <f>_xll.BDH("SRPT US Equity","DILUTED_MKT_CAP","FQ1 2021","FQ1 2021","Currency=USD","Period=FQ","BEST_FPERIOD_OVERRIDE=FQ","FILING_STATUS=MR","SCALING_FORMAT=MLN","Sort=A","Dates=H","DateFormat=P","Fill=—","Direction=H","UseDPDF=Y")</f>
        <v>5921.7066000000004</v>
      </c>
      <c r="J21" s="13">
        <f>_xll.BDH("SRPT US Equity","DILUTED_MKT_CAP","FQ2 2021","FQ2 2021","Currency=USD","Period=FQ","BEST_FPERIOD_OVERRIDE=FQ","FILING_STATUS=MR","SCALING_FORMAT=MLN","Sort=A","Dates=H","DateFormat=P","Fill=—","Direction=H","UseDPDF=Y")</f>
        <v>6199.4539999999997</v>
      </c>
      <c r="K21" s="13">
        <f>_xll.BDH("SRPT US Equity","DILUTED_MKT_CAP","FQ3 2021","FQ3 2021","Currency=USD","Period=FQ","BEST_FPERIOD_OVERRIDE=FQ","FILING_STATUS=MR","SCALING_FORMAT=MLN","Sort=A","Dates=H","DateFormat=P","Fill=—","Direction=H","UseDPDF=Y")</f>
        <v>7387.3023999999996</v>
      </c>
      <c r="L21" s="13">
        <f>_xll.BDH("SRPT US Equity","DILUTED_MKT_CAP","FQ4 2021","FQ4 2021","Currency=USD","Period=FQ","BEST_FPERIOD_OVERRIDE=FQ","FILING_STATUS=MR","SCALING_FORMAT=MLN","Sort=A","Dates=H","DateFormat=P","Fill=—","Direction=H","UseDPDF=Y")</f>
        <v>7739.8876</v>
      </c>
      <c r="M21" s="13">
        <f>_xll.BDH("SRPT US Equity","DILUTED_MKT_CAP","FQ1 2022","FQ1 2022","Currency=USD","Period=FQ","BEST_FPERIOD_OVERRIDE=FQ","FILING_STATUS=MR","SCALING_FORMAT=MLN","Sort=A","Dates=H","DateFormat=P","Fill=—","Direction=H","UseDPDF=Y")</f>
        <v>6816.2043999999996</v>
      </c>
      <c r="N21" s="13">
        <f>_xll.BDH("SRPT US Equity","DILUTED_MKT_CAP","FQ2 2022","FQ2 2022","Currency=USD","Period=FQ","BEST_FPERIOD_OVERRIDE=FQ","FILING_STATUS=MR","SCALING_FORMAT=MLN","Sort=A","Dates=H","DateFormat=P","Fill=—","Direction=H","UseDPDF=Y")</f>
        <v>6559.8245999999999</v>
      </c>
      <c r="O21" s="13">
        <f>_xll.BDH("SRPT US Equity","DILUTED_MKT_CAP","FQ3 2022","FQ3 2022","Currency=USD","Period=FQ","BEST_FPERIOD_OVERRIDE=FQ","FILING_STATUS=MR","SCALING_FORMAT=MLN","Sort=A","Dates=H","DateFormat=P","Fill=—","Direction=H","UseDPDF=Y")</f>
        <v>9686.3991000000005</v>
      </c>
      <c r="P21" s="13">
        <f>_xll.BDH("SRPT US Equity","DILUTED_MKT_CAP","FQ4 2022","FQ4 2022","Currency=USD","Period=FQ","BEST_FPERIOD_OVERRIDE=FQ","FILING_STATUS=MR","SCALING_FORMAT=MLN","Sort=A","Dates=H","DateFormat=P","Fill=—","Direction=H","UseDPDF=Y")</f>
        <v>11382.048000000001</v>
      </c>
      <c r="Q21" s="13">
        <f>_xll.BDH("SRPT US Equity","DILUTED_MKT_CAP","FQ1 2023","FQ1 2023","Currency=USD","Period=FQ","BEST_FPERIOD_OVERRIDE=FQ","FILING_STATUS=MR","SCALING_FORMAT=MLN","Sort=A","Dates=H","DateFormat=P","Fill=—","Direction=H","UseDPDF=Y")</f>
        <v>12154.6764</v>
      </c>
      <c r="R21" s="13">
        <f>_xll.BDH("SRPT US Equity","DILUTED_MKT_CAP","FQ2 2023","FQ2 2023","Currency=USD","Period=FQ","BEST_FPERIOD_OVERRIDE=FQ","FILING_STATUS=MR","SCALING_FORMAT=MLN","Sort=A","Dates=H","DateFormat=P","Fill=—","Direction=H","UseDPDF=Y")</f>
        <v>10162.848400000001</v>
      </c>
      <c r="S21" s="13">
        <f>_xll.BDH("SRPT US Equity","DILUTED_MKT_CAP","FQ3 2023","FQ3 2023","Currency=USD","Period=FQ","BEST_FPERIOD_OVERRIDE=FQ","FILING_STATUS=MR","SCALING_FORMAT=MLN","Sort=A","Dates=H","DateFormat=P","Fill=—","Direction=H","UseDPDF=Y")</f>
        <v>10775.124599999999</v>
      </c>
      <c r="T21" s="13">
        <f>_xll.BDH("SRPT US Equity","DILUTED_MKT_CAP","FQ4 2023","FQ4 2023","Currency=USD","Period=FQ","BEST_FPERIOD_OVERRIDE=FQ","FILING_STATUS=MR","SCALING_FORMAT=MLN","Sort=A","Dates=H","DateFormat=P","Fill=—","Direction=H","UseDPDF=Y")</f>
        <v>10182.429400000001</v>
      </c>
      <c r="U21" s="13">
        <f>_xll.BDH("SRPT US Equity","DILUTED_MKT_CAP","FQ1 2024","FQ1 2024","Currency=USD","Period=FQ","BEST_FPERIOD_OVERRIDE=FQ","FILING_STATUS=MR","SCALING_FORMAT=MLN","Sort=A","Dates=H","DateFormat=P","Fill=—","Direction=H","UseDPDF=Y")</f>
        <v>12831.2984</v>
      </c>
      <c r="V21" s="13">
        <f>_xll.BDH("SRPT US Equity","DILUTED_MKT_CAP","FQ2 2024","FQ2 2024","Currency=USD","Period=FQ","BEST_FPERIOD_OVERRIDE=FQ","FILING_STATUS=MR","SCALING_FORMAT=MLN","Sort=A","Dates=H","DateFormat=P","Fill=—","Direction=H","UseDPDF=Y")</f>
        <v>15664.752</v>
      </c>
      <c r="W21" s="13">
        <f>_xll.BDH("SRPT US Equity","DILUTED_MKT_CAP","FQ3 2024","FQ3 2024","Currency=USD","Period=FQ","BEST_FPERIOD_OVERRIDE=FQ","FILING_STATUS=MR","SCALING_FORMAT=MLN","Sort=A","Dates=H","DateFormat=P","Fill=—","Direction=H","UseDPDF=Y")</f>
        <v>12544.950699999999</v>
      </c>
      <c r="X21" s="13">
        <f>_xll.BDH("SRPT US Equity","DILUTED_MKT_CAP","FQ4 2024","FQ4 2024","Currency=USD","Period=FQ","BEST_FPERIOD_OVERRIDE=FQ","FILING_STATUS=MR","SCALING_FORMAT=MLN","Sort=A","Dates=H","DateFormat=P","Fill=—","Direction=H","UseDPDF=Y")</f>
        <v>13189.3537</v>
      </c>
      <c r="Y21" s="16">
        <v>7635.21334396362</v>
      </c>
      <c r="Z21" s="13"/>
      <c r="AA21" s="13"/>
    </row>
    <row r="22" spans="1:27" x14ac:dyDescent="0.25">
      <c r="A22" s="10" t="s">
        <v>190</v>
      </c>
      <c r="B22" s="10" t="s">
        <v>304</v>
      </c>
      <c r="C22" s="13">
        <f>_xll.BDH("SRPT US Equity","DILUTED_EV_EX_OPERATING_LEASE","FQ3 2019","FQ3 2019","Currency=USD","Period=FQ","BEST_FPERIOD_OVERRIDE=FQ","FILING_STATUS=MR","SCALING_FORMAT=MLN","Sort=A","Dates=H","DateFormat=P","Fill=—","Direction=H","UseDPDF=Y")</f>
        <v>4974.5406000000003</v>
      </c>
      <c r="D22" s="13">
        <f>_xll.BDH("SRPT US Equity","DILUTED_EV_EX_OPERATING_LEASE","FQ4 2019","FQ4 2019","Currency=USD","Period=FQ","BEST_FPERIOD_OVERRIDE=FQ","FILING_STATUS=MR","SCALING_FORMAT=MLN","Sort=A","Dates=H","DateFormat=P","Fill=—","Direction=H","UseDPDF=Y")</f>
        <v>9177.9873000000007</v>
      </c>
      <c r="E22" s="13">
        <f>_xll.BDH("SRPT US Equity","DILUTED_EV_EX_OPERATING_LEASE","FQ1 2020","FQ1 2020","Currency=USD","Period=FQ","BEST_FPERIOD_OVERRIDE=FQ","FILING_STATUS=MR","SCALING_FORMAT=MLN","Sort=A","Dates=H","DateFormat=P","Fill=—","Direction=H","UseDPDF=Y")</f>
        <v>5983.8131999999996</v>
      </c>
      <c r="F22" s="13">
        <f>_xll.BDH("SRPT US Equity","DILUTED_EV_EX_OPERATING_LEASE","FQ2 2020","FQ2 2020","Currency=USD","Period=FQ","BEST_FPERIOD_OVERRIDE=FQ","FILING_STATUS=MR","SCALING_FORMAT=MLN","Sort=A","Dates=H","DateFormat=P","Fill=—","Direction=H","UseDPDF=Y")</f>
        <v>11124.6711</v>
      </c>
      <c r="G22" s="13">
        <f>_xll.BDH("SRPT US Equity","DILUTED_EV_EX_OPERATING_LEASE","FQ3 2020","FQ3 2020","Currency=USD","Period=FQ","BEST_FPERIOD_OVERRIDE=FQ","FILING_STATUS=MR","SCALING_FORMAT=MLN","Sort=A","Dates=H","DateFormat=P","Fill=—","Direction=H","UseDPDF=Y")</f>
        <v>9898.6954000000005</v>
      </c>
      <c r="H22" s="13">
        <f>_xll.BDH("SRPT US Equity","DILUTED_EV_EX_OPERATING_LEASE","FQ4 2020","FQ4 2020","Currency=USD","Period=FQ","BEST_FPERIOD_OVERRIDE=FQ","FILING_STATUS=MR","SCALING_FORMAT=MLN","Sort=A","Dates=H","DateFormat=P","Fill=—","Direction=H","UseDPDF=Y")</f>
        <v>12497.120500000001</v>
      </c>
      <c r="I22" s="13">
        <f>_xll.BDH("SRPT US Equity","DILUTED_EV_EX_OPERATING_LEASE","FQ1 2021","FQ1 2021","Currency=USD","Period=FQ","BEST_FPERIOD_OVERRIDE=FQ","FILING_STATUS=MR","SCALING_FORMAT=MLN","Sort=A","Dates=H","DateFormat=P","Fill=—","Direction=H","UseDPDF=Y")</f>
        <v>5265.6686</v>
      </c>
      <c r="J22" s="13">
        <f>_xll.BDH("SRPT US Equity","DILUTED_EV_EX_OPERATING_LEASE","FQ2 2021","FQ2 2021","Currency=USD","Period=FQ","BEST_FPERIOD_OVERRIDE=FQ","FILING_STATUS=MR","SCALING_FORMAT=MLN","Sort=A","Dates=H","DateFormat=P","Fill=—","Direction=H","UseDPDF=Y")</f>
        <v>5555.8490000000002</v>
      </c>
      <c r="K22" s="13">
        <f>_xll.BDH("SRPT US Equity","DILUTED_EV_EX_OPERATING_LEASE","FQ3 2021","FQ3 2021","Currency=USD","Period=FQ","BEST_FPERIOD_OVERRIDE=FQ","FILING_STATUS=MR","SCALING_FORMAT=MLN","Sort=A","Dates=H","DateFormat=P","Fill=—","Direction=H","UseDPDF=Y")</f>
        <v>6873.7864</v>
      </c>
      <c r="L22" s="13">
        <f>_xll.BDH("SRPT US Equity","DILUTED_EV_EX_OPERATING_LEASE","FQ4 2021","FQ4 2021","Currency=USD","Period=FQ","BEST_FPERIOD_OVERRIDE=FQ","FILING_STATUS=MR","SCALING_FORMAT=MLN","Sort=A","Dates=H","DateFormat=P","Fill=—","Direction=H","UseDPDF=Y")</f>
        <v>6710.9906000000001</v>
      </c>
      <c r="M22" s="13">
        <f>_xll.BDH("SRPT US Equity","DILUTED_EV_EX_OPERATING_LEASE","FQ1 2022","FQ1 2022","Currency=USD","Period=FQ","BEST_FPERIOD_OVERRIDE=FQ","FILING_STATUS=MR","SCALING_FORMAT=MLN","Sort=A","Dates=H","DateFormat=P","Fill=—","Direction=H","UseDPDF=Y")</f>
        <v>5891.9723999999997</v>
      </c>
      <c r="N22" s="13">
        <f>_xll.BDH("SRPT US Equity","DILUTED_EV_EX_OPERATING_LEASE","FQ2 2022","FQ2 2022","Currency=USD","Period=FQ","BEST_FPERIOD_OVERRIDE=FQ","FILING_STATUS=MR","SCALING_FORMAT=MLN","Sort=A","Dates=H","DateFormat=P","Fill=—","Direction=H","UseDPDF=Y")</f>
        <v>5714.1796000000004</v>
      </c>
      <c r="O22" s="13">
        <f>_xll.BDH("SRPT US Equity","DILUTED_EV_EX_OPERATING_LEASE","FQ3 2022","FQ3 2022","Currency=USD","Period=FQ","BEST_FPERIOD_OVERRIDE=FQ","FILING_STATUS=MR","SCALING_FORMAT=MLN","Sort=A","Dates=H","DateFormat=P","Fill=—","Direction=H","UseDPDF=Y")</f>
        <v>9137.6610999999994</v>
      </c>
      <c r="P22" s="13">
        <f>_xll.BDH("SRPT US Equity","DILUTED_EV_EX_OPERATING_LEASE","FQ4 2022","FQ4 2022","Currency=USD","Period=FQ","BEST_FPERIOD_OVERRIDE=FQ","FILING_STATUS=MR","SCALING_FORMAT=MLN","Sort=A","Dates=H","DateFormat=P","Fill=—","Direction=H","UseDPDF=Y")</f>
        <v>10917.941999999999</v>
      </c>
      <c r="Q22" s="13">
        <f>_xll.BDH("SRPT US Equity","DILUTED_EV_EX_OPERATING_LEASE","FQ1 2023","FQ1 2023","Currency=USD","Period=FQ","BEST_FPERIOD_OVERRIDE=FQ","FILING_STATUS=MR","SCALING_FORMAT=MLN","Sort=A","Dates=H","DateFormat=P","Fill=—","Direction=H","UseDPDF=Y")</f>
        <v>11487.839400000001</v>
      </c>
      <c r="R22" s="13">
        <f>_xll.BDH("SRPT US Equity","DILUTED_EV_EX_OPERATING_LEASE","FQ2 2023","FQ2 2023","Currency=USD","Period=FQ","BEST_FPERIOD_OVERRIDE=FQ","FILING_STATUS=MR","SCALING_FORMAT=MLN","Sort=A","Dates=H","DateFormat=P","Fill=—","Direction=H","UseDPDF=Y")</f>
        <v>9518.6263999999992</v>
      </c>
      <c r="S22" s="13">
        <f>_xll.BDH("SRPT US Equity","DILUTED_EV_EX_OPERATING_LEASE","FQ3 2023","FQ3 2023","Currency=USD","Period=FQ","BEST_FPERIOD_OVERRIDE=FQ","FILING_STATUS=MR","SCALING_FORMAT=MLN","Sort=A","Dates=H","DateFormat=P","Fill=—","Direction=H","UseDPDF=Y")</f>
        <v>10270.837600000001</v>
      </c>
      <c r="T22" s="13">
        <f>_xll.BDH("SRPT US Equity","DILUTED_EV_EX_OPERATING_LEASE","FQ4 2023","FQ4 2023","Currency=USD","Period=FQ","BEST_FPERIOD_OVERRIDE=FQ","FILING_STATUS=MR","SCALING_FORMAT=MLN","Sort=A","Dates=H","DateFormat=P","Fill=—","Direction=H","UseDPDF=Y")</f>
        <v>9750.1401999999998</v>
      </c>
      <c r="U22" s="13">
        <f>_xll.BDH("SRPT US Equity","DILUTED_EV_EX_OPERATING_LEASE","FQ1 2024","FQ1 2024","Currency=USD","Period=FQ","BEST_FPERIOD_OVERRIDE=FQ","FILING_STATUS=MR","SCALING_FORMAT=MLN","Sort=A","Dates=H","DateFormat=P","Fill=—","Direction=H","UseDPDF=Y")</f>
        <v>12732.3655</v>
      </c>
      <c r="V22" s="13">
        <f>_xll.BDH("SRPT US Equity","DILUTED_EV_EX_OPERATING_LEASE","FQ2 2024","FQ2 2024","Currency=USD","Period=FQ","BEST_FPERIOD_OVERRIDE=FQ","FILING_STATUS=MR","SCALING_FORMAT=MLN","Sort=A","Dates=H","DateFormat=P","Fill=—","Direction=H","UseDPDF=Y")</f>
        <v>15525.0437</v>
      </c>
      <c r="W22" s="13">
        <f>_xll.BDH("SRPT US Equity","DILUTED_EV_EX_OPERATING_LEASE","FQ3 2024","FQ3 2024","Currency=USD","Period=FQ","BEST_FPERIOD_OVERRIDE=FQ","FILING_STATUS=MR","SCALING_FORMAT=MLN","Sort=A","Dates=H","DateFormat=P","Fill=—","Direction=H","UseDPDF=Y")</f>
        <v>12582.945100000001</v>
      </c>
      <c r="X22" s="13">
        <f>_xll.BDH("SRPT US Equity","DILUTED_EV_EX_OPERATING_LEASE","FQ4 2024","FQ4 2024","Currency=USD","Period=FQ","BEST_FPERIOD_OVERRIDE=FQ","FILING_STATUS=MR","SCALING_FORMAT=MLN","Sort=A","Dates=H","DateFormat=P","Fill=—","Direction=H","UseDPDF=Y")</f>
        <v>13052.5635</v>
      </c>
      <c r="Y22" s="16">
        <v>13052.563522111001</v>
      </c>
      <c r="Z22" s="13"/>
      <c r="AA22" s="13"/>
    </row>
    <row r="23" spans="1:27" x14ac:dyDescent="0.25">
      <c r="A23" s="10" t="s">
        <v>192</v>
      </c>
      <c r="B23" s="10" t="s">
        <v>305</v>
      </c>
      <c r="C23" s="14">
        <f>_xll.BDH("SRPT US Equity","EV_EX_OP_LEA_LIAB_TO_SHS_OUTSTDG","FQ3 2019","FQ3 2019","Currency=USD","Period=FQ","BEST_FPERIOD_OVERRIDE=FQ","FILING_STATUS=MR","Sort=A","Dates=H","DateFormat=P","Fill=—","Direction=H","UseDPDF=Y")</f>
        <v>67.099400000000003</v>
      </c>
      <c r="D23" s="14">
        <f>_xll.BDH("SRPT US Equity","EV_EX_OP_LEA_LIAB_TO_SHS_OUTSTDG","FQ4 2019","FQ4 2019","Currency=USD","Period=FQ","BEST_FPERIOD_OVERRIDE=FQ","FILING_STATUS=MR","Sort=A","Dates=H","DateFormat=P","Fill=—","Direction=H","UseDPDF=Y")</f>
        <v>123.1499</v>
      </c>
      <c r="E23" s="14">
        <f>_xll.BDH("SRPT US Equity","EV_EX_OP_LEA_LIAB_TO_SHS_OUTSTDG","FQ1 2020","FQ1 2020","Currency=USD","Period=FQ","BEST_FPERIOD_OVERRIDE=FQ","FILING_STATUS=MR","Sort=A","Dates=H","DateFormat=P","Fill=—","Direction=H","UseDPDF=Y")</f>
        <v>78.671599999999998</v>
      </c>
      <c r="F23" s="14">
        <f>_xll.BDH("SRPT US Equity","EV_EX_OP_LEA_LIAB_TO_SHS_OUTSTDG","FQ2 2020","FQ2 2020","Currency=USD","Period=FQ","BEST_FPERIOD_OVERRIDE=FQ","FILING_STATUS=MR","Sort=A","Dates=H","DateFormat=P","Fill=—","Direction=H","UseDPDF=Y")</f>
        <v>142.78700000000001</v>
      </c>
      <c r="G23" s="14">
        <f>_xll.BDH("SRPT US Equity","EV_EX_OP_LEA_LIAB_TO_SHS_OUTSTDG","FQ3 2020","FQ3 2020","Currency=USD","Period=FQ","BEST_FPERIOD_OVERRIDE=FQ","FILING_STATUS=MR","Sort=A","Dates=H","DateFormat=P","Fill=—","Direction=H","UseDPDF=Y")</f>
        <v>126.149</v>
      </c>
      <c r="H23" s="14">
        <f>_xll.BDH("SRPT US Equity","EV_EX_OP_LEA_LIAB_TO_SHS_OUTSTDG","FQ4 2020","FQ4 2020","Currency=USD","Period=FQ","BEST_FPERIOD_OVERRIDE=FQ","FILING_STATUS=MR","Sort=A","Dates=H","DateFormat=P","Fill=—","Direction=H","UseDPDF=Y")</f>
        <v>158.45339999999999</v>
      </c>
      <c r="I23" s="14">
        <f>_xll.BDH("SRPT US Equity","EV_EX_OP_LEA_LIAB_TO_SHS_OUTSTDG","FQ1 2021","FQ1 2021","Currency=USD","Period=FQ","BEST_FPERIOD_OVERRIDE=FQ","FILING_STATUS=MR","Sort=A","Dates=H","DateFormat=P","Fill=—","Direction=H","UseDPDF=Y")</f>
        <v>66.303600000000003</v>
      </c>
      <c r="J23" s="14">
        <f>_xll.BDH("SRPT US Equity","EV_EX_OP_LEA_LIAB_TO_SHS_OUTSTDG","FQ2 2021","FQ2 2021","Currency=USD","Period=FQ","BEST_FPERIOD_OVERRIDE=FQ","FILING_STATUS=MR","Sort=A","Dates=H","DateFormat=P","Fill=—","Direction=H","UseDPDF=Y")</f>
        <v>69.677800000000005</v>
      </c>
      <c r="K23" s="14">
        <f>_xll.BDH("SRPT US Equity","EV_EX_OP_LEA_LIAB_TO_SHS_OUTSTDG","FQ3 2021","FQ3 2021","Currency=USD","Period=FQ","BEST_FPERIOD_OVERRIDE=FQ","FILING_STATUS=MR","Sort=A","Dates=H","DateFormat=P","Fill=—","Direction=H","UseDPDF=Y")</f>
        <v>86.057699999999997</v>
      </c>
      <c r="L23" s="14">
        <f>_xll.BDH("SRPT US Equity","EV_EX_OP_LEA_LIAB_TO_SHS_OUTSTDG","FQ4 2021","FQ4 2021","Currency=USD","Period=FQ","BEST_FPERIOD_OVERRIDE=FQ","FILING_STATUS=MR","Sort=A","Dates=H","DateFormat=P","Fill=—","Direction=H","UseDPDF=Y")</f>
        <v>78.240799999999993</v>
      </c>
      <c r="M23" s="14">
        <f>_xll.BDH("SRPT US Equity","EV_EX_OP_LEA_LIAB_TO_SHS_OUTSTDG","FQ1 2022","FQ1 2022","Currency=USD","Period=FQ","BEST_FPERIOD_OVERRIDE=FQ","FILING_STATUS=MR","Sort=A","Dates=H","DateFormat=P","Fill=—","Direction=H","UseDPDF=Y")</f>
        <v>67.556799999999996</v>
      </c>
      <c r="N23" s="14">
        <f>_xll.BDH("SRPT US Equity","EV_EX_OP_LEA_LIAB_TO_SHS_OUTSTDG","FQ2 2022","FQ2 2022","Currency=USD","Period=FQ","BEST_FPERIOD_OVERRIDE=FQ","FILING_STATUS=MR","Sort=A","Dates=H","DateFormat=P","Fill=—","Direction=H","UseDPDF=Y")</f>
        <v>65.299400000000006</v>
      </c>
      <c r="O23" s="14">
        <f>_xll.BDH("SRPT US Equity","EV_EX_OP_LEA_LIAB_TO_SHS_OUTSTDG","FQ3 2022","FQ3 2022","Currency=USD","Period=FQ","BEST_FPERIOD_OVERRIDE=FQ","FILING_STATUS=MR","Sort=A","Dates=H","DateFormat=P","Fill=—","Direction=H","UseDPDF=Y")</f>
        <v>104.2877</v>
      </c>
      <c r="P23" s="14">
        <f>_xll.BDH("SRPT US Equity","EV_EX_OP_LEA_LIAB_TO_SHS_OUTSTDG","FQ4 2022","FQ4 2022","Currency=USD","Period=FQ","BEST_FPERIOD_OVERRIDE=FQ","FILING_STATUS=MR","Sort=A","Dates=H","DateFormat=P","Fill=—","Direction=H","UseDPDF=Y")</f>
        <v>124.3031</v>
      </c>
      <c r="Q23" s="14">
        <f>_xll.BDH("SRPT US Equity","EV_EX_OP_LEA_LIAB_TO_SHS_OUTSTDG","FQ1 2023","FQ1 2023","Currency=USD","Period=FQ","BEST_FPERIOD_OVERRIDE=FQ","FILING_STATUS=MR","Sort=A","Dates=H","DateFormat=P","Fill=—","Direction=H","UseDPDF=Y")</f>
        <v>130.6705</v>
      </c>
      <c r="R23" s="14">
        <f>_xll.BDH("SRPT US Equity","EV_EX_OP_LEA_LIAB_TO_SHS_OUTSTDG","FQ2 2023","FQ2 2023","Currency=USD","Period=FQ","BEST_FPERIOD_OVERRIDE=FQ","FILING_STATUS=MR","Sort=A","Dates=H","DateFormat=P","Fill=—","Direction=H","UseDPDF=Y")</f>
        <v>107.61320000000001</v>
      </c>
      <c r="S23" s="14">
        <f>_xll.BDH("SRPT US Equity","EV_EX_OP_LEA_LIAB_TO_SHS_OUTSTDG","FQ3 2023","FQ3 2023","Currency=USD","Period=FQ","BEST_FPERIOD_OVERRIDE=FQ","FILING_STATUS=MR","Sort=A","Dates=H","DateFormat=P","Fill=—","Direction=H","UseDPDF=Y")</f>
        <v>115.8287</v>
      </c>
      <c r="T23" s="14">
        <f>_xll.BDH("SRPT US Equity","EV_EX_OP_LEA_LIAB_TO_SHS_OUTSTDG","FQ4 2023","FQ4 2023","Currency=USD","Period=FQ","BEST_FPERIOD_OVERRIDE=FQ","FILING_STATUS=MR","Sort=A","Dates=H","DateFormat=P","Fill=—","Direction=H","UseDPDF=Y")</f>
        <v>91.684799999999996</v>
      </c>
      <c r="U23" s="14">
        <f>_xll.BDH("SRPT US Equity","EV_EX_OP_LEA_LIAB_TO_SHS_OUTSTDG","FQ1 2024","FQ1 2024","Currency=USD","Period=FQ","BEST_FPERIOD_OVERRIDE=FQ","FILING_STATUS=MR","Sort=A","Dates=H","DateFormat=P","Fill=—","Direction=H","UseDPDF=Y")</f>
        <v>127.6918</v>
      </c>
      <c r="V23" s="14">
        <f>_xll.BDH("SRPT US Equity","EV_EX_OP_LEA_LIAB_TO_SHS_OUTSTDG","FQ2 2024","FQ2 2024","Currency=USD","Period=FQ","BEST_FPERIOD_OVERRIDE=FQ","FILING_STATUS=MR","Sort=A","Dates=H","DateFormat=P","Fill=—","Direction=H","UseDPDF=Y")</f>
        <v>155.37899999999999</v>
      </c>
      <c r="W23" s="14">
        <f>_xll.BDH("SRPT US Equity","EV_EX_OP_LEA_LIAB_TO_SHS_OUTSTDG","FQ3 2024","FQ3 2024","Currency=USD","Period=FQ","BEST_FPERIOD_OVERRIDE=FQ","FILING_STATUS=MR","Sort=A","Dates=H","DateFormat=P","Fill=—","Direction=H","UseDPDF=Y")</f>
        <v>125.146</v>
      </c>
      <c r="X23" s="14">
        <f>_xll.BDH("SRPT US Equity","EV_EX_OP_LEA_LIAB_TO_SHS_OUTSTDG","FQ4 2024","FQ4 2024","Currency=USD","Period=FQ","BEST_FPERIOD_OVERRIDE=FQ","FILING_STATUS=MR","Sort=A","Dates=H","DateFormat=P","Fill=—","Direction=H","UseDPDF=Y")</f>
        <v>119.30540000000001</v>
      </c>
      <c r="Y23" s="17">
        <v>68.198485158295796</v>
      </c>
      <c r="Z23" s="14"/>
      <c r="AA23" s="14"/>
    </row>
    <row r="24" spans="1:27" x14ac:dyDescent="0.25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5"/>
      <c r="Z24" s="12"/>
      <c r="AA24" s="12"/>
    </row>
    <row r="25" spans="1:27" x14ac:dyDescent="0.25">
      <c r="A25" s="10" t="s">
        <v>4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5"/>
      <c r="Z25" s="12"/>
      <c r="AA25" s="12"/>
    </row>
    <row r="26" spans="1:27" x14ac:dyDescent="0.25">
      <c r="A26" s="11" t="s">
        <v>194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7"/>
      <c r="Z26" s="24"/>
      <c r="AA26" s="24"/>
    </row>
    <row r="27" spans="1:27" x14ac:dyDescent="0.25">
      <c r="A27" s="10" t="s">
        <v>195</v>
      </c>
      <c r="B27" s="10" t="s">
        <v>196</v>
      </c>
      <c r="C27" s="12" t="s">
        <v>197</v>
      </c>
      <c r="D27" s="12" t="s">
        <v>197</v>
      </c>
      <c r="E27" s="12" t="s">
        <v>197</v>
      </c>
      <c r="F27" s="12" t="s">
        <v>197</v>
      </c>
      <c r="G27" s="12" t="s">
        <v>197</v>
      </c>
      <c r="H27" s="12" t="s">
        <v>197</v>
      </c>
      <c r="I27" s="12" t="s">
        <v>197</v>
      </c>
      <c r="J27" s="12" t="s">
        <v>197</v>
      </c>
      <c r="K27" s="12" t="s">
        <v>197</v>
      </c>
      <c r="L27" s="12" t="s">
        <v>197</v>
      </c>
      <c r="M27" s="12" t="s">
        <v>197</v>
      </c>
      <c r="N27" s="12" t="s">
        <v>197</v>
      </c>
      <c r="O27" s="12" t="s">
        <v>197</v>
      </c>
      <c r="P27" s="12" t="s">
        <v>197</v>
      </c>
      <c r="Q27" s="12" t="s">
        <v>197</v>
      </c>
      <c r="R27" s="12" t="s">
        <v>197</v>
      </c>
      <c r="S27" s="12" t="s">
        <v>197</v>
      </c>
      <c r="T27" s="12" t="s">
        <v>197</v>
      </c>
      <c r="U27" s="12" t="s">
        <v>197</v>
      </c>
      <c r="V27" s="12" t="s">
        <v>197</v>
      </c>
      <c r="W27" s="12" t="s">
        <v>197</v>
      </c>
      <c r="X27" s="12" t="s">
        <v>197</v>
      </c>
      <c r="Y27" s="15" t="s">
        <v>197</v>
      </c>
      <c r="Z27" s="12"/>
      <c r="AA27" s="12"/>
    </row>
    <row r="28" spans="1:27" x14ac:dyDescent="0.25">
      <c r="A28" s="10" t="s">
        <v>198</v>
      </c>
      <c r="B28" s="10" t="s">
        <v>199</v>
      </c>
      <c r="C28" s="13">
        <f>_xll.BDH("SRPT US Equity","TRAIL_12M_NET_SALES","FQ3 2019","FQ3 2019","Currency=USD","Period=FQ","BEST_FPERIOD_OVERRIDE=FQ","FILING_STATUS=MR","SCALING_FORMAT=MLN","FA_ADJUSTED=GAAP","Sort=A","Dates=H","DateFormat=P","Fill=—","Direction=H","UseDPDF=Y")</f>
        <v>365.13499999999999</v>
      </c>
      <c r="D28" s="13">
        <f>_xll.BDH("SRPT US Equity","TRAIL_12M_NET_SALES","FQ4 2019","FQ4 2019","Currency=USD","Period=FQ","BEST_FPERIOD_OVERRIDE=FQ","FILING_STATUS=MR","SCALING_FORMAT=MLN","FA_ADJUSTED=GAAP","Sort=A","Dates=H","DateFormat=P","Fill=—","Direction=H","UseDPDF=Y")</f>
        <v>380.83300000000003</v>
      </c>
      <c r="E28" s="13">
        <f>_xll.BDH("SRPT US Equity","TRAIL_12M_NET_SALES","FQ1 2020","FQ1 2020","Currency=USD","Period=FQ","BEST_FPERIOD_OVERRIDE=FQ","FILING_STATUS=MR","SCALING_FORMAT=MLN","FA_ADJUSTED=GAAP","Sort=A","Dates=H","DateFormat=P","Fill=—","Direction=H","UseDPDF=Y")</f>
        <v>407.49599999999998</v>
      </c>
      <c r="F28" s="13">
        <f>_xll.BDH("SRPT US Equity","TRAIL_12M_NET_SALES","FQ2 2020","FQ2 2020","Currency=USD","Period=FQ","BEST_FPERIOD_OVERRIDE=FQ","FILING_STATUS=MR","SCALING_FORMAT=MLN","FA_ADJUSTED=GAAP","Sort=A","Dates=H","DateFormat=P","Fill=—","Direction=H","UseDPDF=Y")</f>
        <v>450.19099999999997</v>
      </c>
      <c r="G28" s="13">
        <f>_xll.BDH("SRPT US Equity","TRAIL_12M_NET_SALES","FQ3 2020","FQ3 2020","Currency=USD","Period=FQ","BEST_FPERIOD_OVERRIDE=FQ","FILING_STATUS=MR","SCALING_FORMAT=MLN","FA_ADJUSTED=GAAP","Sort=A","Dates=H","DateFormat=P","Fill=—","Direction=H","UseDPDF=Y")</f>
        <v>495.07400000000001</v>
      </c>
      <c r="H28" s="13">
        <f>_xll.BDH("SRPT US Equity","TRAIL_12M_NET_SALES","FQ4 2020","FQ4 2020","Currency=USD","Period=FQ","BEST_FPERIOD_OVERRIDE=FQ","FILING_STATUS=MR","SCALING_FORMAT=MLN","FA_ADJUSTED=GAAP","Sort=A","Dates=H","DateFormat=P","Fill=—","Direction=H","UseDPDF=Y")</f>
        <v>540.09900000000005</v>
      </c>
      <c r="I28" s="13">
        <f>_xll.BDH("SRPT US Equity","TRAIL_12M_NET_SALES","FQ1 2021","FQ1 2021","Currency=USD","Period=FQ","BEST_FPERIOD_OVERRIDE=FQ","FILING_STATUS=MR","SCALING_FORMAT=MLN","FA_ADJUSTED=GAAP","Sort=A","Dates=H","DateFormat=P","Fill=—","Direction=H","UseDPDF=Y")</f>
        <v>573.35599999999999</v>
      </c>
      <c r="J28" s="13">
        <f>_xll.BDH("SRPT US Equity","TRAIL_12M_NET_SALES","FQ2 2021","FQ2 2021","Currency=USD","Period=FQ","BEST_FPERIOD_OVERRIDE=FQ","FILING_STATUS=MR","SCALING_FORMAT=MLN","FA_ADJUSTED=GAAP","Sort=A","Dates=H","DateFormat=P","Fill=—","Direction=H","UseDPDF=Y")</f>
        <v>600.08199999999999</v>
      </c>
      <c r="K28" s="13">
        <f>_xll.BDH("SRPT US Equity","TRAIL_12M_NET_SALES","FQ3 2021","FQ3 2021","Currency=USD","Period=FQ","BEST_FPERIOD_OVERRIDE=FQ","FILING_STATUS=MR","SCALING_FORMAT=MLN","FA_ADJUSTED=GAAP","Sort=A","Dates=H","DateFormat=P","Fill=—","Direction=H","UseDPDF=Y")</f>
        <v>645.56399999999996</v>
      </c>
      <c r="L28" s="13">
        <f>_xll.BDH("SRPT US Equity","TRAIL_12M_NET_SALES","FQ4 2021","FQ4 2021","Currency=USD","Period=FQ","BEST_FPERIOD_OVERRIDE=FQ","FILING_STATUS=MR","SCALING_FORMAT=MLN","FA_ADJUSTED=GAAP","Sort=A","Dates=H","DateFormat=P","Fill=—","Direction=H","UseDPDF=Y")</f>
        <v>701.88699999999994</v>
      </c>
      <c r="M28" s="13">
        <f>_xll.BDH("SRPT US Equity","TRAIL_12M_NET_SALES","FQ1 2022","FQ1 2022","Currency=USD","Period=FQ","BEST_FPERIOD_OVERRIDE=FQ","FILING_STATUS=MR","SCALING_FORMAT=MLN","FA_ADJUSTED=GAAP","Sort=A","Dates=H","DateFormat=P","Fill=—","Direction=H","UseDPDF=Y")</f>
        <v>765.78599999999994</v>
      </c>
      <c r="N28" s="13">
        <f>_xll.BDH("SRPT US Equity","TRAIL_12M_NET_SALES","FQ2 2022","FQ2 2022","Currency=USD","Period=FQ","BEST_FPERIOD_OVERRIDE=FQ","FILING_STATUS=MR","SCALING_FORMAT=MLN","FA_ADJUSTED=GAAP","Sort=A","Dates=H","DateFormat=P","Fill=—","Direction=H","UseDPDF=Y")</f>
        <v>835.18399999999997</v>
      </c>
      <c r="O28" s="13">
        <f>_xll.BDH("SRPT US Equity","TRAIL_12M_NET_SALES","FQ3 2022","FQ3 2022","Currency=USD","Period=FQ","BEST_FPERIOD_OVERRIDE=FQ","FILING_STATUS=MR","SCALING_FORMAT=MLN","FA_ADJUSTED=GAAP","Sort=A","Dates=H","DateFormat=P","Fill=—","Direction=H","UseDPDF=Y")</f>
        <v>876.04700000000003</v>
      </c>
      <c r="P28" s="13">
        <f>_xll.BDH("SRPT US Equity","TRAIL_12M_NET_SALES","FQ4 2022","FQ4 2022","Currency=USD","Period=FQ","BEST_FPERIOD_OVERRIDE=FQ","FILING_STATUS=MR","SCALING_FORMAT=MLN","FA_ADJUSTED=GAAP","Sort=A","Dates=H","DateFormat=P","Fill=—","Direction=H","UseDPDF=Y")</f>
        <v>933.01300000000003</v>
      </c>
      <c r="Q28" s="13">
        <f>_xll.BDH("SRPT US Equity","TRAIL_12M_NET_SALES","FQ1 2023","FQ1 2023","Currency=USD","Period=FQ","BEST_FPERIOD_OVERRIDE=FQ","FILING_STATUS=MR","SCALING_FORMAT=MLN","FA_ADJUSTED=GAAP","Sort=A","Dates=H","DateFormat=P","Fill=—","Direction=H","UseDPDF=Y")</f>
        <v>975.68299999999999</v>
      </c>
      <c r="R28" s="13">
        <f>_xll.BDH("SRPT US Equity","TRAIL_12M_NET_SALES","FQ2 2023","FQ2 2023","Currency=USD","Period=FQ","BEST_FPERIOD_OVERRIDE=FQ","FILING_STATUS=MR","SCALING_FORMAT=MLN","FA_ADJUSTED=GAAP","Sort=A","Dates=H","DateFormat=P","Fill=—","Direction=H","UseDPDF=Y")</f>
        <v>1003.434</v>
      </c>
      <c r="S28" s="13">
        <f>_xll.BDH("SRPT US Equity","TRAIL_12M_NET_SALES","FQ3 2023","FQ3 2023","Currency=USD","Period=FQ","BEST_FPERIOD_OVERRIDE=FQ","FILING_STATUS=MR","SCALING_FORMAT=MLN","FA_ADJUSTED=GAAP","Sort=A","Dates=H","DateFormat=P","Fill=—","Direction=H","UseDPDF=Y")</f>
        <v>1104.982</v>
      </c>
      <c r="T28" s="13">
        <f>_xll.BDH("SRPT US Equity","TRAIL_12M_NET_SALES","FQ4 2023","FQ4 2023","Currency=USD","Period=FQ","BEST_FPERIOD_OVERRIDE=FQ","FILING_STATUS=MR","SCALING_FORMAT=MLN","FA_ADJUSTED=GAAP","Sort=A","Dates=H","DateFormat=P","Fill=—","Direction=H","UseDPDF=Y")</f>
        <v>1243.336</v>
      </c>
      <c r="U28" s="13">
        <f>_xll.BDH("SRPT US Equity","TRAIL_12M_NET_SALES","FQ1 2024","FQ1 2024","Currency=USD","Period=FQ","BEST_FPERIOD_OVERRIDE=FQ","FILING_STATUS=MR","SCALING_FORMAT=MLN","FA_ADJUSTED=GAAP","Sort=A","Dates=H","DateFormat=P","Fill=—","Direction=H","UseDPDF=Y")</f>
        <v>1403.3</v>
      </c>
      <c r="V28" s="13">
        <f>_xll.BDH("SRPT US Equity","TRAIL_12M_NET_SALES","FQ2 2024","FQ2 2024","Currency=USD","Period=FQ","BEST_FPERIOD_OVERRIDE=FQ","FILING_STATUS=MR","SCALING_FORMAT=MLN","FA_ADJUSTED=GAAP","Sort=A","Dates=H","DateFormat=P","Fill=—","Direction=H","UseDPDF=Y")</f>
        <v>1504.9929999999999</v>
      </c>
      <c r="W28" s="13">
        <f>_xll.BDH("SRPT US Equity","TRAIL_12M_NET_SALES","FQ3 2024","FQ3 2024","Currency=USD","Period=FQ","BEST_FPERIOD_OVERRIDE=FQ","FILING_STATUS=MR","SCALING_FORMAT=MLN","FA_ADJUSTED=GAAP","Sort=A","Dates=H","DateFormat=P","Fill=—","Direction=H","UseDPDF=Y")</f>
        <v>1640.348</v>
      </c>
      <c r="X28" s="13">
        <f>_xll.BDH("SRPT US Equity","TRAIL_12M_NET_SALES","FQ4 2024","FQ4 2024","Currency=USD","Period=FQ","BEST_FPERIOD_OVERRIDE=FQ","FILING_STATUS=MR","SCALING_FORMAT=MLN","FA_ADJUSTED=GAAP","Sort=A","Dates=H","DateFormat=P","Fill=—","Direction=H","UseDPDF=Y")</f>
        <v>1901.979</v>
      </c>
      <c r="Y28" s="16">
        <v>1901.979</v>
      </c>
      <c r="Z28" s="13">
        <v>3162.05</v>
      </c>
      <c r="AA28" s="13">
        <v>3304.35</v>
      </c>
    </row>
    <row r="29" spans="1:27" x14ac:dyDescent="0.25">
      <c r="A29" s="10" t="s">
        <v>78</v>
      </c>
      <c r="B29" s="10" t="s">
        <v>306</v>
      </c>
      <c r="C29" s="13">
        <f>_xll.BDH("SRPT US Equity","T12M_EBITDA_AFTER_OPER_LEA_EXPN","FQ3 2019","FQ3 2019","Currency=USD","Period=FQ","BEST_FPERIOD_OVERRIDE=FQ","FILING_STATUS=MR","SCALING_FORMAT=MLN","FA_ADJUSTED=GAAP","Sort=A","Dates=H","DateFormat=P","Fill=—","Direction=H","UseDPDF=Y")</f>
        <v>-588.83900000000006</v>
      </c>
      <c r="D29" s="13">
        <f>_xll.BDH("SRPT US Equity","T12M_EBITDA_AFTER_OPER_LEA_EXPN","FQ4 2019","FQ4 2019","Currency=USD","Period=FQ","BEST_FPERIOD_OVERRIDE=FQ","FILING_STATUS=MR","SCALING_FORMAT=MLN","FA_ADJUSTED=GAAP","Sort=A","Dates=H","DateFormat=P","Fill=—","Direction=H","UseDPDF=Y")</f>
        <v>-675.01599999999996</v>
      </c>
      <c r="E29" s="13">
        <f>_xll.BDH("SRPT US Equity","T12M_EBITDA_AFTER_OPER_LEA_EXPN","FQ1 2020","FQ1 2020","Currency=USD","Period=FQ","BEST_FPERIOD_OVERRIDE=FQ","FILING_STATUS=MR","SCALING_FORMAT=MLN","FA_ADJUSTED=GAAP","Sort=A","Dates=H","DateFormat=P","Fill=—","Direction=H","UseDPDF=Y")</f>
        <v>-716.49599999999998</v>
      </c>
      <c r="F29" s="13">
        <f>_xll.BDH("SRPT US Equity","T12M_EBITDA_AFTER_OPER_LEA_EXPN","FQ2 2020","FQ2 2020","Currency=USD","Period=FQ","BEST_FPERIOD_OVERRIDE=FQ","FILING_STATUS=MR","SCALING_FORMAT=MLN","FA_ADJUSTED=GAAP","Sort=A","Dates=H","DateFormat=P","Fill=—","Direction=H","UseDPDF=Y")</f>
        <v>-580.70100000000002</v>
      </c>
      <c r="G29" s="13">
        <f>_xll.BDH("SRPT US Equity","T12M_EBITDA_AFTER_OPER_LEA_EXPN","FQ3 2020","FQ3 2020","Currency=USD","Period=FQ","BEST_FPERIOD_OVERRIDE=FQ","FILING_STATUS=MR","SCALING_FORMAT=MLN","FA_ADJUSTED=GAAP","Sort=A","Dates=H","DateFormat=P","Fill=—","Direction=H","UseDPDF=Y")</f>
        <v>-595.83699999999999</v>
      </c>
      <c r="H29" s="13">
        <f>_xll.BDH("SRPT US Equity","T12M_EBITDA_AFTER_OPER_LEA_EXPN","FQ4 2020","FQ4 2020","Currency=USD","Period=FQ","BEST_FPERIOD_OVERRIDE=FQ","FILING_STATUS=MR","SCALING_FORMAT=MLN","FA_ADJUSTED=GAAP","Sort=A","Dates=H","DateFormat=P","Fill=—","Direction=H","UseDPDF=Y")</f>
        <v>-537.25199999999995</v>
      </c>
      <c r="I29" s="13">
        <f>_xll.BDH("SRPT US Equity","T12M_EBITDA_AFTER_OPER_LEA_EXPN","FQ1 2021","FQ1 2021","Currency=USD","Period=FQ","BEST_FPERIOD_OVERRIDE=FQ","FILING_STATUS=MR","SCALING_FORMAT=MLN","FA_ADJUSTED=GAAP","Sort=A","Dates=H","DateFormat=P","Fill=—","Direction=H","UseDPDF=Y")</f>
        <v>-568.69000000000005</v>
      </c>
      <c r="J29" s="13">
        <f>_xll.BDH("SRPT US Equity","T12M_EBITDA_AFTER_OPER_LEA_EXPN","FQ2 2021","FQ2 2021","Currency=USD","Period=FQ","BEST_FPERIOD_OVERRIDE=FQ","FILING_STATUS=MR","SCALING_FORMAT=MLN","FA_ADJUSTED=GAAP","Sort=A","Dates=H","DateFormat=P","Fill=—","Direction=H","UseDPDF=Y")</f>
        <v>-595.93899999999996</v>
      </c>
      <c r="K29" s="13">
        <f>_xll.BDH("SRPT US Equity","T12M_EBITDA_AFTER_OPER_LEA_EXPN","FQ3 2021","FQ3 2021","Currency=USD","Period=FQ","BEST_FPERIOD_OVERRIDE=FQ","FILING_STATUS=MR","SCALING_FORMAT=MLN","FA_ADJUSTED=GAAP","Sort=A","Dates=H","DateFormat=P","Fill=—","Direction=H","UseDPDF=Y")</f>
        <v>-489.45299999999997</v>
      </c>
      <c r="L29" s="13">
        <f>_xll.BDH("SRPT US Equity","T12M_EBITDA_AFTER_OPER_LEA_EXPN","FQ4 2021","FQ4 2021","Currency=USD","Period=FQ","BEST_FPERIOD_OVERRIDE=FQ","FILING_STATUS=MR","SCALING_FORMAT=MLN","FA_ADJUSTED=GAAP","Sort=A","Dates=H","DateFormat=P","Fill=—","Direction=H","UseDPDF=Y")</f>
        <v>-421.69299999999998</v>
      </c>
      <c r="M29" s="13">
        <f>_xll.BDH("SRPT US Equity","T12M_EBITDA_AFTER_OPER_LEA_EXPN","FQ1 2022","FQ1 2022","Currency=USD","Period=FQ","BEST_FPERIOD_OVERRIDE=FQ","FILING_STATUS=MR","SCALING_FORMAT=MLN","FA_ADJUSTED=GAAP","Sort=A","Dates=H","DateFormat=P","Fill=—","Direction=H","UseDPDF=Y")</f>
        <v>-354.92</v>
      </c>
      <c r="N29" s="13">
        <f>_xll.BDH("SRPT US Equity","T12M_EBITDA_AFTER_OPER_LEA_EXPN","FQ2 2022","FQ2 2022","Currency=USD","Period=FQ","BEST_FPERIOD_OVERRIDE=FQ","FILING_STATUS=MR","SCALING_FORMAT=MLN","FA_ADJUSTED=GAAP","Sort=A","Dates=H","DateFormat=P","Fill=—","Direction=H","UseDPDF=Y")</f>
        <v>-397.036</v>
      </c>
      <c r="O29" s="13">
        <f>_xll.BDH("SRPT US Equity","T12M_EBITDA_AFTER_OPER_LEA_EXPN","FQ3 2022","FQ3 2022","Currency=USD","Period=FQ","BEST_FPERIOD_OVERRIDE=FQ","FILING_STATUS=MR","SCALING_FORMAT=MLN","FA_ADJUSTED=GAAP","Sort=A","Dates=H","DateFormat=P","Fill=—","Direction=H","UseDPDF=Y")</f>
        <v>-493.72500000000002</v>
      </c>
      <c r="P29" s="13">
        <f>_xll.BDH("SRPT US Equity","T12M_EBITDA_AFTER_OPER_LEA_EXPN","FQ4 2022","FQ4 2022","Currency=USD","Period=FQ","BEST_FPERIOD_OVERRIDE=FQ","FILING_STATUS=MR","SCALING_FORMAT=MLN","FA_ADJUSTED=GAAP","Sort=A","Dates=H","DateFormat=P","Fill=—","Direction=H","UseDPDF=Y")</f>
        <v>-494.33699999999999</v>
      </c>
      <c r="Q29" s="13">
        <f>_xll.BDH("SRPT US Equity","T12M_EBITDA_AFTER_OPER_LEA_EXPN","FQ1 2023","FQ1 2023","Currency=USD","Period=FQ","BEST_FPERIOD_OVERRIDE=FQ","FILING_STATUS=MR","SCALING_FORMAT=MLN","FA_ADJUSTED=GAAP","Sort=A","Dates=H","DateFormat=P","Fill=—","Direction=H","UseDPDF=Y")</f>
        <v>-544.95799999999997</v>
      </c>
      <c r="R29" s="13">
        <f>_xll.BDH("SRPT US Equity","T12M_EBITDA_AFTER_OPER_LEA_EXPN","FQ2 2023","FQ2 2023","Currency=USD","Period=FQ","BEST_FPERIOD_OVERRIDE=FQ","FILING_STATUS=MR","SCALING_FORMAT=MLN","FA_ADJUSTED=GAAP","Sort=A","Dates=H","DateFormat=P","Fill=—","Direction=H","UseDPDF=Y")</f>
        <v>-466.44200000000001</v>
      </c>
      <c r="S29" s="13">
        <f>_xll.BDH("SRPT US Equity","T12M_EBITDA_AFTER_OPER_LEA_EXPN","FQ3 2023","FQ3 2023","Currency=USD","Period=FQ","BEST_FPERIOD_OVERRIDE=FQ","FILING_STATUS=MR","SCALING_FORMAT=MLN","FA_ADJUSTED=GAAP","Sort=A","Dates=H","DateFormat=P","Fill=—","Direction=H","UseDPDF=Y")</f>
        <v>-355.70400000000001</v>
      </c>
      <c r="T29" s="13">
        <f>_xll.BDH("SRPT US Equity","T12M_EBITDA_AFTER_OPER_LEA_EXPN","FQ4 2023","FQ4 2023","Currency=USD","Period=FQ","BEST_FPERIOD_OVERRIDE=FQ","FILING_STATUS=MR","SCALING_FORMAT=MLN","FA_ADJUSTED=GAAP","Sort=A","Dates=H","DateFormat=P","Fill=—","Direction=H","UseDPDF=Y")</f>
        <v>-223.42699999999999</v>
      </c>
      <c r="U29" s="13">
        <f>_xll.BDH("SRPT US Equity","T12M_EBITDA_AFTER_OPER_LEA_EXPN","FQ1 2024","FQ1 2024","Currency=USD","Period=FQ","BEST_FPERIOD_OVERRIDE=FQ","FILING_STATUS=MR","SCALING_FORMAT=MLN","FA_ADJUSTED=GAAP","Sort=A","Dates=H","DateFormat=P","Fill=—","Direction=H","UseDPDF=Y")</f>
        <v>-52.994999999999997</v>
      </c>
      <c r="V29" s="13">
        <f>_xll.BDH("SRPT US Equity","T12M_EBITDA_AFTER_OPER_LEA_EXPN","FQ2 2024","FQ2 2024","Currency=USD","Period=FQ","BEST_FPERIOD_OVERRIDE=FQ","FILING_STATUS=MR","SCALING_FORMAT=MLN","FA_ADJUSTED=GAAP","Sort=A","Dates=H","DateFormat=P","Fill=—","Direction=H","UseDPDF=Y")</f>
        <v>77.75</v>
      </c>
      <c r="W29" s="13">
        <f>_xll.BDH("SRPT US Equity","T12M_EBITDA_AFTER_OPER_LEA_EXPN","FQ3 2024","FQ3 2024","Currency=USD","Period=FQ","BEST_FPERIOD_OVERRIDE=FQ","FILING_STATUS=MR","SCALING_FORMAT=MLN","FA_ADJUSTED=GAAP","Sort=A","Dates=H","DateFormat=P","Fill=—","Direction=H","UseDPDF=Y")</f>
        <v>119.666</v>
      </c>
      <c r="X29" s="13">
        <f>_xll.BDH("SRPT US Equity","T12M_EBITDA_AFTER_OPER_LEA_EXPN","FQ4 2024","FQ4 2024","Currency=USD","Period=FQ","BEST_FPERIOD_OVERRIDE=FQ","FILING_STATUS=MR","SCALING_FORMAT=MLN","FA_ADJUSTED=GAAP","Sort=A","Dates=H","DateFormat=P","Fill=—","Direction=H","UseDPDF=Y")</f>
        <v>255.80500000000001</v>
      </c>
      <c r="Y29" s="16">
        <v>255.80500000000001</v>
      </c>
      <c r="Z29" s="13">
        <v>914.2</v>
      </c>
      <c r="AA29" s="13"/>
    </row>
    <row r="30" spans="1:27" x14ac:dyDescent="0.25">
      <c r="A30" s="10" t="s">
        <v>142</v>
      </c>
      <c r="B30" s="10" t="s">
        <v>307</v>
      </c>
      <c r="C30" s="13">
        <f>_xll.BDH("SRPT US Equity","T12_EBIT_AFT_OPER_LEASE_EXPN","FQ3 2019","FQ3 2019","Currency=USD","Period=FQ","BEST_FPERIOD_OVERRIDE=FQ","FILING_STATUS=MR","SCALING_FORMAT=MLN","FA_ADJUSTED=GAAP","Sort=A","Dates=H","DateFormat=P","Fill=—","Direction=H","UseDPDF=Y")</f>
        <v>-614.70699999999999</v>
      </c>
      <c r="D30" s="13">
        <f>_xll.BDH("SRPT US Equity","T12_EBIT_AFT_OPER_LEASE_EXPN","FQ4 2019","FQ4 2019","Currency=USD","Period=FQ","BEST_FPERIOD_OVERRIDE=FQ","FILING_STATUS=MR","SCALING_FORMAT=MLN","FA_ADJUSTED=GAAP","Sort=A","Dates=H","DateFormat=P","Fill=—","Direction=H","UseDPDF=Y")</f>
        <v>-705.56299999999999</v>
      </c>
      <c r="E30" s="13">
        <f>_xll.BDH("SRPT US Equity","T12_EBIT_AFT_OPER_LEASE_EXPN","FQ1 2020","FQ1 2020","Currency=USD","Period=FQ","BEST_FPERIOD_OVERRIDE=FQ","FILING_STATUS=MR","SCALING_FORMAT=MLN","FA_ADJUSTED=GAAP","Sort=A","Dates=H","DateFormat=P","Fill=—","Direction=H","UseDPDF=Y")</f>
        <v>-747.202</v>
      </c>
      <c r="F30" s="13">
        <f>_xll.BDH("SRPT US Equity","T12_EBIT_AFT_OPER_LEASE_EXPN","FQ2 2020","FQ2 2020","Currency=USD","Period=FQ","BEST_FPERIOD_OVERRIDE=FQ","FILING_STATUS=MR","SCALING_FORMAT=MLN","FA_ADJUSTED=GAAP","Sort=A","Dates=H","DateFormat=P","Fill=—","Direction=H","UseDPDF=Y")</f>
        <v>-610.18799999999999</v>
      </c>
      <c r="G30" s="13">
        <f>_xll.BDH("SRPT US Equity","T12_EBIT_AFT_OPER_LEASE_EXPN","FQ3 2020","FQ3 2020","Currency=USD","Period=FQ","BEST_FPERIOD_OVERRIDE=FQ","FILING_STATUS=MR","SCALING_FORMAT=MLN","FA_ADJUSTED=GAAP","Sort=A","Dates=H","DateFormat=P","Fill=—","Direction=H","UseDPDF=Y")</f>
        <v>-623.66600000000005</v>
      </c>
      <c r="H30" s="13">
        <f>_xll.BDH("SRPT US Equity","T12_EBIT_AFT_OPER_LEASE_EXPN","FQ4 2020","FQ4 2020","Currency=USD","Period=FQ","BEST_FPERIOD_OVERRIDE=FQ","FILING_STATUS=MR","SCALING_FORMAT=MLN","FA_ADJUSTED=GAAP","Sort=A","Dates=H","DateFormat=P","Fill=—","Direction=H","UseDPDF=Y")</f>
        <v>-564.16300000000001</v>
      </c>
      <c r="I30" s="13">
        <f>_xll.BDH("SRPT US Equity","T12_EBIT_AFT_OPER_LEASE_EXPN","FQ1 2021","FQ1 2021","Currency=USD","Period=FQ","BEST_FPERIOD_OVERRIDE=FQ","FILING_STATUS=MR","SCALING_FORMAT=MLN","FA_ADJUSTED=GAAP","Sort=A","Dates=H","DateFormat=P","Fill=—","Direction=H","UseDPDF=Y")</f>
        <v>-598.00199999999995</v>
      </c>
      <c r="J30" s="13">
        <f>_xll.BDH("SRPT US Equity","T12_EBIT_AFT_OPER_LEASE_EXPN","FQ2 2021","FQ2 2021","Currency=USD","Period=FQ","BEST_FPERIOD_OVERRIDE=FQ","FILING_STATUS=MR","SCALING_FORMAT=MLN","FA_ADJUSTED=GAAP","Sort=A","Dates=H","DateFormat=P","Fill=—","Direction=H","UseDPDF=Y")</f>
        <v>-627.22299999999996</v>
      </c>
      <c r="K30" s="13">
        <f>_xll.BDH("SRPT US Equity","T12_EBIT_AFT_OPER_LEASE_EXPN","FQ3 2021","FQ3 2021","Currency=USD","Period=FQ","BEST_FPERIOD_OVERRIDE=FQ","FILING_STATUS=MR","SCALING_FORMAT=MLN","FA_ADJUSTED=GAAP","Sort=A","Dates=H","DateFormat=P","Fill=—","Direction=H","UseDPDF=Y")</f>
        <v>-524.61300000000006</v>
      </c>
      <c r="L30" s="13">
        <f>_xll.BDH("SRPT US Equity","T12_EBIT_AFT_OPER_LEASE_EXPN","FQ4 2021","FQ4 2021","Currency=USD","Period=FQ","BEST_FPERIOD_OVERRIDE=FQ","FILING_STATUS=MR","SCALING_FORMAT=MLN","FA_ADJUSTED=GAAP","Sort=A","Dates=H","DateFormat=P","Fill=—","Direction=H","UseDPDF=Y")</f>
        <v>-459.71</v>
      </c>
      <c r="M30" s="13">
        <f>_xll.BDH("SRPT US Equity","T12_EBIT_AFT_OPER_LEASE_EXPN","FQ1 2022","FQ1 2022","Currency=USD","Period=FQ","BEST_FPERIOD_OVERRIDE=FQ","FILING_STATUS=MR","SCALING_FORMAT=MLN","FA_ADJUSTED=GAAP","Sort=A","Dates=H","DateFormat=P","Fill=—","Direction=H","UseDPDF=Y")</f>
        <v>-394.726</v>
      </c>
      <c r="N30" s="13">
        <f>_xll.BDH("SRPT US Equity","T12_EBIT_AFT_OPER_LEASE_EXPN","FQ2 2022","FQ2 2022","Currency=USD","Period=FQ","BEST_FPERIOD_OVERRIDE=FQ","FILING_STATUS=MR","SCALING_FORMAT=MLN","FA_ADJUSTED=GAAP","Sort=A","Dates=H","DateFormat=P","Fill=—","Direction=H","UseDPDF=Y")</f>
        <v>-438.28399999999999</v>
      </c>
      <c r="O30" s="13">
        <f>_xll.BDH("SRPT US Equity","T12_EBIT_AFT_OPER_LEASE_EXPN","FQ3 2022","FQ3 2022","Currency=USD","Period=FQ","BEST_FPERIOD_OVERRIDE=FQ","FILING_STATUS=MR","SCALING_FORMAT=MLN","FA_ADJUSTED=GAAP","Sort=A","Dates=H","DateFormat=P","Fill=—","Direction=H","UseDPDF=Y")</f>
        <v>-535.18100000000004</v>
      </c>
      <c r="P30" s="13">
        <f>_xll.BDH("SRPT US Equity","T12_EBIT_AFT_OPER_LEASE_EXPN","FQ4 2022","FQ4 2022","Currency=USD","Period=FQ","BEST_FPERIOD_OVERRIDE=FQ","FILING_STATUS=MR","SCALING_FORMAT=MLN","FA_ADJUSTED=GAAP","Sort=A","Dates=H","DateFormat=P","Fill=—","Direction=H","UseDPDF=Y")</f>
        <v>-536.20100000000002</v>
      </c>
      <c r="Q30" s="13">
        <f>_xll.BDH("SRPT US Equity","T12_EBIT_AFT_OPER_LEASE_EXPN","FQ1 2023","FQ1 2023","Currency=USD","Period=FQ","BEST_FPERIOD_OVERRIDE=FQ","FILING_STATUS=MR","SCALING_FORMAT=MLN","FA_ADJUSTED=GAAP","Sort=A","Dates=H","DateFormat=P","Fill=—","Direction=H","UseDPDF=Y")</f>
        <v>-587.40800000000002</v>
      </c>
      <c r="R30" s="13">
        <f>_xll.BDH("SRPT US Equity","T12_EBIT_AFT_OPER_LEASE_EXPN","FQ2 2023","FQ2 2023","Currency=USD","Period=FQ","BEST_FPERIOD_OVERRIDE=FQ","FILING_STATUS=MR","SCALING_FORMAT=MLN","FA_ADJUSTED=GAAP","Sort=A","Dates=H","DateFormat=P","Fill=—","Direction=H","UseDPDF=Y")</f>
        <v>-509.79500000000002</v>
      </c>
      <c r="S30" s="13">
        <f>_xll.BDH("SRPT US Equity","T12_EBIT_AFT_OPER_LEASE_EXPN","FQ3 2023","FQ3 2023","Currency=USD","Period=FQ","BEST_FPERIOD_OVERRIDE=FQ","FILING_STATUS=MR","SCALING_FORMAT=MLN","FA_ADJUSTED=GAAP","Sort=A","Dates=H","DateFormat=P","Fill=—","Direction=H","UseDPDF=Y")</f>
        <v>-399.28199999999998</v>
      </c>
      <c r="T30" s="13">
        <f>_xll.BDH("SRPT US Equity","T12_EBIT_AFT_OPER_LEASE_EXPN","FQ4 2023","FQ4 2023","Currency=USD","Period=FQ","BEST_FPERIOD_OVERRIDE=FQ","FILING_STATUS=MR","SCALING_FORMAT=MLN","FA_ADJUSTED=GAAP","Sort=A","Dates=H","DateFormat=P","Fill=—","Direction=H","UseDPDF=Y")</f>
        <v>-267.82400000000001</v>
      </c>
      <c r="U30" s="13">
        <f>_xll.BDH("SRPT US Equity","T12_EBIT_AFT_OPER_LEASE_EXPN","FQ1 2024","FQ1 2024","Currency=USD","Period=FQ","BEST_FPERIOD_OVERRIDE=FQ","FILING_STATUS=MR","SCALING_FORMAT=MLN","FA_ADJUSTED=GAAP","Sort=A","Dates=H","DateFormat=P","Fill=—","Direction=H","UseDPDF=Y")</f>
        <v>-94.831000000000003</v>
      </c>
      <c r="V30" s="13">
        <f>_xll.BDH("SRPT US Equity","T12_EBIT_AFT_OPER_LEASE_EXPN","FQ2 2024","FQ2 2024","Currency=USD","Period=FQ","BEST_FPERIOD_OVERRIDE=FQ","FILING_STATUS=MR","SCALING_FORMAT=MLN","FA_ADJUSTED=GAAP","Sort=A","Dates=H","DateFormat=P","Fill=—","Direction=H","UseDPDF=Y")</f>
        <v>37.987000000000002</v>
      </c>
      <c r="W30" s="13">
        <f>_xll.BDH("SRPT US Equity","T12_EBIT_AFT_OPER_LEASE_EXPN","FQ3 2024","FQ3 2024","Currency=USD","Period=FQ","BEST_FPERIOD_OVERRIDE=FQ","FILING_STATUS=MR","SCALING_FORMAT=MLN","FA_ADJUSTED=GAAP","Sort=A","Dates=H","DateFormat=P","Fill=—","Direction=H","UseDPDF=Y")</f>
        <v>81.025000000000006</v>
      </c>
      <c r="X30" s="13">
        <f>_xll.BDH("SRPT US Equity","T12_EBIT_AFT_OPER_LEASE_EXPN","FQ4 2024","FQ4 2024","Currency=USD","Period=FQ","BEST_FPERIOD_OVERRIDE=FQ","FILING_STATUS=MR","SCALING_FORMAT=MLN","FA_ADJUSTED=GAAP","Sort=A","Dates=H","DateFormat=P","Fill=—","Direction=H","UseDPDF=Y")</f>
        <v>218.08099999999999</v>
      </c>
      <c r="Y30" s="16">
        <v>218.08099999999999</v>
      </c>
      <c r="Z30" s="13">
        <v>1024.0550000000001</v>
      </c>
      <c r="AA30" s="13">
        <v>1258.8789999999999</v>
      </c>
    </row>
    <row r="31" spans="1:27" x14ac:dyDescent="0.25">
      <c r="A31" s="10" t="s">
        <v>202</v>
      </c>
      <c r="B31" s="10" t="s">
        <v>308</v>
      </c>
      <c r="C31" s="13" t="str">
        <f>_xll.BDH("SRPT US Equity","T12_CF_TO_FIRM_AFT_OP_LEA_PYMTS","FQ3 2019","FQ3 2019","Currency=USD","Period=FQ","BEST_FPERIOD_OVERRIDE=FQ","FILING_STATUS=MR","SCALING_FORMAT=MLN","FA_ADJUSTED=GAAP","Sort=A","Dates=H","DateFormat=P","Fill=—","Direction=H","UseDPDF=Y")</f>
        <v>—</v>
      </c>
      <c r="D31" s="13" t="str">
        <f>_xll.BDH("SRPT US Equity","T12_CF_TO_FIRM_AFT_OP_LEA_PYMTS","FQ4 2019","FQ4 2019","Currency=USD","Period=FQ","BEST_FPERIOD_OVERRIDE=FQ","FILING_STATUS=MR","SCALING_FORMAT=MLN","FA_ADJUSTED=GAAP","Sort=A","Dates=H","DateFormat=P","Fill=—","Direction=H","UseDPDF=Y")</f>
        <v>—</v>
      </c>
      <c r="E31" s="13" t="str">
        <f>_xll.BDH("SRPT US Equity","T12_CF_TO_FIRM_AFT_OP_LEA_PYMTS","FQ1 2020","FQ1 2020","Currency=USD","Period=FQ","BEST_FPERIOD_OVERRIDE=FQ","FILING_STATUS=MR","SCALING_FORMAT=MLN","FA_ADJUSTED=GAAP","Sort=A","Dates=H","DateFormat=P","Fill=—","Direction=H","UseDPDF=Y")</f>
        <v>—</v>
      </c>
      <c r="F31" s="13" t="str">
        <f>_xll.BDH("SRPT US Equity","T12_CF_TO_FIRM_AFT_OP_LEA_PYMTS","FQ2 2020","FQ2 2020","Currency=USD","Period=FQ","BEST_FPERIOD_OVERRIDE=FQ","FILING_STATUS=MR","SCALING_FORMAT=MLN","FA_ADJUSTED=GAAP","Sort=A","Dates=H","DateFormat=P","Fill=—","Direction=H","UseDPDF=Y")</f>
        <v>—</v>
      </c>
      <c r="G31" s="13" t="str">
        <f>_xll.BDH("SRPT US Equity","T12_CF_TO_FIRM_AFT_OP_LEA_PYMTS","FQ3 2020","FQ3 2020","Currency=USD","Period=FQ","BEST_FPERIOD_OVERRIDE=FQ","FILING_STATUS=MR","SCALING_FORMAT=MLN","FA_ADJUSTED=GAAP","Sort=A","Dates=H","DateFormat=P","Fill=—","Direction=H","UseDPDF=Y")</f>
        <v>—</v>
      </c>
      <c r="H31" s="13" t="str">
        <f>_xll.BDH("SRPT US Equity","T12_CF_TO_FIRM_AFT_OP_LEA_PYMTS","FQ4 2020","FQ4 2020","Currency=USD","Period=FQ","BEST_FPERIOD_OVERRIDE=FQ","FILING_STATUS=MR","SCALING_FORMAT=MLN","FA_ADJUSTED=GAAP","Sort=A","Dates=H","DateFormat=P","Fill=—","Direction=H","UseDPDF=Y")</f>
        <v>—</v>
      </c>
      <c r="I31" s="13" t="str">
        <f>_xll.BDH("SRPT US Equity","T12_CF_TO_FIRM_AFT_OP_LEA_PYMTS","FQ1 2021","FQ1 2021","Currency=USD","Period=FQ","BEST_FPERIOD_OVERRIDE=FQ","FILING_STATUS=MR","SCALING_FORMAT=MLN","FA_ADJUSTED=GAAP","Sort=A","Dates=H","DateFormat=P","Fill=—","Direction=H","UseDPDF=Y")</f>
        <v>—</v>
      </c>
      <c r="J31" s="13" t="str">
        <f>_xll.BDH("SRPT US Equity","T12_CF_TO_FIRM_AFT_OP_LEA_PYMTS","FQ2 2021","FQ2 2021","Currency=USD","Period=FQ","BEST_FPERIOD_OVERRIDE=FQ","FILING_STATUS=MR","SCALING_FORMAT=MLN","FA_ADJUSTED=GAAP","Sort=A","Dates=H","DateFormat=P","Fill=—","Direction=H","UseDPDF=Y")</f>
        <v>—</v>
      </c>
      <c r="K31" s="13" t="str">
        <f>_xll.BDH("SRPT US Equity","T12_CF_TO_FIRM_AFT_OP_LEA_PYMTS","FQ3 2021","FQ3 2021","Currency=USD","Period=FQ","BEST_FPERIOD_OVERRIDE=FQ","FILING_STATUS=MR","SCALING_FORMAT=MLN","FA_ADJUSTED=GAAP","Sort=A","Dates=H","DateFormat=P","Fill=—","Direction=H","UseDPDF=Y")</f>
        <v>—</v>
      </c>
      <c r="L31" s="13" t="str">
        <f>_xll.BDH("SRPT US Equity","T12_CF_TO_FIRM_AFT_OP_LEA_PYMTS","FQ4 2021","FQ4 2021","Currency=USD","Period=FQ","BEST_FPERIOD_OVERRIDE=FQ","FILING_STATUS=MR","SCALING_FORMAT=MLN","FA_ADJUSTED=GAAP","Sort=A","Dates=H","DateFormat=P","Fill=—","Direction=H","UseDPDF=Y")</f>
        <v>—</v>
      </c>
      <c r="M31" s="13" t="str">
        <f>_xll.BDH("SRPT US Equity","T12_CF_TO_FIRM_AFT_OP_LEA_PYMTS","FQ1 2022","FQ1 2022","Currency=USD","Period=FQ","BEST_FPERIOD_OVERRIDE=FQ","FILING_STATUS=MR","SCALING_FORMAT=MLN","FA_ADJUSTED=GAAP","Sort=A","Dates=H","DateFormat=P","Fill=—","Direction=H","UseDPDF=Y")</f>
        <v>—</v>
      </c>
      <c r="N31" s="13" t="str">
        <f>_xll.BDH("SRPT US Equity","T12_CF_TO_FIRM_AFT_OP_LEA_PYMTS","FQ2 2022","FQ2 2022","Currency=USD","Period=FQ","BEST_FPERIOD_OVERRIDE=FQ","FILING_STATUS=MR","SCALING_FORMAT=MLN","FA_ADJUSTED=GAAP","Sort=A","Dates=H","DateFormat=P","Fill=—","Direction=H","UseDPDF=Y")</f>
        <v>—</v>
      </c>
      <c r="O31" s="13" t="str">
        <f>_xll.BDH("SRPT US Equity","T12_CF_TO_FIRM_AFT_OP_LEA_PYMTS","FQ3 2022","FQ3 2022","Currency=USD","Period=FQ","BEST_FPERIOD_OVERRIDE=FQ","FILING_STATUS=MR","SCALING_FORMAT=MLN","FA_ADJUSTED=GAAP","Sort=A","Dates=H","DateFormat=P","Fill=—","Direction=H","UseDPDF=Y")</f>
        <v>—</v>
      </c>
      <c r="P31" s="13" t="str">
        <f>_xll.BDH("SRPT US Equity","T12_CF_TO_FIRM_AFT_OP_LEA_PYMTS","FQ4 2022","FQ4 2022","Currency=USD","Period=FQ","BEST_FPERIOD_OVERRIDE=FQ","FILING_STATUS=MR","SCALING_FORMAT=MLN","FA_ADJUSTED=GAAP","Sort=A","Dates=H","DateFormat=P","Fill=—","Direction=H","UseDPDF=Y")</f>
        <v>—</v>
      </c>
      <c r="Q31" s="13" t="str">
        <f>_xll.BDH("SRPT US Equity","T12_CF_TO_FIRM_AFT_OP_LEA_PYMTS","FQ1 2023","FQ1 2023","Currency=USD","Period=FQ","BEST_FPERIOD_OVERRIDE=FQ","FILING_STATUS=MR","SCALING_FORMAT=MLN","FA_ADJUSTED=GAAP","Sort=A","Dates=H","DateFormat=P","Fill=—","Direction=H","UseDPDF=Y")</f>
        <v>—</v>
      </c>
      <c r="R31" s="13" t="str">
        <f>_xll.BDH("SRPT US Equity","T12_CF_TO_FIRM_AFT_OP_LEA_PYMTS","FQ2 2023","FQ2 2023","Currency=USD","Period=FQ","BEST_FPERIOD_OVERRIDE=FQ","FILING_STATUS=MR","SCALING_FORMAT=MLN","FA_ADJUSTED=GAAP","Sort=A","Dates=H","DateFormat=P","Fill=—","Direction=H","UseDPDF=Y")</f>
        <v>—</v>
      </c>
      <c r="S31" s="13" t="str">
        <f>_xll.BDH("SRPT US Equity","T12_CF_TO_FIRM_AFT_OP_LEA_PYMTS","FQ3 2023","FQ3 2023","Currency=USD","Period=FQ","BEST_FPERIOD_OVERRIDE=FQ","FILING_STATUS=MR","SCALING_FORMAT=MLN","FA_ADJUSTED=GAAP","Sort=A","Dates=H","DateFormat=P","Fill=—","Direction=H","UseDPDF=Y")</f>
        <v>—</v>
      </c>
      <c r="T31" s="13" t="str">
        <f>_xll.BDH("SRPT US Equity","T12_CF_TO_FIRM_AFT_OP_LEA_PYMTS","FQ4 2023","FQ4 2023","Currency=USD","Period=FQ","BEST_FPERIOD_OVERRIDE=FQ","FILING_STATUS=MR","SCALING_FORMAT=MLN","FA_ADJUSTED=GAAP","Sort=A","Dates=H","DateFormat=P","Fill=—","Direction=H","UseDPDF=Y")</f>
        <v>—</v>
      </c>
      <c r="U31" s="13">
        <f>_xll.BDH("SRPT US Equity","T12_CF_TO_FIRM_AFT_OP_LEA_PYMTS","FQ1 2024","FQ1 2024","Currency=USD","Period=FQ","BEST_FPERIOD_OVERRIDE=FQ","FILING_STATUS=MR","SCALING_FORMAT=MLN","FA_ADJUSTED=GAAP","Sort=A","Dates=H","DateFormat=P","Fill=—","Direction=H","UseDPDF=Y")</f>
        <v>-523.82399999999996</v>
      </c>
      <c r="V31" s="13">
        <f>_xll.BDH("SRPT US Equity","T12_CF_TO_FIRM_AFT_OP_LEA_PYMTS","FQ2 2024","FQ2 2024","Currency=USD","Period=FQ","BEST_FPERIOD_OVERRIDE=FQ","FILING_STATUS=MR","SCALING_FORMAT=MLN","FA_ADJUSTED=GAAP","Sort=A","Dates=H","DateFormat=P","Fill=—","Direction=H","UseDPDF=Y")</f>
        <v>-381.70409999999998</v>
      </c>
      <c r="W31" s="13">
        <f>_xll.BDH("SRPT US Equity","T12_CF_TO_FIRM_AFT_OP_LEA_PYMTS","FQ3 2024","FQ3 2024","Currency=USD","Period=FQ","BEST_FPERIOD_OVERRIDE=FQ","FILING_STATUS=MR","SCALING_FORMAT=MLN","FA_ADJUSTED=GAAP","Sort=A","Dates=H","DateFormat=P","Fill=—","Direction=H","UseDPDF=Y")</f>
        <v>-334.45830000000001</v>
      </c>
      <c r="X31" s="13">
        <f>_xll.BDH("SRPT US Equity","T12_CF_TO_FIRM_AFT_OP_LEA_PYMTS","FQ4 2024","FQ4 2024","Currency=USD","Period=FQ","BEST_FPERIOD_OVERRIDE=FQ","FILING_STATUS=MR","SCALING_FORMAT=MLN","FA_ADJUSTED=GAAP","Sort=A","Dates=H","DateFormat=P","Fill=—","Direction=H","UseDPDF=Y")</f>
        <v>-189.1968</v>
      </c>
      <c r="Y31" s="16">
        <v>-189.19684741960501</v>
      </c>
      <c r="Z31" s="13"/>
      <c r="AA31" s="13"/>
    </row>
    <row r="32" spans="1:27" x14ac:dyDescent="0.25">
      <c r="A32" s="10" t="s">
        <v>204</v>
      </c>
      <c r="B32" s="10" t="s">
        <v>309</v>
      </c>
      <c r="C32" s="13" t="str">
        <f>_xll.BDH("SRPT US Equity","T12_FCF_TO_FIRM_AFT_OP_LEA_PYMTS","FQ3 2019","FQ3 2019","Currency=USD","Period=FQ","BEST_FPERIOD_OVERRIDE=FQ","FILING_STATUS=MR","SCALING_FORMAT=MLN","FA_ADJUSTED=GAAP","Sort=A","Dates=H","DateFormat=P","Fill=—","Direction=H","UseDPDF=Y")</f>
        <v>—</v>
      </c>
      <c r="D32" s="13" t="str">
        <f>_xll.BDH("SRPT US Equity","T12_FCF_TO_FIRM_AFT_OP_LEA_PYMTS","FQ4 2019","FQ4 2019","Currency=USD","Period=FQ","BEST_FPERIOD_OVERRIDE=FQ","FILING_STATUS=MR","SCALING_FORMAT=MLN","FA_ADJUSTED=GAAP","Sort=A","Dates=H","DateFormat=P","Fill=—","Direction=H","UseDPDF=Y")</f>
        <v>—</v>
      </c>
      <c r="E32" s="13" t="str">
        <f>_xll.BDH("SRPT US Equity","T12_FCF_TO_FIRM_AFT_OP_LEA_PYMTS","FQ1 2020","FQ1 2020","Currency=USD","Period=FQ","BEST_FPERIOD_OVERRIDE=FQ","FILING_STATUS=MR","SCALING_FORMAT=MLN","FA_ADJUSTED=GAAP","Sort=A","Dates=H","DateFormat=P","Fill=—","Direction=H","UseDPDF=Y")</f>
        <v>—</v>
      </c>
      <c r="F32" s="13" t="str">
        <f>_xll.BDH("SRPT US Equity","T12_FCF_TO_FIRM_AFT_OP_LEA_PYMTS","FQ2 2020","FQ2 2020","Currency=USD","Period=FQ","BEST_FPERIOD_OVERRIDE=FQ","FILING_STATUS=MR","SCALING_FORMAT=MLN","FA_ADJUSTED=GAAP","Sort=A","Dates=H","DateFormat=P","Fill=—","Direction=H","UseDPDF=Y")</f>
        <v>—</v>
      </c>
      <c r="G32" s="13" t="str">
        <f>_xll.BDH("SRPT US Equity","T12_FCF_TO_FIRM_AFT_OP_LEA_PYMTS","FQ3 2020","FQ3 2020","Currency=USD","Period=FQ","BEST_FPERIOD_OVERRIDE=FQ","FILING_STATUS=MR","SCALING_FORMAT=MLN","FA_ADJUSTED=GAAP","Sort=A","Dates=H","DateFormat=P","Fill=—","Direction=H","UseDPDF=Y")</f>
        <v>—</v>
      </c>
      <c r="H32" s="13" t="str">
        <f>_xll.BDH("SRPT US Equity","T12_FCF_TO_FIRM_AFT_OP_LEA_PYMTS","FQ4 2020","FQ4 2020","Currency=USD","Period=FQ","BEST_FPERIOD_OVERRIDE=FQ","FILING_STATUS=MR","SCALING_FORMAT=MLN","FA_ADJUSTED=GAAP","Sort=A","Dates=H","DateFormat=P","Fill=—","Direction=H","UseDPDF=Y")</f>
        <v>—</v>
      </c>
      <c r="I32" s="13" t="str">
        <f>_xll.BDH("SRPT US Equity","T12_FCF_TO_FIRM_AFT_OP_LEA_PYMTS","FQ1 2021","FQ1 2021","Currency=USD","Period=FQ","BEST_FPERIOD_OVERRIDE=FQ","FILING_STATUS=MR","SCALING_FORMAT=MLN","FA_ADJUSTED=GAAP","Sort=A","Dates=H","DateFormat=P","Fill=—","Direction=H","UseDPDF=Y")</f>
        <v>—</v>
      </c>
      <c r="J32" s="13" t="str">
        <f>_xll.BDH("SRPT US Equity","T12_FCF_TO_FIRM_AFT_OP_LEA_PYMTS","FQ2 2021","FQ2 2021","Currency=USD","Period=FQ","BEST_FPERIOD_OVERRIDE=FQ","FILING_STATUS=MR","SCALING_FORMAT=MLN","FA_ADJUSTED=GAAP","Sort=A","Dates=H","DateFormat=P","Fill=—","Direction=H","UseDPDF=Y")</f>
        <v>—</v>
      </c>
      <c r="K32" s="13" t="str">
        <f>_xll.BDH("SRPT US Equity","T12_FCF_TO_FIRM_AFT_OP_LEA_PYMTS","FQ3 2021","FQ3 2021","Currency=USD","Period=FQ","BEST_FPERIOD_OVERRIDE=FQ","FILING_STATUS=MR","SCALING_FORMAT=MLN","FA_ADJUSTED=GAAP","Sort=A","Dates=H","DateFormat=P","Fill=—","Direction=H","UseDPDF=Y")</f>
        <v>—</v>
      </c>
      <c r="L32" s="13" t="str">
        <f>_xll.BDH("SRPT US Equity","T12_FCF_TO_FIRM_AFT_OP_LEA_PYMTS","FQ4 2021","FQ4 2021","Currency=USD","Period=FQ","BEST_FPERIOD_OVERRIDE=FQ","FILING_STATUS=MR","SCALING_FORMAT=MLN","FA_ADJUSTED=GAAP","Sort=A","Dates=H","DateFormat=P","Fill=—","Direction=H","UseDPDF=Y")</f>
        <v>—</v>
      </c>
      <c r="M32" s="13" t="str">
        <f>_xll.BDH("SRPT US Equity","T12_FCF_TO_FIRM_AFT_OP_LEA_PYMTS","FQ1 2022","FQ1 2022","Currency=USD","Period=FQ","BEST_FPERIOD_OVERRIDE=FQ","FILING_STATUS=MR","SCALING_FORMAT=MLN","FA_ADJUSTED=GAAP","Sort=A","Dates=H","DateFormat=P","Fill=—","Direction=H","UseDPDF=Y")</f>
        <v>—</v>
      </c>
      <c r="N32" s="13" t="str">
        <f>_xll.BDH("SRPT US Equity","T12_FCF_TO_FIRM_AFT_OP_LEA_PYMTS","FQ2 2022","FQ2 2022","Currency=USD","Period=FQ","BEST_FPERIOD_OVERRIDE=FQ","FILING_STATUS=MR","SCALING_FORMAT=MLN","FA_ADJUSTED=GAAP","Sort=A","Dates=H","DateFormat=P","Fill=—","Direction=H","UseDPDF=Y")</f>
        <v>—</v>
      </c>
      <c r="O32" s="13" t="str">
        <f>_xll.BDH("SRPT US Equity","T12_FCF_TO_FIRM_AFT_OP_LEA_PYMTS","FQ3 2022","FQ3 2022","Currency=USD","Period=FQ","BEST_FPERIOD_OVERRIDE=FQ","FILING_STATUS=MR","SCALING_FORMAT=MLN","FA_ADJUSTED=GAAP","Sort=A","Dates=H","DateFormat=P","Fill=—","Direction=H","UseDPDF=Y")</f>
        <v>—</v>
      </c>
      <c r="P32" s="13" t="str">
        <f>_xll.BDH("SRPT US Equity","T12_FCF_TO_FIRM_AFT_OP_LEA_PYMTS","FQ4 2022","FQ4 2022","Currency=USD","Period=FQ","BEST_FPERIOD_OVERRIDE=FQ","FILING_STATUS=MR","SCALING_FORMAT=MLN","FA_ADJUSTED=GAAP","Sort=A","Dates=H","DateFormat=P","Fill=—","Direction=H","UseDPDF=Y")</f>
        <v>—</v>
      </c>
      <c r="Q32" s="13" t="str">
        <f>_xll.BDH("SRPT US Equity","T12_FCF_TO_FIRM_AFT_OP_LEA_PYMTS","FQ1 2023","FQ1 2023","Currency=USD","Period=FQ","BEST_FPERIOD_OVERRIDE=FQ","FILING_STATUS=MR","SCALING_FORMAT=MLN","FA_ADJUSTED=GAAP","Sort=A","Dates=H","DateFormat=P","Fill=—","Direction=H","UseDPDF=Y")</f>
        <v>—</v>
      </c>
      <c r="R32" s="13" t="str">
        <f>_xll.BDH("SRPT US Equity","T12_FCF_TO_FIRM_AFT_OP_LEA_PYMTS","FQ2 2023","FQ2 2023","Currency=USD","Period=FQ","BEST_FPERIOD_OVERRIDE=FQ","FILING_STATUS=MR","SCALING_FORMAT=MLN","FA_ADJUSTED=GAAP","Sort=A","Dates=H","DateFormat=P","Fill=—","Direction=H","UseDPDF=Y")</f>
        <v>—</v>
      </c>
      <c r="S32" s="13" t="str">
        <f>_xll.BDH("SRPT US Equity","T12_FCF_TO_FIRM_AFT_OP_LEA_PYMTS","FQ3 2023","FQ3 2023","Currency=USD","Period=FQ","BEST_FPERIOD_OVERRIDE=FQ","FILING_STATUS=MR","SCALING_FORMAT=MLN","FA_ADJUSTED=GAAP","Sort=A","Dates=H","DateFormat=P","Fill=—","Direction=H","UseDPDF=Y")</f>
        <v>—</v>
      </c>
      <c r="T32" s="13" t="str">
        <f>_xll.BDH("SRPT US Equity","T12_FCF_TO_FIRM_AFT_OP_LEA_PYMTS","FQ4 2023","FQ4 2023","Currency=USD","Period=FQ","BEST_FPERIOD_OVERRIDE=FQ","FILING_STATUS=MR","SCALING_FORMAT=MLN","FA_ADJUSTED=GAAP","Sort=A","Dates=H","DateFormat=P","Fill=—","Direction=H","UseDPDF=Y")</f>
        <v>—</v>
      </c>
      <c r="U32" s="13">
        <f>_xll.BDH("SRPT US Equity","T12_FCF_TO_FIRM_AFT_OP_LEA_PYMTS","FQ1 2024","FQ1 2024","Currency=USD","Period=FQ","BEST_FPERIOD_OVERRIDE=FQ","FILING_STATUS=MR","SCALING_FORMAT=MLN","FA_ADJUSTED=GAAP","Sort=A","Dates=H","DateFormat=P","Fill=—","Direction=H","UseDPDF=Y")</f>
        <v>-622.88900000000001</v>
      </c>
      <c r="V32" s="13">
        <f>_xll.BDH("SRPT US Equity","T12_FCF_TO_FIRM_AFT_OP_LEA_PYMTS","FQ2 2024","FQ2 2024","Currency=USD","Period=FQ","BEST_FPERIOD_OVERRIDE=FQ","FILING_STATUS=MR","SCALING_FORMAT=MLN","FA_ADJUSTED=GAAP","Sort=A","Dates=H","DateFormat=P","Fill=—","Direction=H","UseDPDF=Y")</f>
        <v>-492.02710000000002</v>
      </c>
      <c r="W32" s="13">
        <f>_xll.BDH("SRPT US Equity","T12_FCF_TO_FIRM_AFT_OP_LEA_PYMTS","FQ3 2024","FQ3 2024","Currency=USD","Period=FQ","BEST_FPERIOD_OVERRIDE=FQ","FILING_STATUS=MR","SCALING_FORMAT=MLN","FA_ADJUSTED=GAAP","Sort=A","Dates=H","DateFormat=P","Fill=—","Direction=H","UseDPDF=Y")</f>
        <v>-452.37130000000002</v>
      </c>
      <c r="X32" s="13">
        <f>_xll.BDH("SRPT US Equity","T12_FCF_TO_FIRM_AFT_OP_LEA_PYMTS","FQ4 2024","FQ4 2024","Currency=USD","Period=FQ","BEST_FPERIOD_OVERRIDE=FQ","FILING_STATUS=MR","SCALING_FORMAT=MLN","FA_ADJUSTED=GAAP","Sort=A","Dates=H","DateFormat=P","Fill=—","Direction=H","UseDPDF=Y")</f>
        <v>-326.15280000000001</v>
      </c>
      <c r="Y32" s="16">
        <v>-326.152847419605</v>
      </c>
      <c r="Z32" s="13"/>
      <c r="AA32" s="13"/>
    </row>
    <row r="33" spans="1:27" x14ac:dyDescent="0.25">
      <c r="A33" s="7" t="s">
        <v>90</v>
      </c>
      <c r="B33" s="7"/>
      <c r="C33" s="7" t="s">
        <v>5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7"/>
  <sheetViews>
    <sheetView topLeftCell="A27"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310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31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</row>
    <row r="6" spans="1:27" x14ac:dyDescent="0.25">
      <c r="A6" s="6" t="s">
        <v>0</v>
      </c>
      <c r="B6" s="6" t="s">
        <v>71</v>
      </c>
      <c r="C6" s="19">
        <f>_xll.BDH("SRPT US Equity","SALES_REV_TURN","FQ2 2019","FQ2 2019","Currency=USD","Period=FQ","BEST_FPERIOD_OVERRIDE=FQ","FILING_STATUS=MR","SCALING_FORMAT=MLN","FA_ADJUSTED=Adjusted","Sort=A","Dates=H","DateFormat=P","Fill=—","Direction=H","UseDPDF=Y")</f>
        <v>94.668000000000006</v>
      </c>
      <c r="D6" s="19">
        <f>_xll.BDH("SRPT US Equity","SALES_REV_TURN","FQ3 2019","FQ3 2019","Currency=USD","Period=FQ","BEST_FPERIOD_OVERRIDE=FQ","FILING_STATUS=MR","SCALING_FORMAT=MLN","FA_ADJUSTED=Adjusted","Sort=A","Dates=H","DateFormat=P","Fill=—","Direction=H","UseDPDF=Y")</f>
        <v>99.040999999999997</v>
      </c>
      <c r="E6" s="19">
        <f>_xll.BDH("SRPT US Equity","SALES_REV_TURN","FQ4 2019","FQ4 2019","Currency=USD","Period=FQ","BEST_FPERIOD_OVERRIDE=FQ","FILING_STATUS=MR","SCALING_FORMAT=MLN","FA_ADJUSTED=Adjusted","Sort=A","Dates=H","DateFormat=P","Fill=—","Direction=H","UseDPDF=Y")</f>
        <v>100.113</v>
      </c>
      <c r="F6" s="19">
        <f>_xll.BDH("SRPT US Equity","SALES_REV_TURN","FQ1 2020","FQ1 2020","Currency=USD","Period=FQ","BEST_FPERIOD_OVERRIDE=FQ","FILING_STATUS=MR","SCALING_FORMAT=MLN","FA_ADJUSTED=Adjusted","Sort=A","Dates=H","DateFormat=P","Fill=—","Direction=H","UseDPDF=Y")</f>
        <v>113.67400000000001</v>
      </c>
      <c r="G6" s="19">
        <f>_xll.BDH("SRPT US Equity","SALES_REV_TURN","FQ2 2020","FQ2 2020","Currency=USD","Period=FQ","BEST_FPERIOD_OVERRIDE=FQ","FILING_STATUS=MR","SCALING_FORMAT=MLN","FA_ADJUSTED=Adjusted","Sort=A","Dates=H","DateFormat=P","Fill=—","Direction=H","UseDPDF=Y")</f>
        <v>137.363</v>
      </c>
      <c r="H6" s="19">
        <f>_xll.BDH("SRPT US Equity","SALES_REV_TURN","FQ3 2020","FQ3 2020","Currency=USD","Period=FQ","BEST_FPERIOD_OVERRIDE=FQ","FILING_STATUS=MR","SCALING_FORMAT=MLN","FA_ADJUSTED=Adjusted","Sort=A","Dates=H","DateFormat=P","Fill=—","Direction=H","UseDPDF=Y")</f>
        <v>143.92400000000001</v>
      </c>
      <c r="I6" s="19">
        <f>_xll.BDH("SRPT US Equity","SALES_REV_TURN","FQ4 2020","FQ4 2020","Currency=USD","Period=FQ","BEST_FPERIOD_OVERRIDE=FQ","FILING_STATUS=MR","SCALING_FORMAT=MLN","FA_ADJUSTED=Adjusted","Sort=A","Dates=H","DateFormat=P","Fill=—","Direction=H","UseDPDF=Y")</f>
        <v>145.13800000000001</v>
      </c>
      <c r="J6" s="19">
        <f>_xll.BDH("SRPT US Equity","SALES_REV_TURN","FQ1 2021","FQ1 2021","Currency=USD","Period=FQ","BEST_FPERIOD_OVERRIDE=FQ","FILING_STATUS=MR","SCALING_FORMAT=MLN","FA_ADJUSTED=Adjusted","Sort=A","Dates=H","DateFormat=P","Fill=—","Direction=H","UseDPDF=Y")</f>
        <v>146.93100000000001</v>
      </c>
      <c r="K6" s="19">
        <f>_xll.BDH("SRPT US Equity","SALES_REV_TURN","FQ2 2021","FQ2 2021","Currency=USD","Period=FQ","BEST_FPERIOD_OVERRIDE=FQ","FILING_STATUS=MR","SCALING_FORMAT=MLN","FA_ADJUSTED=Adjusted","Sort=A","Dates=H","DateFormat=P","Fill=—","Direction=H","UseDPDF=Y")</f>
        <v>164.089</v>
      </c>
      <c r="L6" s="19">
        <f>_xll.BDH("SRPT US Equity","SALES_REV_TURN","FQ3 2021","FQ3 2021","Currency=USD","Period=FQ","BEST_FPERIOD_OVERRIDE=FQ","FILING_STATUS=MR","SCALING_FORMAT=MLN","FA_ADJUSTED=Adjusted","Sort=A","Dates=H","DateFormat=P","Fill=—","Direction=H","UseDPDF=Y")</f>
        <v>189.40600000000001</v>
      </c>
      <c r="M6" s="19">
        <f>_xll.BDH("SRPT US Equity","SALES_REV_TURN","FQ4 2021","FQ4 2021","Currency=USD","Period=FQ","BEST_FPERIOD_OVERRIDE=FQ","FILING_STATUS=MR","SCALING_FORMAT=MLN","FA_ADJUSTED=Adjusted","Sort=A","Dates=H","DateFormat=P","Fill=—","Direction=H","UseDPDF=Y")</f>
        <v>201.46100000000001</v>
      </c>
      <c r="N6" s="19">
        <f>_xll.BDH("SRPT US Equity","SALES_REV_TURN","FQ1 2022","FQ1 2022","Currency=USD","Period=FQ","BEST_FPERIOD_OVERRIDE=FQ","FILING_STATUS=MR","SCALING_FORMAT=MLN","FA_ADJUSTED=Adjusted","Sort=A","Dates=H","DateFormat=P","Fill=—","Direction=H","UseDPDF=Y")</f>
        <v>210.83</v>
      </c>
      <c r="O6" s="19">
        <f>_xll.BDH("SRPT US Equity","SALES_REV_TURN","FQ2 2022","FQ2 2022","Currency=USD","Period=FQ","BEST_FPERIOD_OVERRIDE=FQ","FILING_STATUS=MR","SCALING_FORMAT=MLN","FA_ADJUSTED=Adjusted","Sort=A","Dates=H","DateFormat=P","Fill=—","Direction=H","UseDPDF=Y")</f>
        <v>233.48699999999999</v>
      </c>
      <c r="P6" s="19">
        <f>_xll.BDH("SRPT US Equity","SALES_REV_TURN","FQ3 2022","FQ3 2022","Currency=USD","Period=FQ","BEST_FPERIOD_OVERRIDE=FQ","FILING_STATUS=MR","SCALING_FORMAT=MLN","FA_ADJUSTED=Adjusted","Sort=A","Dates=H","DateFormat=P","Fill=—","Direction=H","UseDPDF=Y")</f>
        <v>230.26900000000001</v>
      </c>
      <c r="Q6" s="19">
        <f>_xll.BDH("SRPT US Equity","SALES_REV_TURN","FQ4 2022","FQ4 2022","Currency=USD","Period=FQ","BEST_FPERIOD_OVERRIDE=FQ","FILING_STATUS=MR","SCALING_FORMAT=MLN","FA_ADJUSTED=Adjusted","Sort=A","Dates=H","DateFormat=P","Fill=—","Direction=H","UseDPDF=Y")</f>
        <v>258.42700000000002</v>
      </c>
      <c r="R6" s="19">
        <f>_xll.BDH("SRPT US Equity","SALES_REV_TURN","FQ1 2023","FQ1 2023","Currency=USD","Period=FQ","BEST_FPERIOD_OVERRIDE=FQ","FILING_STATUS=MR","SCALING_FORMAT=MLN","FA_ADJUSTED=Adjusted","Sort=A","Dates=H","DateFormat=P","Fill=—","Direction=H","UseDPDF=Y")</f>
        <v>253.5</v>
      </c>
      <c r="S6" s="19">
        <f>_xll.BDH("SRPT US Equity","SALES_REV_TURN","FQ2 2023","FQ2 2023","Currency=USD","Period=FQ","BEST_FPERIOD_OVERRIDE=FQ","FILING_STATUS=MR","SCALING_FORMAT=MLN","FA_ADJUSTED=Adjusted","Sort=A","Dates=H","DateFormat=P","Fill=—","Direction=H","UseDPDF=Y")</f>
        <v>261.238</v>
      </c>
      <c r="T6" s="19">
        <f>_xll.BDH("SRPT US Equity","SALES_REV_TURN","FQ3 2023","FQ3 2023","Currency=USD","Period=FQ","BEST_FPERIOD_OVERRIDE=FQ","FILING_STATUS=MR","SCALING_FORMAT=MLN","FA_ADJUSTED=Adjusted","Sort=A","Dates=H","DateFormat=P","Fill=—","Direction=H","UseDPDF=Y")</f>
        <v>331.81700000000001</v>
      </c>
      <c r="U6" s="19">
        <f>_xll.BDH("SRPT US Equity","SALES_REV_TURN","FQ4 2023","FQ4 2023","Currency=USD","Period=FQ","BEST_FPERIOD_OVERRIDE=FQ","FILING_STATUS=MR","SCALING_FORMAT=MLN","FA_ADJUSTED=Adjusted","Sort=A","Dates=H","DateFormat=P","Fill=—","Direction=H","UseDPDF=Y")</f>
        <v>396.78100000000001</v>
      </c>
      <c r="V6" s="19">
        <f>_xll.BDH("SRPT US Equity","SALES_REV_TURN","FQ1 2024","FQ1 2024","Currency=USD","Period=FQ","BEST_FPERIOD_OVERRIDE=FQ","FILING_STATUS=MR","SCALING_FORMAT=MLN","FA_ADJUSTED=Adjusted","Sort=A","Dates=H","DateFormat=P","Fill=—","Direction=H","UseDPDF=Y")</f>
        <v>413.464</v>
      </c>
      <c r="W6" s="19">
        <f>_xll.BDH("SRPT US Equity","SALES_REV_TURN","FQ2 2024","FQ2 2024","Currency=USD","Period=FQ","BEST_FPERIOD_OVERRIDE=FQ","FILING_STATUS=MR","SCALING_FORMAT=MLN","FA_ADJUSTED=Adjusted","Sort=A","Dates=H","DateFormat=P","Fill=—","Direction=H","UseDPDF=Y")</f>
        <v>362.93099999999998</v>
      </c>
      <c r="X6" s="19">
        <f>_xll.BDH("SRPT US Equity","SALES_REV_TURN","FQ3 2024","FQ3 2024","Currency=USD","Period=FQ","BEST_FPERIOD_OVERRIDE=FQ","FILING_STATUS=MR","SCALING_FORMAT=MLN","FA_ADJUSTED=Adjusted","Sort=A","Dates=H","DateFormat=P","Fill=—","Direction=H","UseDPDF=Y")</f>
        <v>467.17200000000003</v>
      </c>
      <c r="Y6" s="19">
        <f>_xll.BDH("SRPT US Equity","SALES_REV_TURN","FQ4 2024","FQ4 2024","Currency=USD","Period=FQ","BEST_FPERIOD_OVERRIDE=FQ","FILING_STATUS=MR","SCALING_FORMAT=MLN","FA_ADJUSTED=Adjusted","Sort=A","Dates=H","DateFormat=P","Fill=—","Direction=H","UseDPDF=Y")</f>
        <v>658.41200000000003</v>
      </c>
      <c r="Z6" s="19">
        <v>694.9</v>
      </c>
      <c r="AA6" s="19">
        <v>760.1</v>
      </c>
    </row>
    <row r="7" spans="1:27" x14ac:dyDescent="0.25">
      <c r="A7" s="10" t="s">
        <v>311</v>
      </c>
      <c r="B7" s="10" t="s">
        <v>312</v>
      </c>
      <c r="C7" s="13">
        <f>_xll.BDH("SRPT US Equity","IS_SALES_AND_SERVICES_REVENUES","FQ2 2019","FQ2 2019","Currency=USD","Period=FQ","BEST_FPERIOD_OVERRIDE=FQ","FILING_STATUS=MR","SCALING_FORMAT=MLN","FA_ADJUSTED=Adjusted","Sort=A","Dates=H","DateFormat=P","Fill=—","Direction=H","UseDPDF=Y")</f>
        <v>94.668000000000006</v>
      </c>
      <c r="D7" s="13">
        <f>_xll.BDH("SRPT US Equity","IS_SALES_AND_SERVICES_REVENUES","FQ3 2019","FQ3 2019","Currency=USD","Period=FQ","BEST_FPERIOD_OVERRIDE=FQ","FILING_STATUS=MR","SCALING_FORMAT=MLN","FA_ADJUSTED=Adjusted","Sort=A","Dates=H","DateFormat=P","Fill=—","Direction=H","UseDPDF=Y")</f>
        <v>99.040999999999997</v>
      </c>
      <c r="E7" s="13">
        <f>_xll.BDH("SRPT US Equity","IS_SALES_AND_SERVICES_REVENUES","FQ4 2019","FQ4 2019","Currency=USD","Period=FQ","BEST_FPERIOD_OVERRIDE=FQ","FILING_STATUS=MR","SCALING_FORMAT=MLN","FA_ADJUSTED=Adjusted","Sort=A","Dates=H","DateFormat=P","Fill=—","Direction=H","UseDPDF=Y")</f>
        <v>100.113</v>
      </c>
      <c r="F7" s="13">
        <f>_xll.BDH("SRPT US Equity","IS_SALES_AND_SERVICES_REVENUES","FQ1 2020","FQ1 2020","Currency=USD","Period=FQ","BEST_FPERIOD_OVERRIDE=FQ","FILING_STATUS=MR","SCALING_FORMAT=MLN","FA_ADJUSTED=Adjusted","Sort=A","Dates=H","DateFormat=P","Fill=—","Direction=H","UseDPDF=Y")</f>
        <v>100.44799999999999</v>
      </c>
      <c r="G7" s="13">
        <f>_xll.BDH("SRPT US Equity","IS_SALES_AND_SERVICES_REVENUES","FQ2 2020","FQ2 2020","Currency=USD","Period=FQ","BEST_FPERIOD_OVERRIDE=FQ","FILING_STATUS=MR","SCALING_FORMAT=MLN","FA_ADJUSTED=Adjusted","Sort=A","Dates=H","DateFormat=P","Fill=—","Direction=H","UseDPDF=Y")</f>
        <v>111.34399999999999</v>
      </c>
      <c r="H7" s="13">
        <f>_xll.BDH("SRPT US Equity","IS_SALES_AND_SERVICES_REVENUES","FQ3 2020","FQ3 2020","Currency=USD","Period=FQ","BEST_FPERIOD_OVERRIDE=FQ","FILING_STATUS=MR","SCALING_FORMAT=MLN","FA_ADJUSTED=Adjusted","Sort=A","Dates=H","DateFormat=P","Fill=—","Direction=H","UseDPDF=Y")</f>
        <v>121.429</v>
      </c>
      <c r="I7" s="13">
        <f>_xll.BDH("SRPT US Equity","IS_SALES_AND_SERVICES_REVENUES","FQ4 2020","FQ4 2020","Currency=USD","Period=FQ","BEST_FPERIOD_OVERRIDE=FQ","FILING_STATUS=MR","SCALING_FORMAT=MLN","FA_ADJUSTED=Adjusted","Sort=A","Dates=H","DateFormat=P","Fill=—","Direction=H","UseDPDF=Y")</f>
        <v>122.64400000000001</v>
      </c>
      <c r="J7" s="13">
        <f>_xll.BDH("SRPT US Equity","IS_SALES_AND_SERVICES_REVENUES","FQ1 2021","FQ1 2021","Currency=USD","Period=FQ","BEST_FPERIOD_OVERRIDE=FQ","FILING_STATUS=MR","SCALING_FORMAT=MLN","FA_ADJUSTED=Adjusted","Sort=A","Dates=H","DateFormat=P","Fill=—","Direction=H","UseDPDF=Y")</f>
        <v>124.926</v>
      </c>
      <c r="K7" s="13">
        <f>_xll.BDH("SRPT US Equity","IS_SALES_AND_SERVICES_REVENUES","FQ2 2021","FQ2 2021","Currency=USD","Period=FQ","BEST_FPERIOD_OVERRIDE=FQ","FILING_STATUS=MR","SCALING_FORMAT=MLN","FA_ADJUSTED=Adjusted","Sort=A","Dates=H","DateFormat=P","Fill=—","Direction=H","UseDPDF=Y")</f>
        <v>141.839</v>
      </c>
      <c r="L7" s="13">
        <f>_xll.BDH("SRPT US Equity","IS_SALES_AND_SERVICES_REVENUES","FQ3 2021","FQ3 2021","Currency=USD","Period=FQ","BEST_FPERIOD_OVERRIDE=FQ","FILING_STATUS=MR","SCALING_FORMAT=MLN","FA_ADJUSTED=Adjusted","Sort=A","Dates=H","DateFormat=P","Fill=—","Direction=H","UseDPDF=Y")</f>
        <v>166.911</v>
      </c>
      <c r="M7" s="13">
        <f>_xll.BDH("SRPT US Equity","IS_SALES_AND_SERVICES_REVENUES","FQ4 2021","FQ4 2021","Currency=USD","Period=FQ","BEST_FPERIOD_OVERRIDE=FQ","FILING_STATUS=MR","SCALING_FORMAT=MLN","FA_ADJUSTED=Adjusted","Sort=A","Dates=H","DateFormat=P","Fill=—","Direction=H","UseDPDF=Y")</f>
        <v>178.72499999999999</v>
      </c>
      <c r="N7" s="13">
        <f>_xll.BDH("SRPT US Equity","IS_SALES_AND_SERVICES_REVENUES","FQ1 2022","FQ1 2022","Currency=USD","Period=FQ","BEST_FPERIOD_OVERRIDE=FQ","FILING_STATUS=MR","SCALING_FORMAT=MLN","FA_ADJUSTED=Adjusted","Sort=A","Dates=H","DateFormat=P","Fill=—","Direction=H","UseDPDF=Y")</f>
        <v>188.82499999999999</v>
      </c>
      <c r="O7" s="13">
        <f>_xll.BDH("SRPT US Equity","IS_SALES_AND_SERVICES_REVENUES","FQ2 2022","FQ2 2022","Currency=USD","Period=FQ","BEST_FPERIOD_OVERRIDE=FQ","FILING_STATUS=MR","SCALING_FORMAT=MLN","FA_ADJUSTED=Adjusted","Sort=A","Dates=H","DateFormat=P","Fill=—","Direction=H","UseDPDF=Y")</f>
        <v>211.23699999999999</v>
      </c>
      <c r="P7" s="13">
        <f>_xll.BDH("SRPT US Equity","IS_SALES_AND_SERVICES_REVENUES","FQ3 2022","FQ3 2022","Currency=USD","Period=FQ","BEST_FPERIOD_OVERRIDE=FQ","FILING_STATUS=MR","SCALING_FORMAT=MLN","FA_ADJUSTED=Adjusted","Sort=A","Dates=H","DateFormat=P","Fill=—","Direction=H","UseDPDF=Y")</f>
        <v>207.774</v>
      </c>
      <c r="Q7" s="13">
        <f>_xll.BDH("SRPT US Equity","IS_SALES_AND_SERVICES_REVENUES","FQ4 2022","FQ4 2022","Currency=USD","Period=FQ","BEST_FPERIOD_OVERRIDE=FQ","FILING_STATUS=MR","SCALING_FORMAT=MLN","FA_ADJUSTED=Adjusted","Sort=A","Dates=H","DateFormat=P","Fill=—","Direction=H","UseDPDF=Y")</f>
        <v>235.93299999999999</v>
      </c>
      <c r="R7" s="13">
        <f>_xll.BDH("SRPT US Equity","IS_SALES_AND_SERVICES_REVENUES","FQ1 2023","FQ1 2023","Currency=USD","Period=FQ","BEST_FPERIOD_OVERRIDE=FQ","FILING_STATUS=MR","SCALING_FORMAT=MLN","FA_ADJUSTED=Adjusted","Sort=A","Dates=H","DateFormat=P","Fill=—","Direction=H","UseDPDF=Y")</f>
        <v>231.495</v>
      </c>
      <c r="S7" s="13">
        <f>_xll.BDH("SRPT US Equity","IS_SALES_AND_SERVICES_REVENUES","FQ2 2023","FQ2 2023","Currency=USD","Period=FQ","BEST_FPERIOD_OVERRIDE=FQ","FILING_STATUS=MR","SCALING_FORMAT=MLN","FA_ADJUSTED=Adjusted","Sort=A","Dates=H","DateFormat=P","Fill=—","Direction=H","UseDPDF=Y")</f>
        <v>238.988</v>
      </c>
      <c r="T7" s="13">
        <f>_xll.BDH("SRPT US Equity","IS_SALES_AND_SERVICES_REVENUES","FQ3 2023","FQ3 2023","Currency=USD","Period=FQ","BEST_FPERIOD_OVERRIDE=FQ","FILING_STATUS=MR","SCALING_FORMAT=MLN","FA_ADJUSTED=Adjusted","Sort=A","Dates=H","DateFormat=P","Fill=—","Direction=H","UseDPDF=Y")</f>
        <v>309.322</v>
      </c>
      <c r="U7" s="13">
        <f>_xll.BDH("SRPT US Equity","IS_SALES_AND_SERVICES_REVENUES","FQ4 2023","FQ4 2023","Currency=USD","Period=FQ","BEST_FPERIOD_OVERRIDE=FQ","FILING_STATUS=MR","SCALING_FORMAT=MLN","FA_ADJUSTED=Adjusted","Sort=A","Dates=H","DateFormat=P","Fill=—","Direction=H","UseDPDF=Y")</f>
        <v>365.07100000000003</v>
      </c>
      <c r="V7" s="13">
        <f>_xll.BDH("SRPT US Equity","IS_SALES_AND_SERVICES_REVENUES","FQ1 2024","FQ1 2024","Currency=USD","Period=FQ","BEST_FPERIOD_OVERRIDE=FQ","FILING_STATUS=MR","SCALING_FORMAT=MLN","FA_ADJUSTED=Adjusted","Sort=A","Dates=H","DateFormat=P","Fill=—","Direction=H","UseDPDF=Y")</f>
        <v>359.48399999999998</v>
      </c>
      <c r="W7" s="13">
        <f>_xll.BDH("SRPT US Equity","IS_SALES_AND_SERVICES_REVENUES","FQ2 2024","FQ2 2024","Currency=USD","Period=FQ","BEST_FPERIOD_OVERRIDE=FQ","FILING_STATUS=MR","SCALING_FORMAT=MLN","FA_ADJUSTED=Adjusted","Sort=A","Dates=H","DateFormat=P","Fill=—","Direction=H","UseDPDF=Y")</f>
        <v>360.548</v>
      </c>
      <c r="X7" s="13">
        <f>_xll.BDH("SRPT US Equity","IS_SALES_AND_SERVICES_REVENUES","FQ3 2024","FQ3 2024","Currency=USD","Period=FQ","BEST_FPERIOD_OVERRIDE=FQ","FILING_STATUS=MR","SCALING_FORMAT=MLN","FA_ADJUSTED=Adjusted","Sort=A","Dates=H","DateFormat=P","Fill=—","Direction=H","UseDPDF=Y")</f>
        <v>429.77100000000002</v>
      </c>
      <c r="Y7" s="13">
        <f>_xll.BDH("SRPT US Equity","IS_SALES_AND_SERVICES_REVENUES","FQ4 2024","FQ4 2024","Currency=USD","Period=FQ","BEST_FPERIOD_OVERRIDE=FQ","FILING_STATUS=MR","SCALING_FORMAT=MLN","FA_ADJUSTED=Adjusted","Sort=A","Dates=H","DateFormat=P","Fill=—","Direction=H","UseDPDF=Y")</f>
        <v>638.15700000000004</v>
      </c>
      <c r="Z7" s="13"/>
      <c r="AA7" s="13"/>
    </row>
    <row r="8" spans="1:27" x14ac:dyDescent="0.25">
      <c r="A8" s="10" t="s">
        <v>313</v>
      </c>
      <c r="B8" s="10" t="s">
        <v>314</v>
      </c>
      <c r="C8" s="13" t="str">
        <f>_xll.BDH("SRPT US Equity","IS_OTHER_REVENUE","FQ2 2019","FQ2 2019","Currency=USD","Period=FQ","BEST_FPERIOD_OVERRIDE=FQ","FILING_STATUS=MR","SCALING_FORMAT=MLN","FA_ADJUSTED=Adjusted","Sort=A","Dates=H","DateFormat=P","Fill=—","Direction=H","UseDPDF=Y")</f>
        <v>—</v>
      </c>
      <c r="D8" s="13" t="str">
        <f>_xll.BDH("SRPT US Equity","IS_OTHER_REVENUE","FQ3 2019","FQ3 2019","Currency=USD","Period=FQ","BEST_FPERIOD_OVERRIDE=FQ","FILING_STATUS=MR","SCALING_FORMAT=MLN","FA_ADJUSTED=Adjusted","Sort=A","Dates=H","DateFormat=P","Fill=—","Direction=H","UseDPDF=Y")</f>
        <v>—</v>
      </c>
      <c r="E8" s="13" t="str">
        <f>_xll.BDH("SRPT US Equity","IS_OTHER_REVENUE","FQ4 2019","FQ4 2019","Currency=USD","Period=FQ","BEST_FPERIOD_OVERRIDE=FQ","FILING_STATUS=MR","SCALING_FORMAT=MLN","FA_ADJUSTED=Adjusted","Sort=A","Dates=H","DateFormat=P","Fill=—","Direction=H","UseDPDF=Y")</f>
        <v>—</v>
      </c>
      <c r="F8" s="13">
        <f>_xll.BDH("SRPT US Equity","IS_OTHER_REVENUE","FQ1 2020","FQ1 2020","Currency=USD","Period=FQ","BEST_FPERIOD_OVERRIDE=FQ","FILING_STATUS=MR","SCALING_FORMAT=MLN","FA_ADJUSTED=Adjusted","Sort=A","Dates=H","DateFormat=P","Fill=—","Direction=H","UseDPDF=Y")</f>
        <v>13.226000000000001</v>
      </c>
      <c r="G8" s="13">
        <f>_xll.BDH("SRPT US Equity","IS_OTHER_REVENUE","FQ2 2020","FQ2 2020","Currency=USD","Period=FQ","BEST_FPERIOD_OVERRIDE=FQ","FILING_STATUS=MR","SCALING_FORMAT=MLN","FA_ADJUSTED=Adjusted","Sort=A","Dates=H","DateFormat=P","Fill=—","Direction=H","UseDPDF=Y")</f>
        <v>26.018999999999998</v>
      </c>
      <c r="H8" s="13">
        <f>_xll.BDH("SRPT US Equity","IS_OTHER_REVENUE","FQ3 2020","FQ3 2020","Currency=USD","Period=FQ","BEST_FPERIOD_OVERRIDE=FQ","FILING_STATUS=MR","SCALING_FORMAT=MLN","FA_ADJUSTED=Adjusted","Sort=A","Dates=H","DateFormat=P","Fill=—","Direction=H","UseDPDF=Y")</f>
        <v>22.495000000000001</v>
      </c>
      <c r="I8" s="13">
        <f>_xll.BDH("SRPT US Equity","IS_OTHER_REVENUE","FQ4 2020","FQ4 2020","Currency=USD","Period=FQ","BEST_FPERIOD_OVERRIDE=FQ","FILING_STATUS=MR","SCALING_FORMAT=MLN","FA_ADJUSTED=Adjusted","Sort=A","Dates=H","DateFormat=P","Fill=—","Direction=H","UseDPDF=Y")</f>
        <v>22.494</v>
      </c>
      <c r="J8" s="13">
        <f>_xll.BDH("SRPT US Equity","IS_OTHER_REVENUE","FQ1 2021","FQ1 2021","Currency=USD","Period=FQ","BEST_FPERIOD_OVERRIDE=FQ","FILING_STATUS=MR","SCALING_FORMAT=MLN","FA_ADJUSTED=Adjusted","Sort=A","Dates=H","DateFormat=P","Fill=—","Direction=H","UseDPDF=Y")</f>
        <v>22.004999999999999</v>
      </c>
      <c r="K8" s="13">
        <f>_xll.BDH("SRPT US Equity","IS_OTHER_REVENUE","FQ2 2021","FQ2 2021","Currency=USD","Period=FQ","BEST_FPERIOD_OVERRIDE=FQ","FILING_STATUS=MR","SCALING_FORMAT=MLN","FA_ADJUSTED=Adjusted","Sort=A","Dates=H","DateFormat=P","Fill=—","Direction=H","UseDPDF=Y")</f>
        <v>22.25</v>
      </c>
      <c r="L8" s="13">
        <f>_xll.BDH("SRPT US Equity","IS_OTHER_REVENUE","FQ3 2021","FQ3 2021","Currency=USD","Period=FQ","BEST_FPERIOD_OVERRIDE=FQ","FILING_STATUS=MR","SCALING_FORMAT=MLN","FA_ADJUSTED=Adjusted","Sort=A","Dates=H","DateFormat=P","Fill=—","Direction=H","UseDPDF=Y")</f>
        <v>22.495000000000001</v>
      </c>
      <c r="M8" s="13">
        <f>_xll.BDH("SRPT US Equity","IS_OTHER_REVENUE","FQ4 2021","FQ4 2021","Currency=USD","Period=FQ","BEST_FPERIOD_OVERRIDE=FQ","FILING_STATUS=MR","SCALING_FORMAT=MLN","FA_ADJUSTED=Adjusted","Sort=A","Dates=H","DateFormat=P","Fill=—","Direction=H","UseDPDF=Y")</f>
        <v>22.736000000000001</v>
      </c>
      <c r="N8" s="13">
        <f>_xll.BDH("SRPT US Equity","IS_OTHER_REVENUE","FQ1 2022","FQ1 2022","Currency=USD","Period=FQ","BEST_FPERIOD_OVERRIDE=FQ","FILING_STATUS=MR","SCALING_FORMAT=MLN","FA_ADJUSTED=Adjusted","Sort=A","Dates=H","DateFormat=P","Fill=—","Direction=H","UseDPDF=Y")</f>
        <v>22.004999999999999</v>
      </c>
      <c r="O8" s="13">
        <f>_xll.BDH("SRPT US Equity","IS_OTHER_REVENUE","FQ2 2022","FQ2 2022","Currency=USD","Period=FQ","BEST_FPERIOD_OVERRIDE=FQ","FILING_STATUS=MR","SCALING_FORMAT=MLN","FA_ADJUSTED=Adjusted","Sort=A","Dates=H","DateFormat=P","Fill=—","Direction=H","UseDPDF=Y")</f>
        <v>22.25</v>
      </c>
      <c r="P8" s="13">
        <f>_xll.BDH("SRPT US Equity","IS_OTHER_REVENUE","FQ3 2022","FQ3 2022","Currency=USD","Period=FQ","BEST_FPERIOD_OVERRIDE=FQ","FILING_STATUS=MR","SCALING_FORMAT=MLN","FA_ADJUSTED=Adjusted","Sort=A","Dates=H","DateFormat=P","Fill=—","Direction=H","UseDPDF=Y")</f>
        <v>22.495000000000001</v>
      </c>
      <c r="Q8" s="13">
        <f>_xll.BDH("SRPT US Equity","IS_OTHER_REVENUE","FQ4 2022","FQ4 2022","Currency=USD","Period=FQ","BEST_FPERIOD_OVERRIDE=FQ","FILING_STATUS=MR","SCALING_FORMAT=MLN","FA_ADJUSTED=Adjusted","Sort=A","Dates=H","DateFormat=P","Fill=—","Direction=H","UseDPDF=Y")</f>
        <v>22.494</v>
      </c>
      <c r="R8" s="13">
        <f>_xll.BDH("SRPT US Equity","IS_OTHER_REVENUE","FQ1 2023","FQ1 2023","Currency=USD","Period=FQ","BEST_FPERIOD_OVERRIDE=FQ","FILING_STATUS=MR","SCALING_FORMAT=MLN","FA_ADJUSTED=Adjusted","Sort=A","Dates=H","DateFormat=P","Fill=—","Direction=H","UseDPDF=Y")</f>
        <v>22.004999999999999</v>
      </c>
      <c r="S8" s="13">
        <f>_xll.BDH("SRPT US Equity","IS_OTHER_REVENUE","FQ2 2023","FQ2 2023","Currency=USD","Period=FQ","BEST_FPERIOD_OVERRIDE=FQ","FILING_STATUS=MR","SCALING_FORMAT=MLN","FA_ADJUSTED=Adjusted","Sort=A","Dates=H","DateFormat=P","Fill=—","Direction=H","UseDPDF=Y")</f>
        <v>22.25</v>
      </c>
      <c r="T8" s="13">
        <f>_xll.BDH("SRPT US Equity","IS_OTHER_REVENUE","FQ3 2023","FQ3 2023","Currency=USD","Period=FQ","BEST_FPERIOD_OVERRIDE=FQ","FILING_STATUS=MR","SCALING_FORMAT=MLN","FA_ADJUSTED=Adjusted","Sort=A","Dates=H","DateFormat=P","Fill=—","Direction=H","UseDPDF=Y")</f>
        <v>22.495000000000001</v>
      </c>
      <c r="U8" s="13">
        <f>_xll.BDH("SRPT US Equity","IS_OTHER_REVENUE","FQ4 2023","FQ4 2023","Currency=USD","Period=FQ","BEST_FPERIOD_OVERRIDE=FQ","FILING_STATUS=MR","SCALING_FORMAT=MLN","FA_ADJUSTED=Adjusted","Sort=A","Dates=H","DateFormat=P","Fill=—","Direction=H","UseDPDF=Y")</f>
        <v>31.71</v>
      </c>
      <c r="V8" s="13">
        <f>_xll.BDH("SRPT US Equity","IS_OTHER_REVENUE","FQ1 2024","FQ1 2024","Currency=USD","Period=FQ","BEST_FPERIOD_OVERRIDE=FQ","FILING_STATUS=MR","SCALING_FORMAT=MLN","FA_ADJUSTED=Adjusted","Sort=A","Dates=H","DateFormat=P","Fill=—","Direction=H","UseDPDF=Y")</f>
        <v>53.98</v>
      </c>
      <c r="W8" s="13">
        <f>_xll.BDH("SRPT US Equity","IS_OTHER_REVENUE","FQ2 2024","FQ2 2024","Currency=USD","Period=FQ","BEST_FPERIOD_OVERRIDE=FQ","FILING_STATUS=MR","SCALING_FORMAT=MLN","FA_ADJUSTED=Adjusted","Sort=A","Dates=H","DateFormat=P","Fill=—","Direction=H","UseDPDF=Y")</f>
        <v>2.383</v>
      </c>
      <c r="X8" s="13">
        <f>_xll.BDH("SRPT US Equity","IS_OTHER_REVENUE","FQ3 2024","FQ3 2024","Currency=USD","Period=FQ","BEST_FPERIOD_OVERRIDE=FQ","FILING_STATUS=MR","SCALING_FORMAT=MLN","FA_ADJUSTED=Adjusted","Sort=A","Dates=H","DateFormat=P","Fill=—","Direction=H","UseDPDF=Y")</f>
        <v>37.401000000000003</v>
      </c>
      <c r="Y8" s="13">
        <f>_xll.BDH("SRPT US Equity","IS_OTHER_REVENUE","FQ4 2024","FQ4 2024","Currency=USD","Period=FQ","BEST_FPERIOD_OVERRIDE=FQ","FILING_STATUS=MR","SCALING_FORMAT=MLN","FA_ADJUSTED=Adjusted","Sort=A","Dates=H","DateFormat=P","Fill=—","Direction=H","UseDPDF=Y")</f>
        <v>20.254999999999999</v>
      </c>
      <c r="Z8" s="13"/>
      <c r="AA8" s="13"/>
    </row>
    <row r="9" spans="1:27" x14ac:dyDescent="0.25">
      <c r="A9" s="10" t="s">
        <v>315</v>
      </c>
      <c r="B9" s="10" t="s">
        <v>316</v>
      </c>
      <c r="C9" s="13">
        <f>_xll.BDH("SRPT US Equity","IS_COGS_TO_FE_AND_PP_AND_G","FQ2 2019","FQ2 2019","Currency=USD","Period=FQ","BEST_FPERIOD_OVERRIDE=FQ","FILING_STATUS=MR","SCALING_FORMAT=MLN","FA_ADJUSTED=Adjusted","Sort=A","Dates=H","DateFormat=P","Fill=—","Direction=H","UseDPDF=Y")</f>
        <v>15.919</v>
      </c>
      <c r="D9" s="13">
        <f>_xll.BDH("SRPT US Equity","IS_COGS_TO_FE_AND_PP_AND_G","FQ3 2019","FQ3 2019","Currency=USD","Period=FQ","BEST_FPERIOD_OVERRIDE=FQ","FILING_STATUS=MR","SCALING_FORMAT=MLN","FA_ADJUSTED=Adjusted","Sort=A","Dates=H","DateFormat=P","Fill=—","Direction=H","UseDPDF=Y")</f>
        <v>13.037000000000001</v>
      </c>
      <c r="E9" s="13">
        <f>_xll.BDH("SRPT US Equity","IS_COGS_TO_FE_AND_PP_AND_G","FQ4 2019","FQ4 2019","Currency=USD","Period=FQ","BEST_FPERIOD_OVERRIDE=FQ","FILING_STATUS=MR","SCALING_FORMAT=MLN","FA_ADJUSTED=Adjusted","Sort=A","Dates=H","DateFormat=P","Fill=—","Direction=H","UseDPDF=Y")</f>
        <v>15.567</v>
      </c>
      <c r="F9" s="13">
        <f>_xll.BDH("SRPT US Equity","IS_COGS_TO_FE_AND_PP_AND_G","FQ1 2020","FQ1 2020","Currency=USD","Period=FQ","BEST_FPERIOD_OVERRIDE=FQ","FILING_STATUS=MR","SCALING_FORMAT=MLN","FA_ADJUSTED=Adjusted","Sort=A","Dates=H","DateFormat=P","Fill=—","Direction=H","UseDPDF=Y")</f>
        <v>12.622</v>
      </c>
      <c r="G9" s="13">
        <f>_xll.BDH("SRPT US Equity","IS_COGS_TO_FE_AND_PP_AND_G","FQ2 2020","FQ2 2020","Currency=USD","Period=FQ","BEST_FPERIOD_OVERRIDE=FQ","FILING_STATUS=MR","SCALING_FORMAT=MLN","FA_ADJUSTED=Adjusted","Sort=A","Dates=H","DateFormat=P","Fill=—","Direction=H","UseDPDF=Y")</f>
        <v>13.340999999999999</v>
      </c>
      <c r="H9" s="13">
        <f>_xll.BDH("SRPT US Equity","IS_COGS_TO_FE_AND_PP_AND_G","FQ3 2020","FQ3 2020","Currency=USD","Period=FQ","BEST_FPERIOD_OVERRIDE=FQ","FILING_STATUS=MR","SCALING_FORMAT=MLN","FA_ADJUSTED=Adjusted","Sort=A","Dates=H","DateFormat=P","Fill=—","Direction=H","UseDPDF=Y")</f>
        <v>15.015000000000001</v>
      </c>
      <c r="I9" s="13">
        <f>_xll.BDH("SRPT US Equity","IS_COGS_TO_FE_AND_PP_AND_G","FQ4 2020","FQ4 2020","Currency=USD","Period=FQ","BEST_FPERIOD_OVERRIDE=FQ","FILING_STATUS=MR","SCALING_FORMAT=MLN","FA_ADJUSTED=Adjusted","Sort=A","Dates=H","DateFormat=P","Fill=—","Direction=H","UseDPDF=Y")</f>
        <v>22.404</v>
      </c>
      <c r="J9" s="13">
        <f>_xll.BDH("SRPT US Equity","IS_COGS_TO_FE_AND_PP_AND_G","FQ1 2021","FQ1 2021","Currency=USD","Period=FQ","BEST_FPERIOD_OVERRIDE=FQ","FILING_STATUS=MR","SCALING_FORMAT=MLN","FA_ADJUSTED=Adjusted","Sort=A","Dates=H","DateFormat=P","Fill=—","Direction=H","UseDPDF=Y")</f>
        <v>22.346</v>
      </c>
      <c r="K9" s="13">
        <f>_xll.BDH("SRPT US Equity","IS_COGS_TO_FE_AND_PP_AND_G","FQ2 2021","FQ2 2021","Currency=USD","Period=FQ","BEST_FPERIOD_OVERRIDE=FQ","FILING_STATUS=MR","SCALING_FORMAT=MLN","FA_ADJUSTED=Adjusted","Sort=A","Dates=H","DateFormat=P","Fill=—","Direction=H","UseDPDF=Y")</f>
        <v>19.515000000000001</v>
      </c>
      <c r="L9" s="13">
        <f>_xll.BDH("SRPT US Equity","IS_COGS_TO_FE_AND_PP_AND_G","FQ3 2021","FQ3 2021","Currency=USD","Period=FQ","BEST_FPERIOD_OVERRIDE=FQ","FILING_STATUS=MR","SCALING_FORMAT=MLN","FA_ADJUSTED=Adjusted","Sort=A","Dates=H","DateFormat=P","Fill=—","Direction=H","UseDPDF=Y")</f>
        <v>23.443999999999999</v>
      </c>
      <c r="M9" s="13">
        <f>_xll.BDH("SRPT US Equity","IS_COGS_TO_FE_AND_PP_AND_G","FQ4 2021","FQ4 2021","Currency=USD","Period=FQ","BEST_FPERIOD_OVERRIDE=FQ","FILING_STATUS=MR","SCALING_FORMAT=MLN","FA_ADJUSTED=Adjusted","Sort=A","Dates=H","DateFormat=P","Fill=—","Direction=H","UseDPDF=Y")</f>
        <v>31.744</v>
      </c>
      <c r="N9" s="13">
        <f>_xll.BDH("SRPT US Equity","IS_COGS_TO_FE_AND_PP_AND_G","FQ1 2022","FQ1 2022","Currency=USD","Period=FQ","BEST_FPERIOD_OVERRIDE=FQ","FILING_STATUS=MR","SCALING_FORMAT=MLN","FA_ADJUSTED=Adjusted","Sort=A","Dates=H","DateFormat=P","Fill=—","Direction=H","UseDPDF=Y")</f>
        <v>31.443000000000001</v>
      </c>
      <c r="O9" s="13">
        <f>_xll.BDH("SRPT US Equity","IS_COGS_TO_FE_AND_PP_AND_G","FQ2 2022","FQ2 2022","Currency=USD","Period=FQ","BEST_FPERIOD_OVERRIDE=FQ","FILING_STATUS=MR","SCALING_FORMAT=MLN","FA_ADJUSTED=Adjusted","Sort=A","Dates=H","DateFormat=P","Fill=—","Direction=H","UseDPDF=Y")</f>
        <v>37.795000000000002</v>
      </c>
      <c r="P9" s="13">
        <f>_xll.BDH("SRPT US Equity","IS_COGS_TO_FE_AND_PP_AND_G","FQ3 2022","FQ3 2022","Currency=USD","Period=FQ","BEST_FPERIOD_OVERRIDE=FQ","FILING_STATUS=MR","SCALING_FORMAT=MLN","FA_ADJUSTED=Adjusted","Sort=A","Dates=H","DateFormat=P","Fill=—","Direction=H","UseDPDF=Y")</f>
        <v>39.951999999999998</v>
      </c>
      <c r="Q9" s="13">
        <f>_xll.BDH("SRPT US Equity","IS_COGS_TO_FE_AND_PP_AND_G","FQ4 2022","FQ4 2022","Currency=USD","Period=FQ","BEST_FPERIOD_OVERRIDE=FQ","FILING_STATUS=MR","SCALING_FORMAT=MLN","FA_ADJUSTED=Adjusted","Sort=A","Dates=H","DateFormat=P","Fill=—","Direction=H","UseDPDF=Y")</f>
        <v>30.798999999999999</v>
      </c>
      <c r="R9" s="13">
        <f>_xll.BDH("SRPT US Equity","IS_COGS_TO_FE_AND_PP_AND_G","FQ1 2023","FQ1 2023","Currency=USD","Period=FQ","BEST_FPERIOD_OVERRIDE=FQ","FILING_STATUS=MR","SCALING_FORMAT=MLN","FA_ADJUSTED=Adjusted","Sort=A","Dates=H","DateFormat=P","Fill=—","Direction=H","UseDPDF=Y")</f>
        <v>35.017000000000003</v>
      </c>
      <c r="S9" s="13">
        <f>_xll.BDH("SRPT US Equity","IS_COGS_TO_FE_AND_PP_AND_G","FQ2 2023","FQ2 2023","Currency=USD","Period=FQ","BEST_FPERIOD_OVERRIDE=FQ","FILING_STATUS=MR","SCALING_FORMAT=MLN","FA_ADJUSTED=Adjusted","Sort=A","Dates=H","DateFormat=P","Fill=—","Direction=H","UseDPDF=Y")</f>
        <v>34.124000000000002</v>
      </c>
      <c r="T9" s="13">
        <f>_xll.BDH("SRPT US Equity","IS_COGS_TO_FE_AND_PP_AND_G","FQ3 2023","FQ3 2023","Currency=USD","Period=FQ","BEST_FPERIOD_OVERRIDE=FQ","FILING_STATUS=MR","SCALING_FORMAT=MLN","FA_ADJUSTED=Adjusted","Sort=A","Dates=H","DateFormat=P","Fill=—","Direction=H","UseDPDF=Y")</f>
        <v>37.026000000000003</v>
      </c>
      <c r="U9" s="13">
        <f>_xll.BDH("SRPT US Equity","IS_COGS_TO_FE_AND_PP_AND_G","FQ4 2023","FQ4 2023","Currency=USD","Period=FQ","BEST_FPERIOD_OVERRIDE=FQ","FILING_STATUS=MR","SCALING_FORMAT=MLN","FA_ADJUSTED=Adjusted","Sort=A","Dates=H","DateFormat=P","Fill=—","Direction=H","UseDPDF=Y")</f>
        <v>44.176000000000002</v>
      </c>
      <c r="V9" s="13">
        <f>_xll.BDH("SRPT US Equity","IS_COGS_TO_FE_AND_PP_AND_G","FQ1 2024","FQ1 2024","Currency=USD","Period=FQ","BEST_FPERIOD_OVERRIDE=FQ","FILING_STATUS=MR","SCALING_FORMAT=MLN","FA_ADJUSTED=Adjusted","Sort=A","Dates=H","DateFormat=P","Fill=—","Direction=H","UseDPDF=Y")</f>
        <v>50.558999999999997</v>
      </c>
      <c r="W9" s="13">
        <f>_xll.BDH("SRPT US Equity","IS_COGS_TO_FE_AND_PP_AND_G","FQ2 2024","FQ2 2024","Currency=USD","Period=FQ","BEST_FPERIOD_OVERRIDE=FQ","FILING_STATUS=MR","SCALING_FORMAT=MLN","FA_ADJUSTED=Adjusted","Sort=A","Dates=H","DateFormat=P","Fill=—","Direction=H","UseDPDF=Y")</f>
        <v>44.545000000000002</v>
      </c>
      <c r="X9" s="13">
        <f>_xll.BDH("SRPT US Equity","IS_COGS_TO_FE_AND_PP_AND_G","FQ3 2024","FQ3 2024","Currency=USD","Period=FQ","BEST_FPERIOD_OVERRIDE=FQ","FILING_STATUS=MR","SCALING_FORMAT=MLN","FA_ADJUSTED=Adjusted","Sort=A","Dates=H","DateFormat=P","Fill=—","Direction=H","UseDPDF=Y")</f>
        <v>91.691000000000003</v>
      </c>
      <c r="Y9" s="13">
        <f>_xll.BDH("SRPT US Equity","IS_COGS_TO_FE_AND_PP_AND_G","FQ4 2024","FQ4 2024","Currency=USD","Period=FQ","BEST_FPERIOD_OVERRIDE=FQ","FILING_STATUS=MR","SCALING_FORMAT=MLN","FA_ADJUSTED=Adjusted","Sort=A","Dates=H","DateFormat=P","Fill=—","Direction=H","UseDPDF=Y")</f>
        <v>132.304</v>
      </c>
      <c r="Z9" s="13"/>
      <c r="AA9" s="13"/>
    </row>
    <row r="10" spans="1:27" x14ac:dyDescent="0.25">
      <c r="A10" s="10" t="s">
        <v>317</v>
      </c>
      <c r="B10" s="10" t="s">
        <v>318</v>
      </c>
      <c r="C10" s="13">
        <f>_xll.BDH("SRPT US Equity","IS_COG_AND_SERVICES_SOLD","FQ2 2019","FQ2 2019","Currency=USD","Period=FQ","BEST_FPERIOD_OVERRIDE=FQ","FILING_STATUS=MR","SCALING_FORMAT=MLN","FA_ADJUSTED=Adjusted","Sort=A","Dates=H","DateFormat=P","Fill=—","Direction=H","UseDPDF=Y")</f>
        <v>15.919</v>
      </c>
      <c r="D10" s="13">
        <f>_xll.BDH("SRPT US Equity","IS_COG_AND_SERVICES_SOLD","FQ3 2019","FQ3 2019","Currency=USD","Period=FQ","BEST_FPERIOD_OVERRIDE=FQ","FILING_STATUS=MR","SCALING_FORMAT=MLN","FA_ADJUSTED=Adjusted","Sort=A","Dates=H","DateFormat=P","Fill=—","Direction=H","UseDPDF=Y")</f>
        <v>13.037000000000001</v>
      </c>
      <c r="E10" s="13">
        <f>_xll.BDH("SRPT US Equity","IS_COG_AND_SERVICES_SOLD","FQ4 2019","FQ4 2019","Currency=USD","Period=FQ","BEST_FPERIOD_OVERRIDE=FQ","FILING_STATUS=MR","SCALING_FORMAT=MLN","FA_ADJUSTED=Adjusted","Sort=A","Dates=H","DateFormat=P","Fill=—","Direction=H","UseDPDF=Y")</f>
        <v>15.567</v>
      </c>
      <c r="F10" s="13">
        <f>_xll.BDH("SRPT US Equity","IS_COG_AND_SERVICES_SOLD","FQ1 2020","FQ1 2020","Currency=USD","Period=FQ","BEST_FPERIOD_OVERRIDE=FQ","FILING_STATUS=MR","SCALING_FORMAT=MLN","FA_ADJUSTED=Adjusted","Sort=A","Dates=H","DateFormat=P","Fill=—","Direction=H","UseDPDF=Y")</f>
        <v>12.622</v>
      </c>
      <c r="G10" s="13">
        <f>_xll.BDH("SRPT US Equity","IS_COG_AND_SERVICES_SOLD","FQ2 2020","FQ2 2020","Currency=USD","Period=FQ","BEST_FPERIOD_OVERRIDE=FQ","FILING_STATUS=MR","SCALING_FORMAT=MLN","FA_ADJUSTED=Adjusted","Sort=A","Dates=H","DateFormat=P","Fill=—","Direction=H","UseDPDF=Y")</f>
        <v>13.340999999999999</v>
      </c>
      <c r="H10" s="13">
        <f>_xll.BDH("SRPT US Equity","IS_COG_AND_SERVICES_SOLD","FQ3 2020","FQ3 2020","Currency=USD","Period=FQ","BEST_FPERIOD_OVERRIDE=FQ","FILING_STATUS=MR","SCALING_FORMAT=MLN","FA_ADJUSTED=Adjusted","Sort=A","Dates=H","DateFormat=P","Fill=—","Direction=H","UseDPDF=Y")</f>
        <v>15.015000000000001</v>
      </c>
      <c r="I10" s="13">
        <f>_xll.BDH("SRPT US Equity","IS_COG_AND_SERVICES_SOLD","FQ4 2020","FQ4 2020","Currency=USD","Period=FQ","BEST_FPERIOD_OVERRIDE=FQ","FILING_STATUS=MR","SCALING_FORMAT=MLN","FA_ADJUSTED=Adjusted","Sort=A","Dates=H","DateFormat=P","Fill=—","Direction=H","UseDPDF=Y")</f>
        <v>22.404</v>
      </c>
      <c r="J10" s="13">
        <f>_xll.BDH("SRPT US Equity","IS_COG_AND_SERVICES_SOLD","FQ1 2021","FQ1 2021","Currency=USD","Period=FQ","BEST_FPERIOD_OVERRIDE=FQ","FILING_STATUS=MR","SCALING_FORMAT=MLN","FA_ADJUSTED=Adjusted","Sort=A","Dates=H","DateFormat=P","Fill=—","Direction=H","UseDPDF=Y")</f>
        <v>22.346</v>
      </c>
      <c r="K10" s="13">
        <f>_xll.BDH("SRPT US Equity","IS_COG_AND_SERVICES_SOLD","FQ2 2021","FQ2 2021","Currency=USD","Period=FQ","BEST_FPERIOD_OVERRIDE=FQ","FILING_STATUS=MR","SCALING_FORMAT=MLN","FA_ADJUSTED=Adjusted","Sort=A","Dates=H","DateFormat=P","Fill=—","Direction=H","UseDPDF=Y")</f>
        <v>19.515000000000001</v>
      </c>
      <c r="L10" s="13">
        <f>_xll.BDH("SRPT US Equity","IS_COG_AND_SERVICES_SOLD","FQ3 2021","FQ3 2021","Currency=USD","Period=FQ","BEST_FPERIOD_OVERRIDE=FQ","FILING_STATUS=MR","SCALING_FORMAT=MLN","FA_ADJUSTED=Adjusted","Sort=A","Dates=H","DateFormat=P","Fill=—","Direction=H","UseDPDF=Y")</f>
        <v>23.443999999999999</v>
      </c>
      <c r="M10" s="13">
        <f>_xll.BDH("SRPT US Equity","IS_COG_AND_SERVICES_SOLD","FQ4 2021","FQ4 2021","Currency=USD","Period=FQ","BEST_FPERIOD_OVERRIDE=FQ","FILING_STATUS=MR","SCALING_FORMAT=MLN","FA_ADJUSTED=Adjusted","Sort=A","Dates=H","DateFormat=P","Fill=—","Direction=H","UseDPDF=Y")</f>
        <v>31.744</v>
      </c>
      <c r="N10" s="13">
        <f>_xll.BDH("SRPT US Equity","IS_COG_AND_SERVICES_SOLD","FQ1 2022","FQ1 2022","Currency=USD","Period=FQ","BEST_FPERIOD_OVERRIDE=FQ","FILING_STATUS=MR","SCALING_FORMAT=MLN","FA_ADJUSTED=Adjusted","Sort=A","Dates=H","DateFormat=P","Fill=—","Direction=H","UseDPDF=Y")</f>
        <v>31.443000000000001</v>
      </c>
      <c r="O10" s="13">
        <f>_xll.BDH("SRPT US Equity","IS_COG_AND_SERVICES_SOLD","FQ2 2022","FQ2 2022","Currency=USD","Period=FQ","BEST_FPERIOD_OVERRIDE=FQ","FILING_STATUS=MR","SCALING_FORMAT=MLN","FA_ADJUSTED=Adjusted","Sort=A","Dates=H","DateFormat=P","Fill=—","Direction=H","UseDPDF=Y")</f>
        <v>37.795000000000002</v>
      </c>
      <c r="P10" s="13">
        <f>_xll.BDH("SRPT US Equity","IS_COG_AND_SERVICES_SOLD","FQ3 2022","FQ3 2022","Currency=USD","Period=FQ","BEST_FPERIOD_OVERRIDE=FQ","FILING_STATUS=MR","SCALING_FORMAT=MLN","FA_ADJUSTED=Adjusted","Sort=A","Dates=H","DateFormat=P","Fill=—","Direction=H","UseDPDF=Y")</f>
        <v>39.951999999999998</v>
      </c>
      <c r="Q10" s="13">
        <f>_xll.BDH("SRPT US Equity","IS_COG_AND_SERVICES_SOLD","FQ4 2022","FQ4 2022","Currency=USD","Period=FQ","BEST_FPERIOD_OVERRIDE=FQ","FILING_STATUS=MR","SCALING_FORMAT=MLN","FA_ADJUSTED=Adjusted","Sort=A","Dates=H","DateFormat=P","Fill=—","Direction=H","UseDPDF=Y")</f>
        <v>30.798999999999999</v>
      </c>
      <c r="R10" s="13">
        <f>_xll.BDH("SRPT US Equity","IS_COG_AND_SERVICES_SOLD","FQ1 2023","FQ1 2023","Currency=USD","Period=FQ","BEST_FPERIOD_OVERRIDE=FQ","FILING_STATUS=MR","SCALING_FORMAT=MLN","FA_ADJUSTED=Adjusted","Sort=A","Dates=H","DateFormat=P","Fill=—","Direction=H","UseDPDF=Y")</f>
        <v>35.017000000000003</v>
      </c>
      <c r="S10" s="13">
        <f>_xll.BDH("SRPT US Equity","IS_COG_AND_SERVICES_SOLD","FQ2 2023","FQ2 2023","Currency=USD","Period=FQ","BEST_FPERIOD_OVERRIDE=FQ","FILING_STATUS=MR","SCALING_FORMAT=MLN","FA_ADJUSTED=Adjusted","Sort=A","Dates=H","DateFormat=P","Fill=—","Direction=H","UseDPDF=Y")</f>
        <v>34.124000000000002</v>
      </c>
      <c r="T10" s="13">
        <f>_xll.BDH("SRPT US Equity","IS_COG_AND_SERVICES_SOLD","FQ3 2023","FQ3 2023","Currency=USD","Period=FQ","BEST_FPERIOD_OVERRIDE=FQ","FILING_STATUS=MR","SCALING_FORMAT=MLN","FA_ADJUSTED=Adjusted","Sort=A","Dates=H","DateFormat=P","Fill=—","Direction=H","UseDPDF=Y")</f>
        <v>37.026000000000003</v>
      </c>
      <c r="U10" s="13">
        <f>_xll.BDH("SRPT US Equity","IS_COG_AND_SERVICES_SOLD","FQ4 2023","FQ4 2023","Currency=USD","Period=FQ","BEST_FPERIOD_OVERRIDE=FQ","FILING_STATUS=MR","SCALING_FORMAT=MLN","FA_ADJUSTED=Adjusted","Sort=A","Dates=H","DateFormat=P","Fill=—","Direction=H","UseDPDF=Y")</f>
        <v>44.176000000000002</v>
      </c>
      <c r="V10" s="13">
        <f>_xll.BDH("SRPT US Equity","IS_COG_AND_SERVICES_SOLD","FQ1 2024","FQ1 2024","Currency=USD","Period=FQ","BEST_FPERIOD_OVERRIDE=FQ","FILING_STATUS=MR","SCALING_FORMAT=MLN","FA_ADJUSTED=Adjusted","Sort=A","Dates=H","DateFormat=P","Fill=—","Direction=H","UseDPDF=Y")</f>
        <v>50.558999999999997</v>
      </c>
      <c r="W10" s="13">
        <f>_xll.BDH("SRPT US Equity","IS_COG_AND_SERVICES_SOLD","FQ2 2024","FQ2 2024","Currency=USD","Period=FQ","BEST_FPERIOD_OVERRIDE=FQ","FILING_STATUS=MR","SCALING_FORMAT=MLN","FA_ADJUSTED=Adjusted","Sort=A","Dates=H","DateFormat=P","Fill=—","Direction=H","UseDPDF=Y")</f>
        <v>44.545000000000002</v>
      </c>
      <c r="X10" s="13">
        <f>_xll.BDH("SRPT US Equity","IS_COG_AND_SERVICES_SOLD","FQ3 2024","FQ3 2024","Currency=USD","Period=FQ","BEST_FPERIOD_OVERRIDE=FQ","FILING_STATUS=MR","SCALING_FORMAT=MLN","FA_ADJUSTED=Adjusted","Sort=A","Dates=H","DateFormat=P","Fill=—","Direction=H","UseDPDF=Y")</f>
        <v>91.691000000000003</v>
      </c>
      <c r="Y10" s="13">
        <f>_xll.BDH("SRPT US Equity","IS_COG_AND_SERVICES_SOLD","FQ4 2024","FQ4 2024","Currency=USD","Period=FQ","BEST_FPERIOD_OVERRIDE=FQ","FILING_STATUS=MR","SCALING_FORMAT=MLN","FA_ADJUSTED=Adjusted","Sort=A","Dates=H","DateFormat=P","Fill=—","Direction=H","UseDPDF=Y")</f>
        <v>132.304</v>
      </c>
      <c r="Z10" s="13"/>
      <c r="AA10" s="13"/>
    </row>
    <row r="11" spans="1:27" x14ac:dyDescent="0.25">
      <c r="A11" s="6" t="s">
        <v>2</v>
      </c>
      <c r="B11" s="6" t="s">
        <v>75</v>
      </c>
      <c r="C11" s="19">
        <f>_xll.BDH("SRPT US Equity","GROSS_PROFIT","FQ2 2019","FQ2 2019","Currency=USD","Period=FQ","BEST_FPERIOD_OVERRIDE=FQ","FILING_STATUS=MR","SCALING_FORMAT=MLN","FA_ADJUSTED=Adjusted","Sort=A","Dates=H","DateFormat=P","Fill=—","Direction=H","UseDPDF=Y")</f>
        <v>78.748999999999995</v>
      </c>
      <c r="D11" s="19">
        <f>_xll.BDH("SRPT US Equity","GROSS_PROFIT","FQ3 2019","FQ3 2019","Currency=USD","Period=FQ","BEST_FPERIOD_OVERRIDE=FQ","FILING_STATUS=MR","SCALING_FORMAT=MLN","FA_ADJUSTED=Adjusted","Sort=A","Dates=H","DateFormat=P","Fill=—","Direction=H","UseDPDF=Y")</f>
        <v>86.004000000000005</v>
      </c>
      <c r="E11" s="19">
        <f>_xll.BDH("SRPT US Equity","GROSS_PROFIT","FQ4 2019","FQ4 2019","Currency=USD","Period=FQ","BEST_FPERIOD_OVERRIDE=FQ","FILING_STATUS=MR","SCALING_FORMAT=MLN","FA_ADJUSTED=Adjusted","Sort=A","Dates=H","DateFormat=P","Fill=—","Direction=H","UseDPDF=Y")</f>
        <v>84.546000000000006</v>
      </c>
      <c r="F11" s="19">
        <f>_xll.BDH("SRPT US Equity","GROSS_PROFIT","FQ1 2020","FQ1 2020","Currency=USD","Period=FQ","BEST_FPERIOD_OVERRIDE=FQ","FILING_STATUS=MR","SCALING_FORMAT=MLN","FA_ADJUSTED=Adjusted","Sort=A","Dates=H","DateFormat=P","Fill=—","Direction=H","UseDPDF=Y")</f>
        <v>101.05200000000001</v>
      </c>
      <c r="G11" s="19">
        <f>_xll.BDH("SRPT US Equity","GROSS_PROFIT","FQ2 2020","FQ2 2020","Currency=USD","Period=FQ","BEST_FPERIOD_OVERRIDE=FQ","FILING_STATUS=MR","SCALING_FORMAT=MLN","FA_ADJUSTED=Adjusted","Sort=A","Dates=H","DateFormat=P","Fill=—","Direction=H","UseDPDF=Y")</f>
        <v>124.02200000000001</v>
      </c>
      <c r="H11" s="19">
        <f>_xll.BDH("SRPT US Equity","GROSS_PROFIT","FQ3 2020","FQ3 2020","Currency=USD","Period=FQ","BEST_FPERIOD_OVERRIDE=FQ","FILING_STATUS=MR","SCALING_FORMAT=MLN","FA_ADJUSTED=Adjusted","Sort=A","Dates=H","DateFormat=P","Fill=—","Direction=H","UseDPDF=Y")</f>
        <v>128.90899999999999</v>
      </c>
      <c r="I11" s="19">
        <f>_xll.BDH("SRPT US Equity","GROSS_PROFIT","FQ4 2020","FQ4 2020","Currency=USD","Period=FQ","BEST_FPERIOD_OVERRIDE=FQ","FILING_STATUS=MR","SCALING_FORMAT=MLN","FA_ADJUSTED=Adjusted","Sort=A","Dates=H","DateFormat=P","Fill=—","Direction=H","UseDPDF=Y")</f>
        <v>122.73399999999999</v>
      </c>
      <c r="J11" s="19">
        <f>_xll.BDH("SRPT US Equity","GROSS_PROFIT","FQ1 2021","FQ1 2021","Currency=USD","Period=FQ","BEST_FPERIOD_OVERRIDE=FQ","FILING_STATUS=MR","SCALING_FORMAT=MLN","FA_ADJUSTED=Adjusted","Sort=A","Dates=H","DateFormat=P","Fill=—","Direction=H","UseDPDF=Y")</f>
        <v>124.58499999999999</v>
      </c>
      <c r="K11" s="19">
        <f>_xll.BDH("SRPT US Equity","GROSS_PROFIT","FQ2 2021","FQ2 2021","Currency=USD","Period=FQ","BEST_FPERIOD_OVERRIDE=FQ","FILING_STATUS=MR","SCALING_FORMAT=MLN","FA_ADJUSTED=Adjusted","Sort=A","Dates=H","DateFormat=P","Fill=—","Direction=H","UseDPDF=Y")</f>
        <v>144.57400000000001</v>
      </c>
      <c r="L11" s="19">
        <f>_xll.BDH("SRPT US Equity","GROSS_PROFIT","FQ3 2021","FQ3 2021","Currency=USD","Period=FQ","BEST_FPERIOD_OVERRIDE=FQ","FILING_STATUS=MR","SCALING_FORMAT=MLN","FA_ADJUSTED=Adjusted","Sort=A","Dates=H","DateFormat=P","Fill=—","Direction=H","UseDPDF=Y")</f>
        <v>165.96199999999999</v>
      </c>
      <c r="M11" s="19">
        <f>_xll.BDH("SRPT US Equity","GROSS_PROFIT","FQ4 2021","FQ4 2021","Currency=USD","Period=FQ","BEST_FPERIOD_OVERRIDE=FQ","FILING_STATUS=MR","SCALING_FORMAT=MLN","FA_ADJUSTED=Adjusted","Sort=A","Dates=H","DateFormat=P","Fill=—","Direction=H","UseDPDF=Y")</f>
        <v>169.71700000000001</v>
      </c>
      <c r="N11" s="19">
        <f>_xll.BDH("SRPT US Equity","GROSS_PROFIT","FQ1 2022","FQ1 2022","Currency=USD","Period=FQ","BEST_FPERIOD_OVERRIDE=FQ","FILING_STATUS=MR","SCALING_FORMAT=MLN","FA_ADJUSTED=Adjusted","Sort=A","Dates=H","DateFormat=P","Fill=—","Direction=H","UseDPDF=Y")</f>
        <v>179.387</v>
      </c>
      <c r="O11" s="19">
        <f>_xll.BDH("SRPT US Equity","GROSS_PROFIT","FQ2 2022","FQ2 2022","Currency=USD","Period=FQ","BEST_FPERIOD_OVERRIDE=FQ","FILING_STATUS=MR","SCALING_FORMAT=MLN","FA_ADJUSTED=Adjusted","Sort=A","Dates=H","DateFormat=P","Fill=—","Direction=H","UseDPDF=Y")</f>
        <v>195.69200000000001</v>
      </c>
      <c r="P11" s="19">
        <f>_xll.BDH("SRPT US Equity","GROSS_PROFIT","FQ3 2022","FQ3 2022","Currency=USD","Period=FQ","BEST_FPERIOD_OVERRIDE=FQ","FILING_STATUS=MR","SCALING_FORMAT=MLN","FA_ADJUSTED=Adjusted","Sort=A","Dates=H","DateFormat=P","Fill=—","Direction=H","UseDPDF=Y")</f>
        <v>190.31700000000001</v>
      </c>
      <c r="Q11" s="19">
        <f>_xll.BDH("SRPT US Equity","GROSS_PROFIT","FQ4 2022","FQ4 2022","Currency=USD","Period=FQ","BEST_FPERIOD_OVERRIDE=FQ","FILING_STATUS=MR","SCALING_FORMAT=MLN","FA_ADJUSTED=Adjusted","Sort=A","Dates=H","DateFormat=P","Fill=—","Direction=H","UseDPDF=Y")</f>
        <v>227.62799999999999</v>
      </c>
      <c r="R11" s="19">
        <f>_xll.BDH("SRPT US Equity","GROSS_PROFIT","FQ1 2023","FQ1 2023","Currency=USD","Period=FQ","BEST_FPERIOD_OVERRIDE=FQ","FILING_STATUS=MR","SCALING_FORMAT=MLN","FA_ADJUSTED=Adjusted","Sort=A","Dates=H","DateFormat=P","Fill=—","Direction=H","UseDPDF=Y")</f>
        <v>218.483</v>
      </c>
      <c r="S11" s="19">
        <f>_xll.BDH("SRPT US Equity","GROSS_PROFIT","FQ2 2023","FQ2 2023","Currency=USD","Period=FQ","BEST_FPERIOD_OVERRIDE=FQ","FILING_STATUS=MR","SCALING_FORMAT=MLN","FA_ADJUSTED=Adjusted","Sort=A","Dates=H","DateFormat=P","Fill=—","Direction=H","UseDPDF=Y")</f>
        <v>227.114</v>
      </c>
      <c r="T11" s="19">
        <f>_xll.BDH("SRPT US Equity","GROSS_PROFIT","FQ3 2023","FQ3 2023","Currency=USD","Period=FQ","BEST_FPERIOD_OVERRIDE=FQ","FILING_STATUS=MR","SCALING_FORMAT=MLN","FA_ADJUSTED=Adjusted","Sort=A","Dates=H","DateFormat=P","Fill=—","Direction=H","UseDPDF=Y")</f>
        <v>294.791</v>
      </c>
      <c r="U11" s="19">
        <f>_xll.BDH("SRPT US Equity","GROSS_PROFIT","FQ4 2023","FQ4 2023","Currency=USD","Period=FQ","BEST_FPERIOD_OVERRIDE=FQ","FILING_STATUS=MR","SCALING_FORMAT=MLN","FA_ADJUSTED=Adjusted","Sort=A","Dates=H","DateFormat=P","Fill=—","Direction=H","UseDPDF=Y")</f>
        <v>352.60500000000002</v>
      </c>
      <c r="V11" s="19">
        <f>_xll.BDH("SRPT US Equity","GROSS_PROFIT","FQ1 2024","FQ1 2024","Currency=USD","Period=FQ","BEST_FPERIOD_OVERRIDE=FQ","FILING_STATUS=MR","SCALING_FORMAT=MLN","FA_ADJUSTED=Adjusted","Sort=A","Dates=H","DateFormat=P","Fill=—","Direction=H","UseDPDF=Y")</f>
        <v>362.90499999999997</v>
      </c>
      <c r="W11" s="19">
        <f>_xll.BDH("SRPT US Equity","GROSS_PROFIT","FQ2 2024","FQ2 2024","Currency=USD","Period=FQ","BEST_FPERIOD_OVERRIDE=FQ","FILING_STATUS=MR","SCALING_FORMAT=MLN","FA_ADJUSTED=Adjusted","Sort=A","Dates=H","DateFormat=P","Fill=—","Direction=H","UseDPDF=Y")</f>
        <v>318.38600000000002</v>
      </c>
      <c r="X11" s="19">
        <f>_xll.BDH("SRPT US Equity","GROSS_PROFIT","FQ3 2024","FQ3 2024","Currency=USD","Period=FQ","BEST_FPERIOD_OVERRIDE=FQ","FILING_STATUS=MR","SCALING_FORMAT=MLN","FA_ADJUSTED=Adjusted","Sort=A","Dates=H","DateFormat=P","Fill=—","Direction=H","UseDPDF=Y")</f>
        <v>375.48099999999999</v>
      </c>
      <c r="Y11" s="19">
        <f>_xll.BDH("SRPT US Equity","GROSS_PROFIT","FQ4 2024","FQ4 2024","Currency=USD","Period=FQ","BEST_FPERIOD_OVERRIDE=FQ","FILING_STATUS=MR","SCALING_FORMAT=MLN","FA_ADJUSTED=Adjusted","Sort=A","Dates=H","DateFormat=P","Fill=—","Direction=H","UseDPDF=Y")</f>
        <v>526.10799999999995</v>
      </c>
      <c r="Z11" s="19">
        <v>576.99631699999998</v>
      </c>
      <c r="AA11" s="19">
        <v>633.55855199999996</v>
      </c>
    </row>
    <row r="12" spans="1:27" x14ac:dyDescent="0.25">
      <c r="A12" s="10" t="s">
        <v>319</v>
      </c>
      <c r="B12" s="10" t="s">
        <v>320</v>
      </c>
      <c r="C12" s="13">
        <f>_xll.BDH("SRPT US Equity","IS_OTHER_OPER_INC","FQ2 2019","FQ2 2019","Currency=USD","Period=FQ","BEST_FPERIOD_OVERRIDE=FQ","FILING_STATUS=MR","SCALING_FORMAT=MLN","FA_ADJUSTED=Adjusted","Sort=A","Dates=H","DateFormat=P","Fill=—","Direction=H","UseDPDF=Y")</f>
        <v>0</v>
      </c>
      <c r="D12" s="13">
        <f>_xll.BDH("SRPT US Equity","IS_OTHER_OPER_INC","FQ3 2019","FQ3 2019","Currency=USD","Period=FQ","BEST_FPERIOD_OVERRIDE=FQ","FILING_STATUS=MR","SCALING_FORMAT=MLN","FA_ADJUSTED=Adjusted","Sort=A","Dates=H","DateFormat=P","Fill=—","Direction=H","UseDPDF=Y")</f>
        <v>0</v>
      </c>
      <c r="E12" s="13">
        <f>_xll.BDH("SRPT US Equity","IS_OTHER_OPER_INC","FQ4 2019","FQ4 2019","Currency=USD","Period=FQ","BEST_FPERIOD_OVERRIDE=FQ","FILING_STATUS=MR","SCALING_FORMAT=MLN","FA_ADJUSTED=Adjusted","Sort=A","Dates=H","DateFormat=P","Fill=—","Direction=H","UseDPDF=Y")</f>
        <v>0</v>
      </c>
      <c r="F12" s="13">
        <f>_xll.BDH("SRPT US Equity","IS_OTHER_OPER_INC","FQ1 2020","FQ1 2020","Currency=USD","Period=FQ","BEST_FPERIOD_OVERRIDE=FQ","FILING_STATUS=MR","SCALING_FORMAT=MLN","FA_ADJUSTED=Adjusted","Sort=A","Dates=H","DateFormat=P","Fill=—","Direction=H","UseDPDF=Y")</f>
        <v>0</v>
      </c>
      <c r="G12" s="13">
        <f>_xll.BDH("SRPT US Equity","IS_OTHER_OPER_INC","FQ2 2020","FQ2 2020","Currency=USD","Period=FQ","BEST_FPERIOD_OVERRIDE=FQ","FILING_STATUS=MR","SCALING_FORMAT=MLN","FA_ADJUSTED=Adjusted","Sort=A","Dates=H","DateFormat=P","Fill=—","Direction=H","UseDPDF=Y")</f>
        <v>0</v>
      </c>
      <c r="H12" s="13">
        <f>_xll.BDH("SRPT US Equity","IS_OTHER_OPER_INC","FQ3 2020","FQ3 2020","Currency=USD","Period=FQ","BEST_FPERIOD_OVERRIDE=FQ","FILING_STATUS=MR","SCALING_FORMAT=MLN","FA_ADJUSTED=Adjusted","Sort=A","Dates=H","DateFormat=P","Fill=—","Direction=H","UseDPDF=Y")</f>
        <v>0</v>
      </c>
      <c r="I12" s="13">
        <f>_xll.BDH("SRPT US Equity","IS_OTHER_OPER_INC","FQ4 2020","FQ4 2020","Currency=USD","Period=FQ","BEST_FPERIOD_OVERRIDE=FQ","FILING_STATUS=MR","SCALING_FORMAT=MLN","FA_ADJUSTED=Adjusted","Sort=A","Dates=H","DateFormat=P","Fill=—","Direction=H","UseDPDF=Y")</f>
        <v>0</v>
      </c>
      <c r="J12" s="13">
        <f>_xll.BDH("SRPT US Equity","IS_OTHER_OPER_INC","FQ1 2021","FQ1 2021","Currency=USD","Period=FQ","BEST_FPERIOD_OVERRIDE=FQ","FILING_STATUS=MR","SCALING_FORMAT=MLN","FA_ADJUSTED=Adjusted","Sort=A","Dates=H","DateFormat=P","Fill=—","Direction=H","UseDPDF=Y")</f>
        <v>0</v>
      </c>
      <c r="K12" s="13">
        <f>_xll.BDH("SRPT US Equity","IS_OTHER_OPER_INC","FQ2 2021","FQ2 2021","Currency=USD","Period=FQ","BEST_FPERIOD_OVERRIDE=FQ","FILING_STATUS=MR","SCALING_FORMAT=MLN","FA_ADJUSTED=Adjusted","Sort=A","Dates=H","DateFormat=P","Fill=—","Direction=H","UseDPDF=Y")</f>
        <v>0</v>
      </c>
      <c r="L12" s="13">
        <f>_xll.BDH("SRPT US Equity","IS_OTHER_OPER_INC","FQ3 2021","FQ3 2021","Currency=USD","Period=FQ","BEST_FPERIOD_OVERRIDE=FQ","FILING_STATUS=MR","SCALING_FORMAT=MLN","FA_ADJUSTED=Adjusted","Sort=A","Dates=H","DateFormat=P","Fill=—","Direction=H","UseDPDF=Y")</f>
        <v>0</v>
      </c>
      <c r="M12" s="13">
        <f>_xll.BDH("SRPT US Equity","IS_OTHER_OPER_INC","FQ4 2021","FQ4 2021","Currency=USD","Period=FQ","BEST_FPERIOD_OVERRIDE=FQ","FILING_STATUS=MR","SCALING_FORMAT=MLN","FA_ADJUSTED=Adjusted","Sort=A","Dates=H","DateFormat=P","Fill=—","Direction=H","UseDPDF=Y")</f>
        <v>0</v>
      </c>
      <c r="N12" s="13">
        <f>_xll.BDH("SRPT US Equity","IS_OTHER_OPER_INC","FQ1 2022","FQ1 2022","Currency=USD","Period=FQ","BEST_FPERIOD_OVERRIDE=FQ","FILING_STATUS=MR","SCALING_FORMAT=MLN","FA_ADJUSTED=Adjusted","Sort=A","Dates=H","DateFormat=P","Fill=—","Direction=H","UseDPDF=Y")</f>
        <v>0</v>
      </c>
      <c r="O12" s="13">
        <f>_xll.BDH("SRPT US Equity","IS_OTHER_OPER_INC","FQ2 2022","FQ2 2022","Currency=USD","Period=FQ","BEST_FPERIOD_OVERRIDE=FQ","FILING_STATUS=MR","SCALING_FORMAT=MLN","FA_ADJUSTED=Adjusted","Sort=A","Dates=H","DateFormat=P","Fill=—","Direction=H","UseDPDF=Y")</f>
        <v>0</v>
      </c>
      <c r="P12" s="13">
        <f>_xll.BDH("SRPT US Equity","IS_OTHER_OPER_INC","FQ3 2022","FQ3 2022","Currency=USD","Period=FQ","BEST_FPERIOD_OVERRIDE=FQ","FILING_STATUS=MR","SCALING_FORMAT=MLN","FA_ADJUSTED=Adjusted","Sort=A","Dates=H","DateFormat=P","Fill=—","Direction=H","UseDPDF=Y")</f>
        <v>0</v>
      </c>
      <c r="Q12" s="13">
        <f>_xll.BDH("SRPT US Equity","IS_OTHER_OPER_INC","FQ4 2022","FQ4 2022","Currency=USD","Period=FQ","BEST_FPERIOD_OVERRIDE=FQ","FILING_STATUS=MR","SCALING_FORMAT=MLN","FA_ADJUSTED=Adjusted","Sort=A","Dates=H","DateFormat=P","Fill=—","Direction=H","UseDPDF=Y")</f>
        <v>0</v>
      </c>
      <c r="R12" s="13">
        <f>_xll.BDH("SRPT US Equity","IS_OTHER_OPER_INC","FQ1 2023","FQ1 2023","Currency=USD","Period=FQ","BEST_FPERIOD_OVERRIDE=FQ","FILING_STATUS=MR","SCALING_FORMAT=MLN","FA_ADJUSTED=Adjusted","Sort=A","Dates=H","DateFormat=P","Fill=—","Direction=H","UseDPDF=Y")</f>
        <v>0</v>
      </c>
      <c r="S12" s="13">
        <f>_xll.BDH("SRPT US Equity","IS_OTHER_OPER_INC","FQ2 2023","FQ2 2023","Currency=USD","Period=FQ","BEST_FPERIOD_OVERRIDE=FQ","FILING_STATUS=MR","SCALING_FORMAT=MLN","FA_ADJUSTED=Adjusted","Sort=A","Dates=H","DateFormat=P","Fill=—","Direction=H","UseDPDF=Y")</f>
        <v>0</v>
      </c>
      <c r="T12" s="13">
        <f>_xll.BDH("SRPT US Equity","IS_OTHER_OPER_INC","FQ3 2023","FQ3 2023","Currency=USD","Period=FQ","BEST_FPERIOD_OVERRIDE=FQ","FILING_STATUS=MR","SCALING_FORMAT=MLN","FA_ADJUSTED=Adjusted","Sort=A","Dates=H","DateFormat=P","Fill=—","Direction=H","UseDPDF=Y")</f>
        <v>0</v>
      </c>
      <c r="U12" s="13">
        <f>_xll.BDH("SRPT US Equity","IS_OTHER_OPER_INC","FQ4 2023","FQ4 2023","Currency=USD","Period=FQ","BEST_FPERIOD_OVERRIDE=FQ","FILING_STATUS=MR","SCALING_FORMAT=MLN","FA_ADJUSTED=Adjusted","Sort=A","Dates=H","DateFormat=P","Fill=—","Direction=H","UseDPDF=Y")</f>
        <v>0</v>
      </c>
      <c r="V12" s="13">
        <f>_xll.BDH("SRPT US Equity","IS_OTHER_OPER_INC","FQ1 2024","FQ1 2024","Currency=USD","Period=FQ","BEST_FPERIOD_OVERRIDE=FQ","FILING_STATUS=MR","SCALING_FORMAT=MLN","FA_ADJUSTED=Adjusted","Sort=A","Dates=H","DateFormat=P","Fill=—","Direction=H","UseDPDF=Y")</f>
        <v>0</v>
      </c>
      <c r="W12" s="13">
        <f>_xll.BDH("SRPT US Equity","IS_OTHER_OPER_INC","FQ2 2024","FQ2 2024","Currency=USD","Period=FQ","BEST_FPERIOD_OVERRIDE=FQ","FILING_STATUS=MR","SCALING_FORMAT=MLN","FA_ADJUSTED=Adjusted","Sort=A","Dates=H","DateFormat=P","Fill=—","Direction=H","UseDPDF=Y")</f>
        <v>0</v>
      </c>
      <c r="X12" s="13">
        <f>_xll.BDH("SRPT US Equity","IS_OTHER_OPER_INC","FQ3 2024","FQ3 2024","Currency=USD","Period=FQ","BEST_FPERIOD_OVERRIDE=FQ","FILING_STATUS=MR","SCALING_FORMAT=MLN","FA_ADJUSTED=Adjusted","Sort=A","Dates=H","DateFormat=P","Fill=—","Direction=H","UseDPDF=Y")</f>
        <v>0</v>
      </c>
      <c r="Y12" s="13">
        <f>_xll.BDH("SRPT US Equity","IS_OTHER_OPER_INC","FQ4 2024","FQ4 2024","Currency=USD","Period=FQ","BEST_FPERIOD_OVERRIDE=FQ","FILING_STATUS=MR","SCALING_FORMAT=MLN","FA_ADJUSTED=Adjusted","Sort=A","Dates=H","DateFormat=P","Fill=—","Direction=H","UseDPDF=Y")</f>
        <v>0</v>
      </c>
      <c r="Z12" s="13"/>
      <c r="AA12" s="13"/>
    </row>
    <row r="13" spans="1:27" x14ac:dyDescent="0.25">
      <c r="A13" s="10" t="s">
        <v>321</v>
      </c>
      <c r="B13" s="10" t="s">
        <v>322</v>
      </c>
      <c r="C13" s="13">
        <f>_xll.BDH("SRPT US Equity","IS_OPERATING_EXPN","FQ2 2019","FQ2 2019","Currency=USD","Period=FQ","BEST_FPERIOD_OVERRIDE=FQ","FILING_STATUS=MR","SCALING_FORMAT=MLN","FA_ADJUSTED=Adjusted","Sort=A","Dates=H","DateFormat=P","Fill=—","Direction=H","UseDPDF=Y")</f>
        <v>165.798</v>
      </c>
      <c r="D13" s="13">
        <f>_xll.BDH("SRPT US Equity","IS_OPERATING_EXPN","FQ3 2019","FQ3 2019","Currency=USD","Period=FQ","BEST_FPERIOD_OVERRIDE=FQ","FILING_STATUS=MR","SCALING_FORMAT=MLN","FA_ADJUSTED=Adjusted","Sort=A","Dates=H","DateFormat=P","Fill=—","Direction=H","UseDPDF=Y")</f>
        <v>197.44800000000001</v>
      </c>
      <c r="E13" s="13">
        <f>_xll.BDH("SRPT US Equity","IS_OPERATING_EXPN","FQ4 2019","FQ4 2019","Currency=USD","Period=FQ","BEST_FPERIOD_OVERRIDE=FQ","FILING_STATUS=MR","SCALING_FORMAT=MLN","FA_ADJUSTED=Adjusted","Sort=A","Dates=H","DateFormat=P","Fill=—","Direction=H","UseDPDF=Y")</f>
        <v>229.94900000000001</v>
      </c>
      <c r="F13" s="13">
        <f>_xll.BDH("SRPT US Equity","IS_OPERATING_EXPN","FQ1 2020","FQ1 2020","Currency=USD","Period=FQ","BEST_FPERIOD_OVERRIDE=FQ","FILING_STATUS=MR","SCALING_FORMAT=MLN","FA_ADJUSTED=Adjusted","Sort=A","Dates=H","DateFormat=P","Fill=—","Direction=H","UseDPDF=Y")</f>
        <v>207.786</v>
      </c>
      <c r="G13" s="13">
        <f>_xll.BDH("SRPT US Equity","IS_OPERATING_EXPN","FQ2 2020","FQ2 2020","Currency=USD","Period=FQ","BEST_FPERIOD_OVERRIDE=FQ","FILING_STATUS=MR","SCALING_FORMAT=MLN","FA_ADJUSTED=Adjusted","Sort=A","Dates=H","DateFormat=P","Fill=—","Direction=H","UseDPDF=Y")</f>
        <v>262.375</v>
      </c>
      <c r="H13" s="13">
        <f>_xll.BDH("SRPT US Equity","IS_OPERATING_EXPN","FQ3 2020","FQ3 2020","Currency=USD","Period=FQ","BEST_FPERIOD_OVERRIDE=FQ","FILING_STATUS=MR","SCALING_FORMAT=MLN","FA_ADJUSTED=Adjusted","Sort=A","Dates=H","DateFormat=P","Fill=—","Direction=H","UseDPDF=Y")</f>
        <v>250.602</v>
      </c>
      <c r="I13" s="13">
        <f>_xll.BDH("SRPT US Equity","IS_OPERATING_EXPN","FQ4 2020","FQ4 2020","Currency=USD","Period=FQ","BEST_FPERIOD_OVERRIDE=FQ","FILING_STATUS=MR","SCALING_FORMAT=MLN","FA_ADJUSTED=Adjusted","Sort=A","Dates=H","DateFormat=P","Fill=—","Direction=H","UseDPDF=Y")</f>
        <v>282.82799999999997</v>
      </c>
      <c r="J13" s="13">
        <f>_xll.BDH("SRPT US Equity","IS_OPERATING_EXPN","FQ1 2021","FQ1 2021","Currency=USD","Period=FQ","BEST_FPERIOD_OVERRIDE=FQ","FILING_STATUS=MR","SCALING_FORMAT=MLN","FA_ADJUSTED=Adjusted","Sort=A","Dates=H","DateFormat=P","Fill=—","Direction=H","UseDPDF=Y")</f>
        <v>262.45</v>
      </c>
      <c r="K13" s="13">
        <f>_xll.BDH("SRPT US Equity","IS_OPERATING_EXPN","FQ2 2021","FQ2 2021","Currency=USD","Period=FQ","BEST_FPERIOD_OVERRIDE=FQ","FILING_STATUS=MR","SCALING_FORMAT=MLN","FA_ADJUSTED=Adjusted","Sort=A","Dates=H","DateFormat=P","Fill=—","Direction=H","UseDPDF=Y")</f>
        <v>382.471</v>
      </c>
      <c r="L13" s="13">
        <f>_xll.BDH("SRPT US Equity","IS_OPERATING_EXPN","FQ3 2021","FQ3 2021","Currency=USD","Period=FQ","BEST_FPERIOD_OVERRIDE=FQ","FILING_STATUS=MR","SCALING_FORMAT=MLN","FA_ADJUSTED=Adjusted","Sort=A","Dates=H","DateFormat=P","Fill=—","Direction=H","UseDPDF=Y")</f>
        <v>200.42</v>
      </c>
      <c r="M13" s="13">
        <f>_xll.BDH("SRPT US Equity","IS_OPERATING_EXPN","FQ4 2021","FQ4 2021","Currency=USD","Period=FQ","BEST_FPERIOD_OVERRIDE=FQ","FILING_STATUS=MR","SCALING_FORMAT=MLN","FA_ADJUSTED=Adjusted","Sort=A","Dates=H","DateFormat=P","Fill=—","Direction=H","UseDPDF=Y")</f>
        <v>275.52999999999997</v>
      </c>
      <c r="N13" s="13">
        <f>_xll.BDH("SRPT US Equity","IS_OPERATING_EXPN","FQ1 2022","FQ1 2022","Currency=USD","Period=FQ","BEST_FPERIOD_OVERRIDE=FQ","FILING_STATUS=MR","SCALING_FORMAT=MLN","FA_ADJUSTED=Adjusted","Sort=A","Dates=H","DateFormat=P","Fill=—","Direction=H","UseDPDF=Y")</f>
        <v>266.26799999999997</v>
      </c>
      <c r="O13" s="13">
        <f>_xll.BDH("SRPT US Equity","IS_OPERATING_EXPN","FQ2 2022","FQ2 2022","Currency=USD","Period=FQ","BEST_FPERIOD_OVERRIDE=FQ","FILING_STATUS=MR","SCALING_FORMAT=MLN","FA_ADJUSTED=Adjusted","Sort=A","Dates=H","DateFormat=P","Fill=—","Direction=H","UseDPDF=Y")</f>
        <v>406.82400000000001</v>
      </c>
      <c r="P13" s="13">
        <f>_xll.BDH("SRPT US Equity","IS_OPERATING_EXPN","FQ3 2022","FQ3 2022","Currency=USD","Period=FQ","BEST_FPERIOD_OVERRIDE=FQ","FILING_STATUS=MR","SCALING_FORMAT=MLN","FA_ADJUSTED=Adjusted","Sort=A","Dates=H","DateFormat=P","Fill=—","Direction=H","UseDPDF=Y")</f>
        <v>321.67200000000003</v>
      </c>
      <c r="Q13" s="13">
        <f>_xll.BDH("SRPT US Equity","IS_OPERATING_EXPN","FQ4 2022","FQ4 2022","Currency=USD","Period=FQ","BEST_FPERIOD_OVERRIDE=FQ","FILING_STATUS=MR","SCALING_FORMAT=MLN","FA_ADJUSTED=Adjusted","Sort=A","Dates=H","DateFormat=P","Fill=—","Direction=H","UseDPDF=Y")</f>
        <v>334.46100000000001</v>
      </c>
      <c r="R13" s="13">
        <f>_xll.BDH("SRPT US Equity","IS_OPERATING_EXPN","FQ1 2023","FQ1 2023","Currency=USD","Period=FQ","BEST_FPERIOD_OVERRIDE=FQ","FILING_STATUS=MR","SCALING_FORMAT=MLN","FA_ADJUSTED=Adjusted","Sort=A","Dates=H","DateFormat=P","Fill=—","Direction=H","UseDPDF=Y")</f>
        <v>356.57100000000003</v>
      </c>
      <c r="S13" s="13">
        <f>_xll.BDH("SRPT US Equity","IS_OPERATING_EXPN","FQ2 2023","FQ2 2023","Currency=USD","Period=FQ","BEST_FPERIOD_OVERRIDE=FQ","FILING_STATUS=MR","SCALING_FORMAT=MLN","FA_ADJUSTED=Adjusted","Sort=A","Dates=H","DateFormat=P","Fill=—","Direction=H","UseDPDF=Y")</f>
        <v>360.63299999999998</v>
      </c>
      <c r="T13" s="13">
        <f>_xll.BDH("SRPT US Equity","IS_OPERATING_EXPN","FQ3 2023","FQ3 2023","Currency=USD","Period=FQ","BEST_FPERIOD_OVERRIDE=FQ","FILING_STATUS=MR","SCALING_FORMAT=MLN","FA_ADJUSTED=Adjusted","Sort=A","Dates=H","DateFormat=P","Fill=—","Direction=H","UseDPDF=Y")</f>
        <v>315.63299999999998</v>
      </c>
      <c r="U13" s="13">
        <f>_xll.BDH("SRPT US Equity","IS_OPERATING_EXPN","FQ4 2023","FQ4 2023","Currency=USD","Period=FQ","BEST_FPERIOD_OVERRIDE=FQ","FILING_STATUS=MR","SCALING_FORMAT=MLN","FA_ADJUSTED=Adjusted","Sort=A","Dates=H","DateFormat=P","Fill=—","Direction=H","UseDPDF=Y")</f>
        <v>327.98</v>
      </c>
      <c r="V13" s="13">
        <f>_xll.BDH("SRPT US Equity","IS_OPERATING_EXPN","FQ1 2024","FQ1 2024","Currency=USD","Period=FQ","BEST_FPERIOD_OVERRIDE=FQ","FILING_STATUS=MR","SCALING_FORMAT=MLN","FA_ADJUSTED=Adjusted","Sort=A","Dates=H","DateFormat=P","Fill=—","Direction=H","UseDPDF=Y")</f>
        <v>328</v>
      </c>
      <c r="W13" s="13">
        <f>_xll.BDH("SRPT US Equity","IS_OPERATING_EXPN","FQ2 2024","FQ2 2024","Currency=USD","Period=FQ","BEST_FPERIOD_OVERRIDE=FQ","FILING_STATUS=MR","SCALING_FORMAT=MLN","FA_ADJUSTED=Adjusted","Sort=A","Dates=H","DateFormat=P","Fill=—","Direction=H","UseDPDF=Y")</f>
        <v>319.08699999999999</v>
      </c>
      <c r="X13" s="13">
        <f>_xll.BDH("SRPT US Equity","IS_OPERATING_EXPN","FQ3 2024","FQ3 2024","Currency=USD","Period=FQ","BEST_FPERIOD_OVERRIDE=FQ","FILING_STATUS=MR","SCALING_FORMAT=MLN","FA_ADJUSTED=Adjusted","Sort=A","Dates=H","DateFormat=P","Fill=—","Direction=H","UseDPDF=Y")</f>
        <v>353.28500000000003</v>
      </c>
      <c r="Y13" s="13">
        <f>_xll.BDH("SRPT US Equity","IS_OPERATING_EXPN","FQ4 2024","FQ4 2024","Currency=USD","Period=FQ","BEST_FPERIOD_OVERRIDE=FQ","FILING_STATUS=MR","SCALING_FORMAT=MLN","FA_ADJUSTED=Adjusted","Sort=A","Dates=H","DateFormat=P","Fill=—","Direction=H","UseDPDF=Y")</f>
        <v>364.42700000000002</v>
      </c>
      <c r="Z13" s="13"/>
      <c r="AA13" s="13"/>
    </row>
    <row r="14" spans="1:27" x14ac:dyDescent="0.25">
      <c r="A14" s="10" t="s">
        <v>323</v>
      </c>
      <c r="B14" s="10" t="s">
        <v>324</v>
      </c>
      <c r="C14" s="13">
        <f>_xll.BDH("SRPT US Equity","IS_SGA_EXPENSE","FQ2 2019","FQ2 2019","Currency=USD","Period=FQ","BEST_FPERIOD_OVERRIDE=FQ","FILING_STATUS=MR","SCALING_FORMAT=MLN","FA_ADJUSTED=Adjusted","Sort=A","Dates=H","DateFormat=P","Fill=—","Direction=H","UseDPDF=Y")</f>
        <v>67.393000000000001</v>
      </c>
      <c r="D14" s="13">
        <f>_xll.BDH("SRPT US Equity","IS_SGA_EXPENSE","FQ3 2019","FQ3 2019","Currency=USD","Period=FQ","BEST_FPERIOD_OVERRIDE=FQ","FILING_STATUS=MR","SCALING_FORMAT=MLN","FA_ADJUSTED=Adjusted","Sort=A","Dates=H","DateFormat=P","Fill=—","Direction=H","UseDPDF=Y")</f>
        <v>75.429000000000002</v>
      </c>
      <c r="E14" s="13">
        <f>_xll.BDH("SRPT US Equity","IS_SGA_EXPENSE","FQ4 2019","FQ4 2019","Currency=USD","Period=FQ","BEST_FPERIOD_OVERRIDE=FQ","FILING_STATUS=MR","SCALING_FORMAT=MLN","FA_ADJUSTED=Adjusted","Sort=A","Dates=H","DateFormat=P","Fill=—","Direction=H","UseDPDF=Y")</f>
        <v>81.424000000000007</v>
      </c>
      <c r="F14" s="13">
        <f>_xll.BDH("SRPT US Equity","IS_SGA_EXPENSE","FQ1 2020","FQ1 2020","Currency=USD","Period=FQ","BEST_FPERIOD_OVERRIDE=FQ","FILING_STATUS=MR","SCALING_FORMAT=MLN","FA_ADJUSTED=Adjusted","Sort=A","Dates=H","DateFormat=P","Fill=—","Direction=H","UseDPDF=Y")</f>
        <v>82.768000000000001</v>
      </c>
      <c r="G14" s="13">
        <f>_xll.BDH("SRPT US Equity","IS_SGA_EXPENSE","FQ2 2020","FQ2 2020","Currency=USD","Period=FQ","BEST_FPERIOD_OVERRIDE=FQ","FILING_STATUS=MR","SCALING_FORMAT=MLN","FA_ADJUSTED=Adjusted","Sort=A","Dates=H","DateFormat=P","Fill=—","Direction=H","UseDPDF=Y")</f>
        <v>73.688000000000002</v>
      </c>
      <c r="H14" s="13">
        <f>_xll.BDH("SRPT US Equity","IS_SGA_EXPENSE","FQ3 2020","FQ3 2020","Currency=USD","Period=FQ","BEST_FPERIOD_OVERRIDE=FQ","FILING_STATUS=MR","SCALING_FORMAT=MLN","FA_ADJUSTED=Adjusted","Sort=A","Dates=H","DateFormat=P","Fill=—","Direction=H","UseDPDF=Y")</f>
        <v>75.373000000000005</v>
      </c>
      <c r="I14" s="13">
        <f>_xll.BDH("SRPT US Equity","IS_SGA_EXPENSE","FQ4 2020","FQ4 2020","Currency=USD","Period=FQ","BEST_FPERIOD_OVERRIDE=FQ","FILING_STATUS=MR","SCALING_FORMAT=MLN","FA_ADJUSTED=Adjusted","Sort=A","Dates=H","DateFormat=P","Fill=—","Direction=H","UseDPDF=Y")</f>
        <v>86.046000000000006</v>
      </c>
      <c r="J14" s="13">
        <f>_xll.BDH("SRPT US Equity","IS_SGA_EXPENSE","FQ1 2021","FQ1 2021","Currency=USD","Period=FQ","BEST_FPERIOD_OVERRIDE=FQ","FILING_STATUS=MR","SCALING_FORMAT=MLN","FA_ADJUSTED=Adjusted","Sort=A","Dates=H","DateFormat=P","Fill=—","Direction=H","UseDPDF=Y")</f>
        <v>71.131</v>
      </c>
      <c r="K14" s="13">
        <f>_xll.BDH("SRPT US Equity","IS_SGA_EXPENSE","FQ2 2021","FQ2 2021","Currency=USD","Period=FQ","BEST_FPERIOD_OVERRIDE=FQ","FILING_STATUS=MR","SCALING_FORMAT=MLN","FA_ADJUSTED=Adjusted","Sort=A","Dates=H","DateFormat=P","Fill=—","Direction=H","UseDPDF=Y")</f>
        <v>72.346999999999994</v>
      </c>
      <c r="L14" s="13">
        <f>_xll.BDH("SRPT US Equity","IS_SGA_EXPENSE","FQ3 2021","FQ3 2021","Currency=USD","Period=FQ","BEST_FPERIOD_OVERRIDE=FQ","FILING_STATUS=MR","SCALING_FORMAT=MLN","FA_ADJUSTED=Adjusted","Sort=A","Dates=H","DateFormat=P","Fill=—","Direction=H","UseDPDF=Y")</f>
        <v>61.127000000000002</v>
      </c>
      <c r="M14" s="13">
        <f>_xll.BDH("SRPT US Equity","IS_SGA_EXPENSE","FQ4 2021","FQ4 2021","Currency=USD","Period=FQ","BEST_FPERIOD_OVERRIDE=FQ","FILING_STATUS=MR","SCALING_FORMAT=MLN","FA_ADJUSTED=Adjusted","Sort=A","Dates=H","DateFormat=P","Fill=—","Direction=H","UseDPDF=Y")</f>
        <v>78.055000000000007</v>
      </c>
      <c r="N14" s="13">
        <f>_xll.BDH("SRPT US Equity","IS_SGA_EXPENSE","FQ1 2022","FQ1 2022","Currency=USD","Period=FQ","BEST_FPERIOD_OVERRIDE=FQ","FILING_STATUS=MR","SCALING_FORMAT=MLN","FA_ADJUSTED=Adjusted","Sort=A","Dates=H","DateFormat=P","Fill=—","Direction=H","UseDPDF=Y")</f>
        <v>71.84</v>
      </c>
      <c r="O14" s="13">
        <f>_xll.BDH("SRPT US Equity","IS_SGA_EXPENSE","FQ2 2022","FQ2 2022","Currency=USD","Period=FQ","BEST_FPERIOD_OVERRIDE=FQ","FILING_STATUS=MR","SCALING_FORMAT=MLN","FA_ADJUSTED=Adjusted","Sort=A","Dates=H","DateFormat=P","Fill=—","Direction=H","UseDPDF=Y")</f>
        <v>154.316</v>
      </c>
      <c r="P14" s="13">
        <f>_xll.BDH("SRPT US Equity","IS_SGA_EXPENSE","FQ3 2022","FQ3 2022","Currency=USD","Period=FQ","BEST_FPERIOD_OVERRIDE=FQ","FILING_STATUS=MR","SCALING_FORMAT=MLN","FA_ADJUSTED=Adjusted","Sort=A","Dates=H","DateFormat=P","Fill=—","Direction=H","UseDPDF=Y")</f>
        <v>104.78700000000001</v>
      </c>
      <c r="Q14" s="13">
        <f>_xll.BDH("SRPT US Equity","IS_SGA_EXPENSE","FQ4 2022","FQ4 2022","Currency=USD","Period=FQ","BEST_FPERIOD_OVERRIDE=FQ","FILING_STATUS=MR","SCALING_FORMAT=MLN","FA_ADJUSTED=Adjusted","Sort=A","Dates=H","DateFormat=P","Fill=—","Direction=H","UseDPDF=Y")</f>
        <v>120.47799999999999</v>
      </c>
      <c r="R14" s="13">
        <f>_xll.BDH("SRPT US Equity","IS_SGA_EXPENSE","FQ1 2023","FQ1 2023","Currency=USD","Period=FQ","BEST_FPERIOD_OVERRIDE=FQ","FILING_STATUS=MR","SCALING_FORMAT=MLN","FA_ADJUSTED=Adjusted","Sort=A","Dates=H","DateFormat=P","Fill=—","Direction=H","UseDPDF=Y")</f>
        <v>110.714</v>
      </c>
      <c r="S14" s="13">
        <f>_xll.BDH("SRPT US Equity","IS_SGA_EXPENSE","FQ2 2023","FQ2 2023","Currency=USD","Period=FQ","BEST_FPERIOD_OVERRIDE=FQ","FILING_STATUS=MR","SCALING_FORMAT=MLN","FA_ADJUSTED=Adjusted","Sort=A","Dates=H","DateFormat=P","Fill=—","Direction=H","UseDPDF=Y")</f>
        <v>118.56399999999999</v>
      </c>
      <c r="T14" s="13">
        <f>_xll.BDH("SRPT US Equity","IS_SGA_EXPENSE","FQ3 2023","FQ3 2023","Currency=USD","Period=FQ","BEST_FPERIOD_OVERRIDE=FQ","FILING_STATUS=MR","SCALING_FORMAT=MLN","FA_ADJUSTED=Adjusted","Sort=A","Dates=H","DateFormat=P","Fill=—","Direction=H","UseDPDF=Y")</f>
        <v>120.893</v>
      </c>
      <c r="U14" s="13">
        <f>_xll.BDH("SRPT US Equity","IS_SGA_EXPENSE","FQ4 2023","FQ4 2023","Currency=USD","Period=FQ","BEST_FPERIOD_OVERRIDE=FQ","FILING_STATUS=MR","SCALING_FORMAT=MLN","FA_ADJUSTED=Adjusted","Sort=A","Dates=H","DateFormat=P","Fill=—","Direction=H","UseDPDF=Y")</f>
        <v>131.69999999999999</v>
      </c>
      <c r="V14" s="13">
        <f>_xll.BDH("SRPT US Equity","IS_SGA_EXPENSE","FQ1 2024","FQ1 2024","Currency=USD","Period=FQ","BEST_FPERIOD_OVERRIDE=FQ","FILING_STATUS=MR","SCALING_FORMAT=MLN","FA_ADJUSTED=Adjusted","Sort=A","Dates=H","DateFormat=P","Fill=—","Direction=H","UseDPDF=Y")</f>
        <v>127.003</v>
      </c>
      <c r="W14" s="13">
        <f>_xll.BDH("SRPT US Equity","IS_SGA_EXPENSE","FQ2 2024","FQ2 2024","Currency=USD","Period=FQ","BEST_FPERIOD_OVERRIDE=FQ","FILING_STATUS=MR","SCALING_FORMAT=MLN","FA_ADJUSTED=Adjusted","Sort=A","Dates=H","DateFormat=P","Fill=—","Direction=H","UseDPDF=Y")</f>
        <v>138.79599999999999</v>
      </c>
      <c r="X14" s="13">
        <f>_xll.BDH("SRPT US Equity","IS_SGA_EXPENSE","FQ3 2024","FQ3 2024","Currency=USD","Period=FQ","BEST_FPERIOD_OVERRIDE=FQ","FILING_STATUS=MR","SCALING_FORMAT=MLN","FA_ADJUSTED=Adjusted","Sort=A","Dates=H","DateFormat=P","Fill=—","Direction=H","UseDPDF=Y")</f>
        <v>128.19999999999999</v>
      </c>
      <c r="Y14" s="13">
        <f>_xll.BDH("SRPT US Equity","IS_SGA_EXPENSE","FQ4 2024","FQ4 2024","Currency=USD","Period=FQ","BEST_FPERIOD_OVERRIDE=FQ","FILING_STATUS=MR","SCALING_FORMAT=MLN","FA_ADJUSTED=Adjusted","Sort=A","Dates=H","DateFormat=P","Fill=—","Direction=H","UseDPDF=Y")</f>
        <v>163.87299999999999</v>
      </c>
      <c r="Z14" s="13"/>
      <c r="AA14" s="13"/>
    </row>
    <row r="15" spans="1:27" x14ac:dyDescent="0.25">
      <c r="A15" s="10" t="s">
        <v>325</v>
      </c>
      <c r="B15" s="10" t="s">
        <v>326</v>
      </c>
      <c r="C15" s="13">
        <f>_xll.BDH("SRPT US Equity","IS_OPERATING_EXPENSES_RD","FQ2 2019","FQ2 2019","Currency=USD","Period=FQ","BEST_FPERIOD_OVERRIDE=FQ","FILING_STATUS=MR","SCALING_FORMAT=MLN","Sort=A","Dates=H","DateFormat=P","Fill=—","Direction=H","UseDPDF=Y")</f>
        <v>113.26600000000001</v>
      </c>
      <c r="D15" s="13">
        <f>_xll.BDH("SRPT US Equity","IS_OPERATING_EXPENSES_RD","FQ3 2019","FQ3 2019","Currency=USD","Period=FQ","BEST_FPERIOD_OVERRIDE=FQ","FILING_STATUS=MR","SCALING_FORMAT=MLN","Sort=A","Dates=H","DateFormat=P","Fill=—","Direction=H","UseDPDF=Y")</f>
        <v>121.803</v>
      </c>
      <c r="E15" s="13">
        <f>_xll.BDH("SRPT US Equity","IS_OPERATING_EXPENSES_RD","FQ4 2019","FQ4 2019","Currency=USD","Period=FQ","BEST_FPERIOD_OVERRIDE=FQ","FILING_STATUS=MR","SCALING_FORMAT=MLN","Sort=A","Dates=H","DateFormat=P","Fill=—","Direction=H","UseDPDF=Y")</f>
        <v>223.14099999999999</v>
      </c>
      <c r="F15" s="13">
        <f>_xll.BDH("SRPT US Equity","IS_OPERATING_EXPENSES_RD","FQ1 2020","FQ1 2020","Currency=USD","Period=FQ","BEST_FPERIOD_OVERRIDE=FQ","FILING_STATUS=MR","SCALING_FORMAT=MLN","Sort=A","Dates=H","DateFormat=P","Fill=—","Direction=H","UseDPDF=Y")</f>
        <v>136.14400000000001</v>
      </c>
      <c r="G15" s="13">
        <f>_xll.BDH("SRPT US Equity","IS_OPERATING_EXPENSES_RD","FQ2 2020","FQ2 2020","Currency=USD","Period=FQ","BEST_FPERIOD_OVERRIDE=FQ","FILING_STATUS=MR","SCALING_FORMAT=MLN","Sort=A","Dates=H","DateFormat=P","Fill=—","Direction=H","UseDPDF=Y")</f>
        <v>188.52199999999999</v>
      </c>
      <c r="H15" s="13">
        <f>_xll.BDH("SRPT US Equity","IS_OPERATING_EXPENSES_RD","FQ3 2020","FQ3 2020","Currency=USD","Period=FQ","BEST_FPERIOD_OVERRIDE=FQ","FILING_STATUS=MR","SCALING_FORMAT=MLN","Sort=A","Dates=H","DateFormat=P","Fill=—","Direction=H","UseDPDF=Y")</f>
        <v>190.43799999999999</v>
      </c>
      <c r="I15" s="13">
        <f>_xll.BDH("SRPT US Equity","IS_OPERATING_EXPENSES_RD","FQ4 2020","FQ4 2020","Currency=USD","Period=FQ","BEST_FPERIOD_OVERRIDE=FQ","FILING_STATUS=MR","SCALING_FORMAT=MLN","Sort=A","Dates=H","DateFormat=P","Fill=—","Direction=H","UseDPDF=Y")</f>
        <v>207.239</v>
      </c>
      <c r="J15" s="13">
        <f>_xll.BDH("SRPT US Equity","IS_OPERATING_EXPENSES_RD","FQ1 2021","FQ1 2021","Currency=USD","Period=FQ","BEST_FPERIOD_OVERRIDE=FQ","FILING_STATUS=MR","SCALING_FORMAT=MLN","Sort=A","Dates=H","DateFormat=P","Fill=—","Direction=H","UseDPDF=Y")</f>
        <v>195.149</v>
      </c>
      <c r="K15" s="13">
        <f>_xll.BDH("SRPT US Equity","IS_OPERATING_EXPENSES_RD","FQ2 2021","FQ2 2021","Currency=USD","Period=FQ","BEST_FPERIOD_OVERRIDE=FQ","FILING_STATUS=MR","SCALING_FORMAT=MLN","Sort=A","Dates=H","DateFormat=P","Fill=—","Direction=H","UseDPDF=Y")</f>
        <v>239.62200000000001</v>
      </c>
      <c r="L15" s="13">
        <f>_xll.BDH("SRPT US Equity","IS_OPERATING_EXPENSES_RD","FQ3 2021","FQ3 2021","Currency=USD","Period=FQ","BEST_FPERIOD_OVERRIDE=FQ","FILING_STATUS=MR","SCALING_FORMAT=MLN","Sort=A","Dates=H","DateFormat=P","Fill=—","Direction=H","UseDPDF=Y")</f>
        <v>139.11500000000001</v>
      </c>
      <c r="M15" s="13">
        <f>_xll.BDH("SRPT US Equity","IS_OPERATING_EXPENSES_RD","FQ4 2021","FQ4 2021","Currency=USD","Period=FQ","BEST_FPERIOD_OVERRIDE=FQ","FILING_STATUS=MR","SCALING_FORMAT=MLN","Sort=A","Dates=H","DateFormat=P","Fill=—","Direction=H","UseDPDF=Y")</f>
        <v>197.29599999999999</v>
      </c>
      <c r="N15" s="13">
        <f>_xll.BDH("SRPT US Equity","IS_OPERATING_EXPENSES_RD","FQ1 2022","FQ1 2022","Currency=USD","Period=FQ","BEST_FPERIOD_OVERRIDE=FQ","FILING_STATUS=MR","SCALING_FORMAT=MLN","Sort=A","Dates=H","DateFormat=P","Fill=—","Direction=H","UseDPDF=Y")</f>
        <v>194.25</v>
      </c>
      <c r="O15" s="13">
        <f>_xll.BDH("SRPT US Equity","IS_OPERATING_EXPENSES_RD","FQ2 2022","FQ2 2022","Currency=USD","Period=FQ","BEST_FPERIOD_OVERRIDE=FQ","FILING_STATUS=MR","SCALING_FORMAT=MLN","Sort=A","Dates=H","DateFormat=P","Fill=—","Direction=H","UseDPDF=Y")</f>
        <v>252.32900000000001</v>
      </c>
      <c r="P15" s="13">
        <f>_xll.BDH("SRPT US Equity","IS_OPERATING_EXPENSES_RD","FQ3 2022","FQ3 2022","Currency=USD","Period=FQ","BEST_FPERIOD_OVERRIDE=FQ","FILING_STATUS=MR","SCALING_FORMAT=MLN","Sort=A","Dates=H","DateFormat=P","Fill=—","Direction=H","UseDPDF=Y")</f>
        <v>216.70699999999999</v>
      </c>
      <c r="Q15" s="13">
        <f>_xll.BDH("SRPT US Equity","IS_OPERATING_EXPENSES_RD","FQ4 2022","FQ4 2022","Currency=USD","Period=FQ","BEST_FPERIOD_OVERRIDE=FQ","FILING_STATUS=MR","SCALING_FORMAT=MLN","Sort=A","Dates=H","DateFormat=P","Fill=—","Direction=H","UseDPDF=Y")</f>
        <v>213.804</v>
      </c>
      <c r="R15" s="13">
        <f>_xll.BDH("SRPT US Equity","IS_OPERATING_EXPENSES_RD","FQ1 2023","FQ1 2023","Currency=USD","Period=FQ","BEST_FPERIOD_OVERRIDE=FQ","FILING_STATUS=MR","SCALING_FORMAT=MLN","Sort=A","Dates=H","DateFormat=P","Fill=—","Direction=H","UseDPDF=Y")</f>
        <v>245.679</v>
      </c>
      <c r="S15" s="13">
        <f>_xll.BDH("SRPT US Equity","IS_OPERATING_EXPENSES_RD","FQ2 2023","FQ2 2023","Currency=USD","Period=FQ","BEST_FPERIOD_OVERRIDE=FQ","FILING_STATUS=MR","SCALING_FORMAT=MLN","Sort=A","Dates=H","DateFormat=P","Fill=—","Direction=H","UseDPDF=Y")</f>
        <v>241.89</v>
      </c>
      <c r="T15" s="13">
        <f>_xll.BDH("SRPT US Equity","IS_OPERATING_EXPENSES_RD","FQ3 2023","FQ3 2023","Currency=USD","Period=FQ","BEST_FPERIOD_OVERRIDE=FQ","FILING_STATUS=MR","SCALING_FORMAT=MLN","Sort=A","Dates=H","DateFormat=P","Fill=—","Direction=H","UseDPDF=Y")</f>
        <v>194.30099999999999</v>
      </c>
      <c r="U15" s="13">
        <f>_xll.BDH("SRPT US Equity","IS_OPERATING_EXPENSES_RD","FQ4 2023","FQ4 2023","Currency=USD","Period=FQ","BEST_FPERIOD_OVERRIDE=FQ","FILING_STATUS=MR","SCALING_FORMAT=MLN","Sort=A","Dates=H","DateFormat=P","Fill=—","Direction=H","UseDPDF=Y")</f>
        <v>195.517</v>
      </c>
      <c r="V15" s="13">
        <f>_xll.BDH("SRPT US Equity","IS_OPERATING_EXPENSES_RD","FQ1 2024","FQ1 2024","Currency=USD","Period=FQ","BEST_FPERIOD_OVERRIDE=FQ","FILING_STATUS=MR","SCALING_FORMAT=MLN","Sort=A","Dates=H","DateFormat=P","Fill=—","Direction=H","UseDPDF=Y")</f>
        <v>200.39599999999999</v>
      </c>
      <c r="W15" s="13">
        <f>_xll.BDH("SRPT US Equity","IS_OPERATING_EXPENSES_RD","FQ2 2024","FQ2 2024","Currency=USD","Period=FQ","BEST_FPERIOD_OVERRIDE=FQ","FILING_STATUS=MR","SCALING_FORMAT=MLN","Sort=A","Dates=H","DateFormat=P","Fill=—","Direction=H","UseDPDF=Y")</f>
        <v>179.69</v>
      </c>
      <c r="X15" s="13">
        <f>_xll.BDH("SRPT US Equity","IS_OPERATING_EXPENSES_RD","FQ3 2024","FQ3 2024","Currency=USD","Period=FQ","BEST_FPERIOD_OVERRIDE=FQ","FILING_STATUS=MR","SCALING_FORMAT=MLN","Sort=A","Dates=H","DateFormat=P","Fill=—","Direction=H","UseDPDF=Y")</f>
        <v>224.483</v>
      </c>
      <c r="Y15" s="13">
        <f>_xll.BDH("SRPT US Equity","IS_OPERATING_EXPENSES_RD","FQ4 2024","FQ4 2024","Currency=USD","Period=FQ","BEST_FPERIOD_OVERRIDE=FQ","FILING_STATUS=MR","SCALING_FORMAT=MLN","Sort=A","Dates=H","DateFormat=P","Fill=—","Direction=H","UseDPDF=Y")</f>
        <v>199.953</v>
      </c>
      <c r="Z15" s="13"/>
      <c r="AA15" s="13"/>
    </row>
    <row r="16" spans="1:27" x14ac:dyDescent="0.25">
      <c r="A16" s="10" t="s">
        <v>327</v>
      </c>
      <c r="B16" s="10" t="s">
        <v>328</v>
      </c>
      <c r="C16" s="13">
        <f>_xll.BDH("SRPT US Equity","IS_OTHER_OPERATING_EXPENSES","FQ2 2019","FQ2 2019","Currency=USD","Period=FQ","BEST_FPERIOD_OVERRIDE=FQ","FILING_STATUS=MR","SCALING_FORMAT=MLN","FA_ADJUSTED=Adjusted","Sort=A","Dates=H","DateFormat=P","Fill=—","Direction=H","UseDPDF=Y")</f>
        <v>-14.861000000000001</v>
      </c>
      <c r="D16" s="13">
        <f>_xll.BDH("SRPT US Equity","IS_OTHER_OPERATING_EXPENSES","FQ3 2019","FQ3 2019","Currency=USD","Period=FQ","BEST_FPERIOD_OVERRIDE=FQ","FILING_STATUS=MR","SCALING_FORMAT=MLN","FA_ADJUSTED=Adjusted","Sort=A","Dates=H","DateFormat=P","Fill=—","Direction=H","UseDPDF=Y")</f>
        <v>0.216</v>
      </c>
      <c r="E16" s="13">
        <f>_xll.BDH("SRPT US Equity","IS_OTHER_OPERATING_EXPENSES","FQ4 2019","FQ4 2019","Currency=USD","Period=FQ","BEST_FPERIOD_OVERRIDE=FQ","FILING_STATUS=MR","SCALING_FORMAT=MLN","FA_ADJUSTED=Adjusted","Sort=A","Dates=H","DateFormat=P","Fill=—","Direction=H","UseDPDF=Y")</f>
        <v>-74.616</v>
      </c>
      <c r="F16" s="13">
        <f>_xll.BDH("SRPT US Equity","IS_OTHER_OPERATING_EXPENSES","FQ1 2020","FQ1 2020","Currency=USD","Period=FQ","BEST_FPERIOD_OVERRIDE=FQ","FILING_STATUS=MR","SCALING_FORMAT=MLN","FA_ADJUSTED=Adjusted","Sort=A","Dates=H","DateFormat=P","Fill=—","Direction=H","UseDPDF=Y")</f>
        <v>-11.125999999999999</v>
      </c>
      <c r="G16" s="13">
        <f>_xll.BDH("SRPT US Equity","IS_OTHER_OPERATING_EXPENSES","FQ2 2020","FQ2 2020","Currency=USD","Period=FQ","BEST_FPERIOD_OVERRIDE=FQ","FILING_STATUS=MR","SCALING_FORMAT=MLN","FA_ADJUSTED=Adjusted","Sort=A","Dates=H","DateFormat=P","Fill=—","Direction=H","UseDPDF=Y")</f>
        <v>0.16500000000000001</v>
      </c>
      <c r="H16" s="13">
        <f>_xll.BDH("SRPT US Equity","IS_OTHER_OPERATING_EXPENSES","FQ3 2020","FQ3 2020","Currency=USD","Period=FQ","BEST_FPERIOD_OVERRIDE=FQ","FILING_STATUS=MR","SCALING_FORMAT=MLN","FA_ADJUSTED=Adjusted","Sort=A","Dates=H","DateFormat=P","Fill=—","Direction=H","UseDPDF=Y")</f>
        <v>-15.209</v>
      </c>
      <c r="I16" s="13">
        <f>_xll.BDH("SRPT US Equity","IS_OTHER_OPERATING_EXPENSES","FQ4 2020","FQ4 2020","Currency=USD","Period=FQ","BEST_FPERIOD_OVERRIDE=FQ","FILING_STATUS=MR","SCALING_FORMAT=MLN","FA_ADJUSTED=Adjusted","Sort=A","Dates=H","DateFormat=P","Fill=—","Direction=H","UseDPDF=Y")</f>
        <v>-10.457000000000001</v>
      </c>
      <c r="J16" s="13">
        <f>_xll.BDH("SRPT US Equity","IS_OTHER_OPERATING_EXPENSES","FQ1 2021","FQ1 2021","Currency=USD","Period=FQ","BEST_FPERIOD_OVERRIDE=FQ","FILING_STATUS=MR","SCALING_FORMAT=MLN","FA_ADJUSTED=Adjusted","Sort=A","Dates=H","DateFormat=P","Fill=—","Direction=H","UseDPDF=Y")</f>
        <v>-3.83</v>
      </c>
      <c r="K16" s="13">
        <f>_xll.BDH("SRPT US Equity","IS_OTHER_OPERATING_EXPENSES","FQ2 2021","FQ2 2021","Currency=USD","Period=FQ","BEST_FPERIOD_OVERRIDE=FQ","FILING_STATUS=MR","SCALING_FORMAT=MLN","FA_ADJUSTED=Adjusted","Sort=A","Dates=H","DateFormat=P","Fill=—","Direction=H","UseDPDF=Y")</f>
        <v>70.501999999999995</v>
      </c>
      <c r="L16" s="13">
        <f>_xll.BDH("SRPT US Equity","IS_OTHER_OPERATING_EXPENSES","FQ3 2021","FQ3 2021","Currency=USD","Period=FQ","BEST_FPERIOD_OVERRIDE=FQ","FILING_STATUS=MR","SCALING_FORMAT=MLN","FA_ADJUSTED=Adjusted","Sort=A","Dates=H","DateFormat=P","Fill=—","Direction=H","UseDPDF=Y")</f>
        <v>0.17799999999999999</v>
      </c>
      <c r="M16" s="13">
        <f>_xll.BDH("SRPT US Equity","IS_OTHER_OPERATING_EXPENSES","FQ4 2021","FQ4 2021","Currency=USD","Period=FQ","BEST_FPERIOD_OVERRIDE=FQ","FILING_STATUS=MR","SCALING_FORMAT=MLN","FA_ADJUSTED=Adjusted","Sort=A","Dates=H","DateFormat=P","Fill=—","Direction=H","UseDPDF=Y")</f>
        <v>0.17899999999999999</v>
      </c>
      <c r="N16" s="13">
        <f>_xll.BDH("SRPT US Equity","IS_OTHER_OPERATING_EXPENSES","FQ1 2022","FQ1 2022","Currency=USD","Period=FQ","BEST_FPERIOD_OVERRIDE=FQ","FILING_STATUS=MR","SCALING_FORMAT=MLN","FA_ADJUSTED=Adjusted","Sort=A","Dates=H","DateFormat=P","Fill=—","Direction=H","UseDPDF=Y")</f>
        <v>0.17799999999999999</v>
      </c>
      <c r="O16" s="13">
        <f>_xll.BDH("SRPT US Equity","IS_OTHER_OPERATING_EXPENSES","FQ2 2022","FQ2 2022","Currency=USD","Period=FQ","BEST_FPERIOD_OVERRIDE=FQ","FILING_STATUS=MR","SCALING_FORMAT=MLN","FA_ADJUSTED=Adjusted","Sort=A","Dates=H","DateFormat=P","Fill=—","Direction=H","UseDPDF=Y")</f>
        <v>0.17899999999999999</v>
      </c>
      <c r="P16" s="13">
        <f>_xll.BDH("SRPT US Equity","IS_OTHER_OPERATING_EXPENSES","FQ3 2022","FQ3 2022","Currency=USD","Period=FQ","BEST_FPERIOD_OVERRIDE=FQ","FILING_STATUS=MR","SCALING_FORMAT=MLN","FA_ADJUSTED=Adjusted","Sort=A","Dates=H","DateFormat=P","Fill=—","Direction=H","UseDPDF=Y")</f>
        <v>0.17799999999999999</v>
      </c>
      <c r="Q16" s="13">
        <f>_xll.BDH("SRPT US Equity","IS_OTHER_OPERATING_EXPENSES","FQ4 2022","FQ4 2022","Currency=USD","Period=FQ","BEST_FPERIOD_OVERRIDE=FQ","FILING_STATUS=MR","SCALING_FORMAT=MLN","FA_ADJUSTED=Adjusted","Sort=A","Dates=H","DateFormat=P","Fill=—","Direction=H","UseDPDF=Y")</f>
        <v>0.17899999999999999</v>
      </c>
      <c r="R16" s="13">
        <f>_xll.BDH("SRPT US Equity","IS_OTHER_OPERATING_EXPENSES","FQ1 2023","FQ1 2023","Currency=USD","Period=FQ","BEST_FPERIOD_OVERRIDE=FQ","FILING_STATUS=MR","SCALING_FORMAT=MLN","FA_ADJUSTED=Adjusted","Sort=A","Dates=H","DateFormat=P","Fill=—","Direction=H","UseDPDF=Y")</f>
        <v>0.17799999999999999</v>
      </c>
      <c r="S16" s="13">
        <f>_xll.BDH("SRPT US Equity","IS_OTHER_OPERATING_EXPENSES","FQ2 2023","FQ2 2023","Currency=USD","Period=FQ","BEST_FPERIOD_OVERRIDE=FQ","FILING_STATUS=MR","SCALING_FORMAT=MLN","FA_ADJUSTED=Adjusted","Sort=A","Dates=H","DateFormat=P","Fill=—","Direction=H","UseDPDF=Y")</f>
        <v>0.17899999999999999</v>
      </c>
      <c r="T16" s="13">
        <f>_xll.BDH("SRPT US Equity","IS_OTHER_OPERATING_EXPENSES","FQ3 2023","FQ3 2023","Currency=USD","Period=FQ","BEST_FPERIOD_OVERRIDE=FQ","FILING_STATUS=MR","SCALING_FORMAT=MLN","FA_ADJUSTED=Adjusted","Sort=A","Dates=H","DateFormat=P","Fill=—","Direction=H","UseDPDF=Y")</f>
        <v>0.439</v>
      </c>
      <c r="U16" s="13">
        <f>_xll.BDH("SRPT US Equity","IS_OTHER_OPERATING_EXPENSES","FQ4 2023","FQ4 2023","Currency=USD","Period=FQ","BEST_FPERIOD_OVERRIDE=FQ","FILING_STATUS=MR","SCALING_FORMAT=MLN","FA_ADJUSTED=Adjusted","Sort=A","Dates=H","DateFormat=P","Fill=—","Direction=H","UseDPDF=Y")</f>
        <v>0.76300000000000001</v>
      </c>
      <c r="V16" s="13">
        <f>_xll.BDH("SRPT US Equity","IS_OTHER_OPERATING_EXPENSES","FQ1 2024","FQ1 2024","Currency=USD","Period=FQ","BEST_FPERIOD_OVERRIDE=FQ","FILING_STATUS=MR","SCALING_FORMAT=MLN","FA_ADJUSTED=Adjusted","Sort=A","Dates=H","DateFormat=P","Fill=—","Direction=H","UseDPDF=Y")</f>
        <v>0.60099999999999998</v>
      </c>
      <c r="W16" s="13">
        <f>_xll.BDH("SRPT US Equity","IS_OTHER_OPERATING_EXPENSES","FQ2 2024","FQ2 2024","Currency=USD","Period=FQ","BEST_FPERIOD_OVERRIDE=FQ","FILING_STATUS=MR","SCALING_FORMAT=MLN","FA_ADJUSTED=Adjusted","Sort=A","Dates=H","DateFormat=P","Fill=—","Direction=H","UseDPDF=Y")</f>
        <v>0.60099999999999998</v>
      </c>
      <c r="X16" s="13">
        <f>_xll.BDH("SRPT US Equity","IS_OTHER_OPERATING_EXPENSES","FQ3 2024","FQ3 2024","Currency=USD","Period=FQ","BEST_FPERIOD_OVERRIDE=FQ","FILING_STATUS=MR","SCALING_FORMAT=MLN","FA_ADJUSTED=Adjusted","Sort=A","Dates=H","DateFormat=P","Fill=—","Direction=H","UseDPDF=Y")</f>
        <v>0.60199999999999998</v>
      </c>
      <c r="Y16" s="13">
        <f>_xll.BDH("SRPT US Equity","IS_OTHER_OPERATING_EXPENSES","FQ4 2024","FQ4 2024","Currency=USD","Period=FQ","BEST_FPERIOD_OVERRIDE=FQ","FILING_STATUS=MR","SCALING_FORMAT=MLN","FA_ADJUSTED=Adjusted","Sort=A","Dates=H","DateFormat=P","Fill=—","Direction=H","UseDPDF=Y")</f>
        <v>0.60099999999999998</v>
      </c>
      <c r="Z16" s="13"/>
      <c r="AA16" s="13"/>
    </row>
    <row r="17" spans="1:27" x14ac:dyDescent="0.25">
      <c r="A17" s="6" t="s">
        <v>329</v>
      </c>
      <c r="B17" s="6" t="s">
        <v>99</v>
      </c>
      <c r="C17" s="19">
        <f>_xll.BDH("SRPT US Equity","IS_OPER_INC","FQ2 2019","FQ2 2019","Currency=USD","Period=FQ","BEST_FPERIOD_OVERRIDE=FQ","FILING_STATUS=MR","SCALING_FORMAT=MLN","FA_ADJUSTED=Adjusted","Sort=A","Dates=H","DateFormat=P","Fill=—","Direction=H","UseDPDF=Y")</f>
        <v>-87.049000000000007</v>
      </c>
      <c r="D17" s="19">
        <f>_xll.BDH("SRPT US Equity","IS_OPER_INC","FQ3 2019","FQ3 2019","Currency=USD","Period=FQ","BEST_FPERIOD_OVERRIDE=FQ","FILING_STATUS=MR","SCALING_FORMAT=MLN","FA_ADJUSTED=Adjusted","Sort=A","Dates=H","DateFormat=P","Fill=—","Direction=H","UseDPDF=Y")</f>
        <v>-111.444</v>
      </c>
      <c r="E17" s="19">
        <f>_xll.BDH("SRPT US Equity","IS_OPER_INC","FQ4 2019","FQ4 2019","Currency=USD","Period=FQ","BEST_FPERIOD_OVERRIDE=FQ","FILING_STATUS=MR","SCALING_FORMAT=MLN","FA_ADJUSTED=Adjusted","Sort=A","Dates=H","DateFormat=P","Fill=—","Direction=H","UseDPDF=Y")</f>
        <v>-145.40299999999999</v>
      </c>
      <c r="F17" s="19">
        <f>_xll.BDH("SRPT US Equity","IS_OPER_INC","FQ1 2020","FQ1 2020","Currency=USD","Period=FQ","BEST_FPERIOD_OVERRIDE=FQ","FILING_STATUS=MR","SCALING_FORMAT=MLN","FA_ADJUSTED=Adjusted","Sort=A","Dates=H","DateFormat=P","Fill=—","Direction=H","UseDPDF=Y")</f>
        <v>-106.73399999999999</v>
      </c>
      <c r="G17" s="19">
        <f>_xll.BDH("SRPT US Equity","IS_OPER_INC","FQ2 2020","FQ2 2020","Currency=USD","Period=FQ","BEST_FPERIOD_OVERRIDE=FQ","FILING_STATUS=MR","SCALING_FORMAT=MLN","FA_ADJUSTED=Adjusted","Sort=A","Dates=H","DateFormat=P","Fill=—","Direction=H","UseDPDF=Y")</f>
        <v>-138.35300000000001</v>
      </c>
      <c r="H17" s="19">
        <f>_xll.BDH("SRPT US Equity","IS_OPER_INC","FQ3 2020","FQ3 2020","Currency=USD","Period=FQ","BEST_FPERIOD_OVERRIDE=FQ","FILING_STATUS=MR","SCALING_FORMAT=MLN","FA_ADJUSTED=Adjusted","Sort=A","Dates=H","DateFormat=P","Fill=—","Direction=H","UseDPDF=Y")</f>
        <v>-121.693</v>
      </c>
      <c r="I17" s="19">
        <f>_xll.BDH("SRPT US Equity","IS_OPER_INC","FQ4 2020","FQ4 2020","Currency=USD","Period=FQ","BEST_FPERIOD_OVERRIDE=FQ","FILING_STATUS=MR","SCALING_FORMAT=MLN","FA_ADJUSTED=Adjusted","Sort=A","Dates=H","DateFormat=P","Fill=—","Direction=H","UseDPDF=Y")</f>
        <v>-160.09399999999999</v>
      </c>
      <c r="J17" s="19">
        <f>_xll.BDH("SRPT US Equity","IS_OPER_INC","FQ1 2021","FQ1 2021","Currency=USD","Period=FQ","BEST_FPERIOD_OVERRIDE=FQ","FILING_STATUS=MR","SCALING_FORMAT=MLN","FA_ADJUSTED=Adjusted","Sort=A","Dates=H","DateFormat=P","Fill=—","Direction=H","UseDPDF=Y")</f>
        <v>-137.86500000000001</v>
      </c>
      <c r="K17" s="19">
        <f>_xll.BDH("SRPT US Equity","IS_OPER_INC","FQ2 2021","FQ2 2021","Currency=USD","Period=FQ","BEST_FPERIOD_OVERRIDE=FQ","FILING_STATUS=MR","SCALING_FORMAT=MLN","FA_ADJUSTED=Adjusted","Sort=A","Dates=H","DateFormat=P","Fill=—","Direction=H","UseDPDF=Y")</f>
        <v>-237.89699999999999</v>
      </c>
      <c r="L17" s="19">
        <f>_xll.BDH("SRPT US Equity","IS_OPER_INC","FQ3 2021","FQ3 2021","Currency=USD","Period=FQ","BEST_FPERIOD_OVERRIDE=FQ","FILING_STATUS=MR","SCALING_FORMAT=MLN","FA_ADJUSTED=Adjusted","Sort=A","Dates=H","DateFormat=P","Fill=—","Direction=H","UseDPDF=Y")</f>
        <v>-34.457999999999998</v>
      </c>
      <c r="M17" s="19">
        <f>_xll.BDH("SRPT US Equity","IS_OPER_INC","FQ4 2021","FQ4 2021","Currency=USD","Period=FQ","BEST_FPERIOD_OVERRIDE=FQ","FILING_STATUS=MR","SCALING_FORMAT=MLN","FA_ADJUSTED=Adjusted","Sort=A","Dates=H","DateFormat=P","Fill=—","Direction=H","UseDPDF=Y")</f>
        <v>-105.813</v>
      </c>
      <c r="N17" s="19">
        <f>_xll.BDH("SRPT US Equity","IS_OPER_INC","FQ1 2022","FQ1 2022","Currency=USD","Period=FQ","BEST_FPERIOD_OVERRIDE=FQ","FILING_STATUS=MR","SCALING_FORMAT=MLN","FA_ADJUSTED=Adjusted","Sort=A","Dates=H","DateFormat=P","Fill=—","Direction=H","UseDPDF=Y")</f>
        <v>-86.881</v>
      </c>
      <c r="O17" s="19">
        <f>_xll.BDH("SRPT US Equity","IS_OPER_INC","FQ2 2022","FQ2 2022","Currency=USD","Period=FQ","BEST_FPERIOD_OVERRIDE=FQ","FILING_STATUS=MR","SCALING_FORMAT=MLN","FA_ADJUSTED=Adjusted","Sort=A","Dates=H","DateFormat=P","Fill=—","Direction=H","UseDPDF=Y")</f>
        <v>-211.13200000000001</v>
      </c>
      <c r="P17" s="19">
        <f>_xll.BDH("SRPT US Equity","IS_OPER_INC","FQ3 2022","FQ3 2022","Currency=USD","Period=FQ","BEST_FPERIOD_OVERRIDE=FQ","FILING_STATUS=MR","SCALING_FORMAT=MLN","FA_ADJUSTED=Adjusted","Sort=A","Dates=H","DateFormat=P","Fill=—","Direction=H","UseDPDF=Y")</f>
        <v>-131.35499999999999</v>
      </c>
      <c r="Q17" s="19">
        <f>_xll.BDH("SRPT US Equity","IS_OPER_INC","FQ4 2022","FQ4 2022","Currency=USD","Period=FQ","BEST_FPERIOD_OVERRIDE=FQ","FILING_STATUS=MR","SCALING_FORMAT=MLN","FA_ADJUSTED=Adjusted","Sort=A","Dates=H","DateFormat=P","Fill=—","Direction=H","UseDPDF=Y")</f>
        <v>-106.833</v>
      </c>
      <c r="R17" s="19">
        <f>_xll.BDH("SRPT US Equity","IS_OPER_INC","FQ1 2023","FQ1 2023","Currency=USD","Period=FQ","BEST_FPERIOD_OVERRIDE=FQ","FILING_STATUS=MR","SCALING_FORMAT=MLN","FA_ADJUSTED=Adjusted","Sort=A","Dates=H","DateFormat=P","Fill=—","Direction=H","UseDPDF=Y")</f>
        <v>-138.08799999999999</v>
      </c>
      <c r="S17" s="19">
        <f>_xll.BDH("SRPT US Equity","IS_OPER_INC","FQ2 2023","FQ2 2023","Currency=USD","Period=FQ","BEST_FPERIOD_OVERRIDE=FQ","FILING_STATUS=MR","SCALING_FORMAT=MLN","FA_ADJUSTED=Adjusted","Sort=A","Dates=H","DateFormat=P","Fill=—","Direction=H","UseDPDF=Y")</f>
        <v>-133.51900000000001</v>
      </c>
      <c r="T17" s="19">
        <f>_xll.BDH("SRPT US Equity","IS_OPER_INC","FQ3 2023","FQ3 2023","Currency=USD","Period=FQ","BEST_FPERIOD_OVERRIDE=FQ","FILING_STATUS=MR","SCALING_FORMAT=MLN","FA_ADJUSTED=Adjusted","Sort=A","Dates=H","DateFormat=P","Fill=—","Direction=H","UseDPDF=Y")</f>
        <v>-20.841999999999999</v>
      </c>
      <c r="U17" s="19">
        <f>_xll.BDH("SRPT US Equity","IS_OPER_INC","FQ4 2023","FQ4 2023","Currency=USD","Period=FQ","BEST_FPERIOD_OVERRIDE=FQ","FILING_STATUS=MR","SCALING_FORMAT=MLN","FA_ADJUSTED=Adjusted","Sort=A","Dates=H","DateFormat=P","Fill=—","Direction=H","UseDPDF=Y")</f>
        <v>24.625</v>
      </c>
      <c r="V17" s="19">
        <f>_xll.BDH("SRPT US Equity","IS_OPER_INC","FQ1 2024","FQ1 2024","Currency=USD","Period=FQ","BEST_FPERIOD_OVERRIDE=FQ","FILING_STATUS=MR","SCALING_FORMAT=MLN","FA_ADJUSTED=Adjusted","Sort=A","Dates=H","DateFormat=P","Fill=—","Direction=H","UseDPDF=Y")</f>
        <v>34.905000000000001</v>
      </c>
      <c r="W17" s="19">
        <f>_xll.BDH("SRPT US Equity","IS_OPER_INC","FQ2 2024","FQ2 2024","Currency=USD","Period=FQ","BEST_FPERIOD_OVERRIDE=FQ","FILING_STATUS=MR","SCALING_FORMAT=MLN","FA_ADJUSTED=Adjusted","Sort=A","Dates=H","DateFormat=P","Fill=—","Direction=H","UseDPDF=Y")</f>
        <v>-0.70099999999999996</v>
      </c>
      <c r="X17" s="19">
        <f>_xll.BDH("SRPT US Equity","IS_OPER_INC","FQ3 2024","FQ3 2024","Currency=USD","Period=FQ","BEST_FPERIOD_OVERRIDE=FQ","FILING_STATUS=MR","SCALING_FORMAT=MLN","FA_ADJUSTED=Adjusted","Sort=A","Dates=H","DateFormat=P","Fill=—","Direction=H","UseDPDF=Y")</f>
        <v>22.196000000000002</v>
      </c>
      <c r="Y17" s="19">
        <f>_xll.BDH("SRPT US Equity","IS_OPER_INC","FQ4 2024","FQ4 2024","Currency=USD","Period=FQ","BEST_FPERIOD_OVERRIDE=FQ","FILING_STATUS=MR","SCALING_FORMAT=MLN","FA_ADJUSTED=Adjusted","Sort=A","Dates=H","DateFormat=P","Fill=—","Direction=H","UseDPDF=Y")</f>
        <v>161.68100000000001</v>
      </c>
      <c r="Z17" s="19">
        <v>126.176</v>
      </c>
      <c r="AA17" s="19">
        <v>256.053</v>
      </c>
    </row>
    <row r="18" spans="1:27" x14ac:dyDescent="0.25">
      <c r="A18" s="10" t="s">
        <v>330</v>
      </c>
      <c r="B18" s="10" t="s">
        <v>331</v>
      </c>
      <c r="C18" s="13">
        <f>_xll.BDH("SRPT US Equity","IS_NONOP_INCOME_LOSS","FQ2 2019","FQ2 2019","Currency=USD","Period=FQ","BEST_FPERIOD_OVERRIDE=FQ","FILING_STATUS=MR","SCALING_FORMAT=MLN","FA_ADJUSTED=Adjusted","Sort=A","Dates=H","DateFormat=P","Fill=—","Direction=H","UseDPDF=Y")</f>
        <v>0.86199999999999999</v>
      </c>
      <c r="D18" s="13">
        <f>_xll.BDH("SRPT US Equity","IS_NONOP_INCOME_LOSS","FQ3 2019","FQ3 2019","Currency=USD","Period=FQ","BEST_FPERIOD_OVERRIDE=FQ","FILING_STATUS=MR","SCALING_FORMAT=MLN","FA_ADJUSTED=Adjusted","Sort=A","Dates=H","DateFormat=P","Fill=—","Direction=H","UseDPDF=Y")</f>
        <v>2.5099999999999998</v>
      </c>
      <c r="E18" s="13">
        <f>_xll.BDH("SRPT US Equity","IS_NONOP_INCOME_LOSS","FQ4 2019","FQ4 2019","Currency=USD","Period=FQ","BEST_FPERIOD_OVERRIDE=FQ","FILING_STATUS=MR","SCALING_FORMAT=MLN","FA_ADJUSTED=Adjusted","Sort=A","Dates=H","DateFormat=P","Fill=—","Direction=H","UseDPDF=Y")</f>
        <v>4.7729999999999997</v>
      </c>
      <c r="F18" s="13">
        <f>_xll.BDH("SRPT US Equity","IS_NONOP_INCOME_LOSS","FQ1 2020","FQ1 2020","Currency=USD","Period=FQ","BEST_FPERIOD_OVERRIDE=FQ","FILING_STATUS=MR","SCALING_FORMAT=MLN","FA_ADJUSTED=Adjusted","Sort=A","Dates=H","DateFormat=P","Fill=—","Direction=H","UseDPDF=Y")</f>
        <v>7.42</v>
      </c>
      <c r="G18" s="13">
        <f>_xll.BDH("SRPT US Equity","IS_NONOP_INCOME_LOSS","FQ2 2020","FQ2 2020","Currency=USD","Period=FQ","BEST_FPERIOD_OVERRIDE=FQ","FILING_STATUS=MR","SCALING_FORMAT=MLN","FA_ADJUSTED=Adjusted","Sort=A","Dates=H","DateFormat=P","Fill=—","Direction=H","UseDPDF=Y")</f>
        <v>12.446999999999999</v>
      </c>
      <c r="H18" s="13">
        <f>_xll.BDH("SRPT US Equity","IS_NONOP_INCOME_LOSS","FQ3 2020","FQ3 2020","Currency=USD","Period=FQ","BEST_FPERIOD_OVERRIDE=FQ","FILING_STATUS=MR","SCALING_FORMAT=MLN","FA_ADJUSTED=Adjusted","Sort=A","Dates=H","DateFormat=P","Fill=—","Direction=H","UseDPDF=Y")</f>
        <v>14.335000000000001</v>
      </c>
      <c r="I18" s="13">
        <f>_xll.BDH("SRPT US Equity","IS_NONOP_INCOME_LOSS","FQ4 2020","FQ4 2020","Currency=USD","Period=FQ","BEST_FPERIOD_OVERRIDE=FQ","FILING_STATUS=MR","SCALING_FORMAT=MLN","FA_ADJUSTED=Adjusted","Sort=A","Dates=H","DateFormat=P","Fill=—","Direction=H","UseDPDF=Y")</f>
        <v>17.768999999999998</v>
      </c>
      <c r="J18" s="13">
        <f>_xll.BDH("SRPT US Equity","IS_NONOP_INCOME_LOSS","FQ1 2021","FQ1 2021","Currency=USD","Period=FQ","BEST_FPERIOD_OVERRIDE=FQ","FILING_STATUS=MR","SCALING_FORMAT=MLN","FA_ADJUSTED=Adjusted","Sort=A","Dates=H","DateFormat=P","Fill=—","Direction=H","UseDPDF=Y")</f>
        <v>15.528</v>
      </c>
      <c r="K18" s="13">
        <f>_xll.BDH("SRPT US Equity","IS_NONOP_INCOME_LOSS","FQ2 2021","FQ2 2021","Currency=USD","Period=FQ","BEST_FPERIOD_OVERRIDE=FQ","FILING_STATUS=MR","SCALING_FORMAT=MLN","FA_ADJUSTED=Adjusted","Sort=A","Dates=H","DateFormat=P","Fill=—","Direction=H","UseDPDF=Y")</f>
        <v>16.184999999999999</v>
      </c>
      <c r="L18" s="13">
        <f>_xll.BDH("SRPT US Equity","IS_NONOP_INCOME_LOSS","FQ3 2021","FQ3 2021","Currency=USD","Period=FQ","BEST_FPERIOD_OVERRIDE=FQ","FILING_STATUS=MR","SCALING_FORMAT=MLN","FA_ADJUSTED=Adjusted","Sort=A","Dates=H","DateFormat=P","Fill=—","Direction=H","UseDPDF=Y")</f>
        <v>8.9610000000000003</v>
      </c>
      <c r="M18" s="13">
        <f>_xll.BDH("SRPT US Equity","IS_NONOP_INCOME_LOSS","FQ4 2021","FQ4 2021","Currency=USD","Period=FQ","BEST_FPERIOD_OVERRIDE=FQ","FILING_STATUS=MR","SCALING_FORMAT=MLN","FA_ADJUSTED=Adjusted","Sort=A","Dates=H","DateFormat=P","Fill=—","Direction=H","UseDPDF=Y")</f>
        <v>16.076000000000001</v>
      </c>
      <c r="N18" s="13">
        <f>_xll.BDH("SRPT US Equity","IS_NONOP_INCOME_LOSS","FQ1 2022","FQ1 2022","Currency=USD","Period=FQ","BEST_FPERIOD_OVERRIDE=FQ","FILING_STATUS=MR","SCALING_FORMAT=MLN","FA_ADJUSTED=Adjusted","Sort=A","Dates=H","DateFormat=P","Fill=—","Direction=H","UseDPDF=Y")</f>
        <v>17.265000000000001</v>
      </c>
      <c r="O18" s="13">
        <f>_xll.BDH("SRPT US Equity","IS_NONOP_INCOME_LOSS","FQ2 2022","FQ2 2022","Currency=USD","Period=FQ","BEST_FPERIOD_OVERRIDE=FQ","FILING_STATUS=MR","SCALING_FORMAT=MLN","FA_ADJUSTED=Adjusted","Sort=A","Dates=H","DateFormat=P","Fill=—","Direction=H","UseDPDF=Y")</f>
        <v>16.960999999999999</v>
      </c>
      <c r="P18" s="13">
        <f>_xll.BDH("SRPT US Equity","IS_NONOP_INCOME_LOSS","FQ3 2022","FQ3 2022","Currency=USD","Period=FQ","BEST_FPERIOD_OVERRIDE=FQ","FILING_STATUS=MR","SCALING_FORMAT=MLN","FA_ADJUSTED=Adjusted","Sort=A","Dates=H","DateFormat=P","Fill=—","Direction=H","UseDPDF=Y")</f>
        <v>6.3220000000000001</v>
      </c>
      <c r="Q18" s="13">
        <f>_xll.BDH("SRPT US Equity","IS_NONOP_INCOME_LOSS","FQ4 2022","FQ4 2022","Currency=USD","Period=FQ","BEST_FPERIOD_OVERRIDE=FQ","FILING_STATUS=MR","SCALING_FORMAT=MLN","FA_ADJUSTED=Adjusted","Sort=A","Dates=H","DateFormat=P","Fill=—","Direction=H","UseDPDF=Y")</f>
        <v>-8.1020000000000003</v>
      </c>
      <c r="R18" s="13">
        <f>_xll.BDH("SRPT US Equity","IS_NONOP_INCOME_LOSS","FQ1 2023","FQ1 2023","Currency=USD","Period=FQ","BEST_FPERIOD_OVERRIDE=FQ","FILING_STATUS=MR","SCALING_FORMAT=MLN","FA_ADJUSTED=Adjusted","Sort=A","Dates=H","DateFormat=P","Fill=—","Direction=H","UseDPDF=Y")</f>
        <v>-12.707000000000001</v>
      </c>
      <c r="S18" s="13">
        <f>_xll.BDH("SRPT US Equity","IS_NONOP_INCOME_LOSS","FQ2 2023","FQ2 2023","Currency=USD","Period=FQ","BEST_FPERIOD_OVERRIDE=FQ","FILING_STATUS=MR","SCALING_FORMAT=MLN","FA_ADJUSTED=Adjusted","Sort=A","Dates=H","DateFormat=P","Fill=—","Direction=H","UseDPDF=Y")</f>
        <v>-16.134</v>
      </c>
      <c r="T18" s="13">
        <f>_xll.BDH("SRPT US Equity","IS_NONOP_INCOME_LOSS","FQ3 2023","FQ3 2023","Currency=USD","Period=FQ","BEST_FPERIOD_OVERRIDE=FQ","FILING_STATUS=MR","SCALING_FORMAT=MLN","FA_ADJUSTED=Adjusted","Sort=A","Dates=H","DateFormat=P","Fill=—","Direction=H","UseDPDF=Y")</f>
        <v>10.332000000000001</v>
      </c>
      <c r="U18" s="13">
        <f>_xll.BDH("SRPT US Equity","IS_NONOP_INCOME_LOSS","FQ4 2023","FQ4 2023","Currency=USD","Period=FQ","BEST_FPERIOD_OVERRIDE=FQ","FILING_STATUS=MR","SCALING_FORMAT=MLN","FA_ADJUSTED=Adjusted","Sort=A","Dates=H","DateFormat=P","Fill=—","Direction=H","UseDPDF=Y")</f>
        <v>-15.746</v>
      </c>
      <c r="V18" s="13">
        <f>_xll.BDH("SRPT US Equity","IS_NONOP_INCOME_LOSS","FQ1 2024","FQ1 2024","Currency=USD","Period=FQ","BEST_FPERIOD_OVERRIDE=FQ","FILING_STATUS=MR","SCALING_FORMAT=MLN","FA_ADJUSTED=Adjusted","Sort=A","Dates=H","DateFormat=P","Fill=—","Direction=H","UseDPDF=Y")</f>
        <v>-16.643000000000001</v>
      </c>
      <c r="W18" s="13">
        <f>_xll.BDH("SRPT US Equity","IS_NONOP_INCOME_LOSS","FQ2 2024","FQ2 2024","Currency=USD","Period=FQ","BEST_FPERIOD_OVERRIDE=FQ","FILING_STATUS=MR","SCALING_FORMAT=MLN","FA_ADJUSTED=Adjusted","Sort=A","Dates=H","DateFormat=P","Fill=—","Direction=H","UseDPDF=Y")</f>
        <v>-14.278</v>
      </c>
      <c r="X18" s="13">
        <f>_xll.BDH("SRPT US Equity","IS_NONOP_INCOME_LOSS","FQ3 2024","FQ3 2024","Currency=USD","Period=FQ","BEST_FPERIOD_OVERRIDE=FQ","FILING_STATUS=MR","SCALING_FORMAT=MLN","FA_ADJUSTED=Adjusted","Sort=A","Dates=H","DateFormat=P","Fill=—","Direction=H","UseDPDF=Y")</f>
        <v>-10.275</v>
      </c>
      <c r="Y18" s="13">
        <f>_xll.BDH("SRPT US Equity","IS_NONOP_INCOME_LOSS","FQ4 2024","FQ4 2024","Currency=USD","Period=FQ","BEST_FPERIOD_OVERRIDE=FQ","FILING_STATUS=MR","SCALING_FORMAT=MLN","FA_ADJUSTED=Adjusted","Sort=A","Dates=H","DateFormat=P","Fill=—","Direction=H","UseDPDF=Y")</f>
        <v>-9.3350000000000009</v>
      </c>
      <c r="Z18" s="13"/>
      <c r="AA18" s="13"/>
    </row>
    <row r="19" spans="1:27" x14ac:dyDescent="0.25">
      <c r="A19" s="10" t="s">
        <v>332</v>
      </c>
      <c r="B19" s="10" t="s">
        <v>333</v>
      </c>
      <c r="C19" s="13" t="str">
        <f>_xll.BDH("SRPT US Equity","IS_NET_INTEREST_EXPENSE","FQ2 2019","FQ2 2019","Currency=USD","Period=FQ","BEST_FPERIOD_OVERRIDE=FQ","FILING_STATUS=MR","SCALING_FORMAT=MLN","FA_ADJUSTED=Adjusted","Sort=A","Dates=H","DateFormat=P","Fill=—","Direction=H","UseDPDF=Y")</f>
        <v>—</v>
      </c>
      <c r="D19" s="13">
        <f>_xll.BDH("SRPT US Equity","IS_NET_INTEREST_EXPENSE","FQ3 2019","FQ3 2019","Currency=USD","Period=FQ","BEST_FPERIOD_OVERRIDE=FQ","FILING_STATUS=MR","SCALING_FORMAT=MLN","FA_ADJUSTED=Adjusted","Sort=A","Dates=H","DateFormat=P","Fill=—","Direction=H","UseDPDF=Y")</f>
        <v>2.1360000000000001</v>
      </c>
      <c r="E19" s="13">
        <f>_xll.BDH("SRPT US Equity","IS_NET_INTEREST_EXPENSE","FQ4 2019","FQ4 2019","Currency=USD","Period=FQ","BEST_FPERIOD_OVERRIDE=FQ","FILING_STATUS=MR","SCALING_FORMAT=MLN","FA_ADJUSTED=Adjusted","Sort=A","Dates=H","DateFormat=P","Fill=—","Direction=H","UseDPDF=Y")</f>
        <v>4.5620000000000003</v>
      </c>
      <c r="F19" s="13">
        <f>_xll.BDH("SRPT US Equity","IS_NET_INTEREST_EXPENSE","FQ1 2020","FQ1 2020","Currency=USD","Period=FQ","BEST_FPERIOD_OVERRIDE=FQ","FILING_STATUS=MR","SCALING_FORMAT=MLN","FA_ADJUSTED=Adjusted","Sort=A","Dates=H","DateFormat=P","Fill=—","Direction=H","UseDPDF=Y")</f>
        <v>8.5120000000000005</v>
      </c>
      <c r="G19" s="13">
        <f>_xll.BDH("SRPT US Equity","IS_NET_INTEREST_EXPENSE","FQ2 2020","FQ2 2020","Currency=USD","Period=FQ","BEST_FPERIOD_OVERRIDE=FQ","FILING_STATUS=MR","SCALING_FORMAT=MLN","FA_ADJUSTED=Adjusted","Sort=A","Dates=H","DateFormat=P","Fill=—","Direction=H","UseDPDF=Y")</f>
        <v>12.076000000000001</v>
      </c>
      <c r="H19" s="13">
        <f>_xll.BDH("SRPT US Equity","IS_NET_INTEREST_EXPENSE","FQ3 2020","FQ3 2020","Currency=USD","Period=FQ","BEST_FPERIOD_OVERRIDE=FQ","FILING_STATUS=MR","SCALING_FORMAT=MLN","FA_ADJUSTED=Adjusted","Sort=A","Dates=H","DateFormat=P","Fill=—","Direction=H","UseDPDF=Y")</f>
        <v>13.454000000000001</v>
      </c>
      <c r="I19" s="13">
        <f>_xll.BDH("SRPT US Equity","IS_NET_INTEREST_EXPENSE","FQ4 2020","FQ4 2020","Currency=USD","Period=FQ","BEST_FPERIOD_OVERRIDE=FQ","FILING_STATUS=MR","SCALING_FORMAT=MLN","FA_ADJUSTED=Adjusted","Sort=A","Dates=H","DateFormat=P","Fill=—","Direction=H","UseDPDF=Y")</f>
        <v>18.446000000000002</v>
      </c>
      <c r="J19" s="13">
        <f>_xll.BDH("SRPT US Equity","IS_NET_INTEREST_EXPENSE","FQ1 2021","FQ1 2021","Currency=USD","Period=FQ","BEST_FPERIOD_OVERRIDE=FQ","FILING_STATUS=MR","SCALING_FORMAT=MLN","FA_ADJUSTED=Adjusted","Sort=A","Dates=H","DateFormat=P","Fill=—","Direction=H","UseDPDF=Y")</f>
        <v>15.456</v>
      </c>
      <c r="K19" s="13">
        <f>_xll.BDH("SRPT US Equity","IS_NET_INTEREST_EXPENSE","FQ2 2021","FQ2 2021","Currency=USD","Period=FQ","BEST_FPERIOD_OVERRIDE=FQ","FILING_STATUS=MR","SCALING_FORMAT=MLN","FA_ADJUSTED=Adjusted","Sort=A","Dates=H","DateFormat=P","Fill=—","Direction=H","UseDPDF=Y")</f>
        <v>15.757999999999999</v>
      </c>
      <c r="L19" s="13">
        <f>_xll.BDH("SRPT US Equity","IS_NET_INTEREST_EXPENSE","FQ3 2021","FQ3 2021","Currency=USD","Period=FQ","BEST_FPERIOD_OVERRIDE=FQ","FILING_STATUS=MR","SCALING_FORMAT=MLN","FA_ADJUSTED=Adjusted","Sort=A","Dates=H","DateFormat=P","Fill=—","Direction=H","UseDPDF=Y")</f>
        <v>15.847</v>
      </c>
      <c r="M19" s="13">
        <f>_xll.BDH("SRPT US Equity","IS_NET_INTEREST_EXPENSE","FQ4 2021","FQ4 2021","Currency=USD","Period=FQ","BEST_FPERIOD_OVERRIDE=FQ","FILING_STATUS=MR","SCALING_FORMAT=MLN","FA_ADJUSTED=Adjusted","Sort=A","Dates=H","DateFormat=P","Fill=—","Direction=H","UseDPDF=Y")</f>
        <v>15.952999999999999</v>
      </c>
      <c r="N19" s="13">
        <f>_xll.BDH("SRPT US Equity","IS_NET_INTEREST_EXPENSE","FQ1 2022","FQ1 2022","Currency=USD","Period=FQ","BEST_FPERIOD_OVERRIDE=FQ","FILING_STATUS=MR","SCALING_FORMAT=MLN","FA_ADJUSTED=Adjusted","Sort=A","Dates=H","DateFormat=P","Fill=—","Direction=H","UseDPDF=Y")</f>
        <v>15.622999999999999</v>
      </c>
      <c r="O19" s="13">
        <f>_xll.BDH("SRPT US Equity","IS_NET_INTEREST_EXPENSE","FQ2 2022","FQ2 2022","Currency=USD","Period=FQ","BEST_FPERIOD_OVERRIDE=FQ","FILING_STATUS=MR","SCALING_FORMAT=MLN","FA_ADJUSTED=Adjusted","Sort=A","Dates=H","DateFormat=P","Fill=—","Direction=H","UseDPDF=Y")</f>
        <v>12.288</v>
      </c>
      <c r="P19" s="13">
        <f>_xll.BDH("SRPT US Equity","IS_NET_INTEREST_EXPENSE","FQ3 2022","FQ3 2022","Currency=USD","Period=FQ","BEST_FPERIOD_OVERRIDE=FQ","FILING_STATUS=MR","SCALING_FORMAT=MLN","FA_ADJUSTED=Adjusted","Sort=A","Dates=H","DateFormat=P","Fill=—","Direction=H","UseDPDF=Y")</f>
        <v>6.5209999999999999</v>
      </c>
      <c r="Q19" s="13">
        <f>_xll.BDH("SRPT US Equity","IS_NET_INTEREST_EXPENSE","FQ4 2022","FQ4 2022","Currency=USD","Period=FQ","BEST_FPERIOD_OVERRIDE=FQ","FILING_STATUS=MR","SCALING_FORMAT=MLN","FA_ADJUSTED=Adjusted","Sort=A","Dates=H","DateFormat=P","Fill=—","Direction=H","UseDPDF=Y")</f>
        <v>-8.8650000000000002</v>
      </c>
      <c r="R19" s="13">
        <f>_xll.BDH("SRPT US Equity","IS_NET_INTEREST_EXPENSE","FQ1 2023","FQ1 2023","Currency=USD","Period=FQ","BEST_FPERIOD_OVERRIDE=FQ","FILING_STATUS=MR","SCALING_FORMAT=MLN","FA_ADJUSTED=Adjusted","Sort=A","Dates=H","DateFormat=P","Fill=—","Direction=H","UseDPDF=Y")</f>
        <v>-2.9529999999999998</v>
      </c>
      <c r="S19" s="13">
        <f>_xll.BDH("SRPT US Equity","IS_NET_INTEREST_EXPENSE","FQ2 2023","FQ2 2023","Currency=USD","Period=FQ","BEST_FPERIOD_OVERRIDE=FQ","FILING_STATUS=MR","SCALING_FORMAT=MLN","FA_ADJUSTED=Adjusted","Sort=A","Dates=H","DateFormat=P","Fill=—","Direction=H","UseDPDF=Y")</f>
        <v>-3.194</v>
      </c>
      <c r="T19" s="13">
        <f>_xll.BDH("SRPT US Equity","IS_NET_INTEREST_EXPENSE","FQ3 2023","FQ3 2023","Currency=USD","Period=FQ","BEST_FPERIOD_OVERRIDE=FQ","FILING_STATUS=MR","SCALING_FORMAT=MLN","FA_ADJUSTED=Adjusted","Sort=A","Dates=H","DateFormat=P","Fill=—","Direction=H","UseDPDF=Y")</f>
        <v>-4.609</v>
      </c>
      <c r="U19" s="13">
        <f>_xll.BDH("SRPT US Equity","IS_NET_INTEREST_EXPENSE","FQ4 2023","FQ4 2023","Currency=USD","Period=FQ","BEST_FPERIOD_OVERRIDE=FQ","FILING_STATUS=MR","SCALING_FORMAT=MLN","FA_ADJUSTED=Adjusted","Sort=A","Dates=H","DateFormat=P","Fill=—","Direction=H","UseDPDF=Y")</f>
        <v>-3.4910000000000001</v>
      </c>
      <c r="V19" s="13">
        <f>_xll.BDH("SRPT US Equity","IS_NET_INTEREST_EXPENSE","FQ1 2024","FQ1 2024","Currency=USD","Period=FQ","BEST_FPERIOD_OVERRIDE=FQ","FILING_STATUS=MR","SCALING_FORMAT=MLN","FA_ADJUSTED=Adjusted","Sort=A","Dates=H","DateFormat=P","Fill=—","Direction=H","UseDPDF=Y")</f>
        <v>-2.927</v>
      </c>
      <c r="W19" s="13">
        <f>_xll.BDH("SRPT US Equity","IS_NET_INTEREST_EXPENSE","FQ2 2024","FQ2 2024","Currency=USD","Period=FQ","BEST_FPERIOD_OVERRIDE=FQ","FILING_STATUS=MR","SCALING_FORMAT=MLN","FA_ADJUSTED=Adjusted","Sort=A","Dates=H","DateFormat=P","Fill=—","Direction=H","UseDPDF=Y")</f>
        <v>-3.2440000000000002</v>
      </c>
      <c r="X19" s="13">
        <f>_xll.BDH("SRPT US Equity","IS_NET_INTEREST_EXPENSE","FQ3 2024","FQ3 2024","Currency=USD","Period=FQ","BEST_FPERIOD_OVERRIDE=FQ","FILING_STATUS=MR","SCALING_FORMAT=MLN","FA_ADJUSTED=Adjusted","Sort=A","Dates=H","DateFormat=P","Fill=—","Direction=H","UseDPDF=Y")</f>
        <v>-2.6659999999999999</v>
      </c>
      <c r="Y19" s="13">
        <f>_xll.BDH("SRPT US Equity","IS_NET_INTEREST_EXPENSE","FQ4 2024","FQ4 2024","Currency=USD","Period=FQ","BEST_FPERIOD_OVERRIDE=FQ","FILING_STATUS=MR","SCALING_FORMAT=MLN","FA_ADJUSTED=Adjusted","Sort=A","Dates=H","DateFormat=P","Fill=—","Direction=H","UseDPDF=Y")</f>
        <v>-3.407</v>
      </c>
      <c r="Z19" s="13"/>
      <c r="AA19" s="13"/>
    </row>
    <row r="20" spans="1:27" x14ac:dyDescent="0.25">
      <c r="A20" s="11" t="s">
        <v>334</v>
      </c>
      <c r="B20" s="11" t="s">
        <v>335</v>
      </c>
      <c r="C20" s="25" t="str">
        <f>_xll.BDH("SRPT US Equity","IS_INT_EXPENSE","FQ2 2019","FQ2 2019","Currency=USD","Period=FQ","BEST_FPERIOD_OVERRIDE=FQ","FILING_STATUS=MR","SCALING_FORMAT=MLN","FA_ADJUSTED=Adjusted","Sort=A","Dates=H","DateFormat=P","Fill=—","Direction=H","UseDPDF=Y")</f>
        <v>—</v>
      </c>
      <c r="D20" s="25">
        <f>_xll.BDH("SRPT US Equity","IS_INT_EXPENSE","FQ3 2019","FQ3 2019","Currency=USD","Period=FQ","BEST_FPERIOD_OVERRIDE=FQ","FILING_STATUS=MR","SCALING_FORMAT=MLN","FA_ADJUSTED=Adjusted","Sort=A","Dates=H","DateFormat=P","Fill=—","Direction=H","UseDPDF=Y")</f>
        <v>3.4289999999999998</v>
      </c>
      <c r="E20" s="25">
        <f>_xll.BDH("SRPT US Equity","IS_INT_EXPENSE","FQ4 2019","FQ4 2019","Currency=USD","Period=FQ","BEST_FPERIOD_OVERRIDE=FQ","FILING_STATUS=MR","SCALING_FORMAT=MLN","FA_ADJUSTED=Adjusted","Sort=A","Dates=H","DateFormat=P","Fill=—","Direction=H","UseDPDF=Y")</f>
        <v>6.0419999999999998</v>
      </c>
      <c r="F20" s="25">
        <f>_xll.BDH("SRPT US Equity","IS_INT_EXPENSE","FQ1 2020","FQ1 2020","Currency=USD","Period=FQ","BEST_FPERIOD_OVERRIDE=FQ","FILING_STATUS=MR","SCALING_FORMAT=MLN","FA_ADJUSTED=Adjusted","Sort=A","Dates=H","DateFormat=P","Fill=—","Direction=H","UseDPDF=Y")</f>
        <v>10.651</v>
      </c>
      <c r="G20" s="25">
        <f>_xll.BDH("SRPT US Equity","IS_INT_EXPENSE","FQ2 2020","FQ2 2020","Currency=USD","Period=FQ","BEST_FPERIOD_OVERRIDE=FQ","FILING_STATUS=MR","SCALING_FORMAT=MLN","FA_ADJUSTED=Adjusted","Sort=A","Dates=H","DateFormat=P","Fill=—","Direction=H","UseDPDF=Y")</f>
        <v>12.714</v>
      </c>
      <c r="H20" s="25">
        <f>_xll.BDH("SRPT US Equity","IS_INT_EXPENSE","FQ3 2020","FQ3 2020","Currency=USD","Period=FQ","BEST_FPERIOD_OVERRIDE=FQ","FILING_STATUS=MR","SCALING_FORMAT=MLN","FA_ADJUSTED=Adjusted","Sort=A","Dates=H","DateFormat=P","Fill=—","Direction=H","UseDPDF=Y")</f>
        <v>13.576000000000001</v>
      </c>
      <c r="I20" s="25">
        <f>_xll.BDH("SRPT US Equity","IS_INT_EXPENSE","FQ4 2020","FQ4 2020","Currency=USD","Period=FQ","BEST_FPERIOD_OVERRIDE=FQ","FILING_STATUS=MR","SCALING_FORMAT=MLN","FA_ADJUSTED=Adjusted","Sort=A","Dates=H","DateFormat=P","Fill=—","Direction=H","UseDPDF=Y")</f>
        <v>18.516999999999999</v>
      </c>
      <c r="J20" s="25">
        <f>_xll.BDH("SRPT US Equity","IS_INT_EXPENSE","FQ1 2021","FQ1 2021","Currency=USD","Period=FQ","BEST_FPERIOD_OVERRIDE=FQ","FILING_STATUS=MR","SCALING_FORMAT=MLN","FA_ADJUSTED=Adjusted","Sort=A","Dates=H","DateFormat=P","Fill=—","Direction=H","UseDPDF=Y")</f>
        <v>15.515000000000001</v>
      </c>
      <c r="K20" s="25">
        <f>_xll.BDH("SRPT US Equity","IS_INT_EXPENSE","FQ2 2021","FQ2 2021","Currency=USD","Period=FQ","BEST_FPERIOD_OVERRIDE=FQ","FILING_STATUS=MR","SCALING_FORMAT=MLN","FA_ADJUSTED=Adjusted","Sort=A","Dates=H","DateFormat=P","Fill=—","Direction=H","UseDPDF=Y")</f>
        <v>15.81</v>
      </c>
      <c r="L20" s="25">
        <f>_xll.BDH("SRPT US Equity","IS_INT_EXPENSE","FQ3 2021","FQ3 2021","Currency=USD","Period=FQ","BEST_FPERIOD_OVERRIDE=FQ","FILING_STATUS=MR","SCALING_FORMAT=MLN","FA_ADJUSTED=Adjusted","Sort=A","Dates=H","DateFormat=P","Fill=—","Direction=H","UseDPDF=Y")</f>
        <v>15.994999999999999</v>
      </c>
      <c r="M20" s="25">
        <f>_xll.BDH("SRPT US Equity","IS_INT_EXPENSE","FQ4 2021","FQ4 2021","Currency=USD","Period=FQ","BEST_FPERIOD_OVERRIDE=FQ","FILING_STATUS=MR","SCALING_FORMAT=MLN","FA_ADJUSTED=Adjusted","Sort=A","Dates=H","DateFormat=P","Fill=—","Direction=H","UseDPDF=Y")</f>
        <v>16.047999999999998</v>
      </c>
      <c r="N20" s="25">
        <f>_xll.BDH("SRPT US Equity","IS_INT_EXPENSE","FQ1 2022","FQ1 2022","Currency=USD","Period=FQ","BEST_FPERIOD_OVERRIDE=FQ","FILING_STATUS=MR","SCALING_FORMAT=MLN","FA_ADJUSTED=Adjusted","Sort=A","Dates=H","DateFormat=P","Fill=—","Direction=H","UseDPDF=Y")</f>
        <v>15.795999999999999</v>
      </c>
      <c r="O20" s="25">
        <f>_xll.BDH("SRPT US Equity","IS_INT_EXPENSE","FQ2 2022","FQ2 2022","Currency=USD","Period=FQ","BEST_FPERIOD_OVERRIDE=FQ","FILING_STATUS=MR","SCALING_FORMAT=MLN","FA_ADJUSTED=Adjusted","Sort=A","Dates=H","DateFormat=P","Fill=—","Direction=H","UseDPDF=Y")</f>
        <v>14.696999999999999</v>
      </c>
      <c r="P20" s="25">
        <f>_xll.BDH("SRPT US Equity","IS_INT_EXPENSE","FQ3 2022","FQ3 2022","Currency=USD","Period=FQ","BEST_FPERIOD_OVERRIDE=FQ","FILING_STATUS=MR","SCALING_FORMAT=MLN","FA_ADJUSTED=Adjusted","Sort=A","Dates=H","DateFormat=P","Fill=—","Direction=H","UseDPDF=Y")</f>
        <v>11.301</v>
      </c>
      <c r="Q20" s="25">
        <f>_xll.BDH("SRPT US Equity","IS_INT_EXPENSE","FQ4 2022","FQ4 2022","Currency=USD","Period=FQ","BEST_FPERIOD_OVERRIDE=FQ","FILING_STATUS=MR","SCALING_FORMAT=MLN","FA_ADJUSTED=Adjusted","Sort=A","Dates=H","DateFormat=P","Fill=—","Direction=H","UseDPDF=Y")</f>
        <v>0.26100000000000001</v>
      </c>
      <c r="R20" s="25">
        <f>_xll.BDH("SRPT US Equity","IS_INT_EXPENSE","FQ1 2023","FQ1 2023","Currency=USD","Period=FQ","BEST_FPERIOD_OVERRIDE=FQ","FILING_STATUS=MR","SCALING_FORMAT=MLN","FA_ADJUSTED=Adjusted","Sort=A","Dates=H","DateFormat=P","Fill=—","Direction=H","UseDPDF=Y")</f>
        <v>6.3230000000000004</v>
      </c>
      <c r="S20" s="25">
        <f>_xll.BDH("SRPT US Equity","IS_INT_EXPENSE","FQ2 2023","FQ2 2023","Currency=USD","Period=FQ","BEST_FPERIOD_OVERRIDE=FQ","FILING_STATUS=MR","SCALING_FORMAT=MLN","FA_ADJUSTED=Adjusted","Sort=A","Dates=H","DateFormat=P","Fill=—","Direction=H","UseDPDF=Y")</f>
        <v>5.2240000000000002</v>
      </c>
      <c r="T20" s="25">
        <f>_xll.BDH("SRPT US Equity","IS_INT_EXPENSE","FQ3 2023","FQ3 2023","Currency=USD","Period=FQ","BEST_FPERIOD_OVERRIDE=FQ","FILING_STATUS=MR","SCALING_FORMAT=MLN","FA_ADJUSTED=Adjusted","Sort=A","Dates=H","DateFormat=P","Fill=—","Direction=H","UseDPDF=Y")</f>
        <v>5.2290000000000001</v>
      </c>
      <c r="U20" s="25">
        <f>_xll.BDH("SRPT US Equity","IS_INT_EXPENSE","FQ4 2023","FQ4 2023","Currency=USD","Period=FQ","BEST_FPERIOD_OVERRIDE=FQ","FILING_STATUS=MR","SCALING_FORMAT=MLN","FA_ADJUSTED=Adjusted","Sort=A","Dates=H","DateFormat=P","Fill=—","Direction=H","UseDPDF=Y")</f>
        <v>5.234</v>
      </c>
      <c r="V20" s="25">
        <f>_xll.BDH("SRPT US Equity","IS_INT_EXPENSE","FQ1 2024","FQ1 2024","Currency=USD","Period=FQ","BEST_FPERIOD_OVERRIDE=FQ","FILING_STATUS=MR","SCALING_FORMAT=MLN","FA_ADJUSTED=Adjusted","Sort=A","Dates=H","DateFormat=P","Fill=—","Direction=H","UseDPDF=Y")</f>
        <v>4.1660000000000004</v>
      </c>
      <c r="W20" s="25">
        <f>_xll.BDH("SRPT US Equity","IS_INT_EXPENSE","FQ2 2024","FQ2 2024","Currency=USD","Period=FQ","BEST_FPERIOD_OVERRIDE=FQ","FILING_STATUS=MR","SCALING_FORMAT=MLN","FA_ADJUSTED=Adjusted","Sort=A","Dates=H","DateFormat=P","Fill=—","Direction=H","UseDPDF=Y")</f>
        <v>4.8319999999999999</v>
      </c>
      <c r="X20" s="25">
        <f>_xll.BDH("SRPT US Equity","IS_INT_EXPENSE","FQ3 2024","FQ3 2024","Currency=USD","Period=FQ","BEST_FPERIOD_OVERRIDE=FQ","FILING_STATUS=MR","SCALING_FORMAT=MLN","FA_ADJUSTED=Adjusted","Sort=A","Dates=H","DateFormat=P","Fill=—","Direction=H","UseDPDF=Y")</f>
        <v>4.9180000000000001</v>
      </c>
      <c r="Y20" s="25">
        <f>_xll.BDH("SRPT US Equity","IS_INT_EXPENSE","FQ4 2024","FQ4 2024","Currency=USD","Period=FQ","BEST_FPERIOD_OVERRIDE=FQ","FILING_STATUS=MR","SCALING_FORMAT=MLN","FA_ADJUSTED=Adjusted","Sort=A","Dates=H","DateFormat=P","Fill=—","Direction=H","UseDPDF=Y")</f>
        <v>4.4749999999999996</v>
      </c>
      <c r="Z20" s="25"/>
      <c r="AA20" s="25"/>
    </row>
    <row r="21" spans="1:27" x14ac:dyDescent="0.25">
      <c r="A21" s="11" t="s">
        <v>336</v>
      </c>
      <c r="B21" s="11" t="s">
        <v>337</v>
      </c>
      <c r="C21" s="25" t="str">
        <f>_xll.BDH("SRPT US Equity","IS_INT_INC","FQ2 2019","FQ2 2019","Currency=USD","Period=FQ","BEST_FPERIOD_OVERRIDE=FQ","FILING_STATUS=MR","SCALING_FORMAT=MLN","FA_ADJUSTED=Adjusted","Sort=A","Dates=H","DateFormat=P","Fill=—","Direction=H","UseDPDF=Y")</f>
        <v>—</v>
      </c>
      <c r="D21" s="25">
        <f>_xll.BDH("SRPT US Equity","IS_INT_INC","FQ3 2019","FQ3 2019","Currency=USD","Period=FQ","BEST_FPERIOD_OVERRIDE=FQ","FILING_STATUS=MR","SCALING_FORMAT=MLN","FA_ADJUSTED=Adjusted","Sort=A","Dates=H","DateFormat=P","Fill=—","Direction=H","UseDPDF=Y")</f>
        <v>1.2929999999999999</v>
      </c>
      <c r="E21" s="25">
        <f>_xll.BDH("SRPT US Equity","IS_INT_INC","FQ4 2019","FQ4 2019","Currency=USD","Period=FQ","BEST_FPERIOD_OVERRIDE=FQ","FILING_STATUS=MR","SCALING_FORMAT=MLN","FA_ADJUSTED=Adjusted","Sort=A","Dates=H","DateFormat=P","Fill=—","Direction=H","UseDPDF=Y")</f>
        <v>1.48</v>
      </c>
      <c r="F21" s="25">
        <f>_xll.BDH("SRPT US Equity","IS_INT_INC","FQ1 2020","FQ1 2020","Currency=USD","Period=FQ","BEST_FPERIOD_OVERRIDE=FQ","FILING_STATUS=MR","SCALING_FORMAT=MLN","FA_ADJUSTED=Adjusted","Sort=A","Dates=H","DateFormat=P","Fill=—","Direction=H","UseDPDF=Y")</f>
        <v>2.1389999999999998</v>
      </c>
      <c r="G21" s="25">
        <f>_xll.BDH("SRPT US Equity","IS_INT_INC","FQ2 2020","FQ2 2020","Currency=USD","Period=FQ","BEST_FPERIOD_OVERRIDE=FQ","FILING_STATUS=MR","SCALING_FORMAT=MLN","FA_ADJUSTED=Adjusted","Sort=A","Dates=H","DateFormat=P","Fill=—","Direction=H","UseDPDF=Y")</f>
        <v>0.63800000000000001</v>
      </c>
      <c r="H21" s="25">
        <f>_xll.BDH("SRPT US Equity","IS_INT_INC","FQ3 2020","FQ3 2020","Currency=USD","Period=FQ","BEST_FPERIOD_OVERRIDE=FQ","FILING_STATUS=MR","SCALING_FORMAT=MLN","FA_ADJUSTED=Adjusted","Sort=A","Dates=H","DateFormat=P","Fill=—","Direction=H","UseDPDF=Y")</f>
        <v>0.122</v>
      </c>
      <c r="I21" s="25">
        <f>_xll.BDH("SRPT US Equity","IS_INT_INC","FQ4 2020","FQ4 2020","Currency=USD","Period=FQ","BEST_FPERIOD_OVERRIDE=FQ","FILING_STATUS=MR","SCALING_FORMAT=MLN","FA_ADJUSTED=Adjusted","Sort=A","Dates=H","DateFormat=P","Fill=—","Direction=H","UseDPDF=Y")</f>
        <v>7.0999999999999994E-2</v>
      </c>
      <c r="J21" s="25">
        <f>_xll.BDH("SRPT US Equity","IS_INT_INC","FQ1 2021","FQ1 2021","Currency=USD","Period=FQ","BEST_FPERIOD_OVERRIDE=FQ","FILING_STATUS=MR","SCALING_FORMAT=MLN","FA_ADJUSTED=Adjusted","Sort=A","Dates=H","DateFormat=P","Fill=—","Direction=H","UseDPDF=Y")</f>
        <v>5.8999999999999997E-2</v>
      </c>
      <c r="K21" s="25">
        <f>_xll.BDH("SRPT US Equity","IS_INT_INC","FQ2 2021","FQ2 2021","Currency=USD","Period=FQ","BEST_FPERIOD_OVERRIDE=FQ","FILING_STATUS=MR","SCALING_FORMAT=MLN","FA_ADJUSTED=Adjusted","Sort=A","Dates=H","DateFormat=P","Fill=—","Direction=H","UseDPDF=Y")</f>
        <v>5.1999999999999998E-2</v>
      </c>
      <c r="L21" s="25">
        <f>_xll.BDH("SRPT US Equity","IS_INT_INC","FQ3 2021","FQ3 2021","Currency=USD","Period=FQ","BEST_FPERIOD_OVERRIDE=FQ","FILING_STATUS=MR","SCALING_FORMAT=MLN","FA_ADJUSTED=Adjusted","Sort=A","Dates=H","DateFormat=P","Fill=—","Direction=H","UseDPDF=Y")</f>
        <v>0.14799999999999999</v>
      </c>
      <c r="M21" s="25">
        <f>_xll.BDH("SRPT US Equity","IS_INT_INC","FQ4 2021","FQ4 2021","Currency=USD","Period=FQ","BEST_FPERIOD_OVERRIDE=FQ","FILING_STATUS=MR","SCALING_FORMAT=MLN","FA_ADJUSTED=Adjusted","Sort=A","Dates=H","DateFormat=P","Fill=—","Direction=H","UseDPDF=Y")</f>
        <v>9.5000000000000001E-2</v>
      </c>
      <c r="N21" s="25">
        <f>_xll.BDH("SRPT US Equity","IS_INT_INC","FQ1 2022","FQ1 2022","Currency=USD","Period=FQ","BEST_FPERIOD_OVERRIDE=FQ","FILING_STATUS=MR","SCALING_FORMAT=MLN","FA_ADJUSTED=Adjusted","Sort=A","Dates=H","DateFormat=P","Fill=—","Direction=H","UseDPDF=Y")</f>
        <v>0.17299999999999999</v>
      </c>
      <c r="O21" s="25">
        <f>_xll.BDH("SRPT US Equity","IS_INT_INC","FQ2 2022","FQ2 2022","Currency=USD","Period=FQ","BEST_FPERIOD_OVERRIDE=FQ","FILING_STATUS=MR","SCALING_FORMAT=MLN","FA_ADJUSTED=Adjusted","Sort=A","Dates=H","DateFormat=P","Fill=—","Direction=H","UseDPDF=Y")</f>
        <v>2.4089999999999998</v>
      </c>
      <c r="P21" s="25">
        <f>_xll.BDH("SRPT US Equity","IS_INT_INC","FQ3 2022","FQ3 2022","Currency=USD","Period=FQ","BEST_FPERIOD_OVERRIDE=FQ","FILING_STATUS=MR","SCALING_FORMAT=MLN","FA_ADJUSTED=Adjusted","Sort=A","Dates=H","DateFormat=P","Fill=—","Direction=H","UseDPDF=Y")</f>
        <v>4.78</v>
      </c>
      <c r="Q21" s="25">
        <f>_xll.BDH("SRPT US Equity","IS_INT_INC","FQ4 2022","FQ4 2022","Currency=USD","Period=FQ","BEST_FPERIOD_OVERRIDE=FQ","FILING_STATUS=MR","SCALING_FORMAT=MLN","FA_ADJUSTED=Adjusted","Sort=A","Dates=H","DateFormat=P","Fill=—","Direction=H","UseDPDF=Y")</f>
        <v>9.1259999999999994</v>
      </c>
      <c r="R21" s="25">
        <f>_xll.BDH("SRPT US Equity","IS_INT_INC","FQ1 2023","FQ1 2023","Currency=USD","Period=FQ","BEST_FPERIOD_OVERRIDE=FQ","FILING_STATUS=MR","SCALING_FORMAT=MLN","FA_ADJUSTED=Adjusted","Sort=A","Dates=H","DateFormat=P","Fill=—","Direction=H","UseDPDF=Y")</f>
        <v>9.2759999999999998</v>
      </c>
      <c r="S21" s="25">
        <f>_xll.BDH("SRPT US Equity","IS_INT_INC","FQ2 2023","FQ2 2023","Currency=USD","Period=FQ","BEST_FPERIOD_OVERRIDE=FQ","FILING_STATUS=MR","SCALING_FORMAT=MLN","FA_ADJUSTED=Adjusted","Sort=A","Dates=H","DateFormat=P","Fill=—","Direction=H","UseDPDF=Y")</f>
        <v>8.4179999999999993</v>
      </c>
      <c r="T21" s="25">
        <f>_xll.BDH("SRPT US Equity","IS_INT_INC","FQ3 2023","FQ3 2023","Currency=USD","Period=FQ","BEST_FPERIOD_OVERRIDE=FQ","FILING_STATUS=MR","SCALING_FORMAT=MLN","FA_ADJUSTED=Adjusted","Sort=A","Dates=H","DateFormat=P","Fill=—","Direction=H","UseDPDF=Y")</f>
        <v>9.8379999999999992</v>
      </c>
      <c r="U21" s="25">
        <f>_xll.BDH("SRPT US Equity","IS_INT_INC","FQ4 2023","FQ4 2023","Currency=USD","Period=FQ","BEST_FPERIOD_OVERRIDE=FQ","FILING_STATUS=MR","SCALING_FORMAT=MLN","FA_ADJUSTED=Adjusted","Sort=A","Dates=H","DateFormat=P","Fill=—","Direction=H","UseDPDF=Y")</f>
        <v>8.7249999999999996</v>
      </c>
      <c r="V21" s="25">
        <f>_xll.BDH("SRPT US Equity","IS_INT_INC","FQ1 2024","FQ1 2024","Currency=USD","Period=FQ","BEST_FPERIOD_OVERRIDE=FQ","FILING_STATUS=MR","SCALING_FORMAT=MLN","FA_ADJUSTED=Adjusted","Sort=A","Dates=H","DateFormat=P","Fill=—","Direction=H","UseDPDF=Y")</f>
        <v>7.093</v>
      </c>
      <c r="W21" s="25">
        <f>_xll.BDH("SRPT US Equity","IS_INT_INC","FQ2 2024","FQ2 2024","Currency=USD","Period=FQ","BEST_FPERIOD_OVERRIDE=FQ","FILING_STATUS=MR","SCALING_FORMAT=MLN","FA_ADJUSTED=Adjusted","Sort=A","Dates=H","DateFormat=P","Fill=—","Direction=H","UseDPDF=Y")</f>
        <v>8.0760000000000005</v>
      </c>
      <c r="X21" s="25">
        <f>_xll.BDH("SRPT US Equity","IS_INT_INC","FQ3 2024","FQ3 2024","Currency=USD","Period=FQ","BEST_FPERIOD_OVERRIDE=FQ","FILING_STATUS=MR","SCALING_FORMAT=MLN","FA_ADJUSTED=Adjusted","Sort=A","Dates=H","DateFormat=P","Fill=—","Direction=H","UseDPDF=Y")</f>
        <v>7.5839999999999996</v>
      </c>
      <c r="Y21" s="25">
        <f>_xll.BDH("SRPT US Equity","IS_INT_INC","FQ4 2024","FQ4 2024","Currency=USD","Period=FQ","BEST_FPERIOD_OVERRIDE=FQ","FILING_STATUS=MR","SCALING_FORMAT=MLN","FA_ADJUSTED=Adjusted","Sort=A","Dates=H","DateFormat=P","Fill=—","Direction=H","UseDPDF=Y")</f>
        <v>7.8819999999999997</v>
      </c>
      <c r="Z21" s="25"/>
      <c r="AA21" s="25"/>
    </row>
    <row r="22" spans="1:27" x14ac:dyDescent="0.25">
      <c r="A22" s="10" t="s">
        <v>338</v>
      </c>
      <c r="B22" s="10" t="s">
        <v>339</v>
      </c>
      <c r="C22" s="13">
        <f>_xll.BDH("SRPT US Equity","IS_OTHER_NON_OPERATING_INC_LOSS","FQ2 2019","FQ2 2019","Currency=USD","Period=FQ","BEST_FPERIOD_OVERRIDE=FQ","FILING_STATUS=MR","SCALING_FORMAT=MLN","FA_ADJUSTED=Adjusted","Sort=A","Dates=H","DateFormat=P","Fill=—","Direction=H","UseDPDF=Y")</f>
        <v>0.86199999999999999</v>
      </c>
      <c r="D22" s="13">
        <f>_xll.BDH("SRPT US Equity","IS_OTHER_NON_OPERATING_INC_LOSS","FQ3 2019","FQ3 2019","Currency=USD","Period=FQ","BEST_FPERIOD_OVERRIDE=FQ","FILING_STATUS=MR","SCALING_FORMAT=MLN","FA_ADJUSTED=Adjusted","Sort=A","Dates=H","DateFormat=P","Fill=—","Direction=H","UseDPDF=Y")</f>
        <v>0.374</v>
      </c>
      <c r="E22" s="13">
        <f>_xll.BDH("SRPT US Equity","IS_OTHER_NON_OPERATING_INC_LOSS","FQ4 2019","FQ4 2019","Currency=USD","Period=FQ","BEST_FPERIOD_OVERRIDE=FQ","FILING_STATUS=MR","SCALING_FORMAT=MLN","FA_ADJUSTED=Adjusted","Sort=A","Dates=H","DateFormat=P","Fill=—","Direction=H","UseDPDF=Y")</f>
        <v>0.21099999999999999</v>
      </c>
      <c r="F22" s="13">
        <f>_xll.BDH("SRPT US Equity","IS_OTHER_NON_OPERATING_INC_LOSS","FQ1 2020","FQ1 2020","Currency=USD","Period=FQ","BEST_FPERIOD_OVERRIDE=FQ","FILING_STATUS=MR","SCALING_FORMAT=MLN","FA_ADJUSTED=Adjusted","Sort=A","Dates=H","DateFormat=P","Fill=—","Direction=H","UseDPDF=Y")</f>
        <v>-1.0920000000000001</v>
      </c>
      <c r="G22" s="13">
        <f>_xll.BDH("SRPT US Equity","IS_OTHER_NON_OPERATING_INC_LOSS","FQ2 2020","FQ2 2020","Currency=USD","Period=FQ","BEST_FPERIOD_OVERRIDE=FQ","FILING_STATUS=MR","SCALING_FORMAT=MLN","FA_ADJUSTED=Adjusted","Sort=A","Dates=H","DateFormat=P","Fill=—","Direction=H","UseDPDF=Y")</f>
        <v>0.371</v>
      </c>
      <c r="H22" s="13">
        <f>_xll.BDH("SRPT US Equity","IS_OTHER_NON_OPERATING_INC_LOSS","FQ3 2020","FQ3 2020","Currency=USD","Period=FQ","BEST_FPERIOD_OVERRIDE=FQ","FILING_STATUS=MR","SCALING_FORMAT=MLN","FA_ADJUSTED=Adjusted","Sort=A","Dates=H","DateFormat=P","Fill=—","Direction=H","UseDPDF=Y")</f>
        <v>0.88100000000000001</v>
      </c>
      <c r="I22" s="13">
        <f>_xll.BDH("SRPT US Equity","IS_OTHER_NON_OPERATING_INC_LOSS","FQ4 2020","FQ4 2020","Currency=USD","Period=FQ","BEST_FPERIOD_OVERRIDE=FQ","FILING_STATUS=MR","SCALING_FORMAT=MLN","FA_ADJUSTED=Adjusted","Sort=A","Dates=H","DateFormat=P","Fill=—","Direction=H","UseDPDF=Y")</f>
        <v>-0.67700000000000005</v>
      </c>
      <c r="J22" s="13">
        <f>_xll.BDH("SRPT US Equity","IS_OTHER_NON_OPERATING_INC_LOSS","FQ1 2021","FQ1 2021","Currency=USD","Period=FQ","BEST_FPERIOD_OVERRIDE=FQ","FILING_STATUS=MR","SCALING_FORMAT=MLN","FA_ADJUSTED=Adjusted","Sort=A","Dates=H","DateFormat=P","Fill=—","Direction=H","UseDPDF=Y")</f>
        <v>7.1999999999999995E-2</v>
      </c>
      <c r="K22" s="13">
        <f>_xll.BDH("SRPT US Equity","IS_OTHER_NON_OPERATING_INC_LOSS","FQ2 2021","FQ2 2021","Currency=USD","Period=FQ","BEST_FPERIOD_OVERRIDE=FQ","FILING_STATUS=MR","SCALING_FORMAT=MLN","FA_ADJUSTED=Adjusted","Sort=A","Dates=H","DateFormat=P","Fill=—","Direction=H","UseDPDF=Y")</f>
        <v>0.42699999999999999</v>
      </c>
      <c r="L22" s="13">
        <f>_xll.BDH("SRPT US Equity","IS_OTHER_NON_OPERATING_INC_LOSS","FQ3 2021","FQ3 2021","Currency=USD","Period=FQ","BEST_FPERIOD_OVERRIDE=FQ","FILING_STATUS=MR","SCALING_FORMAT=MLN","FA_ADJUSTED=Adjusted","Sort=A","Dates=H","DateFormat=P","Fill=—","Direction=H","UseDPDF=Y")</f>
        <v>-6.8860000000000001</v>
      </c>
      <c r="M22" s="13">
        <f>_xll.BDH("SRPT US Equity","IS_OTHER_NON_OPERATING_INC_LOSS","FQ4 2021","FQ4 2021","Currency=USD","Period=FQ","BEST_FPERIOD_OVERRIDE=FQ","FILING_STATUS=MR","SCALING_FORMAT=MLN","FA_ADJUSTED=Adjusted","Sort=A","Dates=H","DateFormat=P","Fill=—","Direction=H","UseDPDF=Y")</f>
        <v>0.123</v>
      </c>
      <c r="N22" s="13">
        <f>_xll.BDH("SRPT US Equity","IS_OTHER_NON_OPERATING_INC_LOSS","FQ1 2022","FQ1 2022","Currency=USD","Period=FQ","BEST_FPERIOD_OVERRIDE=FQ","FILING_STATUS=MR","SCALING_FORMAT=MLN","FA_ADJUSTED=Adjusted","Sort=A","Dates=H","DateFormat=P","Fill=—","Direction=H","UseDPDF=Y")</f>
        <v>1.6419999999999999</v>
      </c>
      <c r="O22" s="13">
        <f>_xll.BDH("SRPT US Equity","IS_OTHER_NON_OPERATING_INC_LOSS","FQ2 2022","FQ2 2022","Currency=USD","Period=FQ","BEST_FPERIOD_OVERRIDE=FQ","FILING_STATUS=MR","SCALING_FORMAT=MLN","FA_ADJUSTED=Adjusted","Sort=A","Dates=H","DateFormat=P","Fill=—","Direction=H","UseDPDF=Y")</f>
        <v>4.673</v>
      </c>
      <c r="P22" s="13">
        <f>_xll.BDH("SRPT US Equity","IS_OTHER_NON_OPERATING_INC_LOSS","FQ3 2022","FQ3 2022","Currency=USD","Period=FQ","BEST_FPERIOD_OVERRIDE=FQ","FILING_STATUS=MR","SCALING_FORMAT=MLN","FA_ADJUSTED=Adjusted","Sort=A","Dates=H","DateFormat=P","Fill=—","Direction=H","UseDPDF=Y")</f>
        <v>-0.19900000000000001</v>
      </c>
      <c r="Q22" s="13">
        <f>_xll.BDH("SRPT US Equity","IS_OTHER_NON_OPERATING_INC_LOSS","FQ4 2022","FQ4 2022","Currency=USD","Period=FQ","BEST_FPERIOD_OVERRIDE=FQ","FILING_STATUS=MR","SCALING_FORMAT=MLN","FA_ADJUSTED=Adjusted","Sort=A","Dates=H","DateFormat=P","Fill=—","Direction=H","UseDPDF=Y")</f>
        <v>0.76300000000000001</v>
      </c>
      <c r="R22" s="13">
        <f>_xll.BDH("SRPT US Equity","IS_OTHER_NON_OPERATING_INC_LOSS","FQ1 2023","FQ1 2023","Currency=USD","Period=FQ","BEST_FPERIOD_OVERRIDE=FQ","FILING_STATUS=MR","SCALING_FORMAT=MLN","FA_ADJUSTED=Adjusted","Sort=A","Dates=H","DateFormat=P","Fill=—","Direction=H","UseDPDF=Y")</f>
        <v>-9.7539999999999996</v>
      </c>
      <c r="S22" s="13">
        <f>_xll.BDH("SRPT US Equity","IS_OTHER_NON_OPERATING_INC_LOSS","FQ2 2023","FQ2 2023","Currency=USD","Period=FQ","BEST_FPERIOD_OVERRIDE=FQ","FILING_STATUS=MR","SCALING_FORMAT=MLN","FA_ADJUSTED=Adjusted","Sort=A","Dates=H","DateFormat=P","Fill=—","Direction=H","UseDPDF=Y")</f>
        <v>-12.94</v>
      </c>
      <c r="T22" s="13">
        <f>_xll.BDH("SRPT US Equity","IS_OTHER_NON_OPERATING_INC_LOSS","FQ3 2023","FQ3 2023","Currency=USD","Period=FQ","BEST_FPERIOD_OVERRIDE=FQ","FILING_STATUS=MR","SCALING_FORMAT=MLN","FA_ADJUSTED=Adjusted","Sort=A","Dates=H","DateFormat=P","Fill=—","Direction=H","UseDPDF=Y")</f>
        <v>14.941000000000001</v>
      </c>
      <c r="U22" s="13">
        <f>_xll.BDH("SRPT US Equity","IS_OTHER_NON_OPERATING_INC_LOSS","FQ4 2023","FQ4 2023","Currency=USD","Period=FQ","BEST_FPERIOD_OVERRIDE=FQ","FILING_STATUS=MR","SCALING_FORMAT=MLN","FA_ADJUSTED=Adjusted","Sort=A","Dates=H","DateFormat=P","Fill=—","Direction=H","UseDPDF=Y")</f>
        <v>-12.255000000000001</v>
      </c>
      <c r="V22" s="13">
        <f>_xll.BDH("SRPT US Equity","IS_OTHER_NON_OPERATING_INC_LOSS","FQ1 2024","FQ1 2024","Currency=USD","Period=FQ","BEST_FPERIOD_OVERRIDE=FQ","FILING_STATUS=MR","SCALING_FORMAT=MLN","FA_ADJUSTED=Adjusted","Sort=A","Dates=H","DateFormat=P","Fill=—","Direction=H","UseDPDF=Y")</f>
        <v>-13.715999999999999</v>
      </c>
      <c r="W22" s="13">
        <f>_xll.BDH("SRPT US Equity","IS_OTHER_NON_OPERATING_INC_LOSS","FQ2 2024","FQ2 2024","Currency=USD","Period=FQ","BEST_FPERIOD_OVERRIDE=FQ","FILING_STATUS=MR","SCALING_FORMAT=MLN","FA_ADJUSTED=Adjusted","Sort=A","Dates=H","DateFormat=P","Fill=—","Direction=H","UseDPDF=Y")</f>
        <v>-11.034000000000001</v>
      </c>
      <c r="X22" s="13">
        <f>_xll.BDH("SRPT US Equity","IS_OTHER_NON_OPERATING_INC_LOSS","FQ3 2024","FQ3 2024","Currency=USD","Period=FQ","BEST_FPERIOD_OVERRIDE=FQ","FILING_STATUS=MR","SCALING_FORMAT=MLN","FA_ADJUSTED=Adjusted","Sort=A","Dates=H","DateFormat=P","Fill=—","Direction=H","UseDPDF=Y")</f>
        <v>-7.609</v>
      </c>
      <c r="Y22" s="13">
        <f>_xll.BDH("SRPT US Equity","IS_OTHER_NON_OPERATING_INC_LOSS","FQ4 2024","FQ4 2024","Currency=USD","Period=FQ","BEST_FPERIOD_OVERRIDE=FQ","FILING_STATUS=MR","SCALING_FORMAT=MLN","FA_ADJUSTED=Adjusted","Sort=A","Dates=H","DateFormat=P","Fill=—","Direction=H","UseDPDF=Y")</f>
        <v>-5.9279999999999999</v>
      </c>
      <c r="Z22" s="13"/>
      <c r="AA22" s="13"/>
    </row>
    <row r="23" spans="1:27" x14ac:dyDescent="0.25">
      <c r="A23" s="6" t="s">
        <v>340</v>
      </c>
      <c r="B23" s="6" t="s">
        <v>158</v>
      </c>
      <c r="C23" s="19">
        <f>_xll.BDH("SRPT US Equity","PRETAX_INC","FQ2 2019","FQ2 2019","Currency=USD","Period=FQ","BEST_FPERIOD_OVERRIDE=FQ","FILING_STATUS=MR","SCALING_FORMAT=MLN","FA_ADJUSTED=Adjusted","Sort=A","Dates=H","DateFormat=P","Fill=—","Direction=H","UseDPDF=Y")</f>
        <v>-87.911000000000001</v>
      </c>
      <c r="D23" s="19">
        <f>_xll.BDH("SRPT US Equity","PRETAX_INC","FQ3 2019","FQ3 2019","Currency=USD","Period=FQ","BEST_FPERIOD_OVERRIDE=FQ","FILING_STATUS=MR","SCALING_FORMAT=MLN","FA_ADJUSTED=Adjusted","Sort=A","Dates=H","DateFormat=P","Fill=—","Direction=H","UseDPDF=Y")</f>
        <v>-113.95399999999999</v>
      </c>
      <c r="E23" s="19">
        <f>_xll.BDH("SRPT US Equity","PRETAX_INC","FQ4 2019","FQ4 2019","Currency=USD","Period=FQ","BEST_FPERIOD_OVERRIDE=FQ","FILING_STATUS=MR","SCALING_FORMAT=MLN","FA_ADJUSTED=Adjusted","Sort=A","Dates=H","DateFormat=P","Fill=—","Direction=H","UseDPDF=Y")</f>
        <v>-150.17599999999999</v>
      </c>
      <c r="F23" s="19">
        <f>_xll.BDH("SRPT US Equity","PRETAX_INC","FQ1 2020","FQ1 2020","Currency=USD","Period=FQ","BEST_FPERIOD_OVERRIDE=FQ","FILING_STATUS=MR","SCALING_FORMAT=MLN","FA_ADJUSTED=Adjusted","Sort=A","Dates=H","DateFormat=P","Fill=—","Direction=H","UseDPDF=Y")</f>
        <v>-114.154</v>
      </c>
      <c r="G23" s="19">
        <f>_xll.BDH("SRPT US Equity","PRETAX_INC","FQ2 2020","FQ2 2020","Currency=USD","Period=FQ","BEST_FPERIOD_OVERRIDE=FQ","FILING_STATUS=MR","SCALING_FORMAT=MLN","FA_ADJUSTED=Adjusted","Sort=A","Dates=H","DateFormat=P","Fill=—","Direction=H","UseDPDF=Y")</f>
        <v>-150.80000000000001</v>
      </c>
      <c r="H23" s="19">
        <f>_xll.BDH("SRPT US Equity","PRETAX_INC","FQ3 2020","FQ3 2020","Currency=USD","Period=FQ","BEST_FPERIOD_OVERRIDE=FQ","FILING_STATUS=MR","SCALING_FORMAT=MLN","FA_ADJUSTED=Adjusted","Sort=A","Dates=H","DateFormat=P","Fill=—","Direction=H","UseDPDF=Y")</f>
        <v>-136.02799999999999</v>
      </c>
      <c r="I23" s="19">
        <f>_xll.BDH("SRPT US Equity","PRETAX_INC","FQ4 2020","FQ4 2020","Currency=USD","Period=FQ","BEST_FPERIOD_OVERRIDE=FQ","FILING_STATUS=MR","SCALING_FORMAT=MLN","FA_ADJUSTED=Adjusted","Sort=A","Dates=H","DateFormat=P","Fill=—","Direction=H","UseDPDF=Y")</f>
        <v>-177.863</v>
      </c>
      <c r="J23" s="19">
        <f>_xll.BDH("SRPT US Equity","PRETAX_INC","FQ1 2021","FQ1 2021","Currency=USD","Period=FQ","BEST_FPERIOD_OVERRIDE=FQ","FILING_STATUS=MR","SCALING_FORMAT=MLN","FA_ADJUSTED=Adjusted","Sort=A","Dates=H","DateFormat=P","Fill=—","Direction=H","UseDPDF=Y")</f>
        <v>-153.393</v>
      </c>
      <c r="K23" s="19">
        <f>_xll.BDH("SRPT US Equity","PRETAX_INC","FQ2 2021","FQ2 2021","Currency=USD","Period=FQ","BEST_FPERIOD_OVERRIDE=FQ","FILING_STATUS=MR","SCALING_FORMAT=MLN","FA_ADJUSTED=Adjusted","Sort=A","Dates=H","DateFormat=P","Fill=—","Direction=H","UseDPDF=Y")</f>
        <v>-254.08199999999999</v>
      </c>
      <c r="L23" s="19">
        <f>_xll.BDH("SRPT US Equity","PRETAX_INC","FQ3 2021","FQ3 2021","Currency=USD","Period=FQ","BEST_FPERIOD_OVERRIDE=FQ","FILING_STATUS=MR","SCALING_FORMAT=MLN","FA_ADJUSTED=Adjusted","Sort=A","Dates=H","DateFormat=P","Fill=—","Direction=H","UseDPDF=Y")</f>
        <v>-43.418999999999997</v>
      </c>
      <c r="M23" s="19">
        <f>_xll.BDH("SRPT US Equity","PRETAX_INC","FQ4 2021","FQ4 2021","Currency=USD","Period=FQ","BEST_FPERIOD_OVERRIDE=FQ","FILING_STATUS=MR","SCALING_FORMAT=MLN","FA_ADJUSTED=Adjusted","Sort=A","Dates=H","DateFormat=P","Fill=—","Direction=H","UseDPDF=Y")</f>
        <v>-121.889</v>
      </c>
      <c r="N23" s="19">
        <f>_xll.BDH("SRPT US Equity","PRETAX_INC","FQ1 2022","FQ1 2022","Currency=USD","Period=FQ","BEST_FPERIOD_OVERRIDE=FQ","FILING_STATUS=MR","SCALING_FORMAT=MLN","FA_ADJUSTED=Adjusted","Sort=A","Dates=H","DateFormat=P","Fill=—","Direction=H","UseDPDF=Y")</f>
        <v>-104.146</v>
      </c>
      <c r="O23" s="19">
        <f>_xll.BDH("SRPT US Equity","PRETAX_INC","FQ2 2022","FQ2 2022","Currency=USD","Period=FQ","BEST_FPERIOD_OVERRIDE=FQ","FILING_STATUS=MR","SCALING_FORMAT=MLN","FA_ADJUSTED=Adjusted","Sort=A","Dates=H","DateFormat=P","Fill=—","Direction=H","UseDPDF=Y")</f>
        <v>-228.09299999999999</v>
      </c>
      <c r="P23" s="19">
        <f>_xll.BDH("SRPT US Equity","PRETAX_INC","FQ3 2022","FQ3 2022","Currency=USD","Period=FQ","BEST_FPERIOD_OVERRIDE=FQ","FILING_STATUS=MR","SCALING_FORMAT=MLN","FA_ADJUSTED=Adjusted","Sort=A","Dates=H","DateFormat=P","Fill=—","Direction=H","UseDPDF=Y")</f>
        <v>-137.67699999999999</v>
      </c>
      <c r="Q23" s="19">
        <f>_xll.BDH("SRPT US Equity","PRETAX_INC","FQ4 2022","FQ4 2022","Currency=USD","Period=FQ","BEST_FPERIOD_OVERRIDE=FQ","FILING_STATUS=MR","SCALING_FORMAT=MLN","FA_ADJUSTED=Adjusted","Sort=A","Dates=H","DateFormat=P","Fill=—","Direction=H","UseDPDF=Y")</f>
        <v>-98.730999999999995</v>
      </c>
      <c r="R23" s="19">
        <f>_xll.BDH("SRPT US Equity","PRETAX_INC","FQ1 2023","FQ1 2023","Currency=USD","Period=FQ","BEST_FPERIOD_OVERRIDE=FQ","FILING_STATUS=MR","SCALING_FORMAT=MLN","FA_ADJUSTED=Adjusted","Sort=A","Dates=H","DateFormat=P","Fill=—","Direction=H","UseDPDF=Y")</f>
        <v>-125.381</v>
      </c>
      <c r="S23" s="19">
        <f>_xll.BDH("SRPT US Equity","PRETAX_INC","FQ2 2023","FQ2 2023","Currency=USD","Period=FQ","BEST_FPERIOD_OVERRIDE=FQ","FILING_STATUS=MR","SCALING_FORMAT=MLN","FA_ADJUSTED=Adjusted","Sort=A","Dates=H","DateFormat=P","Fill=—","Direction=H","UseDPDF=Y")</f>
        <v>-117.38500000000001</v>
      </c>
      <c r="T23" s="19">
        <f>_xll.BDH("SRPT US Equity","PRETAX_INC","FQ3 2023","FQ3 2023","Currency=USD","Period=FQ","BEST_FPERIOD_OVERRIDE=FQ","FILING_STATUS=MR","SCALING_FORMAT=MLN","FA_ADJUSTED=Adjusted","Sort=A","Dates=H","DateFormat=P","Fill=—","Direction=H","UseDPDF=Y")</f>
        <v>-31.173999999999999</v>
      </c>
      <c r="U23" s="19">
        <f>_xll.BDH("SRPT US Equity","PRETAX_INC","FQ4 2023","FQ4 2023","Currency=USD","Period=FQ","BEST_FPERIOD_OVERRIDE=FQ","FILING_STATUS=MR","SCALING_FORMAT=MLN","FA_ADJUSTED=Adjusted","Sort=A","Dates=H","DateFormat=P","Fill=—","Direction=H","UseDPDF=Y")</f>
        <v>40.371000000000002</v>
      </c>
      <c r="V23" s="19">
        <f>_xll.BDH("SRPT US Equity","PRETAX_INC","FQ1 2024","FQ1 2024","Currency=USD","Period=FQ","BEST_FPERIOD_OVERRIDE=FQ","FILING_STATUS=MR","SCALING_FORMAT=MLN","FA_ADJUSTED=Adjusted","Sort=A","Dates=H","DateFormat=P","Fill=—","Direction=H","UseDPDF=Y")</f>
        <v>51.548000000000002</v>
      </c>
      <c r="W23" s="19">
        <f>_xll.BDH("SRPT US Equity","PRETAX_INC","FQ2 2024","FQ2 2024","Currency=USD","Period=FQ","BEST_FPERIOD_OVERRIDE=FQ","FILING_STATUS=MR","SCALING_FORMAT=MLN","FA_ADJUSTED=Adjusted","Sort=A","Dates=H","DateFormat=P","Fill=—","Direction=H","UseDPDF=Y")</f>
        <v>13.577</v>
      </c>
      <c r="X23" s="19">
        <f>_xll.BDH("SRPT US Equity","PRETAX_INC","FQ3 2024","FQ3 2024","Currency=USD","Period=FQ","BEST_FPERIOD_OVERRIDE=FQ","FILING_STATUS=MR","SCALING_FORMAT=MLN","FA_ADJUSTED=Adjusted","Sort=A","Dates=H","DateFormat=P","Fill=—","Direction=H","UseDPDF=Y")</f>
        <v>32.470999999999997</v>
      </c>
      <c r="Y23" s="19">
        <f>_xll.BDH("SRPT US Equity","PRETAX_INC","FQ4 2024","FQ4 2024","Currency=USD","Period=FQ","BEST_FPERIOD_OVERRIDE=FQ","FILING_STATUS=MR","SCALING_FORMAT=MLN","FA_ADJUSTED=Adjusted","Sort=A","Dates=H","DateFormat=P","Fill=—","Direction=H","UseDPDF=Y")</f>
        <v>171.01599999999999</v>
      </c>
      <c r="Z23" s="19">
        <v>196.2</v>
      </c>
      <c r="AA23" s="19">
        <v>273.88200000000001</v>
      </c>
    </row>
    <row r="24" spans="1:27" x14ac:dyDescent="0.25">
      <c r="A24" s="10" t="s">
        <v>341</v>
      </c>
      <c r="B24" s="10" t="s">
        <v>342</v>
      </c>
      <c r="C24" s="13">
        <f>_xll.BDH("SRPT US Equity","IS_ABNORMAL_ITEM","FQ2 2019","FQ2 2019","Currency=USD","Period=FQ","BEST_FPERIOD_OVERRIDE=FQ","FILING_STATUS=MR","SCALING_FORMAT=MLN","Sort=A","Dates=H","DateFormat=P","Fill=—","Direction=H","UseDPDF=Y")</f>
        <v>188.31800000000001</v>
      </c>
      <c r="D24" s="13">
        <f>_xll.BDH("SRPT US Equity","IS_ABNORMAL_ITEM","FQ3 2019","FQ3 2019","Currency=USD","Period=FQ","BEST_FPERIOD_OVERRIDE=FQ","FILING_STATUS=MR","SCALING_FORMAT=MLN","Sort=A","Dates=H","DateFormat=P","Fill=—","Direction=H","UseDPDF=Y")</f>
        <v>12.146000000000001</v>
      </c>
      <c r="E24" s="13">
        <f>_xll.BDH("SRPT US Equity","IS_ABNORMAL_ITEM","FQ4 2019","FQ4 2019","Currency=USD","Period=FQ","BEST_FPERIOD_OVERRIDE=FQ","FILING_STATUS=MR","SCALING_FORMAT=MLN","Sort=A","Dates=H","DateFormat=P","Fill=—","Direction=H","UseDPDF=Y")</f>
        <v>84.816000000000003</v>
      </c>
      <c r="F24" s="13">
        <f>_xll.BDH("SRPT US Equity","IS_ABNORMAL_ITEM","FQ1 2020","FQ1 2020","Currency=USD","Period=FQ","BEST_FPERIOD_OVERRIDE=FQ","FILING_STATUS=MR","SCALING_FORMAT=MLN","Sort=A","Dates=H","DateFormat=P","Fill=—","Direction=H","UseDPDF=Y")</f>
        <v>-96.777000000000001</v>
      </c>
      <c r="G24" s="13">
        <f>_xll.BDH("SRPT US Equity","IS_ABNORMAL_ITEM","FQ2 2020","FQ2 2020","Currency=USD","Period=FQ","BEST_FPERIOD_OVERRIDE=FQ","FILING_STATUS=MR","SCALING_FORMAT=MLN","Sort=A","Dates=H","DateFormat=P","Fill=—","Direction=H","UseDPDF=Y")</f>
        <v>0</v>
      </c>
      <c r="H24" s="13">
        <f>_xll.BDH("SRPT US Equity","IS_ABNORMAL_ITEM","FQ3 2020","FQ3 2020","Currency=USD","Period=FQ","BEST_FPERIOD_OVERRIDE=FQ","FILING_STATUS=MR","SCALING_FORMAT=MLN","Sort=A","Dates=H","DateFormat=P","Fill=—","Direction=H","UseDPDF=Y")</f>
        <v>60.375</v>
      </c>
      <c r="I24" s="13">
        <f>_xll.BDH("SRPT US Equity","IS_ABNORMAL_ITEM","FQ4 2020","FQ4 2020","Currency=USD","Period=FQ","BEST_FPERIOD_OVERRIDE=FQ","FILING_STATUS=MR","SCALING_FORMAT=MLN","Sort=A","Dates=H","DateFormat=P","Fill=—","Direction=H","UseDPDF=Y")</f>
        <v>10.622</v>
      </c>
      <c r="J24" s="13">
        <f>_xll.BDH("SRPT US Equity","IS_ABNORMAL_ITEM","FQ1 2021","FQ1 2021","Currency=USD","Period=FQ","BEST_FPERIOD_OVERRIDE=FQ","FILING_STATUS=MR","SCALING_FORMAT=MLN","Sort=A","Dates=H","DateFormat=P","Fill=—","Direction=H","UseDPDF=Y")</f>
        <v>14</v>
      </c>
      <c r="K24" s="13">
        <f>_xll.BDH("SRPT US Equity","IS_ABNORMAL_ITEM","FQ2 2021","FQ2 2021","Currency=USD","Period=FQ","BEST_FPERIOD_OVERRIDE=FQ","FILING_STATUS=MR","SCALING_FORMAT=MLN","Sort=A","Dates=H","DateFormat=P","Fill=—","Direction=H","UseDPDF=Y")</f>
        <v>-172.32300000000001</v>
      </c>
      <c r="L24" s="13">
        <f>_xll.BDH("SRPT US Equity","IS_ABNORMAL_ITEM","FQ3 2021","FQ3 2021","Currency=USD","Period=FQ","BEST_FPERIOD_OVERRIDE=FQ","FILING_STATUS=MR","SCALING_FORMAT=MLN","Sort=A","Dates=H","DateFormat=P","Fill=—","Direction=H","UseDPDF=Y")</f>
        <v>4.4880000000000004</v>
      </c>
      <c r="M24" s="13">
        <f>_xll.BDH("SRPT US Equity","IS_ABNORMAL_ITEM","FQ4 2021","FQ4 2021","Currency=USD","Period=FQ","BEST_FPERIOD_OVERRIDE=FQ","FILING_STATUS=MR","SCALING_FORMAT=MLN","Sort=A","Dates=H","DateFormat=P","Fill=—","Direction=H","UseDPDF=Y")</f>
        <v>0</v>
      </c>
      <c r="N24" s="13">
        <f>_xll.BDH("SRPT US Equity","IS_ABNORMAL_ITEM","FQ1 2022","FQ1 2022","Currency=USD","Period=FQ","BEST_FPERIOD_OVERRIDE=FQ","FILING_STATUS=MR","SCALING_FORMAT=MLN","Sort=A","Dates=H","DateFormat=P","Fill=—","Direction=H","UseDPDF=Y")</f>
        <v>0</v>
      </c>
      <c r="O24" s="13">
        <f>_xll.BDH("SRPT US Equity","IS_ABNORMAL_ITEM","FQ2 2022","FQ2 2022","Currency=USD","Period=FQ","BEST_FPERIOD_OVERRIDE=FQ","FILING_STATUS=MR","SCALING_FORMAT=MLN","Sort=A","Dates=H","DateFormat=P","Fill=—","Direction=H","UseDPDF=Y")</f>
        <v>0</v>
      </c>
      <c r="P24" s="13">
        <f>_xll.BDH("SRPT US Equity","IS_ABNORMAL_ITEM","FQ3 2022","FQ3 2022","Currency=USD","Period=FQ","BEST_FPERIOD_OVERRIDE=FQ","FILING_STATUS=MR","SCALING_FORMAT=MLN","Sort=A","Dates=H","DateFormat=P","Fill=—","Direction=H","UseDPDF=Y")</f>
        <v>118.741</v>
      </c>
      <c r="Q24" s="13">
        <f>_xll.BDH("SRPT US Equity","IS_ABNORMAL_ITEM","FQ4 2022","FQ4 2022","Currency=USD","Period=FQ","BEST_FPERIOD_OVERRIDE=FQ","FILING_STATUS=MR","SCALING_FORMAT=MLN","Sort=A","Dates=H","DateFormat=P","Fill=—","Direction=H","UseDPDF=Y")</f>
        <v>2.5750000000000002</v>
      </c>
      <c r="R24" s="13">
        <f>_xll.BDH("SRPT US Equity","IS_ABNORMAL_ITEM","FQ1 2023","FQ1 2023","Currency=USD","Period=FQ","BEST_FPERIOD_OVERRIDE=FQ","FILING_STATUS=MR","SCALING_FORMAT=MLN","Sort=A","Dates=H","DateFormat=P","Fill=—","Direction=H","UseDPDF=Y")</f>
        <v>387.32900000000001</v>
      </c>
      <c r="S24" s="13">
        <f>_xll.BDH("SRPT US Equity","IS_ABNORMAL_ITEM","FQ2 2023","FQ2 2023","Currency=USD","Period=FQ","BEST_FPERIOD_OVERRIDE=FQ","FILING_STATUS=MR","SCALING_FORMAT=MLN","Sort=A","Dates=H","DateFormat=P","Fill=—","Direction=H","UseDPDF=Y")</f>
        <v>-102.8</v>
      </c>
      <c r="T24" s="13">
        <f>_xll.BDH("SRPT US Equity","IS_ABNORMAL_ITEM","FQ3 2023","FQ3 2023","Currency=USD","Period=FQ","BEST_FPERIOD_OVERRIDE=FQ","FILING_STATUS=MR","SCALING_FORMAT=MLN","Sort=A","Dates=H","DateFormat=P","Fill=—","Direction=H","UseDPDF=Y")</f>
        <v>2</v>
      </c>
      <c r="U24" s="13">
        <f>_xll.BDH("SRPT US Equity","IS_ABNORMAL_ITEM","FQ4 2023","FQ4 2023","Currency=USD","Period=FQ","BEST_FPERIOD_OVERRIDE=FQ","FILING_STATUS=MR","SCALING_FORMAT=MLN","Sort=A","Dates=H","DateFormat=P","Fill=—","Direction=H","UseDPDF=Y")</f>
        <v>0</v>
      </c>
      <c r="V24" s="13">
        <f>_xll.BDH("SRPT US Equity","IS_ABNORMAL_ITEM","FQ1 2024","FQ1 2024","Currency=USD","Period=FQ","BEST_FPERIOD_OVERRIDE=FQ","FILING_STATUS=MR","SCALING_FORMAT=MLN","Sort=A","Dates=H","DateFormat=P","Fill=—","Direction=H","UseDPDF=Y")</f>
        <v>10.1</v>
      </c>
      <c r="W24" s="13">
        <f>_xll.BDH("SRPT US Equity","IS_ABNORMAL_ITEM","FQ2 2024","FQ2 2024","Currency=USD","Period=FQ","BEST_FPERIOD_OVERRIDE=FQ","FILING_STATUS=MR","SCALING_FORMAT=MLN","Sort=A","Dates=H","DateFormat=P","Fill=—","Direction=H","UseDPDF=Y")</f>
        <v>0</v>
      </c>
      <c r="X24" s="13">
        <f>_xll.BDH("SRPT US Equity","IS_ABNORMAL_ITEM","FQ3 2024","FQ3 2024","Currency=USD","Period=FQ","BEST_FPERIOD_OVERRIDE=FQ","FILING_STATUS=MR","SCALING_FORMAT=MLN","Sort=A","Dates=H","DateFormat=P","Fill=—","Direction=H","UseDPDF=Y")</f>
        <v>-1.5349999999999999</v>
      </c>
      <c r="Y24" s="13">
        <f>_xll.BDH("SRPT US Equity","IS_ABNORMAL_ITEM","FQ4 2024","FQ4 2024","Currency=USD","Period=FQ","BEST_FPERIOD_OVERRIDE=FQ","FILING_STATUS=MR","SCALING_FORMAT=MLN","Sort=A","Dates=H","DateFormat=P","Fill=—","Direction=H","UseDPDF=Y")</f>
        <v>-0.72699999999999998</v>
      </c>
      <c r="Z24" s="13"/>
      <c r="AA24" s="13"/>
    </row>
    <row r="25" spans="1:27" x14ac:dyDescent="0.25">
      <c r="A25" s="10" t="s">
        <v>343</v>
      </c>
      <c r="B25" s="10" t="s">
        <v>344</v>
      </c>
      <c r="C25" s="13">
        <f>_xll.BDH("SRPT US Equity","IS_ACQUIRED_PROCESS_RD","FQ2 2019","FQ2 2019","Currency=USD","Period=FQ","BEST_FPERIOD_OVERRIDE=FQ","FILING_STATUS=MR","SCALING_FORMAT=MLN","Sort=A","Dates=H","DateFormat=P","Fill=—","Direction=H","UseDPDF=Y")</f>
        <v>173.24</v>
      </c>
      <c r="D25" s="13" t="str">
        <f>_xll.BDH("SRPT US Equity","IS_ACQUIRED_PROCESS_RD","FQ3 2019","FQ3 2019","Currency=USD","Period=FQ","BEST_FPERIOD_OVERRIDE=FQ","FILING_STATUS=MR","SCALING_FORMAT=MLN","Sort=A","Dates=H","DateFormat=P","Fill=—","Direction=H","UseDPDF=Y")</f>
        <v>—</v>
      </c>
      <c r="E25" s="13" t="str">
        <f>_xll.BDH("SRPT US Equity","IS_ACQUIRED_PROCESS_RD","FQ4 2019","FQ4 2019","Currency=USD","Period=FQ","BEST_FPERIOD_OVERRIDE=FQ","FILING_STATUS=MR","SCALING_FORMAT=MLN","Sort=A","Dates=H","DateFormat=P","Fill=—","Direction=H","UseDPDF=Y")</f>
        <v>—</v>
      </c>
      <c r="F25" s="13" t="str">
        <f>_xll.BDH("SRPT US Equity","IS_ACQUIRED_PROCESS_RD","FQ1 2020","FQ1 2020","Currency=USD","Period=FQ","BEST_FPERIOD_OVERRIDE=FQ","FILING_STATUS=MR","SCALING_FORMAT=MLN","Sort=A","Dates=H","DateFormat=P","Fill=—","Direction=H","UseDPDF=Y")</f>
        <v>—</v>
      </c>
      <c r="G25" s="13" t="str">
        <f>_xll.BDH("SRPT US Equity","IS_ACQUIRED_PROCESS_RD","FQ2 2020","FQ2 2020","Currency=USD","Period=FQ","BEST_FPERIOD_OVERRIDE=FQ","FILING_STATUS=MR","SCALING_FORMAT=MLN","Sort=A","Dates=H","DateFormat=P","Fill=—","Direction=H","UseDPDF=Y")</f>
        <v>—</v>
      </c>
      <c r="H25" s="13" t="str">
        <f>_xll.BDH("SRPT US Equity","IS_ACQUIRED_PROCESS_RD","FQ3 2020","FQ3 2020","Currency=USD","Period=FQ","BEST_FPERIOD_OVERRIDE=FQ","FILING_STATUS=MR","SCALING_FORMAT=MLN","Sort=A","Dates=H","DateFormat=P","Fill=—","Direction=H","UseDPDF=Y")</f>
        <v>—</v>
      </c>
      <c r="I25" s="13" t="str">
        <f>_xll.BDH("SRPT US Equity","IS_ACQUIRED_PROCESS_RD","FQ4 2020","FQ4 2020","Currency=USD","Period=FQ","BEST_FPERIOD_OVERRIDE=FQ","FILING_STATUS=MR","SCALING_FORMAT=MLN","Sort=A","Dates=H","DateFormat=P","Fill=—","Direction=H","UseDPDF=Y")</f>
        <v>—</v>
      </c>
      <c r="J25" s="13" t="str">
        <f>_xll.BDH("SRPT US Equity","IS_ACQUIRED_PROCESS_RD","FQ1 2021","FQ1 2021","Currency=USD","Period=FQ","BEST_FPERIOD_OVERRIDE=FQ","FILING_STATUS=MR","SCALING_FORMAT=MLN","Sort=A","Dates=H","DateFormat=P","Fill=—","Direction=H","UseDPDF=Y")</f>
        <v>—</v>
      </c>
      <c r="K25" s="13" t="str">
        <f>_xll.BDH("SRPT US Equity","IS_ACQUIRED_PROCESS_RD","FQ2 2021","FQ2 2021","Currency=USD","Period=FQ","BEST_FPERIOD_OVERRIDE=FQ","FILING_STATUS=MR","SCALING_FORMAT=MLN","Sort=A","Dates=H","DateFormat=P","Fill=—","Direction=H","UseDPDF=Y")</f>
        <v>—</v>
      </c>
      <c r="L25" s="13" t="str">
        <f>_xll.BDH("SRPT US Equity","IS_ACQUIRED_PROCESS_RD","FQ3 2021","FQ3 2021","Currency=USD","Period=FQ","BEST_FPERIOD_OVERRIDE=FQ","FILING_STATUS=MR","SCALING_FORMAT=MLN","Sort=A","Dates=H","DateFormat=P","Fill=—","Direction=H","UseDPDF=Y")</f>
        <v>—</v>
      </c>
      <c r="M25" s="13" t="str">
        <f>_xll.BDH("SRPT US Equity","IS_ACQUIRED_PROCESS_RD","FQ4 2021","FQ4 2021","Currency=USD","Period=FQ","BEST_FPERIOD_OVERRIDE=FQ","FILING_STATUS=MR","SCALING_FORMAT=MLN","Sort=A","Dates=H","DateFormat=P","Fill=—","Direction=H","UseDPDF=Y")</f>
        <v>—</v>
      </c>
      <c r="N25" s="13" t="str">
        <f>_xll.BDH("SRPT US Equity","IS_ACQUIRED_PROCESS_RD","FQ1 2022","FQ1 2022","Currency=USD","Period=FQ","BEST_FPERIOD_OVERRIDE=FQ","FILING_STATUS=MR","SCALING_FORMAT=MLN","Sort=A","Dates=H","DateFormat=P","Fill=—","Direction=H","UseDPDF=Y")</f>
        <v>—</v>
      </c>
      <c r="O25" s="13" t="str">
        <f>_xll.BDH("SRPT US Equity","IS_ACQUIRED_PROCESS_RD","FQ2 2022","FQ2 2022","Currency=USD","Period=FQ","BEST_FPERIOD_OVERRIDE=FQ","FILING_STATUS=MR","SCALING_FORMAT=MLN","Sort=A","Dates=H","DateFormat=P","Fill=—","Direction=H","UseDPDF=Y")</f>
        <v>—</v>
      </c>
      <c r="P25" s="13" t="str">
        <f>_xll.BDH("SRPT US Equity","IS_ACQUIRED_PROCESS_RD","FQ3 2022","FQ3 2022","Currency=USD","Period=FQ","BEST_FPERIOD_OVERRIDE=FQ","FILING_STATUS=MR","SCALING_FORMAT=MLN","Sort=A","Dates=H","DateFormat=P","Fill=—","Direction=H","UseDPDF=Y")</f>
        <v>—</v>
      </c>
      <c r="Q25" s="13" t="str">
        <f>_xll.BDH("SRPT US Equity","IS_ACQUIRED_PROCESS_RD","FQ4 2022","FQ4 2022","Currency=USD","Period=FQ","BEST_FPERIOD_OVERRIDE=FQ","FILING_STATUS=MR","SCALING_FORMAT=MLN","Sort=A","Dates=H","DateFormat=P","Fill=—","Direction=H","UseDPDF=Y")</f>
        <v>—</v>
      </c>
      <c r="R25" s="13" t="str">
        <f>_xll.BDH("SRPT US Equity","IS_ACQUIRED_PROCESS_RD","FQ1 2023","FQ1 2023","Currency=USD","Period=FQ","BEST_FPERIOD_OVERRIDE=FQ","FILING_STATUS=MR","SCALING_FORMAT=MLN","Sort=A","Dates=H","DateFormat=P","Fill=—","Direction=H","UseDPDF=Y")</f>
        <v>—</v>
      </c>
      <c r="S25" s="13" t="str">
        <f>_xll.BDH("SRPT US Equity","IS_ACQUIRED_PROCESS_RD","FQ2 2023","FQ2 2023","Currency=USD","Period=FQ","BEST_FPERIOD_OVERRIDE=FQ","FILING_STATUS=MR","SCALING_FORMAT=MLN","Sort=A","Dates=H","DateFormat=P","Fill=—","Direction=H","UseDPDF=Y")</f>
        <v>—</v>
      </c>
      <c r="T25" s="13" t="str">
        <f>_xll.BDH("SRPT US Equity","IS_ACQUIRED_PROCESS_RD","FQ3 2023","FQ3 2023","Currency=USD","Period=FQ","BEST_FPERIOD_OVERRIDE=FQ","FILING_STATUS=MR","SCALING_FORMAT=MLN","Sort=A","Dates=H","DateFormat=P","Fill=—","Direction=H","UseDPDF=Y")</f>
        <v>—</v>
      </c>
      <c r="U25" s="13" t="str">
        <f>_xll.BDH("SRPT US Equity","IS_ACQUIRED_PROCESS_RD","FQ4 2023","FQ4 2023","Currency=USD","Period=FQ","BEST_FPERIOD_OVERRIDE=FQ","FILING_STATUS=MR","SCALING_FORMAT=MLN","Sort=A","Dates=H","DateFormat=P","Fill=—","Direction=H","UseDPDF=Y")</f>
        <v>—</v>
      </c>
      <c r="V25" s="13" t="str">
        <f>_xll.BDH("SRPT US Equity","IS_ACQUIRED_PROCESS_RD","FQ1 2024","FQ1 2024","Currency=USD","Period=FQ","BEST_FPERIOD_OVERRIDE=FQ","FILING_STATUS=MR","SCALING_FORMAT=MLN","Sort=A","Dates=H","DateFormat=P","Fill=—","Direction=H","UseDPDF=Y")</f>
        <v>—</v>
      </c>
      <c r="W25" s="13" t="str">
        <f>_xll.BDH("SRPT US Equity","IS_ACQUIRED_PROCESS_RD","FQ2 2024","FQ2 2024","Currency=USD","Period=FQ","BEST_FPERIOD_OVERRIDE=FQ","FILING_STATUS=MR","SCALING_FORMAT=MLN","Sort=A","Dates=H","DateFormat=P","Fill=—","Direction=H","UseDPDF=Y")</f>
        <v>—</v>
      </c>
      <c r="X25" s="13" t="str">
        <f>_xll.BDH("SRPT US Equity","IS_ACQUIRED_PROCESS_RD","FQ3 2024","FQ3 2024","Currency=USD","Period=FQ","BEST_FPERIOD_OVERRIDE=FQ","FILING_STATUS=MR","SCALING_FORMAT=MLN","Sort=A","Dates=H","DateFormat=P","Fill=—","Direction=H","UseDPDF=Y")</f>
        <v>—</v>
      </c>
      <c r="Y25" s="13" t="str">
        <f>_xll.BDH("SRPT US Equity","IS_ACQUIRED_PROCESS_RD","FQ4 2024","FQ4 2024","Currency=USD","Period=FQ","BEST_FPERIOD_OVERRIDE=FQ","FILING_STATUS=MR","SCALING_FORMAT=MLN","Sort=A","Dates=H","DateFormat=P","Fill=—","Direction=H","UseDPDF=Y")</f>
        <v>—</v>
      </c>
      <c r="Z25" s="13"/>
      <c r="AA25" s="13"/>
    </row>
    <row r="26" spans="1:27" x14ac:dyDescent="0.25">
      <c r="A26" s="10" t="s">
        <v>345</v>
      </c>
      <c r="B26" s="10" t="s">
        <v>346</v>
      </c>
      <c r="C26" s="13" t="str">
        <f>_xll.BDH("SRPT US Equity","IS_MERGER_ACQUISITION_EXPENSE","FQ2 2019","FQ2 2019","Currency=USD","Period=FQ","BEST_FPERIOD_OVERRIDE=FQ","FILING_STATUS=MR","SCALING_FORMAT=MLN","Sort=A","Dates=H","DateFormat=P","Fill=—","Direction=H","UseDPDF=Y")</f>
        <v>—</v>
      </c>
      <c r="D26" s="13" t="str">
        <f>_xll.BDH("SRPT US Equity","IS_MERGER_ACQUISITION_EXPENSE","FQ3 2019","FQ3 2019","Currency=USD","Period=FQ","BEST_FPERIOD_OVERRIDE=FQ","FILING_STATUS=MR","SCALING_FORMAT=MLN","Sort=A","Dates=H","DateFormat=P","Fill=—","Direction=H","UseDPDF=Y")</f>
        <v>—</v>
      </c>
      <c r="E26" s="13" t="str">
        <f>_xll.BDH("SRPT US Equity","IS_MERGER_ACQUISITION_EXPENSE","FQ4 2019","FQ4 2019","Currency=USD","Period=FQ","BEST_FPERIOD_OVERRIDE=FQ","FILING_STATUS=MR","SCALING_FORMAT=MLN","Sort=A","Dates=H","DateFormat=P","Fill=—","Direction=H","UseDPDF=Y")</f>
        <v>—</v>
      </c>
      <c r="F26" s="13">
        <f>_xll.BDH("SRPT US Equity","IS_MERGER_ACQUISITION_EXPENSE","FQ1 2020","FQ1 2020","Currency=USD","Period=FQ","BEST_FPERIOD_OVERRIDE=FQ","FILING_STATUS=MR","SCALING_FORMAT=MLN","Sort=A","Dates=H","DateFormat=P","Fill=—","Direction=H","UseDPDF=Y")</f>
        <v>11.292</v>
      </c>
      <c r="G26" s="13" t="str">
        <f>_xll.BDH("SRPT US Equity","IS_MERGER_ACQUISITION_EXPENSE","FQ2 2020","FQ2 2020","Currency=USD","Period=FQ","BEST_FPERIOD_OVERRIDE=FQ","FILING_STATUS=MR","SCALING_FORMAT=MLN","Sort=A","Dates=H","DateFormat=P","Fill=—","Direction=H","UseDPDF=Y")</f>
        <v>—</v>
      </c>
      <c r="H26" s="13" t="str">
        <f>_xll.BDH("SRPT US Equity","IS_MERGER_ACQUISITION_EXPENSE","FQ3 2020","FQ3 2020","Currency=USD","Period=FQ","BEST_FPERIOD_OVERRIDE=FQ","FILING_STATUS=MR","SCALING_FORMAT=MLN","Sort=A","Dates=H","DateFormat=P","Fill=—","Direction=H","UseDPDF=Y")</f>
        <v>—</v>
      </c>
      <c r="I26" s="13" t="str">
        <f>_xll.BDH("SRPT US Equity","IS_MERGER_ACQUISITION_EXPENSE","FQ4 2020","FQ4 2020","Currency=USD","Period=FQ","BEST_FPERIOD_OVERRIDE=FQ","FILING_STATUS=MR","SCALING_FORMAT=MLN","Sort=A","Dates=H","DateFormat=P","Fill=—","Direction=H","UseDPDF=Y")</f>
        <v>—</v>
      </c>
      <c r="J26" s="13" t="str">
        <f>_xll.BDH("SRPT US Equity","IS_MERGER_ACQUISITION_EXPENSE","FQ1 2021","FQ1 2021","Currency=USD","Period=FQ","BEST_FPERIOD_OVERRIDE=FQ","FILING_STATUS=MR","SCALING_FORMAT=MLN","Sort=A","Dates=H","DateFormat=P","Fill=—","Direction=H","UseDPDF=Y")</f>
        <v>—</v>
      </c>
      <c r="K26" s="13" t="str">
        <f>_xll.BDH("SRPT US Equity","IS_MERGER_ACQUISITION_EXPENSE","FQ2 2021","FQ2 2021","Currency=USD","Period=FQ","BEST_FPERIOD_OVERRIDE=FQ","FILING_STATUS=MR","SCALING_FORMAT=MLN","Sort=A","Dates=H","DateFormat=P","Fill=—","Direction=H","UseDPDF=Y")</f>
        <v>—</v>
      </c>
      <c r="L26" s="13">
        <f>_xll.BDH("SRPT US Equity","IS_MERGER_ACQUISITION_EXPENSE","FQ3 2021","FQ3 2021","Currency=USD","Period=FQ","BEST_FPERIOD_OVERRIDE=FQ","FILING_STATUS=MR","SCALING_FORMAT=MLN","Sort=A","Dates=H","DateFormat=P","Fill=—","Direction=H","UseDPDF=Y")</f>
        <v>7.2</v>
      </c>
      <c r="M26" s="13" t="str">
        <f>_xll.BDH("SRPT US Equity","IS_MERGER_ACQUISITION_EXPENSE","FQ4 2021","FQ4 2021","Currency=USD","Period=FQ","BEST_FPERIOD_OVERRIDE=FQ","FILING_STATUS=MR","SCALING_FORMAT=MLN","Sort=A","Dates=H","DateFormat=P","Fill=—","Direction=H","UseDPDF=Y")</f>
        <v>—</v>
      </c>
      <c r="N26" s="13" t="str">
        <f>_xll.BDH("SRPT US Equity","IS_MERGER_ACQUISITION_EXPENSE","FQ1 2022","FQ1 2022","Currency=USD","Period=FQ","BEST_FPERIOD_OVERRIDE=FQ","FILING_STATUS=MR","SCALING_FORMAT=MLN","Sort=A","Dates=H","DateFormat=P","Fill=—","Direction=H","UseDPDF=Y")</f>
        <v>—</v>
      </c>
      <c r="O26" s="13" t="str">
        <f>_xll.BDH("SRPT US Equity","IS_MERGER_ACQUISITION_EXPENSE","FQ2 2022","FQ2 2022","Currency=USD","Period=FQ","BEST_FPERIOD_OVERRIDE=FQ","FILING_STATUS=MR","SCALING_FORMAT=MLN","Sort=A","Dates=H","DateFormat=P","Fill=—","Direction=H","UseDPDF=Y")</f>
        <v>—</v>
      </c>
      <c r="P26" s="13" t="str">
        <f>_xll.BDH("SRPT US Equity","IS_MERGER_ACQUISITION_EXPENSE","FQ3 2022","FQ3 2022","Currency=USD","Period=FQ","BEST_FPERIOD_OVERRIDE=FQ","FILING_STATUS=MR","SCALING_FORMAT=MLN","Sort=A","Dates=H","DateFormat=P","Fill=—","Direction=H","UseDPDF=Y")</f>
        <v>—</v>
      </c>
      <c r="Q26" s="13" t="str">
        <f>_xll.BDH("SRPT US Equity","IS_MERGER_ACQUISITION_EXPENSE","FQ4 2022","FQ4 2022","Currency=USD","Period=FQ","BEST_FPERIOD_OVERRIDE=FQ","FILING_STATUS=MR","SCALING_FORMAT=MLN","Sort=A","Dates=H","DateFormat=P","Fill=—","Direction=H","UseDPDF=Y")</f>
        <v>—</v>
      </c>
      <c r="R26" s="13" t="str">
        <f>_xll.BDH("SRPT US Equity","IS_MERGER_ACQUISITION_EXPENSE","FQ1 2023","FQ1 2023","Currency=USD","Period=FQ","BEST_FPERIOD_OVERRIDE=FQ","FILING_STATUS=MR","SCALING_FORMAT=MLN","Sort=A","Dates=H","DateFormat=P","Fill=—","Direction=H","UseDPDF=Y")</f>
        <v>—</v>
      </c>
      <c r="S26" s="13">
        <f>_xll.BDH("SRPT US Equity","IS_MERGER_ACQUISITION_EXPENSE","FQ2 2023","FQ2 2023","Currency=USD","Period=FQ","BEST_FPERIOD_OVERRIDE=FQ","FILING_STATUS=MR","SCALING_FORMAT=MLN","Sort=A","Dates=H","DateFormat=P","Fill=—","Direction=H","UseDPDF=Y")</f>
        <v>-0.8</v>
      </c>
      <c r="T26" s="13">
        <f>_xll.BDH("SRPT US Equity","IS_MERGER_ACQUISITION_EXPENSE","FQ3 2023","FQ3 2023","Currency=USD","Period=FQ","BEST_FPERIOD_OVERRIDE=FQ","FILING_STATUS=MR","SCALING_FORMAT=MLN","Sort=A","Dates=H","DateFormat=P","Fill=—","Direction=H","UseDPDF=Y")</f>
        <v>2</v>
      </c>
      <c r="U26" s="13" t="str">
        <f>_xll.BDH("SRPT US Equity","IS_MERGER_ACQUISITION_EXPENSE","FQ4 2023","FQ4 2023","Currency=USD","Period=FQ","BEST_FPERIOD_OVERRIDE=FQ","FILING_STATUS=MR","SCALING_FORMAT=MLN","Sort=A","Dates=H","DateFormat=P","Fill=—","Direction=H","UseDPDF=Y")</f>
        <v>—</v>
      </c>
      <c r="V26" s="13">
        <f>_xll.BDH("SRPT US Equity","IS_MERGER_ACQUISITION_EXPENSE","FQ1 2024","FQ1 2024","Currency=USD","Period=FQ","BEST_FPERIOD_OVERRIDE=FQ","FILING_STATUS=MR","SCALING_FORMAT=MLN","Sort=A","Dates=H","DateFormat=P","Fill=—","Direction=H","UseDPDF=Y")</f>
        <v>10.1</v>
      </c>
      <c r="W26" s="13" t="str">
        <f>_xll.BDH("SRPT US Equity","IS_MERGER_ACQUISITION_EXPENSE","FQ2 2024","FQ2 2024","Currency=USD","Period=FQ","BEST_FPERIOD_OVERRIDE=FQ","FILING_STATUS=MR","SCALING_FORMAT=MLN","Sort=A","Dates=H","DateFormat=P","Fill=—","Direction=H","UseDPDF=Y")</f>
        <v>—</v>
      </c>
      <c r="X26" s="13" t="str">
        <f>_xll.BDH("SRPT US Equity","IS_MERGER_ACQUISITION_EXPENSE","FQ3 2024","FQ3 2024","Currency=USD","Period=FQ","BEST_FPERIOD_OVERRIDE=FQ","FILING_STATUS=MR","SCALING_FORMAT=MLN","Sort=A","Dates=H","DateFormat=P","Fill=—","Direction=H","UseDPDF=Y")</f>
        <v>—</v>
      </c>
      <c r="Y26" s="13" t="str">
        <f>_xll.BDH("SRPT US Equity","IS_MERGER_ACQUISITION_EXPENSE","FQ4 2024","FQ4 2024","Currency=USD","Period=FQ","BEST_FPERIOD_OVERRIDE=FQ","FILING_STATUS=MR","SCALING_FORMAT=MLN","Sort=A","Dates=H","DateFormat=P","Fill=—","Direction=H","UseDPDF=Y")</f>
        <v>—</v>
      </c>
      <c r="Z26" s="13"/>
      <c r="AA26" s="13"/>
    </row>
    <row r="27" spans="1:27" x14ac:dyDescent="0.25">
      <c r="A27" s="10" t="s">
        <v>347</v>
      </c>
      <c r="B27" s="10" t="s">
        <v>348</v>
      </c>
      <c r="C27" s="13" t="str">
        <f>_xll.BDH("SRPT US Equity","IS_DERIVATIVES_HEDGING","FQ2 2019","FQ2 2019","Currency=USD","Period=FQ","BEST_FPERIOD_OVERRIDE=FQ","FILING_STATUS=MR","SCALING_FORMAT=MLN","Sort=A","Dates=H","DateFormat=P","Fill=—","Direction=H","UseDPDF=Y")</f>
        <v>—</v>
      </c>
      <c r="D27" s="13" t="str">
        <f>_xll.BDH("SRPT US Equity","IS_DERIVATIVES_HEDGING","FQ3 2019","FQ3 2019","Currency=USD","Period=FQ","BEST_FPERIOD_OVERRIDE=FQ","FILING_STATUS=MR","SCALING_FORMAT=MLN","Sort=A","Dates=H","DateFormat=P","Fill=—","Direction=H","UseDPDF=Y")</f>
        <v>—</v>
      </c>
      <c r="E27" s="13" t="str">
        <f>_xll.BDH("SRPT US Equity","IS_DERIVATIVES_HEDGING","FQ4 2019","FQ4 2019","Currency=USD","Period=FQ","BEST_FPERIOD_OVERRIDE=FQ","FILING_STATUS=MR","SCALING_FORMAT=MLN","Sort=A","Dates=H","DateFormat=P","Fill=—","Direction=H","UseDPDF=Y")</f>
        <v>—</v>
      </c>
      <c r="F27" s="13" t="str">
        <f>_xll.BDH("SRPT US Equity","IS_DERIVATIVES_HEDGING","FQ1 2020","FQ1 2020","Currency=USD","Period=FQ","BEST_FPERIOD_OVERRIDE=FQ","FILING_STATUS=MR","SCALING_FORMAT=MLN","Sort=A","Dates=H","DateFormat=P","Fill=—","Direction=H","UseDPDF=Y")</f>
        <v>—</v>
      </c>
      <c r="G27" s="13" t="str">
        <f>_xll.BDH("SRPT US Equity","IS_DERIVATIVES_HEDGING","FQ2 2020","FQ2 2020","Currency=USD","Period=FQ","BEST_FPERIOD_OVERRIDE=FQ","FILING_STATUS=MR","SCALING_FORMAT=MLN","Sort=A","Dates=H","DateFormat=P","Fill=—","Direction=H","UseDPDF=Y")</f>
        <v>—</v>
      </c>
      <c r="H27" s="13" t="str">
        <f>_xll.BDH("SRPT US Equity","IS_DERIVATIVES_HEDGING","FQ3 2020","FQ3 2020","Currency=USD","Period=FQ","BEST_FPERIOD_OVERRIDE=FQ","FILING_STATUS=MR","SCALING_FORMAT=MLN","Sort=A","Dates=H","DateFormat=P","Fill=—","Direction=H","UseDPDF=Y")</f>
        <v>—</v>
      </c>
      <c r="I27" s="13" t="str">
        <f>_xll.BDH("SRPT US Equity","IS_DERIVATIVES_HEDGING","FQ4 2020","FQ4 2020","Currency=USD","Period=FQ","BEST_FPERIOD_OVERRIDE=FQ","FILING_STATUS=MR","SCALING_FORMAT=MLN","Sort=A","Dates=H","DateFormat=P","Fill=—","Direction=H","UseDPDF=Y")</f>
        <v>—</v>
      </c>
      <c r="J27" s="13" t="str">
        <f>_xll.BDH("SRPT US Equity","IS_DERIVATIVES_HEDGING","FQ1 2021","FQ1 2021","Currency=USD","Period=FQ","BEST_FPERIOD_OVERRIDE=FQ","FILING_STATUS=MR","SCALING_FORMAT=MLN","Sort=A","Dates=H","DateFormat=P","Fill=—","Direction=H","UseDPDF=Y")</f>
        <v>—</v>
      </c>
      <c r="K27" s="13" t="str">
        <f>_xll.BDH("SRPT US Equity","IS_DERIVATIVES_HEDGING","FQ2 2021","FQ2 2021","Currency=USD","Period=FQ","BEST_FPERIOD_OVERRIDE=FQ","FILING_STATUS=MR","SCALING_FORMAT=MLN","Sort=A","Dates=H","DateFormat=P","Fill=—","Direction=H","UseDPDF=Y")</f>
        <v>—</v>
      </c>
      <c r="L27" s="13" t="str">
        <f>_xll.BDH("SRPT US Equity","IS_DERIVATIVES_HEDGING","FQ3 2021","FQ3 2021","Currency=USD","Period=FQ","BEST_FPERIOD_OVERRIDE=FQ","FILING_STATUS=MR","SCALING_FORMAT=MLN","Sort=A","Dates=H","DateFormat=P","Fill=—","Direction=H","UseDPDF=Y")</f>
        <v>—</v>
      </c>
      <c r="M27" s="13" t="str">
        <f>_xll.BDH("SRPT US Equity","IS_DERIVATIVES_HEDGING","FQ4 2021","FQ4 2021","Currency=USD","Period=FQ","BEST_FPERIOD_OVERRIDE=FQ","FILING_STATUS=MR","SCALING_FORMAT=MLN","Sort=A","Dates=H","DateFormat=P","Fill=—","Direction=H","UseDPDF=Y")</f>
        <v>—</v>
      </c>
      <c r="N27" s="13" t="str">
        <f>_xll.BDH("SRPT US Equity","IS_DERIVATIVES_HEDGING","FQ1 2022","FQ1 2022","Currency=USD","Period=FQ","BEST_FPERIOD_OVERRIDE=FQ","FILING_STATUS=MR","SCALING_FORMAT=MLN","Sort=A","Dates=H","DateFormat=P","Fill=—","Direction=H","UseDPDF=Y")</f>
        <v>—</v>
      </c>
      <c r="O27" s="13" t="str">
        <f>_xll.BDH("SRPT US Equity","IS_DERIVATIVES_HEDGING","FQ2 2022","FQ2 2022","Currency=USD","Period=FQ","BEST_FPERIOD_OVERRIDE=FQ","FILING_STATUS=MR","SCALING_FORMAT=MLN","Sort=A","Dates=H","DateFormat=P","Fill=—","Direction=H","UseDPDF=Y")</f>
        <v>—</v>
      </c>
      <c r="P27" s="13" t="str">
        <f>_xll.BDH("SRPT US Equity","IS_DERIVATIVES_HEDGING","FQ3 2022","FQ3 2022","Currency=USD","Period=FQ","BEST_FPERIOD_OVERRIDE=FQ","FILING_STATUS=MR","SCALING_FORMAT=MLN","Sort=A","Dates=H","DateFormat=P","Fill=—","Direction=H","UseDPDF=Y")</f>
        <v>—</v>
      </c>
      <c r="Q27" s="13" t="str">
        <f>_xll.BDH("SRPT US Equity","IS_DERIVATIVES_HEDGING","FQ4 2022","FQ4 2022","Currency=USD","Period=FQ","BEST_FPERIOD_OVERRIDE=FQ","FILING_STATUS=MR","SCALING_FORMAT=MLN","Sort=A","Dates=H","DateFormat=P","Fill=—","Direction=H","UseDPDF=Y")</f>
        <v>—</v>
      </c>
      <c r="R27" s="13" t="str">
        <f>_xll.BDH("SRPT US Equity","IS_DERIVATIVES_HEDGING","FQ1 2023","FQ1 2023","Currency=USD","Period=FQ","BEST_FPERIOD_OVERRIDE=FQ","FILING_STATUS=MR","SCALING_FORMAT=MLN","Sort=A","Dates=H","DateFormat=P","Fill=—","Direction=H","UseDPDF=Y")</f>
        <v>—</v>
      </c>
      <c r="S27" s="13" t="str">
        <f>_xll.BDH("SRPT US Equity","IS_DERIVATIVES_HEDGING","FQ2 2023","FQ2 2023","Currency=USD","Period=FQ","BEST_FPERIOD_OVERRIDE=FQ","FILING_STATUS=MR","SCALING_FORMAT=MLN","Sort=A","Dates=H","DateFormat=P","Fill=—","Direction=H","UseDPDF=Y")</f>
        <v>—</v>
      </c>
      <c r="T27" s="13" t="str">
        <f>_xll.BDH("SRPT US Equity","IS_DERIVATIVES_HEDGING","FQ3 2023","FQ3 2023","Currency=USD","Period=FQ","BEST_FPERIOD_OVERRIDE=FQ","FILING_STATUS=MR","SCALING_FORMAT=MLN","Sort=A","Dates=H","DateFormat=P","Fill=—","Direction=H","UseDPDF=Y")</f>
        <v>—</v>
      </c>
      <c r="U27" s="13" t="str">
        <f>_xll.BDH("SRPT US Equity","IS_DERIVATIVES_HEDGING","FQ4 2023","FQ4 2023","Currency=USD","Period=FQ","BEST_FPERIOD_OVERRIDE=FQ","FILING_STATUS=MR","SCALING_FORMAT=MLN","Sort=A","Dates=H","DateFormat=P","Fill=—","Direction=H","UseDPDF=Y")</f>
        <v>—</v>
      </c>
      <c r="V27" s="13" t="str">
        <f>_xll.BDH("SRPT US Equity","IS_DERIVATIVES_HEDGING","FQ1 2024","FQ1 2024","Currency=USD","Period=FQ","BEST_FPERIOD_OVERRIDE=FQ","FILING_STATUS=MR","SCALING_FORMAT=MLN","Sort=A","Dates=H","DateFormat=P","Fill=—","Direction=H","UseDPDF=Y")</f>
        <v>—</v>
      </c>
      <c r="W27" s="13" t="str">
        <f>_xll.BDH("SRPT US Equity","IS_DERIVATIVES_HEDGING","FQ2 2024","FQ2 2024","Currency=USD","Period=FQ","BEST_FPERIOD_OVERRIDE=FQ","FILING_STATUS=MR","SCALING_FORMAT=MLN","Sort=A","Dates=H","DateFormat=P","Fill=—","Direction=H","UseDPDF=Y")</f>
        <v>—</v>
      </c>
      <c r="X27" s="13">
        <f>_xll.BDH("SRPT US Equity","IS_DERIVATIVES_HEDGING","FQ3 2024","FQ3 2024","Currency=USD","Period=FQ","BEST_FPERIOD_OVERRIDE=FQ","FILING_STATUS=MR","SCALING_FORMAT=MLN","Sort=A","Dates=H","DateFormat=P","Fill=—","Direction=H","UseDPDF=Y")</f>
        <v>-1.5349999999999999</v>
      </c>
      <c r="Y27" s="13">
        <f>_xll.BDH("SRPT US Equity","IS_DERIVATIVES_HEDGING","FQ4 2024","FQ4 2024","Currency=USD","Period=FQ","BEST_FPERIOD_OVERRIDE=FQ","FILING_STATUS=MR","SCALING_FORMAT=MLN","Sort=A","Dates=H","DateFormat=P","Fill=—","Direction=H","UseDPDF=Y")</f>
        <v>-0.72699999999999998</v>
      </c>
      <c r="Z27" s="13"/>
      <c r="AA27" s="13"/>
    </row>
    <row r="28" spans="1:27" x14ac:dyDescent="0.25">
      <c r="A28" s="10" t="s">
        <v>349</v>
      </c>
      <c r="B28" s="10" t="s">
        <v>350</v>
      </c>
      <c r="C28" s="13" t="str">
        <f>_xll.BDH("SRPT US Equity","IS_GAIN_LOSS_DISPOSAL_ASSETS","FQ2 2019","FQ2 2019","Currency=USD","Period=FQ","BEST_FPERIOD_OVERRIDE=FQ","FILING_STATUS=MR","SCALING_FORMAT=MLN","Sort=A","Dates=H","DateFormat=P","Fill=—","Direction=H","UseDPDF=Y")</f>
        <v>—</v>
      </c>
      <c r="D28" s="13" t="str">
        <f>_xll.BDH("SRPT US Equity","IS_GAIN_LOSS_DISPOSAL_ASSETS","FQ3 2019","FQ3 2019","Currency=USD","Period=FQ","BEST_FPERIOD_OVERRIDE=FQ","FILING_STATUS=MR","SCALING_FORMAT=MLN","Sort=A","Dates=H","DateFormat=P","Fill=—","Direction=H","UseDPDF=Y")</f>
        <v>—</v>
      </c>
      <c r="E28" s="13" t="str">
        <f>_xll.BDH("SRPT US Equity","IS_GAIN_LOSS_DISPOSAL_ASSETS","FQ4 2019","FQ4 2019","Currency=USD","Period=FQ","BEST_FPERIOD_OVERRIDE=FQ","FILING_STATUS=MR","SCALING_FORMAT=MLN","Sort=A","Dates=H","DateFormat=P","Fill=—","Direction=H","UseDPDF=Y")</f>
        <v>—</v>
      </c>
      <c r="F28" s="13">
        <f>_xll.BDH("SRPT US Equity","IS_GAIN_LOSS_DISPOSAL_ASSETS","FQ1 2020","FQ1 2020","Currency=USD","Period=FQ","BEST_FPERIOD_OVERRIDE=FQ","FILING_STATUS=MR","SCALING_FORMAT=MLN","Sort=A","Dates=H","DateFormat=P","Fill=—","Direction=H","UseDPDF=Y")</f>
        <v>-108.069</v>
      </c>
      <c r="G28" s="13" t="str">
        <f>_xll.BDH("SRPT US Equity","IS_GAIN_LOSS_DISPOSAL_ASSETS","FQ2 2020","FQ2 2020","Currency=USD","Period=FQ","BEST_FPERIOD_OVERRIDE=FQ","FILING_STATUS=MR","SCALING_FORMAT=MLN","Sort=A","Dates=H","DateFormat=P","Fill=—","Direction=H","UseDPDF=Y")</f>
        <v>—</v>
      </c>
      <c r="H28" s="13" t="str">
        <f>_xll.BDH("SRPT US Equity","IS_GAIN_LOSS_DISPOSAL_ASSETS","FQ3 2020","FQ3 2020","Currency=USD","Period=FQ","BEST_FPERIOD_OVERRIDE=FQ","FILING_STATUS=MR","SCALING_FORMAT=MLN","Sort=A","Dates=H","DateFormat=P","Fill=—","Direction=H","UseDPDF=Y")</f>
        <v>—</v>
      </c>
      <c r="I28" s="13" t="str">
        <f>_xll.BDH("SRPT US Equity","IS_GAIN_LOSS_DISPOSAL_ASSETS","FQ4 2020","FQ4 2020","Currency=USD","Period=FQ","BEST_FPERIOD_OVERRIDE=FQ","FILING_STATUS=MR","SCALING_FORMAT=MLN","Sort=A","Dates=H","DateFormat=P","Fill=—","Direction=H","UseDPDF=Y")</f>
        <v>—</v>
      </c>
      <c r="J28" s="13" t="str">
        <f>_xll.BDH("SRPT US Equity","IS_GAIN_LOSS_DISPOSAL_ASSETS","FQ1 2021","FQ1 2021","Currency=USD","Period=FQ","BEST_FPERIOD_OVERRIDE=FQ","FILING_STATUS=MR","SCALING_FORMAT=MLN","Sort=A","Dates=H","DateFormat=P","Fill=—","Direction=H","UseDPDF=Y")</f>
        <v>—</v>
      </c>
      <c r="K28" s="13">
        <f>_xll.BDH("SRPT US Equity","IS_GAIN_LOSS_DISPOSAL_ASSETS","FQ2 2021","FQ2 2021","Currency=USD","Period=FQ","BEST_FPERIOD_OVERRIDE=FQ","FILING_STATUS=MR","SCALING_FORMAT=MLN","Sort=A","Dates=H","DateFormat=P","Fill=—","Direction=H","UseDPDF=Y")</f>
        <v>-204</v>
      </c>
      <c r="L28" s="13" t="str">
        <f>_xll.BDH("SRPT US Equity","IS_GAIN_LOSS_DISPOSAL_ASSETS","FQ3 2021","FQ3 2021","Currency=USD","Period=FQ","BEST_FPERIOD_OVERRIDE=FQ","FILING_STATUS=MR","SCALING_FORMAT=MLN","Sort=A","Dates=H","DateFormat=P","Fill=—","Direction=H","UseDPDF=Y")</f>
        <v>—</v>
      </c>
      <c r="M28" s="13" t="str">
        <f>_xll.BDH("SRPT US Equity","IS_GAIN_LOSS_DISPOSAL_ASSETS","FQ4 2021","FQ4 2021","Currency=USD","Period=FQ","BEST_FPERIOD_OVERRIDE=FQ","FILING_STATUS=MR","SCALING_FORMAT=MLN","Sort=A","Dates=H","DateFormat=P","Fill=—","Direction=H","UseDPDF=Y")</f>
        <v>—</v>
      </c>
      <c r="N28" s="13" t="str">
        <f>_xll.BDH("SRPT US Equity","IS_GAIN_LOSS_DISPOSAL_ASSETS","FQ1 2022","FQ1 2022","Currency=USD","Period=FQ","BEST_FPERIOD_OVERRIDE=FQ","FILING_STATUS=MR","SCALING_FORMAT=MLN","Sort=A","Dates=H","DateFormat=P","Fill=—","Direction=H","UseDPDF=Y")</f>
        <v>—</v>
      </c>
      <c r="O28" s="13" t="str">
        <f>_xll.BDH("SRPT US Equity","IS_GAIN_LOSS_DISPOSAL_ASSETS","FQ2 2022","FQ2 2022","Currency=USD","Period=FQ","BEST_FPERIOD_OVERRIDE=FQ","FILING_STATUS=MR","SCALING_FORMAT=MLN","Sort=A","Dates=H","DateFormat=P","Fill=—","Direction=H","UseDPDF=Y")</f>
        <v>—</v>
      </c>
      <c r="P28" s="13" t="str">
        <f>_xll.BDH("SRPT US Equity","IS_GAIN_LOSS_DISPOSAL_ASSETS","FQ3 2022","FQ3 2022","Currency=USD","Period=FQ","BEST_FPERIOD_OVERRIDE=FQ","FILING_STATUS=MR","SCALING_FORMAT=MLN","Sort=A","Dates=H","DateFormat=P","Fill=—","Direction=H","UseDPDF=Y")</f>
        <v>—</v>
      </c>
      <c r="Q28" s="13" t="str">
        <f>_xll.BDH("SRPT US Equity","IS_GAIN_LOSS_DISPOSAL_ASSETS","FQ4 2022","FQ4 2022","Currency=USD","Period=FQ","BEST_FPERIOD_OVERRIDE=FQ","FILING_STATUS=MR","SCALING_FORMAT=MLN","Sort=A","Dates=H","DateFormat=P","Fill=—","Direction=H","UseDPDF=Y")</f>
        <v>—</v>
      </c>
      <c r="R28" s="13" t="str">
        <f>_xll.BDH("SRPT US Equity","IS_GAIN_LOSS_DISPOSAL_ASSETS","FQ1 2023","FQ1 2023","Currency=USD","Period=FQ","BEST_FPERIOD_OVERRIDE=FQ","FILING_STATUS=MR","SCALING_FORMAT=MLN","Sort=A","Dates=H","DateFormat=P","Fill=—","Direction=H","UseDPDF=Y")</f>
        <v>—</v>
      </c>
      <c r="S28" s="13">
        <f>_xll.BDH("SRPT US Equity","IS_GAIN_LOSS_DISPOSAL_ASSETS","FQ2 2023","FQ2 2023","Currency=USD","Period=FQ","BEST_FPERIOD_OVERRIDE=FQ","FILING_STATUS=MR","SCALING_FORMAT=MLN","Sort=A","Dates=H","DateFormat=P","Fill=—","Direction=H","UseDPDF=Y")</f>
        <v>-102</v>
      </c>
      <c r="T28" s="13" t="str">
        <f>_xll.BDH("SRPT US Equity","IS_GAIN_LOSS_DISPOSAL_ASSETS","FQ3 2023","FQ3 2023","Currency=USD","Period=FQ","BEST_FPERIOD_OVERRIDE=FQ","FILING_STATUS=MR","SCALING_FORMAT=MLN","Sort=A","Dates=H","DateFormat=P","Fill=—","Direction=H","UseDPDF=Y")</f>
        <v>—</v>
      </c>
      <c r="U28" s="13" t="str">
        <f>_xll.BDH("SRPT US Equity","IS_GAIN_LOSS_DISPOSAL_ASSETS","FQ4 2023","FQ4 2023","Currency=USD","Period=FQ","BEST_FPERIOD_OVERRIDE=FQ","FILING_STATUS=MR","SCALING_FORMAT=MLN","Sort=A","Dates=H","DateFormat=P","Fill=—","Direction=H","UseDPDF=Y")</f>
        <v>—</v>
      </c>
      <c r="V28" s="13" t="str">
        <f>_xll.BDH("SRPT US Equity","IS_GAIN_LOSS_DISPOSAL_ASSETS","FQ1 2024","FQ1 2024","Currency=USD","Period=FQ","BEST_FPERIOD_OVERRIDE=FQ","FILING_STATUS=MR","SCALING_FORMAT=MLN","Sort=A","Dates=H","DateFormat=P","Fill=—","Direction=H","UseDPDF=Y")</f>
        <v>—</v>
      </c>
      <c r="W28" s="13" t="str">
        <f>_xll.BDH("SRPT US Equity","IS_GAIN_LOSS_DISPOSAL_ASSETS","FQ2 2024","FQ2 2024","Currency=USD","Period=FQ","BEST_FPERIOD_OVERRIDE=FQ","FILING_STATUS=MR","SCALING_FORMAT=MLN","Sort=A","Dates=H","DateFormat=P","Fill=—","Direction=H","UseDPDF=Y")</f>
        <v>—</v>
      </c>
      <c r="X28" s="13" t="str">
        <f>_xll.BDH("SRPT US Equity","IS_GAIN_LOSS_DISPOSAL_ASSETS","FQ3 2024","FQ3 2024","Currency=USD","Period=FQ","BEST_FPERIOD_OVERRIDE=FQ","FILING_STATUS=MR","SCALING_FORMAT=MLN","Sort=A","Dates=H","DateFormat=P","Fill=—","Direction=H","UseDPDF=Y")</f>
        <v>—</v>
      </c>
      <c r="Y28" s="13" t="str">
        <f>_xll.BDH("SRPT US Equity","IS_GAIN_LOSS_DISPOSAL_ASSETS","FQ4 2024","FQ4 2024","Currency=USD","Period=FQ","BEST_FPERIOD_OVERRIDE=FQ","FILING_STATUS=MR","SCALING_FORMAT=MLN","Sort=A","Dates=H","DateFormat=P","Fill=—","Direction=H","UseDPDF=Y")</f>
        <v>—</v>
      </c>
      <c r="Z28" s="13"/>
      <c r="AA28" s="13"/>
    </row>
    <row r="29" spans="1:27" x14ac:dyDescent="0.25">
      <c r="A29" s="10" t="s">
        <v>351</v>
      </c>
      <c r="B29" s="10" t="s">
        <v>352</v>
      </c>
      <c r="C29" s="13" t="str">
        <f>_xll.BDH("SRPT US Equity","IS_G_L_ON_EXT_DBT_OR_SETTLE_DBT","FQ2 2019","FQ2 2019","Currency=USD","Period=FQ","BEST_FPERIOD_OVERRIDE=FQ","FILING_STATUS=MR","SCALING_FORMAT=MLN","Sort=A","Dates=H","DateFormat=P","Fill=—","Direction=H","UseDPDF=Y")</f>
        <v>—</v>
      </c>
      <c r="D29" s="13" t="str">
        <f>_xll.BDH("SRPT US Equity","IS_G_L_ON_EXT_DBT_OR_SETTLE_DBT","FQ3 2019","FQ3 2019","Currency=USD","Period=FQ","BEST_FPERIOD_OVERRIDE=FQ","FILING_STATUS=MR","SCALING_FORMAT=MLN","Sort=A","Dates=H","DateFormat=P","Fill=—","Direction=H","UseDPDF=Y")</f>
        <v>—</v>
      </c>
      <c r="E29" s="13" t="str">
        <f>_xll.BDH("SRPT US Equity","IS_G_L_ON_EXT_DBT_OR_SETTLE_DBT","FQ4 2019","FQ4 2019","Currency=USD","Period=FQ","BEST_FPERIOD_OVERRIDE=FQ","FILING_STATUS=MR","SCALING_FORMAT=MLN","Sort=A","Dates=H","DateFormat=P","Fill=—","Direction=H","UseDPDF=Y")</f>
        <v>—</v>
      </c>
      <c r="F29" s="13" t="str">
        <f>_xll.BDH("SRPT US Equity","IS_G_L_ON_EXT_DBT_OR_SETTLE_DBT","FQ1 2020","FQ1 2020","Currency=USD","Period=FQ","BEST_FPERIOD_OVERRIDE=FQ","FILING_STATUS=MR","SCALING_FORMAT=MLN","Sort=A","Dates=H","DateFormat=P","Fill=—","Direction=H","UseDPDF=Y")</f>
        <v>—</v>
      </c>
      <c r="G29" s="13" t="str">
        <f>_xll.BDH("SRPT US Equity","IS_G_L_ON_EXT_DBT_OR_SETTLE_DBT","FQ2 2020","FQ2 2020","Currency=USD","Period=FQ","BEST_FPERIOD_OVERRIDE=FQ","FILING_STATUS=MR","SCALING_FORMAT=MLN","Sort=A","Dates=H","DateFormat=P","Fill=—","Direction=H","UseDPDF=Y")</f>
        <v>—</v>
      </c>
      <c r="H29" s="13" t="str">
        <f>_xll.BDH("SRPT US Equity","IS_G_L_ON_EXT_DBT_OR_SETTLE_DBT","FQ3 2020","FQ3 2020","Currency=USD","Period=FQ","BEST_FPERIOD_OVERRIDE=FQ","FILING_STATUS=MR","SCALING_FORMAT=MLN","Sort=A","Dates=H","DateFormat=P","Fill=—","Direction=H","UseDPDF=Y")</f>
        <v>—</v>
      </c>
      <c r="I29" s="13" t="str">
        <f>_xll.BDH("SRPT US Equity","IS_G_L_ON_EXT_DBT_OR_SETTLE_DBT","FQ4 2020","FQ4 2020","Currency=USD","Period=FQ","BEST_FPERIOD_OVERRIDE=FQ","FILING_STATUS=MR","SCALING_FORMAT=MLN","Sort=A","Dates=H","DateFormat=P","Fill=—","Direction=H","UseDPDF=Y")</f>
        <v>—</v>
      </c>
      <c r="J29" s="13" t="str">
        <f>_xll.BDH("SRPT US Equity","IS_G_L_ON_EXT_DBT_OR_SETTLE_DBT","FQ1 2021","FQ1 2021","Currency=USD","Period=FQ","BEST_FPERIOD_OVERRIDE=FQ","FILING_STATUS=MR","SCALING_FORMAT=MLN","Sort=A","Dates=H","DateFormat=P","Fill=—","Direction=H","UseDPDF=Y")</f>
        <v>—</v>
      </c>
      <c r="K29" s="13" t="str">
        <f>_xll.BDH("SRPT US Equity","IS_G_L_ON_EXT_DBT_OR_SETTLE_DBT","FQ2 2021","FQ2 2021","Currency=USD","Period=FQ","BEST_FPERIOD_OVERRIDE=FQ","FILING_STATUS=MR","SCALING_FORMAT=MLN","Sort=A","Dates=H","DateFormat=P","Fill=—","Direction=H","UseDPDF=Y")</f>
        <v>—</v>
      </c>
      <c r="L29" s="13" t="str">
        <f>_xll.BDH("SRPT US Equity","IS_G_L_ON_EXT_DBT_OR_SETTLE_DBT","FQ3 2021","FQ3 2021","Currency=USD","Period=FQ","BEST_FPERIOD_OVERRIDE=FQ","FILING_STATUS=MR","SCALING_FORMAT=MLN","Sort=A","Dates=H","DateFormat=P","Fill=—","Direction=H","UseDPDF=Y")</f>
        <v>—</v>
      </c>
      <c r="M29" s="13" t="str">
        <f>_xll.BDH("SRPT US Equity","IS_G_L_ON_EXT_DBT_OR_SETTLE_DBT","FQ4 2021","FQ4 2021","Currency=USD","Period=FQ","BEST_FPERIOD_OVERRIDE=FQ","FILING_STATUS=MR","SCALING_FORMAT=MLN","Sort=A","Dates=H","DateFormat=P","Fill=—","Direction=H","UseDPDF=Y")</f>
        <v>—</v>
      </c>
      <c r="N29" s="13" t="str">
        <f>_xll.BDH("SRPT US Equity","IS_G_L_ON_EXT_DBT_OR_SETTLE_DBT","FQ1 2022","FQ1 2022","Currency=USD","Period=FQ","BEST_FPERIOD_OVERRIDE=FQ","FILING_STATUS=MR","SCALING_FORMAT=MLN","Sort=A","Dates=H","DateFormat=P","Fill=—","Direction=H","UseDPDF=Y")</f>
        <v>—</v>
      </c>
      <c r="O29" s="13" t="str">
        <f>_xll.BDH("SRPT US Equity","IS_G_L_ON_EXT_DBT_OR_SETTLE_DBT","FQ2 2022","FQ2 2022","Currency=USD","Period=FQ","BEST_FPERIOD_OVERRIDE=FQ","FILING_STATUS=MR","SCALING_FORMAT=MLN","Sort=A","Dates=H","DateFormat=P","Fill=—","Direction=H","UseDPDF=Y")</f>
        <v>—</v>
      </c>
      <c r="P29" s="13">
        <f>_xll.BDH("SRPT US Equity","IS_G_L_ON_EXT_DBT_OR_SETTLE_DBT","FQ3 2022","FQ3 2022","Currency=USD","Period=FQ","BEST_FPERIOD_OVERRIDE=FQ","FILING_STATUS=MR","SCALING_FORMAT=MLN","Sort=A","Dates=H","DateFormat=P","Fill=—","Direction=H","UseDPDF=Y")</f>
        <v>125.441</v>
      </c>
      <c r="Q29" s="13" t="str">
        <f>_xll.BDH("SRPT US Equity","IS_G_L_ON_EXT_DBT_OR_SETTLE_DBT","FQ4 2022","FQ4 2022","Currency=USD","Period=FQ","BEST_FPERIOD_OVERRIDE=FQ","FILING_STATUS=MR","SCALING_FORMAT=MLN","Sort=A","Dates=H","DateFormat=P","Fill=—","Direction=H","UseDPDF=Y")</f>
        <v>—</v>
      </c>
      <c r="R29" s="13">
        <f>_xll.BDH("SRPT US Equity","IS_G_L_ON_EXT_DBT_OR_SETTLE_DBT","FQ1 2023","FQ1 2023","Currency=USD","Period=FQ","BEST_FPERIOD_OVERRIDE=FQ","FILING_STATUS=MR","SCALING_FORMAT=MLN","Sort=A","Dates=H","DateFormat=P","Fill=—","Direction=H","UseDPDF=Y")</f>
        <v>387.32900000000001</v>
      </c>
      <c r="S29" s="13" t="str">
        <f>_xll.BDH("SRPT US Equity","IS_G_L_ON_EXT_DBT_OR_SETTLE_DBT","FQ2 2023","FQ2 2023","Currency=USD","Period=FQ","BEST_FPERIOD_OVERRIDE=FQ","FILING_STATUS=MR","SCALING_FORMAT=MLN","Sort=A","Dates=H","DateFormat=P","Fill=—","Direction=H","UseDPDF=Y")</f>
        <v>—</v>
      </c>
      <c r="T29" s="13" t="str">
        <f>_xll.BDH("SRPT US Equity","IS_G_L_ON_EXT_DBT_OR_SETTLE_DBT","FQ3 2023","FQ3 2023","Currency=USD","Period=FQ","BEST_FPERIOD_OVERRIDE=FQ","FILING_STATUS=MR","SCALING_FORMAT=MLN","Sort=A","Dates=H","DateFormat=P","Fill=—","Direction=H","UseDPDF=Y")</f>
        <v>—</v>
      </c>
      <c r="U29" s="13" t="str">
        <f>_xll.BDH("SRPT US Equity","IS_G_L_ON_EXT_DBT_OR_SETTLE_DBT","FQ4 2023","FQ4 2023","Currency=USD","Period=FQ","BEST_FPERIOD_OVERRIDE=FQ","FILING_STATUS=MR","SCALING_FORMAT=MLN","Sort=A","Dates=H","DateFormat=P","Fill=—","Direction=H","UseDPDF=Y")</f>
        <v>—</v>
      </c>
      <c r="V29" s="13" t="str">
        <f>_xll.BDH("SRPT US Equity","IS_G_L_ON_EXT_DBT_OR_SETTLE_DBT","FQ1 2024","FQ1 2024","Currency=USD","Period=FQ","BEST_FPERIOD_OVERRIDE=FQ","FILING_STATUS=MR","SCALING_FORMAT=MLN","Sort=A","Dates=H","DateFormat=P","Fill=—","Direction=H","UseDPDF=Y")</f>
        <v>—</v>
      </c>
      <c r="W29" s="13" t="str">
        <f>_xll.BDH("SRPT US Equity","IS_G_L_ON_EXT_DBT_OR_SETTLE_DBT","FQ2 2024","FQ2 2024","Currency=USD","Period=FQ","BEST_FPERIOD_OVERRIDE=FQ","FILING_STATUS=MR","SCALING_FORMAT=MLN","Sort=A","Dates=H","DateFormat=P","Fill=—","Direction=H","UseDPDF=Y")</f>
        <v>—</v>
      </c>
      <c r="X29" s="13" t="str">
        <f>_xll.BDH("SRPT US Equity","IS_G_L_ON_EXT_DBT_OR_SETTLE_DBT","FQ3 2024","FQ3 2024","Currency=USD","Period=FQ","BEST_FPERIOD_OVERRIDE=FQ","FILING_STATUS=MR","SCALING_FORMAT=MLN","Sort=A","Dates=H","DateFormat=P","Fill=—","Direction=H","UseDPDF=Y")</f>
        <v>—</v>
      </c>
      <c r="Y29" s="13" t="str">
        <f>_xll.BDH("SRPT US Equity","IS_G_L_ON_EXT_DBT_OR_SETTLE_DBT","FQ4 2024","FQ4 2024","Currency=USD","Period=FQ","BEST_FPERIOD_OVERRIDE=FQ","FILING_STATUS=MR","SCALING_FORMAT=MLN","Sort=A","Dates=H","DateFormat=P","Fill=—","Direction=H","UseDPDF=Y")</f>
        <v>—</v>
      </c>
      <c r="Z29" s="13"/>
      <c r="AA29" s="13"/>
    </row>
    <row r="30" spans="1:27" x14ac:dyDescent="0.25">
      <c r="A30" s="10" t="s">
        <v>353</v>
      </c>
      <c r="B30" s="10" t="s">
        <v>354</v>
      </c>
      <c r="C30" s="13" t="str">
        <f>_xll.BDH("SRPT US Equity","IS_IMPAIRMENT_ASSETS","FQ2 2019","FQ2 2019","Currency=USD","Period=FQ","BEST_FPERIOD_OVERRIDE=FQ","FILING_STATUS=MR","SCALING_FORMAT=MLN","Sort=A","Dates=H","DateFormat=P","Fill=—","Direction=H","UseDPDF=Y")</f>
        <v>—</v>
      </c>
      <c r="D30" s="13" t="str">
        <f>_xll.BDH("SRPT US Equity","IS_IMPAIRMENT_ASSETS","FQ3 2019","FQ3 2019","Currency=USD","Period=FQ","BEST_FPERIOD_OVERRIDE=FQ","FILING_STATUS=MR","SCALING_FORMAT=MLN","Sort=A","Dates=H","DateFormat=P","Fill=—","Direction=H","UseDPDF=Y")</f>
        <v>—</v>
      </c>
      <c r="E30" s="13" t="str">
        <f>_xll.BDH("SRPT US Equity","IS_IMPAIRMENT_ASSETS","FQ4 2019","FQ4 2019","Currency=USD","Period=FQ","BEST_FPERIOD_OVERRIDE=FQ","FILING_STATUS=MR","SCALING_FORMAT=MLN","Sort=A","Dates=H","DateFormat=P","Fill=—","Direction=H","UseDPDF=Y")</f>
        <v>—</v>
      </c>
      <c r="F30" s="13" t="str">
        <f>_xll.BDH("SRPT US Equity","IS_IMPAIRMENT_ASSETS","FQ1 2020","FQ1 2020","Currency=USD","Period=FQ","BEST_FPERIOD_OVERRIDE=FQ","FILING_STATUS=MR","SCALING_FORMAT=MLN","Sort=A","Dates=H","DateFormat=P","Fill=—","Direction=H","UseDPDF=Y")</f>
        <v>—</v>
      </c>
      <c r="G30" s="13" t="str">
        <f>_xll.BDH("SRPT US Equity","IS_IMPAIRMENT_ASSETS","FQ2 2020","FQ2 2020","Currency=USD","Period=FQ","BEST_FPERIOD_OVERRIDE=FQ","FILING_STATUS=MR","SCALING_FORMAT=MLN","Sort=A","Dates=H","DateFormat=P","Fill=—","Direction=H","UseDPDF=Y")</f>
        <v>—</v>
      </c>
      <c r="H30" s="13" t="str">
        <f>_xll.BDH("SRPT US Equity","IS_IMPAIRMENT_ASSETS","FQ3 2020","FQ3 2020","Currency=USD","Period=FQ","BEST_FPERIOD_OVERRIDE=FQ","FILING_STATUS=MR","SCALING_FORMAT=MLN","Sort=A","Dates=H","DateFormat=P","Fill=—","Direction=H","UseDPDF=Y")</f>
        <v>—</v>
      </c>
      <c r="I30" s="13" t="str">
        <f>_xll.BDH("SRPT US Equity","IS_IMPAIRMENT_ASSETS","FQ4 2020","FQ4 2020","Currency=USD","Period=FQ","BEST_FPERIOD_OVERRIDE=FQ","FILING_STATUS=MR","SCALING_FORMAT=MLN","Sort=A","Dates=H","DateFormat=P","Fill=—","Direction=H","UseDPDF=Y")</f>
        <v>—</v>
      </c>
      <c r="J30" s="13" t="str">
        <f>_xll.BDH("SRPT US Equity","IS_IMPAIRMENT_ASSETS","FQ1 2021","FQ1 2021","Currency=USD","Period=FQ","BEST_FPERIOD_OVERRIDE=FQ","FILING_STATUS=MR","SCALING_FORMAT=MLN","Sort=A","Dates=H","DateFormat=P","Fill=—","Direction=H","UseDPDF=Y")</f>
        <v>—</v>
      </c>
      <c r="K30" s="13" t="str">
        <f>_xll.BDH("SRPT US Equity","IS_IMPAIRMENT_ASSETS","FQ2 2021","FQ2 2021","Currency=USD","Period=FQ","BEST_FPERIOD_OVERRIDE=FQ","FILING_STATUS=MR","SCALING_FORMAT=MLN","Sort=A","Dates=H","DateFormat=P","Fill=—","Direction=H","UseDPDF=Y")</f>
        <v>—</v>
      </c>
      <c r="L30" s="13">
        <f>_xll.BDH("SRPT US Equity","IS_IMPAIRMENT_ASSETS","FQ3 2021","FQ3 2021","Currency=USD","Period=FQ","BEST_FPERIOD_OVERRIDE=FQ","FILING_STATUS=MR","SCALING_FORMAT=MLN","Sort=A","Dates=H","DateFormat=P","Fill=—","Direction=H","UseDPDF=Y")</f>
        <v>4.4880000000000004</v>
      </c>
      <c r="M30" s="13" t="str">
        <f>_xll.BDH("SRPT US Equity","IS_IMPAIRMENT_ASSETS","FQ4 2021","FQ4 2021","Currency=USD","Period=FQ","BEST_FPERIOD_OVERRIDE=FQ","FILING_STATUS=MR","SCALING_FORMAT=MLN","Sort=A","Dates=H","DateFormat=P","Fill=—","Direction=H","UseDPDF=Y")</f>
        <v>—</v>
      </c>
      <c r="N30" s="13" t="str">
        <f>_xll.BDH("SRPT US Equity","IS_IMPAIRMENT_ASSETS","FQ1 2022","FQ1 2022","Currency=USD","Period=FQ","BEST_FPERIOD_OVERRIDE=FQ","FILING_STATUS=MR","SCALING_FORMAT=MLN","Sort=A","Dates=H","DateFormat=P","Fill=—","Direction=H","UseDPDF=Y")</f>
        <v>—</v>
      </c>
      <c r="O30" s="13" t="str">
        <f>_xll.BDH("SRPT US Equity","IS_IMPAIRMENT_ASSETS","FQ2 2022","FQ2 2022","Currency=USD","Period=FQ","BEST_FPERIOD_OVERRIDE=FQ","FILING_STATUS=MR","SCALING_FORMAT=MLN","Sort=A","Dates=H","DateFormat=P","Fill=—","Direction=H","UseDPDF=Y")</f>
        <v>—</v>
      </c>
      <c r="P30" s="13" t="str">
        <f>_xll.BDH("SRPT US Equity","IS_IMPAIRMENT_ASSETS","FQ3 2022","FQ3 2022","Currency=USD","Period=FQ","BEST_FPERIOD_OVERRIDE=FQ","FILING_STATUS=MR","SCALING_FORMAT=MLN","Sort=A","Dates=H","DateFormat=P","Fill=—","Direction=H","UseDPDF=Y")</f>
        <v>—</v>
      </c>
      <c r="Q30" s="13" t="str">
        <f>_xll.BDH("SRPT US Equity","IS_IMPAIRMENT_ASSETS","FQ4 2022","FQ4 2022","Currency=USD","Period=FQ","BEST_FPERIOD_OVERRIDE=FQ","FILING_STATUS=MR","SCALING_FORMAT=MLN","Sort=A","Dates=H","DateFormat=P","Fill=—","Direction=H","UseDPDF=Y")</f>
        <v>—</v>
      </c>
      <c r="R30" s="13" t="str">
        <f>_xll.BDH("SRPT US Equity","IS_IMPAIRMENT_ASSETS","FQ1 2023","FQ1 2023","Currency=USD","Period=FQ","BEST_FPERIOD_OVERRIDE=FQ","FILING_STATUS=MR","SCALING_FORMAT=MLN","Sort=A","Dates=H","DateFormat=P","Fill=—","Direction=H","UseDPDF=Y")</f>
        <v>—</v>
      </c>
      <c r="S30" s="13" t="str">
        <f>_xll.BDH("SRPT US Equity","IS_IMPAIRMENT_ASSETS","FQ2 2023","FQ2 2023","Currency=USD","Period=FQ","BEST_FPERIOD_OVERRIDE=FQ","FILING_STATUS=MR","SCALING_FORMAT=MLN","Sort=A","Dates=H","DateFormat=P","Fill=—","Direction=H","UseDPDF=Y")</f>
        <v>—</v>
      </c>
      <c r="T30" s="13" t="str">
        <f>_xll.BDH("SRPT US Equity","IS_IMPAIRMENT_ASSETS","FQ3 2023","FQ3 2023","Currency=USD","Period=FQ","BEST_FPERIOD_OVERRIDE=FQ","FILING_STATUS=MR","SCALING_FORMAT=MLN","Sort=A","Dates=H","DateFormat=P","Fill=—","Direction=H","UseDPDF=Y")</f>
        <v>—</v>
      </c>
      <c r="U30" s="13" t="str">
        <f>_xll.BDH("SRPT US Equity","IS_IMPAIRMENT_ASSETS","FQ4 2023","FQ4 2023","Currency=USD","Period=FQ","BEST_FPERIOD_OVERRIDE=FQ","FILING_STATUS=MR","SCALING_FORMAT=MLN","Sort=A","Dates=H","DateFormat=P","Fill=—","Direction=H","UseDPDF=Y")</f>
        <v>—</v>
      </c>
      <c r="V30" s="13" t="str">
        <f>_xll.BDH("SRPT US Equity","IS_IMPAIRMENT_ASSETS","FQ1 2024","FQ1 2024","Currency=USD","Period=FQ","BEST_FPERIOD_OVERRIDE=FQ","FILING_STATUS=MR","SCALING_FORMAT=MLN","Sort=A","Dates=H","DateFormat=P","Fill=—","Direction=H","UseDPDF=Y")</f>
        <v>—</v>
      </c>
      <c r="W30" s="13" t="str">
        <f>_xll.BDH("SRPT US Equity","IS_IMPAIRMENT_ASSETS","FQ2 2024","FQ2 2024","Currency=USD","Period=FQ","BEST_FPERIOD_OVERRIDE=FQ","FILING_STATUS=MR","SCALING_FORMAT=MLN","Sort=A","Dates=H","DateFormat=P","Fill=—","Direction=H","UseDPDF=Y")</f>
        <v>—</v>
      </c>
      <c r="X30" s="13" t="str">
        <f>_xll.BDH("SRPT US Equity","IS_IMPAIRMENT_ASSETS","FQ3 2024","FQ3 2024","Currency=USD","Period=FQ","BEST_FPERIOD_OVERRIDE=FQ","FILING_STATUS=MR","SCALING_FORMAT=MLN","Sort=A","Dates=H","DateFormat=P","Fill=—","Direction=H","UseDPDF=Y")</f>
        <v>—</v>
      </c>
      <c r="Y30" s="13" t="str">
        <f>_xll.BDH("SRPT US Equity","IS_IMPAIRMENT_ASSETS","FQ4 2024","FQ4 2024","Currency=USD","Period=FQ","BEST_FPERIOD_OVERRIDE=FQ","FILING_STATUS=MR","SCALING_FORMAT=MLN","Sort=A","Dates=H","DateFormat=P","Fill=—","Direction=H","UseDPDF=Y")</f>
        <v>—</v>
      </c>
      <c r="Z30" s="13"/>
      <c r="AA30" s="13"/>
    </row>
    <row r="31" spans="1:27" x14ac:dyDescent="0.25">
      <c r="A31" s="10" t="s">
        <v>355</v>
      </c>
      <c r="B31" s="10" t="s">
        <v>356</v>
      </c>
      <c r="C31" s="13" t="str">
        <f>_xll.BDH("SRPT US Equity","IS_LEGAL_LITIGATION_SETTLEMENT","FQ2 2019","FQ2 2019","Currency=USD","Period=FQ","BEST_FPERIOD_OVERRIDE=FQ","FILING_STATUS=MR","SCALING_FORMAT=MLN","Sort=A","Dates=H","DateFormat=P","Fill=—","Direction=H","UseDPDF=Y")</f>
        <v>—</v>
      </c>
      <c r="D31" s="13" t="str">
        <f>_xll.BDH("SRPT US Equity","IS_LEGAL_LITIGATION_SETTLEMENT","FQ3 2019","FQ3 2019","Currency=USD","Period=FQ","BEST_FPERIOD_OVERRIDE=FQ","FILING_STATUS=MR","SCALING_FORMAT=MLN","Sort=A","Dates=H","DateFormat=P","Fill=—","Direction=H","UseDPDF=Y")</f>
        <v>—</v>
      </c>
      <c r="E31" s="13">
        <f>_xll.BDH("SRPT US Equity","IS_LEGAL_LITIGATION_SETTLEMENT","FQ4 2019","FQ4 2019","Currency=USD","Period=FQ","BEST_FPERIOD_OVERRIDE=FQ","FILING_STATUS=MR","SCALING_FORMAT=MLN","Sort=A","Dates=H","DateFormat=P","Fill=—","Direction=H","UseDPDF=Y")</f>
        <v>10</v>
      </c>
      <c r="F31" s="13" t="str">
        <f>_xll.BDH("SRPT US Equity","IS_LEGAL_LITIGATION_SETTLEMENT","FQ1 2020","FQ1 2020","Currency=USD","Period=FQ","BEST_FPERIOD_OVERRIDE=FQ","FILING_STATUS=MR","SCALING_FORMAT=MLN","Sort=A","Dates=H","DateFormat=P","Fill=—","Direction=H","UseDPDF=Y")</f>
        <v>—</v>
      </c>
      <c r="G31" s="13" t="str">
        <f>_xll.BDH("SRPT US Equity","IS_LEGAL_LITIGATION_SETTLEMENT","FQ2 2020","FQ2 2020","Currency=USD","Period=FQ","BEST_FPERIOD_OVERRIDE=FQ","FILING_STATUS=MR","SCALING_FORMAT=MLN","Sort=A","Dates=H","DateFormat=P","Fill=—","Direction=H","UseDPDF=Y")</f>
        <v>—</v>
      </c>
      <c r="H31" s="13" t="str">
        <f>_xll.BDH("SRPT US Equity","IS_LEGAL_LITIGATION_SETTLEMENT","FQ3 2020","FQ3 2020","Currency=USD","Period=FQ","BEST_FPERIOD_OVERRIDE=FQ","FILING_STATUS=MR","SCALING_FORMAT=MLN","Sort=A","Dates=H","DateFormat=P","Fill=—","Direction=H","UseDPDF=Y")</f>
        <v>—</v>
      </c>
      <c r="I31" s="13" t="str">
        <f>_xll.BDH("SRPT US Equity","IS_LEGAL_LITIGATION_SETTLEMENT","FQ4 2020","FQ4 2020","Currency=USD","Period=FQ","BEST_FPERIOD_OVERRIDE=FQ","FILING_STATUS=MR","SCALING_FORMAT=MLN","Sort=A","Dates=H","DateFormat=P","Fill=—","Direction=H","UseDPDF=Y")</f>
        <v>—</v>
      </c>
      <c r="J31" s="13">
        <f>_xll.BDH("SRPT US Equity","IS_LEGAL_LITIGATION_SETTLEMENT","FQ1 2021","FQ1 2021","Currency=USD","Period=FQ","BEST_FPERIOD_OVERRIDE=FQ","FILING_STATUS=MR","SCALING_FORMAT=MLN","Sort=A","Dates=H","DateFormat=P","Fill=—","Direction=H","UseDPDF=Y")</f>
        <v>10</v>
      </c>
      <c r="K31" s="13" t="str">
        <f>_xll.BDH("SRPT US Equity","IS_LEGAL_LITIGATION_SETTLEMENT","FQ2 2021","FQ2 2021","Currency=USD","Period=FQ","BEST_FPERIOD_OVERRIDE=FQ","FILING_STATUS=MR","SCALING_FORMAT=MLN","Sort=A","Dates=H","DateFormat=P","Fill=—","Direction=H","UseDPDF=Y")</f>
        <v>—</v>
      </c>
      <c r="L31" s="13" t="str">
        <f>_xll.BDH("SRPT US Equity","IS_LEGAL_LITIGATION_SETTLEMENT","FQ3 2021","FQ3 2021","Currency=USD","Period=FQ","BEST_FPERIOD_OVERRIDE=FQ","FILING_STATUS=MR","SCALING_FORMAT=MLN","Sort=A","Dates=H","DateFormat=P","Fill=—","Direction=H","UseDPDF=Y")</f>
        <v>—</v>
      </c>
      <c r="M31" s="13" t="str">
        <f>_xll.BDH("SRPT US Equity","IS_LEGAL_LITIGATION_SETTLEMENT","FQ4 2021","FQ4 2021","Currency=USD","Period=FQ","BEST_FPERIOD_OVERRIDE=FQ","FILING_STATUS=MR","SCALING_FORMAT=MLN","Sort=A","Dates=H","DateFormat=P","Fill=—","Direction=H","UseDPDF=Y")</f>
        <v>—</v>
      </c>
      <c r="N31" s="13" t="str">
        <f>_xll.BDH("SRPT US Equity","IS_LEGAL_LITIGATION_SETTLEMENT","FQ1 2022","FQ1 2022","Currency=USD","Period=FQ","BEST_FPERIOD_OVERRIDE=FQ","FILING_STATUS=MR","SCALING_FORMAT=MLN","Sort=A","Dates=H","DateFormat=P","Fill=—","Direction=H","UseDPDF=Y")</f>
        <v>—</v>
      </c>
      <c r="O31" s="13" t="str">
        <f>_xll.BDH("SRPT US Equity","IS_LEGAL_LITIGATION_SETTLEMENT","FQ2 2022","FQ2 2022","Currency=USD","Period=FQ","BEST_FPERIOD_OVERRIDE=FQ","FILING_STATUS=MR","SCALING_FORMAT=MLN","Sort=A","Dates=H","DateFormat=P","Fill=—","Direction=H","UseDPDF=Y")</f>
        <v>—</v>
      </c>
      <c r="P31" s="13" t="str">
        <f>_xll.BDH("SRPT US Equity","IS_LEGAL_LITIGATION_SETTLEMENT","FQ3 2022","FQ3 2022","Currency=USD","Period=FQ","BEST_FPERIOD_OVERRIDE=FQ","FILING_STATUS=MR","SCALING_FORMAT=MLN","Sort=A","Dates=H","DateFormat=P","Fill=—","Direction=H","UseDPDF=Y")</f>
        <v>—</v>
      </c>
      <c r="Q31" s="13" t="str">
        <f>_xll.BDH("SRPT US Equity","IS_LEGAL_LITIGATION_SETTLEMENT","FQ4 2022","FQ4 2022","Currency=USD","Period=FQ","BEST_FPERIOD_OVERRIDE=FQ","FILING_STATUS=MR","SCALING_FORMAT=MLN","Sort=A","Dates=H","DateFormat=P","Fill=—","Direction=H","UseDPDF=Y")</f>
        <v>—</v>
      </c>
      <c r="R31" s="13" t="str">
        <f>_xll.BDH("SRPT US Equity","IS_LEGAL_LITIGATION_SETTLEMENT","FQ1 2023","FQ1 2023","Currency=USD","Period=FQ","BEST_FPERIOD_OVERRIDE=FQ","FILING_STATUS=MR","SCALING_FORMAT=MLN","Sort=A","Dates=H","DateFormat=P","Fill=—","Direction=H","UseDPDF=Y")</f>
        <v>—</v>
      </c>
      <c r="S31" s="13" t="str">
        <f>_xll.BDH("SRPT US Equity","IS_LEGAL_LITIGATION_SETTLEMENT","FQ2 2023","FQ2 2023","Currency=USD","Period=FQ","BEST_FPERIOD_OVERRIDE=FQ","FILING_STATUS=MR","SCALING_FORMAT=MLN","Sort=A","Dates=H","DateFormat=P","Fill=—","Direction=H","UseDPDF=Y")</f>
        <v>—</v>
      </c>
      <c r="T31" s="13" t="str">
        <f>_xll.BDH("SRPT US Equity","IS_LEGAL_LITIGATION_SETTLEMENT","FQ3 2023","FQ3 2023","Currency=USD","Period=FQ","BEST_FPERIOD_OVERRIDE=FQ","FILING_STATUS=MR","SCALING_FORMAT=MLN","Sort=A","Dates=H","DateFormat=P","Fill=—","Direction=H","UseDPDF=Y")</f>
        <v>—</v>
      </c>
      <c r="U31" s="13" t="str">
        <f>_xll.BDH("SRPT US Equity","IS_LEGAL_LITIGATION_SETTLEMENT","FQ4 2023","FQ4 2023","Currency=USD","Period=FQ","BEST_FPERIOD_OVERRIDE=FQ","FILING_STATUS=MR","SCALING_FORMAT=MLN","Sort=A","Dates=H","DateFormat=P","Fill=—","Direction=H","UseDPDF=Y")</f>
        <v>—</v>
      </c>
      <c r="V31" s="13" t="str">
        <f>_xll.BDH("SRPT US Equity","IS_LEGAL_LITIGATION_SETTLEMENT","FQ1 2024","FQ1 2024","Currency=USD","Period=FQ","BEST_FPERIOD_OVERRIDE=FQ","FILING_STATUS=MR","SCALING_FORMAT=MLN","Sort=A","Dates=H","DateFormat=P","Fill=—","Direction=H","UseDPDF=Y")</f>
        <v>—</v>
      </c>
      <c r="W31" s="13" t="str">
        <f>_xll.BDH("SRPT US Equity","IS_LEGAL_LITIGATION_SETTLEMENT","FQ2 2024","FQ2 2024","Currency=USD","Period=FQ","BEST_FPERIOD_OVERRIDE=FQ","FILING_STATUS=MR","SCALING_FORMAT=MLN","Sort=A","Dates=H","DateFormat=P","Fill=—","Direction=H","UseDPDF=Y")</f>
        <v>—</v>
      </c>
      <c r="X31" s="13" t="str">
        <f>_xll.BDH("SRPT US Equity","IS_LEGAL_LITIGATION_SETTLEMENT","FQ3 2024","FQ3 2024","Currency=USD","Period=FQ","BEST_FPERIOD_OVERRIDE=FQ","FILING_STATUS=MR","SCALING_FORMAT=MLN","Sort=A","Dates=H","DateFormat=P","Fill=—","Direction=H","UseDPDF=Y")</f>
        <v>—</v>
      </c>
      <c r="Y31" s="13" t="str">
        <f>_xll.BDH("SRPT US Equity","IS_LEGAL_LITIGATION_SETTLEMENT","FQ4 2024","FQ4 2024","Currency=USD","Period=FQ","BEST_FPERIOD_OVERRIDE=FQ","FILING_STATUS=MR","SCALING_FORMAT=MLN","Sort=A","Dates=H","DateFormat=P","Fill=—","Direction=H","UseDPDF=Y")</f>
        <v>—</v>
      </c>
      <c r="Z31" s="13"/>
      <c r="AA31" s="13"/>
    </row>
    <row r="32" spans="1:27" x14ac:dyDescent="0.25">
      <c r="A32" s="10" t="s">
        <v>357</v>
      </c>
      <c r="B32" s="10" t="s">
        <v>358</v>
      </c>
      <c r="C32" s="13" t="str">
        <f>_xll.BDH("SRPT US Equity","IS_UNREALIZED_INVESTMENTS","FQ2 2019","FQ2 2019","Currency=USD","Period=FQ","BEST_FPERIOD_OVERRIDE=FQ","FILING_STATUS=MR","SCALING_FORMAT=MLN","Sort=A","Dates=H","DateFormat=P","Fill=—","Direction=H","UseDPDF=Y")</f>
        <v>—</v>
      </c>
      <c r="D32" s="13" t="str">
        <f>_xll.BDH("SRPT US Equity","IS_UNREALIZED_INVESTMENTS","FQ3 2019","FQ3 2019","Currency=USD","Period=FQ","BEST_FPERIOD_OVERRIDE=FQ","FILING_STATUS=MR","SCALING_FORMAT=MLN","Sort=A","Dates=H","DateFormat=P","Fill=—","Direction=H","UseDPDF=Y")</f>
        <v>—</v>
      </c>
      <c r="E32" s="13" t="str">
        <f>_xll.BDH("SRPT US Equity","IS_UNREALIZED_INVESTMENTS","FQ4 2019","FQ4 2019","Currency=USD","Period=FQ","BEST_FPERIOD_OVERRIDE=FQ","FILING_STATUS=MR","SCALING_FORMAT=MLN","Sort=A","Dates=H","DateFormat=P","Fill=—","Direction=H","UseDPDF=Y")</f>
        <v>—</v>
      </c>
      <c r="F32" s="13" t="str">
        <f>_xll.BDH("SRPT US Equity","IS_UNREALIZED_INVESTMENTS","FQ1 2020","FQ1 2020","Currency=USD","Period=FQ","BEST_FPERIOD_OVERRIDE=FQ","FILING_STATUS=MR","SCALING_FORMAT=MLN","Sort=A","Dates=H","DateFormat=P","Fill=—","Direction=H","UseDPDF=Y")</f>
        <v>—</v>
      </c>
      <c r="G32" s="13" t="str">
        <f>_xll.BDH("SRPT US Equity","IS_UNREALIZED_INVESTMENTS","FQ2 2020","FQ2 2020","Currency=USD","Period=FQ","BEST_FPERIOD_OVERRIDE=FQ","FILING_STATUS=MR","SCALING_FORMAT=MLN","Sort=A","Dates=H","DateFormat=P","Fill=—","Direction=H","UseDPDF=Y")</f>
        <v>—</v>
      </c>
      <c r="H32" s="13" t="str">
        <f>_xll.BDH("SRPT US Equity","IS_UNREALIZED_INVESTMENTS","FQ3 2020","FQ3 2020","Currency=USD","Period=FQ","BEST_FPERIOD_OVERRIDE=FQ","FILING_STATUS=MR","SCALING_FORMAT=MLN","Sort=A","Dates=H","DateFormat=P","Fill=—","Direction=H","UseDPDF=Y")</f>
        <v>—</v>
      </c>
      <c r="I32" s="13" t="str">
        <f>_xll.BDH("SRPT US Equity","IS_UNREALIZED_INVESTMENTS","FQ4 2020","FQ4 2020","Currency=USD","Period=FQ","BEST_FPERIOD_OVERRIDE=FQ","FILING_STATUS=MR","SCALING_FORMAT=MLN","Sort=A","Dates=H","DateFormat=P","Fill=—","Direction=H","UseDPDF=Y")</f>
        <v>—</v>
      </c>
      <c r="J32" s="13" t="str">
        <f>_xll.BDH("SRPT US Equity","IS_UNREALIZED_INVESTMENTS","FQ1 2021","FQ1 2021","Currency=USD","Period=FQ","BEST_FPERIOD_OVERRIDE=FQ","FILING_STATUS=MR","SCALING_FORMAT=MLN","Sort=A","Dates=H","DateFormat=P","Fill=—","Direction=H","UseDPDF=Y")</f>
        <v>—</v>
      </c>
      <c r="K32" s="13" t="str">
        <f>_xll.BDH("SRPT US Equity","IS_UNREALIZED_INVESTMENTS","FQ2 2021","FQ2 2021","Currency=USD","Period=FQ","BEST_FPERIOD_OVERRIDE=FQ","FILING_STATUS=MR","SCALING_FORMAT=MLN","Sort=A","Dates=H","DateFormat=P","Fill=—","Direction=H","UseDPDF=Y")</f>
        <v>—</v>
      </c>
      <c r="L32" s="13" t="str">
        <f>_xll.BDH("SRPT US Equity","IS_UNREALIZED_INVESTMENTS","FQ3 2021","FQ3 2021","Currency=USD","Period=FQ","BEST_FPERIOD_OVERRIDE=FQ","FILING_STATUS=MR","SCALING_FORMAT=MLN","Sort=A","Dates=H","DateFormat=P","Fill=—","Direction=H","UseDPDF=Y")</f>
        <v>—</v>
      </c>
      <c r="M32" s="13" t="str">
        <f>_xll.BDH("SRPT US Equity","IS_UNREALIZED_INVESTMENTS","FQ4 2021","FQ4 2021","Currency=USD","Period=FQ","BEST_FPERIOD_OVERRIDE=FQ","FILING_STATUS=MR","SCALING_FORMAT=MLN","Sort=A","Dates=H","DateFormat=P","Fill=—","Direction=H","UseDPDF=Y")</f>
        <v>—</v>
      </c>
      <c r="N32" s="13" t="str">
        <f>_xll.BDH("SRPT US Equity","IS_UNREALIZED_INVESTMENTS","FQ1 2022","FQ1 2022","Currency=USD","Period=FQ","BEST_FPERIOD_OVERRIDE=FQ","FILING_STATUS=MR","SCALING_FORMAT=MLN","Sort=A","Dates=H","DateFormat=P","Fill=—","Direction=H","UseDPDF=Y")</f>
        <v>—</v>
      </c>
      <c r="O32" s="13" t="str">
        <f>_xll.BDH("SRPT US Equity","IS_UNREALIZED_INVESTMENTS","FQ2 2022","FQ2 2022","Currency=USD","Period=FQ","BEST_FPERIOD_OVERRIDE=FQ","FILING_STATUS=MR","SCALING_FORMAT=MLN","Sort=A","Dates=H","DateFormat=P","Fill=—","Direction=H","UseDPDF=Y")</f>
        <v>—</v>
      </c>
      <c r="P32" s="13" t="str">
        <f>_xll.BDH("SRPT US Equity","IS_UNREALIZED_INVESTMENTS","FQ3 2022","FQ3 2022","Currency=USD","Period=FQ","BEST_FPERIOD_OVERRIDE=FQ","FILING_STATUS=MR","SCALING_FORMAT=MLN","Sort=A","Dates=H","DateFormat=P","Fill=—","Direction=H","UseDPDF=Y")</f>
        <v>—</v>
      </c>
      <c r="Q32" s="13">
        <f>_xll.BDH("SRPT US Equity","IS_UNREALIZED_INVESTMENTS","FQ4 2022","FQ4 2022","Currency=USD","Period=FQ","BEST_FPERIOD_OVERRIDE=FQ","FILING_STATUS=MR","SCALING_FORMAT=MLN","Sort=A","Dates=H","DateFormat=P","Fill=—","Direction=H","UseDPDF=Y")</f>
        <v>2.5750000000000002</v>
      </c>
      <c r="R32" s="13" t="str">
        <f>_xll.BDH("SRPT US Equity","IS_UNREALIZED_INVESTMENTS","FQ1 2023","FQ1 2023","Currency=USD","Period=FQ","BEST_FPERIOD_OVERRIDE=FQ","FILING_STATUS=MR","SCALING_FORMAT=MLN","Sort=A","Dates=H","DateFormat=P","Fill=—","Direction=H","UseDPDF=Y")</f>
        <v>—</v>
      </c>
      <c r="S32" s="13" t="str">
        <f>_xll.BDH("SRPT US Equity","IS_UNREALIZED_INVESTMENTS","FQ2 2023","FQ2 2023","Currency=USD","Period=FQ","BEST_FPERIOD_OVERRIDE=FQ","FILING_STATUS=MR","SCALING_FORMAT=MLN","Sort=A","Dates=H","DateFormat=P","Fill=—","Direction=H","UseDPDF=Y")</f>
        <v>—</v>
      </c>
      <c r="T32" s="13" t="str">
        <f>_xll.BDH("SRPT US Equity","IS_UNREALIZED_INVESTMENTS","FQ3 2023","FQ3 2023","Currency=USD","Period=FQ","BEST_FPERIOD_OVERRIDE=FQ","FILING_STATUS=MR","SCALING_FORMAT=MLN","Sort=A","Dates=H","DateFormat=P","Fill=—","Direction=H","UseDPDF=Y")</f>
        <v>—</v>
      </c>
      <c r="U32" s="13" t="str">
        <f>_xll.BDH("SRPT US Equity","IS_UNREALIZED_INVESTMENTS","FQ4 2023","FQ4 2023","Currency=USD","Period=FQ","BEST_FPERIOD_OVERRIDE=FQ","FILING_STATUS=MR","SCALING_FORMAT=MLN","Sort=A","Dates=H","DateFormat=P","Fill=—","Direction=H","UseDPDF=Y")</f>
        <v>—</v>
      </c>
      <c r="V32" s="13" t="str">
        <f>_xll.BDH("SRPT US Equity","IS_UNREALIZED_INVESTMENTS","FQ1 2024","FQ1 2024","Currency=USD","Period=FQ","BEST_FPERIOD_OVERRIDE=FQ","FILING_STATUS=MR","SCALING_FORMAT=MLN","Sort=A","Dates=H","DateFormat=P","Fill=—","Direction=H","UseDPDF=Y")</f>
        <v>—</v>
      </c>
      <c r="W32" s="13" t="str">
        <f>_xll.BDH("SRPT US Equity","IS_UNREALIZED_INVESTMENTS","FQ2 2024","FQ2 2024","Currency=USD","Period=FQ","BEST_FPERIOD_OVERRIDE=FQ","FILING_STATUS=MR","SCALING_FORMAT=MLN","Sort=A","Dates=H","DateFormat=P","Fill=—","Direction=H","UseDPDF=Y")</f>
        <v>—</v>
      </c>
      <c r="X32" s="13" t="str">
        <f>_xll.BDH("SRPT US Equity","IS_UNREALIZED_INVESTMENTS","FQ3 2024","FQ3 2024","Currency=USD","Period=FQ","BEST_FPERIOD_OVERRIDE=FQ","FILING_STATUS=MR","SCALING_FORMAT=MLN","Sort=A","Dates=H","DateFormat=P","Fill=—","Direction=H","UseDPDF=Y")</f>
        <v>—</v>
      </c>
      <c r="Y32" s="13" t="str">
        <f>_xll.BDH("SRPT US Equity","IS_UNREALIZED_INVESTMENTS","FQ4 2024","FQ4 2024","Currency=USD","Period=FQ","BEST_FPERIOD_OVERRIDE=FQ","FILING_STATUS=MR","SCALING_FORMAT=MLN","Sort=A","Dates=H","DateFormat=P","Fill=—","Direction=H","UseDPDF=Y")</f>
        <v>—</v>
      </c>
      <c r="Z32" s="13"/>
      <c r="AA32" s="13"/>
    </row>
    <row r="33" spans="1:27" x14ac:dyDescent="0.25">
      <c r="A33" s="10" t="s">
        <v>359</v>
      </c>
      <c r="B33" s="10" t="s">
        <v>360</v>
      </c>
      <c r="C33" s="13">
        <f>_xll.BDH("SRPT US Equity","IS_OTHER_ONE_TIME_ITEMS","FQ2 2019","FQ2 2019","Currency=USD","Period=FQ","BEST_FPERIOD_OVERRIDE=FQ","FILING_STATUS=MR","SCALING_FORMAT=MLN","Sort=A","Dates=H","DateFormat=P","Fill=—","Direction=H","UseDPDF=Y")</f>
        <v>15.077999999999999</v>
      </c>
      <c r="D33" s="13">
        <f>_xll.BDH("SRPT US Equity","IS_OTHER_ONE_TIME_ITEMS","FQ3 2019","FQ3 2019","Currency=USD","Period=FQ","BEST_FPERIOD_OVERRIDE=FQ","FILING_STATUS=MR","SCALING_FORMAT=MLN","Sort=A","Dates=H","DateFormat=P","Fill=—","Direction=H","UseDPDF=Y")</f>
        <v>12.146000000000001</v>
      </c>
      <c r="E33" s="13">
        <f>_xll.BDH("SRPT US Equity","IS_OTHER_ONE_TIME_ITEMS","FQ4 2019","FQ4 2019","Currency=USD","Period=FQ","BEST_FPERIOD_OVERRIDE=FQ","FILING_STATUS=MR","SCALING_FORMAT=MLN","Sort=A","Dates=H","DateFormat=P","Fill=—","Direction=H","UseDPDF=Y")</f>
        <v>74.816000000000003</v>
      </c>
      <c r="F33" s="13" t="str">
        <f>_xll.BDH("SRPT US Equity","IS_OTHER_ONE_TIME_ITEMS","FQ1 2020","FQ1 2020","Currency=USD","Period=FQ","BEST_FPERIOD_OVERRIDE=FQ","FILING_STATUS=MR","SCALING_FORMAT=MLN","Sort=A","Dates=H","DateFormat=P","Fill=—","Direction=H","UseDPDF=Y")</f>
        <v>—</v>
      </c>
      <c r="G33" s="13" t="str">
        <f>_xll.BDH("SRPT US Equity","IS_OTHER_ONE_TIME_ITEMS","FQ2 2020","FQ2 2020","Currency=USD","Period=FQ","BEST_FPERIOD_OVERRIDE=FQ","FILING_STATUS=MR","SCALING_FORMAT=MLN","Sort=A","Dates=H","DateFormat=P","Fill=—","Direction=H","UseDPDF=Y")</f>
        <v>—</v>
      </c>
      <c r="H33" s="13">
        <f>_xll.BDH("SRPT US Equity","IS_OTHER_ONE_TIME_ITEMS","FQ3 2020","FQ3 2020","Currency=USD","Period=FQ","BEST_FPERIOD_OVERRIDE=FQ","FILING_STATUS=MR","SCALING_FORMAT=MLN","Sort=A","Dates=H","DateFormat=P","Fill=—","Direction=H","UseDPDF=Y")</f>
        <v>60.375</v>
      </c>
      <c r="I33" s="13">
        <f>_xll.BDH("SRPT US Equity","IS_OTHER_ONE_TIME_ITEMS","FQ4 2020","FQ4 2020","Currency=USD","Period=FQ","BEST_FPERIOD_OVERRIDE=FQ","FILING_STATUS=MR","SCALING_FORMAT=MLN","Sort=A","Dates=H","DateFormat=P","Fill=—","Direction=H","UseDPDF=Y")</f>
        <v>10.622</v>
      </c>
      <c r="J33" s="13">
        <f>_xll.BDH("SRPT US Equity","IS_OTHER_ONE_TIME_ITEMS","FQ1 2021","FQ1 2021","Currency=USD","Period=FQ","BEST_FPERIOD_OVERRIDE=FQ","FILING_STATUS=MR","SCALING_FORMAT=MLN","Sort=A","Dates=H","DateFormat=P","Fill=—","Direction=H","UseDPDF=Y")</f>
        <v>4</v>
      </c>
      <c r="K33" s="13">
        <f>_xll.BDH("SRPT US Equity","IS_OTHER_ONE_TIME_ITEMS","FQ2 2021","FQ2 2021","Currency=USD","Period=FQ","BEST_FPERIOD_OVERRIDE=FQ","FILING_STATUS=MR","SCALING_FORMAT=MLN","Sort=A","Dates=H","DateFormat=P","Fill=—","Direction=H","UseDPDF=Y")</f>
        <v>31.677</v>
      </c>
      <c r="L33" s="13">
        <f>_xll.BDH("SRPT US Equity","IS_OTHER_ONE_TIME_ITEMS","FQ3 2021","FQ3 2021","Currency=USD","Period=FQ","BEST_FPERIOD_OVERRIDE=FQ","FILING_STATUS=MR","SCALING_FORMAT=MLN","Sort=A","Dates=H","DateFormat=P","Fill=—","Direction=H","UseDPDF=Y")</f>
        <v>-7.2</v>
      </c>
      <c r="M33" s="13" t="str">
        <f>_xll.BDH("SRPT US Equity","IS_OTHER_ONE_TIME_ITEMS","FQ4 2021","FQ4 2021","Currency=USD","Period=FQ","BEST_FPERIOD_OVERRIDE=FQ","FILING_STATUS=MR","SCALING_FORMAT=MLN","Sort=A","Dates=H","DateFormat=P","Fill=—","Direction=H","UseDPDF=Y")</f>
        <v>—</v>
      </c>
      <c r="N33" s="13" t="str">
        <f>_xll.BDH("SRPT US Equity","IS_OTHER_ONE_TIME_ITEMS","FQ1 2022","FQ1 2022","Currency=USD","Period=FQ","BEST_FPERIOD_OVERRIDE=FQ","FILING_STATUS=MR","SCALING_FORMAT=MLN","Sort=A","Dates=H","DateFormat=P","Fill=—","Direction=H","UseDPDF=Y")</f>
        <v>—</v>
      </c>
      <c r="O33" s="13" t="str">
        <f>_xll.BDH("SRPT US Equity","IS_OTHER_ONE_TIME_ITEMS","FQ2 2022","FQ2 2022","Currency=USD","Period=FQ","BEST_FPERIOD_OVERRIDE=FQ","FILING_STATUS=MR","SCALING_FORMAT=MLN","Sort=A","Dates=H","DateFormat=P","Fill=—","Direction=H","UseDPDF=Y")</f>
        <v>—</v>
      </c>
      <c r="P33" s="13">
        <f>_xll.BDH("SRPT US Equity","IS_OTHER_ONE_TIME_ITEMS","FQ3 2022","FQ3 2022","Currency=USD","Period=FQ","BEST_FPERIOD_OVERRIDE=FQ","FILING_STATUS=MR","SCALING_FORMAT=MLN","Sort=A","Dates=H","DateFormat=P","Fill=—","Direction=H","UseDPDF=Y")</f>
        <v>-6.7</v>
      </c>
      <c r="Q33" s="13" t="str">
        <f>_xll.BDH("SRPT US Equity","IS_OTHER_ONE_TIME_ITEMS","FQ4 2022","FQ4 2022","Currency=USD","Period=FQ","BEST_FPERIOD_OVERRIDE=FQ","FILING_STATUS=MR","SCALING_FORMAT=MLN","Sort=A","Dates=H","DateFormat=P","Fill=—","Direction=H","UseDPDF=Y")</f>
        <v>—</v>
      </c>
      <c r="R33" s="13" t="str">
        <f>_xll.BDH("SRPT US Equity","IS_OTHER_ONE_TIME_ITEMS","FQ1 2023","FQ1 2023","Currency=USD","Period=FQ","BEST_FPERIOD_OVERRIDE=FQ","FILING_STATUS=MR","SCALING_FORMAT=MLN","Sort=A","Dates=H","DateFormat=P","Fill=—","Direction=H","UseDPDF=Y")</f>
        <v>—</v>
      </c>
      <c r="S33" s="13" t="str">
        <f>_xll.BDH("SRPT US Equity","IS_OTHER_ONE_TIME_ITEMS","FQ2 2023","FQ2 2023","Currency=USD","Period=FQ","BEST_FPERIOD_OVERRIDE=FQ","FILING_STATUS=MR","SCALING_FORMAT=MLN","Sort=A","Dates=H","DateFormat=P","Fill=—","Direction=H","UseDPDF=Y")</f>
        <v>—</v>
      </c>
      <c r="T33" s="13" t="str">
        <f>_xll.BDH("SRPT US Equity","IS_OTHER_ONE_TIME_ITEMS","FQ3 2023","FQ3 2023","Currency=USD","Period=FQ","BEST_FPERIOD_OVERRIDE=FQ","FILING_STATUS=MR","SCALING_FORMAT=MLN","Sort=A","Dates=H","DateFormat=P","Fill=—","Direction=H","UseDPDF=Y")</f>
        <v>—</v>
      </c>
      <c r="U33" s="13" t="str">
        <f>_xll.BDH("SRPT US Equity","IS_OTHER_ONE_TIME_ITEMS","FQ4 2023","FQ4 2023","Currency=USD","Period=FQ","BEST_FPERIOD_OVERRIDE=FQ","FILING_STATUS=MR","SCALING_FORMAT=MLN","Sort=A","Dates=H","DateFormat=P","Fill=—","Direction=H","UseDPDF=Y")</f>
        <v>—</v>
      </c>
      <c r="V33" s="13" t="str">
        <f>_xll.BDH("SRPT US Equity","IS_OTHER_ONE_TIME_ITEMS","FQ1 2024","FQ1 2024","Currency=USD","Period=FQ","BEST_FPERIOD_OVERRIDE=FQ","FILING_STATUS=MR","SCALING_FORMAT=MLN","Sort=A","Dates=H","DateFormat=P","Fill=—","Direction=H","UseDPDF=Y")</f>
        <v>—</v>
      </c>
      <c r="W33" s="13" t="str">
        <f>_xll.BDH("SRPT US Equity","IS_OTHER_ONE_TIME_ITEMS","FQ2 2024","FQ2 2024","Currency=USD","Period=FQ","BEST_FPERIOD_OVERRIDE=FQ","FILING_STATUS=MR","SCALING_FORMAT=MLN","Sort=A","Dates=H","DateFormat=P","Fill=—","Direction=H","UseDPDF=Y")</f>
        <v>—</v>
      </c>
      <c r="X33" s="13" t="str">
        <f>_xll.BDH("SRPT US Equity","IS_OTHER_ONE_TIME_ITEMS","FQ3 2024","FQ3 2024","Currency=USD","Period=FQ","BEST_FPERIOD_OVERRIDE=FQ","FILING_STATUS=MR","SCALING_FORMAT=MLN","Sort=A","Dates=H","DateFormat=P","Fill=—","Direction=H","UseDPDF=Y")</f>
        <v>—</v>
      </c>
      <c r="Y33" s="13" t="str">
        <f>_xll.BDH("SRPT US Equity","IS_OTHER_ONE_TIME_ITEMS","FQ4 2024","FQ4 2024","Currency=USD","Period=FQ","BEST_FPERIOD_OVERRIDE=FQ","FILING_STATUS=MR","SCALING_FORMAT=MLN","Sort=A","Dates=H","DateFormat=P","Fill=—","Direction=H","UseDPDF=Y")</f>
        <v>—</v>
      </c>
      <c r="Z33" s="13"/>
      <c r="AA33" s="13"/>
    </row>
    <row r="34" spans="1:27" x14ac:dyDescent="0.25">
      <c r="A34" s="6" t="s">
        <v>361</v>
      </c>
      <c r="B34" s="6" t="s">
        <v>158</v>
      </c>
      <c r="C34" s="19">
        <f>_xll.BDH("SRPT US Equity","PRETAX_INC","FQ2 2019","FQ2 2019","Currency=USD","Period=FQ","BEST_FPERIOD_OVERRIDE=FQ","FILING_STATUS=MR","SCALING_FORMAT=MLN","FA_ADJUSTED=GAAP","Sort=A","Dates=H","DateFormat=P","Fill=—","Direction=H","UseDPDF=Y")</f>
        <v>-276.22899999999998</v>
      </c>
      <c r="D34" s="19">
        <f>_xll.BDH("SRPT US Equity","PRETAX_INC","FQ3 2019","FQ3 2019","Currency=USD","Period=FQ","BEST_FPERIOD_OVERRIDE=FQ","FILING_STATUS=MR","SCALING_FORMAT=MLN","FA_ADJUSTED=GAAP","Sort=A","Dates=H","DateFormat=P","Fill=—","Direction=H","UseDPDF=Y")</f>
        <v>-126.1</v>
      </c>
      <c r="E34" s="19">
        <f>_xll.BDH("SRPT US Equity","PRETAX_INC","FQ4 2019","FQ4 2019","Currency=USD","Period=FQ","BEST_FPERIOD_OVERRIDE=FQ","FILING_STATUS=MR","SCALING_FORMAT=MLN","FA_ADJUSTED=GAAP","Sort=A","Dates=H","DateFormat=P","Fill=—","Direction=H","UseDPDF=Y")</f>
        <v>-234.99199999999999</v>
      </c>
      <c r="F34" s="19">
        <f>_xll.BDH("SRPT US Equity","PRETAX_INC","FQ1 2020","FQ1 2020","Currency=USD","Period=FQ","BEST_FPERIOD_OVERRIDE=FQ","FILING_STATUS=MR","SCALING_FORMAT=MLN","FA_ADJUSTED=GAAP","Sort=A","Dates=H","DateFormat=P","Fill=—","Direction=H","UseDPDF=Y")</f>
        <v>-17.376999999999999</v>
      </c>
      <c r="G34" s="19">
        <f>_xll.BDH("SRPT US Equity","PRETAX_INC","FQ2 2020","FQ2 2020","Currency=USD","Period=FQ","BEST_FPERIOD_OVERRIDE=FQ","FILING_STATUS=MR","SCALING_FORMAT=MLN","FA_ADJUSTED=GAAP","Sort=A","Dates=H","DateFormat=P","Fill=—","Direction=H","UseDPDF=Y")</f>
        <v>-150.80000000000001</v>
      </c>
      <c r="H34" s="19">
        <f>_xll.BDH("SRPT US Equity","PRETAX_INC","FQ3 2020","FQ3 2020","Currency=USD","Period=FQ","BEST_FPERIOD_OVERRIDE=FQ","FILING_STATUS=MR","SCALING_FORMAT=MLN","FA_ADJUSTED=GAAP","Sort=A","Dates=H","DateFormat=P","Fill=—","Direction=H","UseDPDF=Y")</f>
        <v>-196.40299999999999</v>
      </c>
      <c r="I34" s="19">
        <f>_xll.BDH("SRPT US Equity","PRETAX_INC","FQ4 2020","FQ4 2020","Currency=USD","Period=FQ","BEST_FPERIOD_OVERRIDE=FQ","FILING_STATUS=MR","SCALING_FORMAT=MLN","FA_ADJUSTED=GAAP","Sort=A","Dates=H","DateFormat=P","Fill=—","Direction=H","UseDPDF=Y")</f>
        <v>-188.48500000000001</v>
      </c>
      <c r="J34" s="19">
        <f>_xll.BDH("SRPT US Equity","PRETAX_INC","FQ1 2021","FQ1 2021","Currency=USD","Period=FQ","BEST_FPERIOD_OVERRIDE=FQ","FILING_STATUS=MR","SCALING_FORMAT=MLN","FA_ADJUSTED=GAAP","Sort=A","Dates=H","DateFormat=P","Fill=—","Direction=H","UseDPDF=Y")</f>
        <v>-167.393</v>
      </c>
      <c r="K34" s="19">
        <f>_xll.BDH("SRPT US Equity","PRETAX_INC","FQ2 2021","FQ2 2021","Currency=USD","Period=FQ","BEST_FPERIOD_OVERRIDE=FQ","FILING_STATUS=MR","SCALING_FORMAT=MLN","FA_ADJUSTED=GAAP","Sort=A","Dates=H","DateFormat=P","Fill=—","Direction=H","UseDPDF=Y")</f>
        <v>-81.759</v>
      </c>
      <c r="L34" s="19">
        <f>_xll.BDH("SRPT US Equity","PRETAX_INC","FQ3 2021","FQ3 2021","Currency=USD","Period=FQ","BEST_FPERIOD_OVERRIDE=FQ","FILING_STATUS=MR","SCALING_FORMAT=MLN","FA_ADJUSTED=GAAP","Sort=A","Dates=H","DateFormat=P","Fill=—","Direction=H","UseDPDF=Y")</f>
        <v>-47.906999999999996</v>
      </c>
      <c r="M34" s="19">
        <f>_xll.BDH("SRPT US Equity","PRETAX_INC","FQ4 2021","FQ4 2021","Currency=USD","Period=FQ","BEST_FPERIOD_OVERRIDE=FQ","FILING_STATUS=MR","SCALING_FORMAT=MLN","FA_ADJUSTED=GAAP","Sort=A","Dates=H","DateFormat=P","Fill=—","Direction=H","UseDPDF=Y")</f>
        <v>-121.889</v>
      </c>
      <c r="N34" s="19">
        <f>_xll.BDH("SRPT US Equity","PRETAX_INC","FQ1 2022","FQ1 2022","Currency=USD","Period=FQ","BEST_FPERIOD_OVERRIDE=FQ","FILING_STATUS=MR","SCALING_FORMAT=MLN","FA_ADJUSTED=GAAP","Sort=A","Dates=H","DateFormat=P","Fill=—","Direction=H","UseDPDF=Y")</f>
        <v>-104.146</v>
      </c>
      <c r="O34" s="19">
        <f>_xll.BDH("SRPT US Equity","PRETAX_INC","FQ2 2022","FQ2 2022","Currency=USD","Period=FQ","BEST_FPERIOD_OVERRIDE=FQ","FILING_STATUS=MR","SCALING_FORMAT=MLN","FA_ADJUSTED=GAAP","Sort=A","Dates=H","DateFormat=P","Fill=—","Direction=H","UseDPDF=Y")</f>
        <v>-228.09299999999999</v>
      </c>
      <c r="P34" s="19">
        <f>_xll.BDH("SRPT US Equity","PRETAX_INC","FQ3 2022","FQ3 2022","Currency=USD","Period=FQ","BEST_FPERIOD_OVERRIDE=FQ","FILING_STATUS=MR","SCALING_FORMAT=MLN","FA_ADJUSTED=GAAP","Sort=A","Dates=H","DateFormat=P","Fill=—","Direction=H","UseDPDF=Y")</f>
        <v>-256.41800000000001</v>
      </c>
      <c r="Q34" s="19">
        <f>_xll.BDH("SRPT US Equity","PRETAX_INC","FQ4 2022","FQ4 2022","Currency=USD","Period=FQ","BEST_FPERIOD_OVERRIDE=FQ","FILING_STATUS=MR","SCALING_FORMAT=MLN","FA_ADJUSTED=GAAP","Sort=A","Dates=H","DateFormat=P","Fill=—","Direction=H","UseDPDF=Y")</f>
        <v>-101.306</v>
      </c>
      <c r="R34" s="19">
        <f>_xll.BDH("SRPT US Equity","PRETAX_INC","FQ1 2023","FQ1 2023","Currency=USD","Period=FQ","BEST_FPERIOD_OVERRIDE=FQ","FILING_STATUS=MR","SCALING_FORMAT=MLN","FA_ADJUSTED=GAAP","Sort=A","Dates=H","DateFormat=P","Fill=—","Direction=H","UseDPDF=Y")</f>
        <v>-512.71</v>
      </c>
      <c r="S34" s="19">
        <f>_xll.BDH("SRPT US Equity","PRETAX_INC","FQ2 2023","FQ2 2023","Currency=USD","Period=FQ","BEST_FPERIOD_OVERRIDE=FQ","FILING_STATUS=MR","SCALING_FORMAT=MLN","FA_ADJUSTED=GAAP","Sort=A","Dates=H","DateFormat=P","Fill=—","Direction=H","UseDPDF=Y")</f>
        <v>-14.585000000000001</v>
      </c>
      <c r="T34" s="19">
        <f>_xll.BDH("SRPT US Equity","PRETAX_INC","FQ3 2023","FQ3 2023","Currency=USD","Period=FQ","BEST_FPERIOD_OVERRIDE=FQ","FILING_STATUS=MR","SCALING_FORMAT=MLN","FA_ADJUSTED=GAAP","Sort=A","Dates=H","DateFormat=P","Fill=—","Direction=H","UseDPDF=Y")</f>
        <v>-33.173999999999999</v>
      </c>
      <c r="U34" s="19">
        <f>_xll.BDH("SRPT US Equity","PRETAX_INC","FQ4 2023","FQ4 2023","Currency=USD","Period=FQ","BEST_FPERIOD_OVERRIDE=FQ","FILING_STATUS=MR","SCALING_FORMAT=MLN","FA_ADJUSTED=GAAP","Sort=A","Dates=H","DateFormat=P","Fill=—","Direction=H","UseDPDF=Y")</f>
        <v>40.371000000000002</v>
      </c>
      <c r="V34" s="19">
        <f>_xll.BDH("SRPT US Equity","PRETAX_INC","FQ1 2024","FQ1 2024","Currency=USD","Period=FQ","BEST_FPERIOD_OVERRIDE=FQ","FILING_STATUS=MR","SCALING_FORMAT=MLN","FA_ADJUSTED=GAAP","Sort=A","Dates=H","DateFormat=P","Fill=—","Direction=H","UseDPDF=Y")</f>
        <v>41.448</v>
      </c>
      <c r="W34" s="19">
        <f>_xll.BDH("SRPT US Equity","PRETAX_INC","FQ2 2024","FQ2 2024","Currency=USD","Period=FQ","BEST_FPERIOD_OVERRIDE=FQ","FILING_STATUS=MR","SCALING_FORMAT=MLN","FA_ADJUSTED=GAAP","Sort=A","Dates=H","DateFormat=P","Fill=—","Direction=H","UseDPDF=Y")</f>
        <v>13.577</v>
      </c>
      <c r="X34" s="19">
        <f>_xll.BDH("SRPT US Equity","PRETAX_INC","FQ3 2024","FQ3 2024","Currency=USD","Period=FQ","BEST_FPERIOD_OVERRIDE=FQ","FILING_STATUS=MR","SCALING_FORMAT=MLN","FA_ADJUSTED=GAAP","Sort=A","Dates=H","DateFormat=P","Fill=—","Direction=H","UseDPDF=Y")</f>
        <v>34.006</v>
      </c>
      <c r="Y34" s="19">
        <f>_xll.BDH("SRPT US Equity","PRETAX_INC","FQ4 2024","FQ4 2024","Currency=USD","Period=FQ","BEST_FPERIOD_OVERRIDE=FQ","FILING_STATUS=MR","SCALING_FORMAT=MLN","FA_ADJUSTED=GAAP","Sort=A","Dates=H","DateFormat=P","Fill=—","Direction=H","UseDPDF=Y")</f>
        <v>171.74299999999999</v>
      </c>
      <c r="Z34" s="19">
        <v>196.2</v>
      </c>
      <c r="AA34" s="19">
        <v>273.88200000000001</v>
      </c>
    </row>
    <row r="35" spans="1:27" x14ac:dyDescent="0.25">
      <c r="A35" s="10" t="s">
        <v>362</v>
      </c>
      <c r="B35" s="10" t="s">
        <v>363</v>
      </c>
      <c r="C35" s="13">
        <f>_xll.BDH("SRPT US Equity","IS_INC_TAX_EXP","FQ2 2019","FQ2 2019","Currency=USD","Period=FQ","BEST_FPERIOD_OVERRIDE=FQ","FILING_STATUS=MR","SCALING_FORMAT=MLN","FA_ADJUSTED=GAAP","Sort=A","Dates=H","DateFormat=P","Fill=—","Direction=H","UseDPDF=Y")</f>
        <v>0.17399999999999999</v>
      </c>
      <c r="D35" s="13">
        <f>_xll.BDH("SRPT US Equity","IS_INC_TAX_EXP","FQ3 2019","FQ3 2019","Currency=USD","Period=FQ","BEST_FPERIOD_OVERRIDE=FQ","FILING_STATUS=MR","SCALING_FORMAT=MLN","FA_ADJUSTED=GAAP","Sort=A","Dates=H","DateFormat=P","Fill=—","Direction=H","UseDPDF=Y")</f>
        <v>0.22600000000000001</v>
      </c>
      <c r="E35" s="13">
        <f>_xll.BDH("SRPT US Equity","IS_INC_TAX_EXP","FQ4 2019","FQ4 2019","Currency=USD","Period=FQ","BEST_FPERIOD_OVERRIDE=FQ","FILING_STATUS=MR","SCALING_FORMAT=MLN","FA_ADJUSTED=GAAP","Sort=A","Dates=H","DateFormat=P","Fill=—","Direction=H","UseDPDF=Y")</f>
        <v>0.71099999999999997</v>
      </c>
      <c r="F35" s="13">
        <f>_xll.BDH("SRPT US Equity","IS_INC_TAX_EXP","FQ1 2020","FQ1 2020","Currency=USD","Period=FQ","BEST_FPERIOD_OVERRIDE=FQ","FILING_STATUS=MR","SCALING_FORMAT=MLN","FA_ADJUSTED=GAAP","Sort=A","Dates=H","DateFormat=P","Fill=—","Direction=H","UseDPDF=Y")</f>
        <v>0.115</v>
      </c>
      <c r="G35" s="13">
        <f>_xll.BDH("SRPT US Equity","IS_INC_TAX_EXP","FQ2 2020","FQ2 2020","Currency=USD","Period=FQ","BEST_FPERIOD_OVERRIDE=FQ","FILING_STATUS=MR","SCALING_FORMAT=MLN","FA_ADJUSTED=GAAP","Sort=A","Dates=H","DateFormat=P","Fill=—","Direction=H","UseDPDF=Y")</f>
        <v>0.02</v>
      </c>
      <c r="H35" s="13">
        <f>_xll.BDH("SRPT US Equity","IS_INC_TAX_EXP","FQ3 2020","FQ3 2020","Currency=USD","Period=FQ","BEST_FPERIOD_OVERRIDE=FQ","FILING_STATUS=MR","SCALING_FORMAT=MLN","FA_ADJUSTED=GAAP","Sort=A","Dates=H","DateFormat=P","Fill=—","Direction=H","UseDPDF=Y")</f>
        <v>9.6000000000000002E-2</v>
      </c>
      <c r="I35" s="13">
        <f>_xll.BDH("SRPT US Equity","IS_INC_TAX_EXP","FQ4 2020","FQ4 2020","Currency=USD","Period=FQ","BEST_FPERIOD_OVERRIDE=FQ","FILING_STATUS=MR","SCALING_FORMAT=MLN","FA_ADJUSTED=GAAP","Sort=A","Dates=H","DateFormat=P","Fill=—","Direction=H","UseDPDF=Y")</f>
        <v>0.83199999999999996</v>
      </c>
      <c r="J35" s="13">
        <f>_xll.BDH("SRPT US Equity","IS_INC_TAX_EXP","FQ1 2021","FQ1 2021","Currency=USD","Period=FQ","BEST_FPERIOD_OVERRIDE=FQ","FILING_STATUS=MR","SCALING_FORMAT=MLN","FA_ADJUSTED=GAAP","Sort=A","Dates=H","DateFormat=P","Fill=—","Direction=H","UseDPDF=Y")</f>
        <v>-0.14299999999999999</v>
      </c>
      <c r="K35" s="13">
        <f>_xll.BDH("SRPT US Equity","IS_INC_TAX_EXP","FQ2 2021","FQ2 2021","Currency=USD","Period=FQ","BEST_FPERIOD_OVERRIDE=FQ","FILING_STATUS=MR","SCALING_FORMAT=MLN","FA_ADJUSTED=GAAP","Sort=A","Dates=H","DateFormat=P","Fill=—","Direction=H","UseDPDF=Y")</f>
        <v>-0.35399999999999998</v>
      </c>
      <c r="L35" s="13">
        <f>_xll.BDH("SRPT US Equity","IS_INC_TAX_EXP","FQ3 2021","FQ3 2021","Currency=USD","Period=FQ","BEST_FPERIOD_OVERRIDE=FQ","FILING_STATUS=MR","SCALING_FORMAT=MLN","FA_ADJUSTED=GAAP","Sort=A","Dates=H","DateFormat=P","Fill=—","Direction=H","UseDPDF=Y")</f>
        <v>0.23699999999999999</v>
      </c>
      <c r="M35" s="13">
        <f>_xll.BDH("SRPT US Equity","IS_INC_TAX_EXP","FQ4 2021","FQ4 2021","Currency=USD","Period=FQ","BEST_FPERIOD_OVERRIDE=FQ","FILING_STATUS=MR","SCALING_FORMAT=MLN","FA_ADJUSTED=GAAP","Sort=A","Dates=H","DateFormat=P","Fill=—","Direction=H","UseDPDF=Y")</f>
        <v>9.1999999999999998E-2</v>
      </c>
      <c r="N35" s="13">
        <f>_xll.BDH("SRPT US Equity","IS_INC_TAX_EXP","FQ1 2022","FQ1 2022","Currency=USD","Period=FQ","BEST_FPERIOD_OVERRIDE=FQ","FILING_STATUS=MR","SCALING_FORMAT=MLN","FA_ADJUSTED=GAAP","Sort=A","Dates=H","DateFormat=P","Fill=—","Direction=H","UseDPDF=Y")</f>
        <v>0.879</v>
      </c>
      <c r="O35" s="13">
        <f>_xll.BDH("SRPT US Equity","IS_INC_TAX_EXP","FQ2 2022","FQ2 2022","Currency=USD","Period=FQ","BEST_FPERIOD_OVERRIDE=FQ","FILING_STATUS=MR","SCALING_FORMAT=MLN","FA_ADJUSTED=GAAP","Sort=A","Dates=H","DateFormat=P","Fill=—","Direction=H","UseDPDF=Y")</f>
        <v>3.3879999999999999</v>
      </c>
      <c r="P35" s="13">
        <f>_xll.BDH("SRPT US Equity","IS_INC_TAX_EXP","FQ3 2022","FQ3 2022","Currency=USD","Period=FQ","BEST_FPERIOD_OVERRIDE=FQ","FILING_STATUS=MR","SCALING_FORMAT=MLN","FA_ADJUSTED=GAAP","Sort=A","Dates=H","DateFormat=P","Fill=—","Direction=H","UseDPDF=Y")</f>
        <v>1.32</v>
      </c>
      <c r="Q35" s="13">
        <f>_xll.BDH("SRPT US Equity","IS_INC_TAX_EXP","FQ4 2022","FQ4 2022","Currency=USD","Period=FQ","BEST_FPERIOD_OVERRIDE=FQ","FILING_STATUS=MR","SCALING_FORMAT=MLN","FA_ADJUSTED=GAAP","Sort=A","Dates=H","DateFormat=P","Fill=—","Direction=H","UseDPDF=Y")</f>
        <v>7.9379999999999997</v>
      </c>
      <c r="R35" s="13">
        <f>_xll.BDH("SRPT US Equity","IS_INC_TAX_EXP","FQ1 2023","FQ1 2023","Currency=USD","Period=FQ","BEST_FPERIOD_OVERRIDE=FQ","FILING_STATUS=MR","SCALING_FORMAT=MLN","FA_ADJUSTED=GAAP","Sort=A","Dates=H","DateFormat=P","Fill=—","Direction=H","UseDPDF=Y")</f>
        <v>4.0449999999999999</v>
      </c>
      <c r="S35" s="13">
        <f>_xll.BDH("SRPT US Equity","IS_INC_TAX_EXP","FQ2 2023","FQ2 2023","Currency=USD","Period=FQ","BEST_FPERIOD_OVERRIDE=FQ","FILING_STATUS=MR","SCALING_FORMAT=MLN","FA_ADJUSTED=GAAP","Sort=A","Dates=H","DateFormat=P","Fill=—","Direction=H","UseDPDF=Y")</f>
        <v>9.3550000000000004</v>
      </c>
      <c r="T35" s="13">
        <f>_xll.BDH("SRPT US Equity","IS_INC_TAX_EXP","FQ3 2023","FQ3 2023","Currency=USD","Period=FQ","BEST_FPERIOD_OVERRIDE=FQ","FILING_STATUS=MR","SCALING_FORMAT=MLN","FA_ADJUSTED=GAAP","Sort=A","Dates=H","DateFormat=P","Fill=—","Direction=H","UseDPDF=Y")</f>
        <v>7.7629999999999999</v>
      </c>
      <c r="U35" s="13">
        <f>_xll.BDH("SRPT US Equity","IS_INC_TAX_EXP","FQ4 2023","FQ4 2023","Currency=USD","Period=FQ","BEST_FPERIOD_OVERRIDE=FQ","FILING_STATUS=MR","SCALING_FORMAT=MLN","FA_ADJUSTED=GAAP","Sort=A","Dates=H","DateFormat=P","Fill=—","Direction=H","UseDPDF=Y")</f>
        <v>-5.2839999999999998</v>
      </c>
      <c r="V35" s="13">
        <f>_xll.BDH("SRPT US Equity","IS_INC_TAX_EXP","FQ1 2024","FQ1 2024","Currency=USD","Period=FQ","BEST_FPERIOD_OVERRIDE=FQ","FILING_STATUS=MR","SCALING_FORMAT=MLN","FA_ADJUSTED=GAAP","Sort=A","Dates=H","DateFormat=P","Fill=—","Direction=H","UseDPDF=Y")</f>
        <v>5.3289999999999997</v>
      </c>
      <c r="W35" s="13">
        <f>_xll.BDH("SRPT US Equity","IS_INC_TAX_EXP","FQ2 2024","FQ2 2024","Currency=USD","Period=FQ","BEST_FPERIOD_OVERRIDE=FQ","FILING_STATUS=MR","SCALING_FORMAT=MLN","FA_ADJUSTED=GAAP","Sort=A","Dates=H","DateFormat=P","Fill=—","Direction=H","UseDPDF=Y")</f>
        <v>7.117</v>
      </c>
      <c r="X35" s="13">
        <f>_xll.BDH("SRPT US Equity","IS_INC_TAX_EXP","FQ3 2024","FQ3 2024","Currency=USD","Period=FQ","BEST_FPERIOD_OVERRIDE=FQ","FILING_STATUS=MR","SCALING_FORMAT=MLN","FA_ADJUSTED=GAAP","Sort=A","Dates=H","DateFormat=P","Fill=—","Direction=H","UseDPDF=Y")</f>
        <v>0.39500000000000002</v>
      </c>
      <c r="Y35" s="13">
        <f>_xll.BDH("SRPT US Equity","IS_INC_TAX_EXP","FQ4 2024","FQ4 2024","Currency=USD","Period=FQ","BEST_FPERIOD_OVERRIDE=FQ","FILING_STATUS=MR","SCALING_FORMAT=MLN","FA_ADJUSTED=GAAP","Sort=A","Dates=H","DateFormat=P","Fill=—","Direction=H","UseDPDF=Y")</f>
        <v>12.694000000000001</v>
      </c>
      <c r="Z35" s="13"/>
      <c r="AA35" s="13"/>
    </row>
    <row r="36" spans="1:27" x14ac:dyDescent="0.25">
      <c r="A36" s="10" t="s">
        <v>364</v>
      </c>
      <c r="B36" s="10" t="s">
        <v>365</v>
      </c>
      <c r="C36" s="13" t="str">
        <f>_xll.BDH("SRPT US Equity","IS_CURRENT_INCOME_TAX_BENEFIT","FQ2 2019","FQ2 2019","Currency=USD","Period=FQ","BEST_FPERIOD_OVERRIDE=FQ","FILING_STATUS=MR","SCALING_FORMAT=MLN","Sort=A","Dates=H","DateFormat=P","Fill=—","Direction=H","UseDPDF=Y")</f>
        <v>—</v>
      </c>
      <c r="D36" s="13" t="str">
        <f>_xll.BDH("SRPT US Equity","IS_CURRENT_INCOME_TAX_BENEFIT","FQ3 2019","FQ3 2019","Currency=USD","Period=FQ","BEST_FPERIOD_OVERRIDE=FQ","FILING_STATUS=MR","SCALING_FORMAT=MLN","Sort=A","Dates=H","DateFormat=P","Fill=—","Direction=H","UseDPDF=Y")</f>
        <v>—</v>
      </c>
      <c r="E36" s="13" t="str">
        <f>_xll.BDH("SRPT US Equity","IS_CURRENT_INCOME_TAX_BENEFIT","FQ4 2019","FQ4 2019","Currency=USD","Period=FQ","BEST_FPERIOD_OVERRIDE=FQ","FILING_STATUS=MR","SCALING_FORMAT=MLN","Sort=A","Dates=H","DateFormat=P","Fill=—","Direction=H","UseDPDF=Y")</f>
        <v>—</v>
      </c>
      <c r="F36" s="13" t="str">
        <f>_xll.BDH("SRPT US Equity","IS_CURRENT_INCOME_TAX_BENEFIT","FQ1 2020","FQ1 2020","Currency=USD","Period=FQ","BEST_FPERIOD_OVERRIDE=FQ","FILING_STATUS=MR","SCALING_FORMAT=MLN","Sort=A","Dates=H","DateFormat=P","Fill=—","Direction=H","UseDPDF=Y")</f>
        <v>—</v>
      </c>
      <c r="G36" s="13" t="str">
        <f>_xll.BDH("SRPT US Equity","IS_CURRENT_INCOME_TAX_BENEFIT","FQ2 2020","FQ2 2020","Currency=USD","Period=FQ","BEST_FPERIOD_OVERRIDE=FQ","FILING_STATUS=MR","SCALING_FORMAT=MLN","Sort=A","Dates=H","DateFormat=P","Fill=—","Direction=H","UseDPDF=Y")</f>
        <v>—</v>
      </c>
      <c r="H36" s="13" t="str">
        <f>_xll.BDH("SRPT US Equity","IS_CURRENT_INCOME_TAX_BENEFIT","FQ3 2020","FQ3 2020","Currency=USD","Period=FQ","BEST_FPERIOD_OVERRIDE=FQ","FILING_STATUS=MR","SCALING_FORMAT=MLN","Sort=A","Dates=H","DateFormat=P","Fill=—","Direction=H","UseDPDF=Y")</f>
        <v>—</v>
      </c>
      <c r="I36" s="13" t="str">
        <f>_xll.BDH("SRPT US Equity","IS_CURRENT_INCOME_TAX_BENEFIT","FQ4 2020","FQ4 2020","Currency=USD","Period=FQ","BEST_FPERIOD_OVERRIDE=FQ","FILING_STATUS=MR","SCALING_FORMAT=MLN","Sort=A","Dates=H","DateFormat=P","Fill=—","Direction=H","UseDPDF=Y")</f>
        <v>—</v>
      </c>
      <c r="J36" s="13" t="str">
        <f>_xll.BDH("SRPT US Equity","IS_CURRENT_INCOME_TAX_BENEFIT","FQ1 2021","FQ1 2021","Currency=USD","Period=FQ","BEST_FPERIOD_OVERRIDE=FQ","FILING_STATUS=MR","SCALING_FORMAT=MLN","Sort=A","Dates=H","DateFormat=P","Fill=—","Direction=H","UseDPDF=Y")</f>
        <v>—</v>
      </c>
      <c r="K36" s="13" t="str">
        <f>_xll.BDH("SRPT US Equity","IS_CURRENT_INCOME_TAX_BENEFIT","FQ2 2021","FQ2 2021","Currency=USD","Period=FQ","BEST_FPERIOD_OVERRIDE=FQ","FILING_STATUS=MR","SCALING_FORMAT=MLN","Sort=A","Dates=H","DateFormat=P","Fill=—","Direction=H","UseDPDF=Y")</f>
        <v>—</v>
      </c>
      <c r="L36" s="13" t="str">
        <f>_xll.BDH("SRPT US Equity","IS_CURRENT_INCOME_TAX_BENEFIT","FQ3 2021","FQ3 2021","Currency=USD","Period=FQ","BEST_FPERIOD_OVERRIDE=FQ","FILING_STATUS=MR","SCALING_FORMAT=MLN","Sort=A","Dates=H","DateFormat=P","Fill=—","Direction=H","UseDPDF=Y")</f>
        <v>—</v>
      </c>
      <c r="M36" s="13" t="str">
        <f>_xll.BDH("SRPT US Equity","IS_CURRENT_INCOME_TAX_BENEFIT","FQ4 2021","FQ4 2021","Currency=USD","Period=FQ","BEST_FPERIOD_OVERRIDE=FQ","FILING_STATUS=MR","SCALING_FORMAT=MLN","Sort=A","Dates=H","DateFormat=P","Fill=—","Direction=H","UseDPDF=Y")</f>
        <v>—</v>
      </c>
      <c r="N36" s="13" t="str">
        <f>_xll.BDH("SRPT US Equity","IS_CURRENT_INCOME_TAX_BENEFIT","FQ1 2022","FQ1 2022","Currency=USD","Period=FQ","BEST_FPERIOD_OVERRIDE=FQ","FILING_STATUS=MR","SCALING_FORMAT=MLN","Sort=A","Dates=H","DateFormat=P","Fill=—","Direction=H","UseDPDF=Y")</f>
        <v>—</v>
      </c>
      <c r="O36" s="13" t="str">
        <f>_xll.BDH("SRPT US Equity","IS_CURRENT_INCOME_TAX_BENEFIT","FQ2 2022","FQ2 2022","Currency=USD","Period=FQ","BEST_FPERIOD_OVERRIDE=FQ","FILING_STATUS=MR","SCALING_FORMAT=MLN","Sort=A","Dates=H","DateFormat=P","Fill=—","Direction=H","UseDPDF=Y")</f>
        <v>—</v>
      </c>
      <c r="P36" s="13" t="str">
        <f>_xll.BDH("SRPT US Equity","IS_CURRENT_INCOME_TAX_BENEFIT","FQ3 2022","FQ3 2022","Currency=USD","Period=FQ","BEST_FPERIOD_OVERRIDE=FQ","FILING_STATUS=MR","SCALING_FORMAT=MLN","Sort=A","Dates=H","DateFormat=P","Fill=—","Direction=H","UseDPDF=Y")</f>
        <v>—</v>
      </c>
      <c r="Q36" s="13" t="str">
        <f>_xll.BDH("SRPT US Equity","IS_CURRENT_INCOME_TAX_BENEFIT","FQ4 2022","FQ4 2022","Currency=USD","Period=FQ","BEST_FPERIOD_OVERRIDE=FQ","FILING_STATUS=MR","SCALING_FORMAT=MLN","Sort=A","Dates=H","DateFormat=P","Fill=—","Direction=H","UseDPDF=Y")</f>
        <v>—</v>
      </c>
      <c r="R36" s="13" t="str">
        <f>_xll.BDH("SRPT US Equity","IS_CURRENT_INCOME_TAX_BENEFIT","FQ1 2023","FQ1 2023","Currency=USD","Period=FQ","BEST_FPERIOD_OVERRIDE=FQ","FILING_STATUS=MR","SCALING_FORMAT=MLN","Sort=A","Dates=H","DateFormat=P","Fill=—","Direction=H","UseDPDF=Y")</f>
        <v>—</v>
      </c>
      <c r="S36" s="13" t="str">
        <f>_xll.BDH("SRPT US Equity","IS_CURRENT_INCOME_TAX_BENEFIT","FQ2 2023","FQ2 2023","Currency=USD","Period=FQ","BEST_FPERIOD_OVERRIDE=FQ","FILING_STATUS=MR","SCALING_FORMAT=MLN","Sort=A","Dates=H","DateFormat=P","Fill=—","Direction=H","UseDPDF=Y")</f>
        <v>—</v>
      </c>
      <c r="T36" s="13" t="str">
        <f>_xll.BDH("SRPT US Equity","IS_CURRENT_INCOME_TAX_BENEFIT","FQ3 2023","FQ3 2023","Currency=USD","Period=FQ","BEST_FPERIOD_OVERRIDE=FQ","FILING_STATUS=MR","SCALING_FORMAT=MLN","Sort=A","Dates=H","DateFormat=P","Fill=—","Direction=H","UseDPDF=Y")</f>
        <v>—</v>
      </c>
      <c r="U36" s="13" t="str">
        <f>_xll.BDH("SRPT US Equity","IS_CURRENT_INCOME_TAX_BENEFIT","FQ4 2023","FQ4 2023","Currency=USD","Period=FQ","BEST_FPERIOD_OVERRIDE=FQ","FILING_STATUS=MR","SCALING_FORMAT=MLN","Sort=A","Dates=H","DateFormat=P","Fill=—","Direction=H","UseDPDF=Y")</f>
        <v>—</v>
      </c>
      <c r="V36" s="13" t="str">
        <f>_xll.BDH("SRPT US Equity","IS_CURRENT_INCOME_TAX_BENEFIT","FQ1 2024","FQ1 2024","Currency=USD","Period=FQ","BEST_FPERIOD_OVERRIDE=FQ","FILING_STATUS=MR","SCALING_FORMAT=MLN","Sort=A","Dates=H","DateFormat=P","Fill=—","Direction=H","UseDPDF=Y")</f>
        <v>—</v>
      </c>
      <c r="W36" s="13" t="str">
        <f>_xll.BDH("SRPT US Equity","IS_CURRENT_INCOME_TAX_BENEFIT","FQ2 2024","FQ2 2024","Currency=USD","Period=FQ","BEST_FPERIOD_OVERRIDE=FQ","FILING_STATUS=MR","SCALING_FORMAT=MLN","Sort=A","Dates=H","DateFormat=P","Fill=—","Direction=H","UseDPDF=Y")</f>
        <v>—</v>
      </c>
      <c r="X36" s="13" t="str">
        <f>_xll.BDH("SRPT US Equity","IS_CURRENT_INCOME_TAX_BENEFIT","FQ3 2024","FQ3 2024","Currency=USD","Period=FQ","BEST_FPERIOD_OVERRIDE=FQ","FILING_STATUS=MR","SCALING_FORMAT=MLN","Sort=A","Dates=H","DateFormat=P","Fill=—","Direction=H","UseDPDF=Y")</f>
        <v>—</v>
      </c>
      <c r="Y36" s="13" t="str">
        <f>_xll.BDH("SRPT US Equity","IS_CURRENT_INCOME_TAX_BENEFIT","FQ4 2024","FQ4 2024","Currency=USD","Period=FQ","BEST_FPERIOD_OVERRIDE=FQ","FILING_STATUS=MR","SCALING_FORMAT=MLN","Sort=A","Dates=H","DateFormat=P","Fill=—","Direction=H","UseDPDF=Y")</f>
        <v>—</v>
      </c>
      <c r="Z36" s="13"/>
      <c r="AA36" s="13"/>
    </row>
    <row r="37" spans="1:27" x14ac:dyDescent="0.25">
      <c r="A37" s="10" t="s">
        <v>366</v>
      </c>
      <c r="B37" s="10" t="s">
        <v>367</v>
      </c>
      <c r="C37" s="13" t="str">
        <f>_xll.BDH("SRPT US Equity","IS_DEFERRED_INCOME_TAX_BENEFIT","FQ2 2019","FQ2 2019","Currency=USD","Period=FQ","BEST_FPERIOD_OVERRIDE=FQ","FILING_STATUS=MR","SCALING_FORMAT=MLN","Sort=A","Dates=H","DateFormat=P","Fill=—","Direction=H","UseDPDF=Y")</f>
        <v>—</v>
      </c>
      <c r="D37" s="13" t="str">
        <f>_xll.BDH("SRPT US Equity","IS_DEFERRED_INCOME_TAX_BENEFIT","FQ3 2019","FQ3 2019","Currency=USD","Period=FQ","BEST_FPERIOD_OVERRIDE=FQ","FILING_STATUS=MR","SCALING_FORMAT=MLN","Sort=A","Dates=H","DateFormat=P","Fill=—","Direction=H","UseDPDF=Y")</f>
        <v>—</v>
      </c>
      <c r="E37" s="13" t="str">
        <f>_xll.BDH("SRPT US Equity","IS_DEFERRED_INCOME_TAX_BENEFIT","FQ4 2019","FQ4 2019","Currency=USD","Period=FQ","BEST_FPERIOD_OVERRIDE=FQ","FILING_STATUS=MR","SCALING_FORMAT=MLN","Sort=A","Dates=H","DateFormat=P","Fill=—","Direction=H","UseDPDF=Y")</f>
        <v>—</v>
      </c>
      <c r="F37" s="13" t="str">
        <f>_xll.BDH("SRPT US Equity","IS_DEFERRED_INCOME_TAX_BENEFIT","FQ1 2020","FQ1 2020","Currency=USD","Period=FQ","BEST_FPERIOD_OVERRIDE=FQ","FILING_STATUS=MR","SCALING_FORMAT=MLN","Sort=A","Dates=H","DateFormat=P","Fill=—","Direction=H","UseDPDF=Y")</f>
        <v>—</v>
      </c>
      <c r="G37" s="13" t="str">
        <f>_xll.BDH("SRPT US Equity","IS_DEFERRED_INCOME_TAX_BENEFIT","FQ2 2020","FQ2 2020","Currency=USD","Period=FQ","BEST_FPERIOD_OVERRIDE=FQ","FILING_STATUS=MR","SCALING_FORMAT=MLN","Sort=A","Dates=H","DateFormat=P","Fill=—","Direction=H","UseDPDF=Y")</f>
        <v>—</v>
      </c>
      <c r="H37" s="13" t="str">
        <f>_xll.BDH("SRPT US Equity","IS_DEFERRED_INCOME_TAX_BENEFIT","FQ3 2020","FQ3 2020","Currency=USD","Period=FQ","BEST_FPERIOD_OVERRIDE=FQ","FILING_STATUS=MR","SCALING_FORMAT=MLN","Sort=A","Dates=H","DateFormat=P","Fill=—","Direction=H","UseDPDF=Y")</f>
        <v>—</v>
      </c>
      <c r="I37" s="13" t="str">
        <f>_xll.BDH("SRPT US Equity","IS_DEFERRED_INCOME_TAX_BENEFIT","FQ4 2020","FQ4 2020","Currency=USD","Period=FQ","BEST_FPERIOD_OVERRIDE=FQ","FILING_STATUS=MR","SCALING_FORMAT=MLN","Sort=A","Dates=H","DateFormat=P","Fill=—","Direction=H","UseDPDF=Y")</f>
        <v>—</v>
      </c>
      <c r="J37" s="13" t="str">
        <f>_xll.BDH("SRPT US Equity","IS_DEFERRED_INCOME_TAX_BENEFIT","FQ1 2021","FQ1 2021","Currency=USD","Period=FQ","BEST_FPERIOD_OVERRIDE=FQ","FILING_STATUS=MR","SCALING_FORMAT=MLN","Sort=A","Dates=H","DateFormat=P","Fill=—","Direction=H","UseDPDF=Y")</f>
        <v>—</v>
      </c>
      <c r="K37" s="13" t="str">
        <f>_xll.BDH("SRPT US Equity","IS_DEFERRED_INCOME_TAX_BENEFIT","FQ2 2021","FQ2 2021","Currency=USD","Period=FQ","BEST_FPERIOD_OVERRIDE=FQ","FILING_STATUS=MR","SCALING_FORMAT=MLN","Sort=A","Dates=H","DateFormat=P","Fill=—","Direction=H","UseDPDF=Y")</f>
        <v>—</v>
      </c>
      <c r="L37" s="13" t="str">
        <f>_xll.BDH("SRPT US Equity","IS_DEFERRED_INCOME_TAX_BENEFIT","FQ3 2021","FQ3 2021","Currency=USD","Period=FQ","BEST_FPERIOD_OVERRIDE=FQ","FILING_STATUS=MR","SCALING_FORMAT=MLN","Sort=A","Dates=H","DateFormat=P","Fill=—","Direction=H","UseDPDF=Y")</f>
        <v>—</v>
      </c>
      <c r="M37" s="13" t="str">
        <f>_xll.BDH("SRPT US Equity","IS_DEFERRED_INCOME_TAX_BENEFIT","FQ4 2021","FQ4 2021","Currency=USD","Period=FQ","BEST_FPERIOD_OVERRIDE=FQ","FILING_STATUS=MR","SCALING_FORMAT=MLN","Sort=A","Dates=H","DateFormat=P","Fill=—","Direction=H","UseDPDF=Y")</f>
        <v>—</v>
      </c>
      <c r="N37" s="13" t="str">
        <f>_xll.BDH("SRPT US Equity","IS_DEFERRED_INCOME_TAX_BENEFIT","FQ1 2022","FQ1 2022","Currency=USD","Period=FQ","BEST_FPERIOD_OVERRIDE=FQ","FILING_STATUS=MR","SCALING_FORMAT=MLN","Sort=A","Dates=H","DateFormat=P","Fill=—","Direction=H","UseDPDF=Y")</f>
        <v>—</v>
      </c>
      <c r="O37" s="13" t="str">
        <f>_xll.BDH("SRPT US Equity","IS_DEFERRED_INCOME_TAX_BENEFIT","FQ2 2022","FQ2 2022","Currency=USD","Period=FQ","BEST_FPERIOD_OVERRIDE=FQ","FILING_STATUS=MR","SCALING_FORMAT=MLN","Sort=A","Dates=H","DateFormat=P","Fill=—","Direction=H","UseDPDF=Y")</f>
        <v>—</v>
      </c>
      <c r="P37" s="13" t="str">
        <f>_xll.BDH("SRPT US Equity","IS_DEFERRED_INCOME_TAX_BENEFIT","FQ3 2022","FQ3 2022","Currency=USD","Period=FQ","BEST_FPERIOD_OVERRIDE=FQ","FILING_STATUS=MR","SCALING_FORMAT=MLN","Sort=A","Dates=H","DateFormat=P","Fill=—","Direction=H","UseDPDF=Y")</f>
        <v>—</v>
      </c>
      <c r="Q37" s="13" t="str">
        <f>_xll.BDH("SRPT US Equity","IS_DEFERRED_INCOME_TAX_BENEFIT","FQ4 2022","FQ4 2022","Currency=USD","Period=FQ","BEST_FPERIOD_OVERRIDE=FQ","FILING_STATUS=MR","SCALING_FORMAT=MLN","Sort=A","Dates=H","DateFormat=P","Fill=—","Direction=H","UseDPDF=Y")</f>
        <v>—</v>
      </c>
      <c r="R37" s="13" t="str">
        <f>_xll.BDH("SRPT US Equity","IS_DEFERRED_INCOME_TAX_BENEFIT","FQ1 2023","FQ1 2023","Currency=USD","Period=FQ","BEST_FPERIOD_OVERRIDE=FQ","FILING_STATUS=MR","SCALING_FORMAT=MLN","Sort=A","Dates=H","DateFormat=P","Fill=—","Direction=H","UseDPDF=Y")</f>
        <v>—</v>
      </c>
      <c r="S37" s="13" t="str">
        <f>_xll.BDH("SRPT US Equity","IS_DEFERRED_INCOME_TAX_BENEFIT","FQ2 2023","FQ2 2023","Currency=USD","Period=FQ","BEST_FPERIOD_OVERRIDE=FQ","FILING_STATUS=MR","SCALING_FORMAT=MLN","Sort=A","Dates=H","DateFormat=P","Fill=—","Direction=H","UseDPDF=Y")</f>
        <v>—</v>
      </c>
      <c r="T37" s="13" t="str">
        <f>_xll.BDH("SRPT US Equity","IS_DEFERRED_INCOME_TAX_BENEFIT","FQ3 2023","FQ3 2023","Currency=USD","Period=FQ","BEST_FPERIOD_OVERRIDE=FQ","FILING_STATUS=MR","SCALING_FORMAT=MLN","Sort=A","Dates=H","DateFormat=P","Fill=—","Direction=H","UseDPDF=Y")</f>
        <v>—</v>
      </c>
      <c r="U37" s="13" t="str">
        <f>_xll.BDH("SRPT US Equity","IS_DEFERRED_INCOME_TAX_BENEFIT","FQ4 2023","FQ4 2023","Currency=USD","Period=FQ","BEST_FPERIOD_OVERRIDE=FQ","FILING_STATUS=MR","SCALING_FORMAT=MLN","Sort=A","Dates=H","DateFormat=P","Fill=—","Direction=H","UseDPDF=Y")</f>
        <v>—</v>
      </c>
      <c r="V37" s="13" t="str">
        <f>_xll.BDH("SRPT US Equity","IS_DEFERRED_INCOME_TAX_BENEFIT","FQ1 2024","FQ1 2024","Currency=USD","Period=FQ","BEST_FPERIOD_OVERRIDE=FQ","FILING_STATUS=MR","SCALING_FORMAT=MLN","Sort=A","Dates=H","DateFormat=P","Fill=—","Direction=H","UseDPDF=Y")</f>
        <v>—</v>
      </c>
      <c r="W37" s="13" t="str">
        <f>_xll.BDH("SRPT US Equity","IS_DEFERRED_INCOME_TAX_BENEFIT","FQ2 2024","FQ2 2024","Currency=USD","Period=FQ","BEST_FPERIOD_OVERRIDE=FQ","FILING_STATUS=MR","SCALING_FORMAT=MLN","Sort=A","Dates=H","DateFormat=P","Fill=—","Direction=H","UseDPDF=Y")</f>
        <v>—</v>
      </c>
      <c r="X37" s="13" t="str">
        <f>_xll.BDH("SRPT US Equity","IS_DEFERRED_INCOME_TAX_BENEFIT","FQ3 2024","FQ3 2024","Currency=USD","Period=FQ","BEST_FPERIOD_OVERRIDE=FQ","FILING_STATUS=MR","SCALING_FORMAT=MLN","Sort=A","Dates=H","DateFormat=P","Fill=—","Direction=H","UseDPDF=Y")</f>
        <v>—</v>
      </c>
      <c r="Y37" s="13" t="str">
        <f>_xll.BDH("SRPT US Equity","IS_DEFERRED_INCOME_TAX_BENEFIT","FQ4 2024","FQ4 2024","Currency=USD","Period=FQ","BEST_FPERIOD_OVERRIDE=FQ","FILING_STATUS=MR","SCALING_FORMAT=MLN","Sort=A","Dates=H","DateFormat=P","Fill=—","Direction=H","UseDPDF=Y")</f>
        <v>—</v>
      </c>
      <c r="Z37" s="13"/>
      <c r="AA37" s="13"/>
    </row>
    <row r="38" spans="1:27" x14ac:dyDescent="0.25">
      <c r="A38" s="6" t="s">
        <v>368</v>
      </c>
      <c r="B38" s="6" t="s">
        <v>369</v>
      </c>
      <c r="C38" s="19">
        <f>_xll.BDH("SRPT US Equity","IS_INC_BEF_XO_ITEM","FQ2 2019","FQ2 2019","Currency=USD","Period=FQ","BEST_FPERIOD_OVERRIDE=FQ","FILING_STATUS=MR","SCALING_FORMAT=MLN","Sort=A","Dates=H","DateFormat=P","Fill=—","Direction=H","UseDPDF=Y")</f>
        <v>-276.40300000000002</v>
      </c>
      <c r="D38" s="19">
        <f>_xll.BDH("SRPT US Equity","IS_INC_BEF_XO_ITEM","FQ3 2019","FQ3 2019","Currency=USD","Period=FQ","BEST_FPERIOD_OVERRIDE=FQ","FILING_STATUS=MR","SCALING_FORMAT=MLN","Sort=A","Dates=H","DateFormat=P","Fill=—","Direction=H","UseDPDF=Y")</f>
        <v>-126.32599999999999</v>
      </c>
      <c r="E38" s="19">
        <f>_xll.BDH("SRPT US Equity","IS_INC_BEF_XO_ITEM","FQ4 2019","FQ4 2019","Currency=USD","Period=FQ","BEST_FPERIOD_OVERRIDE=FQ","FILING_STATUS=MR","SCALING_FORMAT=MLN","Sort=A","Dates=H","DateFormat=P","Fill=—","Direction=H","UseDPDF=Y")</f>
        <v>-235.703</v>
      </c>
      <c r="F38" s="19">
        <f>_xll.BDH("SRPT US Equity","IS_INC_BEF_XO_ITEM","FQ1 2020","FQ1 2020","Currency=USD","Period=FQ","BEST_FPERIOD_OVERRIDE=FQ","FILING_STATUS=MR","SCALING_FORMAT=MLN","Sort=A","Dates=H","DateFormat=P","Fill=—","Direction=H","UseDPDF=Y")</f>
        <v>-17.492000000000001</v>
      </c>
      <c r="G38" s="19">
        <f>_xll.BDH("SRPT US Equity","IS_INC_BEF_XO_ITEM","FQ2 2020","FQ2 2020","Currency=USD","Period=FQ","BEST_FPERIOD_OVERRIDE=FQ","FILING_STATUS=MR","SCALING_FORMAT=MLN","Sort=A","Dates=H","DateFormat=P","Fill=—","Direction=H","UseDPDF=Y")</f>
        <v>-150.82</v>
      </c>
      <c r="H38" s="19">
        <f>_xll.BDH("SRPT US Equity","IS_INC_BEF_XO_ITEM","FQ3 2020","FQ3 2020","Currency=USD","Period=FQ","BEST_FPERIOD_OVERRIDE=FQ","FILING_STATUS=MR","SCALING_FORMAT=MLN","Sort=A","Dates=H","DateFormat=P","Fill=—","Direction=H","UseDPDF=Y")</f>
        <v>-196.499</v>
      </c>
      <c r="I38" s="19">
        <f>_xll.BDH("SRPT US Equity","IS_INC_BEF_XO_ITEM","FQ4 2020","FQ4 2020","Currency=USD","Period=FQ","BEST_FPERIOD_OVERRIDE=FQ","FILING_STATUS=MR","SCALING_FORMAT=MLN","Sort=A","Dates=H","DateFormat=P","Fill=—","Direction=H","UseDPDF=Y")</f>
        <v>-189.31700000000001</v>
      </c>
      <c r="J38" s="19">
        <f>_xll.BDH("SRPT US Equity","IS_INC_BEF_XO_ITEM","FQ1 2021","FQ1 2021","Currency=USD","Period=FQ","BEST_FPERIOD_OVERRIDE=FQ","FILING_STATUS=MR","SCALING_FORMAT=MLN","Sort=A","Dates=H","DateFormat=P","Fill=—","Direction=H","UseDPDF=Y")</f>
        <v>-167.25</v>
      </c>
      <c r="K38" s="19">
        <f>_xll.BDH("SRPT US Equity","IS_INC_BEF_XO_ITEM","FQ2 2021","FQ2 2021","Currency=USD","Period=FQ","BEST_FPERIOD_OVERRIDE=FQ","FILING_STATUS=MR","SCALING_FORMAT=MLN","Sort=A","Dates=H","DateFormat=P","Fill=—","Direction=H","UseDPDF=Y")</f>
        <v>-81.405000000000001</v>
      </c>
      <c r="L38" s="19">
        <f>_xll.BDH("SRPT US Equity","IS_INC_BEF_XO_ITEM","FQ3 2021","FQ3 2021","Currency=USD","Period=FQ","BEST_FPERIOD_OVERRIDE=FQ","FILING_STATUS=MR","SCALING_FORMAT=MLN","Sort=A","Dates=H","DateFormat=P","Fill=—","Direction=H","UseDPDF=Y")</f>
        <v>-48.143999999999998</v>
      </c>
      <c r="M38" s="19">
        <f>_xll.BDH("SRPT US Equity","IS_INC_BEF_XO_ITEM","FQ4 2021","FQ4 2021","Currency=USD","Period=FQ","BEST_FPERIOD_OVERRIDE=FQ","FILING_STATUS=MR","SCALING_FORMAT=MLN","Sort=A","Dates=H","DateFormat=P","Fill=—","Direction=H","UseDPDF=Y")</f>
        <v>-121.98099999999999</v>
      </c>
      <c r="N38" s="19">
        <f>_xll.BDH("SRPT US Equity","IS_INC_BEF_XO_ITEM","FQ1 2022","FQ1 2022","Currency=USD","Period=FQ","BEST_FPERIOD_OVERRIDE=FQ","FILING_STATUS=MR","SCALING_FORMAT=MLN","Sort=A","Dates=H","DateFormat=P","Fill=—","Direction=H","UseDPDF=Y")</f>
        <v>-105.02500000000001</v>
      </c>
      <c r="O38" s="19">
        <f>_xll.BDH("SRPT US Equity","IS_INC_BEF_XO_ITEM","FQ2 2022","FQ2 2022","Currency=USD","Period=FQ","BEST_FPERIOD_OVERRIDE=FQ","FILING_STATUS=MR","SCALING_FORMAT=MLN","Sort=A","Dates=H","DateFormat=P","Fill=—","Direction=H","UseDPDF=Y")</f>
        <v>-231.48099999999999</v>
      </c>
      <c r="P38" s="19">
        <f>_xll.BDH("SRPT US Equity","IS_INC_BEF_XO_ITEM","FQ3 2022","FQ3 2022","Currency=USD","Period=FQ","BEST_FPERIOD_OVERRIDE=FQ","FILING_STATUS=MR","SCALING_FORMAT=MLN","Sort=A","Dates=H","DateFormat=P","Fill=—","Direction=H","UseDPDF=Y")</f>
        <v>-257.738</v>
      </c>
      <c r="Q38" s="19">
        <f>_xll.BDH("SRPT US Equity","IS_INC_BEF_XO_ITEM","FQ4 2022","FQ4 2022","Currency=USD","Period=FQ","BEST_FPERIOD_OVERRIDE=FQ","FILING_STATUS=MR","SCALING_FORMAT=MLN","Sort=A","Dates=H","DateFormat=P","Fill=—","Direction=H","UseDPDF=Y")</f>
        <v>-109.244</v>
      </c>
      <c r="R38" s="19">
        <f>_xll.BDH("SRPT US Equity","IS_INC_BEF_XO_ITEM","FQ1 2023","FQ1 2023","Currency=USD","Period=FQ","BEST_FPERIOD_OVERRIDE=FQ","FILING_STATUS=MR","SCALING_FORMAT=MLN","Sort=A","Dates=H","DateFormat=P","Fill=—","Direction=H","UseDPDF=Y")</f>
        <v>-516.755</v>
      </c>
      <c r="S38" s="19">
        <f>_xll.BDH("SRPT US Equity","IS_INC_BEF_XO_ITEM","FQ2 2023","FQ2 2023","Currency=USD","Period=FQ","BEST_FPERIOD_OVERRIDE=FQ","FILING_STATUS=MR","SCALING_FORMAT=MLN","Sort=A","Dates=H","DateFormat=P","Fill=—","Direction=H","UseDPDF=Y")</f>
        <v>-23.94</v>
      </c>
      <c r="T38" s="19">
        <f>_xll.BDH("SRPT US Equity","IS_INC_BEF_XO_ITEM","FQ3 2023","FQ3 2023","Currency=USD","Period=FQ","BEST_FPERIOD_OVERRIDE=FQ","FILING_STATUS=MR","SCALING_FORMAT=MLN","Sort=A","Dates=H","DateFormat=P","Fill=—","Direction=H","UseDPDF=Y")</f>
        <v>-40.936999999999998</v>
      </c>
      <c r="U38" s="19">
        <f>_xll.BDH("SRPT US Equity","IS_INC_BEF_XO_ITEM","FQ4 2023","FQ4 2023","Currency=USD","Period=FQ","BEST_FPERIOD_OVERRIDE=FQ","FILING_STATUS=MR","SCALING_FORMAT=MLN","Sort=A","Dates=H","DateFormat=P","Fill=—","Direction=H","UseDPDF=Y")</f>
        <v>45.655000000000001</v>
      </c>
      <c r="V38" s="19">
        <f>_xll.BDH("SRPT US Equity","IS_INC_BEF_XO_ITEM","FQ1 2024","FQ1 2024","Currency=USD","Period=FQ","BEST_FPERIOD_OVERRIDE=FQ","FILING_STATUS=MR","SCALING_FORMAT=MLN","Sort=A","Dates=H","DateFormat=P","Fill=—","Direction=H","UseDPDF=Y")</f>
        <v>36.119</v>
      </c>
      <c r="W38" s="19">
        <f>_xll.BDH("SRPT US Equity","IS_INC_BEF_XO_ITEM","FQ2 2024","FQ2 2024","Currency=USD","Period=FQ","BEST_FPERIOD_OVERRIDE=FQ","FILING_STATUS=MR","SCALING_FORMAT=MLN","Sort=A","Dates=H","DateFormat=P","Fill=—","Direction=H","UseDPDF=Y")</f>
        <v>6.46</v>
      </c>
      <c r="X38" s="19">
        <f>_xll.BDH("SRPT US Equity","IS_INC_BEF_XO_ITEM","FQ3 2024","FQ3 2024","Currency=USD","Period=FQ","BEST_FPERIOD_OVERRIDE=FQ","FILING_STATUS=MR","SCALING_FORMAT=MLN","Sort=A","Dates=H","DateFormat=P","Fill=—","Direction=H","UseDPDF=Y")</f>
        <v>33.610999999999997</v>
      </c>
      <c r="Y38" s="19">
        <f>_xll.BDH("SRPT US Equity","IS_INC_BEF_XO_ITEM","FQ4 2024","FQ4 2024","Currency=USD","Period=FQ","BEST_FPERIOD_OVERRIDE=FQ","FILING_STATUS=MR","SCALING_FORMAT=MLN","Sort=A","Dates=H","DateFormat=P","Fill=—","Direction=H","UseDPDF=Y")</f>
        <v>159.04900000000001</v>
      </c>
      <c r="Z38" s="19">
        <v>107.06699999999999</v>
      </c>
      <c r="AA38" s="19">
        <v>262.16699999999997</v>
      </c>
    </row>
    <row r="39" spans="1:27" x14ac:dyDescent="0.25">
      <c r="A39" s="10" t="s">
        <v>370</v>
      </c>
      <c r="B39" s="10" t="s">
        <v>371</v>
      </c>
      <c r="C39" s="13">
        <f>_xll.BDH("SRPT US Equity","XO_GL_NET_OF_TAX","FQ2 2019","FQ2 2019","Currency=USD","Period=FQ","BEST_FPERIOD_OVERRIDE=FQ","FILING_STATUS=MR","SCALING_FORMAT=MLN","Sort=A","Dates=H","DateFormat=P","Fill=—","Direction=H","UseDPDF=Y")</f>
        <v>0</v>
      </c>
      <c r="D39" s="13">
        <f>_xll.BDH("SRPT US Equity","XO_GL_NET_OF_TAX","FQ3 2019","FQ3 2019","Currency=USD","Period=FQ","BEST_FPERIOD_OVERRIDE=FQ","FILING_STATUS=MR","SCALING_FORMAT=MLN","Sort=A","Dates=H","DateFormat=P","Fill=—","Direction=H","UseDPDF=Y")</f>
        <v>0</v>
      </c>
      <c r="E39" s="13">
        <f>_xll.BDH("SRPT US Equity","XO_GL_NET_OF_TAX","FQ4 2019","FQ4 2019","Currency=USD","Period=FQ","BEST_FPERIOD_OVERRIDE=FQ","FILING_STATUS=MR","SCALING_FORMAT=MLN","Sort=A","Dates=H","DateFormat=P","Fill=—","Direction=H","UseDPDF=Y")</f>
        <v>0</v>
      </c>
      <c r="F39" s="13">
        <f>_xll.BDH("SRPT US Equity","XO_GL_NET_OF_TAX","FQ1 2020","FQ1 2020","Currency=USD","Period=FQ","BEST_FPERIOD_OVERRIDE=FQ","FILING_STATUS=MR","SCALING_FORMAT=MLN","Sort=A","Dates=H","DateFormat=P","Fill=—","Direction=H","UseDPDF=Y")</f>
        <v>0</v>
      </c>
      <c r="G39" s="13">
        <f>_xll.BDH("SRPT US Equity","XO_GL_NET_OF_TAX","FQ2 2020","FQ2 2020","Currency=USD","Period=FQ","BEST_FPERIOD_OVERRIDE=FQ","FILING_STATUS=MR","SCALING_FORMAT=MLN","Sort=A","Dates=H","DateFormat=P","Fill=—","Direction=H","UseDPDF=Y")</f>
        <v>0</v>
      </c>
      <c r="H39" s="13">
        <f>_xll.BDH("SRPT US Equity","XO_GL_NET_OF_TAX","FQ3 2020","FQ3 2020","Currency=USD","Period=FQ","BEST_FPERIOD_OVERRIDE=FQ","FILING_STATUS=MR","SCALING_FORMAT=MLN","Sort=A","Dates=H","DateFormat=P","Fill=—","Direction=H","UseDPDF=Y")</f>
        <v>0</v>
      </c>
      <c r="I39" s="13">
        <f>_xll.BDH("SRPT US Equity","XO_GL_NET_OF_TAX","FQ4 2020","FQ4 2020","Currency=USD","Period=FQ","BEST_FPERIOD_OVERRIDE=FQ","FILING_STATUS=MR","SCALING_FORMAT=MLN","Sort=A","Dates=H","DateFormat=P","Fill=—","Direction=H","UseDPDF=Y")</f>
        <v>0</v>
      </c>
      <c r="J39" s="13">
        <f>_xll.BDH("SRPT US Equity","XO_GL_NET_OF_TAX","FQ1 2021","FQ1 2021","Currency=USD","Period=FQ","BEST_FPERIOD_OVERRIDE=FQ","FILING_STATUS=MR","SCALING_FORMAT=MLN","Sort=A","Dates=H","DateFormat=P","Fill=—","Direction=H","UseDPDF=Y")</f>
        <v>0</v>
      </c>
      <c r="K39" s="13">
        <f>_xll.BDH("SRPT US Equity","XO_GL_NET_OF_TAX","FQ2 2021","FQ2 2021","Currency=USD","Period=FQ","BEST_FPERIOD_OVERRIDE=FQ","FILING_STATUS=MR","SCALING_FORMAT=MLN","Sort=A","Dates=H","DateFormat=P","Fill=—","Direction=H","UseDPDF=Y")</f>
        <v>0</v>
      </c>
      <c r="L39" s="13">
        <f>_xll.BDH("SRPT US Equity","XO_GL_NET_OF_TAX","FQ3 2021","FQ3 2021","Currency=USD","Period=FQ","BEST_FPERIOD_OVERRIDE=FQ","FILING_STATUS=MR","SCALING_FORMAT=MLN","Sort=A","Dates=H","DateFormat=P","Fill=—","Direction=H","UseDPDF=Y")</f>
        <v>0</v>
      </c>
      <c r="M39" s="13">
        <f>_xll.BDH("SRPT US Equity","XO_GL_NET_OF_TAX","FQ4 2021","FQ4 2021","Currency=USD","Period=FQ","BEST_FPERIOD_OVERRIDE=FQ","FILING_STATUS=MR","SCALING_FORMAT=MLN","Sort=A","Dates=H","DateFormat=P","Fill=—","Direction=H","UseDPDF=Y")</f>
        <v>0</v>
      </c>
      <c r="N39" s="13">
        <f>_xll.BDH("SRPT US Equity","XO_GL_NET_OF_TAX","FQ1 2022","FQ1 2022","Currency=USD","Period=FQ","BEST_FPERIOD_OVERRIDE=FQ","FILING_STATUS=MR","SCALING_FORMAT=MLN","Sort=A","Dates=H","DateFormat=P","Fill=—","Direction=H","UseDPDF=Y")</f>
        <v>0</v>
      </c>
      <c r="O39" s="13">
        <f>_xll.BDH("SRPT US Equity","XO_GL_NET_OF_TAX","FQ2 2022","FQ2 2022","Currency=USD","Period=FQ","BEST_FPERIOD_OVERRIDE=FQ","FILING_STATUS=MR","SCALING_FORMAT=MLN","Sort=A","Dates=H","DateFormat=P","Fill=—","Direction=H","UseDPDF=Y")</f>
        <v>0</v>
      </c>
      <c r="P39" s="13">
        <f>_xll.BDH("SRPT US Equity","XO_GL_NET_OF_TAX","FQ3 2022","FQ3 2022","Currency=USD","Period=FQ","BEST_FPERIOD_OVERRIDE=FQ","FILING_STATUS=MR","SCALING_FORMAT=MLN","Sort=A","Dates=H","DateFormat=P","Fill=—","Direction=H","UseDPDF=Y")</f>
        <v>0</v>
      </c>
      <c r="Q39" s="13">
        <f>_xll.BDH("SRPT US Equity","XO_GL_NET_OF_TAX","FQ4 2022","FQ4 2022","Currency=USD","Period=FQ","BEST_FPERIOD_OVERRIDE=FQ","FILING_STATUS=MR","SCALING_FORMAT=MLN","Sort=A","Dates=H","DateFormat=P","Fill=—","Direction=H","UseDPDF=Y")</f>
        <v>0</v>
      </c>
      <c r="R39" s="13">
        <f>_xll.BDH("SRPT US Equity","XO_GL_NET_OF_TAX","FQ1 2023","FQ1 2023","Currency=USD","Period=FQ","BEST_FPERIOD_OVERRIDE=FQ","FILING_STATUS=MR","SCALING_FORMAT=MLN","Sort=A","Dates=H","DateFormat=P","Fill=—","Direction=H","UseDPDF=Y")</f>
        <v>0</v>
      </c>
      <c r="S39" s="13">
        <f>_xll.BDH("SRPT US Equity","XO_GL_NET_OF_TAX","FQ2 2023","FQ2 2023","Currency=USD","Period=FQ","BEST_FPERIOD_OVERRIDE=FQ","FILING_STATUS=MR","SCALING_FORMAT=MLN","Sort=A","Dates=H","DateFormat=P","Fill=—","Direction=H","UseDPDF=Y")</f>
        <v>0</v>
      </c>
      <c r="T39" s="13">
        <f>_xll.BDH("SRPT US Equity","XO_GL_NET_OF_TAX","FQ3 2023","FQ3 2023","Currency=USD","Period=FQ","BEST_FPERIOD_OVERRIDE=FQ","FILING_STATUS=MR","SCALING_FORMAT=MLN","Sort=A","Dates=H","DateFormat=P","Fill=—","Direction=H","UseDPDF=Y")</f>
        <v>0</v>
      </c>
      <c r="U39" s="13">
        <f>_xll.BDH("SRPT US Equity","XO_GL_NET_OF_TAX","FQ4 2023","FQ4 2023","Currency=USD","Period=FQ","BEST_FPERIOD_OVERRIDE=FQ","FILING_STATUS=MR","SCALING_FORMAT=MLN","Sort=A","Dates=H","DateFormat=P","Fill=—","Direction=H","UseDPDF=Y")</f>
        <v>0</v>
      </c>
      <c r="V39" s="13">
        <f>_xll.BDH("SRPT US Equity","XO_GL_NET_OF_TAX","FQ1 2024","FQ1 2024","Currency=USD","Period=FQ","BEST_FPERIOD_OVERRIDE=FQ","FILING_STATUS=MR","SCALING_FORMAT=MLN","Sort=A","Dates=H","DateFormat=P","Fill=—","Direction=H","UseDPDF=Y")</f>
        <v>0</v>
      </c>
      <c r="W39" s="13">
        <f>_xll.BDH("SRPT US Equity","XO_GL_NET_OF_TAX","FQ2 2024","FQ2 2024","Currency=USD","Period=FQ","BEST_FPERIOD_OVERRIDE=FQ","FILING_STATUS=MR","SCALING_FORMAT=MLN","Sort=A","Dates=H","DateFormat=P","Fill=—","Direction=H","UseDPDF=Y")</f>
        <v>0</v>
      </c>
      <c r="X39" s="13">
        <f>_xll.BDH("SRPT US Equity","XO_GL_NET_OF_TAX","FQ3 2024","FQ3 2024","Currency=USD","Period=FQ","BEST_FPERIOD_OVERRIDE=FQ","FILING_STATUS=MR","SCALING_FORMAT=MLN","Sort=A","Dates=H","DateFormat=P","Fill=—","Direction=H","UseDPDF=Y")</f>
        <v>0</v>
      </c>
      <c r="Y39" s="13">
        <f>_xll.BDH("SRPT US Equity","XO_GL_NET_OF_TAX","FQ4 2024","FQ4 2024","Currency=USD","Period=FQ","BEST_FPERIOD_OVERRIDE=FQ","FILING_STATUS=MR","SCALING_FORMAT=MLN","Sort=A","Dates=H","DateFormat=P","Fill=—","Direction=H","UseDPDF=Y")</f>
        <v>0</v>
      </c>
      <c r="Z39" s="13"/>
      <c r="AA39" s="13"/>
    </row>
    <row r="40" spans="1:27" x14ac:dyDescent="0.25">
      <c r="A40" s="10" t="s">
        <v>372</v>
      </c>
      <c r="B40" s="10" t="s">
        <v>373</v>
      </c>
      <c r="C40" s="13">
        <f>_xll.BDH("SRPT US Equity","IS_DISCONTINUED_OPERATIONS","FQ2 2019","FQ2 2019","Currency=USD","Period=FQ","BEST_FPERIOD_OVERRIDE=FQ","FILING_STATUS=MR","SCALING_FORMAT=MLN","Sort=A","Dates=H","DateFormat=P","Fill=—","Direction=H","UseDPDF=Y")</f>
        <v>0</v>
      </c>
      <c r="D40" s="13">
        <f>_xll.BDH("SRPT US Equity","IS_DISCONTINUED_OPERATIONS","FQ3 2019","FQ3 2019","Currency=USD","Period=FQ","BEST_FPERIOD_OVERRIDE=FQ","FILING_STATUS=MR","SCALING_FORMAT=MLN","Sort=A","Dates=H","DateFormat=P","Fill=—","Direction=H","UseDPDF=Y")</f>
        <v>0</v>
      </c>
      <c r="E40" s="13">
        <f>_xll.BDH("SRPT US Equity","IS_DISCONTINUED_OPERATIONS","FQ4 2019","FQ4 2019","Currency=USD","Period=FQ","BEST_FPERIOD_OVERRIDE=FQ","FILING_STATUS=MR","SCALING_FORMAT=MLN","Sort=A","Dates=H","DateFormat=P","Fill=—","Direction=H","UseDPDF=Y")</f>
        <v>0</v>
      </c>
      <c r="F40" s="13">
        <f>_xll.BDH("SRPT US Equity","IS_DISCONTINUED_OPERATIONS","FQ1 2020","FQ1 2020","Currency=USD","Period=FQ","BEST_FPERIOD_OVERRIDE=FQ","FILING_STATUS=MR","SCALING_FORMAT=MLN","Sort=A","Dates=H","DateFormat=P","Fill=—","Direction=H","UseDPDF=Y")</f>
        <v>0</v>
      </c>
      <c r="G40" s="13">
        <f>_xll.BDH("SRPT US Equity","IS_DISCONTINUED_OPERATIONS","FQ2 2020","FQ2 2020","Currency=USD","Period=FQ","BEST_FPERIOD_OVERRIDE=FQ","FILING_STATUS=MR","SCALING_FORMAT=MLN","Sort=A","Dates=H","DateFormat=P","Fill=—","Direction=H","UseDPDF=Y")</f>
        <v>0</v>
      </c>
      <c r="H40" s="13">
        <f>_xll.BDH("SRPT US Equity","IS_DISCONTINUED_OPERATIONS","FQ3 2020","FQ3 2020","Currency=USD","Period=FQ","BEST_FPERIOD_OVERRIDE=FQ","FILING_STATUS=MR","SCALING_FORMAT=MLN","Sort=A","Dates=H","DateFormat=P","Fill=—","Direction=H","UseDPDF=Y")</f>
        <v>0</v>
      </c>
      <c r="I40" s="13">
        <f>_xll.BDH("SRPT US Equity","IS_DISCONTINUED_OPERATIONS","FQ4 2020","FQ4 2020","Currency=USD","Period=FQ","BEST_FPERIOD_OVERRIDE=FQ","FILING_STATUS=MR","SCALING_FORMAT=MLN","Sort=A","Dates=H","DateFormat=P","Fill=—","Direction=H","UseDPDF=Y")</f>
        <v>0</v>
      </c>
      <c r="J40" s="13">
        <f>_xll.BDH("SRPT US Equity","IS_DISCONTINUED_OPERATIONS","FQ1 2021","FQ1 2021","Currency=USD","Period=FQ","BEST_FPERIOD_OVERRIDE=FQ","FILING_STATUS=MR","SCALING_FORMAT=MLN","Sort=A","Dates=H","DateFormat=P","Fill=—","Direction=H","UseDPDF=Y")</f>
        <v>0</v>
      </c>
      <c r="K40" s="13">
        <f>_xll.BDH("SRPT US Equity","IS_DISCONTINUED_OPERATIONS","FQ2 2021","FQ2 2021","Currency=USD","Period=FQ","BEST_FPERIOD_OVERRIDE=FQ","FILING_STATUS=MR","SCALING_FORMAT=MLN","Sort=A","Dates=H","DateFormat=P","Fill=—","Direction=H","UseDPDF=Y")</f>
        <v>0</v>
      </c>
      <c r="L40" s="13">
        <f>_xll.BDH("SRPT US Equity","IS_DISCONTINUED_OPERATIONS","FQ3 2021","FQ3 2021","Currency=USD","Period=FQ","BEST_FPERIOD_OVERRIDE=FQ","FILING_STATUS=MR","SCALING_FORMAT=MLN","Sort=A","Dates=H","DateFormat=P","Fill=—","Direction=H","UseDPDF=Y")</f>
        <v>0</v>
      </c>
      <c r="M40" s="13">
        <f>_xll.BDH("SRPT US Equity","IS_DISCONTINUED_OPERATIONS","FQ4 2021","FQ4 2021","Currency=USD","Period=FQ","BEST_FPERIOD_OVERRIDE=FQ","FILING_STATUS=MR","SCALING_FORMAT=MLN","Sort=A","Dates=H","DateFormat=P","Fill=—","Direction=H","UseDPDF=Y")</f>
        <v>0</v>
      </c>
      <c r="N40" s="13">
        <f>_xll.BDH("SRPT US Equity","IS_DISCONTINUED_OPERATIONS","FQ1 2022","FQ1 2022","Currency=USD","Period=FQ","BEST_FPERIOD_OVERRIDE=FQ","FILING_STATUS=MR","SCALING_FORMAT=MLN","Sort=A","Dates=H","DateFormat=P","Fill=—","Direction=H","UseDPDF=Y")</f>
        <v>0</v>
      </c>
      <c r="O40" s="13">
        <f>_xll.BDH("SRPT US Equity","IS_DISCONTINUED_OPERATIONS","FQ2 2022","FQ2 2022","Currency=USD","Period=FQ","BEST_FPERIOD_OVERRIDE=FQ","FILING_STATUS=MR","SCALING_FORMAT=MLN","Sort=A","Dates=H","DateFormat=P","Fill=—","Direction=H","UseDPDF=Y")</f>
        <v>0</v>
      </c>
      <c r="P40" s="13">
        <f>_xll.BDH("SRPT US Equity","IS_DISCONTINUED_OPERATIONS","FQ3 2022","FQ3 2022","Currency=USD","Period=FQ","BEST_FPERIOD_OVERRIDE=FQ","FILING_STATUS=MR","SCALING_FORMAT=MLN","Sort=A","Dates=H","DateFormat=P","Fill=—","Direction=H","UseDPDF=Y")</f>
        <v>0</v>
      </c>
      <c r="Q40" s="13">
        <f>_xll.BDH("SRPT US Equity","IS_DISCONTINUED_OPERATIONS","FQ4 2022","FQ4 2022","Currency=USD","Period=FQ","BEST_FPERIOD_OVERRIDE=FQ","FILING_STATUS=MR","SCALING_FORMAT=MLN","Sort=A","Dates=H","DateFormat=P","Fill=—","Direction=H","UseDPDF=Y")</f>
        <v>0</v>
      </c>
      <c r="R40" s="13">
        <f>_xll.BDH("SRPT US Equity","IS_DISCONTINUED_OPERATIONS","FQ1 2023","FQ1 2023","Currency=USD","Period=FQ","BEST_FPERIOD_OVERRIDE=FQ","FILING_STATUS=MR","SCALING_FORMAT=MLN","Sort=A","Dates=H","DateFormat=P","Fill=—","Direction=H","UseDPDF=Y")</f>
        <v>0</v>
      </c>
      <c r="S40" s="13">
        <f>_xll.BDH("SRPT US Equity","IS_DISCONTINUED_OPERATIONS","FQ2 2023","FQ2 2023","Currency=USD","Period=FQ","BEST_FPERIOD_OVERRIDE=FQ","FILING_STATUS=MR","SCALING_FORMAT=MLN","Sort=A","Dates=H","DateFormat=P","Fill=—","Direction=H","UseDPDF=Y")</f>
        <v>0</v>
      </c>
      <c r="T40" s="13">
        <f>_xll.BDH("SRPT US Equity","IS_DISCONTINUED_OPERATIONS","FQ3 2023","FQ3 2023","Currency=USD","Period=FQ","BEST_FPERIOD_OVERRIDE=FQ","FILING_STATUS=MR","SCALING_FORMAT=MLN","Sort=A","Dates=H","DateFormat=P","Fill=—","Direction=H","UseDPDF=Y")</f>
        <v>0</v>
      </c>
      <c r="U40" s="13">
        <f>_xll.BDH("SRPT US Equity","IS_DISCONTINUED_OPERATIONS","FQ4 2023","FQ4 2023","Currency=USD","Period=FQ","BEST_FPERIOD_OVERRIDE=FQ","FILING_STATUS=MR","SCALING_FORMAT=MLN","Sort=A","Dates=H","DateFormat=P","Fill=—","Direction=H","UseDPDF=Y")</f>
        <v>0</v>
      </c>
      <c r="V40" s="13">
        <f>_xll.BDH("SRPT US Equity","IS_DISCONTINUED_OPERATIONS","FQ1 2024","FQ1 2024","Currency=USD","Period=FQ","BEST_FPERIOD_OVERRIDE=FQ","FILING_STATUS=MR","SCALING_FORMAT=MLN","Sort=A","Dates=H","DateFormat=P","Fill=—","Direction=H","UseDPDF=Y")</f>
        <v>0</v>
      </c>
      <c r="W40" s="13">
        <f>_xll.BDH("SRPT US Equity","IS_DISCONTINUED_OPERATIONS","FQ2 2024","FQ2 2024","Currency=USD","Period=FQ","BEST_FPERIOD_OVERRIDE=FQ","FILING_STATUS=MR","SCALING_FORMAT=MLN","Sort=A","Dates=H","DateFormat=P","Fill=—","Direction=H","UseDPDF=Y")</f>
        <v>0</v>
      </c>
      <c r="X40" s="13">
        <f>_xll.BDH("SRPT US Equity","IS_DISCONTINUED_OPERATIONS","FQ3 2024","FQ3 2024","Currency=USD","Period=FQ","BEST_FPERIOD_OVERRIDE=FQ","FILING_STATUS=MR","SCALING_FORMAT=MLN","Sort=A","Dates=H","DateFormat=P","Fill=—","Direction=H","UseDPDF=Y")</f>
        <v>0</v>
      </c>
      <c r="Y40" s="13">
        <f>_xll.BDH("SRPT US Equity","IS_DISCONTINUED_OPERATIONS","FQ4 2024","FQ4 2024","Currency=USD","Period=FQ","BEST_FPERIOD_OVERRIDE=FQ","FILING_STATUS=MR","SCALING_FORMAT=MLN","Sort=A","Dates=H","DateFormat=P","Fill=—","Direction=H","UseDPDF=Y")</f>
        <v>0</v>
      </c>
      <c r="Z40" s="13"/>
      <c r="AA40" s="13"/>
    </row>
    <row r="41" spans="1:27" x14ac:dyDescent="0.25">
      <c r="A41" s="10" t="s">
        <v>374</v>
      </c>
      <c r="B41" s="10" t="s">
        <v>375</v>
      </c>
      <c r="C41" s="13">
        <f>_xll.BDH("SRPT US Equity","EXTRAORD_ITEMS_ACCOUNTING_CHANGS","FQ2 2019","FQ2 2019","Currency=USD","Period=FQ","BEST_FPERIOD_OVERRIDE=FQ","FILING_STATUS=MR","SCALING_FORMAT=MLN","Sort=A","Dates=H","DateFormat=P","Fill=—","Direction=H","UseDPDF=Y")</f>
        <v>0</v>
      </c>
      <c r="D41" s="13">
        <f>_xll.BDH("SRPT US Equity","EXTRAORD_ITEMS_ACCOUNTING_CHANGS","FQ3 2019","FQ3 2019","Currency=USD","Period=FQ","BEST_FPERIOD_OVERRIDE=FQ","FILING_STATUS=MR","SCALING_FORMAT=MLN","Sort=A","Dates=H","DateFormat=P","Fill=—","Direction=H","UseDPDF=Y")</f>
        <v>0</v>
      </c>
      <c r="E41" s="13">
        <f>_xll.BDH("SRPT US Equity","EXTRAORD_ITEMS_ACCOUNTING_CHANGS","FQ4 2019","FQ4 2019","Currency=USD","Period=FQ","BEST_FPERIOD_OVERRIDE=FQ","FILING_STATUS=MR","SCALING_FORMAT=MLN","Sort=A","Dates=H","DateFormat=P","Fill=—","Direction=H","UseDPDF=Y")</f>
        <v>0</v>
      </c>
      <c r="F41" s="13">
        <f>_xll.BDH("SRPT US Equity","EXTRAORD_ITEMS_ACCOUNTING_CHANGS","FQ1 2020","FQ1 2020","Currency=USD","Period=FQ","BEST_FPERIOD_OVERRIDE=FQ","FILING_STATUS=MR","SCALING_FORMAT=MLN","Sort=A","Dates=H","DateFormat=P","Fill=—","Direction=H","UseDPDF=Y")</f>
        <v>0</v>
      </c>
      <c r="G41" s="13">
        <f>_xll.BDH("SRPT US Equity","EXTRAORD_ITEMS_ACCOUNTING_CHANGS","FQ2 2020","FQ2 2020","Currency=USD","Period=FQ","BEST_FPERIOD_OVERRIDE=FQ","FILING_STATUS=MR","SCALING_FORMAT=MLN","Sort=A","Dates=H","DateFormat=P","Fill=—","Direction=H","UseDPDF=Y")</f>
        <v>0</v>
      </c>
      <c r="H41" s="13">
        <f>_xll.BDH("SRPT US Equity","EXTRAORD_ITEMS_ACCOUNTING_CHANGS","FQ3 2020","FQ3 2020","Currency=USD","Period=FQ","BEST_FPERIOD_OVERRIDE=FQ","FILING_STATUS=MR","SCALING_FORMAT=MLN","Sort=A","Dates=H","DateFormat=P","Fill=—","Direction=H","UseDPDF=Y")</f>
        <v>0</v>
      </c>
      <c r="I41" s="13">
        <f>_xll.BDH("SRPT US Equity","EXTRAORD_ITEMS_ACCOUNTING_CHANGS","FQ4 2020","FQ4 2020","Currency=USD","Period=FQ","BEST_FPERIOD_OVERRIDE=FQ","FILING_STATUS=MR","SCALING_FORMAT=MLN","Sort=A","Dates=H","DateFormat=P","Fill=—","Direction=H","UseDPDF=Y")</f>
        <v>0</v>
      </c>
      <c r="J41" s="13">
        <f>_xll.BDH("SRPT US Equity","EXTRAORD_ITEMS_ACCOUNTING_CHANGS","FQ1 2021","FQ1 2021","Currency=USD","Period=FQ","BEST_FPERIOD_OVERRIDE=FQ","FILING_STATUS=MR","SCALING_FORMAT=MLN","Sort=A","Dates=H","DateFormat=P","Fill=—","Direction=H","UseDPDF=Y")</f>
        <v>0</v>
      </c>
      <c r="K41" s="13">
        <f>_xll.BDH("SRPT US Equity","EXTRAORD_ITEMS_ACCOUNTING_CHANGS","FQ2 2021","FQ2 2021","Currency=USD","Period=FQ","BEST_FPERIOD_OVERRIDE=FQ","FILING_STATUS=MR","SCALING_FORMAT=MLN","Sort=A","Dates=H","DateFormat=P","Fill=—","Direction=H","UseDPDF=Y")</f>
        <v>0</v>
      </c>
      <c r="L41" s="13">
        <f>_xll.BDH("SRPT US Equity","EXTRAORD_ITEMS_ACCOUNTING_CHANGS","FQ3 2021","FQ3 2021","Currency=USD","Period=FQ","BEST_FPERIOD_OVERRIDE=FQ","FILING_STATUS=MR","SCALING_FORMAT=MLN","Sort=A","Dates=H","DateFormat=P","Fill=—","Direction=H","UseDPDF=Y")</f>
        <v>0</v>
      </c>
      <c r="M41" s="13">
        <f>_xll.BDH("SRPT US Equity","EXTRAORD_ITEMS_ACCOUNTING_CHANGS","FQ4 2021","FQ4 2021","Currency=USD","Period=FQ","BEST_FPERIOD_OVERRIDE=FQ","FILING_STATUS=MR","SCALING_FORMAT=MLN","Sort=A","Dates=H","DateFormat=P","Fill=—","Direction=H","UseDPDF=Y")</f>
        <v>0</v>
      </c>
      <c r="N41" s="13">
        <f>_xll.BDH("SRPT US Equity","EXTRAORD_ITEMS_ACCOUNTING_CHANGS","FQ1 2022","FQ1 2022","Currency=USD","Period=FQ","BEST_FPERIOD_OVERRIDE=FQ","FILING_STATUS=MR","SCALING_FORMAT=MLN","Sort=A","Dates=H","DateFormat=P","Fill=—","Direction=H","UseDPDF=Y")</f>
        <v>0</v>
      </c>
      <c r="O41" s="13">
        <f>_xll.BDH("SRPT US Equity","EXTRAORD_ITEMS_ACCOUNTING_CHANGS","FQ2 2022","FQ2 2022","Currency=USD","Period=FQ","BEST_FPERIOD_OVERRIDE=FQ","FILING_STATUS=MR","SCALING_FORMAT=MLN","Sort=A","Dates=H","DateFormat=P","Fill=—","Direction=H","UseDPDF=Y")</f>
        <v>0</v>
      </c>
      <c r="P41" s="13">
        <f>_xll.BDH("SRPT US Equity","EXTRAORD_ITEMS_ACCOUNTING_CHANGS","FQ3 2022","FQ3 2022","Currency=USD","Period=FQ","BEST_FPERIOD_OVERRIDE=FQ","FILING_STATUS=MR","SCALING_FORMAT=MLN","Sort=A","Dates=H","DateFormat=P","Fill=—","Direction=H","UseDPDF=Y")</f>
        <v>0</v>
      </c>
      <c r="Q41" s="13">
        <f>_xll.BDH("SRPT US Equity","EXTRAORD_ITEMS_ACCOUNTING_CHANGS","FQ4 2022","FQ4 2022","Currency=USD","Period=FQ","BEST_FPERIOD_OVERRIDE=FQ","FILING_STATUS=MR","SCALING_FORMAT=MLN","Sort=A","Dates=H","DateFormat=P","Fill=—","Direction=H","UseDPDF=Y")</f>
        <v>0</v>
      </c>
      <c r="R41" s="13">
        <f>_xll.BDH("SRPT US Equity","EXTRAORD_ITEMS_ACCOUNTING_CHANGS","FQ1 2023","FQ1 2023","Currency=USD","Period=FQ","BEST_FPERIOD_OVERRIDE=FQ","FILING_STATUS=MR","SCALING_FORMAT=MLN","Sort=A","Dates=H","DateFormat=P","Fill=—","Direction=H","UseDPDF=Y")</f>
        <v>0</v>
      </c>
      <c r="S41" s="13">
        <f>_xll.BDH("SRPT US Equity","EXTRAORD_ITEMS_ACCOUNTING_CHANGS","FQ2 2023","FQ2 2023","Currency=USD","Period=FQ","BEST_FPERIOD_OVERRIDE=FQ","FILING_STATUS=MR","SCALING_FORMAT=MLN","Sort=A","Dates=H","DateFormat=P","Fill=—","Direction=H","UseDPDF=Y")</f>
        <v>0</v>
      </c>
      <c r="T41" s="13">
        <f>_xll.BDH("SRPT US Equity","EXTRAORD_ITEMS_ACCOUNTING_CHANGS","FQ3 2023","FQ3 2023","Currency=USD","Period=FQ","BEST_FPERIOD_OVERRIDE=FQ","FILING_STATUS=MR","SCALING_FORMAT=MLN","Sort=A","Dates=H","DateFormat=P","Fill=—","Direction=H","UseDPDF=Y")</f>
        <v>0</v>
      </c>
      <c r="U41" s="13">
        <f>_xll.BDH("SRPT US Equity","EXTRAORD_ITEMS_ACCOUNTING_CHANGS","FQ4 2023","FQ4 2023","Currency=USD","Period=FQ","BEST_FPERIOD_OVERRIDE=FQ","FILING_STATUS=MR","SCALING_FORMAT=MLN","Sort=A","Dates=H","DateFormat=P","Fill=—","Direction=H","UseDPDF=Y")</f>
        <v>0</v>
      </c>
      <c r="V41" s="13">
        <f>_xll.BDH("SRPT US Equity","EXTRAORD_ITEMS_ACCOUNTING_CHANGS","FQ1 2024","FQ1 2024","Currency=USD","Period=FQ","BEST_FPERIOD_OVERRIDE=FQ","FILING_STATUS=MR","SCALING_FORMAT=MLN","Sort=A","Dates=H","DateFormat=P","Fill=—","Direction=H","UseDPDF=Y")</f>
        <v>0</v>
      </c>
      <c r="W41" s="13">
        <f>_xll.BDH("SRPT US Equity","EXTRAORD_ITEMS_ACCOUNTING_CHANGS","FQ2 2024","FQ2 2024","Currency=USD","Period=FQ","BEST_FPERIOD_OVERRIDE=FQ","FILING_STATUS=MR","SCALING_FORMAT=MLN","Sort=A","Dates=H","DateFormat=P","Fill=—","Direction=H","UseDPDF=Y")</f>
        <v>0</v>
      </c>
      <c r="X41" s="13">
        <f>_xll.BDH("SRPT US Equity","EXTRAORD_ITEMS_ACCOUNTING_CHANGS","FQ3 2024","FQ3 2024","Currency=USD","Period=FQ","BEST_FPERIOD_OVERRIDE=FQ","FILING_STATUS=MR","SCALING_FORMAT=MLN","Sort=A","Dates=H","DateFormat=P","Fill=—","Direction=H","UseDPDF=Y")</f>
        <v>0</v>
      </c>
      <c r="Y41" s="13">
        <f>_xll.BDH("SRPT US Equity","EXTRAORD_ITEMS_ACCOUNTING_CHANGS","FQ4 2024","FQ4 2024","Currency=USD","Period=FQ","BEST_FPERIOD_OVERRIDE=FQ","FILING_STATUS=MR","SCALING_FORMAT=MLN","Sort=A","Dates=H","DateFormat=P","Fill=—","Direction=H","UseDPDF=Y")</f>
        <v>0</v>
      </c>
      <c r="Z41" s="13"/>
      <c r="AA41" s="13"/>
    </row>
    <row r="42" spans="1:27" x14ac:dyDescent="0.25">
      <c r="A42" s="6" t="s">
        <v>376</v>
      </c>
      <c r="B42" s="6" t="s">
        <v>377</v>
      </c>
      <c r="C42" s="19">
        <f>_xll.BDH("SRPT US Equity","NI_INCLUDING_MINORITY_INT_RATIO","FQ2 2019","FQ2 2019","Currency=USD","Period=FQ","BEST_FPERIOD_OVERRIDE=FQ","FILING_STATUS=MR","SCALING_FORMAT=MLN","FA_ADJUSTED=GAAP","Sort=A","Dates=H","DateFormat=P","Fill=—","Direction=H","UseDPDF=Y")</f>
        <v>-276.40300000000002</v>
      </c>
      <c r="D42" s="19">
        <f>_xll.BDH("SRPT US Equity","NI_INCLUDING_MINORITY_INT_RATIO","FQ3 2019","FQ3 2019","Currency=USD","Period=FQ","BEST_FPERIOD_OVERRIDE=FQ","FILING_STATUS=MR","SCALING_FORMAT=MLN","FA_ADJUSTED=GAAP","Sort=A","Dates=H","DateFormat=P","Fill=—","Direction=H","UseDPDF=Y")</f>
        <v>-126.32599999999999</v>
      </c>
      <c r="E42" s="19">
        <f>_xll.BDH("SRPT US Equity","NI_INCLUDING_MINORITY_INT_RATIO","FQ4 2019","FQ4 2019","Currency=USD","Period=FQ","BEST_FPERIOD_OVERRIDE=FQ","FILING_STATUS=MR","SCALING_FORMAT=MLN","FA_ADJUSTED=GAAP","Sort=A","Dates=H","DateFormat=P","Fill=—","Direction=H","UseDPDF=Y")</f>
        <v>-235.703</v>
      </c>
      <c r="F42" s="19">
        <f>_xll.BDH("SRPT US Equity","NI_INCLUDING_MINORITY_INT_RATIO","FQ1 2020","FQ1 2020","Currency=USD","Period=FQ","BEST_FPERIOD_OVERRIDE=FQ","FILING_STATUS=MR","SCALING_FORMAT=MLN","FA_ADJUSTED=GAAP","Sort=A","Dates=H","DateFormat=P","Fill=—","Direction=H","UseDPDF=Y")</f>
        <v>-17.492000000000001</v>
      </c>
      <c r="G42" s="19">
        <f>_xll.BDH("SRPT US Equity","NI_INCLUDING_MINORITY_INT_RATIO","FQ2 2020","FQ2 2020","Currency=USD","Period=FQ","BEST_FPERIOD_OVERRIDE=FQ","FILING_STATUS=MR","SCALING_FORMAT=MLN","FA_ADJUSTED=GAAP","Sort=A","Dates=H","DateFormat=P","Fill=—","Direction=H","UseDPDF=Y")</f>
        <v>-150.82</v>
      </c>
      <c r="H42" s="19">
        <f>_xll.BDH("SRPT US Equity","NI_INCLUDING_MINORITY_INT_RATIO","FQ3 2020","FQ3 2020","Currency=USD","Period=FQ","BEST_FPERIOD_OVERRIDE=FQ","FILING_STATUS=MR","SCALING_FORMAT=MLN","FA_ADJUSTED=GAAP","Sort=A","Dates=H","DateFormat=P","Fill=—","Direction=H","UseDPDF=Y")</f>
        <v>-196.499</v>
      </c>
      <c r="I42" s="19">
        <f>_xll.BDH("SRPT US Equity","NI_INCLUDING_MINORITY_INT_RATIO","FQ4 2020","FQ4 2020","Currency=USD","Period=FQ","BEST_FPERIOD_OVERRIDE=FQ","FILING_STATUS=MR","SCALING_FORMAT=MLN","FA_ADJUSTED=GAAP","Sort=A","Dates=H","DateFormat=P","Fill=—","Direction=H","UseDPDF=Y")</f>
        <v>-189.31700000000001</v>
      </c>
      <c r="J42" s="19">
        <f>_xll.BDH("SRPT US Equity","NI_INCLUDING_MINORITY_INT_RATIO","FQ1 2021","FQ1 2021","Currency=USD","Period=FQ","BEST_FPERIOD_OVERRIDE=FQ","FILING_STATUS=MR","SCALING_FORMAT=MLN","FA_ADJUSTED=GAAP","Sort=A","Dates=H","DateFormat=P","Fill=—","Direction=H","UseDPDF=Y")</f>
        <v>-167.25</v>
      </c>
      <c r="K42" s="19">
        <f>_xll.BDH("SRPT US Equity","NI_INCLUDING_MINORITY_INT_RATIO","FQ2 2021","FQ2 2021","Currency=USD","Period=FQ","BEST_FPERIOD_OVERRIDE=FQ","FILING_STATUS=MR","SCALING_FORMAT=MLN","FA_ADJUSTED=GAAP","Sort=A","Dates=H","DateFormat=P","Fill=—","Direction=H","UseDPDF=Y")</f>
        <v>-81.405000000000001</v>
      </c>
      <c r="L42" s="19">
        <f>_xll.BDH("SRPT US Equity","NI_INCLUDING_MINORITY_INT_RATIO","FQ3 2021","FQ3 2021","Currency=USD","Period=FQ","BEST_FPERIOD_OVERRIDE=FQ","FILING_STATUS=MR","SCALING_FORMAT=MLN","FA_ADJUSTED=GAAP","Sort=A","Dates=H","DateFormat=P","Fill=—","Direction=H","UseDPDF=Y")</f>
        <v>-48.143999999999998</v>
      </c>
      <c r="M42" s="19">
        <f>_xll.BDH("SRPT US Equity","NI_INCLUDING_MINORITY_INT_RATIO","FQ4 2021","FQ4 2021","Currency=USD","Period=FQ","BEST_FPERIOD_OVERRIDE=FQ","FILING_STATUS=MR","SCALING_FORMAT=MLN","FA_ADJUSTED=GAAP","Sort=A","Dates=H","DateFormat=P","Fill=—","Direction=H","UseDPDF=Y")</f>
        <v>-121.98099999999999</v>
      </c>
      <c r="N42" s="19">
        <f>_xll.BDH("SRPT US Equity","NI_INCLUDING_MINORITY_INT_RATIO","FQ1 2022","FQ1 2022","Currency=USD","Period=FQ","BEST_FPERIOD_OVERRIDE=FQ","FILING_STATUS=MR","SCALING_FORMAT=MLN","FA_ADJUSTED=GAAP","Sort=A","Dates=H","DateFormat=P","Fill=—","Direction=H","UseDPDF=Y")</f>
        <v>-105.02500000000001</v>
      </c>
      <c r="O42" s="19">
        <f>_xll.BDH("SRPT US Equity","NI_INCLUDING_MINORITY_INT_RATIO","FQ2 2022","FQ2 2022","Currency=USD","Period=FQ","BEST_FPERIOD_OVERRIDE=FQ","FILING_STATUS=MR","SCALING_FORMAT=MLN","FA_ADJUSTED=GAAP","Sort=A","Dates=H","DateFormat=P","Fill=—","Direction=H","UseDPDF=Y")</f>
        <v>-231.48099999999999</v>
      </c>
      <c r="P42" s="19">
        <f>_xll.BDH("SRPT US Equity","NI_INCLUDING_MINORITY_INT_RATIO","FQ3 2022","FQ3 2022","Currency=USD","Period=FQ","BEST_FPERIOD_OVERRIDE=FQ","FILING_STATUS=MR","SCALING_FORMAT=MLN","FA_ADJUSTED=GAAP","Sort=A","Dates=H","DateFormat=P","Fill=—","Direction=H","UseDPDF=Y")</f>
        <v>-257.738</v>
      </c>
      <c r="Q42" s="19">
        <f>_xll.BDH("SRPT US Equity","NI_INCLUDING_MINORITY_INT_RATIO","FQ4 2022","FQ4 2022","Currency=USD","Period=FQ","BEST_FPERIOD_OVERRIDE=FQ","FILING_STATUS=MR","SCALING_FORMAT=MLN","FA_ADJUSTED=GAAP","Sort=A","Dates=H","DateFormat=P","Fill=—","Direction=H","UseDPDF=Y")</f>
        <v>-109.244</v>
      </c>
      <c r="R42" s="19">
        <f>_xll.BDH("SRPT US Equity","NI_INCLUDING_MINORITY_INT_RATIO","FQ1 2023","FQ1 2023","Currency=USD","Period=FQ","BEST_FPERIOD_OVERRIDE=FQ","FILING_STATUS=MR","SCALING_FORMAT=MLN","FA_ADJUSTED=GAAP","Sort=A","Dates=H","DateFormat=P","Fill=—","Direction=H","UseDPDF=Y")</f>
        <v>-516.755</v>
      </c>
      <c r="S42" s="19">
        <f>_xll.BDH("SRPT US Equity","NI_INCLUDING_MINORITY_INT_RATIO","FQ2 2023","FQ2 2023","Currency=USD","Period=FQ","BEST_FPERIOD_OVERRIDE=FQ","FILING_STATUS=MR","SCALING_FORMAT=MLN","FA_ADJUSTED=GAAP","Sort=A","Dates=H","DateFormat=P","Fill=—","Direction=H","UseDPDF=Y")</f>
        <v>-23.94</v>
      </c>
      <c r="T42" s="19">
        <f>_xll.BDH("SRPT US Equity","NI_INCLUDING_MINORITY_INT_RATIO","FQ3 2023","FQ3 2023","Currency=USD","Period=FQ","BEST_FPERIOD_OVERRIDE=FQ","FILING_STATUS=MR","SCALING_FORMAT=MLN","FA_ADJUSTED=GAAP","Sort=A","Dates=H","DateFormat=P","Fill=—","Direction=H","UseDPDF=Y")</f>
        <v>-40.936999999999998</v>
      </c>
      <c r="U42" s="19">
        <f>_xll.BDH("SRPT US Equity","NI_INCLUDING_MINORITY_INT_RATIO","FQ4 2023","FQ4 2023","Currency=USD","Period=FQ","BEST_FPERIOD_OVERRIDE=FQ","FILING_STATUS=MR","SCALING_FORMAT=MLN","FA_ADJUSTED=GAAP","Sort=A","Dates=H","DateFormat=P","Fill=—","Direction=H","UseDPDF=Y")</f>
        <v>45.655000000000001</v>
      </c>
      <c r="V42" s="19">
        <f>_xll.BDH("SRPT US Equity","NI_INCLUDING_MINORITY_INT_RATIO","FQ1 2024","FQ1 2024","Currency=USD","Period=FQ","BEST_FPERIOD_OVERRIDE=FQ","FILING_STATUS=MR","SCALING_FORMAT=MLN","FA_ADJUSTED=GAAP","Sort=A","Dates=H","DateFormat=P","Fill=—","Direction=H","UseDPDF=Y")</f>
        <v>36.119</v>
      </c>
      <c r="W42" s="19">
        <f>_xll.BDH("SRPT US Equity","NI_INCLUDING_MINORITY_INT_RATIO","FQ2 2024","FQ2 2024","Currency=USD","Period=FQ","BEST_FPERIOD_OVERRIDE=FQ","FILING_STATUS=MR","SCALING_FORMAT=MLN","FA_ADJUSTED=GAAP","Sort=A","Dates=H","DateFormat=P","Fill=—","Direction=H","UseDPDF=Y")</f>
        <v>6.46</v>
      </c>
      <c r="X42" s="19">
        <f>_xll.BDH("SRPT US Equity","NI_INCLUDING_MINORITY_INT_RATIO","FQ3 2024","FQ3 2024","Currency=USD","Period=FQ","BEST_FPERIOD_OVERRIDE=FQ","FILING_STATUS=MR","SCALING_FORMAT=MLN","FA_ADJUSTED=GAAP","Sort=A","Dates=H","DateFormat=P","Fill=—","Direction=H","UseDPDF=Y")</f>
        <v>33.610999999999997</v>
      </c>
      <c r="Y42" s="19">
        <f>_xll.BDH("SRPT US Equity","NI_INCLUDING_MINORITY_INT_RATIO","FQ4 2024","FQ4 2024","Currency=USD","Period=FQ","BEST_FPERIOD_OVERRIDE=FQ","FILING_STATUS=MR","SCALING_FORMAT=MLN","FA_ADJUSTED=GAAP","Sort=A","Dates=H","DateFormat=P","Fill=—","Direction=H","UseDPDF=Y")</f>
        <v>159.04900000000001</v>
      </c>
      <c r="Z42" s="19"/>
      <c r="AA42" s="19"/>
    </row>
    <row r="43" spans="1:27" x14ac:dyDescent="0.25">
      <c r="A43" s="10" t="s">
        <v>378</v>
      </c>
      <c r="B43" s="10" t="s">
        <v>379</v>
      </c>
      <c r="C43" s="13">
        <f>_xll.BDH("SRPT US Equity","MIN_NONCONTROL_INTEREST_CREDITS","FQ2 2019","FQ2 2019","Currency=USD","Period=FQ","BEST_FPERIOD_OVERRIDE=FQ","FILING_STATUS=MR","SCALING_FORMAT=MLN","FA_ADJUSTED=GAAP","Sort=A","Dates=H","DateFormat=P","Fill=—","Direction=H","UseDPDF=Y")</f>
        <v>0</v>
      </c>
      <c r="D43" s="13">
        <f>_xll.BDH("SRPT US Equity","MIN_NONCONTROL_INTEREST_CREDITS","FQ3 2019","FQ3 2019","Currency=USD","Period=FQ","BEST_FPERIOD_OVERRIDE=FQ","FILING_STATUS=MR","SCALING_FORMAT=MLN","FA_ADJUSTED=GAAP","Sort=A","Dates=H","DateFormat=P","Fill=—","Direction=H","UseDPDF=Y")</f>
        <v>0</v>
      </c>
      <c r="E43" s="13">
        <f>_xll.BDH("SRPT US Equity","MIN_NONCONTROL_INTEREST_CREDITS","FQ4 2019","FQ4 2019","Currency=USD","Period=FQ","BEST_FPERIOD_OVERRIDE=FQ","FILING_STATUS=MR","SCALING_FORMAT=MLN","FA_ADJUSTED=GAAP","Sort=A","Dates=H","DateFormat=P","Fill=—","Direction=H","UseDPDF=Y")</f>
        <v>0</v>
      </c>
      <c r="F43" s="13">
        <f>_xll.BDH("SRPT US Equity","MIN_NONCONTROL_INTEREST_CREDITS","FQ1 2020","FQ1 2020","Currency=USD","Period=FQ","BEST_FPERIOD_OVERRIDE=FQ","FILING_STATUS=MR","SCALING_FORMAT=MLN","FA_ADJUSTED=GAAP","Sort=A","Dates=H","DateFormat=P","Fill=—","Direction=H","UseDPDF=Y")</f>
        <v>0</v>
      </c>
      <c r="G43" s="13">
        <f>_xll.BDH("SRPT US Equity","MIN_NONCONTROL_INTEREST_CREDITS","FQ2 2020","FQ2 2020","Currency=USD","Period=FQ","BEST_FPERIOD_OVERRIDE=FQ","FILING_STATUS=MR","SCALING_FORMAT=MLN","FA_ADJUSTED=GAAP","Sort=A","Dates=H","DateFormat=P","Fill=—","Direction=H","UseDPDF=Y")</f>
        <v>0</v>
      </c>
      <c r="H43" s="13">
        <f>_xll.BDH("SRPT US Equity","MIN_NONCONTROL_INTEREST_CREDITS","FQ3 2020","FQ3 2020","Currency=USD","Period=FQ","BEST_FPERIOD_OVERRIDE=FQ","FILING_STATUS=MR","SCALING_FORMAT=MLN","FA_ADJUSTED=GAAP","Sort=A","Dates=H","DateFormat=P","Fill=—","Direction=H","UseDPDF=Y")</f>
        <v>0</v>
      </c>
      <c r="I43" s="13">
        <f>_xll.BDH("SRPT US Equity","MIN_NONCONTROL_INTEREST_CREDITS","FQ4 2020","FQ4 2020","Currency=USD","Period=FQ","BEST_FPERIOD_OVERRIDE=FQ","FILING_STATUS=MR","SCALING_FORMAT=MLN","FA_ADJUSTED=GAAP","Sort=A","Dates=H","DateFormat=P","Fill=—","Direction=H","UseDPDF=Y")</f>
        <v>0</v>
      </c>
      <c r="J43" s="13">
        <f>_xll.BDH("SRPT US Equity","MIN_NONCONTROL_INTEREST_CREDITS","FQ1 2021","FQ1 2021","Currency=USD","Period=FQ","BEST_FPERIOD_OVERRIDE=FQ","FILING_STATUS=MR","SCALING_FORMAT=MLN","FA_ADJUSTED=GAAP","Sort=A","Dates=H","DateFormat=P","Fill=—","Direction=H","UseDPDF=Y")</f>
        <v>0</v>
      </c>
      <c r="K43" s="13">
        <f>_xll.BDH("SRPT US Equity","MIN_NONCONTROL_INTEREST_CREDITS","FQ2 2021","FQ2 2021","Currency=USD","Period=FQ","BEST_FPERIOD_OVERRIDE=FQ","FILING_STATUS=MR","SCALING_FORMAT=MLN","FA_ADJUSTED=GAAP","Sort=A","Dates=H","DateFormat=P","Fill=—","Direction=H","UseDPDF=Y")</f>
        <v>0</v>
      </c>
      <c r="L43" s="13">
        <f>_xll.BDH("SRPT US Equity","MIN_NONCONTROL_INTEREST_CREDITS","FQ3 2021","FQ3 2021","Currency=USD","Period=FQ","BEST_FPERIOD_OVERRIDE=FQ","FILING_STATUS=MR","SCALING_FORMAT=MLN","FA_ADJUSTED=GAAP","Sort=A","Dates=H","DateFormat=P","Fill=—","Direction=H","UseDPDF=Y")</f>
        <v>0</v>
      </c>
      <c r="M43" s="13">
        <f>_xll.BDH("SRPT US Equity","MIN_NONCONTROL_INTEREST_CREDITS","FQ4 2021","FQ4 2021","Currency=USD","Period=FQ","BEST_FPERIOD_OVERRIDE=FQ","FILING_STATUS=MR","SCALING_FORMAT=MLN","FA_ADJUSTED=GAAP","Sort=A","Dates=H","DateFormat=P","Fill=—","Direction=H","UseDPDF=Y")</f>
        <v>0</v>
      </c>
      <c r="N43" s="13">
        <f>_xll.BDH("SRPT US Equity","MIN_NONCONTROL_INTEREST_CREDITS","FQ1 2022","FQ1 2022","Currency=USD","Period=FQ","BEST_FPERIOD_OVERRIDE=FQ","FILING_STATUS=MR","SCALING_FORMAT=MLN","FA_ADJUSTED=GAAP","Sort=A","Dates=H","DateFormat=P","Fill=—","Direction=H","UseDPDF=Y")</f>
        <v>0</v>
      </c>
      <c r="O43" s="13">
        <f>_xll.BDH("SRPT US Equity","MIN_NONCONTROL_INTEREST_CREDITS","FQ2 2022","FQ2 2022","Currency=USD","Period=FQ","BEST_FPERIOD_OVERRIDE=FQ","FILING_STATUS=MR","SCALING_FORMAT=MLN","FA_ADJUSTED=GAAP","Sort=A","Dates=H","DateFormat=P","Fill=—","Direction=H","UseDPDF=Y")</f>
        <v>0</v>
      </c>
      <c r="P43" s="13">
        <f>_xll.BDH("SRPT US Equity","MIN_NONCONTROL_INTEREST_CREDITS","FQ3 2022","FQ3 2022","Currency=USD","Period=FQ","BEST_FPERIOD_OVERRIDE=FQ","FILING_STATUS=MR","SCALING_FORMAT=MLN","FA_ADJUSTED=GAAP","Sort=A","Dates=H","DateFormat=P","Fill=—","Direction=H","UseDPDF=Y")</f>
        <v>0</v>
      </c>
      <c r="Q43" s="13">
        <f>_xll.BDH("SRPT US Equity","MIN_NONCONTROL_INTEREST_CREDITS","FQ4 2022","FQ4 2022","Currency=USD","Period=FQ","BEST_FPERIOD_OVERRIDE=FQ","FILING_STATUS=MR","SCALING_FORMAT=MLN","FA_ADJUSTED=GAAP","Sort=A","Dates=H","DateFormat=P","Fill=—","Direction=H","UseDPDF=Y")</f>
        <v>0</v>
      </c>
      <c r="R43" s="13">
        <f>_xll.BDH("SRPT US Equity","MIN_NONCONTROL_INTEREST_CREDITS","FQ1 2023","FQ1 2023","Currency=USD","Period=FQ","BEST_FPERIOD_OVERRIDE=FQ","FILING_STATUS=MR","SCALING_FORMAT=MLN","FA_ADJUSTED=GAAP","Sort=A","Dates=H","DateFormat=P","Fill=—","Direction=H","UseDPDF=Y")</f>
        <v>0</v>
      </c>
      <c r="S43" s="13">
        <f>_xll.BDH("SRPT US Equity","MIN_NONCONTROL_INTEREST_CREDITS","FQ2 2023","FQ2 2023","Currency=USD","Period=FQ","BEST_FPERIOD_OVERRIDE=FQ","FILING_STATUS=MR","SCALING_FORMAT=MLN","FA_ADJUSTED=GAAP","Sort=A","Dates=H","DateFormat=P","Fill=—","Direction=H","UseDPDF=Y")</f>
        <v>0</v>
      </c>
      <c r="T43" s="13">
        <f>_xll.BDH("SRPT US Equity","MIN_NONCONTROL_INTEREST_CREDITS","FQ3 2023","FQ3 2023","Currency=USD","Period=FQ","BEST_FPERIOD_OVERRIDE=FQ","FILING_STATUS=MR","SCALING_FORMAT=MLN","FA_ADJUSTED=GAAP","Sort=A","Dates=H","DateFormat=P","Fill=—","Direction=H","UseDPDF=Y")</f>
        <v>0</v>
      </c>
      <c r="U43" s="13">
        <f>_xll.BDH("SRPT US Equity","MIN_NONCONTROL_INTEREST_CREDITS","FQ4 2023","FQ4 2023","Currency=USD","Period=FQ","BEST_FPERIOD_OVERRIDE=FQ","FILING_STATUS=MR","SCALING_FORMAT=MLN","FA_ADJUSTED=GAAP","Sort=A","Dates=H","DateFormat=P","Fill=—","Direction=H","UseDPDF=Y")</f>
        <v>0</v>
      </c>
      <c r="V43" s="13">
        <f>_xll.BDH("SRPT US Equity","MIN_NONCONTROL_INTEREST_CREDITS","FQ1 2024","FQ1 2024","Currency=USD","Period=FQ","BEST_FPERIOD_OVERRIDE=FQ","FILING_STATUS=MR","SCALING_FORMAT=MLN","FA_ADJUSTED=GAAP","Sort=A","Dates=H","DateFormat=P","Fill=—","Direction=H","UseDPDF=Y")</f>
        <v>0</v>
      </c>
      <c r="W43" s="13">
        <f>_xll.BDH("SRPT US Equity","MIN_NONCONTROL_INTEREST_CREDITS","FQ2 2024","FQ2 2024","Currency=USD","Period=FQ","BEST_FPERIOD_OVERRIDE=FQ","FILING_STATUS=MR","SCALING_FORMAT=MLN","FA_ADJUSTED=GAAP","Sort=A","Dates=H","DateFormat=P","Fill=—","Direction=H","UseDPDF=Y")</f>
        <v>0</v>
      </c>
      <c r="X43" s="13">
        <f>_xll.BDH("SRPT US Equity","MIN_NONCONTROL_INTEREST_CREDITS","FQ3 2024","FQ3 2024","Currency=USD","Period=FQ","BEST_FPERIOD_OVERRIDE=FQ","FILING_STATUS=MR","SCALING_FORMAT=MLN","FA_ADJUSTED=GAAP","Sort=A","Dates=H","DateFormat=P","Fill=—","Direction=H","UseDPDF=Y")</f>
        <v>0</v>
      </c>
      <c r="Y43" s="13">
        <f>_xll.BDH("SRPT US Equity","MIN_NONCONTROL_INTEREST_CREDITS","FQ4 2024","FQ4 2024","Currency=USD","Period=FQ","BEST_FPERIOD_OVERRIDE=FQ","FILING_STATUS=MR","SCALING_FORMAT=MLN","FA_ADJUSTED=GAAP","Sort=A","Dates=H","DateFormat=P","Fill=—","Direction=H","UseDPDF=Y")</f>
        <v>0</v>
      </c>
      <c r="Z43" s="13"/>
      <c r="AA43" s="13"/>
    </row>
    <row r="44" spans="1:27" x14ac:dyDescent="0.25">
      <c r="A44" s="6" t="s">
        <v>380</v>
      </c>
      <c r="B44" s="6" t="s">
        <v>381</v>
      </c>
      <c r="C44" s="19">
        <f>_xll.BDH("SRPT US Equity","NET_INCOME","FQ2 2019","FQ2 2019","Currency=USD","Period=FQ","BEST_FPERIOD_OVERRIDE=FQ","FILING_STATUS=MR","SCALING_FORMAT=MLN","FA_ADJUSTED=GAAP","Sort=A","Dates=H","DateFormat=P","Fill=—","Direction=H","UseDPDF=Y")</f>
        <v>-276.40300000000002</v>
      </c>
      <c r="D44" s="19">
        <f>_xll.BDH("SRPT US Equity","NET_INCOME","FQ3 2019","FQ3 2019","Currency=USD","Period=FQ","BEST_FPERIOD_OVERRIDE=FQ","FILING_STATUS=MR","SCALING_FORMAT=MLN","FA_ADJUSTED=GAAP","Sort=A","Dates=H","DateFormat=P","Fill=—","Direction=H","UseDPDF=Y")</f>
        <v>-126.32599999999999</v>
      </c>
      <c r="E44" s="19">
        <f>_xll.BDH("SRPT US Equity","NET_INCOME","FQ4 2019","FQ4 2019","Currency=USD","Period=FQ","BEST_FPERIOD_OVERRIDE=FQ","FILING_STATUS=MR","SCALING_FORMAT=MLN","FA_ADJUSTED=GAAP","Sort=A","Dates=H","DateFormat=P","Fill=—","Direction=H","UseDPDF=Y")</f>
        <v>-235.703</v>
      </c>
      <c r="F44" s="19">
        <f>_xll.BDH("SRPT US Equity","NET_INCOME","FQ1 2020","FQ1 2020","Currency=USD","Period=FQ","BEST_FPERIOD_OVERRIDE=FQ","FILING_STATUS=MR","SCALING_FORMAT=MLN","FA_ADJUSTED=GAAP","Sort=A","Dates=H","DateFormat=P","Fill=—","Direction=H","UseDPDF=Y")</f>
        <v>-17.492000000000001</v>
      </c>
      <c r="G44" s="19">
        <f>_xll.BDH("SRPT US Equity","NET_INCOME","FQ2 2020","FQ2 2020","Currency=USD","Period=FQ","BEST_FPERIOD_OVERRIDE=FQ","FILING_STATUS=MR","SCALING_FORMAT=MLN","FA_ADJUSTED=GAAP","Sort=A","Dates=H","DateFormat=P","Fill=—","Direction=H","UseDPDF=Y")</f>
        <v>-150.82</v>
      </c>
      <c r="H44" s="19">
        <f>_xll.BDH("SRPT US Equity","NET_INCOME","FQ3 2020","FQ3 2020","Currency=USD","Period=FQ","BEST_FPERIOD_OVERRIDE=FQ","FILING_STATUS=MR","SCALING_FORMAT=MLN","FA_ADJUSTED=GAAP","Sort=A","Dates=H","DateFormat=P","Fill=—","Direction=H","UseDPDF=Y")</f>
        <v>-196.499</v>
      </c>
      <c r="I44" s="19">
        <f>_xll.BDH("SRPT US Equity","NET_INCOME","FQ4 2020","FQ4 2020","Currency=USD","Period=FQ","BEST_FPERIOD_OVERRIDE=FQ","FILING_STATUS=MR","SCALING_FORMAT=MLN","FA_ADJUSTED=GAAP","Sort=A","Dates=H","DateFormat=P","Fill=—","Direction=H","UseDPDF=Y")</f>
        <v>-189.31700000000001</v>
      </c>
      <c r="J44" s="19">
        <f>_xll.BDH("SRPT US Equity","NET_INCOME","FQ1 2021","FQ1 2021","Currency=USD","Period=FQ","BEST_FPERIOD_OVERRIDE=FQ","FILING_STATUS=MR","SCALING_FORMAT=MLN","FA_ADJUSTED=GAAP","Sort=A","Dates=H","DateFormat=P","Fill=—","Direction=H","UseDPDF=Y")</f>
        <v>-167.25</v>
      </c>
      <c r="K44" s="19">
        <f>_xll.BDH("SRPT US Equity","NET_INCOME","FQ2 2021","FQ2 2021","Currency=USD","Period=FQ","BEST_FPERIOD_OVERRIDE=FQ","FILING_STATUS=MR","SCALING_FORMAT=MLN","FA_ADJUSTED=GAAP","Sort=A","Dates=H","DateFormat=P","Fill=—","Direction=H","UseDPDF=Y")</f>
        <v>-81.405000000000001</v>
      </c>
      <c r="L44" s="19">
        <f>_xll.BDH("SRPT US Equity","NET_INCOME","FQ3 2021","FQ3 2021","Currency=USD","Period=FQ","BEST_FPERIOD_OVERRIDE=FQ","FILING_STATUS=MR","SCALING_FORMAT=MLN","FA_ADJUSTED=GAAP","Sort=A","Dates=H","DateFormat=P","Fill=—","Direction=H","UseDPDF=Y")</f>
        <v>-48.143999999999998</v>
      </c>
      <c r="M44" s="19">
        <f>_xll.BDH("SRPT US Equity","NET_INCOME","FQ4 2021","FQ4 2021","Currency=USD","Period=FQ","BEST_FPERIOD_OVERRIDE=FQ","FILING_STATUS=MR","SCALING_FORMAT=MLN","FA_ADJUSTED=GAAP","Sort=A","Dates=H","DateFormat=P","Fill=—","Direction=H","UseDPDF=Y")</f>
        <v>-121.98099999999999</v>
      </c>
      <c r="N44" s="19">
        <f>_xll.BDH("SRPT US Equity","NET_INCOME","FQ1 2022","FQ1 2022","Currency=USD","Period=FQ","BEST_FPERIOD_OVERRIDE=FQ","FILING_STATUS=MR","SCALING_FORMAT=MLN","FA_ADJUSTED=GAAP","Sort=A","Dates=H","DateFormat=P","Fill=—","Direction=H","UseDPDF=Y")</f>
        <v>-105.02500000000001</v>
      </c>
      <c r="O44" s="19">
        <f>_xll.BDH("SRPT US Equity","NET_INCOME","FQ2 2022","FQ2 2022","Currency=USD","Period=FQ","BEST_FPERIOD_OVERRIDE=FQ","FILING_STATUS=MR","SCALING_FORMAT=MLN","FA_ADJUSTED=GAAP","Sort=A","Dates=H","DateFormat=P","Fill=—","Direction=H","UseDPDF=Y")</f>
        <v>-231.48099999999999</v>
      </c>
      <c r="P44" s="19">
        <f>_xll.BDH("SRPT US Equity","NET_INCOME","FQ3 2022","FQ3 2022","Currency=USD","Period=FQ","BEST_FPERIOD_OVERRIDE=FQ","FILING_STATUS=MR","SCALING_FORMAT=MLN","FA_ADJUSTED=GAAP","Sort=A","Dates=H","DateFormat=P","Fill=—","Direction=H","UseDPDF=Y")</f>
        <v>-257.738</v>
      </c>
      <c r="Q44" s="19">
        <f>_xll.BDH("SRPT US Equity","NET_INCOME","FQ4 2022","FQ4 2022","Currency=USD","Period=FQ","BEST_FPERIOD_OVERRIDE=FQ","FILING_STATUS=MR","SCALING_FORMAT=MLN","FA_ADJUSTED=GAAP","Sort=A","Dates=H","DateFormat=P","Fill=—","Direction=H","UseDPDF=Y")</f>
        <v>-109.244</v>
      </c>
      <c r="R44" s="19">
        <f>_xll.BDH("SRPT US Equity","NET_INCOME","FQ1 2023","FQ1 2023","Currency=USD","Period=FQ","BEST_FPERIOD_OVERRIDE=FQ","FILING_STATUS=MR","SCALING_FORMAT=MLN","FA_ADJUSTED=GAAP","Sort=A","Dates=H","DateFormat=P","Fill=—","Direction=H","UseDPDF=Y")</f>
        <v>-516.755</v>
      </c>
      <c r="S44" s="19">
        <f>_xll.BDH("SRPT US Equity","NET_INCOME","FQ2 2023","FQ2 2023","Currency=USD","Period=FQ","BEST_FPERIOD_OVERRIDE=FQ","FILING_STATUS=MR","SCALING_FORMAT=MLN","FA_ADJUSTED=GAAP","Sort=A","Dates=H","DateFormat=P","Fill=—","Direction=H","UseDPDF=Y")</f>
        <v>-23.94</v>
      </c>
      <c r="T44" s="19">
        <f>_xll.BDH("SRPT US Equity","NET_INCOME","FQ3 2023","FQ3 2023","Currency=USD","Period=FQ","BEST_FPERIOD_OVERRIDE=FQ","FILING_STATUS=MR","SCALING_FORMAT=MLN","FA_ADJUSTED=GAAP","Sort=A","Dates=H","DateFormat=P","Fill=—","Direction=H","UseDPDF=Y")</f>
        <v>-40.936999999999998</v>
      </c>
      <c r="U44" s="19">
        <f>_xll.BDH("SRPT US Equity","NET_INCOME","FQ4 2023","FQ4 2023","Currency=USD","Period=FQ","BEST_FPERIOD_OVERRIDE=FQ","FILING_STATUS=MR","SCALING_FORMAT=MLN","FA_ADJUSTED=GAAP","Sort=A","Dates=H","DateFormat=P","Fill=—","Direction=H","UseDPDF=Y")</f>
        <v>45.655000000000001</v>
      </c>
      <c r="V44" s="19">
        <f>_xll.BDH("SRPT US Equity","NET_INCOME","FQ1 2024","FQ1 2024","Currency=USD","Period=FQ","BEST_FPERIOD_OVERRIDE=FQ","FILING_STATUS=MR","SCALING_FORMAT=MLN","FA_ADJUSTED=GAAP","Sort=A","Dates=H","DateFormat=P","Fill=—","Direction=H","UseDPDF=Y")</f>
        <v>36.119</v>
      </c>
      <c r="W44" s="19">
        <f>_xll.BDH("SRPT US Equity","NET_INCOME","FQ2 2024","FQ2 2024","Currency=USD","Period=FQ","BEST_FPERIOD_OVERRIDE=FQ","FILING_STATUS=MR","SCALING_FORMAT=MLN","FA_ADJUSTED=GAAP","Sort=A","Dates=H","DateFormat=P","Fill=—","Direction=H","UseDPDF=Y")</f>
        <v>6.46</v>
      </c>
      <c r="X44" s="19">
        <f>_xll.BDH("SRPT US Equity","NET_INCOME","FQ3 2024","FQ3 2024","Currency=USD","Period=FQ","BEST_FPERIOD_OVERRIDE=FQ","FILING_STATUS=MR","SCALING_FORMAT=MLN","FA_ADJUSTED=GAAP","Sort=A","Dates=H","DateFormat=P","Fill=—","Direction=H","UseDPDF=Y")</f>
        <v>33.610999999999997</v>
      </c>
      <c r="Y44" s="19">
        <f>_xll.BDH("SRPT US Equity","NET_INCOME","FQ4 2024","FQ4 2024","Currency=USD","Period=FQ","BEST_FPERIOD_OVERRIDE=FQ","FILING_STATUS=MR","SCALING_FORMAT=MLN","FA_ADJUSTED=GAAP","Sort=A","Dates=H","DateFormat=P","Fill=—","Direction=H","UseDPDF=Y")</f>
        <v>159.04900000000001</v>
      </c>
      <c r="Z44" s="19">
        <v>107.06699999999999</v>
      </c>
      <c r="AA44" s="19">
        <v>262.16699999999997</v>
      </c>
    </row>
    <row r="45" spans="1:27" x14ac:dyDescent="0.25">
      <c r="A45" s="10" t="s">
        <v>382</v>
      </c>
      <c r="B45" s="10" t="s">
        <v>383</v>
      </c>
      <c r="C45" s="13">
        <f>_xll.BDH("SRPT US Equity","IS_TOT_CASH_PFD_DVD","FQ2 2019","FQ2 2019","Currency=USD","Period=FQ","BEST_FPERIOD_OVERRIDE=FQ","FILING_STATUS=MR","SCALING_FORMAT=MLN","Sort=A","Dates=H","DateFormat=P","Fill=—","Direction=H","UseDPDF=Y")</f>
        <v>0</v>
      </c>
      <c r="D45" s="13">
        <f>_xll.BDH("SRPT US Equity","IS_TOT_CASH_PFD_DVD","FQ3 2019","FQ3 2019","Currency=USD","Period=FQ","BEST_FPERIOD_OVERRIDE=FQ","FILING_STATUS=MR","SCALING_FORMAT=MLN","Sort=A","Dates=H","DateFormat=P","Fill=—","Direction=H","UseDPDF=Y")</f>
        <v>0</v>
      </c>
      <c r="E45" s="13">
        <f>_xll.BDH("SRPT US Equity","IS_TOT_CASH_PFD_DVD","FQ4 2019","FQ4 2019","Currency=USD","Period=FQ","BEST_FPERIOD_OVERRIDE=FQ","FILING_STATUS=MR","SCALING_FORMAT=MLN","Sort=A","Dates=H","DateFormat=P","Fill=—","Direction=H","UseDPDF=Y")</f>
        <v>0</v>
      </c>
      <c r="F45" s="13">
        <f>_xll.BDH("SRPT US Equity","IS_TOT_CASH_PFD_DVD","FQ1 2020","FQ1 2020","Currency=USD","Period=FQ","BEST_FPERIOD_OVERRIDE=FQ","FILING_STATUS=MR","SCALING_FORMAT=MLN","Sort=A","Dates=H","DateFormat=P","Fill=—","Direction=H","UseDPDF=Y")</f>
        <v>0</v>
      </c>
      <c r="G45" s="13">
        <f>_xll.BDH("SRPT US Equity","IS_TOT_CASH_PFD_DVD","FQ2 2020","FQ2 2020","Currency=USD","Period=FQ","BEST_FPERIOD_OVERRIDE=FQ","FILING_STATUS=MR","SCALING_FORMAT=MLN","Sort=A","Dates=H","DateFormat=P","Fill=—","Direction=H","UseDPDF=Y")</f>
        <v>0</v>
      </c>
      <c r="H45" s="13">
        <f>_xll.BDH("SRPT US Equity","IS_TOT_CASH_PFD_DVD","FQ3 2020","FQ3 2020","Currency=USD","Period=FQ","BEST_FPERIOD_OVERRIDE=FQ","FILING_STATUS=MR","SCALING_FORMAT=MLN","Sort=A","Dates=H","DateFormat=P","Fill=—","Direction=H","UseDPDF=Y")</f>
        <v>0</v>
      </c>
      <c r="I45" s="13">
        <f>_xll.BDH("SRPT US Equity","IS_TOT_CASH_PFD_DVD","FQ4 2020","FQ4 2020","Currency=USD","Period=FQ","BEST_FPERIOD_OVERRIDE=FQ","FILING_STATUS=MR","SCALING_FORMAT=MLN","Sort=A","Dates=H","DateFormat=P","Fill=—","Direction=H","UseDPDF=Y")</f>
        <v>0</v>
      </c>
      <c r="J45" s="13">
        <f>_xll.BDH("SRPT US Equity","IS_TOT_CASH_PFD_DVD","FQ1 2021","FQ1 2021","Currency=USD","Period=FQ","BEST_FPERIOD_OVERRIDE=FQ","FILING_STATUS=MR","SCALING_FORMAT=MLN","Sort=A","Dates=H","DateFormat=P","Fill=—","Direction=H","UseDPDF=Y")</f>
        <v>0</v>
      </c>
      <c r="K45" s="13">
        <f>_xll.BDH("SRPT US Equity","IS_TOT_CASH_PFD_DVD","FQ2 2021","FQ2 2021","Currency=USD","Period=FQ","BEST_FPERIOD_OVERRIDE=FQ","FILING_STATUS=MR","SCALING_FORMAT=MLN","Sort=A","Dates=H","DateFormat=P","Fill=—","Direction=H","UseDPDF=Y")</f>
        <v>0</v>
      </c>
      <c r="L45" s="13">
        <f>_xll.BDH("SRPT US Equity","IS_TOT_CASH_PFD_DVD","FQ3 2021","FQ3 2021","Currency=USD","Period=FQ","BEST_FPERIOD_OVERRIDE=FQ","FILING_STATUS=MR","SCALING_FORMAT=MLN","Sort=A","Dates=H","DateFormat=P","Fill=—","Direction=H","UseDPDF=Y")</f>
        <v>0</v>
      </c>
      <c r="M45" s="13">
        <f>_xll.BDH("SRPT US Equity","IS_TOT_CASH_PFD_DVD","FQ4 2021","FQ4 2021","Currency=USD","Period=FQ","BEST_FPERIOD_OVERRIDE=FQ","FILING_STATUS=MR","SCALING_FORMAT=MLN","Sort=A","Dates=H","DateFormat=P","Fill=—","Direction=H","UseDPDF=Y")</f>
        <v>0</v>
      </c>
      <c r="N45" s="13">
        <f>_xll.BDH("SRPT US Equity","IS_TOT_CASH_PFD_DVD","FQ1 2022","FQ1 2022","Currency=USD","Period=FQ","BEST_FPERIOD_OVERRIDE=FQ","FILING_STATUS=MR","SCALING_FORMAT=MLN","Sort=A","Dates=H","DateFormat=P","Fill=—","Direction=H","UseDPDF=Y")</f>
        <v>0</v>
      </c>
      <c r="O45" s="13">
        <f>_xll.BDH("SRPT US Equity","IS_TOT_CASH_PFD_DVD","FQ2 2022","FQ2 2022","Currency=USD","Period=FQ","BEST_FPERIOD_OVERRIDE=FQ","FILING_STATUS=MR","SCALING_FORMAT=MLN","Sort=A","Dates=H","DateFormat=P","Fill=—","Direction=H","UseDPDF=Y")</f>
        <v>0</v>
      </c>
      <c r="P45" s="13">
        <f>_xll.BDH("SRPT US Equity","IS_TOT_CASH_PFD_DVD","FQ3 2022","FQ3 2022","Currency=USD","Period=FQ","BEST_FPERIOD_OVERRIDE=FQ","FILING_STATUS=MR","SCALING_FORMAT=MLN","Sort=A","Dates=H","DateFormat=P","Fill=—","Direction=H","UseDPDF=Y")</f>
        <v>0</v>
      </c>
      <c r="Q45" s="13">
        <f>_xll.BDH("SRPT US Equity","IS_TOT_CASH_PFD_DVD","FQ4 2022","FQ4 2022","Currency=USD","Period=FQ","BEST_FPERIOD_OVERRIDE=FQ","FILING_STATUS=MR","SCALING_FORMAT=MLN","Sort=A","Dates=H","DateFormat=P","Fill=—","Direction=H","UseDPDF=Y")</f>
        <v>0</v>
      </c>
      <c r="R45" s="13">
        <f>_xll.BDH("SRPT US Equity","IS_TOT_CASH_PFD_DVD","FQ1 2023","FQ1 2023","Currency=USD","Period=FQ","BEST_FPERIOD_OVERRIDE=FQ","FILING_STATUS=MR","SCALING_FORMAT=MLN","Sort=A","Dates=H","DateFormat=P","Fill=—","Direction=H","UseDPDF=Y")</f>
        <v>0</v>
      </c>
      <c r="S45" s="13">
        <f>_xll.BDH("SRPT US Equity","IS_TOT_CASH_PFD_DVD","FQ2 2023","FQ2 2023","Currency=USD","Period=FQ","BEST_FPERIOD_OVERRIDE=FQ","FILING_STATUS=MR","SCALING_FORMAT=MLN","Sort=A","Dates=H","DateFormat=P","Fill=—","Direction=H","UseDPDF=Y")</f>
        <v>0</v>
      </c>
      <c r="T45" s="13">
        <f>_xll.BDH("SRPT US Equity","IS_TOT_CASH_PFD_DVD","FQ3 2023","FQ3 2023","Currency=USD","Period=FQ","BEST_FPERIOD_OVERRIDE=FQ","FILING_STATUS=MR","SCALING_FORMAT=MLN","Sort=A","Dates=H","DateFormat=P","Fill=—","Direction=H","UseDPDF=Y")</f>
        <v>0</v>
      </c>
      <c r="U45" s="13">
        <f>_xll.BDH("SRPT US Equity","IS_TOT_CASH_PFD_DVD","FQ4 2023","FQ4 2023","Currency=USD","Period=FQ","BEST_FPERIOD_OVERRIDE=FQ","FILING_STATUS=MR","SCALING_FORMAT=MLN","Sort=A","Dates=H","DateFormat=P","Fill=—","Direction=H","UseDPDF=Y")</f>
        <v>0</v>
      </c>
      <c r="V45" s="13">
        <f>_xll.BDH("SRPT US Equity","IS_TOT_CASH_PFD_DVD","FQ1 2024","FQ1 2024","Currency=USD","Period=FQ","BEST_FPERIOD_OVERRIDE=FQ","FILING_STATUS=MR","SCALING_FORMAT=MLN","Sort=A","Dates=H","DateFormat=P","Fill=—","Direction=H","UseDPDF=Y")</f>
        <v>0</v>
      </c>
      <c r="W45" s="13">
        <f>_xll.BDH("SRPT US Equity","IS_TOT_CASH_PFD_DVD","FQ2 2024","FQ2 2024","Currency=USD","Period=FQ","BEST_FPERIOD_OVERRIDE=FQ","FILING_STATUS=MR","SCALING_FORMAT=MLN","Sort=A","Dates=H","DateFormat=P","Fill=—","Direction=H","UseDPDF=Y")</f>
        <v>0</v>
      </c>
      <c r="X45" s="13">
        <f>_xll.BDH("SRPT US Equity","IS_TOT_CASH_PFD_DVD","FQ3 2024","FQ3 2024","Currency=USD","Period=FQ","BEST_FPERIOD_OVERRIDE=FQ","FILING_STATUS=MR","SCALING_FORMAT=MLN","Sort=A","Dates=H","DateFormat=P","Fill=—","Direction=H","UseDPDF=Y")</f>
        <v>0</v>
      </c>
      <c r="Y45" s="13">
        <f>_xll.BDH("SRPT US Equity","IS_TOT_CASH_PFD_DVD","FQ4 2024","FQ4 2024","Currency=USD","Period=FQ","BEST_FPERIOD_OVERRIDE=FQ","FILING_STATUS=MR","SCALING_FORMAT=MLN","Sort=A","Dates=H","DateFormat=P","Fill=—","Direction=H","UseDPDF=Y")</f>
        <v>0</v>
      </c>
      <c r="Z45" s="13"/>
      <c r="AA45" s="13"/>
    </row>
    <row r="46" spans="1:27" x14ac:dyDescent="0.25">
      <c r="A46" s="10" t="s">
        <v>384</v>
      </c>
      <c r="B46" s="10" t="s">
        <v>385</v>
      </c>
      <c r="C46" s="13">
        <f>_xll.BDH("SRPT US Equity","OTHER_ADJUSTMENTS","FQ2 2019","FQ2 2019","Currency=USD","Period=FQ","BEST_FPERIOD_OVERRIDE=FQ","FILING_STATUS=MR","SCALING_FORMAT=MLN","Sort=A","Dates=H","DateFormat=P","Fill=—","Direction=H","UseDPDF=Y")</f>
        <v>0</v>
      </c>
      <c r="D46" s="13">
        <f>_xll.BDH("SRPT US Equity","OTHER_ADJUSTMENTS","FQ3 2019","FQ3 2019","Currency=USD","Period=FQ","BEST_FPERIOD_OVERRIDE=FQ","FILING_STATUS=MR","SCALING_FORMAT=MLN","Sort=A","Dates=H","DateFormat=P","Fill=—","Direction=H","UseDPDF=Y")</f>
        <v>0</v>
      </c>
      <c r="E46" s="13">
        <f>_xll.BDH("SRPT US Equity","OTHER_ADJUSTMENTS","FQ4 2019","FQ4 2019","Currency=USD","Period=FQ","BEST_FPERIOD_OVERRIDE=FQ","FILING_STATUS=MR","SCALING_FORMAT=MLN","Sort=A","Dates=H","DateFormat=P","Fill=—","Direction=H","UseDPDF=Y")</f>
        <v>0</v>
      </c>
      <c r="F46" s="13">
        <f>_xll.BDH("SRPT US Equity","OTHER_ADJUSTMENTS","FQ1 2020","FQ1 2020","Currency=USD","Period=FQ","BEST_FPERIOD_OVERRIDE=FQ","FILING_STATUS=MR","SCALING_FORMAT=MLN","Sort=A","Dates=H","DateFormat=P","Fill=—","Direction=H","UseDPDF=Y")</f>
        <v>0</v>
      </c>
      <c r="G46" s="13">
        <f>_xll.BDH("SRPT US Equity","OTHER_ADJUSTMENTS","FQ2 2020","FQ2 2020","Currency=USD","Period=FQ","BEST_FPERIOD_OVERRIDE=FQ","FILING_STATUS=MR","SCALING_FORMAT=MLN","Sort=A","Dates=H","DateFormat=P","Fill=—","Direction=H","UseDPDF=Y")</f>
        <v>0</v>
      </c>
      <c r="H46" s="13">
        <f>_xll.BDH("SRPT US Equity","OTHER_ADJUSTMENTS","FQ3 2020","FQ3 2020","Currency=USD","Period=FQ","BEST_FPERIOD_OVERRIDE=FQ","FILING_STATUS=MR","SCALING_FORMAT=MLN","Sort=A","Dates=H","DateFormat=P","Fill=—","Direction=H","UseDPDF=Y")</f>
        <v>0</v>
      </c>
      <c r="I46" s="13">
        <f>_xll.BDH("SRPT US Equity","OTHER_ADJUSTMENTS","FQ4 2020","FQ4 2020","Currency=USD","Period=FQ","BEST_FPERIOD_OVERRIDE=FQ","FILING_STATUS=MR","SCALING_FORMAT=MLN","Sort=A","Dates=H","DateFormat=P","Fill=—","Direction=H","UseDPDF=Y")</f>
        <v>0</v>
      </c>
      <c r="J46" s="13">
        <f>_xll.BDH("SRPT US Equity","OTHER_ADJUSTMENTS","FQ1 2021","FQ1 2021","Currency=USD","Period=FQ","BEST_FPERIOD_OVERRIDE=FQ","FILING_STATUS=MR","SCALING_FORMAT=MLN","Sort=A","Dates=H","DateFormat=P","Fill=—","Direction=H","UseDPDF=Y")</f>
        <v>0</v>
      </c>
      <c r="K46" s="13">
        <f>_xll.BDH("SRPT US Equity","OTHER_ADJUSTMENTS","FQ2 2021","FQ2 2021","Currency=USD","Period=FQ","BEST_FPERIOD_OVERRIDE=FQ","FILING_STATUS=MR","SCALING_FORMAT=MLN","Sort=A","Dates=H","DateFormat=P","Fill=—","Direction=H","UseDPDF=Y")</f>
        <v>0</v>
      </c>
      <c r="L46" s="13">
        <f>_xll.BDH("SRPT US Equity","OTHER_ADJUSTMENTS","FQ3 2021","FQ3 2021","Currency=USD","Period=FQ","BEST_FPERIOD_OVERRIDE=FQ","FILING_STATUS=MR","SCALING_FORMAT=MLN","Sort=A","Dates=H","DateFormat=P","Fill=—","Direction=H","UseDPDF=Y")</f>
        <v>0</v>
      </c>
      <c r="M46" s="13">
        <f>_xll.BDH("SRPT US Equity","OTHER_ADJUSTMENTS","FQ4 2021","FQ4 2021","Currency=USD","Period=FQ","BEST_FPERIOD_OVERRIDE=FQ","FILING_STATUS=MR","SCALING_FORMAT=MLN","Sort=A","Dates=H","DateFormat=P","Fill=—","Direction=H","UseDPDF=Y")</f>
        <v>0</v>
      </c>
      <c r="N46" s="13">
        <f>_xll.BDH("SRPT US Equity","OTHER_ADJUSTMENTS","FQ1 2022","FQ1 2022","Currency=USD","Period=FQ","BEST_FPERIOD_OVERRIDE=FQ","FILING_STATUS=MR","SCALING_FORMAT=MLN","Sort=A","Dates=H","DateFormat=P","Fill=—","Direction=H","UseDPDF=Y")</f>
        <v>0</v>
      </c>
      <c r="O46" s="13">
        <f>_xll.BDH("SRPT US Equity","OTHER_ADJUSTMENTS","FQ2 2022","FQ2 2022","Currency=USD","Period=FQ","BEST_FPERIOD_OVERRIDE=FQ","FILING_STATUS=MR","SCALING_FORMAT=MLN","Sort=A","Dates=H","DateFormat=P","Fill=—","Direction=H","UseDPDF=Y")</f>
        <v>0</v>
      </c>
      <c r="P46" s="13">
        <f>_xll.BDH("SRPT US Equity","OTHER_ADJUSTMENTS","FQ3 2022","FQ3 2022","Currency=USD","Period=FQ","BEST_FPERIOD_OVERRIDE=FQ","FILING_STATUS=MR","SCALING_FORMAT=MLN","Sort=A","Dates=H","DateFormat=P","Fill=—","Direction=H","UseDPDF=Y")</f>
        <v>0</v>
      </c>
      <c r="Q46" s="13">
        <f>_xll.BDH("SRPT US Equity","OTHER_ADJUSTMENTS","FQ4 2022","FQ4 2022","Currency=USD","Period=FQ","BEST_FPERIOD_OVERRIDE=FQ","FILING_STATUS=MR","SCALING_FORMAT=MLN","Sort=A","Dates=H","DateFormat=P","Fill=—","Direction=H","UseDPDF=Y")</f>
        <v>0</v>
      </c>
      <c r="R46" s="13">
        <f>_xll.BDH("SRPT US Equity","OTHER_ADJUSTMENTS","FQ1 2023","FQ1 2023","Currency=USD","Period=FQ","BEST_FPERIOD_OVERRIDE=FQ","FILING_STATUS=MR","SCALING_FORMAT=MLN","Sort=A","Dates=H","DateFormat=P","Fill=—","Direction=H","UseDPDF=Y")</f>
        <v>0</v>
      </c>
      <c r="S46" s="13">
        <f>_xll.BDH("SRPT US Equity","OTHER_ADJUSTMENTS","FQ2 2023","FQ2 2023","Currency=USD","Period=FQ","BEST_FPERIOD_OVERRIDE=FQ","FILING_STATUS=MR","SCALING_FORMAT=MLN","Sort=A","Dates=H","DateFormat=P","Fill=—","Direction=H","UseDPDF=Y")</f>
        <v>0</v>
      </c>
      <c r="T46" s="13">
        <f>_xll.BDH("SRPT US Equity","OTHER_ADJUSTMENTS","FQ3 2023","FQ3 2023","Currency=USD","Period=FQ","BEST_FPERIOD_OVERRIDE=FQ","FILING_STATUS=MR","SCALING_FORMAT=MLN","Sort=A","Dates=H","DateFormat=P","Fill=—","Direction=H","UseDPDF=Y")</f>
        <v>0</v>
      </c>
      <c r="U46" s="13">
        <f>_xll.BDH("SRPT US Equity","OTHER_ADJUSTMENTS","FQ4 2023","FQ4 2023","Currency=USD","Period=FQ","BEST_FPERIOD_OVERRIDE=FQ","FILING_STATUS=MR","SCALING_FORMAT=MLN","Sort=A","Dates=H","DateFormat=P","Fill=—","Direction=H","UseDPDF=Y")</f>
        <v>0</v>
      </c>
      <c r="V46" s="13">
        <f>_xll.BDH("SRPT US Equity","OTHER_ADJUSTMENTS","FQ1 2024","FQ1 2024","Currency=USD","Period=FQ","BEST_FPERIOD_OVERRIDE=FQ","FILING_STATUS=MR","SCALING_FORMAT=MLN","Sort=A","Dates=H","DateFormat=P","Fill=—","Direction=H","UseDPDF=Y")</f>
        <v>0</v>
      </c>
      <c r="W46" s="13">
        <f>_xll.BDH("SRPT US Equity","OTHER_ADJUSTMENTS","FQ2 2024","FQ2 2024","Currency=USD","Period=FQ","BEST_FPERIOD_OVERRIDE=FQ","FILING_STATUS=MR","SCALING_FORMAT=MLN","Sort=A","Dates=H","DateFormat=P","Fill=—","Direction=H","UseDPDF=Y")</f>
        <v>0</v>
      </c>
      <c r="X46" s="13">
        <f>_xll.BDH("SRPT US Equity","OTHER_ADJUSTMENTS","FQ3 2024","FQ3 2024","Currency=USD","Period=FQ","BEST_FPERIOD_OVERRIDE=FQ","FILING_STATUS=MR","SCALING_FORMAT=MLN","Sort=A","Dates=H","DateFormat=P","Fill=—","Direction=H","UseDPDF=Y")</f>
        <v>0</v>
      </c>
      <c r="Y46" s="13">
        <f>_xll.BDH("SRPT US Equity","OTHER_ADJUSTMENTS","FQ4 2024","FQ4 2024","Currency=USD","Period=FQ","BEST_FPERIOD_OVERRIDE=FQ","FILING_STATUS=MR","SCALING_FORMAT=MLN","Sort=A","Dates=H","DateFormat=P","Fill=—","Direction=H","UseDPDF=Y")</f>
        <v>0</v>
      </c>
      <c r="Z46" s="13"/>
      <c r="AA46" s="13"/>
    </row>
    <row r="47" spans="1:27" x14ac:dyDescent="0.25">
      <c r="A47" s="6" t="s">
        <v>386</v>
      </c>
      <c r="B47" s="6" t="s">
        <v>80</v>
      </c>
      <c r="C47" s="19">
        <f>_xll.BDH("SRPT US Equity","EARN_FOR_COMMON","FQ2 2019","FQ2 2019","Currency=USD","Period=FQ","BEST_FPERIOD_OVERRIDE=FQ","FILING_STATUS=MR","SCALING_FORMAT=MLN","FA_ADJUSTED=GAAP","Sort=A","Dates=H","DateFormat=P","Fill=—","Direction=H","UseDPDF=Y")</f>
        <v>-276.40300000000002</v>
      </c>
      <c r="D47" s="19">
        <f>_xll.BDH("SRPT US Equity","EARN_FOR_COMMON","FQ3 2019","FQ3 2019","Currency=USD","Period=FQ","BEST_FPERIOD_OVERRIDE=FQ","FILING_STATUS=MR","SCALING_FORMAT=MLN","FA_ADJUSTED=GAAP","Sort=A","Dates=H","DateFormat=P","Fill=—","Direction=H","UseDPDF=Y")</f>
        <v>-126.32599999999999</v>
      </c>
      <c r="E47" s="19">
        <f>_xll.BDH("SRPT US Equity","EARN_FOR_COMMON","FQ4 2019","FQ4 2019","Currency=USD","Period=FQ","BEST_FPERIOD_OVERRIDE=FQ","FILING_STATUS=MR","SCALING_FORMAT=MLN","FA_ADJUSTED=GAAP","Sort=A","Dates=H","DateFormat=P","Fill=—","Direction=H","UseDPDF=Y")</f>
        <v>-235.703</v>
      </c>
      <c r="F47" s="19">
        <f>_xll.BDH("SRPT US Equity","EARN_FOR_COMMON","FQ1 2020","FQ1 2020","Currency=USD","Period=FQ","BEST_FPERIOD_OVERRIDE=FQ","FILING_STATUS=MR","SCALING_FORMAT=MLN","FA_ADJUSTED=GAAP","Sort=A","Dates=H","DateFormat=P","Fill=—","Direction=H","UseDPDF=Y")</f>
        <v>-17.492000000000001</v>
      </c>
      <c r="G47" s="19">
        <f>_xll.BDH("SRPT US Equity","EARN_FOR_COMMON","FQ2 2020","FQ2 2020","Currency=USD","Period=FQ","BEST_FPERIOD_OVERRIDE=FQ","FILING_STATUS=MR","SCALING_FORMAT=MLN","FA_ADJUSTED=GAAP","Sort=A","Dates=H","DateFormat=P","Fill=—","Direction=H","UseDPDF=Y")</f>
        <v>-150.82</v>
      </c>
      <c r="H47" s="19">
        <f>_xll.BDH("SRPT US Equity","EARN_FOR_COMMON","FQ3 2020","FQ3 2020","Currency=USD","Period=FQ","BEST_FPERIOD_OVERRIDE=FQ","FILING_STATUS=MR","SCALING_FORMAT=MLN","FA_ADJUSTED=GAAP","Sort=A","Dates=H","DateFormat=P","Fill=—","Direction=H","UseDPDF=Y")</f>
        <v>-196.499</v>
      </c>
      <c r="I47" s="19">
        <f>_xll.BDH("SRPT US Equity","EARN_FOR_COMMON","FQ4 2020","FQ4 2020","Currency=USD","Period=FQ","BEST_FPERIOD_OVERRIDE=FQ","FILING_STATUS=MR","SCALING_FORMAT=MLN","FA_ADJUSTED=GAAP","Sort=A","Dates=H","DateFormat=P","Fill=—","Direction=H","UseDPDF=Y")</f>
        <v>-189.31700000000001</v>
      </c>
      <c r="J47" s="19">
        <f>_xll.BDH("SRPT US Equity","EARN_FOR_COMMON","FQ1 2021","FQ1 2021","Currency=USD","Period=FQ","BEST_FPERIOD_OVERRIDE=FQ","FILING_STATUS=MR","SCALING_FORMAT=MLN","FA_ADJUSTED=GAAP","Sort=A","Dates=H","DateFormat=P","Fill=—","Direction=H","UseDPDF=Y")</f>
        <v>-167.25</v>
      </c>
      <c r="K47" s="19">
        <f>_xll.BDH("SRPT US Equity","EARN_FOR_COMMON","FQ2 2021","FQ2 2021","Currency=USD","Period=FQ","BEST_FPERIOD_OVERRIDE=FQ","FILING_STATUS=MR","SCALING_FORMAT=MLN","FA_ADJUSTED=GAAP","Sort=A","Dates=H","DateFormat=P","Fill=—","Direction=H","UseDPDF=Y")</f>
        <v>-81.405000000000001</v>
      </c>
      <c r="L47" s="19">
        <f>_xll.BDH("SRPT US Equity","EARN_FOR_COMMON","FQ3 2021","FQ3 2021","Currency=USD","Period=FQ","BEST_FPERIOD_OVERRIDE=FQ","FILING_STATUS=MR","SCALING_FORMAT=MLN","FA_ADJUSTED=GAAP","Sort=A","Dates=H","DateFormat=P","Fill=—","Direction=H","UseDPDF=Y")</f>
        <v>-48.143999999999998</v>
      </c>
      <c r="M47" s="19">
        <f>_xll.BDH("SRPT US Equity","EARN_FOR_COMMON","FQ4 2021","FQ4 2021","Currency=USD","Period=FQ","BEST_FPERIOD_OVERRIDE=FQ","FILING_STATUS=MR","SCALING_FORMAT=MLN","FA_ADJUSTED=GAAP","Sort=A","Dates=H","DateFormat=P","Fill=—","Direction=H","UseDPDF=Y")</f>
        <v>-121.98099999999999</v>
      </c>
      <c r="N47" s="19">
        <f>_xll.BDH("SRPT US Equity","EARN_FOR_COMMON","FQ1 2022","FQ1 2022","Currency=USD","Period=FQ","BEST_FPERIOD_OVERRIDE=FQ","FILING_STATUS=MR","SCALING_FORMAT=MLN","FA_ADJUSTED=GAAP","Sort=A","Dates=H","DateFormat=P","Fill=—","Direction=H","UseDPDF=Y")</f>
        <v>-105.02500000000001</v>
      </c>
      <c r="O47" s="19">
        <f>_xll.BDH("SRPT US Equity","EARN_FOR_COMMON","FQ2 2022","FQ2 2022","Currency=USD","Period=FQ","BEST_FPERIOD_OVERRIDE=FQ","FILING_STATUS=MR","SCALING_FORMAT=MLN","FA_ADJUSTED=GAAP","Sort=A","Dates=H","DateFormat=P","Fill=—","Direction=H","UseDPDF=Y")</f>
        <v>-231.48099999999999</v>
      </c>
      <c r="P47" s="19">
        <f>_xll.BDH("SRPT US Equity","EARN_FOR_COMMON","FQ3 2022","FQ3 2022","Currency=USD","Period=FQ","BEST_FPERIOD_OVERRIDE=FQ","FILING_STATUS=MR","SCALING_FORMAT=MLN","FA_ADJUSTED=GAAP","Sort=A","Dates=H","DateFormat=P","Fill=—","Direction=H","UseDPDF=Y")</f>
        <v>-257.738</v>
      </c>
      <c r="Q47" s="19">
        <f>_xll.BDH("SRPT US Equity","EARN_FOR_COMMON","FQ4 2022","FQ4 2022","Currency=USD","Period=FQ","BEST_FPERIOD_OVERRIDE=FQ","FILING_STATUS=MR","SCALING_FORMAT=MLN","FA_ADJUSTED=GAAP","Sort=A","Dates=H","DateFormat=P","Fill=—","Direction=H","UseDPDF=Y")</f>
        <v>-109.244</v>
      </c>
      <c r="R47" s="19">
        <f>_xll.BDH("SRPT US Equity","EARN_FOR_COMMON","FQ1 2023","FQ1 2023","Currency=USD","Period=FQ","BEST_FPERIOD_OVERRIDE=FQ","FILING_STATUS=MR","SCALING_FORMAT=MLN","FA_ADJUSTED=GAAP","Sort=A","Dates=H","DateFormat=P","Fill=—","Direction=H","UseDPDF=Y")</f>
        <v>-516.755</v>
      </c>
      <c r="S47" s="19">
        <f>_xll.BDH("SRPT US Equity","EARN_FOR_COMMON","FQ2 2023","FQ2 2023","Currency=USD","Period=FQ","BEST_FPERIOD_OVERRIDE=FQ","FILING_STATUS=MR","SCALING_FORMAT=MLN","FA_ADJUSTED=GAAP","Sort=A","Dates=H","DateFormat=P","Fill=—","Direction=H","UseDPDF=Y")</f>
        <v>-23.94</v>
      </c>
      <c r="T47" s="19">
        <f>_xll.BDH("SRPT US Equity","EARN_FOR_COMMON","FQ3 2023","FQ3 2023","Currency=USD","Period=FQ","BEST_FPERIOD_OVERRIDE=FQ","FILING_STATUS=MR","SCALING_FORMAT=MLN","FA_ADJUSTED=GAAP","Sort=A","Dates=H","DateFormat=P","Fill=—","Direction=H","UseDPDF=Y")</f>
        <v>-40.936999999999998</v>
      </c>
      <c r="U47" s="19">
        <f>_xll.BDH("SRPT US Equity","EARN_FOR_COMMON","FQ4 2023","FQ4 2023","Currency=USD","Period=FQ","BEST_FPERIOD_OVERRIDE=FQ","FILING_STATUS=MR","SCALING_FORMAT=MLN","FA_ADJUSTED=GAAP","Sort=A","Dates=H","DateFormat=P","Fill=—","Direction=H","UseDPDF=Y")</f>
        <v>45.655000000000001</v>
      </c>
      <c r="V47" s="19">
        <f>_xll.BDH("SRPT US Equity","EARN_FOR_COMMON","FQ1 2024","FQ1 2024","Currency=USD","Period=FQ","BEST_FPERIOD_OVERRIDE=FQ","FILING_STATUS=MR","SCALING_FORMAT=MLN","FA_ADJUSTED=GAAP","Sort=A","Dates=H","DateFormat=P","Fill=—","Direction=H","UseDPDF=Y")</f>
        <v>36.119</v>
      </c>
      <c r="W47" s="19">
        <f>_xll.BDH("SRPT US Equity","EARN_FOR_COMMON","FQ2 2024","FQ2 2024","Currency=USD","Period=FQ","BEST_FPERIOD_OVERRIDE=FQ","FILING_STATUS=MR","SCALING_FORMAT=MLN","FA_ADJUSTED=GAAP","Sort=A","Dates=H","DateFormat=P","Fill=—","Direction=H","UseDPDF=Y")</f>
        <v>6.46</v>
      </c>
      <c r="X47" s="19">
        <f>_xll.BDH("SRPT US Equity","EARN_FOR_COMMON","FQ3 2024","FQ3 2024","Currency=USD","Period=FQ","BEST_FPERIOD_OVERRIDE=FQ","FILING_STATUS=MR","SCALING_FORMAT=MLN","FA_ADJUSTED=GAAP","Sort=A","Dates=H","DateFormat=P","Fill=—","Direction=H","UseDPDF=Y")</f>
        <v>33.610999999999997</v>
      </c>
      <c r="Y47" s="19">
        <f>_xll.BDH("SRPT US Equity","EARN_FOR_COMMON","FQ4 2024","FQ4 2024","Currency=USD","Period=FQ","BEST_FPERIOD_OVERRIDE=FQ","FILING_STATUS=MR","SCALING_FORMAT=MLN","FA_ADJUSTED=GAAP","Sort=A","Dates=H","DateFormat=P","Fill=—","Direction=H","UseDPDF=Y")</f>
        <v>159.04900000000001</v>
      </c>
      <c r="Z47" s="19">
        <v>107.06699999999999</v>
      </c>
      <c r="AA47" s="19">
        <v>262.16699999999997</v>
      </c>
    </row>
    <row r="48" spans="1:27" x14ac:dyDescent="0.25">
      <c r="A48" s="6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x14ac:dyDescent="0.25">
      <c r="A49" s="6" t="s">
        <v>387</v>
      </c>
      <c r="B49" s="6" t="s">
        <v>80</v>
      </c>
      <c r="C49" s="19">
        <f>_xll.BDH("SRPT US Equity","EARN_FOR_COMMON","FQ2 2019","FQ2 2019","Currency=USD","Period=FQ","BEST_FPERIOD_OVERRIDE=FQ","FILING_STATUS=MR","SCALING_FORMAT=MLN","FA_ADJUSTED=Adjusted","Sort=A","Dates=H","DateFormat=P","Fill=—","Direction=H","UseDPDF=Y")</f>
        <v>-88.084999999999994</v>
      </c>
      <c r="D49" s="19">
        <f>_xll.BDH("SRPT US Equity","EARN_FOR_COMMON","FQ3 2019","FQ3 2019","Currency=USD","Period=FQ","BEST_FPERIOD_OVERRIDE=FQ","FILING_STATUS=MR","SCALING_FORMAT=MLN","FA_ADJUSTED=Adjusted","Sort=A","Dates=H","DateFormat=P","Fill=—","Direction=H","UseDPDF=Y")</f>
        <v>-116.7307</v>
      </c>
      <c r="E49" s="19">
        <f>_xll.BDH("SRPT US Equity","EARN_FOR_COMMON","FQ4 2019","FQ4 2019","Currency=USD","Period=FQ","BEST_FPERIOD_OVERRIDE=FQ","FILING_STATUS=MR","SCALING_FORMAT=MLN","FA_ADJUSTED=Adjusted","Sort=A","Dates=H","DateFormat=P","Fill=—","Direction=H","UseDPDF=Y")</f>
        <v>-168.69839999999999</v>
      </c>
      <c r="F49" s="19">
        <f>_xll.BDH("SRPT US Equity","EARN_FOR_COMMON","FQ1 2020","FQ1 2020","Currency=USD","Period=FQ","BEST_FPERIOD_OVERRIDE=FQ","FILING_STATUS=MR","SCALING_FORMAT=MLN","FA_ADJUSTED=Adjusted","Sort=A","Dates=H","DateFormat=P","Fill=—","Direction=H","UseDPDF=Y")</f>
        <v>-114.0907</v>
      </c>
      <c r="G49" s="19">
        <f>_xll.BDH("SRPT US Equity","EARN_FOR_COMMON","FQ2 2020","FQ2 2020","Currency=USD","Period=FQ","BEST_FPERIOD_OVERRIDE=FQ","FILING_STATUS=MR","SCALING_FORMAT=MLN","FA_ADJUSTED=Adjusted","Sort=A","Dates=H","DateFormat=P","Fill=—","Direction=H","UseDPDF=Y")</f>
        <v>-150.82</v>
      </c>
      <c r="H49" s="19">
        <f>_xll.BDH("SRPT US Equity","EARN_FOR_COMMON","FQ3 2020","FQ3 2020","Currency=USD","Period=FQ","BEST_FPERIOD_OVERRIDE=FQ","FILING_STATUS=MR","SCALING_FORMAT=MLN","FA_ADJUSTED=Adjusted","Sort=A","Dates=H","DateFormat=P","Fill=—","Direction=H","UseDPDF=Y")</f>
        <v>-148.80279999999999</v>
      </c>
      <c r="I49" s="19">
        <f>_xll.BDH("SRPT US Equity","EARN_FOR_COMMON","FQ4 2020","FQ4 2020","Currency=USD","Period=FQ","BEST_FPERIOD_OVERRIDE=FQ","FILING_STATUS=MR","SCALING_FORMAT=MLN","FA_ADJUSTED=Adjusted","Sort=A","Dates=H","DateFormat=P","Fill=—","Direction=H","UseDPDF=Y")</f>
        <v>-180.9256</v>
      </c>
      <c r="J49" s="19">
        <f>_xll.BDH("SRPT US Equity","EARN_FOR_COMMON","FQ1 2021","FQ1 2021","Currency=USD","Period=FQ","BEST_FPERIOD_OVERRIDE=FQ","FILING_STATUS=MR","SCALING_FORMAT=MLN","FA_ADJUSTED=Adjusted","Sort=A","Dates=H","DateFormat=P","Fill=—","Direction=H","UseDPDF=Y")</f>
        <v>-153.2946</v>
      </c>
      <c r="K49" s="19">
        <f>_xll.BDH("SRPT US Equity","EARN_FOR_COMMON","FQ2 2021","FQ2 2021","Currency=USD","Period=FQ","BEST_FPERIOD_OVERRIDE=FQ","FILING_STATUS=MR","SCALING_FORMAT=MLN","FA_ADJUSTED=Adjusted","Sort=A","Dates=H","DateFormat=P","Fill=—","Direction=H","UseDPDF=Y")</f>
        <v>-151.72800000000001</v>
      </c>
      <c r="L49" s="19">
        <f>_xll.BDH("SRPT US Equity","EARN_FOR_COMMON","FQ3 2021","FQ3 2021","Currency=USD","Period=FQ","BEST_FPERIOD_OVERRIDE=FQ","FILING_STATUS=MR","SCALING_FORMAT=MLN","FA_ADJUSTED=Adjusted","Sort=A","Dates=H","DateFormat=P","Fill=—","Direction=H","UseDPDF=Y")</f>
        <v>-44.598500000000001</v>
      </c>
      <c r="M49" s="19">
        <f>_xll.BDH("SRPT US Equity","EARN_FOR_COMMON","FQ4 2021","FQ4 2021","Currency=USD","Period=FQ","BEST_FPERIOD_OVERRIDE=FQ","FILING_STATUS=MR","SCALING_FORMAT=MLN","FA_ADJUSTED=Adjusted","Sort=A","Dates=H","DateFormat=P","Fill=—","Direction=H","UseDPDF=Y")</f>
        <v>-121.98099999999999</v>
      </c>
      <c r="N49" s="19">
        <f>_xll.BDH("SRPT US Equity","EARN_FOR_COMMON","FQ1 2022","FQ1 2022","Currency=USD","Period=FQ","BEST_FPERIOD_OVERRIDE=FQ","FILING_STATUS=MR","SCALING_FORMAT=MLN","FA_ADJUSTED=Adjusted","Sort=A","Dates=H","DateFormat=P","Fill=—","Direction=H","UseDPDF=Y")</f>
        <v>-105.02500000000001</v>
      </c>
      <c r="O49" s="19">
        <f>_xll.BDH("SRPT US Equity","EARN_FOR_COMMON","FQ2 2022","FQ2 2022","Currency=USD","Period=FQ","BEST_FPERIOD_OVERRIDE=FQ","FILING_STATUS=MR","SCALING_FORMAT=MLN","FA_ADJUSTED=Adjusted","Sort=A","Dates=H","DateFormat=P","Fill=—","Direction=H","UseDPDF=Y")</f>
        <v>-231.48099999999999</v>
      </c>
      <c r="P49" s="19">
        <f>_xll.BDH("SRPT US Equity","EARN_FOR_COMMON","FQ3 2022","FQ3 2022","Currency=USD","Period=FQ","BEST_FPERIOD_OVERRIDE=FQ","FILING_STATUS=MR","SCALING_FORMAT=MLN","FA_ADJUSTED=Adjusted","Sort=A","Dates=H","DateFormat=P","Fill=—","Direction=H","UseDPDF=Y")</f>
        <v>-163.93260000000001</v>
      </c>
      <c r="Q49" s="19">
        <f>_xll.BDH("SRPT US Equity","EARN_FOR_COMMON","FQ4 2022","FQ4 2022","Currency=USD","Period=FQ","BEST_FPERIOD_OVERRIDE=FQ","FILING_STATUS=MR","SCALING_FORMAT=MLN","FA_ADJUSTED=Adjusted","Sort=A","Dates=H","DateFormat=P","Fill=—","Direction=H","UseDPDF=Y")</f>
        <v>-107.2098</v>
      </c>
      <c r="R49" s="19">
        <f>_xll.BDH("SRPT US Equity","EARN_FOR_COMMON","FQ1 2023","FQ1 2023","Currency=USD","Period=FQ","BEST_FPERIOD_OVERRIDE=FQ","FILING_STATUS=MR","SCALING_FORMAT=MLN","FA_ADJUSTED=Adjusted","Sort=A","Dates=H","DateFormat=P","Fill=—","Direction=H","UseDPDF=Y")</f>
        <v>-210.76509999999999</v>
      </c>
      <c r="S49" s="19">
        <f>_xll.BDH("SRPT US Equity","EARN_FOR_COMMON","FQ2 2023","FQ2 2023","Currency=USD","Period=FQ","BEST_FPERIOD_OVERRIDE=FQ","FILING_STATUS=MR","SCALING_FORMAT=MLN","FA_ADJUSTED=Adjusted","Sort=A","Dates=H","DateFormat=P","Fill=—","Direction=H","UseDPDF=Y")</f>
        <v>-105.152</v>
      </c>
      <c r="T49" s="19">
        <f>_xll.BDH("SRPT US Equity","EARN_FOR_COMMON","FQ3 2023","FQ3 2023","Currency=USD","Period=FQ","BEST_FPERIOD_OVERRIDE=FQ","FILING_STATUS=MR","SCALING_FORMAT=MLN","FA_ADJUSTED=Adjusted","Sort=A","Dates=H","DateFormat=P","Fill=—","Direction=H","UseDPDF=Y")</f>
        <v>-39.356999999999999</v>
      </c>
      <c r="U49" s="19">
        <f>_xll.BDH("SRPT US Equity","EARN_FOR_COMMON","FQ4 2023","FQ4 2023","Currency=USD","Period=FQ","BEST_FPERIOD_OVERRIDE=FQ","FILING_STATUS=MR","SCALING_FORMAT=MLN","FA_ADJUSTED=Adjusted","Sort=A","Dates=H","DateFormat=P","Fill=—","Direction=H","UseDPDF=Y")</f>
        <v>45.655000000000001</v>
      </c>
      <c r="V49" s="19">
        <f>_xll.BDH("SRPT US Equity","EARN_FOR_COMMON","FQ1 2024","FQ1 2024","Currency=USD","Period=FQ","BEST_FPERIOD_OVERRIDE=FQ","FILING_STATUS=MR","SCALING_FORMAT=MLN","FA_ADJUSTED=Adjusted","Sort=A","Dates=H","DateFormat=P","Fill=—","Direction=H","UseDPDF=Y")</f>
        <v>45.906999999999996</v>
      </c>
      <c r="W49" s="19">
        <f>_xll.BDH("SRPT US Equity","EARN_FOR_COMMON","FQ2 2024","FQ2 2024","Currency=USD","Period=FQ","BEST_FPERIOD_OVERRIDE=FQ","FILING_STATUS=MR","SCALING_FORMAT=MLN","FA_ADJUSTED=Adjusted","Sort=A","Dates=H","DateFormat=P","Fill=—","Direction=H","UseDPDF=Y")</f>
        <v>6.46</v>
      </c>
      <c r="X49" s="19">
        <f>_xll.BDH("SRPT US Equity","EARN_FOR_COMMON","FQ3 2024","FQ3 2024","Currency=USD","Period=FQ","BEST_FPERIOD_OVERRIDE=FQ","FILING_STATUS=MR","SCALING_FORMAT=MLN","FA_ADJUSTED=Adjusted","Sort=A","Dates=H","DateFormat=P","Fill=—","Direction=H","UseDPDF=Y")</f>
        <v>32.251100000000001</v>
      </c>
      <c r="Y49" s="19">
        <f>_xll.BDH("SRPT US Equity","EARN_FOR_COMMON","FQ4 2024","FQ4 2024","Currency=USD","Period=FQ","BEST_FPERIOD_OVERRIDE=FQ","FILING_STATUS=MR","SCALING_FORMAT=MLN","FA_ADJUSTED=Adjusted","Sort=A","Dates=H","DateFormat=P","Fill=—","Direction=H","UseDPDF=Y")</f>
        <v>158.33850000000001</v>
      </c>
      <c r="Z49" s="19">
        <v>97.182000000000002</v>
      </c>
      <c r="AA49" s="19">
        <v>292.846</v>
      </c>
    </row>
    <row r="50" spans="1:27" x14ac:dyDescent="0.25">
      <c r="A50" s="10" t="s">
        <v>388</v>
      </c>
      <c r="B50" s="10" t="s">
        <v>389</v>
      </c>
      <c r="C50" s="13">
        <f>_xll.BDH("SRPT US Equity","IS_NET_ABNORMAL_ITEMS","FQ2 2019","FQ2 2019","Currency=USD","Period=FQ","BEST_FPERIOD_OVERRIDE=FQ","FILING_STATUS=MR","SCALING_FORMAT=MLN","Sort=A","Dates=H","DateFormat=P","Fill=—","Direction=H","UseDPDF=Y")</f>
        <v>188.31800000000001</v>
      </c>
      <c r="D50" s="13">
        <f>_xll.BDH("SRPT US Equity","IS_NET_ABNORMAL_ITEMS","FQ3 2019","FQ3 2019","Currency=USD","Period=FQ","BEST_FPERIOD_OVERRIDE=FQ","FILING_STATUS=MR","SCALING_FORMAT=MLN","Sort=A","Dates=H","DateFormat=P","Fill=—","Direction=H","UseDPDF=Y")</f>
        <v>9.5952999999999999</v>
      </c>
      <c r="E50" s="13">
        <f>_xll.BDH("SRPT US Equity","IS_NET_ABNORMAL_ITEMS","FQ4 2019","FQ4 2019","Currency=USD","Period=FQ","BEST_FPERIOD_OVERRIDE=FQ","FILING_STATUS=MR","SCALING_FORMAT=MLN","Sort=A","Dates=H","DateFormat=P","Fill=—","Direction=H","UseDPDF=Y")</f>
        <v>67.004599999999996</v>
      </c>
      <c r="F50" s="13">
        <f>_xll.BDH("SRPT US Equity","IS_NET_ABNORMAL_ITEMS","FQ1 2020","FQ1 2020","Currency=USD","Period=FQ","BEST_FPERIOD_OVERRIDE=FQ","FILING_STATUS=MR","SCALING_FORMAT=MLN","Sort=A","Dates=H","DateFormat=P","Fill=—","Direction=H","UseDPDF=Y")</f>
        <v>-96.598699999999994</v>
      </c>
      <c r="G50" s="13">
        <f>_xll.BDH("SRPT US Equity","IS_NET_ABNORMAL_ITEMS","FQ2 2020","FQ2 2020","Currency=USD","Period=FQ","BEST_FPERIOD_OVERRIDE=FQ","FILING_STATUS=MR","SCALING_FORMAT=MLN","Sort=A","Dates=H","DateFormat=P","Fill=—","Direction=H","UseDPDF=Y")</f>
        <v>0</v>
      </c>
      <c r="H50" s="13">
        <f>_xll.BDH("SRPT US Equity","IS_NET_ABNORMAL_ITEMS","FQ3 2020","FQ3 2020","Currency=USD","Period=FQ","BEST_FPERIOD_OVERRIDE=FQ","FILING_STATUS=MR","SCALING_FORMAT=MLN","Sort=A","Dates=H","DateFormat=P","Fill=—","Direction=H","UseDPDF=Y")</f>
        <v>47.696300000000001</v>
      </c>
      <c r="I50" s="13">
        <f>_xll.BDH("SRPT US Equity","IS_NET_ABNORMAL_ITEMS","FQ4 2020","FQ4 2020","Currency=USD","Period=FQ","BEST_FPERIOD_OVERRIDE=FQ","FILING_STATUS=MR","SCALING_FORMAT=MLN","Sort=A","Dates=H","DateFormat=P","Fill=—","Direction=H","UseDPDF=Y")</f>
        <v>8.3914000000000009</v>
      </c>
      <c r="J50" s="13">
        <f>_xll.BDH("SRPT US Equity","IS_NET_ABNORMAL_ITEMS","FQ1 2021","FQ1 2021","Currency=USD","Period=FQ","BEST_FPERIOD_OVERRIDE=FQ","FILING_STATUS=MR","SCALING_FORMAT=MLN","Sort=A","Dates=H","DateFormat=P","Fill=—","Direction=H","UseDPDF=Y")</f>
        <v>13.955399999999999</v>
      </c>
      <c r="K50" s="13">
        <f>_xll.BDH("SRPT US Equity","IS_NET_ABNORMAL_ITEMS","FQ2 2021","FQ2 2021","Currency=USD","Period=FQ","BEST_FPERIOD_OVERRIDE=FQ","FILING_STATUS=MR","SCALING_FORMAT=MLN","Sort=A","Dates=H","DateFormat=P","Fill=—","Direction=H","UseDPDF=Y")</f>
        <v>-70.322999999999993</v>
      </c>
      <c r="L50" s="13">
        <f>_xll.BDH("SRPT US Equity","IS_NET_ABNORMAL_ITEMS","FQ3 2021","FQ3 2021","Currency=USD","Period=FQ","BEST_FPERIOD_OVERRIDE=FQ","FILING_STATUS=MR","SCALING_FORMAT=MLN","Sort=A","Dates=H","DateFormat=P","Fill=—","Direction=H","UseDPDF=Y")</f>
        <v>3.5455000000000001</v>
      </c>
      <c r="M50" s="13">
        <f>_xll.BDH("SRPT US Equity","IS_NET_ABNORMAL_ITEMS","FQ4 2021","FQ4 2021","Currency=USD","Period=FQ","BEST_FPERIOD_OVERRIDE=FQ","FILING_STATUS=MR","SCALING_FORMAT=MLN","Sort=A","Dates=H","DateFormat=P","Fill=—","Direction=H","UseDPDF=Y")</f>
        <v>0</v>
      </c>
      <c r="N50" s="13">
        <f>_xll.BDH("SRPT US Equity","IS_NET_ABNORMAL_ITEMS","FQ1 2022","FQ1 2022","Currency=USD","Period=FQ","BEST_FPERIOD_OVERRIDE=FQ","FILING_STATUS=MR","SCALING_FORMAT=MLN","Sort=A","Dates=H","DateFormat=P","Fill=—","Direction=H","UseDPDF=Y")</f>
        <v>0</v>
      </c>
      <c r="O50" s="13">
        <f>_xll.BDH("SRPT US Equity","IS_NET_ABNORMAL_ITEMS","FQ2 2022","FQ2 2022","Currency=USD","Period=FQ","BEST_FPERIOD_OVERRIDE=FQ","FILING_STATUS=MR","SCALING_FORMAT=MLN","Sort=A","Dates=H","DateFormat=P","Fill=—","Direction=H","UseDPDF=Y")</f>
        <v>0</v>
      </c>
      <c r="P50" s="13">
        <f>_xll.BDH("SRPT US Equity","IS_NET_ABNORMAL_ITEMS","FQ3 2022","FQ3 2022","Currency=USD","Period=FQ","BEST_FPERIOD_OVERRIDE=FQ","FILING_STATUS=MR","SCALING_FORMAT=MLN","Sort=A","Dates=H","DateFormat=P","Fill=—","Direction=H","UseDPDF=Y")</f>
        <v>93.805400000000006</v>
      </c>
      <c r="Q50" s="13">
        <f>_xll.BDH("SRPT US Equity","IS_NET_ABNORMAL_ITEMS","FQ4 2022","FQ4 2022","Currency=USD","Period=FQ","BEST_FPERIOD_OVERRIDE=FQ","FILING_STATUS=MR","SCALING_FORMAT=MLN","Sort=A","Dates=H","DateFormat=P","Fill=—","Direction=H","UseDPDF=Y")</f>
        <v>2.0343</v>
      </c>
      <c r="R50" s="13">
        <f>_xll.BDH("SRPT US Equity","IS_NET_ABNORMAL_ITEMS","FQ1 2023","FQ1 2023","Currency=USD","Period=FQ","BEST_FPERIOD_OVERRIDE=FQ","FILING_STATUS=MR","SCALING_FORMAT=MLN","Sort=A","Dates=H","DateFormat=P","Fill=—","Direction=H","UseDPDF=Y")</f>
        <v>305.98989999999998</v>
      </c>
      <c r="S50" s="13">
        <f>_xll.BDH("SRPT US Equity","IS_NET_ABNORMAL_ITEMS","FQ2 2023","FQ2 2023","Currency=USD","Period=FQ","BEST_FPERIOD_OVERRIDE=FQ","FILING_STATUS=MR","SCALING_FORMAT=MLN","Sort=A","Dates=H","DateFormat=P","Fill=—","Direction=H","UseDPDF=Y")</f>
        <v>-81.212000000000003</v>
      </c>
      <c r="T50" s="13">
        <f>_xll.BDH("SRPT US Equity","IS_NET_ABNORMAL_ITEMS","FQ3 2023","FQ3 2023","Currency=USD","Period=FQ","BEST_FPERIOD_OVERRIDE=FQ","FILING_STATUS=MR","SCALING_FORMAT=MLN","Sort=A","Dates=H","DateFormat=P","Fill=—","Direction=H","UseDPDF=Y")</f>
        <v>1.58</v>
      </c>
      <c r="U50" s="13">
        <f>_xll.BDH("SRPT US Equity","IS_NET_ABNORMAL_ITEMS","FQ4 2023","FQ4 2023","Currency=USD","Period=FQ","BEST_FPERIOD_OVERRIDE=FQ","FILING_STATUS=MR","SCALING_FORMAT=MLN","Sort=A","Dates=H","DateFormat=P","Fill=—","Direction=H","UseDPDF=Y")</f>
        <v>0</v>
      </c>
      <c r="V50" s="13">
        <f>_xll.BDH("SRPT US Equity","IS_NET_ABNORMAL_ITEMS","FQ1 2024","FQ1 2024","Currency=USD","Period=FQ","BEST_FPERIOD_OVERRIDE=FQ","FILING_STATUS=MR","SCALING_FORMAT=MLN","Sort=A","Dates=H","DateFormat=P","Fill=—","Direction=H","UseDPDF=Y")</f>
        <v>9.7880000000000003</v>
      </c>
      <c r="W50" s="13">
        <f>_xll.BDH("SRPT US Equity","IS_NET_ABNORMAL_ITEMS","FQ2 2024","FQ2 2024","Currency=USD","Period=FQ","BEST_FPERIOD_OVERRIDE=FQ","FILING_STATUS=MR","SCALING_FORMAT=MLN","Sort=A","Dates=H","DateFormat=P","Fill=—","Direction=H","UseDPDF=Y")</f>
        <v>0</v>
      </c>
      <c r="X50" s="13">
        <f>_xll.BDH("SRPT US Equity","IS_NET_ABNORMAL_ITEMS","FQ3 2024","FQ3 2024","Currency=USD","Period=FQ","BEST_FPERIOD_OVERRIDE=FQ","FILING_STATUS=MR","SCALING_FORMAT=MLN","Sort=A","Dates=H","DateFormat=P","Fill=—","Direction=H","UseDPDF=Y")</f>
        <v>-1.3599000000000001</v>
      </c>
      <c r="Y50" s="13">
        <f>_xll.BDH("SRPT US Equity","IS_NET_ABNORMAL_ITEMS","FQ4 2024","FQ4 2024","Currency=USD","Period=FQ","BEST_FPERIOD_OVERRIDE=FQ","FILING_STATUS=MR","SCALING_FORMAT=MLN","Sort=A","Dates=H","DateFormat=P","Fill=—","Direction=H","UseDPDF=Y")</f>
        <v>-0.71050000000000002</v>
      </c>
      <c r="Z50" s="13"/>
      <c r="AA50" s="13"/>
    </row>
    <row r="51" spans="1:27" x14ac:dyDescent="0.25">
      <c r="A51" s="10" t="s">
        <v>390</v>
      </c>
      <c r="B51" s="10" t="s">
        <v>371</v>
      </c>
      <c r="C51" s="13">
        <f>_xll.BDH("SRPT US Equity","XO_GL_NET_OF_TAX","FQ2 2019","FQ2 2019","Currency=USD","Period=FQ","BEST_FPERIOD_OVERRIDE=FQ","FILING_STATUS=MR","SCALING_FORMAT=MLN","Sort=A","Dates=H","DateFormat=P","Fill=—","Direction=H","UseDPDF=Y")</f>
        <v>0</v>
      </c>
      <c r="D51" s="13">
        <f>_xll.BDH("SRPT US Equity","XO_GL_NET_OF_TAX","FQ3 2019","FQ3 2019","Currency=USD","Period=FQ","BEST_FPERIOD_OVERRIDE=FQ","FILING_STATUS=MR","SCALING_FORMAT=MLN","Sort=A","Dates=H","DateFormat=P","Fill=—","Direction=H","UseDPDF=Y")</f>
        <v>0</v>
      </c>
      <c r="E51" s="13">
        <f>_xll.BDH("SRPT US Equity","XO_GL_NET_OF_TAX","FQ4 2019","FQ4 2019","Currency=USD","Period=FQ","BEST_FPERIOD_OVERRIDE=FQ","FILING_STATUS=MR","SCALING_FORMAT=MLN","Sort=A","Dates=H","DateFormat=P","Fill=—","Direction=H","UseDPDF=Y")</f>
        <v>0</v>
      </c>
      <c r="F51" s="13">
        <f>_xll.BDH("SRPT US Equity","XO_GL_NET_OF_TAX","FQ1 2020","FQ1 2020","Currency=USD","Period=FQ","BEST_FPERIOD_OVERRIDE=FQ","FILING_STATUS=MR","SCALING_FORMAT=MLN","Sort=A","Dates=H","DateFormat=P","Fill=—","Direction=H","UseDPDF=Y")</f>
        <v>0</v>
      </c>
      <c r="G51" s="13">
        <f>_xll.BDH("SRPT US Equity","XO_GL_NET_OF_TAX","FQ2 2020","FQ2 2020","Currency=USD","Period=FQ","BEST_FPERIOD_OVERRIDE=FQ","FILING_STATUS=MR","SCALING_FORMAT=MLN","Sort=A","Dates=H","DateFormat=P","Fill=—","Direction=H","UseDPDF=Y")</f>
        <v>0</v>
      </c>
      <c r="H51" s="13">
        <f>_xll.BDH("SRPT US Equity","XO_GL_NET_OF_TAX","FQ3 2020","FQ3 2020","Currency=USD","Period=FQ","BEST_FPERIOD_OVERRIDE=FQ","FILING_STATUS=MR","SCALING_FORMAT=MLN","Sort=A","Dates=H","DateFormat=P","Fill=—","Direction=H","UseDPDF=Y")</f>
        <v>0</v>
      </c>
      <c r="I51" s="13">
        <f>_xll.BDH("SRPT US Equity","XO_GL_NET_OF_TAX","FQ4 2020","FQ4 2020","Currency=USD","Period=FQ","BEST_FPERIOD_OVERRIDE=FQ","FILING_STATUS=MR","SCALING_FORMAT=MLN","Sort=A","Dates=H","DateFormat=P","Fill=—","Direction=H","UseDPDF=Y")</f>
        <v>0</v>
      </c>
      <c r="J51" s="13">
        <f>_xll.BDH("SRPT US Equity","XO_GL_NET_OF_TAX","FQ1 2021","FQ1 2021","Currency=USD","Period=FQ","BEST_FPERIOD_OVERRIDE=FQ","FILING_STATUS=MR","SCALING_FORMAT=MLN","Sort=A","Dates=H","DateFormat=P","Fill=—","Direction=H","UseDPDF=Y")</f>
        <v>0</v>
      </c>
      <c r="K51" s="13">
        <f>_xll.BDH("SRPT US Equity","XO_GL_NET_OF_TAX","FQ2 2021","FQ2 2021","Currency=USD","Period=FQ","BEST_FPERIOD_OVERRIDE=FQ","FILING_STATUS=MR","SCALING_FORMAT=MLN","Sort=A","Dates=H","DateFormat=P","Fill=—","Direction=H","UseDPDF=Y")</f>
        <v>0</v>
      </c>
      <c r="L51" s="13">
        <f>_xll.BDH("SRPT US Equity","XO_GL_NET_OF_TAX","FQ3 2021","FQ3 2021","Currency=USD","Period=FQ","BEST_FPERIOD_OVERRIDE=FQ","FILING_STATUS=MR","SCALING_FORMAT=MLN","Sort=A","Dates=H","DateFormat=P","Fill=—","Direction=H","UseDPDF=Y")</f>
        <v>0</v>
      </c>
      <c r="M51" s="13">
        <f>_xll.BDH("SRPT US Equity","XO_GL_NET_OF_TAX","FQ4 2021","FQ4 2021","Currency=USD","Period=FQ","BEST_FPERIOD_OVERRIDE=FQ","FILING_STATUS=MR","SCALING_FORMAT=MLN","Sort=A","Dates=H","DateFormat=P","Fill=—","Direction=H","UseDPDF=Y")</f>
        <v>0</v>
      </c>
      <c r="N51" s="13">
        <f>_xll.BDH("SRPT US Equity","XO_GL_NET_OF_TAX","FQ1 2022","FQ1 2022","Currency=USD","Period=FQ","BEST_FPERIOD_OVERRIDE=FQ","FILING_STATUS=MR","SCALING_FORMAT=MLN","Sort=A","Dates=H","DateFormat=P","Fill=—","Direction=H","UseDPDF=Y")</f>
        <v>0</v>
      </c>
      <c r="O51" s="13">
        <f>_xll.BDH("SRPT US Equity","XO_GL_NET_OF_TAX","FQ2 2022","FQ2 2022","Currency=USD","Period=FQ","BEST_FPERIOD_OVERRIDE=FQ","FILING_STATUS=MR","SCALING_FORMAT=MLN","Sort=A","Dates=H","DateFormat=P","Fill=—","Direction=H","UseDPDF=Y")</f>
        <v>0</v>
      </c>
      <c r="P51" s="13">
        <f>_xll.BDH("SRPT US Equity","XO_GL_NET_OF_TAX","FQ3 2022","FQ3 2022","Currency=USD","Period=FQ","BEST_FPERIOD_OVERRIDE=FQ","FILING_STATUS=MR","SCALING_FORMAT=MLN","Sort=A","Dates=H","DateFormat=P","Fill=—","Direction=H","UseDPDF=Y")</f>
        <v>0</v>
      </c>
      <c r="Q51" s="13">
        <f>_xll.BDH("SRPT US Equity","XO_GL_NET_OF_TAX","FQ4 2022","FQ4 2022","Currency=USD","Period=FQ","BEST_FPERIOD_OVERRIDE=FQ","FILING_STATUS=MR","SCALING_FORMAT=MLN","Sort=A","Dates=H","DateFormat=P","Fill=—","Direction=H","UseDPDF=Y")</f>
        <v>0</v>
      </c>
      <c r="R51" s="13">
        <f>_xll.BDH("SRPT US Equity","XO_GL_NET_OF_TAX","FQ1 2023","FQ1 2023","Currency=USD","Period=FQ","BEST_FPERIOD_OVERRIDE=FQ","FILING_STATUS=MR","SCALING_FORMAT=MLN","Sort=A","Dates=H","DateFormat=P","Fill=—","Direction=H","UseDPDF=Y")</f>
        <v>0</v>
      </c>
      <c r="S51" s="13">
        <f>_xll.BDH("SRPT US Equity","XO_GL_NET_OF_TAX","FQ2 2023","FQ2 2023","Currency=USD","Period=FQ","BEST_FPERIOD_OVERRIDE=FQ","FILING_STATUS=MR","SCALING_FORMAT=MLN","Sort=A","Dates=H","DateFormat=P","Fill=—","Direction=H","UseDPDF=Y")</f>
        <v>0</v>
      </c>
      <c r="T51" s="13">
        <f>_xll.BDH("SRPT US Equity","XO_GL_NET_OF_TAX","FQ3 2023","FQ3 2023","Currency=USD","Period=FQ","BEST_FPERIOD_OVERRIDE=FQ","FILING_STATUS=MR","SCALING_FORMAT=MLN","Sort=A","Dates=H","DateFormat=P","Fill=—","Direction=H","UseDPDF=Y")</f>
        <v>0</v>
      </c>
      <c r="U51" s="13">
        <f>_xll.BDH("SRPT US Equity","XO_GL_NET_OF_TAX","FQ4 2023","FQ4 2023","Currency=USD","Period=FQ","BEST_FPERIOD_OVERRIDE=FQ","FILING_STATUS=MR","SCALING_FORMAT=MLN","Sort=A","Dates=H","DateFormat=P","Fill=—","Direction=H","UseDPDF=Y")</f>
        <v>0</v>
      </c>
      <c r="V51" s="13">
        <f>_xll.BDH("SRPT US Equity","XO_GL_NET_OF_TAX","FQ1 2024","FQ1 2024","Currency=USD","Period=FQ","BEST_FPERIOD_OVERRIDE=FQ","FILING_STATUS=MR","SCALING_FORMAT=MLN","Sort=A","Dates=H","DateFormat=P","Fill=—","Direction=H","UseDPDF=Y")</f>
        <v>0</v>
      </c>
      <c r="W51" s="13">
        <f>_xll.BDH("SRPT US Equity","XO_GL_NET_OF_TAX","FQ2 2024","FQ2 2024","Currency=USD","Period=FQ","BEST_FPERIOD_OVERRIDE=FQ","FILING_STATUS=MR","SCALING_FORMAT=MLN","Sort=A","Dates=H","DateFormat=P","Fill=—","Direction=H","UseDPDF=Y")</f>
        <v>0</v>
      </c>
      <c r="X51" s="13">
        <f>_xll.BDH("SRPT US Equity","XO_GL_NET_OF_TAX","FQ3 2024","FQ3 2024","Currency=USD","Period=FQ","BEST_FPERIOD_OVERRIDE=FQ","FILING_STATUS=MR","SCALING_FORMAT=MLN","Sort=A","Dates=H","DateFormat=P","Fill=—","Direction=H","UseDPDF=Y")</f>
        <v>0</v>
      </c>
      <c r="Y51" s="13">
        <f>_xll.BDH("SRPT US Equity","XO_GL_NET_OF_TAX","FQ4 2024","FQ4 2024","Currency=USD","Period=FQ","BEST_FPERIOD_OVERRIDE=FQ","FILING_STATUS=MR","SCALING_FORMAT=MLN","Sort=A","Dates=H","DateFormat=P","Fill=—","Direction=H","UseDPDF=Y")</f>
        <v>0</v>
      </c>
      <c r="Z51" s="13"/>
      <c r="AA51" s="13"/>
    </row>
    <row r="52" spans="1:27" x14ac:dyDescent="0.25">
      <c r="A52" s="6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x14ac:dyDescent="0.25">
      <c r="A53" s="10" t="s">
        <v>259</v>
      </c>
      <c r="B53" s="10" t="s">
        <v>106</v>
      </c>
      <c r="C53" s="13">
        <f>_xll.BDH("SRPT US Equity","IS_AVG_NUM_SH_FOR_EPS","FQ2 2019","FQ2 2019","Currency=USD","Period=FQ","BEST_FPERIOD_OVERRIDE=FQ","FILING_STATUS=MR","Sort=A","Dates=H","DateFormat=P","Fill=—","Direction=H","UseDPDF=Y")</f>
        <v>73.957999999999998</v>
      </c>
      <c r="D53" s="13">
        <f>_xll.BDH("SRPT US Equity","IS_AVG_NUM_SH_FOR_EPS","FQ3 2019","FQ3 2019","Currency=USD","Period=FQ","BEST_FPERIOD_OVERRIDE=FQ","FILING_STATUS=MR","Sort=A","Dates=H","DateFormat=P","Fill=—","Direction=H","UseDPDF=Y")</f>
        <v>74.177000000000007</v>
      </c>
      <c r="E53" s="13">
        <f>_xll.BDH("SRPT US Equity","IS_AVG_NUM_SH_FOR_EPS","FQ4 2019","FQ4 2019","Currency=USD","Period=FQ","BEST_FPERIOD_OVERRIDE=FQ","FILING_STATUS=MR","Sort=A","Dates=H","DateFormat=P","Fill=—","Direction=H","UseDPDF=Y")</f>
        <v>74.557000000000002</v>
      </c>
      <c r="F53" s="13">
        <f>_xll.BDH("SRPT US Equity","IS_AVG_NUM_SH_FOR_EPS","FQ1 2020","FQ1 2020","Currency=USD","Period=FQ","BEST_FPERIOD_OVERRIDE=FQ","FILING_STATUS=MR","Sort=A","Dates=H","DateFormat=P","Fill=—","Direction=H","UseDPDF=Y")</f>
        <v>76.432000000000002</v>
      </c>
      <c r="G53" s="13">
        <f>_xll.BDH("SRPT US Equity","IS_AVG_NUM_SH_FOR_EPS","FQ2 2020","FQ2 2020","Currency=USD","Period=FQ","BEST_FPERIOD_OVERRIDE=FQ","FILING_STATUS=MR","Sort=A","Dates=H","DateFormat=P","Fill=—","Direction=H","UseDPDF=Y")</f>
        <v>77.968000000000004</v>
      </c>
      <c r="H53" s="13">
        <f>_xll.BDH("SRPT US Equity","IS_AVG_NUM_SH_FOR_EPS","FQ3 2020","FQ3 2020","Currency=USD","Period=FQ","BEST_FPERIOD_OVERRIDE=FQ","FILING_STATUS=MR","Sort=A","Dates=H","DateFormat=P","Fill=—","Direction=H","UseDPDF=Y")</f>
        <v>78.501000000000005</v>
      </c>
      <c r="I53" s="13">
        <f>_xll.BDH("SRPT US Equity","IS_AVG_NUM_SH_FOR_EPS","FQ4 2020","FQ4 2020","Currency=USD","Period=FQ","BEST_FPERIOD_OVERRIDE=FQ","FILING_STATUS=MR","Sort=A","Dates=H","DateFormat=P","Fill=—","Direction=H","UseDPDF=Y")</f>
        <v>78.905000000000001</v>
      </c>
      <c r="J53" s="13">
        <f>_xll.BDH("SRPT US Equity","IS_AVG_NUM_SH_FOR_EPS","FQ1 2021","FQ1 2021","Currency=USD","Period=FQ","BEST_FPERIOD_OVERRIDE=FQ","FILING_STATUS=MR","Sort=A","Dates=H","DateFormat=P","Fill=—","Direction=H","UseDPDF=Y")</f>
        <v>79.453999999999994</v>
      </c>
      <c r="K53" s="13">
        <f>_xll.BDH("SRPT US Equity","IS_AVG_NUM_SH_FOR_EPS","FQ2 2021","FQ2 2021","Currency=USD","Period=FQ","BEST_FPERIOD_OVERRIDE=FQ","FILING_STATUS=MR","Sort=A","Dates=H","DateFormat=P","Fill=—","Direction=H","UseDPDF=Y")</f>
        <v>79.745999999999995</v>
      </c>
      <c r="L53" s="13">
        <f>_xll.BDH("SRPT US Equity","IS_AVG_NUM_SH_FOR_EPS","FQ3 2021","FQ3 2021","Currency=USD","Period=FQ","BEST_FPERIOD_OVERRIDE=FQ","FILING_STATUS=MR","Sort=A","Dates=H","DateFormat=P","Fill=—","Direction=H","UseDPDF=Y")</f>
        <v>79.88</v>
      </c>
      <c r="M53" s="13">
        <f>_xll.BDH("SRPT US Equity","IS_AVG_NUM_SH_FOR_EPS","FQ4 2021","FQ4 2021","Currency=USD","Period=FQ","BEST_FPERIOD_OVERRIDE=FQ","FILING_STATUS=MR","Sort=A","Dates=H","DateFormat=P","Fill=—","Direction=H","UseDPDF=Y")</f>
        <v>85.950999999999993</v>
      </c>
      <c r="N53" s="13">
        <f>_xll.BDH("SRPT US Equity","IS_AVG_NUM_SH_FOR_EPS","FQ1 2022","FQ1 2022","Currency=USD","Period=FQ","BEST_FPERIOD_OVERRIDE=FQ","FILING_STATUS=MR","Sort=A","Dates=H","DateFormat=P","Fill=—","Direction=H","UseDPDF=Y")</f>
        <v>87.253</v>
      </c>
      <c r="O53" s="13">
        <f>_xll.BDH("SRPT US Equity","IS_AVG_NUM_SH_FOR_EPS","FQ2 2022","FQ2 2022","Currency=USD","Period=FQ","BEST_FPERIOD_OVERRIDE=FQ","FILING_STATUS=MR","Sort=A","Dates=H","DateFormat=P","Fill=—","Direction=H","UseDPDF=Y")</f>
        <v>87.510999999999996</v>
      </c>
      <c r="P53" s="13">
        <f>_xll.BDH("SRPT US Equity","IS_AVG_NUM_SH_FOR_EPS","FQ3 2022","FQ3 2022","Currency=USD","Period=FQ","BEST_FPERIOD_OVERRIDE=FQ","FILING_STATUS=MR","Sort=A","Dates=H","DateFormat=P","Fill=—","Direction=H","UseDPDF=Y")</f>
        <v>87.628</v>
      </c>
      <c r="Q53" s="13">
        <f>_xll.BDH("SRPT US Equity","IS_AVG_NUM_SH_FOR_EPS","FQ4 2022","FQ4 2022","Currency=USD","Period=FQ","BEST_FPERIOD_OVERRIDE=FQ","FILING_STATUS=MR","Sort=A","Dates=H","DateFormat=P","Fill=—","Direction=H","UseDPDF=Y")</f>
        <v>87.837999999999994</v>
      </c>
      <c r="R53" s="13">
        <f>_xll.BDH("SRPT US Equity","IS_AVG_NUM_SH_FOR_EPS","FQ1 2023","FQ1 2023","Currency=USD","Period=FQ","BEST_FPERIOD_OVERRIDE=FQ","FILING_STATUS=MR","Sort=A","Dates=H","DateFormat=P","Fill=—","Direction=H","UseDPDF=Y")</f>
        <v>88.186000000000007</v>
      </c>
      <c r="S53" s="13">
        <f>_xll.BDH("SRPT US Equity","IS_AVG_NUM_SH_FOR_EPS","FQ2 2023","FQ2 2023","Currency=USD","Period=FQ","BEST_FPERIOD_OVERRIDE=FQ","FILING_STATUS=MR","Sort=A","Dates=H","DateFormat=P","Fill=—","Direction=H","UseDPDF=Y")</f>
        <v>88.742999999999995</v>
      </c>
      <c r="T53" s="13">
        <f>_xll.BDH("SRPT US Equity","IS_AVG_NUM_SH_FOR_EPS","FQ3 2023","FQ3 2023","Currency=USD","Period=FQ","BEST_FPERIOD_OVERRIDE=FQ","FILING_STATUS=MR","Sort=A","Dates=H","DateFormat=P","Fill=—","Direction=H","UseDPDF=Y")</f>
        <v>88.888999999999996</v>
      </c>
      <c r="U53" s="13">
        <f>_xll.BDH("SRPT US Equity","IS_AVG_NUM_SH_FOR_EPS","FQ4 2023","FQ4 2023","Currency=USD","Period=FQ","BEST_FPERIOD_OVERRIDE=FQ","FILING_STATUS=MR","Sort=A","Dates=H","DateFormat=P","Fill=—","Direction=H","UseDPDF=Y")</f>
        <v>93.617000000000004</v>
      </c>
      <c r="V53" s="13">
        <f>_xll.BDH("SRPT US Equity","IS_AVG_NUM_SH_FOR_EPS","FQ1 2024","FQ1 2024","Currency=USD","Period=FQ","BEST_FPERIOD_OVERRIDE=FQ","FILING_STATUS=MR","Sort=A","Dates=H","DateFormat=P","Fill=—","Direction=H","UseDPDF=Y")</f>
        <v>93.991</v>
      </c>
      <c r="W53" s="13">
        <f>_xll.BDH("SRPT US Equity","IS_AVG_NUM_SH_FOR_EPS","FQ2 2024","FQ2 2024","Currency=USD","Period=FQ","BEST_FPERIOD_OVERRIDE=FQ","FILING_STATUS=MR","Sort=A","Dates=H","DateFormat=P","Fill=—","Direction=H","UseDPDF=Y")</f>
        <v>94.617999999999995</v>
      </c>
      <c r="X53" s="13">
        <f>_xll.BDH("SRPT US Equity","IS_AVG_NUM_SH_FOR_EPS","FQ3 2024","FQ3 2024","Currency=USD","Period=FQ","BEST_FPERIOD_OVERRIDE=FQ","FILING_STATUS=MR","Sort=A","Dates=H","DateFormat=P","Fill=—","Direction=H","UseDPDF=Y")</f>
        <v>95.39</v>
      </c>
      <c r="Y53" s="13">
        <f>_xll.BDH("SRPT US Equity","IS_AVG_NUM_SH_FOR_EPS","FQ4 2024","FQ4 2024","Currency=USD","Period=FQ","BEST_FPERIOD_OVERRIDE=FQ","FILING_STATUS=MR","Sort=A","Dates=H","DateFormat=P","Fill=—","Direction=H","UseDPDF=Y")</f>
        <v>96.283000000000001</v>
      </c>
      <c r="Z53" s="13"/>
      <c r="AA53" s="13"/>
    </row>
    <row r="54" spans="1:27" x14ac:dyDescent="0.25">
      <c r="A54" s="6" t="s">
        <v>101</v>
      </c>
      <c r="B54" s="6" t="s">
        <v>102</v>
      </c>
      <c r="C54" s="20">
        <f>_xll.BDH("SRPT US Equity","IS_EPS","FQ2 2019","FQ2 2019","Currency=USD","Period=FQ","BEST_FPERIOD_OVERRIDE=FQ","FILING_STATUS=MR","FA_ADJUSTED=GAAP","Sort=A","Dates=H","DateFormat=P","Fill=—","Direction=H","UseDPDF=Y")</f>
        <v>-3.74</v>
      </c>
      <c r="D54" s="20">
        <f>_xll.BDH("SRPT US Equity","IS_EPS","FQ3 2019","FQ3 2019","Currency=USD","Period=FQ","BEST_FPERIOD_OVERRIDE=FQ","FILING_STATUS=MR","FA_ADJUSTED=GAAP","Sort=A","Dates=H","DateFormat=P","Fill=—","Direction=H","UseDPDF=Y")</f>
        <v>-1.7</v>
      </c>
      <c r="E54" s="20">
        <f>_xll.BDH("SRPT US Equity","IS_EPS","FQ4 2019","FQ4 2019","Currency=USD","Period=FQ","BEST_FPERIOD_OVERRIDE=FQ","FILING_STATUS=MR","FA_ADJUSTED=GAAP","Sort=A","Dates=H","DateFormat=P","Fill=—","Direction=H","UseDPDF=Y")</f>
        <v>-3.16</v>
      </c>
      <c r="F54" s="20">
        <f>_xll.BDH("SRPT US Equity","IS_EPS","FQ1 2020","FQ1 2020","Currency=USD","Period=FQ","BEST_FPERIOD_OVERRIDE=FQ","FILING_STATUS=MR","FA_ADJUSTED=GAAP","Sort=A","Dates=H","DateFormat=P","Fill=—","Direction=H","UseDPDF=Y")</f>
        <v>-0.23</v>
      </c>
      <c r="G54" s="20">
        <f>_xll.BDH("SRPT US Equity","IS_EPS","FQ2 2020","FQ2 2020","Currency=USD","Period=FQ","BEST_FPERIOD_OVERRIDE=FQ","FILING_STATUS=MR","FA_ADJUSTED=GAAP","Sort=A","Dates=H","DateFormat=P","Fill=—","Direction=H","UseDPDF=Y")</f>
        <v>-1.93</v>
      </c>
      <c r="H54" s="20">
        <f>_xll.BDH("SRPT US Equity","IS_EPS","FQ3 2020","FQ3 2020","Currency=USD","Period=FQ","BEST_FPERIOD_OVERRIDE=FQ","FILING_STATUS=MR","FA_ADJUSTED=GAAP","Sort=A","Dates=H","DateFormat=P","Fill=—","Direction=H","UseDPDF=Y")</f>
        <v>-2.5</v>
      </c>
      <c r="I54" s="20">
        <f>_xll.BDH("SRPT US Equity","IS_EPS","FQ4 2020","FQ4 2020","Currency=USD","Period=FQ","BEST_FPERIOD_OVERRIDE=FQ","FILING_STATUS=MR","FA_ADJUSTED=GAAP","Sort=A","Dates=H","DateFormat=P","Fill=—","Direction=H","UseDPDF=Y")</f>
        <v>-2.4</v>
      </c>
      <c r="J54" s="20">
        <f>_xll.BDH("SRPT US Equity","IS_EPS","FQ1 2021","FQ1 2021","Currency=USD","Period=FQ","BEST_FPERIOD_OVERRIDE=FQ","FILING_STATUS=MR","FA_ADJUSTED=GAAP","Sort=A","Dates=H","DateFormat=P","Fill=—","Direction=H","UseDPDF=Y")</f>
        <v>-2.1</v>
      </c>
      <c r="K54" s="20">
        <f>_xll.BDH("SRPT US Equity","IS_EPS","FQ2 2021","FQ2 2021","Currency=USD","Period=FQ","BEST_FPERIOD_OVERRIDE=FQ","FILING_STATUS=MR","FA_ADJUSTED=GAAP","Sort=A","Dates=H","DateFormat=P","Fill=—","Direction=H","UseDPDF=Y")</f>
        <v>-1.02</v>
      </c>
      <c r="L54" s="20">
        <f>_xll.BDH("SRPT US Equity","IS_EPS","FQ3 2021","FQ3 2021","Currency=USD","Period=FQ","BEST_FPERIOD_OVERRIDE=FQ","FILING_STATUS=MR","FA_ADJUSTED=GAAP","Sort=A","Dates=H","DateFormat=P","Fill=—","Direction=H","UseDPDF=Y")</f>
        <v>-0.6</v>
      </c>
      <c r="M54" s="20">
        <f>_xll.BDH("SRPT US Equity","IS_EPS","FQ4 2021","FQ4 2021","Currency=USD","Period=FQ","BEST_FPERIOD_OVERRIDE=FQ","FILING_STATUS=MR","FA_ADJUSTED=GAAP","Sort=A","Dates=H","DateFormat=P","Fill=—","Direction=H","UseDPDF=Y")</f>
        <v>-1.42</v>
      </c>
      <c r="N54" s="20">
        <f>_xll.BDH("SRPT US Equity","IS_EPS","FQ1 2022","FQ1 2022","Currency=USD","Period=FQ","BEST_FPERIOD_OVERRIDE=FQ","FILING_STATUS=MR","FA_ADJUSTED=GAAP","Sort=A","Dates=H","DateFormat=P","Fill=—","Direction=H","UseDPDF=Y")</f>
        <v>-1.2</v>
      </c>
      <c r="O54" s="20">
        <f>_xll.BDH("SRPT US Equity","IS_EPS","FQ2 2022","FQ2 2022","Currency=USD","Period=FQ","BEST_FPERIOD_OVERRIDE=FQ","FILING_STATUS=MR","FA_ADJUSTED=GAAP","Sort=A","Dates=H","DateFormat=P","Fill=—","Direction=H","UseDPDF=Y")</f>
        <v>-2.65</v>
      </c>
      <c r="P54" s="20">
        <f>_xll.BDH("SRPT US Equity","IS_EPS","FQ3 2022","FQ3 2022","Currency=USD","Period=FQ","BEST_FPERIOD_OVERRIDE=FQ","FILING_STATUS=MR","FA_ADJUSTED=GAAP","Sort=A","Dates=H","DateFormat=P","Fill=—","Direction=H","UseDPDF=Y")</f>
        <v>-2.94</v>
      </c>
      <c r="Q54" s="20">
        <f>_xll.BDH("SRPT US Equity","IS_EPS","FQ4 2022","FQ4 2022","Currency=USD","Period=FQ","BEST_FPERIOD_OVERRIDE=FQ","FILING_STATUS=MR","FA_ADJUSTED=GAAP","Sort=A","Dates=H","DateFormat=P","Fill=—","Direction=H","UseDPDF=Y")</f>
        <v>-1.24</v>
      </c>
      <c r="R54" s="20">
        <f>_xll.BDH("SRPT US Equity","IS_EPS","FQ1 2023","FQ1 2023","Currency=USD","Period=FQ","BEST_FPERIOD_OVERRIDE=FQ","FILING_STATUS=MR","FA_ADJUSTED=GAAP","Sort=A","Dates=H","DateFormat=P","Fill=—","Direction=H","UseDPDF=Y")</f>
        <v>-5.86</v>
      </c>
      <c r="S54" s="20">
        <f>_xll.BDH("SRPT US Equity","IS_EPS","FQ2 2023","FQ2 2023","Currency=USD","Period=FQ","BEST_FPERIOD_OVERRIDE=FQ","FILING_STATUS=MR","FA_ADJUSTED=GAAP","Sort=A","Dates=H","DateFormat=P","Fill=—","Direction=H","UseDPDF=Y")</f>
        <v>-0.27</v>
      </c>
      <c r="T54" s="20">
        <f>_xll.BDH("SRPT US Equity","IS_EPS","FQ3 2023","FQ3 2023","Currency=USD","Period=FQ","BEST_FPERIOD_OVERRIDE=FQ","FILING_STATUS=MR","FA_ADJUSTED=GAAP","Sort=A","Dates=H","DateFormat=P","Fill=—","Direction=H","UseDPDF=Y")</f>
        <v>-0.46</v>
      </c>
      <c r="U54" s="20">
        <f>_xll.BDH("SRPT US Equity","IS_EPS","FQ4 2023","FQ4 2023","Currency=USD","Period=FQ","BEST_FPERIOD_OVERRIDE=FQ","FILING_STATUS=MR","FA_ADJUSTED=GAAP","Sort=A","Dates=H","DateFormat=P","Fill=—","Direction=H","UseDPDF=Y")</f>
        <v>0.49</v>
      </c>
      <c r="V54" s="20">
        <f>_xll.BDH("SRPT US Equity","IS_EPS","FQ1 2024","FQ1 2024","Currency=USD","Period=FQ","BEST_FPERIOD_OVERRIDE=FQ","FILING_STATUS=MR","FA_ADJUSTED=GAAP","Sort=A","Dates=H","DateFormat=P","Fill=—","Direction=H","UseDPDF=Y")</f>
        <v>0.38</v>
      </c>
      <c r="W54" s="20">
        <f>_xll.BDH("SRPT US Equity","IS_EPS","FQ2 2024","FQ2 2024","Currency=USD","Period=FQ","BEST_FPERIOD_OVERRIDE=FQ","FILING_STATUS=MR","FA_ADJUSTED=GAAP","Sort=A","Dates=H","DateFormat=P","Fill=—","Direction=H","UseDPDF=Y")</f>
        <v>7.0000000000000007E-2</v>
      </c>
      <c r="X54" s="20">
        <f>_xll.BDH("SRPT US Equity","IS_EPS","FQ3 2024","FQ3 2024","Currency=USD","Period=FQ","BEST_FPERIOD_OVERRIDE=FQ","FILING_STATUS=MR","FA_ADJUSTED=GAAP","Sort=A","Dates=H","DateFormat=P","Fill=—","Direction=H","UseDPDF=Y")</f>
        <v>0.35</v>
      </c>
      <c r="Y54" s="20">
        <f>_xll.BDH("SRPT US Equity","IS_EPS","FQ4 2024","FQ4 2024","Currency=USD","Period=FQ","BEST_FPERIOD_OVERRIDE=FQ","FILING_STATUS=MR","FA_ADJUSTED=GAAP","Sort=A","Dates=H","DateFormat=P","Fill=—","Direction=H","UseDPDF=Y")</f>
        <v>1.65</v>
      </c>
      <c r="Z54" s="20">
        <v>0.59499999999999997</v>
      </c>
      <c r="AA54" s="20">
        <v>2.3820000000000001</v>
      </c>
    </row>
    <row r="55" spans="1:27" x14ac:dyDescent="0.25">
      <c r="A55" s="6" t="s">
        <v>391</v>
      </c>
      <c r="B55" s="6" t="s">
        <v>266</v>
      </c>
      <c r="C55" s="20">
        <f>_xll.BDH("SRPT US Equity","IS_EARN_BEF_XO_ITEMS_PER_SH","FQ2 2019","FQ2 2019","Currency=USD","Period=FQ","BEST_FPERIOD_OVERRIDE=FQ","FILING_STATUS=MR","Sort=A","Dates=H","DateFormat=P","Fill=—","Direction=H","UseDPDF=Y")</f>
        <v>-3.74</v>
      </c>
      <c r="D55" s="20">
        <f>_xll.BDH("SRPT US Equity","IS_EARN_BEF_XO_ITEMS_PER_SH","FQ3 2019","FQ3 2019","Currency=USD","Period=FQ","BEST_FPERIOD_OVERRIDE=FQ","FILING_STATUS=MR","Sort=A","Dates=H","DateFormat=P","Fill=—","Direction=H","UseDPDF=Y")</f>
        <v>-1.7</v>
      </c>
      <c r="E55" s="20">
        <f>_xll.BDH("SRPT US Equity","IS_EARN_BEF_XO_ITEMS_PER_SH","FQ4 2019","FQ4 2019","Currency=USD","Period=FQ","BEST_FPERIOD_OVERRIDE=FQ","FILING_STATUS=MR","Sort=A","Dates=H","DateFormat=P","Fill=—","Direction=H","UseDPDF=Y")</f>
        <v>-3.16</v>
      </c>
      <c r="F55" s="20">
        <f>_xll.BDH("SRPT US Equity","IS_EARN_BEF_XO_ITEMS_PER_SH","FQ1 2020","FQ1 2020","Currency=USD","Period=FQ","BEST_FPERIOD_OVERRIDE=FQ","FILING_STATUS=MR","Sort=A","Dates=H","DateFormat=P","Fill=—","Direction=H","UseDPDF=Y")</f>
        <v>-0.23</v>
      </c>
      <c r="G55" s="20">
        <f>_xll.BDH("SRPT US Equity","IS_EARN_BEF_XO_ITEMS_PER_SH","FQ2 2020","FQ2 2020","Currency=USD","Period=FQ","BEST_FPERIOD_OVERRIDE=FQ","FILING_STATUS=MR","Sort=A","Dates=H","DateFormat=P","Fill=—","Direction=H","UseDPDF=Y")</f>
        <v>-1.93</v>
      </c>
      <c r="H55" s="20">
        <f>_xll.BDH("SRPT US Equity","IS_EARN_BEF_XO_ITEMS_PER_SH","FQ3 2020","FQ3 2020","Currency=USD","Period=FQ","BEST_FPERIOD_OVERRIDE=FQ","FILING_STATUS=MR","Sort=A","Dates=H","DateFormat=P","Fill=—","Direction=H","UseDPDF=Y")</f>
        <v>-2.5</v>
      </c>
      <c r="I55" s="20">
        <f>_xll.BDH("SRPT US Equity","IS_EARN_BEF_XO_ITEMS_PER_SH","FQ4 2020","FQ4 2020","Currency=USD","Period=FQ","BEST_FPERIOD_OVERRIDE=FQ","FILING_STATUS=MR","Sort=A","Dates=H","DateFormat=P","Fill=—","Direction=H","UseDPDF=Y")</f>
        <v>-2.4</v>
      </c>
      <c r="J55" s="20">
        <f>_xll.BDH("SRPT US Equity","IS_EARN_BEF_XO_ITEMS_PER_SH","FQ1 2021","FQ1 2021","Currency=USD","Period=FQ","BEST_FPERIOD_OVERRIDE=FQ","FILING_STATUS=MR","Sort=A","Dates=H","DateFormat=P","Fill=—","Direction=H","UseDPDF=Y")</f>
        <v>-2.1</v>
      </c>
      <c r="K55" s="20">
        <f>_xll.BDH("SRPT US Equity","IS_EARN_BEF_XO_ITEMS_PER_SH","FQ2 2021","FQ2 2021","Currency=USD","Period=FQ","BEST_FPERIOD_OVERRIDE=FQ","FILING_STATUS=MR","Sort=A","Dates=H","DateFormat=P","Fill=—","Direction=H","UseDPDF=Y")</f>
        <v>-1.02</v>
      </c>
      <c r="L55" s="20">
        <f>_xll.BDH("SRPT US Equity","IS_EARN_BEF_XO_ITEMS_PER_SH","FQ3 2021","FQ3 2021","Currency=USD","Period=FQ","BEST_FPERIOD_OVERRIDE=FQ","FILING_STATUS=MR","Sort=A","Dates=H","DateFormat=P","Fill=—","Direction=H","UseDPDF=Y")</f>
        <v>-0.6</v>
      </c>
      <c r="M55" s="20">
        <f>_xll.BDH("SRPT US Equity","IS_EARN_BEF_XO_ITEMS_PER_SH","FQ4 2021","FQ4 2021","Currency=USD","Period=FQ","BEST_FPERIOD_OVERRIDE=FQ","FILING_STATUS=MR","Sort=A","Dates=H","DateFormat=P","Fill=—","Direction=H","UseDPDF=Y")</f>
        <v>-1.42</v>
      </c>
      <c r="N55" s="20">
        <f>_xll.BDH("SRPT US Equity","IS_EARN_BEF_XO_ITEMS_PER_SH","FQ1 2022","FQ1 2022","Currency=USD","Period=FQ","BEST_FPERIOD_OVERRIDE=FQ","FILING_STATUS=MR","Sort=A","Dates=H","DateFormat=P","Fill=—","Direction=H","UseDPDF=Y")</f>
        <v>-1.2</v>
      </c>
      <c r="O55" s="20">
        <f>_xll.BDH("SRPT US Equity","IS_EARN_BEF_XO_ITEMS_PER_SH","FQ2 2022","FQ2 2022","Currency=USD","Period=FQ","BEST_FPERIOD_OVERRIDE=FQ","FILING_STATUS=MR","Sort=A","Dates=H","DateFormat=P","Fill=—","Direction=H","UseDPDF=Y")</f>
        <v>-2.65</v>
      </c>
      <c r="P55" s="20">
        <f>_xll.BDH("SRPT US Equity","IS_EARN_BEF_XO_ITEMS_PER_SH","FQ3 2022","FQ3 2022","Currency=USD","Period=FQ","BEST_FPERIOD_OVERRIDE=FQ","FILING_STATUS=MR","Sort=A","Dates=H","DateFormat=P","Fill=—","Direction=H","UseDPDF=Y")</f>
        <v>-2.94</v>
      </c>
      <c r="Q55" s="20">
        <f>_xll.BDH("SRPT US Equity","IS_EARN_BEF_XO_ITEMS_PER_SH","FQ4 2022","FQ4 2022","Currency=USD","Period=FQ","BEST_FPERIOD_OVERRIDE=FQ","FILING_STATUS=MR","Sort=A","Dates=H","DateFormat=P","Fill=—","Direction=H","UseDPDF=Y")</f>
        <v>-1.24</v>
      </c>
      <c r="R55" s="20">
        <f>_xll.BDH("SRPT US Equity","IS_EARN_BEF_XO_ITEMS_PER_SH","FQ1 2023","FQ1 2023","Currency=USD","Period=FQ","BEST_FPERIOD_OVERRIDE=FQ","FILING_STATUS=MR","Sort=A","Dates=H","DateFormat=P","Fill=—","Direction=H","UseDPDF=Y")</f>
        <v>-5.86</v>
      </c>
      <c r="S55" s="20">
        <f>_xll.BDH("SRPT US Equity","IS_EARN_BEF_XO_ITEMS_PER_SH","FQ2 2023","FQ2 2023","Currency=USD","Period=FQ","BEST_FPERIOD_OVERRIDE=FQ","FILING_STATUS=MR","Sort=A","Dates=H","DateFormat=P","Fill=—","Direction=H","UseDPDF=Y")</f>
        <v>-0.27</v>
      </c>
      <c r="T55" s="20">
        <f>_xll.BDH("SRPT US Equity","IS_EARN_BEF_XO_ITEMS_PER_SH","FQ3 2023","FQ3 2023","Currency=USD","Period=FQ","BEST_FPERIOD_OVERRIDE=FQ","FILING_STATUS=MR","Sort=A","Dates=H","DateFormat=P","Fill=—","Direction=H","UseDPDF=Y")</f>
        <v>-0.46</v>
      </c>
      <c r="U55" s="20">
        <f>_xll.BDH("SRPT US Equity","IS_EARN_BEF_XO_ITEMS_PER_SH","FQ4 2023","FQ4 2023","Currency=USD","Period=FQ","BEST_FPERIOD_OVERRIDE=FQ","FILING_STATUS=MR","Sort=A","Dates=H","DateFormat=P","Fill=—","Direction=H","UseDPDF=Y")</f>
        <v>0.49</v>
      </c>
      <c r="V55" s="20">
        <f>_xll.BDH("SRPT US Equity","IS_EARN_BEF_XO_ITEMS_PER_SH","FQ1 2024","FQ1 2024","Currency=USD","Period=FQ","BEST_FPERIOD_OVERRIDE=FQ","FILING_STATUS=MR","Sort=A","Dates=H","DateFormat=P","Fill=—","Direction=H","UseDPDF=Y")</f>
        <v>0.38</v>
      </c>
      <c r="W55" s="20">
        <f>_xll.BDH("SRPT US Equity","IS_EARN_BEF_XO_ITEMS_PER_SH","FQ2 2024","FQ2 2024","Currency=USD","Period=FQ","BEST_FPERIOD_OVERRIDE=FQ","FILING_STATUS=MR","Sort=A","Dates=H","DateFormat=P","Fill=—","Direction=H","UseDPDF=Y")</f>
        <v>7.0000000000000007E-2</v>
      </c>
      <c r="X55" s="20">
        <f>_xll.BDH("SRPT US Equity","IS_EARN_BEF_XO_ITEMS_PER_SH","FQ3 2024","FQ3 2024","Currency=USD","Period=FQ","BEST_FPERIOD_OVERRIDE=FQ","FILING_STATUS=MR","Sort=A","Dates=H","DateFormat=P","Fill=—","Direction=H","UseDPDF=Y")</f>
        <v>0.35</v>
      </c>
      <c r="Y55" s="20">
        <f>_xll.BDH("SRPT US Equity","IS_EARN_BEF_XO_ITEMS_PER_SH","FQ4 2024","FQ4 2024","Currency=USD","Period=FQ","BEST_FPERIOD_OVERRIDE=FQ","FILING_STATUS=MR","Sort=A","Dates=H","DateFormat=P","Fill=—","Direction=H","UseDPDF=Y")</f>
        <v>1.65</v>
      </c>
      <c r="Z55" s="20">
        <v>0.59499999999999997</v>
      </c>
      <c r="AA55" s="20">
        <v>2.3820000000000001</v>
      </c>
    </row>
    <row r="56" spans="1:27" x14ac:dyDescent="0.25">
      <c r="A56" s="6" t="s">
        <v>392</v>
      </c>
      <c r="B56" s="6" t="s">
        <v>268</v>
      </c>
      <c r="C56" s="20">
        <f>_xll.BDH("SRPT US Equity","IS_BASIC_EPS_CONT_OPS","FQ2 2019","FQ2 2019","Currency=USD","Period=FQ","BEST_FPERIOD_OVERRIDE=FQ","FILING_STATUS=MR","Sort=A","Dates=H","DateFormat=P","Fill=—","Direction=H","UseDPDF=Y")</f>
        <v>-1.1910000000000001</v>
      </c>
      <c r="D56" s="20">
        <f>_xll.BDH("SRPT US Equity","IS_BASIC_EPS_CONT_OPS","FQ3 2019","FQ3 2019","Currency=USD","Period=FQ","BEST_FPERIOD_OVERRIDE=FQ","FILING_STATUS=MR","Sort=A","Dates=H","DateFormat=P","Fill=—","Direction=H","UseDPDF=Y")</f>
        <v>-1.5737000000000001</v>
      </c>
      <c r="E56" s="20">
        <f>_xll.BDH("SRPT US Equity","IS_BASIC_EPS_CONT_OPS","FQ4 2019","FQ4 2019","Currency=USD","Period=FQ","BEST_FPERIOD_OVERRIDE=FQ","FILING_STATUS=MR","Sort=A","Dates=H","DateFormat=P","Fill=—","Direction=H","UseDPDF=Y")</f>
        <v>-2.2627000000000002</v>
      </c>
      <c r="F56" s="20">
        <f>_xll.BDH("SRPT US Equity","IS_BASIC_EPS_CONT_OPS","FQ1 2020","FQ1 2020","Currency=USD","Period=FQ","BEST_FPERIOD_OVERRIDE=FQ","FILING_STATUS=MR","Sort=A","Dates=H","DateFormat=P","Fill=—","Direction=H","UseDPDF=Y")</f>
        <v>-1.4926999999999999</v>
      </c>
      <c r="G56" s="20">
        <f>_xll.BDH("SRPT US Equity","IS_BASIC_EPS_CONT_OPS","FQ2 2020","FQ2 2020","Currency=USD","Period=FQ","BEST_FPERIOD_OVERRIDE=FQ","FILING_STATUS=MR","Sort=A","Dates=H","DateFormat=P","Fill=—","Direction=H","UseDPDF=Y")</f>
        <v>-1.93</v>
      </c>
      <c r="H56" s="20">
        <f>_xll.BDH("SRPT US Equity","IS_BASIC_EPS_CONT_OPS","FQ3 2020","FQ3 2020","Currency=USD","Period=FQ","BEST_FPERIOD_OVERRIDE=FQ","FILING_STATUS=MR","Sort=A","Dates=H","DateFormat=P","Fill=—","Direction=H","UseDPDF=Y")</f>
        <v>-1.8956</v>
      </c>
      <c r="I56" s="20">
        <f>_xll.BDH("SRPT US Equity","IS_BASIC_EPS_CONT_OPS","FQ4 2020","FQ4 2020","Currency=USD","Period=FQ","BEST_FPERIOD_OVERRIDE=FQ","FILING_STATUS=MR","Sort=A","Dates=H","DateFormat=P","Fill=—","Direction=H","UseDPDF=Y")</f>
        <v>-2.2930000000000001</v>
      </c>
      <c r="J56" s="20">
        <f>_xll.BDH("SRPT US Equity","IS_BASIC_EPS_CONT_OPS","FQ1 2021","FQ1 2021","Currency=USD","Period=FQ","BEST_FPERIOD_OVERRIDE=FQ","FILING_STATUS=MR","Sort=A","Dates=H","DateFormat=P","Fill=—","Direction=H","UseDPDF=Y")</f>
        <v>-1.9294</v>
      </c>
      <c r="K56" s="20">
        <f>_xll.BDH("SRPT US Equity","IS_BASIC_EPS_CONT_OPS","FQ2 2021","FQ2 2021","Currency=USD","Period=FQ","BEST_FPERIOD_OVERRIDE=FQ","FILING_STATUS=MR","Sort=A","Dates=H","DateFormat=P","Fill=—","Direction=H","UseDPDF=Y")</f>
        <v>-1.9026000000000001</v>
      </c>
      <c r="L56" s="20">
        <f>_xll.BDH("SRPT US Equity","IS_BASIC_EPS_CONT_OPS","FQ3 2021","FQ3 2021","Currency=USD","Period=FQ","BEST_FPERIOD_OVERRIDE=FQ","FILING_STATUS=MR","Sort=A","Dates=H","DateFormat=P","Fill=—","Direction=H","UseDPDF=Y")</f>
        <v>-0.55830000000000002</v>
      </c>
      <c r="M56" s="20">
        <f>_xll.BDH("SRPT US Equity","IS_BASIC_EPS_CONT_OPS","FQ4 2021","FQ4 2021","Currency=USD","Period=FQ","BEST_FPERIOD_OVERRIDE=FQ","FILING_STATUS=MR","Sort=A","Dates=H","DateFormat=P","Fill=—","Direction=H","UseDPDF=Y")</f>
        <v>-1.42</v>
      </c>
      <c r="N56" s="20">
        <f>_xll.BDH("SRPT US Equity","IS_BASIC_EPS_CONT_OPS","FQ1 2022","FQ1 2022","Currency=USD","Period=FQ","BEST_FPERIOD_OVERRIDE=FQ","FILING_STATUS=MR","Sort=A","Dates=H","DateFormat=P","Fill=—","Direction=H","UseDPDF=Y")</f>
        <v>-1.2</v>
      </c>
      <c r="O56" s="20">
        <f>_xll.BDH("SRPT US Equity","IS_BASIC_EPS_CONT_OPS","FQ2 2022","FQ2 2022","Currency=USD","Period=FQ","BEST_FPERIOD_OVERRIDE=FQ","FILING_STATUS=MR","Sort=A","Dates=H","DateFormat=P","Fill=—","Direction=H","UseDPDF=Y")</f>
        <v>-2.65</v>
      </c>
      <c r="P56" s="20">
        <f>_xll.BDH("SRPT US Equity","IS_BASIC_EPS_CONT_OPS","FQ3 2022","FQ3 2022","Currency=USD","Period=FQ","BEST_FPERIOD_OVERRIDE=FQ","FILING_STATUS=MR","Sort=A","Dates=H","DateFormat=P","Fill=—","Direction=H","UseDPDF=Y")</f>
        <v>-1.8708</v>
      </c>
      <c r="Q56" s="20">
        <f>_xll.BDH("SRPT US Equity","IS_BASIC_EPS_CONT_OPS","FQ4 2022","FQ4 2022","Currency=USD","Period=FQ","BEST_FPERIOD_OVERRIDE=FQ","FILING_STATUS=MR","Sort=A","Dates=H","DateFormat=P","Fill=—","Direction=H","UseDPDF=Y")</f>
        <v>-1.2204999999999999</v>
      </c>
      <c r="R56" s="20">
        <f>_xll.BDH("SRPT US Equity","IS_BASIC_EPS_CONT_OPS","FQ1 2023","FQ1 2023","Currency=USD","Period=FQ","BEST_FPERIOD_OVERRIDE=FQ","FILING_STATUS=MR","Sort=A","Dates=H","DateFormat=P","Fill=—","Direction=H","UseDPDF=Y")</f>
        <v>-2.39</v>
      </c>
      <c r="S56" s="20">
        <f>_xll.BDH("SRPT US Equity","IS_BASIC_EPS_CONT_OPS","FQ2 2023","FQ2 2023","Currency=USD","Period=FQ","BEST_FPERIOD_OVERRIDE=FQ","FILING_STATUS=MR","Sort=A","Dates=H","DateFormat=P","Fill=—","Direction=H","UseDPDF=Y")</f>
        <v>-1.1849000000000001</v>
      </c>
      <c r="T56" s="20">
        <f>_xll.BDH("SRPT US Equity","IS_BASIC_EPS_CONT_OPS","FQ3 2023","FQ3 2023","Currency=USD","Period=FQ","BEST_FPERIOD_OVERRIDE=FQ","FILING_STATUS=MR","Sort=A","Dates=H","DateFormat=P","Fill=—","Direction=H","UseDPDF=Y")</f>
        <v>-0.44280000000000003</v>
      </c>
      <c r="U56" s="20">
        <f>_xll.BDH("SRPT US Equity","IS_BASIC_EPS_CONT_OPS","FQ4 2023","FQ4 2023","Currency=USD","Period=FQ","BEST_FPERIOD_OVERRIDE=FQ","FILING_STATUS=MR","Sort=A","Dates=H","DateFormat=P","Fill=—","Direction=H","UseDPDF=Y")</f>
        <v>0.49</v>
      </c>
      <c r="V56" s="20">
        <f>_xll.BDH("SRPT US Equity","IS_BASIC_EPS_CONT_OPS","FQ1 2024","FQ1 2024","Currency=USD","Period=FQ","BEST_FPERIOD_OVERRIDE=FQ","FILING_STATUS=MR","Sort=A","Dates=H","DateFormat=P","Fill=—","Direction=H","UseDPDF=Y")</f>
        <v>0.4884</v>
      </c>
      <c r="W56" s="20">
        <f>_xll.BDH("SRPT US Equity","IS_BASIC_EPS_CONT_OPS","FQ2 2024","FQ2 2024","Currency=USD","Period=FQ","BEST_FPERIOD_OVERRIDE=FQ","FILING_STATUS=MR","Sort=A","Dates=H","DateFormat=P","Fill=—","Direction=H","UseDPDF=Y")</f>
        <v>7.0000000000000007E-2</v>
      </c>
      <c r="X56" s="20">
        <f>_xll.BDH("SRPT US Equity","IS_BASIC_EPS_CONT_OPS","FQ3 2024","FQ3 2024","Currency=USD","Period=FQ","BEST_FPERIOD_OVERRIDE=FQ","FILING_STATUS=MR","Sort=A","Dates=H","DateFormat=P","Fill=—","Direction=H","UseDPDF=Y")</f>
        <v>0.33810000000000001</v>
      </c>
      <c r="Y56" s="20">
        <f>_xll.BDH("SRPT US Equity","IS_BASIC_EPS_CONT_OPS","FQ4 2024","FQ4 2024","Currency=USD","Period=FQ","BEST_FPERIOD_OVERRIDE=FQ","FILING_STATUS=MR","Sort=A","Dates=H","DateFormat=P","Fill=—","Direction=H","UseDPDF=Y")</f>
        <v>1.6445000000000001</v>
      </c>
      <c r="Z56" s="20">
        <v>1.4410000000000001</v>
      </c>
      <c r="AA56" s="20">
        <v>2.8010000000000002</v>
      </c>
    </row>
    <row r="57" spans="1:27" x14ac:dyDescent="0.25">
      <c r="A57" s="6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x14ac:dyDescent="0.25">
      <c r="A58" s="10" t="s">
        <v>258</v>
      </c>
      <c r="B58" s="10" t="s">
        <v>108</v>
      </c>
      <c r="C58" s="13">
        <f>_xll.BDH("SRPT US Equity","IS_SH_FOR_DILUTED_EPS","FQ2 2019","FQ2 2019","Currency=USD","Period=FQ","BEST_FPERIOD_OVERRIDE=FQ","FILING_STATUS=MR","Sort=A","Dates=H","DateFormat=P","Fill=—","Direction=H","UseDPDF=Y")</f>
        <v>73.957999999999998</v>
      </c>
      <c r="D58" s="13">
        <f>_xll.BDH("SRPT US Equity","IS_SH_FOR_DILUTED_EPS","FQ3 2019","FQ3 2019","Currency=USD","Period=FQ","BEST_FPERIOD_OVERRIDE=FQ","FILING_STATUS=MR","Sort=A","Dates=H","DateFormat=P","Fill=—","Direction=H","UseDPDF=Y")</f>
        <v>74.177000000000007</v>
      </c>
      <c r="E58" s="13">
        <f>_xll.BDH("SRPT US Equity","IS_SH_FOR_DILUTED_EPS","FQ4 2019","FQ4 2019","Currency=USD","Period=FQ","BEST_FPERIOD_OVERRIDE=FQ","FILING_STATUS=MR","Sort=A","Dates=H","DateFormat=P","Fill=—","Direction=H","UseDPDF=Y")</f>
        <v>74.557000000000002</v>
      </c>
      <c r="F58" s="13">
        <f>_xll.BDH("SRPT US Equity","IS_SH_FOR_DILUTED_EPS","FQ1 2020","FQ1 2020","Currency=USD","Period=FQ","BEST_FPERIOD_OVERRIDE=FQ","FILING_STATUS=MR","Sort=A","Dates=H","DateFormat=P","Fill=—","Direction=H","UseDPDF=Y")</f>
        <v>76.432000000000002</v>
      </c>
      <c r="G58" s="13">
        <f>_xll.BDH("SRPT US Equity","IS_SH_FOR_DILUTED_EPS","FQ2 2020","FQ2 2020","Currency=USD","Period=FQ","BEST_FPERIOD_OVERRIDE=FQ","FILING_STATUS=MR","Sort=A","Dates=H","DateFormat=P","Fill=—","Direction=H","UseDPDF=Y")</f>
        <v>77.968000000000004</v>
      </c>
      <c r="H58" s="13">
        <f>_xll.BDH("SRPT US Equity","IS_SH_FOR_DILUTED_EPS","FQ3 2020","FQ3 2020","Currency=USD","Period=FQ","BEST_FPERIOD_OVERRIDE=FQ","FILING_STATUS=MR","Sort=A","Dates=H","DateFormat=P","Fill=—","Direction=H","UseDPDF=Y")</f>
        <v>78.501000000000005</v>
      </c>
      <c r="I58" s="13">
        <f>_xll.BDH("SRPT US Equity","IS_SH_FOR_DILUTED_EPS","FQ4 2020","FQ4 2020","Currency=USD","Period=FQ","BEST_FPERIOD_OVERRIDE=FQ","FILING_STATUS=MR","Sort=A","Dates=H","DateFormat=P","Fill=—","Direction=H","UseDPDF=Y")</f>
        <v>78.905000000000001</v>
      </c>
      <c r="J58" s="13">
        <f>_xll.BDH("SRPT US Equity","IS_SH_FOR_DILUTED_EPS","FQ1 2021","FQ1 2021","Currency=USD","Period=FQ","BEST_FPERIOD_OVERRIDE=FQ","FILING_STATUS=MR","Sort=A","Dates=H","DateFormat=P","Fill=—","Direction=H","UseDPDF=Y")</f>
        <v>79.453999999999994</v>
      </c>
      <c r="K58" s="13">
        <f>_xll.BDH("SRPT US Equity","IS_SH_FOR_DILUTED_EPS","FQ2 2021","FQ2 2021","Currency=USD","Period=FQ","BEST_FPERIOD_OVERRIDE=FQ","FILING_STATUS=MR","Sort=A","Dates=H","DateFormat=P","Fill=—","Direction=H","UseDPDF=Y")</f>
        <v>79.745999999999995</v>
      </c>
      <c r="L58" s="13">
        <f>_xll.BDH("SRPT US Equity","IS_SH_FOR_DILUTED_EPS","FQ3 2021","FQ3 2021","Currency=USD","Period=FQ","BEST_FPERIOD_OVERRIDE=FQ","FILING_STATUS=MR","Sort=A","Dates=H","DateFormat=P","Fill=—","Direction=H","UseDPDF=Y")</f>
        <v>79.88</v>
      </c>
      <c r="M58" s="13">
        <f>_xll.BDH("SRPT US Equity","IS_SH_FOR_DILUTED_EPS","FQ4 2021","FQ4 2021","Currency=USD","Period=FQ","BEST_FPERIOD_OVERRIDE=FQ","FILING_STATUS=MR","Sort=A","Dates=H","DateFormat=P","Fill=—","Direction=H","UseDPDF=Y")</f>
        <v>85.950999999999993</v>
      </c>
      <c r="N58" s="13">
        <f>_xll.BDH("SRPT US Equity","IS_SH_FOR_DILUTED_EPS","FQ1 2022","FQ1 2022","Currency=USD","Period=FQ","BEST_FPERIOD_OVERRIDE=FQ","FILING_STATUS=MR","Sort=A","Dates=H","DateFormat=P","Fill=—","Direction=H","UseDPDF=Y")</f>
        <v>87.253</v>
      </c>
      <c r="O58" s="13">
        <f>_xll.BDH("SRPT US Equity","IS_SH_FOR_DILUTED_EPS","FQ2 2022","FQ2 2022","Currency=USD","Period=FQ","BEST_FPERIOD_OVERRIDE=FQ","FILING_STATUS=MR","Sort=A","Dates=H","DateFormat=P","Fill=—","Direction=H","UseDPDF=Y")</f>
        <v>87.510999999999996</v>
      </c>
      <c r="P58" s="13">
        <f>_xll.BDH("SRPT US Equity","IS_SH_FOR_DILUTED_EPS","FQ3 2022","FQ3 2022","Currency=USD","Period=FQ","BEST_FPERIOD_OVERRIDE=FQ","FILING_STATUS=MR","Sort=A","Dates=H","DateFormat=P","Fill=—","Direction=H","UseDPDF=Y")</f>
        <v>87.628</v>
      </c>
      <c r="Q58" s="13">
        <f>_xll.BDH("SRPT US Equity","IS_SH_FOR_DILUTED_EPS","FQ4 2022","FQ4 2022","Currency=USD","Period=FQ","BEST_FPERIOD_OVERRIDE=FQ","FILING_STATUS=MR","Sort=A","Dates=H","DateFormat=P","Fill=—","Direction=H","UseDPDF=Y")</f>
        <v>87.837999999999994</v>
      </c>
      <c r="R58" s="13">
        <f>_xll.BDH("SRPT US Equity","IS_SH_FOR_DILUTED_EPS","FQ1 2023","FQ1 2023","Currency=USD","Period=FQ","BEST_FPERIOD_OVERRIDE=FQ","FILING_STATUS=MR","Sort=A","Dates=H","DateFormat=P","Fill=—","Direction=H","UseDPDF=Y")</f>
        <v>88.186000000000007</v>
      </c>
      <c r="S58" s="13">
        <f>_xll.BDH("SRPT US Equity","IS_SH_FOR_DILUTED_EPS","FQ2 2023","FQ2 2023","Currency=USD","Period=FQ","BEST_FPERIOD_OVERRIDE=FQ","FILING_STATUS=MR","Sort=A","Dates=H","DateFormat=P","Fill=—","Direction=H","UseDPDF=Y")</f>
        <v>88.742999999999995</v>
      </c>
      <c r="T58" s="13">
        <f>_xll.BDH("SRPT US Equity","IS_SH_FOR_DILUTED_EPS","FQ3 2023","FQ3 2023","Currency=USD","Period=FQ","BEST_FPERIOD_OVERRIDE=FQ","FILING_STATUS=MR","Sort=A","Dates=H","DateFormat=P","Fill=—","Direction=H","UseDPDF=Y")</f>
        <v>88.888999999999996</v>
      </c>
      <c r="U58" s="13">
        <f>_xll.BDH("SRPT US Equity","IS_SH_FOR_DILUTED_EPS","FQ4 2023","FQ4 2023","Currency=USD","Period=FQ","BEST_FPERIOD_OVERRIDE=FQ","FILING_STATUS=MR","Sort=A","Dates=H","DateFormat=P","Fill=—","Direction=H","UseDPDF=Y")</f>
        <v>105.59399999999999</v>
      </c>
      <c r="V58" s="13">
        <f>_xll.BDH("SRPT US Equity","IS_SH_FOR_DILUTED_EPS","FQ1 2024","FQ1 2024","Currency=USD","Period=FQ","BEST_FPERIOD_OVERRIDE=FQ","FILING_STATUS=MR","Sort=A","Dates=H","DateFormat=P","Fill=—","Direction=H","UseDPDF=Y")</f>
        <v>99.114000000000004</v>
      </c>
      <c r="W58" s="13">
        <f>_xll.BDH("SRPT US Equity","IS_SH_FOR_DILUTED_EPS","FQ2 2024","FQ2 2024","Currency=USD","Period=FQ","BEST_FPERIOD_OVERRIDE=FQ","FILING_STATUS=MR","Sort=A","Dates=H","DateFormat=P","Fill=—","Direction=H","UseDPDF=Y")</f>
        <v>99.144000000000005</v>
      </c>
      <c r="X58" s="13">
        <f>_xll.BDH("SRPT US Equity","IS_SH_FOR_DILUTED_EPS","FQ3 2024","FQ3 2024","Currency=USD","Period=FQ","BEST_FPERIOD_OVERRIDE=FQ","FILING_STATUS=MR","Sort=A","Dates=H","DateFormat=P","Fill=—","Direction=H","UseDPDF=Y")</f>
        <v>100.44799999999999</v>
      </c>
      <c r="Y58" s="13">
        <f>_xll.BDH("SRPT US Equity","IS_SH_FOR_DILUTED_EPS","FQ4 2024","FQ4 2024","Currency=USD","Period=FQ","BEST_FPERIOD_OVERRIDE=FQ","FILING_STATUS=MR","Sort=A","Dates=H","DateFormat=P","Fill=—","Direction=H","UseDPDF=Y")</f>
        <v>108.474</v>
      </c>
      <c r="Z58" s="13"/>
      <c r="AA58" s="13"/>
    </row>
    <row r="59" spans="1:27" x14ac:dyDescent="0.25">
      <c r="A59" s="6" t="s">
        <v>103</v>
      </c>
      <c r="B59" s="6" t="s">
        <v>104</v>
      </c>
      <c r="C59" s="20">
        <f>_xll.BDH("SRPT US Equity","IS_DILUTED_EPS","FQ2 2019","FQ2 2019","Currency=USD","Period=FQ","BEST_FPERIOD_OVERRIDE=FQ","FILING_STATUS=MR","FA_ADJUSTED=GAAP","Sort=A","Dates=H","DateFormat=P","Fill=—","Direction=H","UseDPDF=Y")</f>
        <v>-3.74</v>
      </c>
      <c r="D59" s="20">
        <f>_xll.BDH("SRPT US Equity","IS_DILUTED_EPS","FQ3 2019","FQ3 2019","Currency=USD","Period=FQ","BEST_FPERIOD_OVERRIDE=FQ","FILING_STATUS=MR","FA_ADJUSTED=GAAP","Sort=A","Dates=H","DateFormat=P","Fill=—","Direction=H","UseDPDF=Y")</f>
        <v>-1.7</v>
      </c>
      <c r="E59" s="20">
        <f>_xll.BDH("SRPT US Equity","IS_DILUTED_EPS","FQ4 2019","FQ4 2019","Currency=USD","Period=FQ","BEST_FPERIOD_OVERRIDE=FQ","FILING_STATUS=MR","FA_ADJUSTED=GAAP","Sort=A","Dates=H","DateFormat=P","Fill=—","Direction=H","UseDPDF=Y")</f>
        <v>-3.16</v>
      </c>
      <c r="F59" s="20">
        <f>_xll.BDH("SRPT US Equity","IS_DILUTED_EPS","FQ1 2020","FQ1 2020","Currency=USD","Period=FQ","BEST_FPERIOD_OVERRIDE=FQ","FILING_STATUS=MR","FA_ADJUSTED=GAAP","Sort=A","Dates=H","DateFormat=P","Fill=—","Direction=H","UseDPDF=Y")</f>
        <v>-0.23</v>
      </c>
      <c r="G59" s="20">
        <f>_xll.BDH("SRPT US Equity","IS_DILUTED_EPS","FQ2 2020","FQ2 2020","Currency=USD","Period=FQ","BEST_FPERIOD_OVERRIDE=FQ","FILING_STATUS=MR","FA_ADJUSTED=GAAP","Sort=A","Dates=H","DateFormat=P","Fill=—","Direction=H","UseDPDF=Y")</f>
        <v>-1.93</v>
      </c>
      <c r="H59" s="20">
        <f>_xll.BDH("SRPT US Equity","IS_DILUTED_EPS","FQ3 2020","FQ3 2020","Currency=USD","Period=FQ","BEST_FPERIOD_OVERRIDE=FQ","FILING_STATUS=MR","FA_ADJUSTED=GAAP","Sort=A","Dates=H","DateFormat=P","Fill=—","Direction=H","UseDPDF=Y")</f>
        <v>-2.5</v>
      </c>
      <c r="I59" s="20">
        <f>_xll.BDH("SRPT US Equity","IS_DILUTED_EPS","FQ4 2020","FQ4 2020","Currency=USD","Period=FQ","BEST_FPERIOD_OVERRIDE=FQ","FILING_STATUS=MR","FA_ADJUSTED=GAAP","Sort=A","Dates=H","DateFormat=P","Fill=—","Direction=H","UseDPDF=Y")</f>
        <v>-2.4</v>
      </c>
      <c r="J59" s="20">
        <f>_xll.BDH("SRPT US Equity","IS_DILUTED_EPS","FQ1 2021","FQ1 2021","Currency=USD","Period=FQ","BEST_FPERIOD_OVERRIDE=FQ","FILING_STATUS=MR","FA_ADJUSTED=GAAP","Sort=A","Dates=H","DateFormat=P","Fill=—","Direction=H","UseDPDF=Y")</f>
        <v>-2.1</v>
      </c>
      <c r="K59" s="20">
        <f>_xll.BDH("SRPT US Equity","IS_DILUTED_EPS","FQ2 2021","FQ2 2021","Currency=USD","Period=FQ","BEST_FPERIOD_OVERRIDE=FQ","FILING_STATUS=MR","FA_ADJUSTED=GAAP","Sort=A","Dates=H","DateFormat=P","Fill=—","Direction=H","UseDPDF=Y")</f>
        <v>-1.02</v>
      </c>
      <c r="L59" s="20">
        <f>_xll.BDH("SRPT US Equity","IS_DILUTED_EPS","FQ3 2021","FQ3 2021","Currency=USD","Period=FQ","BEST_FPERIOD_OVERRIDE=FQ","FILING_STATUS=MR","FA_ADJUSTED=GAAP","Sort=A","Dates=H","DateFormat=P","Fill=—","Direction=H","UseDPDF=Y")</f>
        <v>-0.6</v>
      </c>
      <c r="M59" s="20">
        <f>_xll.BDH("SRPT US Equity","IS_DILUTED_EPS","FQ4 2021","FQ4 2021","Currency=USD","Period=FQ","BEST_FPERIOD_OVERRIDE=FQ","FILING_STATUS=MR","FA_ADJUSTED=GAAP","Sort=A","Dates=H","DateFormat=P","Fill=—","Direction=H","UseDPDF=Y")</f>
        <v>-1.42</v>
      </c>
      <c r="N59" s="20">
        <f>_xll.BDH("SRPT US Equity","IS_DILUTED_EPS","FQ1 2022","FQ1 2022","Currency=USD","Period=FQ","BEST_FPERIOD_OVERRIDE=FQ","FILING_STATUS=MR","FA_ADJUSTED=GAAP","Sort=A","Dates=H","DateFormat=P","Fill=—","Direction=H","UseDPDF=Y")</f>
        <v>-1.2</v>
      </c>
      <c r="O59" s="20">
        <f>_xll.BDH("SRPT US Equity","IS_DILUTED_EPS","FQ2 2022","FQ2 2022","Currency=USD","Period=FQ","BEST_FPERIOD_OVERRIDE=FQ","FILING_STATUS=MR","FA_ADJUSTED=GAAP","Sort=A","Dates=H","DateFormat=P","Fill=—","Direction=H","UseDPDF=Y")</f>
        <v>-2.65</v>
      </c>
      <c r="P59" s="20">
        <f>_xll.BDH("SRPT US Equity","IS_DILUTED_EPS","FQ3 2022","FQ3 2022","Currency=USD","Period=FQ","BEST_FPERIOD_OVERRIDE=FQ","FILING_STATUS=MR","FA_ADJUSTED=GAAP","Sort=A","Dates=H","DateFormat=P","Fill=—","Direction=H","UseDPDF=Y")</f>
        <v>-2.94</v>
      </c>
      <c r="Q59" s="20">
        <f>_xll.BDH("SRPT US Equity","IS_DILUTED_EPS","FQ4 2022","FQ4 2022","Currency=USD","Period=FQ","BEST_FPERIOD_OVERRIDE=FQ","FILING_STATUS=MR","FA_ADJUSTED=GAAP","Sort=A","Dates=H","DateFormat=P","Fill=—","Direction=H","UseDPDF=Y")</f>
        <v>-1.24</v>
      </c>
      <c r="R59" s="20">
        <f>_xll.BDH("SRPT US Equity","IS_DILUTED_EPS","FQ1 2023","FQ1 2023","Currency=USD","Period=FQ","BEST_FPERIOD_OVERRIDE=FQ","FILING_STATUS=MR","FA_ADJUSTED=GAAP","Sort=A","Dates=H","DateFormat=P","Fill=—","Direction=H","UseDPDF=Y")</f>
        <v>-5.86</v>
      </c>
      <c r="S59" s="20">
        <f>_xll.BDH("SRPT US Equity","IS_DILUTED_EPS","FQ2 2023","FQ2 2023","Currency=USD","Period=FQ","BEST_FPERIOD_OVERRIDE=FQ","FILING_STATUS=MR","FA_ADJUSTED=GAAP","Sort=A","Dates=H","DateFormat=P","Fill=—","Direction=H","UseDPDF=Y")</f>
        <v>-0.27</v>
      </c>
      <c r="T59" s="20">
        <f>_xll.BDH("SRPT US Equity","IS_DILUTED_EPS","FQ3 2023","FQ3 2023","Currency=USD","Period=FQ","BEST_FPERIOD_OVERRIDE=FQ","FILING_STATUS=MR","FA_ADJUSTED=GAAP","Sort=A","Dates=H","DateFormat=P","Fill=—","Direction=H","UseDPDF=Y")</f>
        <v>-0.46</v>
      </c>
      <c r="U59" s="20">
        <f>_xll.BDH("SRPT US Equity","IS_DILUTED_EPS","FQ4 2023","FQ4 2023","Currency=USD","Period=FQ","BEST_FPERIOD_OVERRIDE=FQ","FILING_STATUS=MR","FA_ADJUSTED=GAAP","Sort=A","Dates=H","DateFormat=P","Fill=—","Direction=H","UseDPDF=Y")</f>
        <v>0.47</v>
      </c>
      <c r="V59" s="20">
        <f>_xll.BDH("SRPT US Equity","IS_DILUTED_EPS","FQ1 2024","FQ1 2024","Currency=USD","Period=FQ","BEST_FPERIOD_OVERRIDE=FQ","FILING_STATUS=MR","FA_ADJUSTED=GAAP","Sort=A","Dates=H","DateFormat=P","Fill=—","Direction=H","UseDPDF=Y")</f>
        <v>0.37</v>
      </c>
      <c r="W59" s="20">
        <f>_xll.BDH("SRPT US Equity","IS_DILUTED_EPS","FQ2 2024","FQ2 2024","Currency=USD","Period=FQ","BEST_FPERIOD_OVERRIDE=FQ","FILING_STATUS=MR","FA_ADJUSTED=GAAP","Sort=A","Dates=H","DateFormat=P","Fill=—","Direction=H","UseDPDF=Y")</f>
        <v>7.0000000000000007E-2</v>
      </c>
      <c r="X59" s="20">
        <f>_xll.BDH("SRPT US Equity","IS_DILUTED_EPS","FQ3 2024","FQ3 2024","Currency=USD","Period=FQ","BEST_FPERIOD_OVERRIDE=FQ","FILING_STATUS=MR","FA_ADJUSTED=GAAP","Sort=A","Dates=H","DateFormat=P","Fill=—","Direction=H","UseDPDF=Y")</f>
        <v>0.34</v>
      </c>
      <c r="Y59" s="20">
        <f>_xll.BDH("SRPT US Equity","IS_DILUTED_EPS","FQ4 2024","FQ4 2024","Currency=USD","Period=FQ","BEST_FPERIOD_OVERRIDE=FQ","FILING_STATUS=MR","FA_ADJUSTED=GAAP","Sort=A","Dates=H","DateFormat=P","Fill=—","Direction=H","UseDPDF=Y")</f>
        <v>1.5</v>
      </c>
      <c r="Z59" s="20">
        <v>0.59499999999999997</v>
      </c>
      <c r="AA59" s="20">
        <v>2.3820000000000001</v>
      </c>
    </row>
    <row r="60" spans="1:27" x14ac:dyDescent="0.25">
      <c r="A60" s="6" t="s">
        <v>393</v>
      </c>
      <c r="B60" s="6" t="s">
        <v>271</v>
      </c>
      <c r="C60" s="20">
        <f>_xll.BDH("SRPT US Equity","IS_DIL_EPS_BEF_XO","FQ2 2019","FQ2 2019","Currency=USD","Period=FQ","BEST_FPERIOD_OVERRIDE=FQ","FILING_STATUS=MR","Sort=A","Dates=H","DateFormat=P","Fill=—","Direction=H","UseDPDF=Y")</f>
        <v>-3.74</v>
      </c>
      <c r="D60" s="20">
        <f>_xll.BDH("SRPT US Equity","IS_DIL_EPS_BEF_XO","FQ3 2019","FQ3 2019","Currency=USD","Period=FQ","BEST_FPERIOD_OVERRIDE=FQ","FILING_STATUS=MR","Sort=A","Dates=H","DateFormat=P","Fill=—","Direction=H","UseDPDF=Y")</f>
        <v>-1.7</v>
      </c>
      <c r="E60" s="20">
        <f>_xll.BDH("SRPT US Equity","IS_DIL_EPS_BEF_XO","FQ4 2019","FQ4 2019","Currency=USD","Period=FQ","BEST_FPERIOD_OVERRIDE=FQ","FILING_STATUS=MR","Sort=A","Dates=H","DateFormat=P","Fill=—","Direction=H","UseDPDF=Y")</f>
        <v>-3.16</v>
      </c>
      <c r="F60" s="20">
        <f>_xll.BDH("SRPT US Equity","IS_DIL_EPS_BEF_XO","FQ1 2020","FQ1 2020","Currency=USD","Period=FQ","BEST_FPERIOD_OVERRIDE=FQ","FILING_STATUS=MR","Sort=A","Dates=H","DateFormat=P","Fill=—","Direction=H","UseDPDF=Y")</f>
        <v>-0.23</v>
      </c>
      <c r="G60" s="20">
        <f>_xll.BDH("SRPT US Equity","IS_DIL_EPS_BEF_XO","FQ2 2020","FQ2 2020","Currency=USD","Period=FQ","BEST_FPERIOD_OVERRIDE=FQ","FILING_STATUS=MR","Sort=A","Dates=H","DateFormat=P","Fill=—","Direction=H","UseDPDF=Y")</f>
        <v>-1.93</v>
      </c>
      <c r="H60" s="20">
        <f>_xll.BDH("SRPT US Equity","IS_DIL_EPS_BEF_XO","FQ3 2020","FQ3 2020","Currency=USD","Period=FQ","BEST_FPERIOD_OVERRIDE=FQ","FILING_STATUS=MR","Sort=A","Dates=H","DateFormat=P","Fill=—","Direction=H","UseDPDF=Y")</f>
        <v>-2.5</v>
      </c>
      <c r="I60" s="20">
        <f>_xll.BDH("SRPT US Equity","IS_DIL_EPS_BEF_XO","FQ4 2020","FQ4 2020","Currency=USD","Period=FQ","BEST_FPERIOD_OVERRIDE=FQ","FILING_STATUS=MR","Sort=A","Dates=H","DateFormat=P","Fill=—","Direction=H","UseDPDF=Y")</f>
        <v>-2.4</v>
      </c>
      <c r="J60" s="20">
        <f>_xll.BDH("SRPT US Equity","IS_DIL_EPS_BEF_XO","FQ1 2021","FQ1 2021","Currency=USD","Period=FQ","BEST_FPERIOD_OVERRIDE=FQ","FILING_STATUS=MR","Sort=A","Dates=H","DateFormat=P","Fill=—","Direction=H","UseDPDF=Y")</f>
        <v>-2.1</v>
      </c>
      <c r="K60" s="20">
        <f>_xll.BDH("SRPT US Equity","IS_DIL_EPS_BEF_XO","FQ2 2021","FQ2 2021","Currency=USD","Period=FQ","BEST_FPERIOD_OVERRIDE=FQ","FILING_STATUS=MR","Sort=A","Dates=H","DateFormat=P","Fill=—","Direction=H","UseDPDF=Y")</f>
        <v>-1.02</v>
      </c>
      <c r="L60" s="20">
        <f>_xll.BDH("SRPT US Equity","IS_DIL_EPS_BEF_XO","FQ3 2021","FQ3 2021","Currency=USD","Period=FQ","BEST_FPERIOD_OVERRIDE=FQ","FILING_STATUS=MR","Sort=A","Dates=H","DateFormat=P","Fill=—","Direction=H","UseDPDF=Y")</f>
        <v>-0.6</v>
      </c>
      <c r="M60" s="20">
        <f>_xll.BDH("SRPT US Equity","IS_DIL_EPS_BEF_XO","FQ4 2021","FQ4 2021","Currency=USD","Period=FQ","BEST_FPERIOD_OVERRIDE=FQ","FILING_STATUS=MR","Sort=A","Dates=H","DateFormat=P","Fill=—","Direction=H","UseDPDF=Y")</f>
        <v>-1.42</v>
      </c>
      <c r="N60" s="20">
        <f>_xll.BDH("SRPT US Equity","IS_DIL_EPS_BEF_XO","FQ1 2022","FQ1 2022","Currency=USD","Period=FQ","BEST_FPERIOD_OVERRIDE=FQ","FILING_STATUS=MR","Sort=A","Dates=H","DateFormat=P","Fill=—","Direction=H","UseDPDF=Y")</f>
        <v>-1.2</v>
      </c>
      <c r="O60" s="20">
        <f>_xll.BDH("SRPT US Equity","IS_DIL_EPS_BEF_XO","FQ2 2022","FQ2 2022","Currency=USD","Period=FQ","BEST_FPERIOD_OVERRIDE=FQ","FILING_STATUS=MR","Sort=A","Dates=H","DateFormat=P","Fill=—","Direction=H","UseDPDF=Y")</f>
        <v>-2.65</v>
      </c>
      <c r="P60" s="20">
        <f>_xll.BDH("SRPT US Equity","IS_DIL_EPS_BEF_XO","FQ3 2022","FQ3 2022","Currency=USD","Period=FQ","BEST_FPERIOD_OVERRIDE=FQ","FILING_STATUS=MR","Sort=A","Dates=H","DateFormat=P","Fill=—","Direction=H","UseDPDF=Y")</f>
        <v>-2.94</v>
      </c>
      <c r="Q60" s="20">
        <f>_xll.BDH("SRPT US Equity","IS_DIL_EPS_BEF_XO","FQ4 2022","FQ4 2022","Currency=USD","Period=FQ","BEST_FPERIOD_OVERRIDE=FQ","FILING_STATUS=MR","Sort=A","Dates=H","DateFormat=P","Fill=—","Direction=H","UseDPDF=Y")</f>
        <v>-1.24</v>
      </c>
      <c r="R60" s="20">
        <f>_xll.BDH("SRPT US Equity","IS_DIL_EPS_BEF_XO","FQ1 2023","FQ1 2023","Currency=USD","Period=FQ","BEST_FPERIOD_OVERRIDE=FQ","FILING_STATUS=MR","Sort=A","Dates=H","DateFormat=P","Fill=—","Direction=H","UseDPDF=Y")</f>
        <v>-5.86</v>
      </c>
      <c r="S60" s="20">
        <f>_xll.BDH("SRPT US Equity","IS_DIL_EPS_BEF_XO","FQ2 2023","FQ2 2023","Currency=USD","Period=FQ","BEST_FPERIOD_OVERRIDE=FQ","FILING_STATUS=MR","Sort=A","Dates=H","DateFormat=P","Fill=—","Direction=H","UseDPDF=Y")</f>
        <v>-0.27</v>
      </c>
      <c r="T60" s="20">
        <f>_xll.BDH("SRPT US Equity","IS_DIL_EPS_BEF_XO","FQ3 2023","FQ3 2023","Currency=USD","Period=FQ","BEST_FPERIOD_OVERRIDE=FQ","FILING_STATUS=MR","Sort=A","Dates=H","DateFormat=P","Fill=—","Direction=H","UseDPDF=Y")</f>
        <v>-0.46</v>
      </c>
      <c r="U60" s="20">
        <f>_xll.BDH("SRPT US Equity","IS_DIL_EPS_BEF_XO","FQ4 2023","FQ4 2023","Currency=USD","Period=FQ","BEST_FPERIOD_OVERRIDE=FQ","FILING_STATUS=MR","Sort=A","Dates=H","DateFormat=P","Fill=—","Direction=H","UseDPDF=Y")</f>
        <v>0.47</v>
      </c>
      <c r="V60" s="20">
        <f>_xll.BDH("SRPT US Equity","IS_DIL_EPS_BEF_XO","FQ1 2024","FQ1 2024","Currency=USD","Period=FQ","BEST_FPERIOD_OVERRIDE=FQ","FILING_STATUS=MR","Sort=A","Dates=H","DateFormat=P","Fill=—","Direction=H","UseDPDF=Y")</f>
        <v>0.37</v>
      </c>
      <c r="W60" s="20">
        <f>_xll.BDH("SRPT US Equity","IS_DIL_EPS_BEF_XO","FQ2 2024","FQ2 2024","Currency=USD","Period=FQ","BEST_FPERIOD_OVERRIDE=FQ","FILING_STATUS=MR","Sort=A","Dates=H","DateFormat=P","Fill=—","Direction=H","UseDPDF=Y")</f>
        <v>7.0000000000000007E-2</v>
      </c>
      <c r="X60" s="20">
        <f>_xll.BDH("SRPT US Equity","IS_DIL_EPS_BEF_XO","FQ3 2024","FQ3 2024","Currency=USD","Period=FQ","BEST_FPERIOD_OVERRIDE=FQ","FILING_STATUS=MR","Sort=A","Dates=H","DateFormat=P","Fill=—","Direction=H","UseDPDF=Y")</f>
        <v>0.34</v>
      </c>
      <c r="Y60" s="20">
        <f>_xll.BDH("SRPT US Equity","IS_DIL_EPS_BEF_XO","FQ4 2024","FQ4 2024","Currency=USD","Period=FQ","BEST_FPERIOD_OVERRIDE=FQ","FILING_STATUS=MR","Sort=A","Dates=H","DateFormat=P","Fill=—","Direction=H","UseDPDF=Y")</f>
        <v>1.5</v>
      </c>
      <c r="Z60" s="20">
        <v>0.59499999999999997</v>
      </c>
      <c r="AA60" s="20">
        <v>2.3820000000000001</v>
      </c>
    </row>
    <row r="61" spans="1:27" x14ac:dyDescent="0.25">
      <c r="A61" s="6" t="s">
        <v>394</v>
      </c>
      <c r="B61" s="6" t="s">
        <v>82</v>
      </c>
      <c r="C61" s="20">
        <f>_xll.BDH("SRPT US Equity","IS_DIL_EPS_CONT_OPS","FQ2 2019","FQ2 2019","Currency=USD","Period=FQ","BEST_FPERIOD_OVERRIDE=FQ","FILING_STATUS=MR","Sort=A","Dates=H","DateFormat=P","Fill=—","Direction=H","UseDPDF=Y")</f>
        <v>-1.1937</v>
      </c>
      <c r="D61" s="20">
        <f>_xll.BDH("SRPT US Equity","IS_DIL_EPS_CONT_OPS","FQ3 2019","FQ3 2019","Currency=USD","Period=FQ","BEST_FPERIOD_OVERRIDE=FQ","FILING_STATUS=MR","Sort=A","Dates=H","DateFormat=P","Fill=—","Direction=H","UseDPDF=Y")</f>
        <v>-1.5737000000000001</v>
      </c>
      <c r="E61" s="20">
        <f>_xll.BDH("SRPT US Equity","IS_DIL_EPS_CONT_OPS","FQ4 2019","FQ4 2019","Currency=USD","Period=FQ","BEST_FPERIOD_OVERRIDE=FQ","FILING_STATUS=MR","Sort=A","Dates=H","DateFormat=P","Fill=—","Direction=H","UseDPDF=Y")</f>
        <v>-2.2627000000000002</v>
      </c>
      <c r="F61" s="20">
        <f>_xll.BDH("SRPT US Equity","IS_DIL_EPS_CONT_OPS","FQ1 2020","FQ1 2020","Currency=USD","Period=FQ","BEST_FPERIOD_OVERRIDE=FQ","FILING_STATUS=MR","Sort=A","Dates=H","DateFormat=P","Fill=—","Direction=H","UseDPDF=Y")</f>
        <v>-1.4939</v>
      </c>
      <c r="G61" s="20">
        <f>_xll.BDH("SRPT US Equity","IS_DIL_EPS_CONT_OPS","FQ2 2020","FQ2 2020","Currency=USD","Period=FQ","BEST_FPERIOD_OVERRIDE=FQ","FILING_STATUS=MR","Sort=A","Dates=H","DateFormat=P","Fill=—","Direction=H","UseDPDF=Y")</f>
        <v>-1.93</v>
      </c>
      <c r="H61" s="20">
        <f>_xll.BDH("SRPT US Equity","IS_DIL_EPS_CONT_OPS","FQ3 2020","FQ3 2020","Currency=USD","Period=FQ","BEST_FPERIOD_OVERRIDE=FQ","FILING_STATUS=MR","Sort=A","Dates=H","DateFormat=P","Fill=—","Direction=H","UseDPDF=Y")</f>
        <v>-1.8956</v>
      </c>
      <c r="I61" s="20">
        <f>_xll.BDH("SRPT US Equity","IS_DIL_EPS_CONT_OPS","FQ4 2020","FQ4 2020","Currency=USD","Period=FQ","BEST_FPERIOD_OVERRIDE=FQ","FILING_STATUS=MR","Sort=A","Dates=H","DateFormat=P","Fill=—","Direction=H","UseDPDF=Y")</f>
        <v>-2.2936999999999999</v>
      </c>
      <c r="J61" s="20">
        <f>_xll.BDH("SRPT US Equity","IS_DIL_EPS_CONT_OPS","FQ1 2021","FQ1 2021","Currency=USD","Period=FQ","BEST_FPERIOD_OVERRIDE=FQ","FILING_STATUS=MR","Sort=A","Dates=H","DateFormat=P","Fill=—","Direction=H","UseDPDF=Y")</f>
        <v>-1.9294</v>
      </c>
      <c r="K61" s="20">
        <f>_xll.BDH("SRPT US Equity","IS_DIL_EPS_CONT_OPS","FQ2 2021","FQ2 2021","Currency=USD","Period=FQ","BEST_FPERIOD_OVERRIDE=FQ","FILING_STATUS=MR","Sort=A","Dates=H","DateFormat=P","Fill=—","Direction=H","UseDPDF=Y")</f>
        <v>-1.9026000000000001</v>
      </c>
      <c r="L61" s="20">
        <f>_xll.BDH("SRPT US Equity","IS_DIL_EPS_CONT_OPS","FQ3 2021","FQ3 2021","Currency=USD","Period=FQ","BEST_FPERIOD_OVERRIDE=FQ","FILING_STATUS=MR","Sort=A","Dates=H","DateFormat=P","Fill=—","Direction=H","UseDPDF=Y")</f>
        <v>-0.55830000000000002</v>
      </c>
      <c r="M61" s="20">
        <f>_xll.BDH("SRPT US Equity","IS_DIL_EPS_CONT_OPS","FQ4 2021","FQ4 2021","Currency=USD","Period=FQ","BEST_FPERIOD_OVERRIDE=FQ","FILING_STATUS=MR","Sort=A","Dates=H","DateFormat=P","Fill=—","Direction=H","UseDPDF=Y")</f>
        <v>-1.42</v>
      </c>
      <c r="N61" s="20">
        <f>_xll.BDH("SRPT US Equity","IS_DIL_EPS_CONT_OPS","FQ1 2022","FQ1 2022","Currency=USD","Period=FQ","BEST_FPERIOD_OVERRIDE=FQ","FILING_STATUS=MR","Sort=A","Dates=H","DateFormat=P","Fill=—","Direction=H","UseDPDF=Y")</f>
        <v>-1.2</v>
      </c>
      <c r="O61" s="20">
        <f>_xll.BDH("SRPT US Equity","IS_DIL_EPS_CONT_OPS","FQ2 2022","FQ2 2022","Currency=USD","Period=FQ","BEST_FPERIOD_OVERRIDE=FQ","FILING_STATUS=MR","Sort=A","Dates=H","DateFormat=P","Fill=—","Direction=H","UseDPDF=Y")</f>
        <v>-2.65</v>
      </c>
      <c r="P61" s="20">
        <f>_xll.BDH("SRPT US Equity","IS_DIL_EPS_CONT_OPS","FQ3 2022","FQ3 2022","Currency=USD","Period=FQ","BEST_FPERIOD_OVERRIDE=FQ","FILING_STATUS=MR","Sort=A","Dates=H","DateFormat=P","Fill=—","Direction=H","UseDPDF=Y")</f>
        <v>-1.8708</v>
      </c>
      <c r="Q61" s="20">
        <f>_xll.BDH("SRPT US Equity","IS_DIL_EPS_CONT_OPS","FQ4 2022","FQ4 2022","Currency=USD","Period=FQ","BEST_FPERIOD_OVERRIDE=FQ","FILING_STATUS=MR","Sort=A","Dates=H","DateFormat=P","Fill=—","Direction=H","UseDPDF=Y")</f>
        <v>-1.2204999999999999</v>
      </c>
      <c r="R61" s="20">
        <f>_xll.BDH("SRPT US Equity","IS_DIL_EPS_CONT_OPS","FQ1 2023","FQ1 2023","Currency=USD","Period=FQ","BEST_FPERIOD_OVERRIDE=FQ","FILING_STATUS=MR","Sort=A","Dates=H","DateFormat=P","Fill=—","Direction=H","UseDPDF=Y")</f>
        <v>-2.3902000000000001</v>
      </c>
      <c r="S61" s="20">
        <f>_xll.BDH("SRPT US Equity","IS_DIL_EPS_CONT_OPS","FQ2 2023","FQ2 2023","Currency=USD","Period=FQ","BEST_FPERIOD_OVERRIDE=FQ","FILING_STATUS=MR","Sort=A","Dates=H","DateFormat=P","Fill=—","Direction=H","UseDPDF=Y")</f>
        <v>-1.1851</v>
      </c>
      <c r="T61" s="20">
        <f>_xll.BDH("SRPT US Equity","IS_DIL_EPS_CONT_OPS","FQ3 2023","FQ3 2023","Currency=USD","Period=FQ","BEST_FPERIOD_OVERRIDE=FQ","FILING_STATUS=MR","Sort=A","Dates=H","DateFormat=P","Fill=—","Direction=H","UseDPDF=Y")</f>
        <v>-0.44280000000000003</v>
      </c>
      <c r="U61" s="20">
        <f>_xll.BDH("SRPT US Equity","IS_DIL_EPS_CONT_OPS","FQ4 2023","FQ4 2023","Currency=USD","Period=FQ","BEST_FPERIOD_OVERRIDE=FQ","FILING_STATUS=MR","Sort=A","Dates=H","DateFormat=P","Fill=—","Direction=H","UseDPDF=Y")</f>
        <v>0.47</v>
      </c>
      <c r="V61" s="20">
        <f>_xll.BDH("SRPT US Equity","IS_DIL_EPS_CONT_OPS","FQ1 2024","FQ1 2024","Currency=USD","Period=FQ","BEST_FPERIOD_OVERRIDE=FQ","FILING_STATUS=MR","Sort=A","Dates=H","DateFormat=P","Fill=—","Direction=H","UseDPDF=Y")</f>
        <v>0.46879999999999999</v>
      </c>
      <c r="W61" s="20">
        <f>_xll.BDH("SRPT US Equity","IS_DIL_EPS_CONT_OPS","FQ2 2024","FQ2 2024","Currency=USD","Period=FQ","BEST_FPERIOD_OVERRIDE=FQ","FILING_STATUS=MR","Sort=A","Dates=H","DateFormat=P","Fill=—","Direction=H","UseDPDF=Y")</f>
        <v>7.0000000000000007E-2</v>
      </c>
      <c r="X61" s="20">
        <f>_xll.BDH("SRPT US Equity","IS_DIL_EPS_CONT_OPS","FQ3 2024","FQ3 2024","Currency=USD","Period=FQ","BEST_FPERIOD_OVERRIDE=FQ","FILING_STATUS=MR","Sort=A","Dates=H","DateFormat=P","Fill=—","Direction=H","UseDPDF=Y")</f>
        <v>0.32650000000000001</v>
      </c>
      <c r="Y61" s="20">
        <f>_xll.BDH("SRPT US Equity","IS_DIL_EPS_CONT_OPS","FQ4 2024","FQ4 2024","Currency=USD","Period=FQ","BEST_FPERIOD_OVERRIDE=FQ","FILING_STATUS=MR","Sort=A","Dates=H","DateFormat=P","Fill=—","Direction=H","UseDPDF=Y")</f>
        <v>1.4935</v>
      </c>
      <c r="Z61" s="20">
        <v>1.4410000000000001</v>
      </c>
      <c r="AA61" s="20">
        <v>2.8010000000000002</v>
      </c>
    </row>
    <row r="62" spans="1:27" x14ac:dyDescent="0.25">
      <c r="A62" s="6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x14ac:dyDescent="0.25">
      <c r="A63" s="6" t="s">
        <v>4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 x14ac:dyDescent="0.25">
      <c r="A64" s="10" t="s">
        <v>395</v>
      </c>
      <c r="B64" s="10" t="s">
        <v>396</v>
      </c>
      <c r="C64" s="12" t="s">
        <v>397</v>
      </c>
      <c r="D64" s="12" t="s">
        <v>397</v>
      </c>
      <c r="E64" s="12" t="s">
        <v>397</v>
      </c>
      <c r="F64" s="12" t="s">
        <v>397</v>
      </c>
      <c r="G64" s="12" t="s">
        <v>397</v>
      </c>
      <c r="H64" s="12" t="s">
        <v>397</v>
      </c>
      <c r="I64" s="12" t="s">
        <v>397</v>
      </c>
      <c r="J64" s="12" t="s">
        <v>397</v>
      </c>
      <c r="K64" s="12" t="s">
        <v>397</v>
      </c>
      <c r="L64" s="12" t="s">
        <v>397</v>
      </c>
      <c r="M64" s="12" t="s">
        <v>397</v>
      </c>
      <c r="N64" s="12" t="s">
        <v>397</v>
      </c>
      <c r="O64" s="12" t="s">
        <v>397</v>
      </c>
      <c r="P64" s="12" t="s">
        <v>397</v>
      </c>
      <c r="Q64" s="12" t="s">
        <v>397</v>
      </c>
      <c r="R64" s="12" t="s">
        <v>397</v>
      </c>
      <c r="S64" s="12" t="s">
        <v>397</v>
      </c>
      <c r="T64" s="12" t="s">
        <v>397</v>
      </c>
      <c r="U64" s="12" t="s">
        <v>397</v>
      </c>
      <c r="V64" s="12" t="s">
        <v>397</v>
      </c>
      <c r="W64" s="12" t="s">
        <v>397</v>
      </c>
      <c r="X64" s="12" t="s">
        <v>397</v>
      </c>
      <c r="Y64" s="12" t="s">
        <v>397</v>
      </c>
      <c r="Z64" s="12"/>
      <c r="AA64" s="12"/>
    </row>
    <row r="65" spans="1:27" x14ac:dyDescent="0.25">
      <c r="A65" s="10" t="s">
        <v>78</v>
      </c>
      <c r="B65" s="10" t="s">
        <v>78</v>
      </c>
      <c r="C65" s="13">
        <f>_xll.BDH("SRPT US Equity","EBITDA","FQ2 2019","FQ2 2019","Currency=USD","Period=FQ","BEST_FPERIOD_OVERRIDE=FQ","FILING_STATUS=MR","SCALING_FORMAT=MLN","FA_ADJUSTED=Adjusted","Sort=A","Dates=H","DateFormat=P","Fill=—","Direction=H","UseDPDF=Y")</f>
        <v>-76.825000000000003</v>
      </c>
      <c r="D65" s="13">
        <f>_xll.BDH("SRPT US Equity","EBITDA","FQ3 2019","FQ3 2019","Currency=USD","Period=FQ","BEST_FPERIOD_OVERRIDE=FQ","FILING_STATUS=MR","SCALING_FORMAT=MLN","FA_ADJUSTED=Adjusted","Sort=A","Dates=H","DateFormat=P","Fill=—","Direction=H","UseDPDF=Y")</f>
        <v>-100.56100000000001</v>
      </c>
      <c r="E65" s="13">
        <f>_xll.BDH("SRPT US Equity","EBITDA","FQ4 2019","FQ4 2019","Currency=USD","Period=FQ","BEST_FPERIOD_OVERRIDE=FQ","FILING_STATUS=MR","SCALING_FORMAT=MLN","FA_ADJUSTED=Adjusted","Sort=A","Dates=H","DateFormat=P","Fill=—","Direction=H","UseDPDF=Y")</f>
        <v>-134.6</v>
      </c>
      <c r="F65" s="13">
        <f>_xll.BDH("SRPT US Equity","EBITDA","FQ1 2020","FQ1 2020","Currency=USD","Period=FQ","BEST_FPERIOD_OVERRIDE=FQ","FILING_STATUS=MR","SCALING_FORMAT=MLN","FA_ADJUSTED=Adjusted","Sort=A","Dates=H","DateFormat=P","Fill=—","Direction=H","UseDPDF=Y")</f>
        <v>-99.405000000000001</v>
      </c>
      <c r="G65" s="13">
        <f>_xll.BDH("SRPT US Equity","EBITDA","FQ2 2020","FQ2 2020","Currency=USD","Period=FQ","BEST_FPERIOD_OVERRIDE=FQ","FILING_STATUS=MR","SCALING_FORMAT=MLN","FA_ADJUSTED=Adjusted","Sort=A","Dates=H","DateFormat=P","Fill=—","Direction=H","UseDPDF=Y")</f>
        <v>-129.87799999999999</v>
      </c>
      <c r="H65" s="13">
        <f>_xll.BDH("SRPT US Equity","EBITDA","FQ3 2020","FQ3 2020","Currency=USD","Period=FQ","BEST_FPERIOD_OVERRIDE=FQ","FILING_STATUS=MR","SCALING_FORMAT=MLN","FA_ADJUSTED=Adjusted","Sort=A","Dates=H","DateFormat=P","Fill=—","Direction=H","UseDPDF=Y")</f>
        <v>-112.874</v>
      </c>
      <c r="I65" s="13">
        <f>_xll.BDH("SRPT US Equity","EBITDA","FQ4 2020","FQ4 2020","Currency=USD","Period=FQ","BEST_FPERIOD_OVERRIDE=FQ","FILING_STATUS=MR","SCALING_FORMAT=MLN","FA_ADJUSTED=Adjusted","Sort=A","Dates=H","DateFormat=P","Fill=—","Direction=H","UseDPDF=Y")</f>
        <v>-138.828</v>
      </c>
      <c r="J65" s="13">
        <f>_xll.BDH("SRPT US Equity","EBITDA","FQ1 2021","FQ1 2021","Currency=USD","Period=FQ","BEST_FPERIOD_OVERRIDE=FQ","FILING_STATUS=MR","SCALING_FORMAT=MLN","FA_ADJUSTED=Adjusted","Sort=A","Dates=H","DateFormat=P","Fill=—","Direction=H","UseDPDF=Y")</f>
        <v>-128.935</v>
      </c>
      <c r="K65" s="13">
        <f>_xll.BDH("SRPT US Equity","EBITDA","FQ2 2021","FQ2 2021","Currency=USD","Period=FQ","BEST_FPERIOD_OVERRIDE=FQ","FILING_STATUS=MR","SCALING_FORMAT=MLN","FA_ADJUSTED=Adjusted","Sort=A","Dates=H","DateFormat=P","Fill=—","Direction=H","UseDPDF=Y")</f>
        <v>-229.45</v>
      </c>
      <c r="L65" s="13">
        <f>_xll.BDH("SRPT US Equity","EBITDA","FQ3 2021","FQ3 2021","Currency=USD","Period=FQ","BEST_FPERIOD_OVERRIDE=FQ","FILING_STATUS=MR","SCALING_FORMAT=MLN","FA_ADJUSTED=Adjusted","Sort=A","Dates=H","DateFormat=P","Fill=—","Direction=H","UseDPDF=Y")</f>
        <v>-23.963000000000001</v>
      </c>
      <c r="M65" s="13">
        <f>_xll.BDH("SRPT US Equity","EBITDA","FQ4 2021","FQ4 2021","Currency=USD","Period=FQ","BEST_FPERIOD_OVERRIDE=FQ","FILING_STATUS=MR","SCALING_FORMAT=MLN","FA_ADJUSTED=Adjusted","Sort=A","Dates=H","DateFormat=P","Fill=—","Direction=H","UseDPDF=Y")</f>
        <v>-95.668000000000006</v>
      </c>
      <c r="N65" s="13">
        <f>_xll.BDH("SRPT US Equity","EBITDA","FQ1 2022","FQ1 2022","Currency=USD","Period=FQ","BEST_FPERIOD_OVERRIDE=FQ","FILING_STATUS=MR","SCALING_FORMAT=MLN","FA_ADJUSTED=Adjusted","Sort=A","Dates=H","DateFormat=P","Fill=—","Direction=H","UseDPDF=Y")</f>
        <v>-76.162000000000006</v>
      </c>
      <c r="O65" s="13">
        <f>_xll.BDH("SRPT US Equity","EBITDA","FQ2 2022","FQ2 2022","Currency=USD","Period=FQ","BEST_FPERIOD_OVERRIDE=FQ","FILING_STATUS=MR","SCALING_FORMAT=MLN","FA_ADJUSTED=Adjusted","Sort=A","Dates=H","DateFormat=P","Fill=—","Direction=H","UseDPDF=Y")</f>
        <v>-201.24299999999999</v>
      </c>
      <c r="P65" s="13">
        <f>_xll.BDH("SRPT US Equity","EBITDA","FQ3 2022","FQ3 2022","Currency=USD","Period=FQ","BEST_FPERIOD_OVERRIDE=FQ","FILING_STATUS=MR","SCALING_FORMAT=MLN","FA_ADJUSTED=Adjusted","Sort=A","Dates=H","DateFormat=P","Fill=—","Direction=H","UseDPDF=Y")</f>
        <v>-120.652</v>
      </c>
      <c r="Q65" s="13">
        <f>_xll.BDH("SRPT US Equity","EBITDA","FQ4 2022","FQ4 2022","Currency=USD","Period=FQ","BEST_FPERIOD_OVERRIDE=FQ","FILING_STATUS=MR","SCALING_FORMAT=MLN","FA_ADJUSTED=Adjusted","Sort=A","Dates=H","DateFormat=P","Fill=—","Direction=H","UseDPDF=Y")</f>
        <v>-96.28</v>
      </c>
      <c r="R65" s="13">
        <f>_xll.BDH("SRPT US Equity","EBITDA","FQ1 2023","FQ1 2023","Currency=USD","Period=FQ","BEST_FPERIOD_OVERRIDE=FQ","FILING_STATUS=MR","SCALING_FORMAT=MLN","FA_ADJUSTED=Adjusted","Sort=A","Dates=H","DateFormat=P","Fill=—","Direction=H","UseDPDF=Y")</f>
        <v>-126.783</v>
      </c>
      <c r="S65" s="13">
        <f>_xll.BDH("SRPT US Equity","EBITDA","FQ2 2023","FQ2 2023","Currency=USD","Period=FQ","BEST_FPERIOD_OVERRIDE=FQ","FILING_STATUS=MR","SCALING_FORMAT=MLN","FA_ADJUSTED=Adjusted","Sort=A","Dates=H","DateFormat=P","Fill=—","Direction=H","UseDPDF=Y")</f>
        <v>-122.727</v>
      </c>
      <c r="T65" s="13">
        <f>_xll.BDH("SRPT US Equity","EBITDA","FQ3 2023","FQ3 2023","Currency=USD","Period=FQ","BEST_FPERIOD_OVERRIDE=FQ","FILING_STATUS=MR","SCALING_FORMAT=MLN","FA_ADJUSTED=Adjusted","Sort=A","Dates=H","DateFormat=P","Fill=—","Direction=H","UseDPDF=Y")</f>
        <v>-9.9139999999999997</v>
      </c>
      <c r="U65" s="13">
        <f>_xll.BDH("SRPT US Equity","EBITDA","FQ4 2023","FQ4 2023","Currency=USD","Period=FQ","BEST_FPERIOD_OVERRIDE=FQ","FILING_STATUS=MR","SCALING_FORMAT=MLN","FA_ADJUSTED=Adjusted","Sort=A","Dates=H","DateFormat=P","Fill=—","Direction=H","UseDPDF=Y")</f>
        <v>35.997</v>
      </c>
      <c r="V65" s="13">
        <f>_xll.BDH("SRPT US Equity","EBITDA","FQ1 2024","FQ1 2024","Currency=USD","Period=FQ","BEST_FPERIOD_OVERRIDE=FQ","FILING_STATUS=MR","SCALING_FORMAT=MLN","FA_ADJUSTED=Adjusted","Sort=A","Dates=H","DateFormat=P","Fill=—","Direction=H","UseDPDF=Y")</f>
        <v>43.649000000000001</v>
      </c>
      <c r="W65" s="13">
        <f>_xll.BDH("SRPT US Equity","EBITDA","FQ2 2024","FQ2 2024","Currency=USD","Period=FQ","BEST_FPERIOD_OVERRIDE=FQ","FILING_STATUS=MR","SCALING_FORMAT=MLN","FA_ADJUSTED=Adjusted","Sort=A","Dates=H","DateFormat=P","Fill=—","Direction=H","UseDPDF=Y")</f>
        <v>8.0180000000000007</v>
      </c>
      <c r="X65" s="13">
        <f>_xll.BDH("SRPT US Equity","EBITDA","FQ3 2024","FQ3 2024","Currency=USD","Period=FQ","BEST_FPERIOD_OVERRIDE=FQ","FILING_STATUS=MR","SCALING_FORMAT=MLN","FA_ADJUSTED=Adjusted","Sort=A","Dates=H","DateFormat=P","Fill=—","Direction=H","UseDPDF=Y")</f>
        <v>32.002000000000002</v>
      </c>
      <c r="Y65" s="13">
        <f>_xll.BDH("SRPT US Equity","EBITDA","FQ4 2024","FQ4 2024","Currency=USD","Period=FQ","BEST_FPERIOD_OVERRIDE=FQ","FILING_STATUS=MR","SCALING_FORMAT=MLN","FA_ADJUSTED=Adjusted","Sort=A","Dates=H","DateFormat=P","Fill=—","Direction=H","UseDPDF=Y")</f>
        <v>172.136</v>
      </c>
      <c r="Z65" s="13">
        <v>18.2</v>
      </c>
      <c r="AA65" s="13">
        <v>276.2</v>
      </c>
    </row>
    <row r="66" spans="1:27" x14ac:dyDescent="0.25">
      <c r="A66" s="10" t="s">
        <v>398</v>
      </c>
      <c r="B66" s="10" t="s">
        <v>399</v>
      </c>
      <c r="C66" s="14">
        <f>_xll.BDH("SRPT US Equity","EBITDA_MARGIN","FQ2 2019","FQ2 2019","Currency=USD","Period=FQ","BEST_FPERIOD_OVERRIDE=FQ","FILING_STATUS=MR","FA_ADJUSTED=Adjusted","Sort=A","Dates=H","DateFormat=P","Fill=—","Direction=H","UseDPDF=Y")</f>
        <v>-93.873999999999995</v>
      </c>
      <c r="D66" s="14">
        <f>_xll.BDH("SRPT US Equity","EBITDA_MARGIN","FQ3 2019","FQ3 2019","Currency=USD","Period=FQ","BEST_FPERIOD_OVERRIDE=FQ","FILING_STATUS=MR","FA_ADJUSTED=Adjusted","Sort=A","Dates=H","DateFormat=P","Fill=—","Direction=H","UseDPDF=Y")</f>
        <v>-102.8614</v>
      </c>
      <c r="E66" s="14">
        <f>_xll.BDH("SRPT US Equity","EBITDA_MARGIN","FQ4 2019","FQ4 2019","Currency=USD","Period=FQ","BEST_FPERIOD_OVERRIDE=FQ","FILING_STATUS=MR","FA_ADJUSTED=Adjusted","Sort=A","Dates=H","DateFormat=P","Fill=—","Direction=H","UseDPDF=Y")</f>
        <v>-99.306299999999993</v>
      </c>
      <c r="F66" s="14">
        <f>_xll.BDH("SRPT US Equity","EBITDA_MARGIN","FQ1 2020","FQ1 2020","Currency=USD","Period=FQ","BEST_FPERIOD_OVERRIDE=FQ","FILING_STATUS=MR","FA_ADJUSTED=Adjusted","Sort=A","Dates=H","DateFormat=P","Fill=—","Direction=H","UseDPDF=Y")</f>
        <v>-100.9558</v>
      </c>
      <c r="G66" s="14">
        <f>_xll.BDH("SRPT US Equity","EBITDA_MARGIN","FQ2 2020","FQ2 2020","Currency=USD","Period=FQ","BEST_FPERIOD_OVERRIDE=FQ","FILING_STATUS=MR","FA_ADJUSTED=Adjusted","Sort=A","Dates=H","DateFormat=P","Fill=—","Direction=H","UseDPDF=Y")</f>
        <v>-103.166</v>
      </c>
      <c r="H66" s="14">
        <f>_xll.BDH("SRPT US Equity","EBITDA_MARGIN","FQ3 2020","FQ3 2020","Currency=USD","Period=FQ","BEST_FPERIOD_OVERRIDE=FQ","FILING_STATUS=MR","FA_ADJUSTED=Adjusted","Sort=A","Dates=H","DateFormat=P","Fill=—","Direction=H","UseDPDF=Y")</f>
        <v>-96.3001</v>
      </c>
      <c r="I66" s="14">
        <f>_xll.BDH("SRPT US Equity","EBITDA_MARGIN","FQ4 2020","FQ4 2020","Currency=USD","Period=FQ","BEST_FPERIOD_OVERRIDE=FQ","FILING_STATUS=MR","FA_ADJUSTED=Adjusted","Sort=A","Dates=H","DateFormat=P","Fill=—","Direction=H","UseDPDF=Y")</f>
        <v>-89.055000000000007</v>
      </c>
      <c r="J66" s="14">
        <f>_xll.BDH("SRPT US Equity","EBITDA_MARGIN","FQ1 2021","FQ1 2021","Currency=USD","Period=FQ","BEST_FPERIOD_OVERRIDE=FQ","FILING_STATUS=MR","FA_ADJUSTED=Adjusted","Sort=A","Dates=H","DateFormat=P","Fill=—","Direction=H","UseDPDF=Y")</f>
        <v>-89.0398</v>
      </c>
      <c r="K66" s="14">
        <f>_xll.BDH("SRPT US Equity","EBITDA_MARGIN","FQ2 2021","FQ2 2021","Currency=USD","Period=FQ","BEST_FPERIOD_OVERRIDE=FQ","FILING_STATUS=MR","FA_ADJUSTED=Adjusted","Sort=A","Dates=H","DateFormat=P","Fill=—","Direction=H","UseDPDF=Y")</f>
        <v>-101.6673</v>
      </c>
      <c r="L66" s="14">
        <f>_xll.BDH("SRPT US Equity","EBITDA_MARGIN","FQ3 2021","FQ3 2021","Currency=USD","Period=FQ","BEST_FPERIOD_OVERRIDE=FQ","FILING_STATUS=MR","FA_ADJUSTED=Adjusted","Sort=A","Dates=H","DateFormat=P","Fill=—","Direction=H","UseDPDF=Y")</f>
        <v>-80.731899999999996</v>
      </c>
      <c r="M66" s="14">
        <f>_xll.BDH("SRPT US Equity","EBITDA_MARGIN","FQ4 2021","FQ4 2021","Currency=USD","Period=FQ","BEST_FPERIOD_OVERRIDE=FQ","FILING_STATUS=MR","FA_ADJUSTED=Adjusted","Sort=A","Dates=H","DateFormat=P","Fill=—","Direction=H","UseDPDF=Y")</f>
        <v>-68.104399999999998</v>
      </c>
      <c r="N66" s="14">
        <f>_xll.BDH("SRPT US Equity","EBITDA_MARGIN","FQ1 2022","FQ1 2022","Currency=USD","Period=FQ","BEST_FPERIOD_OVERRIDE=FQ","FILING_STATUS=MR","FA_ADJUSTED=Adjusted","Sort=A","Dates=H","DateFormat=P","Fill=—","Direction=H","UseDPDF=Y")</f>
        <v>-55.530299999999997</v>
      </c>
      <c r="O66" s="14">
        <f>_xll.BDH("SRPT US Equity","EBITDA_MARGIN","FQ2 2022","FQ2 2022","Currency=USD","Period=FQ","BEST_FPERIOD_OVERRIDE=FQ","FILING_STATUS=MR","FA_ADJUSTED=Adjusted","Sort=A","Dates=H","DateFormat=P","Fill=—","Direction=H","UseDPDF=Y")</f>
        <v>-47.538699999999999</v>
      </c>
      <c r="P66" s="14">
        <f>_xll.BDH("SRPT US Equity","EBITDA_MARGIN","FQ3 2022","FQ3 2022","Currency=USD","Period=FQ","BEST_FPERIOD_OVERRIDE=FQ","FILING_STATUS=MR","FA_ADJUSTED=Adjusted","Sort=A","Dates=H","DateFormat=P","Fill=—","Direction=H","UseDPDF=Y")</f>
        <v>-56.3583</v>
      </c>
      <c r="Q66" s="14">
        <f>_xll.BDH("SRPT US Equity","EBITDA_MARGIN","FQ4 2022","FQ4 2022","Currency=USD","Period=FQ","BEST_FPERIOD_OVERRIDE=FQ","FILING_STATUS=MR","FA_ADJUSTED=Adjusted","Sort=A","Dates=H","DateFormat=P","Fill=—","Direction=H","UseDPDF=Y")</f>
        <v>-52.982900000000001</v>
      </c>
      <c r="R66" s="14">
        <f>_xll.BDH("SRPT US Equity","EBITDA_MARGIN","FQ1 2023","FQ1 2023","Currency=USD","Period=FQ","BEST_FPERIOD_OVERRIDE=FQ","FILING_STATUS=MR","FA_ADJUSTED=Adjusted","Sort=A","Dates=H","DateFormat=P","Fill=—","Direction=H","UseDPDF=Y")</f>
        <v>-55.853999999999999</v>
      </c>
      <c r="S66" s="14">
        <f>_xll.BDH("SRPT US Equity","EBITDA_MARGIN","FQ2 2023","FQ2 2023","Currency=USD","Period=FQ","BEST_FPERIOD_OVERRIDE=FQ","FILING_STATUS=MR","FA_ADJUSTED=Adjusted","Sort=A","Dates=H","DateFormat=P","Fill=—","Direction=H","UseDPDF=Y")</f>
        <v>-46.4846</v>
      </c>
      <c r="T66" s="14">
        <f>_xll.BDH("SRPT US Equity","EBITDA_MARGIN","FQ3 2023","FQ3 2023","Currency=USD","Period=FQ","BEST_FPERIOD_OVERRIDE=FQ","FILING_STATUS=MR","FA_ADJUSTED=Adjusted","Sort=A","Dates=H","DateFormat=P","Fill=—","Direction=H","UseDPDF=Y")</f>
        <v>-32.190899999999999</v>
      </c>
      <c r="U66" s="14">
        <f>_xll.BDH("SRPT US Equity","EBITDA_MARGIN","FQ4 2023","FQ4 2023","Currency=USD","Period=FQ","BEST_FPERIOD_OVERRIDE=FQ","FILING_STATUS=MR","FA_ADJUSTED=Adjusted","Sort=A","Dates=H","DateFormat=P","Fill=—","Direction=H","UseDPDF=Y")</f>
        <v>-17.97</v>
      </c>
      <c r="V66" s="14">
        <f>_xll.BDH("SRPT US Equity","EBITDA_MARGIN","FQ1 2024","FQ1 2024","Currency=USD","Period=FQ","BEST_FPERIOD_OVERRIDE=FQ","FILING_STATUS=MR","FA_ADJUSTED=Adjusted","Sort=A","Dates=H","DateFormat=P","Fill=—","Direction=H","UseDPDF=Y")</f>
        <v>-3.7765</v>
      </c>
      <c r="W66" s="14">
        <f>_xll.BDH("SRPT US Equity","EBITDA_MARGIN","FQ2 2024","FQ2 2024","Currency=USD","Period=FQ","BEST_FPERIOD_OVERRIDE=FQ","FILING_STATUS=MR","FA_ADJUSTED=Adjusted","Sort=A","Dates=H","DateFormat=P","Fill=—","Direction=H","UseDPDF=Y")</f>
        <v>5.1661000000000001</v>
      </c>
      <c r="X66" s="14">
        <f>_xll.BDH("SRPT US Equity","EBITDA_MARGIN","FQ3 2024","FQ3 2024","Currency=USD","Period=FQ","BEST_FPERIOD_OVERRIDE=FQ","FILING_STATUS=MR","FA_ADJUSTED=Adjusted","Sort=A","Dates=H","DateFormat=P","Fill=—","Direction=H","UseDPDF=Y")</f>
        <v>7.2952000000000004</v>
      </c>
      <c r="Y66" s="14">
        <f>_xll.BDH("SRPT US Equity","EBITDA_MARGIN","FQ4 2024","FQ4 2024","Currency=USD","Period=FQ","BEST_FPERIOD_OVERRIDE=FQ","FILING_STATUS=MR","FA_ADJUSTED=Adjusted","Sort=A","Dates=H","DateFormat=P","Fill=—","Direction=H","UseDPDF=Y")</f>
        <v>13.449400000000001</v>
      </c>
      <c r="Z66" s="14">
        <v>28.911623788365102</v>
      </c>
      <c r="AA66" s="14"/>
    </row>
    <row r="67" spans="1:27" x14ac:dyDescent="0.25">
      <c r="A67" s="10" t="s">
        <v>400</v>
      </c>
      <c r="B67" s="10" t="s">
        <v>400</v>
      </c>
      <c r="C67" s="13">
        <f>_xll.BDH("SRPT US Equity","EBITA","FQ2 2019","FQ2 2019","Currency=USD","Period=FQ","BEST_FPERIOD_OVERRIDE=FQ","FILING_STATUS=MR","SCALING_FORMAT=MLN","FA_ADJUSTED=Adjusted","Sort=A","Dates=H","DateFormat=P","Fill=—","Direction=H","UseDPDF=Y")</f>
        <v>-82.840999999999994</v>
      </c>
      <c r="D67" s="13">
        <f>_xll.BDH("SRPT US Equity","EBITA","FQ3 2019","FQ3 2019","Currency=USD","Period=FQ","BEST_FPERIOD_OVERRIDE=FQ","FILING_STATUS=MR","SCALING_FORMAT=MLN","FA_ADJUSTED=Adjusted","Sort=A","Dates=H","DateFormat=P","Fill=—","Direction=H","UseDPDF=Y")</f>
        <v>-107.086</v>
      </c>
      <c r="E67" s="13">
        <f>_xll.BDH("SRPT US Equity","EBITA","FQ4 2019","FQ4 2019","Currency=USD","Period=FQ","BEST_FPERIOD_OVERRIDE=FQ","FILING_STATUS=MR","SCALING_FORMAT=MLN","FA_ADJUSTED=Adjusted","Sort=A","Dates=H","DateFormat=P","Fill=—","Direction=H","UseDPDF=Y")</f>
        <v>-141.04599999999999</v>
      </c>
      <c r="F67" s="13">
        <f>_xll.BDH("SRPT US Equity","EBITA","FQ1 2020","FQ1 2020","Currency=USD","Period=FQ","BEST_FPERIOD_OVERRIDE=FQ","FILING_STATUS=MR","SCALING_FORMAT=MLN","FA_ADJUSTED=Adjusted","Sort=A","Dates=H","DateFormat=P","Fill=—","Direction=H","UseDPDF=Y")</f>
        <v>-105.768</v>
      </c>
      <c r="G67" s="13">
        <f>_xll.BDH("SRPT US Equity","EBITA","FQ2 2020","FQ2 2020","Currency=USD","Period=FQ","BEST_FPERIOD_OVERRIDE=FQ","FILING_STATUS=MR","SCALING_FORMAT=MLN","FA_ADJUSTED=Adjusted","Sort=A","Dates=H","DateFormat=P","Fill=—","Direction=H","UseDPDF=Y")</f>
        <v>-136.18799999999999</v>
      </c>
      <c r="H67" s="13">
        <f>_xll.BDH("SRPT US Equity","EBITA","FQ3 2020","FQ3 2020","Currency=USD","Period=FQ","BEST_FPERIOD_OVERRIDE=FQ","FILING_STATUS=MR","SCALING_FORMAT=MLN","FA_ADJUSTED=Adjusted","Sort=A","Dates=H","DateFormat=P","Fill=—","Direction=H","UseDPDF=Y")</f>
        <v>-119.327</v>
      </c>
      <c r="I67" s="13">
        <f>_xll.BDH("SRPT US Equity","EBITA","FQ4 2020","FQ4 2020","Currency=USD","Period=FQ","BEST_FPERIOD_OVERRIDE=FQ","FILING_STATUS=MR","SCALING_FORMAT=MLN","FA_ADJUSTED=Adjusted","Sort=A","Dates=H","DateFormat=P","Fill=—","Direction=H","UseDPDF=Y")</f>
        <v>-145.95099999999999</v>
      </c>
      <c r="J67" s="13">
        <f>_xll.BDH("SRPT US Equity","EBITA","FQ1 2021","FQ1 2021","Currency=USD","Period=FQ","BEST_FPERIOD_OVERRIDE=FQ","FILING_STATUS=MR","SCALING_FORMAT=MLN","FA_ADJUSTED=Adjusted","Sort=A","Dates=H","DateFormat=P","Fill=—","Direction=H","UseDPDF=Y")</f>
        <v>-137.69499999999999</v>
      </c>
      <c r="K67" s="13">
        <f>_xll.BDH("SRPT US Equity","EBITA","FQ2 2021","FQ2 2021","Currency=USD","Period=FQ","BEST_FPERIOD_OVERRIDE=FQ","FILING_STATUS=MR","SCALING_FORMAT=MLN","FA_ADJUSTED=Adjusted","Sort=A","Dates=H","DateFormat=P","Fill=—","Direction=H","UseDPDF=Y")</f>
        <v>-237.71799999999999</v>
      </c>
      <c r="L67" s="13">
        <f>_xll.BDH("SRPT US Equity","EBITA","FQ3 2021","FQ3 2021","Currency=USD","Period=FQ","BEST_FPERIOD_OVERRIDE=FQ","FILING_STATUS=MR","SCALING_FORMAT=MLN","FA_ADJUSTED=Adjusted","Sort=A","Dates=H","DateFormat=P","Fill=—","Direction=H","UseDPDF=Y")</f>
        <v>-34.28</v>
      </c>
      <c r="M67" s="13">
        <f>_xll.BDH("SRPT US Equity","EBITA","FQ4 2021","FQ4 2021","Currency=USD","Period=FQ","BEST_FPERIOD_OVERRIDE=FQ","FILING_STATUS=MR","SCALING_FORMAT=MLN","FA_ADJUSTED=Adjusted","Sort=A","Dates=H","DateFormat=P","Fill=—","Direction=H","UseDPDF=Y")</f>
        <v>-105.634</v>
      </c>
      <c r="N67" s="13">
        <f>_xll.BDH("SRPT US Equity","EBITA","FQ1 2022","FQ1 2022","Currency=USD","Period=FQ","BEST_FPERIOD_OVERRIDE=FQ","FILING_STATUS=MR","SCALING_FORMAT=MLN","FA_ADJUSTED=Adjusted","Sort=A","Dates=H","DateFormat=P","Fill=—","Direction=H","UseDPDF=Y")</f>
        <v>-86.703000000000003</v>
      </c>
      <c r="O67" s="13">
        <f>_xll.BDH("SRPT US Equity","EBITA","FQ2 2022","FQ2 2022","Currency=USD","Period=FQ","BEST_FPERIOD_OVERRIDE=FQ","FILING_STATUS=MR","SCALING_FORMAT=MLN","FA_ADJUSTED=Adjusted","Sort=A","Dates=H","DateFormat=P","Fill=—","Direction=H","UseDPDF=Y")</f>
        <v>-210.953</v>
      </c>
      <c r="P67" s="13">
        <f>_xll.BDH("SRPT US Equity","EBITA","FQ3 2022","FQ3 2022","Currency=USD","Period=FQ","BEST_FPERIOD_OVERRIDE=FQ","FILING_STATUS=MR","SCALING_FORMAT=MLN","FA_ADJUSTED=Adjusted","Sort=A","Dates=H","DateFormat=P","Fill=—","Direction=H","UseDPDF=Y")</f>
        <v>-131.17699999999999</v>
      </c>
      <c r="Q67" s="13">
        <f>_xll.BDH("SRPT US Equity","EBITA","FQ4 2022","FQ4 2022","Currency=USD","Period=FQ","BEST_FPERIOD_OVERRIDE=FQ","FILING_STATUS=MR","SCALING_FORMAT=MLN","FA_ADJUSTED=Adjusted","Sort=A","Dates=H","DateFormat=P","Fill=—","Direction=H","UseDPDF=Y")</f>
        <v>-106.654</v>
      </c>
      <c r="R67" s="13">
        <f>_xll.BDH("SRPT US Equity","EBITA","FQ1 2023","FQ1 2023","Currency=USD","Period=FQ","BEST_FPERIOD_OVERRIDE=FQ","FILING_STATUS=MR","SCALING_FORMAT=MLN","FA_ADJUSTED=Adjusted","Sort=A","Dates=H","DateFormat=P","Fill=—","Direction=H","UseDPDF=Y")</f>
        <v>-137.91</v>
      </c>
      <c r="S67" s="13">
        <f>_xll.BDH("SRPT US Equity","EBITA","FQ2 2023","FQ2 2023","Currency=USD","Period=FQ","BEST_FPERIOD_OVERRIDE=FQ","FILING_STATUS=MR","SCALING_FORMAT=MLN","FA_ADJUSTED=Adjusted","Sort=A","Dates=H","DateFormat=P","Fill=—","Direction=H","UseDPDF=Y")</f>
        <v>-133.34</v>
      </c>
      <c r="T67" s="13">
        <f>_xll.BDH("SRPT US Equity","EBITA","FQ3 2023","FQ3 2023","Currency=USD","Period=FQ","BEST_FPERIOD_OVERRIDE=FQ","FILING_STATUS=MR","SCALING_FORMAT=MLN","FA_ADJUSTED=Adjusted","Sort=A","Dates=H","DateFormat=P","Fill=—","Direction=H","UseDPDF=Y")</f>
        <v>-20.402999999999999</v>
      </c>
      <c r="U67" s="13">
        <f>_xll.BDH("SRPT US Equity","EBITA","FQ4 2023","FQ4 2023","Currency=USD","Period=FQ","BEST_FPERIOD_OVERRIDE=FQ","FILING_STATUS=MR","SCALING_FORMAT=MLN","FA_ADJUSTED=Adjusted","Sort=A","Dates=H","DateFormat=P","Fill=—","Direction=H","UseDPDF=Y")</f>
        <v>26.151</v>
      </c>
      <c r="V67" s="13">
        <f>_xll.BDH("SRPT US Equity","EBITA","FQ1 2024","FQ1 2024","Currency=USD","Period=FQ","BEST_FPERIOD_OVERRIDE=FQ","FILING_STATUS=MR","SCALING_FORMAT=MLN","FA_ADJUSTED=Adjusted","Sort=A","Dates=H","DateFormat=P","Fill=—","Direction=H","UseDPDF=Y")</f>
        <v>35.506</v>
      </c>
      <c r="W67" s="13">
        <f>_xll.BDH("SRPT US Equity","EBITA","FQ2 2024","FQ2 2024","Currency=USD","Period=FQ","BEST_FPERIOD_OVERRIDE=FQ","FILING_STATUS=MR","SCALING_FORMAT=MLN","FA_ADJUSTED=Adjusted","Sort=A","Dates=H","DateFormat=P","Fill=—","Direction=H","UseDPDF=Y")</f>
        <v>0.501</v>
      </c>
      <c r="X67" s="13">
        <f>_xll.BDH("SRPT US Equity","EBITA","FQ3 2024","FQ3 2024","Currency=USD","Period=FQ","BEST_FPERIOD_OVERRIDE=FQ","FILING_STATUS=MR","SCALING_FORMAT=MLN","FA_ADJUSTED=Adjusted","Sort=A","Dates=H","DateFormat=P","Fill=—","Direction=H","UseDPDF=Y")</f>
        <v>23.4</v>
      </c>
      <c r="Y67" s="13">
        <f>_xll.BDH("SRPT US Equity","EBITA","FQ4 2024","FQ4 2024","Currency=USD","Period=FQ","BEST_FPERIOD_OVERRIDE=FQ","FILING_STATUS=MR","SCALING_FORMAT=MLN","FA_ADJUSTED=Adjusted","Sort=A","Dates=H","DateFormat=P","Fill=—","Direction=H","UseDPDF=Y")</f>
        <v>162.88300000000001</v>
      </c>
      <c r="Z67" s="13"/>
      <c r="AA67" s="13"/>
    </row>
    <row r="68" spans="1:27" x14ac:dyDescent="0.25">
      <c r="A68" s="10" t="s">
        <v>142</v>
      </c>
      <c r="B68" s="10" t="s">
        <v>142</v>
      </c>
      <c r="C68" s="13">
        <f>_xll.BDH("SRPT US Equity","EBIT","FQ2 2019","FQ2 2019","Currency=USD","Period=FQ","BEST_FPERIOD_OVERRIDE=FQ","FILING_STATUS=MR","SCALING_FORMAT=MLN","FA_ADJUSTED=Adjusted","Sort=A","Dates=H","DateFormat=P","Fill=—","Direction=H","UseDPDF=Y")</f>
        <v>-87.049000000000007</v>
      </c>
      <c r="D68" s="13">
        <f>_xll.BDH("SRPT US Equity","EBIT","FQ3 2019","FQ3 2019","Currency=USD","Period=FQ","BEST_FPERIOD_OVERRIDE=FQ","FILING_STATUS=MR","SCALING_FORMAT=MLN","FA_ADJUSTED=Adjusted","Sort=A","Dates=H","DateFormat=P","Fill=—","Direction=H","UseDPDF=Y")</f>
        <v>-111.444</v>
      </c>
      <c r="E68" s="13">
        <f>_xll.BDH("SRPT US Equity","EBIT","FQ4 2019","FQ4 2019","Currency=USD","Period=FQ","BEST_FPERIOD_OVERRIDE=FQ","FILING_STATUS=MR","SCALING_FORMAT=MLN","FA_ADJUSTED=Adjusted","Sort=A","Dates=H","DateFormat=P","Fill=—","Direction=H","UseDPDF=Y")</f>
        <v>-145.40299999999999</v>
      </c>
      <c r="F68" s="13">
        <f>_xll.BDH("SRPT US Equity","EBIT","FQ1 2020","FQ1 2020","Currency=USD","Period=FQ","BEST_FPERIOD_OVERRIDE=FQ","FILING_STATUS=MR","SCALING_FORMAT=MLN","FA_ADJUSTED=Adjusted","Sort=A","Dates=H","DateFormat=P","Fill=—","Direction=H","UseDPDF=Y")</f>
        <v>-106.73399999999999</v>
      </c>
      <c r="G68" s="13">
        <f>_xll.BDH("SRPT US Equity","EBIT","FQ2 2020","FQ2 2020","Currency=USD","Period=FQ","BEST_FPERIOD_OVERRIDE=FQ","FILING_STATUS=MR","SCALING_FORMAT=MLN","FA_ADJUSTED=Adjusted","Sort=A","Dates=H","DateFormat=P","Fill=—","Direction=H","UseDPDF=Y")</f>
        <v>-138.35300000000001</v>
      </c>
      <c r="H68" s="13">
        <f>_xll.BDH("SRPT US Equity","EBIT","FQ3 2020","FQ3 2020","Currency=USD","Period=FQ","BEST_FPERIOD_OVERRIDE=FQ","FILING_STATUS=MR","SCALING_FORMAT=MLN","FA_ADJUSTED=Adjusted","Sort=A","Dates=H","DateFormat=P","Fill=—","Direction=H","UseDPDF=Y")</f>
        <v>-121.693</v>
      </c>
      <c r="I68" s="13">
        <f>_xll.BDH("SRPT US Equity","EBIT","FQ4 2020","FQ4 2020","Currency=USD","Period=FQ","BEST_FPERIOD_OVERRIDE=FQ","FILING_STATUS=MR","SCALING_FORMAT=MLN","FA_ADJUSTED=Adjusted","Sort=A","Dates=H","DateFormat=P","Fill=—","Direction=H","UseDPDF=Y")</f>
        <v>-160.09399999999999</v>
      </c>
      <c r="J68" s="13">
        <f>_xll.BDH("SRPT US Equity","EBIT","FQ1 2021","FQ1 2021","Currency=USD","Period=FQ","BEST_FPERIOD_OVERRIDE=FQ","FILING_STATUS=MR","SCALING_FORMAT=MLN","FA_ADJUSTED=Adjusted","Sort=A","Dates=H","DateFormat=P","Fill=—","Direction=H","UseDPDF=Y")</f>
        <v>-137.86500000000001</v>
      </c>
      <c r="K68" s="13">
        <f>_xll.BDH("SRPT US Equity","EBIT","FQ2 2021","FQ2 2021","Currency=USD","Period=FQ","BEST_FPERIOD_OVERRIDE=FQ","FILING_STATUS=MR","SCALING_FORMAT=MLN","FA_ADJUSTED=Adjusted","Sort=A","Dates=H","DateFormat=P","Fill=—","Direction=H","UseDPDF=Y")</f>
        <v>-237.89699999999999</v>
      </c>
      <c r="L68" s="13">
        <f>_xll.BDH("SRPT US Equity","EBIT","FQ3 2021","FQ3 2021","Currency=USD","Period=FQ","BEST_FPERIOD_OVERRIDE=FQ","FILING_STATUS=MR","SCALING_FORMAT=MLN","FA_ADJUSTED=Adjusted","Sort=A","Dates=H","DateFormat=P","Fill=—","Direction=H","UseDPDF=Y")</f>
        <v>-34.457999999999998</v>
      </c>
      <c r="M68" s="13">
        <f>_xll.BDH("SRPT US Equity","EBIT","FQ4 2021","FQ4 2021","Currency=USD","Period=FQ","BEST_FPERIOD_OVERRIDE=FQ","FILING_STATUS=MR","SCALING_FORMAT=MLN","FA_ADJUSTED=Adjusted","Sort=A","Dates=H","DateFormat=P","Fill=—","Direction=H","UseDPDF=Y")</f>
        <v>-105.813</v>
      </c>
      <c r="N68" s="13">
        <f>_xll.BDH("SRPT US Equity","EBIT","FQ1 2022","FQ1 2022","Currency=USD","Period=FQ","BEST_FPERIOD_OVERRIDE=FQ","FILING_STATUS=MR","SCALING_FORMAT=MLN","FA_ADJUSTED=Adjusted","Sort=A","Dates=H","DateFormat=P","Fill=—","Direction=H","UseDPDF=Y")</f>
        <v>-86.881</v>
      </c>
      <c r="O68" s="13">
        <f>_xll.BDH("SRPT US Equity","EBIT","FQ2 2022","FQ2 2022","Currency=USD","Period=FQ","BEST_FPERIOD_OVERRIDE=FQ","FILING_STATUS=MR","SCALING_FORMAT=MLN","FA_ADJUSTED=Adjusted","Sort=A","Dates=H","DateFormat=P","Fill=—","Direction=H","UseDPDF=Y")</f>
        <v>-211.13200000000001</v>
      </c>
      <c r="P68" s="13">
        <f>_xll.BDH("SRPT US Equity","EBIT","FQ3 2022","FQ3 2022","Currency=USD","Period=FQ","BEST_FPERIOD_OVERRIDE=FQ","FILING_STATUS=MR","SCALING_FORMAT=MLN","FA_ADJUSTED=Adjusted","Sort=A","Dates=H","DateFormat=P","Fill=—","Direction=H","UseDPDF=Y")</f>
        <v>-131.35499999999999</v>
      </c>
      <c r="Q68" s="13">
        <f>_xll.BDH("SRPT US Equity","EBIT","FQ4 2022","FQ4 2022","Currency=USD","Period=FQ","BEST_FPERIOD_OVERRIDE=FQ","FILING_STATUS=MR","SCALING_FORMAT=MLN","FA_ADJUSTED=Adjusted","Sort=A","Dates=H","DateFormat=P","Fill=—","Direction=H","UseDPDF=Y")</f>
        <v>-106.833</v>
      </c>
      <c r="R68" s="13">
        <f>_xll.BDH("SRPT US Equity","EBIT","FQ1 2023","FQ1 2023","Currency=USD","Period=FQ","BEST_FPERIOD_OVERRIDE=FQ","FILING_STATUS=MR","SCALING_FORMAT=MLN","FA_ADJUSTED=Adjusted","Sort=A","Dates=H","DateFormat=P","Fill=—","Direction=H","UseDPDF=Y")</f>
        <v>-138.08799999999999</v>
      </c>
      <c r="S68" s="13">
        <f>_xll.BDH("SRPT US Equity","EBIT","FQ2 2023","FQ2 2023","Currency=USD","Period=FQ","BEST_FPERIOD_OVERRIDE=FQ","FILING_STATUS=MR","SCALING_FORMAT=MLN","FA_ADJUSTED=Adjusted","Sort=A","Dates=H","DateFormat=P","Fill=—","Direction=H","UseDPDF=Y")</f>
        <v>-133.51900000000001</v>
      </c>
      <c r="T68" s="13">
        <f>_xll.BDH("SRPT US Equity","EBIT","FQ3 2023","FQ3 2023","Currency=USD","Period=FQ","BEST_FPERIOD_OVERRIDE=FQ","FILING_STATUS=MR","SCALING_FORMAT=MLN","FA_ADJUSTED=Adjusted","Sort=A","Dates=H","DateFormat=P","Fill=—","Direction=H","UseDPDF=Y")</f>
        <v>-20.841999999999999</v>
      </c>
      <c r="U68" s="13">
        <f>_xll.BDH("SRPT US Equity","EBIT","FQ4 2023","FQ4 2023","Currency=USD","Period=FQ","BEST_FPERIOD_OVERRIDE=FQ","FILING_STATUS=MR","SCALING_FORMAT=MLN","FA_ADJUSTED=Adjusted","Sort=A","Dates=H","DateFormat=P","Fill=—","Direction=H","UseDPDF=Y")</f>
        <v>24.625</v>
      </c>
      <c r="V68" s="13">
        <f>_xll.BDH("SRPT US Equity","EBIT","FQ1 2024","FQ1 2024","Currency=USD","Period=FQ","BEST_FPERIOD_OVERRIDE=FQ","FILING_STATUS=MR","SCALING_FORMAT=MLN","FA_ADJUSTED=Adjusted","Sort=A","Dates=H","DateFormat=P","Fill=—","Direction=H","UseDPDF=Y")</f>
        <v>34.905000000000001</v>
      </c>
      <c r="W68" s="13">
        <f>_xll.BDH("SRPT US Equity","EBIT","FQ2 2024","FQ2 2024","Currency=USD","Period=FQ","BEST_FPERIOD_OVERRIDE=FQ","FILING_STATUS=MR","SCALING_FORMAT=MLN","FA_ADJUSTED=Adjusted","Sort=A","Dates=H","DateFormat=P","Fill=—","Direction=H","UseDPDF=Y")</f>
        <v>-0.70099999999999996</v>
      </c>
      <c r="X68" s="13">
        <f>_xll.BDH("SRPT US Equity","EBIT","FQ3 2024","FQ3 2024","Currency=USD","Period=FQ","BEST_FPERIOD_OVERRIDE=FQ","FILING_STATUS=MR","SCALING_FORMAT=MLN","FA_ADJUSTED=Adjusted","Sort=A","Dates=H","DateFormat=P","Fill=—","Direction=H","UseDPDF=Y")</f>
        <v>22.196000000000002</v>
      </c>
      <c r="Y68" s="13">
        <f>_xll.BDH("SRPT US Equity","EBIT","FQ4 2024","FQ4 2024","Currency=USD","Period=FQ","BEST_FPERIOD_OVERRIDE=FQ","FILING_STATUS=MR","SCALING_FORMAT=MLN","FA_ADJUSTED=Adjusted","Sort=A","Dates=H","DateFormat=P","Fill=—","Direction=H","UseDPDF=Y")</f>
        <v>161.68100000000001</v>
      </c>
      <c r="Z68" s="13">
        <v>126.176</v>
      </c>
      <c r="AA68" s="13">
        <v>256.053</v>
      </c>
    </row>
    <row r="69" spans="1:27" x14ac:dyDescent="0.25">
      <c r="A69" s="10" t="s">
        <v>401</v>
      </c>
      <c r="B69" s="10" t="s">
        <v>153</v>
      </c>
      <c r="C69" s="14">
        <f>_xll.BDH("SRPT US Equity","GROSS_MARGIN","FQ2 2019","FQ2 2019","Currency=USD","Period=FQ","BEST_FPERIOD_OVERRIDE=FQ","FILING_STATUS=MR","FA_ADJUSTED=Adjusted","Sort=A","Dates=H","DateFormat=P","Fill=—","Direction=H","UseDPDF=Y")</f>
        <v>83.184399999999997</v>
      </c>
      <c r="D69" s="14">
        <f>_xll.BDH("SRPT US Equity","GROSS_MARGIN","FQ3 2019","FQ3 2019","Currency=USD","Period=FQ","BEST_FPERIOD_OVERRIDE=FQ","FILING_STATUS=MR","FA_ADJUSTED=Adjusted","Sort=A","Dates=H","DateFormat=P","Fill=—","Direction=H","UseDPDF=Y")</f>
        <v>86.836799999999997</v>
      </c>
      <c r="E69" s="14">
        <f>_xll.BDH("SRPT US Equity","GROSS_MARGIN","FQ4 2019","FQ4 2019","Currency=USD","Period=FQ","BEST_FPERIOD_OVERRIDE=FQ","FILING_STATUS=MR","FA_ADJUSTED=Adjusted","Sort=A","Dates=H","DateFormat=P","Fill=—","Direction=H","UseDPDF=Y")</f>
        <v>84.450599999999994</v>
      </c>
      <c r="F69" s="14">
        <f>_xll.BDH("SRPT US Equity","GROSS_MARGIN","FQ1 2020","FQ1 2020","Currency=USD","Period=FQ","BEST_FPERIOD_OVERRIDE=FQ","FILING_STATUS=MR","FA_ADJUSTED=Adjusted","Sort=A","Dates=H","DateFormat=P","Fill=—","Direction=H","UseDPDF=Y")</f>
        <v>88.896299999999997</v>
      </c>
      <c r="G69" s="14">
        <f>_xll.BDH("SRPT US Equity","GROSS_MARGIN","FQ2 2020","FQ2 2020","Currency=USD","Period=FQ","BEST_FPERIOD_OVERRIDE=FQ","FILING_STATUS=MR","FA_ADJUSTED=Adjusted","Sort=A","Dates=H","DateFormat=P","Fill=—","Direction=H","UseDPDF=Y")</f>
        <v>90.287800000000004</v>
      </c>
      <c r="H69" s="14">
        <f>_xll.BDH("SRPT US Equity","GROSS_MARGIN","FQ3 2020","FQ3 2020","Currency=USD","Period=FQ","BEST_FPERIOD_OVERRIDE=FQ","FILING_STATUS=MR","FA_ADJUSTED=Adjusted","Sort=A","Dates=H","DateFormat=P","Fill=—","Direction=H","UseDPDF=Y")</f>
        <v>89.567400000000006</v>
      </c>
      <c r="I69" s="14">
        <f>_xll.BDH("SRPT US Equity","GROSS_MARGIN","FQ4 2020","FQ4 2020","Currency=USD","Period=FQ","BEST_FPERIOD_OVERRIDE=FQ","FILING_STATUS=MR","FA_ADJUSTED=Adjusted","Sort=A","Dates=H","DateFormat=P","Fill=—","Direction=H","UseDPDF=Y")</f>
        <v>84.563699999999997</v>
      </c>
      <c r="J69" s="14">
        <f>_xll.BDH("SRPT US Equity","GROSS_MARGIN","FQ1 2021","FQ1 2021","Currency=USD","Period=FQ","BEST_FPERIOD_OVERRIDE=FQ","FILING_STATUS=MR","FA_ADJUSTED=Adjusted","Sort=A","Dates=H","DateFormat=P","Fill=—","Direction=H","UseDPDF=Y")</f>
        <v>84.791499999999999</v>
      </c>
      <c r="K69" s="14">
        <f>_xll.BDH("SRPT US Equity","GROSS_MARGIN","FQ2 2021","FQ2 2021","Currency=USD","Period=FQ","BEST_FPERIOD_OVERRIDE=FQ","FILING_STATUS=MR","FA_ADJUSTED=Adjusted","Sort=A","Dates=H","DateFormat=P","Fill=—","Direction=H","UseDPDF=Y")</f>
        <v>88.107100000000003</v>
      </c>
      <c r="L69" s="14">
        <f>_xll.BDH("SRPT US Equity","GROSS_MARGIN","FQ3 2021","FQ3 2021","Currency=USD","Period=FQ","BEST_FPERIOD_OVERRIDE=FQ","FILING_STATUS=MR","FA_ADJUSTED=Adjusted","Sort=A","Dates=H","DateFormat=P","Fill=—","Direction=H","UseDPDF=Y")</f>
        <v>87.622399999999999</v>
      </c>
      <c r="M69" s="14">
        <f>_xll.BDH("SRPT US Equity","GROSS_MARGIN","FQ4 2021","FQ4 2021","Currency=USD","Period=FQ","BEST_FPERIOD_OVERRIDE=FQ","FILING_STATUS=MR","FA_ADJUSTED=Adjusted","Sort=A","Dates=H","DateFormat=P","Fill=—","Direction=H","UseDPDF=Y")</f>
        <v>84.243099999999998</v>
      </c>
      <c r="N69" s="14">
        <f>_xll.BDH("SRPT US Equity","GROSS_MARGIN","FQ1 2022","FQ1 2022","Currency=USD","Period=FQ","BEST_FPERIOD_OVERRIDE=FQ","FILING_STATUS=MR","FA_ADJUSTED=Adjusted","Sort=A","Dates=H","DateFormat=P","Fill=—","Direction=H","UseDPDF=Y")</f>
        <v>85.086100000000002</v>
      </c>
      <c r="O69" s="14">
        <f>_xll.BDH("SRPT US Equity","GROSS_MARGIN","FQ2 2022","FQ2 2022","Currency=USD","Period=FQ","BEST_FPERIOD_OVERRIDE=FQ","FILING_STATUS=MR","FA_ADJUSTED=Adjusted","Sort=A","Dates=H","DateFormat=P","Fill=—","Direction=H","UseDPDF=Y")</f>
        <v>83.812799999999996</v>
      </c>
      <c r="P69" s="14">
        <f>_xll.BDH("SRPT US Equity","GROSS_MARGIN","FQ3 2022","FQ3 2022","Currency=USD","Period=FQ","BEST_FPERIOD_OVERRIDE=FQ","FILING_STATUS=MR","FA_ADJUSTED=Adjusted","Sort=A","Dates=H","DateFormat=P","Fill=—","Direction=H","UseDPDF=Y")</f>
        <v>82.649900000000002</v>
      </c>
      <c r="Q69" s="14">
        <f>_xll.BDH("SRPT US Equity","GROSS_MARGIN","FQ4 2022","FQ4 2022","Currency=USD","Period=FQ","BEST_FPERIOD_OVERRIDE=FQ","FILING_STATUS=MR","FA_ADJUSTED=Adjusted","Sort=A","Dates=H","DateFormat=P","Fill=—","Direction=H","UseDPDF=Y")</f>
        <v>88.082099999999997</v>
      </c>
      <c r="R69" s="14">
        <f>_xll.BDH("SRPT US Equity","GROSS_MARGIN","FQ1 2023","FQ1 2023","Currency=USD","Period=FQ","BEST_FPERIOD_OVERRIDE=FQ","FILING_STATUS=MR","FA_ADJUSTED=Adjusted","Sort=A","Dates=H","DateFormat=P","Fill=—","Direction=H","UseDPDF=Y")</f>
        <v>86.186599999999999</v>
      </c>
      <c r="S69" s="14">
        <f>_xll.BDH("SRPT US Equity","GROSS_MARGIN","FQ2 2023","FQ2 2023","Currency=USD","Period=FQ","BEST_FPERIOD_OVERRIDE=FQ","FILING_STATUS=MR","FA_ADJUSTED=Adjusted","Sort=A","Dates=H","DateFormat=P","Fill=—","Direction=H","UseDPDF=Y")</f>
        <v>86.937600000000003</v>
      </c>
      <c r="T69" s="14">
        <f>_xll.BDH("SRPT US Equity","GROSS_MARGIN","FQ3 2023","FQ3 2023","Currency=USD","Period=FQ","BEST_FPERIOD_OVERRIDE=FQ","FILING_STATUS=MR","FA_ADJUSTED=Adjusted","Sort=A","Dates=H","DateFormat=P","Fill=—","Direction=H","UseDPDF=Y")</f>
        <v>88.841399999999993</v>
      </c>
      <c r="U69" s="14">
        <f>_xll.BDH("SRPT US Equity","GROSS_MARGIN","FQ4 2023","FQ4 2023","Currency=USD","Period=FQ","BEST_FPERIOD_OVERRIDE=FQ","FILING_STATUS=MR","FA_ADJUSTED=Adjusted","Sort=A","Dates=H","DateFormat=P","Fill=—","Direction=H","UseDPDF=Y")</f>
        <v>88.866399999999999</v>
      </c>
      <c r="V69" s="14">
        <f>_xll.BDH("SRPT US Equity","GROSS_MARGIN","FQ1 2024","FQ1 2024","Currency=USD","Period=FQ","BEST_FPERIOD_OVERRIDE=FQ","FILING_STATUS=MR","FA_ADJUSTED=Adjusted","Sort=A","Dates=H","DateFormat=P","Fill=—","Direction=H","UseDPDF=Y")</f>
        <v>87.771799999999999</v>
      </c>
      <c r="W69" s="14">
        <f>_xll.BDH("SRPT US Equity","GROSS_MARGIN","FQ2 2024","FQ2 2024","Currency=USD","Period=FQ","BEST_FPERIOD_OVERRIDE=FQ","FILING_STATUS=MR","FA_ADJUSTED=Adjusted","Sort=A","Dates=H","DateFormat=P","Fill=—","Direction=H","UseDPDF=Y")</f>
        <v>87.726299999999995</v>
      </c>
      <c r="X69" s="14">
        <f>_xll.BDH("SRPT US Equity","GROSS_MARGIN","FQ3 2024","FQ3 2024","Currency=USD","Period=FQ","BEST_FPERIOD_OVERRIDE=FQ","FILING_STATUS=MR","FA_ADJUSTED=Adjusted","Sort=A","Dates=H","DateFormat=P","Fill=—","Direction=H","UseDPDF=Y")</f>
        <v>80.373199999999997</v>
      </c>
      <c r="Y69" s="14">
        <f>_xll.BDH("SRPT US Equity","GROSS_MARGIN","FQ4 2024","FQ4 2024","Currency=USD","Period=FQ","BEST_FPERIOD_OVERRIDE=FQ","FILING_STATUS=MR","FA_ADJUSTED=Adjusted","Sort=A","Dates=H","DateFormat=P","Fill=—","Direction=H","UseDPDF=Y")</f>
        <v>79.905600000000007</v>
      </c>
      <c r="Z69" s="14">
        <v>83.033000000000001</v>
      </c>
      <c r="AA69" s="14">
        <v>83.352000000000004</v>
      </c>
    </row>
    <row r="70" spans="1:27" x14ac:dyDescent="0.25">
      <c r="A70" s="10" t="s">
        <v>402</v>
      </c>
      <c r="B70" s="10" t="s">
        <v>403</v>
      </c>
      <c r="C70" s="14">
        <f>_xll.BDH("SRPT US Equity","OPER_MARGIN","FQ2 2019","FQ2 2019","Currency=USD","Period=FQ","BEST_FPERIOD_OVERRIDE=FQ","FILING_STATUS=MR","FA_ADJUSTED=Adjusted","Sort=A","Dates=H","DateFormat=P","Fill=—","Direction=H","UseDPDF=Y")</f>
        <v>-91.951899999999995</v>
      </c>
      <c r="D70" s="14">
        <f>_xll.BDH("SRPT US Equity","OPER_MARGIN","FQ3 2019","FQ3 2019","Currency=USD","Period=FQ","BEST_FPERIOD_OVERRIDE=FQ","FILING_STATUS=MR","FA_ADJUSTED=Adjusted","Sort=A","Dates=H","DateFormat=P","Fill=—","Direction=H","UseDPDF=Y")</f>
        <v>-112.5231</v>
      </c>
      <c r="E70" s="14">
        <f>_xll.BDH("SRPT US Equity","OPER_MARGIN","FQ4 2019","FQ4 2019","Currency=USD","Period=FQ","BEST_FPERIOD_OVERRIDE=FQ","FILING_STATUS=MR","FA_ADJUSTED=Adjusted","Sort=A","Dates=H","DateFormat=P","Fill=—","Direction=H","UseDPDF=Y")</f>
        <v>-145.2389</v>
      </c>
      <c r="F70" s="14">
        <f>_xll.BDH("SRPT US Equity","OPER_MARGIN","FQ1 2020","FQ1 2020","Currency=USD","Period=FQ","BEST_FPERIOD_OVERRIDE=FQ","FILING_STATUS=MR","FA_ADJUSTED=Adjusted","Sort=A","Dates=H","DateFormat=P","Fill=—","Direction=H","UseDPDF=Y")</f>
        <v>-93.894800000000004</v>
      </c>
      <c r="G70" s="14">
        <f>_xll.BDH("SRPT US Equity","OPER_MARGIN","FQ2 2020","FQ2 2020","Currency=USD","Period=FQ","BEST_FPERIOD_OVERRIDE=FQ","FILING_STATUS=MR","FA_ADJUSTED=Adjusted","Sort=A","Dates=H","DateFormat=P","Fill=—","Direction=H","UseDPDF=Y")</f>
        <v>-100.72069999999999</v>
      </c>
      <c r="H70" s="14">
        <f>_xll.BDH("SRPT US Equity","OPER_MARGIN","FQ3 2020","FQ3 2020","Currency=USD","Period=FQ","BEST_FPERIOD_OVERRIDE=FQ","FILING_STATUS=MR","FA_ADJUSTED=Adjusted","Sort=A","Dates=H","DateFormat=P","Fill=—","Direction=H","UseDPDF=Y")</f>
        <v>-84.553700000000006</v>
      </c>
      <c r="I70" s="14">
        <f>_xll.BDH("SRPT US Equity","OPER_MARGIN","FQ4 2020","FQ4 2020","Currency=USD","Period=FQ","BEST_FPERIOD_OVERRIDE=FQ","FILING_STATUS=MR","FA_ADJUSTED=Adjusted","Sort=A","Dates=H","DateFormat=P","Fill=—","Direction=H","UseDPDF=Y")</f>
        <v>-110.3047</v>
      </c>
      <c r="J70" s="14">
        <f>_xll.BDH("SRPT US Equity","OPER_MARGIN","FQ1 2021","FQ1 2021","Currency=USD","Period=FQ","BEST_FPERIOD_OVERRIDE=FQ","FILING_STATUS=MR","FA_ADJUSTED=Adjusted","Sort=A","Dates=H","DateFormat=P","Fill=—","Direction=H","UseDPDF=Y")</f>
        <v>-93.829800000000006</v>
      </c>
      <c r="K70" s="14">
        <f>_xll.BDH("SRPT US Equity","OPER_MARGIN","FQ2 2021","FQ2 2021","Currency=USD","Period=FQ","BEST_FPERIOD_OVERRIDE=FQ","FILING_STATUS=MR","FA_ADJUSTED=Adjusted","Sort=A","Dates=H","DateFormat=P","Fill=—","Direction=H","UseDPDF=Y")</f>
        <v>-144.98050000000001</v>
      </c>
      <c r="L70" s="14">
        <f>_xll.BDH("SRPT US Equity","OPER_MARGIN","FQ3 2021","FQ3 2021","Currency=USD","Period=FQ","BEST_FPERIOD_OVERRIDE=FQ","FILING_STATUS=MR","FA_ADJUSTED=Adjusted","Sort=A","Dates=H","DateFormat=P","Fill=—","Direction=H","UseDPDF=Y")</f>
        <v>-18.192699999999999</v>
      </c>
      <c r="M70" s="14">
        <f>_xll.BDH("SRPT US Equity","OPER_MARGIN","FQ4 2021","FQ4 2021","Currency=USD","Period=FQ","BEST_FPERIOD_OVERRIDE=FQ","FILING_STATUS=MR","FA_ADJUSTED=Adjusted","Sort=A","Dates=H","DateFormat=P","Fill=—","Direction=H","UseDPDF=Y")</f>
        <v>-52.522799999999997</v>
      </c>
      <c r="N70" s="14">
        <f>_xll.BDH("SRPT US Equity","OPER_MARGIN","FQ1 2022","FQ1 2022","Currency=USD","Period=FQ","BEST_FPERIOD_OVERRIDE=FQ","FILING_STATUS=MR","FA_ADJUSTED=Adjusted","Sort=A","Dates=H","DateFormat=P","Fill=—","Direction=H","UseDPDF=Y")</f>
        <v>-41.209000000000003</v>
      </c>
      <c r="O70" s="14">
        <f>_xll.BDH("SRPT US Equity","OPER_MARGIN","FQ2 2022","FQ2 2022","Currency=USD","Period=FQ","BEST_FPERIOD_OVERRIDE=FQ","FILING_STATUS=MR","FA_ADJUSTED=Adjusted","Sort=A","Dates=H","DateFormat=P","Fill=—","Direction=H","UseDPDF=Y")</f>
        <v>-90.425600000000003</v>
      </c>
      <c r="P70" s="14">
        <f>_xll.BDH("SRPT US Equity","OPER_MARGIN","FQ3 2022","FQ3 2022","Currency=USD","Period=FQ","BEST_FPERIOD_OVERRIDE=FQ","FILING_STATUS=MR","FA_ADJUSTED=Adjusted","Sort=A","Dates=H","DateFormat=P","Fill=—","Direction=H","UseDPDF=Y")</f>
        <v>-57.044199999999996</v>
      </c>
      <c r="Q70" s="14">
        <f>_xll.BDH("SRPT US Equity","OPER_MARGIN","FQ4 2022","FQ4 2022","Currency=USD","Period=FQ","BEST_FPERIOD_OVERRIDE=FQ","FILING_STATUS=MR","FA_ADJUSTED=Adjusted","Sort=A","Dates=H","DateFormat=P","Fill=—","Direction=H","UseDPDF=Y")</f>
        <v>-41.339700000000001</v>
      </c>
      <c r="R70" s="14">
        <f>_xll.BDH("SRPT US Equity","OPER_MARGIN","FQ1 2023","FQ1 2023","Currency=USD","Period=FQ","BEST_FPERIOD_OVERRIDE=FQ","FILING_STATUS=MR","FA_ADJUSTED=Adjusted","Sort=A","Dates=H","DateFormat=P","Fill=—","Direction=H","UseDPDF=Y")</f>
        <v>-54.4726</v>
      </c>
      <c r="S70" s="14">
        <f>_xll.BDH("SRPT US Equity","OPER_MARGIN","FQ2 2023","FQ2 2023","Currency=USD","Period=FQ","BEST_FPERIOD_OVERRIDE=FQ","FILING_STATUS=MR","FA_ADJUSTED=Adjusted","Sort=A","Dates=H","DateFormat=P","Fill=—","Direction=H","UseDPDF=Y")</f>
        <v>-51.110100000000003</v>
      </c>
      <c r="T70" s="14">
        <f>_xll.BDH("SRPT US Equity","OPER_MARGIN","FQ3 2023","FQ3 2023","Currency=USD","Period=FQ","BEST_FPERIOD_OVERRIDE=FQ","FILING_STATUS=MR","FA_ADJUSTED=Adjusted","Sort=A","Dates=H","DateFormat=P","Fill=—","Direction=H","UseDPDF=Y")</f>
        <v>-6.2812000000000001</v>
      </c>
      <c r="U70" s="14">
        <f>_xll.BDH("SRPT US Equity","OPER_MARGIN","FQ4 2023","FQ4 2023","Currency=USD","Period=FQ","BEST_FPERIOD_OVERRIDE=FQ","FILING_STATUS=MR","FA_ADJUSTED=Adjusted","Sort=A","Dates=H","DateFormat=P","Fill=—","Direction=H","UseDPDF=Y")</f>
        <v>6.2061999999999999</v>
      </c>
      <c r="V70" s="14">
        <f>_xll.BDH("SRPT US Equity","OPER_MARGIN","FQ1 2024","FQ1 2024","Currency=USD","Period=FQ","BEST_FPERIOD_OVERRIDE=FQ","FILING_STATUS=MR","FA_ADJUSTED=Adjusted","Sort=A","Dates=H","DateFormat=P","Fill=—","Direction=H","UseDPDF=Y")</f>
        <v>8.4420999999999999</v>
      </c>
      <c r="W70" s="14">
        <f>_xll.BDH("SRPT US Equity","OPER_MARGIN","FQ2 2024","FQ2 2024","Currency=USD","Period=FQ","BEST_FPERIOD_OVERRIDE=FQ","FILING_STATUS=MR","FA_ADJUSTED=Adjusted","Sort=A","Dates=H","DateFormat=P","Fill=—","Direction=H","UseDPDF=Y")</f>
        <v>-0.19309999999999999</v>
      </c>
      <c r="X70" s="14">
        <f>_xll.BDH("SRPT US Equity","OPER_MARGIN","FQ3 2024","FQ3 2024","Currency=USD","Period=FQ","BEST_FPERIOD_OVERRIDE=FQ","FILING_STATUS=MR","FA_ADJUSTED=Adjusted","Sort=A","Dates=H","DateFormat=P","Fill=—","Direction=H","UseDPDF=Y")</f>
        <v>4.7511000000000001</v>
      </c>
      <c r="Y70" s="14">
        <f>_xll.BDH("SRPT US Equity","OPER_MARGIN","FQ4 2024","FQ4 2024","Currency=USD","Period=FQ","BEST_FPERIOD_OVERRIDE=FQ","FILING_STATUS=MR","FA_ADJUSTED=Adjusted","Sort=A","Dates=H","DateFormat=P","Fill=—","Direction=H","UseDPDF=Y")</f>
        <v>24.5562</v>
      </c>
      <c r="Z70" s="14">
        <v>18.157432724132999</v>
      </c>
      <c r="AA70" s="14">
        <v>33.686751743191699</v>
      </c>
    </row>
    <row r="71" spans="1:27" x14ac:dyDescent="0.25">
      <c r="A71" s="10" t="s">
        <v>404</v>
      </c>
      <c r="B71" s="10" t="s">
        <v>405</v>
      </c>
      <c r="C71" s="14">
        <f>_xll.BDH("SRPT US Equity","PROF_MARGIN","FQ2 2019","FQ2 2019","Currency=USD","Period=FQ","BEST_FPERIOD_OVERRIDE=FQ","FILING_STATUS=MR","FA_ADJUSTED=Adjusted","Sort=A","Dates=H","DateFormat=P","Fill=—","Direction=H","UseDPDF=Y")</f>
        <v>-93.046199999999999</v>
      </c>
      <c r="D71" s="14">
        <f>_xll.BDH("SRPT US Equity","PROF_MARGIN","FQ3 2019","FQ3 2019","Currency=USD","Period=FQ","BEST_FPERIOD_OVERRIDE=FQ","FILING_STATUS=MR","FA_ADJUSTED=Adjusted","Sort=A","Dates=H","DateFormat=P","Fill=—","Direction=H","UseDPDF=Y")</f>
        <v>-117.8609</v>
      </c>
      <c r="E71" s="14">
        <f>_xll.BDH("SRPT US Equity","PROF_MARGIN","FQ4 2019","FQ4 2019","Currency=USD","Period=FQ","BEST_FPERIOD_OVERRIDE=FQ","FILING_STATUS=MR","FA_ADJUSTED=Adjusted","Sort=A","Dates=H","DateFormat=P","Fill=—","Direction=H","UseDPDF=Y")</f>
        <v>-168.50790000000001</v>
      </c>
      <c r="F71" s="14">
        <f>_xll.BDH("SRPT US Equity","PROF_MARGIN","FQ1 2020","FQ1 2020","Currency=USD","Period=FQ","BEST_FPERIOD_OVERRIDE=FQ","FILING_STATUS=MR","FA_ADJUSTED=Adjusted","Sort=A","Dates=H","DateFormat=P","Fill=—","Direction=H","UseDPDF=Y")</f>
        <v>-100.3665</v>
      </c>
      <c r="G71" s="14">
        <f>_xll.BDH("SRPT US Equity","PROF_MARGIN","FQ2 2020","FQ2 2020","Currency=USD","Period=FQ","BEST_FPERIOD_OVERRIDE=FQ","FILING_STATUS=MR","FA_ADJUSTED=Adjusted","Sort=A","Dates=H","DateFormat=P","Fill=—","Direction=H","UseDPDF=Y")</f>
        <v>-109.7967</v>
      </c>
      <c r="H71" s="14">
        <f>_xll.BDH("SRPT US Equity","PROF_MARGIN","FQ3 2020","FQ3 2020","Currency=USD","Period=FQ","BEST_FPERIOD_OVERRIDE=FQ","FILING_STATUS=MR","FA_ADJUSTED=Adjusted","Sort=A","Dates=H","DateFormat=P","Fill=—","Direction=H","UseDPDF=Y")</f>
        <v>-103.38979999999999</v>
      </c>
      <c r="I71" s="14">
        <f>_xll.BDH("SRPT US Equity","PROF_MARGIN","FQ4 2020","FQ4 2020","Currency=USD","Period=FQ","BEST_FPERIOD_OVERRIDE=FQ","FILING_STATUS=MR","FA_ADJUSTED=Adjusted","Sort=A","Dates=H","DateFormat=P","Fill=—","Direction=H","UseDPDF=Y")</f>
        <v>-124.6576</v>
      </c>
      <c r="J71" s="14">
        <f>_xll.BDH("SRPT US Equity","PROF_MARGIN","FQ1 2021","FQ1 2021","Currency=USD","Period=FQ","BEST_FPERIOD_OVERRIDE=FQ","FILING_STATUS=MR","FA_ADJUSTED=Adjusted","Sort=A","Dates=H","DateFormat=P","Fill=—","Direction=H","UseDPDF=Y")</f>
        <v>-104.331</v>
      </c>
      <c r="K71" s="14">
        <f>_xll.BDH("SRPT US Equity","PROF_MARGIN","FQ2 2021","FQ2 2021","Currency=USD","Period=FQ","BEST_FPERIOD_OVERRIDE=FQ","FILING_STATUS=MR","FA_ADJUSTED=Adjusted","Sort=A","Dates=H","DateFormat=P","Fill=—","Direction=H","UseDPDF=Y")</f>
        <v>-92.466899999999995</v>
      </c>
      <c r="L71" s="14">
        <f>_xll.BDH("SRPT US Equity","PROF_MARGIN","FQ3 2021","FQ3 2021","Currency=USD","Period=FQ","BEST_FPERIOD_OVERRIDE=FQ","FILING_STATUS=MR","FA_ADJUSTED=Adjusted","Sort=A","Dates=H","DateFormat=P","Fill=—","Direction=H","UseDPDF=Y")</f>
        <v>-23.546500000000002</v>
      </c>
      <c r="M71" s="14">
        <f>_xll.BDH("SRPT US Equity","PROF_MARGIN","FQ4 2021","FQ4 2021","Currency=USD","Period=FQ","BEST_FPERIOD_OVERRIDE=FQ","FILING_STATUS=MR","FA_ADJUSTED=Adjusted","Sort=A","Dates=H","DateFormat=P","Fill=—","Direction=H","UseDPDF=Y")</f>
        <v>-60.548200000000001</v>
      </c>
      <c r="N71" s="14">
        <f>_xll.BDH("SRPT US Equity","PROF_MARGIN","FQ1 2022","FQ1 2022","Currency=USD","Period=FQ","BEST_FPERIOD_OVERRIDE=FQ","FILING_STATUS=MR","FA_ADJUSTED=Adjusted","Sort=A","Dates=H","DateFormat=P","Fill=—","Direction=H","UseDPDF=Y")</f>
        <v>-49.814999999999998</v>
      </c>
      <c r="O71" s="14">
        <f>_xll.BDH("SRPT US Equity","PROF_MARGIN","FQ2 2022","FQ2 2022","Currency=USD","Period=FQ","BEST_FPERIOD_OVERRIDE=FQ","FILING_STATUS=MR","FA_ADJUSTED=Adjusted","Sort=A","Dates=H","DateFormat=P","Fill=—","Direction=H","UseDPDF=Y")</f>
        <v>-99.140900000000002</v>
      </c>
      <c r="P71" s="14">
        <f>_xll.BDH("SRPT US Equity","PROF_MARGIN","FQ3 2022","FQ3 2022","Currency=USD","Period=FQ","BEST_FPERIOD_OVERRIDE=FQ","FILING_STATUS=MR","FA_ADJUSTED=Adjusted","Sort=A","Dates=H","DateFormat=P","Fill=—","Direction=H","UseDPDF=Y")</f>
        <v>-71.191800000000001</v>
      </c>
      <c r="Q71" s="14">
        <f>_xll.BDH("SRPT US Equity","PROF_MARGIN","FQ4 2022","FQ4 2022","Currency=USD","Period=FQ","BEST_FPERIOD_OVERRIDE=FQ","FILING_STATUS=MR","FA_ADJUSTED=Adjusted","Sort=A","Dates=H","DateFormat=P","Fill=—","Direction=H","UseDPDF=Y")</f>
        <v>-41.485500000000002</v>
      </c>
      <c r="R71" s="14">
        <f>_xll.BDH("SRPT US Equity","PROF_MARGIN","FQ1 2023","FQ1 2023","Currency=USD","Period=FQ","BEST_FPERIOD_OVERRIDE=FQ","FILING_STATUS=MR","FA_ADJUSTED=Adjusted","Sort=A","Dates=H","DateFormat=P","Fill=—","Direction=H","UseDPDF=Y")</f>
        <v>-83.141999999999996</v>
      </c>
      <c r="S71" s="14">
        <f>_xll.BDH("SRPT US Equity","PROF_MARGIN","FQ2 2023","FQ2 2023","Currency=USD","Period=FQ","BEST_FPERIOD_OVERRIDE=FQ","FILING_STATUS=MR","FA_ADJUSTED=Adjusted","Sort=A","Dates=H","DateFormat=P","Fill=—","Direction=H","UseDPDF=Y")</f>
        <v>-40.251399999999997</v>
      </c>
      <c r="T71" s="14">
        <f>_xll.BDH("SRPT US Equity","PROF_MARGIN","FQ3 2023","FQ3 2023","Currency=USD","Period=FQ","BEST_FPERIOD_OVERRIDE=FQ","FILING_STATUS=MR","FA_ADJUSTED=Adjusted","Sort=A","Dates=H","DateFormat=P","Fill=—","Direction=H","UseDPDF=Y")</f>
        <v>-11.8611</v>
      </c>
      <c r="U71" s="14">
        <f>_xll.BDH("SRPT US Equity","PROF_MARGIN","FQ4 2023","FQ4 2023","Currency=USD","Period=FQ","BEST_FPERIOD_OVERRIDE=FQ","FILING_STATUS=MR","FA_ADJUSTED=Adjusted","Sort=A","Dates=H","DateFormat=P","Fill=—","Direction=H","UseDPDF=Y")</f>
        <v>11.5063</v>
      </c>
      <c r="V71" s="14">
        <f>_xll.BDH("SRPT US Equity","PROF_MARGIN","FQ1 2024","FQ1 2024","Currency=USD","Period=FQ","BEST_FPERIOD_OVERRIDE=FQ","FILING_STATUS=MR","FA_ADJUSTED=Adjusted","Sort=A","Dates=H","DateFormat=P","Fill=—","Direction=H","UseDPDF=Y")</f>
        <v>11.103</v>
      </c>
      <c r="W71" s="14">
        <f>_xll.BDH("SRPT US Equity","PROF_MARGIN","FQ2 2024","FQ2 2024","Currency=USD","Period=FQ","BEST_FPERIOD_OVERRIDE=FQ","FILING_STATUS=MR","FA_ADJUSTED=Adjusted","Sort=A","Dates=H","DateFormat=P","Fill=—","Direction=H","UseDPDF=Y")</f>
        <v>1.78</v>
      </c>
      <c r="X71" s="14">
        <f>_xll.BDH("SRPT US Equity","PROF_MARGIN","FQ3 2024","FQ3 2024","Currency=USD","Period=FQ","BEST_FPERIOD_OVERRIDE=FQ","FILING_STATUS=MR","FA_ADJUSTED=Adjusted","Sort=A","Dates=H","DateFormat=P","Fill=—","Direction=H","UseDPDF=Y")</f>
        <v>6.9035000000000002</v>
      </c>
      <c r="Y71" s="14">
        <f>_xll.BDH("SRPT US Equity","PROF_MARGIN","FQ4 2024","FQ4 2024","Currency=USD","Period=FQ","BEST_FPERIOD_OVERRIDE=FQ","FILING_STATUS=MR","FA_ADJUSTED=Adjusted","Sort=A","Dates=H","DateFormat=P","Fill=—","Direction=H","UseDPDF=Y")</f>
        <v>24.048500000000001</v>
      </c>
      <c r="Z71" s="14">
        <v>13.9850338178155</v>
      </c>
      <c r="AA71" s="14">
        <v>38.527299039600102</v>
      </c>
    </row>
    <row r="72" spans="1:27" x14ac:dyDescent="0.25">
      <c r="A72" s="10" t="s">
        <v>406</v>
      </c>
      <c r="B72" s="10" t="s">
        <v>407</v>
      </c>
      <c r="C72" s="14" t="str">
        <f>_xll.BDH("SRPT US Equity","ACTUAL_SALES_PER_EMPL","FQ2 2019","FQ2 2019","Currency=USD","Period=FQ","BEST_FPERIOD_OVERRIDE=FQ","FILING_STATUS=MR","FA_ADJUSTED=Adjusted","Sort=A","Dates=H","DateFormat=P","Fill=—","Direction=H","UseDPDF=Y")</f>
        <v>—</v>
      </c>
      <c r="D72" s="14" t="str">
        <f>_xll.BDH("SRPT US Equity","ACTUAL_SALES_PER_EMPL","FQ3 2019","FQ3 2019","Currency=USD","Period=FQ","BEST_FPERIOD_OVERRIDE=FQ","FILING_STATUS=MR","FA_ADJUSTED=Adjusted","Sort=A","Dates=H","DateFormat=P","Fill=—","Direction=H","UseDPDF=Y")</f>
        <v>—</v>
      </c>
      <c r="E72" s="14">
        <f>_xll.BDH("SRPT US Equity","ACTUAL_SALES_PER_EMPL","FQ4 2019","FQ4 2019","Currency=USD","Period=FQ","BEST_FPERIOD_OVERRIDE=FQ","FILING_STATUS=MR","FA_ADJUSTED=Adjusted","Sort=A","Dates=H","DateFormat=P","Fill=—","Direction=H","UseDPDF=Y")</f>
        <v>134741.5882</v>
      </c>
      <c r="F72" s="14" t="str">
        <f>_xll.BDH("SRPT US Equity","ACTUAL_SALES_PER_EMPL","FQ1 2020","FQ1 2020","Currency=USD","Period=FQ","BEST_FPERIOD_OVERRIDE=FQ","FILING_STATUS=MR","FA_ADJUSTED=Adjusted","Sort=A","Dates=H","DateFormat=P","Fill=—","Direction=H","UseDPDF=Y")</f>
        <v>—</v>
      </c>
      <c r="G72" s="14" t="str">
        <f>_xll.BDH("SRPT US Equity","ACTUAL_SALES_PER_EMPL","FQ2 2020","FQ2 2020","Currency=USD","Period=FQ","BEST_FPERIOD_OVERRIDE=FQ","FILING_STATUS=MR","FA_ADJUSTED=Adjusted","Sort=A","Dates=H","DateFormat=P","Fill=—","Direction=H","UseDPDF=Y")</f>
        <v>—</v>
      </c>
      <c r="H72" s="14" t="str">
        <f>_xll.BDH("SRPT US Equity","ACTUAL_SALES_PER_EMPL","FQ3 2020","FQ3 2020","Currency=USD","Period=FQ","BEST_FPERIOD_OVERRIDE=FQ","FILING_STATUS=MR","FA_ADJUSTED=Adjusted","Sort=A","Dates=H","DateFormat=P","Fill=—","Direction=H","UseDPDF=Y")</f>
        <v>—</v>
      </c>
      <c r="I72" s="14">
        <f>_xll.BDH("SRPT US Equity","ACTUAL_SALES_PER_EMPL","FQ4 2020","FQ4 2020","Currency=USD","Period=FQ","BEST_FPERIOD_OVERRIDE=FQ","FILING_STATUS=MR","FA_ADJUSTED=Adjusted","Sort=A","Dates=H","DateFormat=P","Fill=—","Direction=H","UseDPDF=Y")</f>
        <v>167595.84299999999</v>
      </c>
      <c r="J72" s="14" t="str">
        <f>_xll.BDH("SRPT US Equity","ACTUAL_SALES_PER_EMPL","FQ1 2021","FQ1 2021","Currency=USD","Period=FQ","BEST_FPERIOD_OVERRIDE=FQ","FILING_STATUS=MR","FA_ADJUSTED=Adjusted","Sort=A","Dates=H","DateFormat=P","Fill=—","Direction=H","UseDPDF=Y")</f>
        <v>—</v>
      </c>
      <c r="K72" s="14" t="str">
        <f>_xll.BDH("SRPT US Equity","ACTUAL_SALES_PER_EMPL","FQ2 2021","FQ2 2021","Currency=USD","Period=FQ","BEST_FPERIOD_OVERRIDE=FQ","FILING_STATUS=MR","FA_ADJUSTED=Adjusted","Sort=A","Dates=H","DateFormat=P","Fill=—","Direction=H","UseDPDF=Y")</f>
        <v>—</v>
      </c>
      <c r="L72" s="14" t="str">
        <f>_xll.BDH("SRPT US Equity","ACTUAL_SALES_PER_EMPL","FQ3 2021","FQ3 2021","Currency=USD","Period=FQ","BEST_FPERIOD_OVERRIDE=FQ","FILING_STATUS=MR","FA_ADJUSTED=Adjusted","Sort=A","Dates=H","DateFormat=P","Fill=—","Direction=H","UseDPDF=Y")</f>
        <v>—</v>
      </c>
      <c r="M72" s="14">
        <f>_xll.BDH("SRPT US Equity","ACTUAL_SALES_PER_EMPL","FQ4 2021","FQ4 2021","Currency=USD","Period=FQ","BEST_FPERIOD_OVERRIDE=FQ","FILING_STATUS=MR","FA_ADJUSTED=Adjusted","Sort=A","Dates=H","DateFormat=P","Fill=—","Direction=H","UseDPDF=Y")</f>
        <v>239834.5238</v>
      </c>
      <c r="N72" s="14" t="str">
        <f>_xll.BDH("SRPT US Equity","ACTUAL_SALES_PER_EMPL","FQ1 2022","FQ1 2022","Currency=USD","Period=FQ","BEST_FPERIOD_OVERRIDE=FQ","FILING_STATUS=MR","FA_ADJUSTED=Adjusted","Sort=A","Dates=H","DateFormat=P","Fill=—","Direction=H","UseDPDF=Y")</f>
        <v>—</v>
      </c>
      <c r="O72" s="14" t="str">
        <f>_xll.BDH("SRPT US Equity","ACTUAL_SALES_PER_EMPL","FQ2 2022","FQ2 2022","Currency=USD","Period=FQ","BEST_FPERIOD_OVERRIDE=FQ","FILING_STATUS=MR","FA_ADJUSTED=Adjusted","Sort=A","Dates=H","DateFormat=P","Fill=—","Direction=H","UseDPDF=Y")</f>
        <v>—</v>
      </c>
      <c r="P72" s="14" t="str">
        <f>_xll.BDH("SRPT US Equity","ACTUAL_SALES_PER_EMPL","FQ3 2022","FQ3 2022","Currency=USD","Period=FQ","BEST_FPERIOD_OVERRIDE=FQ","FILING_STATUS=MR","FA_ADJUSTED=Adjusted","Sort=A","Dates=H","DateFormat=P","Fill=—","Direction=H","UseDPDF=Y")</f>
        <v>—</v>
      </c>
      <c r="Q72" s="14">
        <f>_xll.BDH("SRPT US Equity","ACTUAL_SALES_PER_EMPL","FQ4 2022","FQ4 2022","Currency=USD","Period=FQ","BEST_FPERIOD_OVERRIDE=FQ","FILING_STATUS=MR","FA_ADJUSTED=Adjusted","Sort=A","Dates=H","DateFormat=P","Fill=—","Direction=H","UseDPDF=Y")</f>
        <v>222398.4509</v>
      </c>
      <c r="R72" s="14" t="str">
        <f>_xll.BDH("SRPT US Equity","ACTUAL_SALES_PER_EMPL","FQ1 2023","FQ1 2023","Currency=USD","Period=FQ","BEST_FPERIOD_OVERRIDE=FQ","FILING_STATUS=MR","FA_ADJUSTED=Adjusted","Sort=A","Dates=H","DateFormat=P","Fill=—","Direction=H","UseDPDF=Y")</f>
        <v>—</v>
      </c>
      <c r="S72" s="14" t="str">
        <f>_xll.BDH("SRPT US Equity","ACTUAL_SALES_PER_EMPL","FQ2 2023","FQ2 2023","Currency=USD","Period=FQ","BEST_FPERIOD_OVERRIDE=FQ","FILING_STATUS=MR","FA_ADJUSTED=Adjusted","Sort=A","Dates=H","DateFormat=P","Fill=—","Direction=H","UseDPDF=Y")</f>
        <v>—</v>
      </c>
      <c r="T72" s="14" t="str">
        <f>_xll.BDH("SRPT US Equity","ACTUAL_SALES_PER_EMPL","FQ3 2023","FQ3 2023","Currency=USD","Period=FQ","BEST_FPERIOD_OVERRIDE=FQ","FILING_STATUS=MR","FA_ADJUSTED=Adjusted","Sort=A","Dates=H","DateFormat=P","Fill=—","Direction=H","UseDPDF=Y")</f>
        <v>—</v>
      </c>
      <c r="U72" s="14">
        <f>_xll.BDH("SRPT US Equity","ACTUAL_SALES_PER_EMPL","FQ4 2023","FQ4 2023","Currency=USD","Period=FQ","BEST_FPERIOD_OVERRIDE=FQ","FILING_STATUS=MR","FA_ADJUSTED=Adjusted","Sort=A","Dates=H","DateFormat=P","Fill=—","Direction=H","UseDPDF=Y")</f>
        <v>301964.23139999999</v>
      </c>
      <c r="V72" s="14" t="str">
        <f>_xll.BDH("SRPT US Equity","ACTUAL_SALES_PER_EMPL","FQ1 2024","FQ1 2024","Currency=USD","Period=FQ","BEST_FPERIOD_OVERRIDE=FQ","FILING_STATUS=MR","FA_ADJUSTED=Adjusted","Sort=A","Dates=H","DateFormat=P","Fill=—","Direction=H","UseDPDF=Y")</f>
        <v>—</v>
      </c>
      <c r="W72" s="14" t="str">
        <f>_xll.BDH("SRPT US Equity","ACTUAL_SALES_PER_EMPL","FQ2 2024","FQ2 2024","Currency=USD","Period=FQ","BEST_FPERIOD_OVERRIDE=FQ","FILING_STATUS=MR","FA_ADJUSTED=Adjusted","Sort=A","Dates=H","DateFormat=P","Fill=—","Direction=H","UseDPDF=Y")</f>
        <v>—</v>
      </c>
      <c r="X72" s="14" t="str">
        <f>_xll.BDH("SRPT US Equity","ACTUAL_SALES_PER_EMPL","FQ3 2024","FQ3 2024","Currency=USD","Period=FQ","BEST_FPERIOD_OVERRIDE=FQ","FILING_STATUS=MR","FA_ADJUSTED=Adjusted","Sort=A","Dates=H","DateFormat=P","Fill=—","Direction=H","UseDPDF=Y")</f>
        <v>—</v>
      </c>
      <c r="Y72" s="14">
        <f>_xll.BDH("SRPT US Equity","ACTUAL_SALES_PER_EMPL","FQ4 2024","FQ4 2024","Currency=USD","Period=FQ","BEST_FPERIOD_OVERRIDE=FQ","FILING_STATUS=MR","FA_ADJUSTED=Adjusted","Sort=A","Dates=H","DateFormat=P","Fill=—","Direction=H","UseDPDF=Y")</f>
        <v>479892.12829999998</v>
      </c>
      <c r="Z72" s="14"/>
      <c r="AA72" s="14"/>
    </row>
    <row r="73" spans="1:27" x14ac:dyDescent="0.25">
      <c r="A73" s="10" t="s">
        <v>408</v>
      </c>
      <c r="B73" s="10" t="s">
        <v>274</v>
      </c>
      <c r="C73" s="14">
        <f>_xll.BDH("SRPT US Equity","EQY_DPS","FQ2 2019","FQ2 2019","Currency=USD","Period=FQ","BEST_FPERIOD_OVERRIDE=FQ","FILING_STATUS=MR","Sort=A","Dates=H","DateFormat=P","Fill=—","Direction=H","UseDPDF=Y")</f>
        <v>0</v>
      </c>
      <c r="D73" s="14">
        <f>_xll.BDH("SRPT US Equity","EQY_DPS","FQ3 2019","FQ3 2019","Currency=USD","Period=FQ","BEST_FPERIOD_OVERRIDE=FQ","FILING_STATUS=MR","Sort=A","Dates=H","DateFormat=P","Fill=—","Direction=H","UseDPDF=Y")</f>
        <v>0</v>
      </c>
      <c r="E73" s="14">
        <f>_xll.BDH("SRPT US Equity","EQY_DPS","FQ4 2019","FQ4 2019","Currency=USD","Period=FQ","BEST_FPERIOD_OVERRIDE=FQ","FILING_STATUS=MR","Sort=A","Dates=H","DateFormat=P","Fill=—","Direction=H","UseDPDF=Y")</f>
        <v>0</v>
      </c>
      <c r="F73" s="14">
        <f>_xll.BDH("SRPT US Equity","EQY_DPS","FQ1 2020","FQ1 2020","Currency=USD","Period=FQ","BEST_FPERIOD_OVERRIDE=FQ","FILING_STATUS=MR","Sort=A","Dates=H","DateFormat=P","Fill=—","Direction=H","UseDPDF=Y")</f>
        <v>0</v>
      </c>
      <c r="G73" s="14">
        <f>_xll.BDH("SRPT US Equity","EQY_DPS","FQ2 2020","FQ2 2020","Currency=USD","Period=FQ","BEST_FPERIOD_OVERRIDE=FQ","FILING_STATUS=MR","Sort=A","Dates=H","DateFormat=P","Fill=—","Direction=H","UseDPDF=Y")</f>
        <v>0</v>
      </c>
      <c r="H73" s="14">
        <f>_xll.BDH("SRPT US Equity","EQY_DPS","FQ3 2020","FQ3 2020","Currency=USD","Period=FQ","BEST_FPERIOD_OVERRIDE=FQ","FILING_STATUS=MR","Sort=A","Dates=H","DateFormat=P","Fill=—","Direction=H","UseDPDF=Y")</f>
        <v>0</v>
      </c>
      <c r="I73" s="14">
        <f>_xll.BDH("SRPT US Equity","EQY_DPS","FQ4 2020","FQ4 2020","Currency=USD","Period=FQ","BEST_FPERIOD_OVERRIDE=FQ","FILING_STATUS=MR","Sort=A","Dates=H","DateFormat=P","Fill=—","Direction=H","UseDPDF=Y")</f>
        <v>0</v>
      </c>
      <c r="J73" s="14">
        <f>_xll.BDH("SRPT US Equity","EQY_DPS","FQ1 2021","FQ1 2021","Currency=USD","Period=FQ","BEST_FPERIOD_OVERRIDE=FQ","FILING_STATUS=MR","Sort=A","Dates=H","DateFormat=P","Fill=—","Direction=H","UseDPDF=Y")</f>
        <v>0</v>
      </c>
      <c r="K73" s="14">
        <f>_xll.BDH("SRPT US Equity","EQY_DPS","FQ2 2021","FQ2 2021","Currency=USD","Period=FQ","BEST_FPERIOD_OVERRIDE=FQ","FILING_STATUS=MR","Sort=A","Dates=H","DateFormat=P","Fill=—","Direction=H","UseDPDF=Y")</f>
        <v>0</v>
      </c>
      <c r="L73" s="14">
        <f>_xll.BDH("SRPT US Equity","EQY_DPS","FQ3 2021","FQ3 2021","Currency=USD","Period=FQ","BEST_FPERIOD_OVERRIDE=FQ","FILING_STATUS=MR","Sort=A","Dates=H","DateFormat=P","Fill=—","Direction=H","UseDPDF=Y")</f>
        <v>0</v>
      </c>
      <c r="M73" s="14">
        <f>_xll.BDH("SRPT US Equity","EQY_DPS","FQ4 2021","FQ4 2021","Currency=USD","Period=FQ","BEST_FPERIOD_OVERRIDE=FQ","FILING_STATUS=MR","Sort=A","Dates=H","DateFormat=P","Fill=—","Direction=H","UseDPDF=Y")</f>
        <v>0</v>
      </c>
      <c r="N73" s="14">
        <f>_xll.BDH("SRPT US Equity","EQY_DPS","FQ1 2022","FQ1 2022","Currency=USD","Period=FQ","BEST_FPERIOD_OVERRIDE=FQ","FILING_STATUS=MR","Sort=A","Dates=H","DateFormat=P","Fill=—","Direction=H","UseDPDF=Y")</f>
        <v>0</v>
      </c>
      <c r="O73" s="14">
        <f>_xll.BDH("SRPT US Equity","EQY_DPS","FQ2 2022","FQ2 2022","Currency=USD","Period=FQ","BEST_FPERIOD_OVERRIDE=FQ","FILING_STATUS=MR","Sort=A","Dates=H","DateFormat=P","Fill=—","Direction=H","UseDPDF=Y")</f>
        <v>0</v>
      </c>
      <c r="P73" s="14">
        <f>_xll.BDH("SRPT US Equity","EQY_DPS","FQ3 2022","FQ3 2022","Currency=USD","Period=FQ","BEST_FPERIOD_OVERRIDE=FQ","FILING_STATUS=MR","Sort=A","Dates=H","DateFormat=P","Fill=—","Direction=H","UseDPDF=Y")</f>
        <v>0</v>
      </c>
      <c r="Q73" s="14">
        <f>_xll.BDH("SRPT US Equity","EQY_DPS","FQ4 2022","FQ4 2022","Currency=USD","Period=FQ","BEST_FPERIOD_OVERRIDE=FQ","FILING_STATUS=MR","Sort=A","Dates=H","DateFormat=P","Fill=—","Direction=H","UseDPDF=Y")</f>
        <v>0</v>
      </c>
      <c r="R73" s="14">
        <f>_xll.BDH("SRPT US Equity","EQY_DPS","FQ1 2023","FQ1 2023","Currency=USD","Period=FQ","BEST_FPERIOD_OVERRIDE=FQ","FILING_STATUS=MR","Sort=A","Dates=H","DateFormat=P","Fill=—","Direction=H","UseDPDF=Y")</f>
        <v>0</v>
      </c>
      <c r="S73" s="14">
        <f>_xll.BDH("SRPT US Equity","EQY_DPS","FQ2 2023","FQ2 2023","Currency=USD","Period=FQ","BEST_FPERIOD_OVERRIDE=FQ","FILING_STATUS=MR","Sort=A","Dates=H","DateFormat=P","Fill=—","Direction=H","UseDPDF=Y")</f>
        <v>0</v>
      </c>
      <c r="T73" s="14">
        <f>_xll.BDH("SRPT US Equity","EQY_DPS","FQ3 2023","FQ3 2023","Currency=USD","Period=FQ","BEST_FPERIOD_OVERRIDE=FQ","FILING_STATUS=MR","Sort=A","Dates=H","DateFormat=P","Fill=—","Direction=H","UseDPDF=Y")</f>
        <v>0</v>
      </c>
      <c r="U73" s="14">
        <f>_xll.BDH("SRPT US Equity","EQY_DPS","FQ4 2023","FQ4 2023","Currency=USD","Period=FQ","BEST_FPERIOD_OVERRIDE=FQ","FILING_STATUS=MR","Sort=A","Dates=H","DateFormat=P","Fill=—","Direction=H","UseDPDF=Y")</f>
        <v>0</v>
      </c>
      <c r="V73" s="14">
        <f>_xll.BDH("SRPT US Equity","EQY_DPS","FQ1 2024","FQ1 2024","Currency=USD","Period=FQ","BEST_FPERIOD_OVERRIDE=FQ","FILING_STATUS=MR","Sort=A","Dates=H","DateFormat=P","Fill=—","Direction=H","UseDPDF=Y")</f>
        <v>0</v>
      </c>
      <c r="W73" s="14">
        <f>_xll.BDH("SRPT US Equity","EQY_DPS","FQ2 2024","FQ2 2024","Currency=USD","Period=FQ","BEST_FPERIOD_OVERRIDE=FQ","FILING_STATUS=MR","Sort=A","Dates=H","DateFormat=P","Fill=—","Direction=H","UseDPDF=Y")</f>
        <v>0</v>
      </c>
      <c r="X73" s="14">
        <f>_xll.BDH("SRPT US Equity","EQY_DPS","FQ3 2024","FQ3 2024","Currency=USD","Period=FQ","BEST_FPERIOD_OVERRIDE=FQ","FILING_STATUS=MR","Sort=A","Dates=H","DateFormat=P","Fill=—","Direction=H","UseDPDF=Y")</f>
        <v>0</v>
      </c>
      <c r="Y73" s="14">
        <f>_xll.BDH("SRPT US Equity","EQY_DPS","FQ4 2024","FQ4 2024","Currency=USD","Period=FQ","BEST_FPERIOD_OVERRIDE=FQ","FILING_STATUS=MR","Sort=A","Dates=H","DateFormat=P","Fill=—","Direction=H","UseDPDF=Y")</f>
        <v>0</v>
      </c>
      <c r="Z73" s="14"/>
      <c r="AA73" s="14"/>
    </row>
    <row r="74" spans="1:27" x14ac:dyDescent="0.25">
      <c r="A74" s="10" t="s">
        <v>409</v>
      </c>
      <c r="B74" s="10" t="s">
        <v>410</v>
      </c>
      <c r="C74" s="13">
        <f>_xll.BDH("SRPT US Equity","IS_TOT_CASH_COM_DVD","FQ2 2019","FQ2 2019","Currency=USD","Period=FQ","BEST_FPERIOD_OVERRIDE=FQ","FILING_STATUS=MR","SCALING_FORMAT=MLN","Sort=A","Dates=H","DateFormat=P","Fill=—","Direction=H","UseDPDF=Y")</f>
        <v>0</v>
      </c>
      <c r="D74" s="13">
        <f>_xll.BDH("SRPT US Equity","IS_TOT_CASH_COM_DVD","FQ3 2019","FQ3 2019","Currency=USD","Period=FQ","BEST_FPERIOD_OVERRIDE=FQ","FILING_STATUS=MR","SCALING_FORMAT=MLN","Sort=A","Dates=H","DateFormat=P","Fill=—","Direction=H","UseDPDF=Y")</f>
        <v>0</v>
      </c>
      <c r="E74" s="13">
        <f>_xll.BDH("SRPT US Equity","IS_TOT_CASH_COM_DVD","FQ4 2019","FQ4 2019","Currency=USD","Period=FQ","BEST_FPERIOD_OVERRIDE=FQ","FILING_STATUS=MR","SCALING_FORMAT=MLN","Sort=A","Dates=H","DateFormat=P","Fill=—","Direction=H","UseDPDF=Y")</f>
        <v>0</v>
      </c>
      <c r="F74" s="13">
        <f>_xll.BDH("SRPT US Equity","IS_TOT_CASH_COM_DVD","FQ1 2020","FQ1 2020","Currency=USD","Period=FQ","BEST_FPERIOD_OVERRIDE=FQ","FILING_STATUS=MR","SCALING_FORMAT=MLN","Sort=A","Dates=H","DateFormat=P","Fill=—","Direction=H","UseDPDF=Y")</f>
        <v>0</v>
      </c>
      <c r="G74" s="13">
        <f>_xll.BDH("SRPT US Equity","IS_TOT_CASH_COM_DVD","FQ2 2020","FQ2 2020","Currency=USD","Period=FQ","BEST_FPERIOD_OVERRIDE=FQ","FILING_STATUS=MR","SCALING_FORMAT=MLN","Sort=A","Dates=H","DateFormat=P","Fill=—","Direction=H","UseDPDF=Y")</f>
        <v>0</v>
      </c>
      <c r="H74" s="13">
        <f>_xll.BDH("SRPT US Equity","IS_TOT_CASH_COM_DVD","FQ3 2020","FQ3 2020","Currency=USD","Period=FQ","BEST_FPERIOD_OVERRIDE=FQ","FILING_STATUS=MR","SCALING_FORMAT=MLN","Sort=A","Dates=H","DateFormat=P","Fill=—","Direction=H","UseDPDF=Y")</f>
        <v>0</v>
      </c>
      <c r="I74" s="13">
        <f>_xll.BDH("SRPT US Equity","IS_TOT_CASH_COM_DVD","FQ4 2020","FQ4 2020","Currency=USD","Period=FQ","BEST_FPERIOD_OVERRIDE=FQ","FILING_STATUS=MR","SCALING_FORMAT=MLN","Sort=A","Dates=H","DateFormat=P","Fill=—","Direction=H","UseDPDF=Y")</f>
        <v>0</v>
      </c>
      <c r="J74" s="13">
        <f>_xll.BDH("SRPT US Equity","IS_TOT_CASH_COM_DVD","FQ1 2021","FQ1 2021","Currency=USD","Period=FQ","BEST_FPERIOD_OVERRIDE=FQ","FILING_STATUS=MR","SCALING_FORMAT=MLN","Sort=A","Dates=H","DateFormat=P","Fill=—","Direction=H","UseDPDF=Y")</f>
        <v>0</v>
      </c>
      <c r="K74" s="13">
        <f>_xll.BDH("SRPT US Equity","IS_TOT_CASH_COM_DVD","FQ2 2021","FQ2 2021","Currency=USD","Period=FQ","BEST_FPERIOD_OVERRIDE=FQ","FILING_STATUS=MR","SCALING_FORMAT=MLN","Sort=A","Dates=H","DateFormat=P","Fill=—","Direction=H","UseDPDF=Y")</f>
        <v>0</v>
      </c>
      <c r="L74" s="13">
        <f>_xll.BDH("SRPT US Equity","IS_TOT_CASH_COM_DVD","FQ3 2021","FQ3 2021","Currency=USD","Period=FQ","BEST_FPERIOD_OVERRIDE=FQ","FILING_STATUS=MR","SCALING_FORMAT=MLN","Sort=A","Dates=H","DateFormat=P","Fill=—","Direction=H","UseDPDF=Y")</f>
        <v>0</v>
      </c>
      <c r="M74" s="13">
        <f>_xll.BDH("SRPT US Equity","IS_TOT_CASH_COM_DVD","FQ4 2021","FQ4 2021","Currency=USD","Period=FQ","BEST_FPERIOD_OVERRIDE=FQ","FILING_STATUS=MR","SCALING_FORMAT=MLN","Sort=A","Dates=H","DateFormat=P","Fill=—","Direction=H","UseDPDF=Y")</f>
        <v>0</v>
      </c>
      <c r="N74" s="13">
        <f>_xll.BDH("SRPT US Equity","IS_TOT_CASH_COM_DVD","FQ1 2022","FQ1 2022","Currency=USD","Period=FQ","BEST_FPERIOD_OVERRIDE=FQ","FILING_STATUS=MR","SCALING_FORMAT=MLN","Sort=A","Dates=H","DateFormat=P","Fill=—","Direction=H","UseDPDF=Y")</f>
        <v>0</v>
      </c>
      <c r="O74" s="13">
        <f>_xll.BDH("SRPT US Equity","IS_TOT_CASH_COM_DVD","FQ2 2022","FQ2 2022","Currency=USD","Period=FQ","BEST_FPERIOD_OVERRIDE=FQ","FILING_STATUS=MR","SCALING_FORMAT=MLN","Sort=A","Dates=H","DateFormat=P","Fill=—","Direction=H","UseDPDF=Y")</f>
        <v>0</v>
      </c>
      <c r="P74" s="13">
        <f>_xll.BDH("SRPT US Equity","IS_TOT_CASH_COM_DVD","FQ3 2022","FQ3 2022","Currency=USD","Period=FQ","BEST_FPERIOD_OVERRIDE=FQ","FILING_STATUS=MR","SCALING_FORMAT=MLN","Sort=A","Dates=H","DateFormat=P","Fill=—","Direction=H","UseDPDF=Y")</f>
        <v>0</v>
      </c>
      <c r="Q74" s="13">
        <f>_xll.BDH("SRPT US Equity","IS_TOT_CASH_COM_DVD","FQ4 2022","FQ4 2022","Currency=USD","Period=FQ","BEST_FPERIOD_OVERRIDE=FQ","FILING_STATUS=MR","SCALING_FORMAT=MLN","Sort=A","Dates=H","DateFormat=P","Fill=—","Direction=H","UseDPDF=Y")</f>
        <v>0</v>
      </c>
      <c r="R74" s="13">
        <f>_xll.BDH("SRPT US Equity","IS_TOT_CASH_COM_DVD","FQ1 2023","FQ1 2023","Currency=USD","Period=FQ","BEST_FPERIOD_OVERRIDE=FQ","FILING_STATUS=MR","SCALING_FORMAT=MLN","Sort=A","Dates=H","DateFormat=P","Fill=—","Direction=H","UseDPDF=Y")</f>
        <v>0</v>
      </c>
      <c r="S74" s="13">
        <f>_xll.BDH("SRPT US Equity","IS_TOT_CASH_COM_DVD","FQ2 2023","FQ2 2023","Currency=USD","Period=FQ","BEST_FPERIOD_OVERRIDE=FQ","FILING_STATUS=MR","SCALING_FORMAT=MLN","Sort=A","Dates=H","DateFormat=P","Fill=—","Direction=H","UseDPDF=Y")</f>
        <v>0</v>
      </c>
      <c r="T74" s="13">
        <f>_xll.BDH("SRPT US Equity","IS_TOT_CASH_COM_DVD","FQ3 2023","FQ3 2023","Currency=USD","Period=FQ","BEST_FPERIOD_OVERRIDE=FQ","FILING_STATUS=MR","SCALING_FORMAT=MLN","Sort=A","Dates=H","DateFormat=P","Fill=—","Direction=H","UseDPDF=Y")</f>
        <v>0</v>
      </c>
      <c r="U74" s="13">
        <f>_xll.BDH("SRPT US Equity","IS_TOT_CASH_COM_DVD","FQ4 2023","FQ4 2023","Currency=USD","Period=FQ","BEST_FPERIOD_OVERRIDE=FQ","FILING_STATUS=MR","SCALING_FORMAT=MLN","Sort=A","Dates=H","DateFormat=P","Fill=—","Direction=H","UseDPDF=Y")</f>
        <v>0</v>
      </c>
      <c r="V74" s="13">
        <f>_xll.BDH("SRPT US Equity","IS_TOT_CASH_COM_DVD","FQ1 2024","FQ1 2024","Currency=USD","Period=FQ","BEST_FPERIOD_OVERRIDE=FQ","FILING_STATUS=MR","SCALING_FORMAT=MLN","Sort=A","Dates=H","DateFormat=P","Fill=—","Direction=H","UseDPDF=Y")</f>
        <v>0</v>
      </c>
      <c r="W74" s="13">
        <f>_xll.BDH("SRPT US Equity","IS_TOT_CASH_COM_DVD","FQ2 2024","FQ2 2024","Currency=USD","Period=FQ","BEST_FPERIOD_OVERRIDE=FQ","FILING_STATUS=MR","SCALING_FORMAT=MLN","Sort=A","Dates=H","DateFormat=P","Fill=—","Direction=H","UseDPDF=Y")</f>
        <v>0</v>
      </c>
      <c r="X74" s="13">
        <f>_xll.BDH("SRPT US Equity","IS_TOT_CASH_COM_DVD","FQ3 2024","FQ3 2024","Currency=USD","Period=FQ","BEST_FPERIOD_OVERRIDE=FQ","FILING_STATUS=MR","SCALING_FORMAT=MLN","Sort=A","Dates=H","DateFormat=P","Fill=—","Direction=H","UseDPDF=Y")</f>
        <v>0</v>
      </c>
      <c r="Y74" s="13">
        <f>_xll.BDH("SRPT US Equity","IS_TOT_CASH_COM_DVD","FQ4 2024","FQ4 2024","Currency=USD","Period=FQ","BEST_FPERIOD_OVERRIDE=FQ","FILING_STATUS=MR","SCALING_FORMAT=MLN","Sort=A","Dates=H","DateFormat=P","Fill=—","Direction=H","UseDPDF=Y")</f>
        <v>0</v>
      </c>
      <c r="Z74" s="13"/>
      <c r="AA74" s="13"/>
    </row>
    <row r="75" spans="1:27" x14ac:dyDescent="0.25">
      <c r="A75" s="10" t="s">
        <v>411</v>
      </c>
      <c r="B75" s="10" t="s">
        <v>412</v>
      </c>
      <c r="C75" s="13">
        <f>_xll.BDH("SRPT US Equity","IS_DEPR_EXP","FQ2 2019","FQ2 2019","Currency=USD","Period=FQ","BEST_FPERIOD_OVERRIDE=FQ","FILING_STATUS=MR","SCALING_FORMAT=MLN","Sort=A","Dates=H","DateFormat=P","Fill=—","Direction=H","UseDPDF=Y")</f>
        <v>6.016</v>
      </c>
      <c r="D75" s="13">
        <f>_xll.BDH("SRPT US Equity","IS_DEPR_EXP","FQ3 2019","FQ3 2019","Currency=USD","Period=FQ","BEST_FPERIOD_OVERRIDE=FQ","FILING_STATUS=MR","SCALING_FORMAT=MLN","Sort=A","Dates=H","DateFormat=P","Fill=—","Direction=H","UseDPDF=Y")</f>
        <v>6.5250000000000004</v>
      </c>
      <c r="E75" s="13">
        <f>_xll.BDH("SRPT US Equity","IS_DEPR_EXP","FQ4 2019","FQ4 2019","Currency=USD","Period=FQ","BEST_FPERIOD_OVERRIDE=FQ","FILING_STATUS=MR","SCALING_FORMAT=MLN","Sort=A","Dates=H","DateFormat=P","Fill=—","Direction=H","UseDPDF=Y")</f>
        <v>6.4459999999999997</v>
      </c>
      <c r="F75" s="13">
        <f>_xll.BDH("SRPT US Equity","IS_DEPR_EXP","FQ1 2020","FQ1 2020","Currency=USD","Period=FQ","BEST_FPERIOD_OVERRIDE=FQ","FILING_STATUS=MR","SCALING_FORMAT=MLN","Sort=A","Dates=H","DateFormat=P","Fill=—","Direction=H","UseDPDF=Y")</f>
        <v>6.3630000000000004</v>
      </c>
      <c r="G75" s="13">
        <f>_xll.BDH("SRPT US Equity","IS_DEPR_EXP","FQ2 2020","FQ2 2020","Currency=USD","Period=FQ","BEST_FPERIOD_OVERRIDE=FQ","FILING_STATUS=MR","SCALING_FORMAT=MLN","Sort=A","Dates=H","DateFormat=P","Fill=—","Direction=H","UseDPDF=Y")</f>
        <v>6.31</v>
      </c>
      <c r="H75" s="13">
        <f>_xll.BDH("SRPT US Equity","IS_DEPR_EXP","FQ3 2020","FQ3 2020","Currency=USD","Period=FQ","BEST_FPERIOD_OVERRIDE=FQ","FILING_STATUS=MR","SCALING_FORMAT=MLN","Sort=A","Dates=H","DateFormat=P","Fill=—","Direction=H","UseDPDF=Y")</f>
        <v>6.4530000000000003</v>
      </c>
      <c r="I75" s="13">
        <f>_xll.BDH("SRPT US Equity","IS_DEPR_EXP","FQ4 2020","FQ4 2020","Currency=USD","Period=FQ","BEST_FPERIOD_OVERRIDE=FQ","FILING_STATUS=MR","SCALING_FORMAT=MLN","Sort=A","Dates=H","DateFormat=P","Fill=—","Direction=H","UseDPDF=Y")</f>
        <v>7.1230000000000002</v>
      </c>
      <c r="J75" s="13">
        <f>_xll.BDH("SRPT US Equity","IS_DEPR_EXP","FQ1 2021","FQ1 2021","Currency=USD","Period=FQ","BEST_FPERIOD_OVERRIDE=FQ","FILING_STATUS=MR","SCALING_FORMAT=MLN","Sort=A","Dates=H","DateFormat=P","Fill=—","Direction=H","UseDPDF=Y")</f>
        <v>8.76</v>
      </c>
      <c r="K75" s="13">
        <f>_xll.BDH("SRPT US Equity","IS_DEPR_EXP","FQ2 2021","FQ2 2021","Currency=USD","Period=FQ","BEST_FPERIOD_OVERRIDE=FQ","FILING_STATUS=MR","SCALING_FORMAT=MLN","Sort=A","Dates=H","DateFormat=P","Fill=—","Direction=H","UseDPDF=Y")</f>
        <v>8.2680000000000007</v>
      </c>
      <c r="L75" s="13">
        <f>_xll.BDH("SRPT US Equity","IS_DEPR_EXP","FQ3 2021","FQ3 2021","Currency=USD","Period=FQ","BEST_FPERIOD_OVERRIDE=FQ","FILING_STATUS=MR","SCALING_FORMAT=MLN","Sort=A","Dates=H","DateFormat=P","Fill=—","Direction=H","UseDPDF=Y")</f>
        <v>10.317</v>
      </c>
      <c r="M75" s="13">
        <f>_xll.BDH("SRPT US Equity","IS_DEPR_EXP","FQ4 2021","FQ4 2021","Currency=USD","Period=FQ","BEST_FPERIOD_OVERRIDE=FQ","FILING_STATUS=MR","SCALING_FORMAT=MLN","Sort=A","Dates=H","DateFormat=P","Fill=—","Direction=H","UseDPDF=Y")</f>
        <v>9.9659999999999993</v>
      </c>
      <c r="N75" s="13">
        <f>_xll.BDH("SRPT US Equity","IS_DEPR_EXP","FQ1 2022","FQ1 2022","Currency=USD","Period=FQ","BEST_FPERIOD_OVERRIDE=FQ","FILING_STATUS=MR","SCALING_FORMAT=MLN","Sort=A","Dates=H","DateFormat=P","Fill=—","Direction=H","UseDPDF=Y")</f>
        <v>10.541</v>
      </c>
      <c r="O75" s="13">
        <f>_xll.BDH("SRPT US Equity","IS_DEPR_EXP","FQ2 2022","FQ2 2022","Currency=USD","Period=FQ","BEST_FPERIOD_OVERRIDE=FQ","FILING_STATUS=MR","SCALING_FORMAT=MLN","Sort=A","Dates=H","DateFormat=P","Fill=—","Direction=H","UseDPDF=Y")</f>
        <v>9.7100000000000009</v>
      </c>
      <c r="P75" s="13">
        <f>_xll.BDH("SRPT US Equity","IS_DEPR_EXP","FQ3 2022","FQ3 2022","Currency=USD","Period=FQ","BEST_FPERIOD_OVERRIDE=FQ","FILING_STATUS=MR","SCALING_FORMAT=MLN","Sort=A","Dates=H","DateFormat=P","Fill=—","Direction=H","UseDPDF=Y")</f>
        <v>10.525</v>
      </c>
      <c r="Q75" s="13">
        <f>_xll.BDH("SRPT US Equity","IS_DEPR_EXP","FQ4 2022","FQ4 2022","Currency=USD","Period=FQ","BEST_FPERIOD_OVERRIDE=FQ","FILING_STATUS=MR","SCALING_FORMAT=MLN","Sort=A","Dates=H","DateFormat=P","Fill=—","Direction=H","UseDPDF=Y")</f>
        <v>10.374000000000001</v>
      </c>
      <c r="R75" s="13">
        <f>_xll.BDH("SRPT US Equity","IS_DEPR_EXP","FQ1 2023","FQ1 2023","Currency=USD","Period=FQ","BEST_FPERIOD_OVERRIDE=FQ","FILING_STATUS=MR","SCALING_FORMAT=MLN","Sort=A","Dates=H","DateFormat=P","Fill=—","Direction=H","UseDPDF=Y")</f>
        <v>11.127000000000001</v>
      </c>
      <c r="S75" s="13">
        <f>_xll.BDH("SRPT US Equity","IS_DEPR_EXP","FQ2 2023","FQ2 2023","Currency=USD","Period=FQ","BEST_FPERIOD_OVERRIDE=FQ","FILING_STATUS=MR","SCALING_FORMAT=MLN","Sort=A","Dates=H","DateFormat=P","Fill=—","Direction=H","UseDPDF=Y")</f>
        <v>10.613</v>
      </c>
      <c r="T75" s="13">
        <f>_xll.BDH("SRPT US Equity","IS_DEPR_EXP","FQ3 2023","FQ3 2023","Currency=USD","Period=FQ","BEST_FPERIOD_OVERRIDE=FQ","FILING_STATUS=MR","SCALING_FORMAT=MLN","Sort=A","Dates=H","DateFormat=P","Fill=—","Direction=H","UseDPDF=Y")</f>
        <v>10.489000000000001</v>
      </c>
      <c r="U75" s="13">
        <f>_xll.BDH("SRPT US Equity","IS_DEPR_EXP","FQ4 2023","FQ4 2023","Currency=USD","Period=FQ","BEST_FPERIOD_OVERRIDE=FQ","FILING_STATUS=MR","SCALING_FORMAT=MLN","Sort=A","Dates=H","DateFormat=P","Fill=—","Direction=H","UseDPDF=Y")</f>
        <v>9.8460000000000001</v>
      </c>
      <c r="V75" s="13">
        <f>_xll.BDH("SRPT US Equity","IS_DEPR_EXP","FQ1 2024","FQ1 2024","Currency=USD","Period=FQ","BEST_FPERIOD_OVERRIDE=FQ","FILING_STATUS=MR","SCALING_FORMAT=MLN","Sort=A","Dates=H","DateFormat=P","Fill=—","Direction=H","UseDPDF=Y")</f>
        <v>8.1430000000000007</v>
      </c>
      <c r="W75" s="13">
        <f>_xll.BDH("SRPT US Equity","IS_DEPR_EXP","FQ2 2024","FQ2 2024","Currency=USD","Period=FQ","BEST_FPERIOD_OVERRIDE=FQ","FILING_STATUS=MR","SCALING_FORMAT=MLN","Sort=A","Dates=H","DateFormat=P","Fill=—","Direction=H","UseDPDF=Y")</f>
        <v>7.5170000000000003</v>
      </c>
      <c r="X75" s="13">
        <f>_xll.BDH("SRPT US Equity","IS_DEPR_EXP","FQ3 2024","FQ3 2024","Currency=USD","Period=FQ","BEST_FPERIOD_OVERRIDE=FQ","FILING_STATUS=MR","SCALING_FORMAT=MLN","Sort=A","Dates=H","DateFormat=P","Fill=—","Direction=H","UseDPDF=Y")</f>
        <v>8.6020000000000003</v>
      </c>
      <c r="Y75" s="13">
        <f>_xll.BDH("SRPT US Equity","IS_DEPR_EXP","FQ4 2024","FQ4 2024","Currency=USD","Period=FQ","BEST_FPERIOD_OVERRIDE=FQ","FILING_STATUS=MR","SCALING_FORMAT=MLN","Sort=A","Dates=H","DateFormat=P","Fill=—","Direction=H","UseDPDF=Y")</f>
        <v>9.2530000000000001</v>
      </c>
      <c r="Z75" s="13"/>
      <c r="AA75" s="13"/>
    </row>
    <row r="76" spans="1:27" x14ac:dyDescent="0.25">
      <c r="A76" s="10" t="s">
        <v>413</v>
      </c>
      <c r="B76" s="10" t="s">
        <v>414</v>
      </c>
      <c r="C76" s="13">
        <f>_xll.BDH("SRPT US Equity","BS_CURR_RENTAL_EXPENSE","FQ2 2019","FQ2 2019","Currency=USD","Period=FQ","BEST_FPERIOD_OVERRIDE=FQ","FILING_STATUS=MR","SCALING_FORMAT=MLN","Sort=A","Dates=H","DateFormat=P","Fill=—","Direction=H","UseDPDF=Y")</f>
        <v>3.339</v>
      </c>
      <c r="D76" s="13">
        <f>_xll.BDH("SRPT US Equity","BS_CURR_RENTAL_EXPENSE","FQ3 2019","FQ3 2019","Currency=USD","Period=FQ","BEST_FPERIOD_OVERRIDE=FQ","FILING_STATUS=MR","SCALING_FORMAT=MLN","Sort=A","Dates=H","DateFormat=P","Fill=—","Direction=H","UseDPDF=Y")</f>
        <v>3.6139999999999999</v>
      </c>
      <c r="E76" s="13">
        <f>_xll.BDH("SRPT US Equity","BS_CURR_RENTAL_EXPENSE","FQ4 2019","FQ4 2019","Currency=USD","Period=FQ","BEST_FPERIOD_OVERRIDE=FQ","FILING_STATUS=MR","SCALING_FORMAT=MLN","Sort=A","Dates=H","DateFormat=P","Fill=—","Direction=H","UseDPDF=Y")</f>
        <v>3.6179999999999999</v>
      </c>
      <c r="F76" s="13">
        <f>_xll.BDH("SRPT US Equity","BS_CURR_RENTAL_EXPENSE","FQ1 2020","FQ1 2020","Currency=USD","Period=FQ","BEST_FPERIOD_OVERRIDE=FQ","FILING_STATUS=MR","SCALING_FORMAT=MLN","Sort=A","Dates=H","DateFormat=P","Fill=—","Direction=H","UseDPDF=Y")</f>
        <v>1.7</v>
      </c>
      <c r="G76" s="13">
        <f>_xll.BDH("SRPT US Equity","BS_CURR_RENTAL_EXPENSE","FQ2 2020","FQ2 2020","Currency=USD","Period=FQ","BEST_FPERIOD_OVERRIDE=FQ","FILING_STATUS=MR","SCALING_FORMAT=MLN","Sort=A","Dates=H","DateFormat=P","Fill=—","Direction=H","UseDPDF=Y")</f>
        <v>5.6</v>
      </c>
      <c r="H76" s="13">
        <f>_xll.BDH("SRPT US Equity","BS_CURR_RENTAL_EXPENSE","FQ3 2020","FQ3 2020","Currency=USD","Period=FQ","BEST_FPERIOD_OVERRIDE=FQ","FILING_STATUS=MR","SCALING_FORMAT=MLN","Sort=A","Dates=H","DateFormat=P","Fill=—","Direction=H","UseDPDF=Y")</f>
        <v>5.2</v>
      </c>
      <c r="I76" s="13">
        <f>_xll.BDH("SRPT US Equity","BS_CURR_RENTAL_EXPENSE","FQ4 2020","FQ4 2020","Currency=USD","Period=FQ","BEST_FPERIOD_OVERRIDE=FQ","FILING_STATUS=MR","SCALING_FORMAT=MLN","Sort=A","Dates=H","DateFormat=P","Fill=—","Direction=H","UseDPDF=Y")</f>
        <v>23.542999999999999</v>
      </c>
      <c r="J76" s="13" t="str">
        <f>_xll.BDH("SRPT US Equity","BS_CURR_RENTAL_EXPENSE","FQ1 2021","FQ1 2021","Currency=USD","Period=FQ","BEST_FPERIOD_OVERRIDE=FQ","FILING_STATUS=MR","SCALING_FORMAT=MLN","Sort=A","Dates=H","DateFormat=P","Fill=—","Direction=H","UseDPDF=Y")</f>
        <v>—</v>
      </c>
      <c r="K76" s="13" t="str">
        <f>_xll.BDH("SRPT US Equity","BS_CURR_RENTAL_EXPENSE","FQ2 2021","FQ2 2021","Currency=USD","Period=FQ","BEST_FPERIOD_OVERRIDE=FQ","FILING_STATUS=MR","SCALING_FORMAT=MLN","Sort=A","Dates=H","DateFormat=P","Fill=—","Direction=H","UseDPDF=Y")</f>
        <v>—</v>
      </c>
      <c r="L76" s="13" t="str">
        <f>_xll.BDH("SRPT US Equity","BS_CURR_RENTAL_EXPENSE","FQ3 2021","FQ3 2021","Currency=USD","Period=FQ","BEST_FPERIOD_OVERRIDE=FQ","FILING_STATUS=MR","SCALING_FORMAT=MLN","Sort=A","Dates=H","DateFormat=P","Fill=—","Direction=H","UseDPDF=Y")</f>
        <v>—</v>
      </c>
      <c r="M76" s="13" t="str">
        <f>_xll.BDH("SRPT US Equity","BS_CURR_RENTAL_EXPENSE","FQ4 2021","FQ4 2021","Currency=USD","Period=FQ","BEST_FPERIOD_OVERRIDE=FQ","FILING_STATUS=MR","SCALING_FORMAT=MLN","Sort=A","Dates=H","DateFormat=P","Fill=—","Direction=H","UseDPDF=Y")</f>
        <v>—</v>
      </c>
      <c r="N76" s="13" t="str">
        <f>_xll.BDH("SRPT US Equity","BS_CURR_RENTAL_EXPENSE","FQ1 2022","FQ1 2022","Currency=USD","Period=FQ","BEST_FPERIOD_OVERRIDE=FQ","FILING_STATUS=MR","SCALING_FORMAT=MLN","Sort=A","Dates=H","DateFormat=P","Fill=—","Direction=H","UseDPDF=Y")</f>
        <v>—</v>
      </c>
      <c r="O76" s="13" t="str">
        <f>_xll.BDH("SRPT US Equity","BS_CURR_RENTAL_EXPENSE","FQ2 2022","FQ2 2022","Currency=USD","Period=FQ","BEST_FPERIOD_OVERRIDE=FQ","FILING_STATUS=MR","SCALING_FORMAT=MLN","Sort=A","Dates=H","DateFormat=P","Fill=—","Direction=H","UseDPDF=Y")</f>
        <v>—</v>
      </c>
      <c r="P76" s="13" t="str">
        <f>_xll.BDH("SRPT US Equity","BS_CURR_RENTAL_EXPENSE","FQ3 2022","FQ3 2022","Currency=USD","Period=FQ","BEST_FPERIOD_OVERRIDE=FQ","FILING_STATUS=MR","SCALING_FORMAT=MLN","Sort=A","Dates=H","DateFormat=P","Fill=—","Direction=H","UseDPDF=Y")</f>
        <v>—</v>
      </c>
      <c r="Q76" s="13" t="str">
        <f>_xll.BDH("SRPT US Equity","BS_CURR_RENTAL_EXPENSE","FQ4 2022","FQ4 2022","Currency=USD","Period=FQ","BEST_FPERIOD_OVERRIDE=FQ","FILING_STATUS=MR","SCALING_FORMAT=MLN","Sort=A","Dates=H","DateFormat=P","Fill=—","Direction=H","UseDPDF=Y")</f>
        <v>—</v>
      </c>
      <c r="R76" s="13" t="str">
        <f>_xll.BDH("SRPT US Equity","BS_CURR_RENTAL_EXPENSE","FQ1 2023","FQ1 2023","Currency=USD","Period=FQ","BEST_FPERIOD_OVERRIDE=FQ","FILING_STATUS=MR","SCALING_FORMAT=MLN","Sort=A","Dates=H","DateFormat=P","Fill=—","Direction=H","UseDPDF=Y")</f>
        <v>—</v>
      </c>
      <c r="S76" s="13" t="str">
        <f>_xll.BDH("SRPT US Equity","BS_CURR_RENTAL_EXPENSE","FQ2 2023","FQ2 2023","Currency=USD","Period=FQ","BEST_FPERIOD_OVERRIDE=FQ","FILING_STATUS=MR","SCALING_FORMAT=MLN","Sort=A","Dates=H","DateFormat=P","Fill=—","Direction=H","UseDPDF=Y")</f>
        <v>—</v>
      </c>
      <c r="T76" s="13" t="str">
        <f>_xll.BDH("SRPT US Equity","BS_CURR_RENTAL_EXPENSE","FQ3 2023","FQ3 2023","Currency=USD","Period=FQ","BEST_FPERIOD_OVERRIDE=FQ","FILING_STATUS=MR","SCALING_FORMAT=MLN","Sort=A","Dates=H","DateFormat=P","Fill=—","Direction=H","UseDPDF=Y")</f>
        <v>—</v>
      </c>
      <c r="U76" s="13" t="str">
        <f>_xll.BDH("SRPT US Equity","BS_CURR_RENTAL_EXPENSE","FQ4 2023","FQ4 2023","Currency=USD","Period=FQ","BEST_FPERIOD_OVERRIDE=FQ","FILING_STATUS=MR","SCALING_FORMAT=MLN","Sort=A","Dates=H","DateFormat=P","Fill=—","Direction=H","UseDPDF=Y")</f>
        <v>—</v>
      </c>
      <c r="V76" s="13" t="str">
        <f>_xll.BDH("SRPT US Equity","BS_CURR_RENTAL_EXPENSE","FQ1 2024","FQ1 2024","Currency=USD","Period=FQ","BEST_FPERIOD_OVERRIDE=FQ","FILING_STATUS=MR","SCALING_FORMAT=MLN","Sort=A","Dates=H","DateFormat=P","Fill=—","Direction=H","UseDPDF=Y")</f>
        <v>—</v>
      </c>
      <c r="W76" s="13" t="str">
        <f>_xll.BDH("SRPT US Equity","BS_CURR_RENTAL_EXPENSE","FQ2 2024","FQ2 2024","Currency=USD","Period=FQ","BEST_FPERIOD_OVERRIDE=FQ","FILING_STATUS=MR","SCALING_FORMAT=MLN","Sort=A","Dates=H","DateFormat=P","Fill=—","Direction=H","UseDPDF=Y")</f>
        <v>—</v>
      </c>
      <c r="X76" s="13" t="str">
        <f>_xll.BDH("SRPT US Equity","BS_CURR_RENTAL_EXPENSE","FQ3 2024","FQ3 2024","Currency=USD","Period=FQ","BEST_FPERIOD_OVERRIDE=FQ","FILING_STATUS=MR","SCALING_FORMAT=MLN","Sort=A","Dates=H","DateFormat=P","Fill=—","Direction=H","UseDPDF=Y")</f>
        <v>—</v>
      </c>
      <c r="Y76" s="13" t="str">
        <f>_xll.BDH("SRPT US Equity","BS_CURR_RENTAL_EXPENSE","FQ4 2024","FQ4 2024","Currency=USD","Period=FQ","BEST_FPERIOD_OVERRIDE=FQ","FILING_STATUS=MR","SCALING_FORMAT=MLN","Sort=A","Dates=H","DateFormat=P","Fill=—","Direction=H","UseDPDF=Y")</f>
        <v>—</v>
      </c>
      <c r="Z76" s="13"/>
      <c r="AA76" s="13"/>
    </row>
    <row r="77" spans="1:27" x14ac:dyDescent="0.25">
      <c r="A77" s="7" t="s">
        <v>90</v>
      </c>
      <c r="B77" s="7"/>
      <c r="C77" s="7" t="s">
        <v>5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Adj Highlights</vt:lpstr>
      <vt:lpstr>GAAP Highlights</vt:lpstr>
      <vt:lpstr>Earnings</vt:lpstr>
      <vt:lpstr>Enterprise Value</vt:lpstr>
      <vt:lpstr>Multiples</vt:lpstr>
      <vt:lpstr>Per Share</vt:lpstr>
      <vt:lpstr>Stock Value</vt:lpstr>
      <vt:lpstr>EV Ex Operating Leases</vt:lpstr>
      <vt:lpstr>Income - Adjusted</vt:lpstr>
      <vt:lpstr>Income - GAAP</vt:lpstr>
      <vt:lpstr>Income - As Reported</vt:lpstr>
      <vt:lpstr>Reconciliation</vt:lpstr>
      <vt:lpstr>SBC &amp; Amort</vt:lpstr>
      <vt:lpstr>Adj %</vt:lpstr>
      <vt:lpstr>GAAP %</vt:lpstr>
      <vt:lpstr>Bal Sheet - Standardized</vt:lpstr>
      <vt:lpstr>Bal Sheet - As Reported</vt:lpstr>
      <vt:lpstr>Bal Sheet - Common Size</vt:lpstr>
      <vt:lpstr>Fair Value Analysis</vt:lpstr>
      <vt:lpstr>Cash Flow - Standardized</vt:lpstr>
      <vt:lpstr>Cash Flow - As Reported</vt:lpstr>
      <vt:lpstr>Profitability</vt:lpstr>
      <vt:lpstr>Growth</vt:lpstr>
      <vt:lpstr>Credit</vt:lpstr>
      <vt:lpstr>Credit Ex Operating Leases</vt:lpstr>
      <vt:lpstr>Liquidity</vt:lpstr>
      <vt:lpstr>Working Capital</vt:lpstr>
      <vt:lpstr>Yield Analysis</vt:lpstr>
      <vt:lpstr>DuPont Analysis</vt:lpstr>
      <vt:lpstr>By Measure</vt:lpstr>
      <vt:lpstr>By Geography</vt:lpstr>
      <vt:lpstr>By Segment</vt:lpstr>
      <vt:lpstr>ESG 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Student1</cp:lastModifiedBy>
  <dcterms:created xsi:type="dcterms:W3CDTF">2013-04-03T15:49:21Z</dcterms:created>
  <dcterms:modified xsi:type="dcterms:W3CDTF">2025-03-28T18:14:25Z</dcterms:modified>
</cp:coreProperties>
</file>